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1.xml" ContentType="application/vnd.openxmlformats-officedocument.spreadsheetml.table+xml"/>
  <Override PartName="/xl/tables/table2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enkhuliraldechin/Documents/Quant PG/Portfolio tracker/"/>
    </mc:Choice>
  </mc:AlternateContent>
  <xr:revisionPtr revIDLastSave="0" documentId="13_ncr:1_{4B5B691A-E47E-D94D-850E-BBC957B66972}" xr6:coauthVersionLast="47" xr6:coauthVersionMax="47" xr10:uidLastSave="{00000000-0000-0000-0000-000000000000}"/>
  <bookViews>
    <workbookView xWindow="15180" yWindow="22100" windowWidth="23220" windowHeight="19200" activeTab="8" xr2:uid="{B91BE304-F5FA-BC41-9686-C13515E14129}"/>
  </bookViews>
  <sheets>
    <sheet name="Mom's Portfolio" sheetId="43" r:id="rId1"/>
    <sheet name="Baskets" sheetId="42" r:id="rId2"/>
    <sheet name="Secondary Theme" sheetId="40" r:id="rId3"/>
    <sheet name="Option Report" sheetId="41" state="hidden" r:id="rId4"/>
    <sheet name="Primary Theme" sheetId="34" r:id="rId5"/>
    <sheet name="CryptoPortfolio" sheetId="36" r:id="rId6"/>
    <sheet name="Crypto_Trades" sheetId="6" r:id="rId7"/>
    <sheet name="EquityPortfolio" sheetId="33" r:id="rId8"/>
    <sheet name="Stock_trades" sheetId="35" r:id="rId9"/>
    <sheet name="Option_Trades" sheetId="3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75" i="35" l="1" a="1"/>
  <c r="C2075" i="35" s="1"/>
  <c r="F2075" i="35"/>
  <c r="G2075" i="35"/>
  <c r="J2075" i="35"/>
  <c r="K2075" i="35" s="1"/>
  <c r="Q2075" i="35"/>
  <c r="C2074" i="35" a="1"/>
  <c r="C2074" i="35" s="1"/>
  <c r="F2074" i="35"/>
  <c r="G2074" i="35" s="1"/>
  <c r="J2074" i="35"/>
  <c r="K2074" i="35" s="1"/>
  <c r="Q2074" i="35"/>
  <c r="C2073" i="35" a="1"/>
  <c r="C2073" i="35" s="1"/>
  <c r="F2073" i="35"/>
  <c r="G2073" i="35" s="1"/>
  <c r="J2073" i="35"/>
  <c r="K2073" i="35" s="1"/>
  <c r="Q2073" i="35"/>
  <c r="C2072" i="35" a="1"/>
  <c r="C2072" i="35" s="1"/>
  <c r="F2072" i="35"/>
  <c r="G2072" i="35" s="1"/>
  <c r="J2072" i="35"/>
  <c r="K2072" i="35" s="1"/>
  <c r="Q2072" i="35"/>
  <c r="C2071" i="35" a="1"/>
  <c r="C2071" i="35" s="1"/>
  <c r="F2071" i="35"/>
  <c r="G2071" i="35" s="1"/>
  <c r="J2071" i="35"/>
  <c r="K2071" i="35" s="1"/>
  <c r="Q2071" i="35"/>
  <c r="C2070" i="35" a="1"/>
  <c r="C2070" i="35" s="1"/>
  <c r="F2070" i="35"/>
  <c r="G2070" i="35" s="1"/>
  <c r="J2070" i="35"/>
  <c r="K2070" i="35" s="1"/>
  <c r="Q2070" i="35"/>
  <c r="C2069" i="35" a="1"/>
  <c r="C2069" i="35" s="1"/>
  <c r="F2069" i="35"/>
  <c r="G2069" i="35" s="1"/>
  <c r="J2069" i="35"/>
  <c r="K2069" i="35" s="1"/>
  <c r="Q2069" i="35"/>
  <c r="C2068" i="35" a="1"/>
  <c r="C2068" i="35" s="1"/>
  <c r="F2068" i="35"/>
  <c r="G2068" i="35" s="1"/>
  <c r="I2068" i="35" s="1"/>
  <c r="J2068" i="35"/>
  <c r="K2068" i="35" s="1"/>
  <c r="M2068" i="35" s="1"/>
  <c r="Q2068" i="35"/>
  <c r="B615" i="33" a="1"/>
  <c r="B615" i="33" s="1"/>
  <c r="E615" i="33" a="1"/>
  <c r="E615" i="33" s="1"/>
  <c r="F615" i="33" a="1"/>
  <c r="F615" i="33" s="1"/>
  <c r="G615" i="33" a="1"/>
  <c r="G615" i="33" s="1"/>
  <c r="L615" i="33" a="1"/>
  <c r="L615" i="33" s="1"/>
  <c r="M615" i="33"/>
  <c r="N615" i="33"/>
  <c r="P615" i="33"/>
  <c r="C2067" i="35" a="1"/>
  <c r="C2067" i="35" s="1"/>
  <c r="F2067" i="35"/>
  <c r="G2067" i="35" s="1"/>
  <c r="J2067" i="35"/>
  <c r="K2067" i="35" s="1"/>
  <c r="Q2067" i="35"/>
  <c r="C2066" i="35" a="1"/>
  <c r="C2066" i="35" s="1"/>
  <c r="F2066" i="35"/>
  <c r="G2066" i="35" s="1"/>
  <c r="J2066" i="35"/>
  <c r="K2066" i="35" s="1"/>
  <c r="Q2066" i="35"/>
  <c r="C2065" i="35" a="1"/>
  <c r="C2065" i="35"/>
  <c r="F2065" i="35"/>
  <c r="G2065" i="35" s="1"/>
  <c r="J2065" i="35"/>
  <c r="K2065" i="35" s="1"/>
  <c r="Q2065" i="35"/>
  <c r="C2064" i="35" a="1"/>
  <c r="C2064" i="35" s="1"/>
  <c r="F2064" i="35"/>
  <c r="G2064" i="35" s="1"/>
  <c r="J2064" i="35"/>
  <c r="K2064" i="35" s="1"/>
  <c r="Q2064" i="35"/>
  <c r="C2063" i="35" a="1"/>
  <c r="C2063" i="35" s="1"/>
  <c r="F2063" i="35"/>
  <c r="G2063" i="35" s="1"/>
  <c r="I2063" i="35" s="1"/>
  <c r="H2063" i="35"/>
  <c r="J2063" i="35"/>
  <c r="K2063" i="35" s="1"/>
  <c r="M2063" i="35" s="1"/>
  <c r="Q2063" i="35"/>
  <c r="B614" i="33" a="1"/>
  <c r="B614" i="33" s="1"/>
  <c r="E614" i="33" a="1"/>
  <c r="E614" i="33" s="1"/>
  <c r="F614" i="33" a="1"/>
  <c r="F614" i="33" s="1"/>
  <c r="G614" i="33" a="1"/>
  <c r="G614" i="33" s="1"/>
  <c r="L614" i="33" a="1"/>
  <c r="L614" i="33" s="1"/>
  <c r="M614" i="33"/>
  <c r="N614" i="33"/>
  <c r="P614" i="33"/>
  <c r="C2062" i="35" a="1"/>
  <c r="C2062" i="35" s="1"/>
  <c r="F2062" i="35"/>
  <c r="G2062" i="35" s="1"/>
  <c r="J2062" i="35"/>
  <c r="K2062" i="35" s="1"/>
  <c r="Q2062" i="35"/>
  <c r="C2061" i="35" a="1"/>
  <c r="C2061" i="35" s="1"/>
  <c r="F2061" i="35"/>
  <c r="G2061" i="35" s="1"/>
  <c r="J2061" i="35"/>
  <c r="K2061" i="35" s="1"/>
  <c r="Q2061" i="35"/>
  <c r="C2060" i="35" a="1"/>
  <c r="C2060" i="35" s="1"/>
  <c r="F2060" i="35"/>
  <c r="G2060" i="35" s="1"/>
  <c r="J2060" i="35"/>
  <c r="K2060" i="35" s="1"/>
  <c r="Q2060" i="35"/>
  <c r="C2059" i="35" a="1"/>
  <c r="C2059" i="35" s="1"/>
  <c r="F2059" i="35"/>
  <c r="G2059" i="35" s="1"/>
  <c r="J2059" i="35"/>
  <c r="K2059" i="35" s="1"/>
  <c r="Q2059" i="35"/>
  <c r="C2058" i="35" a="1"/>
  <c r="C2058" i="35" s="1"/>
  <c r="F2058" i="35"/>
  <c r="G2058" i="35" s="1"/>
  <c r="J2058" i="35"/>
  <c r="K2058" i="35" s="1"/>
  <c r="Q2058" i="35"/>
  <c r="C2057" i="35" a="1"/>
  <c r="C2057" i="35" s="1"/>
  <c r="F2057" i="35"/>
  <c r="G2057" i="35" s="1"/>
  <c r="J2057" i="35"/>
  <c r="K2057" i="35" s="1"/>
  <c r="Q2057" i="35"/>
  <c r="B613" i="33" a="1"/>
  <c r="B613" i="33" s="1"/>
  <c r="E613" i="33" a="1"/>
  <c r="E613" i="33" s="1"/>
  <c r="F613" i="33" a="1"/>
  <c r="F613" i="33" s="1"/>
  <c r="G613" i="33" a="1"/>
  <c r="G613" i="33" s="1"/>
  <c r="L613" i="33" a="1"/>
  <c r="L613" i="33" s="1"/>
  <c r="M613" i="33"/>
  <c r="N613" i="33"/>
  <c r="P613" i="33"/>
  <c r="C2056" i="35" a="1"/>
  <c r="C2056" i="35" s="1"/>
  <c r="F2056" i="35"/>
  <c r="G2056" i="35" s="1"/>
  <c r="J2056" i="35"/>
  <c r="K2056" i="35" s="1"/>
  <c r="Q2056" i="35"/>
  <c r="C2055" i="35" a="1"/>
  <c r="C2055" i="35" s="1"/>
  <c r="F2055" i="35"/>
  <c r="G2055" i="35" s="1"/>
  <c r="J2055" i="35"/>
  <c r="K2055" i="35" s="1"/>
  <c r="Q2055" i="35"/>
  <c r="C2054" i="35" a="1"/>
  <c r="C2054" i="35" s="1"/>
  <c r="F2054" i="35"/>
  <c r="G2054" i="35" s="1"/>
  <c r="J2054" i="35"/>
  <c r="K2054" i="35" s="1"/>
  <c r="Q2054" i="35"/>
  <c r="C2053" i="35" a="1"/>
  <c r="C2053" i="35" s="1"/>
  <c r="F2053" i="35"/>
  <c r="G2053" i="35" s="1"/>
  <c r="J2053" i="35"/>
  <c r="K2053" i="35" s="1"/>
  <c r="Q2053" i="35"/>
  <c r="C2052" i="35" a="1"/>
  <c r="C2052" i="35" s="1"/>
  <c r="F2052" i="35"/>
  <c r="G2052" i="35" s="1"/>
  <c r="J2052" i="35"/>
  <c r="K2052" i="35" s="1"/>
  <c r="Q2052" i="35"/>
  <c r="C2051" i="35" a="1"/>
  <c r="C2051" i="35" s="1"/>
  <c r="F2051" i="35"/>
  <c r="G2051" i="35" s="1"/>
  <c r="J2051" i="35"/>
  <c r="K2051" i="35" s="1"/>
  <c r="Q2051" i="35"/>
  <c r="C2050" i="35" a="1"/>
  <c r="C2050" i="35" s="1"/>
  <c r="F2050" i="35"/>
  <c r="G2050" i="35" s="1"/>
  <c r="J2050" i="35"/>
  <c r="K2050" i="35" s="1"/>
  <c r="Q2050" i="35"/>
  <c r="C2049" i="35" a="1"/>
  <c r="C2049" i="35" s="1"/>
  <c r="F2049" i="35"/>
  <c r="G2049" i="35" s="1"/>
  <c r="I2049" i="35" s="1"/>
  <c r="J2049" i="35"/>
  <c r="K2049" i="35" s="1"/>
  <c r="M2049" i="35" s="1"/>
  <c r="L2049" i="35"/>
  <c r="Q2049" i="35"/>
  <c r="B612" i="33" a="1"/>
  <c r="B612" i="33" s="1"/>
  <c r="E612" i="33" a="1"/>
  <c r="E612" i="33" s="1"/>
  <c r="F612" i="33" a="1"/>
  <c r="F612" i="33" s="1"/>
  <c r="G612" i="33" a="1"/>
  <c r="G612" i="33" s="1"/>
  <c r="L612" i="33" a="1"/>
  <c r="L612" i="33" s="1"/>
  <c r="M612" i="33"/>
  <c r="N612" i="33"/>
  <c r="P612" i="33"/>
  <c r="C2048" i="35" a="1"/>
  <c r="C2048" i="35" s="1"/>
  <c r="F2048" i="35"/>
  <c r="G2048" i="35" s="1"/>
  <c r="J2048" i="35"/>
  <c r="K2048" i="35" s="1"/>
  <c r="Q2048" i="35"/>
  <c r="C2047" i="35" a="1"/>
  <c r="C2047" i="35" s="1"/>
  <c r="F2047" i="35"/>
  <c r="G2047" i="35" s="1"/>
  <c r="J2047" i="35"/>
  <c r="K2047" i="35" s="1"/>
  <c r="Q2047" i="35"/>
  <c r="C2046" i="35" a="1"/>
  <c r="C2046" i="35" s="1"/>
  <c r="F2046" i="35"/>
  <c r="G2046" i="35" s="1"/>
  <c r="J2046" i="35"/>
  <c r="K2046" i="35" s="1"/>
  <c r="Q2046" i="35"/>
  <c r="C2045" i="35" a="1"/>
  <c r="C2045" i="35" s="1"/>
  <c r="F2045" i="35"/>
  <c r="G2045" i="35" s="1"/>
  <c r="J2045" i="35"/>
  <c r="K2045" i="35" s="1"/>
  <c r="Q2045" i="35"/>
  <c r="C2044" i="35" a="1"/>
  <c r="C2044" i="35" s="1"/>
  <c r="F2044" i="35"/>
  <c r="G2044" i="35" s="1"/>
  <c r="J2044" i="35"/>
  <c r="K2044" i="35" s="1"/>
  <c r="Q2044" i="35"/>
  <c r="C2043" i="35" a="1"/>
  <c r="C2043" i="35" s="1"/>
  <c r="F2043" i="35"/>
  <c r="G2043" i="35" s="1"/>
  <c r="J2043" i="35"/>
  <c r="K2043" i="35" s="1"/>
  <c r="Q2043" i="35"/>
  <c r="C2042" i="35" a="1"/>
  <c r="C2042" i="35" s="1"/>
  <c r="F2042" i="35"/>
  <c r="G2042" i="35" s="1"/>
  <c r="J2042" i="35"/>
  <c r="K2042" i="35" s="1"/>
  <c r="Q2042" i="35"/>
  <c r="C2041" i="35" a="1"/>
  <c r="C2041" i="35" s="1"/>
  <c r="F2041" i="35"/>
  <c r="G2041" i="35" s="1"/>
  <c r="J2041" i="35"/>
  <c r="K2041" i="35" s="1"/>
  <c r="Q2041" i="35"/>
  <c r="C2040" i="35" a="1"/>
  <c r="C2040" i="35" s="1"/>
  <c r="F2040" i="35"/>
  <c r="G2040" i="35" s="1"/>
  <c r="J2040" i="35"/>
  <c r="K2040" i="35" s="1"/>
  <c r="Q2040" i="35"/>
  <c r="C2039" i="35" a="1"/>
  <c r="C2039" i="35" s="1"/>
  <c r="F2039" i="35"/>
  <c r="G2039" i="35" s="1"/>
  <c r="J2039" i="35"/>
  <c r="K2039" i="35" s="1"/>
  <c r="Q2039" i="35"/>
  <c r="C2038" i="35" a="1"/>
  <c r="C2038" i="35" s="1"/>
  <c r="F2038" i="35"/>
  <c r="G2038" i="35" s="1"/>
  <c r="I2038" i="35" s="1"/>
  <c r="J2038" i="35"/>
  <c r="K2038" i="35" s="1"/>
  <c r="M2038" i="35" s="1"/>
  <c r="Q2038" i="35"/>
  <c r="B611" i="33" a="1"/>
  <c r="B611" i="33"/>
  <c r="E611" i="33" a="1"/>
  <c r="E611" i="33" s="1"/>
  <c r="F611" i="33" a="1"/>
  <c r="F611" i="33" s="1"/>
  <c r="G611" i="33" a="1"/>
  <c r="G611" i="33" s="1"/>
  <c r="L611" i="33" a="1"/>
  <c r="L611" i="33" s="1"/>
  <c r="M611" i="33"/>
  <c r="N611" i="33"/>
  <c r="P611" i="33"/>
  <c r="C2037" i="35" a="1"/>
  <c r="C2037" i="35" s="1"/>
  <c r="F2037" i="35"/>
  <c r="G2037" i="35" s="1"/>
  <c r="J2037" i="35"/>
  <c r="K2037" i="35" s="1"/>
  <c r="Q2037" i="35"/>
  <c r="C2036" i="35" a="1"/>
  <c r="C2036" i="35" s="1"/>
  <c r="F2036" i="35"/>
  <c r="G2036" i="35" s="1"/>
  <c r="I2036" i="35" s="1"/>
  <c r="J2036" i="35"/>
  <c r="K2036" i="35" s="1"/>
  <c r="M2036" i="35" s="1"/>
  <c r="Q2036" i="35"/>
  <c r="C2035" i="35" a="1"/>
  <c r="C2035" i="35" s="1"/>
  <c r="F2035" i="35"/>
  <c r="G2035" i="35" s="1"/>
  <c r="J2035" i="35"/>
  <c r="K2035" i="35" s="1"/>
  <c r="Q2035" i="35"/>
  <c r="C2034" i="35" a="1"/>
  <c r="C2034" i="35" s="1"/>
  <c r="F2034" i="35"/>
  <c r="G2034" i="35" s="1"/>
  <c r="J2034" i="35"/>
  <c r="K2034" i="35" s="1"/>
  <c r="Q2034" i="35"/>
  <c r="C2033" i="35" a="1"/>
  <c r="C2033" i="35" s="1"/>
  <c r="F2033" i="35"/>
  <c r="G2033" i="35" s="1"/>
  <c r="J2033" i="35"/>
  <c r="K2033" i="35" s="1"/>
  <c r="Q2033" i="35"/>
  <c r="C2032" i="35" a="1"/>
  <c r="C2032" i="35" s="1"/>
  <c r="F2032" i="35"/>
  <c r="G2032" i="35" s="1"/>
  <c r="J2032" i="35"/>
  <c r="K2032" i="35" s="1"/>
  <c r="Q2032" i="35"/>
  <c r="C2031" i="35" a="1"/>
  <c r="C2031" i="35" s="1"/>
  <c r="F2031" i="35"/>
  <c r="G2031" i="35" s="1"/>
  <c r="J2031" i="35"/>
  <c r="K2031" i="35" s="1"/>
  <c r="Q2031" i="35"/>
  <c r="C2030" i="35" a="1"/>
  <c r="C2030" i="35" s="1"/>
  <c r="F2030" i="35"/>
  <c r="G2030" i="35" s="1"/>
  <c r="J2030" i="35"/>
  <c r="K2030" i="35" s="1"/>
  <c r="Q2030" i="35"/>
  <c r="C2029" i="35" a="1"/>
  <c r="C2029" i="35" s="1"/>
  <c r="F2029" i="35"/>
  <c r="G2029" i="35" s="1"/>
  <c r="J2029" i="35"/>
  <c r="K2029" i="35" s="1"/>
  <c r="Q2029" i="35"/>
  <c r="C2028" i="35" a="1"/>
  <c r="C2028" i="35" s="1"/>
  <c r="F2028" i="35"/>
  <c r="G2028" i="35" s="1"/>
  <c r="J2028" i="35"/>
  <c r="K2028" i="35" s="1"/>
  <c r="Q2028" i="35"/>
  <c r="C2027" i="35" a="1"/>
  <c r="C2027" i="35" s="1"/>
  <c r="F2027" i="35"/>
  <c r="G2027" i="35" s="1"/>
  <c r="J2027" i="35"/>
  <c r="K2027" i="35" s="1"/>
  <c r="Q2027" i="35"/>
  <c r="C2026" i="35" a="1"/>
  <c r="C2026" i="35" s="1"/>
  <c r="F2026" i="35"/>
  <c r="G2026" i="35" s="1"/>
  <c r="J2026" i="35"/>
  <c r="K2026" i="35" s="1"/>
  <c r="Q2026" i="35"/>
  <c r="C2025" i="35" a="1"/>
  <c r="C2025" i="35" s="1"/>
  <c r="F2025" i="35"/>
  <c r="G2025" i="35" s="1"/>
  <c r="J2025" i="35"/>
  <c r="K2025" i="35" s="1"/>
  <c r="Q2025" i="35"/>
  <c r="C2024" i="35" a="1"/>
  <c r="C2024" i="35" s="1"/>
  <c r="F2024" i="35"/>
  <c r="G2024" i="35" s="1"/>
  <c r="J2024" i="35"/>
  <c r="K2024" i="35" s="1"/>
  <c r="Q2024" i="35"/>
  <c r="C2023" i="35" a="1"/>
  <c r="C2023" i="35" s="1"/>
  <c r="F2023" i="35"/>
  <c r="G2023" i="35" s="1"/>
  <c r="J2023" i="35"/>
  <c r="K2023" i="35" s="1"/>
  <c r="Q2023" i="35"/>
  <c r="C2022" i="35" a="1"/>
  <c r="C2022" i="35" s="1"/>
  <c r="F2022" i="35"/>
  <c r="G2022" i="35" s="1"/>
  <c r="J2022" i="35"/>
  <c r="K2022" i="35" s="1"/>
  <c r="Q2022" i="35"/>
  <c r="C2021" i="35" a="1"/>
  <c r="C2021" i="35" s="1"/>
  <c r="F2021" i="35"/>
  <c r="G2021" i="35" s="1"/>
  <c r="J2021" i="35"/>
  <c r="K2021" i="35" s="1"/>
  <c r="Q2021" i="35"/>
  <c r="C2020" i="35" a="1"/>
  <c r="C2020" i="35" s="1"/>
  <c r="F2020" i="35"/>
  <c r="G2020" i="35" s="1"/>
  <c r="J2020" i="35"/>
  <c r="K2020" i="35" s="1"/>
  <c r="Q2020" i="35"/>
  <c r="C2019" i="35" a="1"/>
  <c r="C2019" i="35"/>
  <c r="F2019" i="35"/>
  <c r="G2019" i="35" s="1"/>
  <c r="J2019" i="35"/>
  <c r="K2019" i="35" s="1"/>
  <c r="Q2019" i="35"/>
  <c r="C2018" i="35" a="1"/>
  <c r="C2018" i="35" s="1"/>
  <c r="F2018" i="35"/>
  <c r="G2018" i="35" s="1"/>
  <c r="J2018" i="35"/>
  <c r="K2018" i="35" s="1"/>
  <c r="Q2018" i="35"/>
  <c r="C2017" i="35" a="1"/>
  <c r="C2017" i="35" s="1"/>
  <c r="F2017" i="35"/>
  <c r="G2017" i="35" s="1"/>
  <c r="J2017" i="35"/>
  <c r="K2017" i="35" s="1"/>
  <c r="Q2017" i="35"/>
  <c r="C2016" i="35" a="1"/>
  <c r="C2016" i="35" s="1"/>
  <c r="F2016" i="35"/>
  <c r="G2016" i="35" s="1"/>
  <c r="J2016" i="35"/>
  <c r="K2016" i="35" s="1"/>
  <c r="Q2016" i="35"/>
  <c r="C2015" i="35" a="1"/>
  <c r="C2015" i="35" s="1"/>
  <c r="F2015" i="35"/>
  <c r="G2015" i="35" s="1"/>
  <c r="J2015" i="35"/>
  <c r="K2015" i="35" s="1"/>
  <c r="Q2015" i="35"/>
  <c r="C2014" i="35" a="1"/>
  <c r="C2014" i="35" s="1"/>
  <c r="F2014" i="35"/>
  <c r="G2014" i="35" s="1"/>
  <c r="J2014" i="35"/>
  <c r="K2014" i="35" s="1"/>
  <c r="Q2014" i="35"/>
  <c r="C2013" i="35" a="1"/>
  <c r="C2013" i="35" s="1"/>
  <c r="F2013" i="35"/>
  <c r="G2013" i="35" s="1"/>
  <c r="J2013" i="35"/>
  <c r="K2013" i="35" s="1"/>
  <c r="Q2013" i="35"/>
  <c r="C2012" i="35" a="1"/>
  <c r="C2012" i="35" s="1"/>
  <c r="F2012" i="35"/>
  <c r="G2012" i="35" s="1"/>
  <c r="J2012" i="35"/>
  <c r="K2012" i="35" s="1"/>
  <c r="Q2012" i="35"/>
  <c r="C2011" i="35" a="1"/>
  <c r="C2011" i="35" s="1"/>
  <c r="F2011" i="35"/>
  <c r="G2011" i="35" s="1"/>
  <c r="J2011" i="35"/>
  <c r="K2011" i="35" s="1"/>
  <c r="Q2011" i="35"/>
  <c r="B610" i="33" a="1"/>
  <c r="B610" i="33" s="1"/>
  <c r="E610" i="33" a="1"/>
  <c r="E610" i="33" s="1"/>
  <c r="F610" i="33" a="1"/>
  <c r="F610" i="33" s="1"/>
  <c r="G610" i="33" a="1"/>
  <c r="G610" i="33" s="1"/>
  <c r="L610" i="33" a="1"/>
  <c r="L610" i="33" s="1"/>
  <c r="M610" i="33"/>
  <c r="N610" i="33"/>
  <c r="P610" i="33"/>
  <c r="C2010" i="35" a="1"/>
  <c r="C2010" i="35" s="1"/>
  <c r="F2010" i="35"/>
  <c r="G2010" i="35" s="1"/>
  <c r="J2010" i="35"/>
  <c r="K2010" i="35" s="1"/>
  <c r="Q2010" i="35"/>
  <c r="B609" i="33" a="1"/>
  <c r="B609" i="33" s="1"/>
  <c r="E609" i="33" a="1"/>
  <c r="E609" i="33" s="1"/>
  <c r="F609" i="33" a="1"/>
  <c r="F609" i="33" s="1"/>
  <c r="G609" i="33" a="1"/>
  <c r="G609" i="33" s="1"/>
  <c r="L609" i="33" a="1"/>
  <c r="L609" i="33" s="1"/>
  <c r="M609" i="33"/>
  <c r="N609" i="33"/>
  <c r="P609" i="33"/>
  <c r="C2009" i="35" a="1"/>
  <c r="C2009" i="35" s="1"/>
  <c r="F2009" i="35"/>
  <c r="G2009" i="35" s="1"/>
  <c r="J2009" i="35"/>
  <c r="K2009" i="35" s="1"/>
  <c r="Q2009" i="35"/>
  <c r="C2008" i="35" a="1"/>
  <c r="C2008" i="35" s="1"/>
  <c r="F2008" i="35"/>
  <c r="G2008" i="35" s="1"/>
  <c r="J2008" i="35"/>
  <c r="K2008" i="35" s="1"/>
  <c r="Q2008" i="35"/>
  <c r="C2007" i="35" a="1"/>
  <c r="C2007" i="35" s="1"/>
  <c r="F2007" i="35"/>
  <c r="G2007" i="35" s="1"/>
  <c r="J2007" i="35"/>
  <c r="K2007" i="35" s="1"/>
  <c r="Q2007" i="35"/>
  <c r="C2006" i="35" a="1"/>
  <c r="C2006" i="35" s="1"/>
  <c r="F2006" i="35"/>
  <c r="G2006" i="35" s="1"/>
  <c r="I2006" i="35" s="1"/>
  <c r="J2006" i="35"/>
  <c r="K2006" i="35" s="1"/>
  <c r="M2006" i="35" s="1"/>
  <c r="Q2006" i="35"/>
  <c r="B608" i="33" a="1"/>
  <c r="B608" i="33" s="1"/>
  <c r="E608" i="33" a="1"/>
  <c r="E608" i="33" s="1"/>
  <c r="F608" i="33" a="1"/>
  <c r="F608" i="33" s="1"/>
  <c r="G608" i="33" a="1"/>
  <c r="G608" i="33" s="1"/>
  <c r="L608" i="33" a="1"/>
  <c r="L608" i="33" s="1"/>
  <c r="M608" i="33"/>
  <c r="N608" i="33"/>
  <c r="P608" i="33"/>
  <c r="C2005" i="35" a="1"/>
  <c r="C2005" i="35" s="1"/>
  <c r="F2005" i="35"/>
  <c r="G2005" i="35" s="1"/>
  <c r="J2005" i="35"/>
  <c r="K2005" i="35" s="1"/>
  <c r="Q2005" i="35"/>
  <c r="C2004" i="35" a="1"/>
  <c r="C2004" i="35" s="1"/>
  <c r="F2004" i="35"/>
  <c r="G2004" i="35" s="1"/>
  <c r="J2004" i="35"/>
  <c r="K2004" i="35" s="1"/>
  <c r="Q2004" i="35"/>
  <c r="C2003" i="35" a="1"/>
  <c r="C2003" i="35" s="1"/>
  <c r="F2003" i="35"/>
  <c r="G2003" i="35" s="1"/>
  <c r="I2003" i="35" s="1"/>
  <c r="J2003" i="35"/>
  <c r="K2003" i="35" s="1"/>
  <c r="M2003" i="35" s="1"/>
  <c r="Q2003" i="35"/>
  <c r="B607" i="33" a="1"/>
  <c r="B607" i="33" s="1"/>
  <c r="E607" i="33" a="1"/>
  <c r="E607" i="33" s="1"/>
  <c r="F607" i="33" a="1"/>
  <c r="F607" i="33" s="1"/>
  <c r="G607" i="33" a="1"/>
  <c r="G607" i="33" s="1"/>
  <c r="L607" i="33" a="1"/>
  <c r="L607" i="33" s="1"/>
  <c r="M607" i="33"/>
  <c r="N607" i="33"/>
  <c r="P607" i="33"/>
  <c r="C2002" i="35" a="1"/>
  <c r="C2002" i="35" s="1"/>
  <c r="F2002" i="35"/>
  <c r="G2002" i="35" s="1"/>
  <c r="J2002" i="35"/>
  <c r="K2002" i="35" s="1"/>
  <c r="Q2002" i="35"/>
  <c r="C2001" i="35" a="1"/>
  <c r="C2001" i="35" s="1"/>
  <c r="F2001" i="35"/>
  <c r="G2001" i="35" s="1"/>
  <c r="J2001" i="35"/>
  <c r="K2001" i="35" s="1"/>
  <c r="Q2001" i="35"/>
  <c r="C2000" i="35" a="1"/>
  <c r="C2000" i="35" s="1"/>
  <c r="F2000" i="35"/>
  <c r="G2000" i="35" s="1"/>
  <c r="J2000" i="35"/>
  <c r="K2000" i="35" s="1"/>
  <c r="Q2000" i="35"/>
  <c r="C1999" i="35" a="1"/>
  <c r="C1999" i="35" s="1"/>
  <c r="F1999" i="35"/>
  <c r="G1999" i="35" s="1"/>
  <c r="J1999" i="35"/>
  <c r="K1999" i="35" s="1"/>
  <c r="Q1999" i="35"/>
  <c r="C1998" i="35" a="1"/>
  <c r="C1998" i="35" s="1"/>
  <c r="F1998" i="35"/>
  <c r="G1998" i="35" s="1"/>
  <c r="J1998" i="35"/>
  <c r="K1998" i="35" s="1"/>
  <c r="Q1998" i="35"/>
  <c r="C1997" i="35" a="1"/>
  <c r="C1997" i="35" s="1"/>
  <c r="F1997" i="35"/>
  <c r="G1997" i="35" s="1"/>
  <c r="I1997" i="35" s="1"/>
  <c r="J1997" i="35"/>
  <c r="K1997" i="35" s="1"/>
  <c r="M1997" i="35" s="1"/>
  <c r="Q1997" i="35"/>
  <c r="B606" i="33" a="1"/>
  <c r="B606" i="33" s="1"/>
  <c r="E606" i="33" a="1"/>
  <c r="E606" i="33" s="1"/>
  <c r="F606" i="33" a="1"/>
  <c r="F606" i="33" s="1"/>
  <c r="G606" i="33" a="1"/>
  <c r="G606" i="33" s="1"/>
  <c r="L606" i="33" a="1"/>
  <c r="L606" i="33" s="1"/>
  <c r="M606" i="33"/>
  <c r="N606" i="33"/>
  <c r="P606" i="33"/>
  <c r="C1996" i="35" a="1"/>
  <c r="C1996" i="35" s="1"/>
  <c r="F1996" i="35"/>
  <c r="G1996" i="35" s="1"/>
  <c r="I1996" i="35" s="1"/>
  <c r="J1996" i="35"/>
  <c r="K1996" i="35" s="1"/>
  <c r="M1996" i="35" s="1"/>
  <c r="Q1996" i="35"/>
  <c r="B605" i="33" a="1"/>
  <c r="B605" i="33" s="1"/>
  <c r="E605" i="33" a="1"/>
  <c r="E605" i="33" s="1"/>
  <c r="F605" i="33" a="1"/>
  <c r="F605" i="33" s="1"/>
  <c r="G605" i="33" a="1"/>
  <c r="G605" i="33" s="1"/>
  <c r="L605" i="33" a="1"/>
  <c r="L605" i="33" s="1"/>
  <c r="M605" i="33"/>
  <c r="N605" i="33"/>
  <c r="F50" i="34" s="1"/>
  <c r="P605" i="33"/>
  <c r="C1995" i="35" a="1"/>
  <c r="C1995" i="35" s="1"/>
  <c r="F1995" i="35"/>
  <c r="G1995" i="35" s="1"/>
  <c r="J1995" i="35"/>
  <c r="K1995" i="35" s="1"/>
  <c r="Q1995" i="35"/>
  <c r="C1994" i="35" a="1"/>
  <c r="C1994" i="35" s="1"/>
  <c r="F1994" i="35"/>
  <c r="G1994" i="35" s="1"/>
  <c r="J1994" i="35"/>
  <c r="K1994" i="35" s="1"/>
  <c r="Q1994" i="35"/>
  <c r="C1993" i="35" a="1"/>
  <c r="C1993" i="35" s="1"/>
  <c r="F1993" i="35"/>
  <c r="G1993" i="35" s="1"/>
  <c r="I1993" i="35" s="1"/>
  <c r="J1993" i="35"/>
  <c r="K1993" i="35" s="1"/>
  <c r="M1993" i="35" s="1"/>
  <c r="Q1993" i="35"/>
  <c r="B604" i="33" a="1"/>
  <c r="B604" i="33" s="1"/>
  <c r="E604" i="33" a="1"/>
  <c r="E604" i="33" s="1"/>
  <c r="F604" i="33" a="1"/>
  <c r="F604" i="33" s="1"/>
  <c r="G604" i="33" a="1"/>
  <c r="G604" i="33" s="1"/>
  <c r="L604" i="33" a="1"/>
  <c r="L604" i="33" s="1"/>
  <c r="M604" i="33"/>
  <c r="N604" i="33"/>
  <c r="P604" i="33"/>
  <c r="C1992" i="35" a="1"/>
  <c r="C1992" i="35" s="1"/>
  <c r="F1992" i="35"/>
  <c r="G1992" i="35" s="1"/>
  <c r="J1992" i="35"/>
  <c r="K1992" i="35" s="1"/>
  <c r="Q1992" i="35"/>
  <c r="C1991" i="35" a="1"/>
  <c r="C1991" i="35" s="1"/>
  <c r="F1991" i="35"/>
  <c r="G1991" i="35" s="1"/>
  <c r="J1991" i="35"/>
  <c r="K1991" i="35" s="1"/>
  <c r="Q1991" i="35"/>
  <c r="C1990" i="35" a="1"/>
  <c r="C1990" i="35" s="1"/>
  <c r="F1990" i="35"/>
  <c r="G1990" i="35" s="1"/>
  <c r="J1990" i="35"/>
  <c r="K1990" i="35" s="1"/>
  <c r="Q1990" i="35"/>
  <c r="B603" i="33" a="1"/>
  <c r="B603" i="33" s="1"/>
  <c r="E603" i="33" a="1"/>
  <c r="E603" i="33" s="1"/>
  <c r="F603" i="33" a="1"/>
  <c r="F603" i="33" s="1"/>
  <c r="G603" i="33" a="1"/>
  <c r="G603" i="33" s="1"/>
  <c r="L603" i="33" a="1"/>
  <c r="L603" i="33" s="1"/>
  <c r="M603" i="33"/>
  <c r="N603" i="33"/>
  <c r="P603" i="33"/>
  <c r="C1989" i="35" a="1"/>
  <c r="C1989" i="35" s="1"/>
  <c r="F1989" i="35"/>
  <c r="G1989" i="35" s="1"/>
  <c r="J1989" i="35"/>
  <c r="K1989" i="35" s="1"/>
  <c r="Q1989" i="35"/>
  <c r="C1988" i="35" a="1"/>
  <c r="C1988" i="35" s="1"/>
  <c r="F1988" i="35"/>
  <c r="G1988" i="35" s="1"/>
  <c r="J1988" i="35"/>
  <c r="K1988" i="35" s="1"/>
  <c r="Q1988" i="35"/>
  <c r="C1987" i="35" a="1"/>
  <c r="C1987" i="35" s="1"/>
  <c r="F1987" i="35"/>
  <c r="G1987" i="35" s="1"/>
  <c r="J1987" i="35"/>
  <c r="K1987" i="35" s="1"/>
  <c r="Q1987" i="35"/>
  <c r="C1986" i="35" a="1"/>
  <c r="C1986" i="35" s="1"/>
  <c r="F1986" i="35"/>
  <c r="G1986" i="35" s="1"/>
  <c r="J1986" i="35"/>
  <c r="K1986" i="35" s="1"/>
  <c r="Q1986" i="35"/>
  <c r="C1985" i="35" a="1"/>
  <c r="C1985" i="35" s="1"/>
  <c r="F1985" i="35"/>
  <c r="G1985" i="35" s="1"/>
  <c r="J1985" i="35"/>
  <c r="K1985" i="35" s="1"/>
  <c r="Q1985" i="35"/>
  <c r="C1984" i="35" a="1"/>
  <c r="C1984" i="35" s="1"/>
  <c r="F1984" i="35"/>
  <c r="G1984" i="35" s="1"/>
  <c r="J1984" i="35"/>
  <c r="K1984" i="35" s="1"/>
  <c r="Q1984" i="35"/>
  <c r="C1983" i="35" a="1"/>
  <c r="C1983" i="35" s="1"/>
  <c r="F1983" i="35"/>
  <c r="G1983" i="35" s="1"/>
  <c r="J1983" i="35"/>
  <c r="K1983" i="35" s="1"/>
  <c r="Q1983" i="35"/>
  <c r="H453" i="6"/>
  <c r="J453" i="6" s="1"/>
  <c r="I453" i="6"/>
  <c r="K453" i="6" s="1"/>
  <c r="U453" i="6"/>
  <c r="C117" i="35" a="1"/>
  <c r="C117" i="35" s="1"/>
  <c r="F117" i="35"/>
  <c r="G117" i="35" s="1"/>
  <c r="J117" i="35"/>
  <c r="K117" i="35" s="1"/>
  <c r="Q117" i="35"/>
  <c r="C254" i="35" a="1"/>
  <c r="C254" i="35" s="1"/>
  <c r="F254" i="35"/>
  <c r="G254" i="35" s="1"/>
  <c r="J254" i="35"/>
  <c r="K254" i="35" s="1"/>
  <c r="Q254" i="35"/>
  <c r="C558" i="35" a="1"/>
  <c r="C558" i="35" s="1"/>
  <c r="F558" i="35"/>
  <c r="G558" i="35" s="1"/>
  <c r="J558" i="35"/>
  <c r="K558" i="35" s="1"/>
  <c r="Q558" i="35"/>
  <c r="F1800" i="35"/>
  <c r="G1800" i="35" s="1"/>
  <c r="C1982" i="35" a="1"/>
  <c r="C1982" i="35" s="1"/>
  <c r="F1982" i="35"/>
  <c r="G1982" i="35" s="1"/>
  <c r="J1982" i="35"/>
  <c r="K1982" i="35" s="1"/>
  <c r="Q1982" i="35"/>
  <c r="C1981" i="35" a="1"/>
  <c r="C1981" i="35" s="1"/>
  <c r="F1981" i="35"/>
  <c r="G1981" i="35" s="1"/>
  <c r="J1981" i="35"/>
  <c r="K1981" i="35" s="1"/>
  <c r="Q1981" i="35"/>
  <c r="C1980" i="35" a="1"/>
  <c r="C1980" i="35" s="1"/>
  <c r="F1980" i="35"/>
  <c r="G1980" i="35" s="1"/>
  <c r="J1980" i="35"/>
  <c r="K1980" i="35" s="1"/>
  <c r="Q1980" i="35"/>
  <c r="C1979" i="35" a="1"/>
  <c r="C1979" i="35" s="1"/>
  <c r="F1979" i="35"/>
  <c r="G1979" i="35" s="1"/>
  <c r="J1979" i="35"/>
  <c r="K1979" i="35" s="1"/>
  <c r="Q1979" i="35"/>
  <c r="C1978" i="35" a="1"/>
  <c r="C1978" i="35" s="1"/>
  <c r="F1978" i="35"/>
  <c r="G1978" i="35" s="1"/>
  <c r="J1978" i="35"/>
  <c r="K1978" i="35" s="1"/>
  <c r="Q1978" i="35"/>
  <c r="C1977" i="35" a="1"/>
  <c r="C1977" i="35" s="1"/>
  <c r="F1977" i="35"/>
  <c r="G1977" i="35" s="1"/>
  <c r="J1977" i="35"/>
  <c r="K1977" i="35" s="1"/>
  <c r="Q1977" i="35"/>
  <c r="C1976" i="35" a="1"/>
  <c r="C1976" i="35" s="1"/>
  <c r="F1976" i="35"/>
  <c r="G1976" i="35" s="1"/>
  <c r="I1981" i="35" s="1"/>
  <c r="J1976" i="35"/>
  <c r="K1976" i="35" s="1"/>
  <c r="Q1976" i="35"/>
  <c r="C1975" i="35" a="1"/>
  <c r="C1975" i="35" s="1"/>
  <c r="F1975" i="35"/>
  <c r="G1975" i="35" s="1"/>
  <c r="J1975" i="35"/>
  <c r="K1975" i="35" s="1"/>
  <c r="Q1975" i="35"/>
  <c r="C1974" i="35" a="1"/>
  <c r="C1974" i="35" s="1"/>
  <c r="F1974" i="35"/>
  <c r="G1974" i="35" s="1"/>
  <c r="J1974" i="35"/>
  <c r="K1974" i="35" s="1"/>
  <c r="Q1974" i="35"/>
  <c r="C1973" i="35" a="1"/>
  <c r="C1973" i="35" s="1"/>
  <c r="F1973" i="35"/>
  <c r="G1973" i="35" s="1"/>
  <c r="J1973" i="35"/>
  <c r="K1973" i="35" s="1"/>
  <c r="Q1973" i="35"/>
  <c r="C1972" i="35" a="1"/>
  <c r="C1972" i="35" s="1"/>
  <c r="F1972" i="35"/>
  <c r="G1972" i="35" s="1"/>
  <c r="J1972" i="35"/>
  <c r="K1972" i="35" s="1"/>
  <c r="Q1972" i="35"/>
  <c r="C1971" i="35" a="1"/>
  <c r="C1971" i="35" s="1"/>
  <c r="F1971" i="35"/>
  <c r="G1971" i="35" s="1"/>
  <c r="J1971" i="35"/>
  <c r="K1971" i="35" s="1"/>
  <c r="Q1971" i="35"/>
  <c r="C1970" i="35" a="1"/>
  <c r="C1970" i="35" s="1"/>
  <c r="F1970" i="35"/>
  <c r="G1970" i="35" s="1"/>
  <c r="J1970" i="35"/>
  <c r="K1970" i="35" s="1"/>
  <c r="Q1970" i="35"/>
  <c r="C1969" i="35" a="1"/>
  <c r="C1969" i="35" s="1"/>
  <c r="F1969" i="35"/>
  <c r="G1969" i="35" s="1"/>
  <c r="J1969" i="35"/>
  <c r="K1969" i="35" s="1"/>
  <c r="Q1969" i="35"/>
  <c r="C1968" i="35" a="1"/>
  <c r="C1968" i="35" s="1"/>
  <c r="F1968" i="35"/>
  <c r="G1968" i="35" s="1"/>
  <c r="J1968" i="35"/>
  <c r="K1968" i="35" s="1"/>
  <c r="Q1968" i="35"/>
  <c r="C1967" i="35" a="1"/>
  <c r="C1967" i="35" s="1"/>
  <c r="F1967" i="35"/>
  <c r="G1967" i="35" s="1"/>
  <c r="J1967" i="35"/>
  <c r="K1967" i="35" s="1"/>
  <c r="Q1967" i="35"/>
  <c r="C1966" i="35" a="1"/>
  <c r="C1966" i="35" s="1"/>
  <c r="F1966" i="35"/>
  <c r="G1966" i="35" s="1"/>
  <c r="J1966" i="35"/>
  <c r="K1966" i="35" s="1"/>
  <c r="Q1966" i="35"/>
  <c r="B64" i="33" a="1"/>
  <c r="B64" i="33" s="1"/>
  <c r="E64" i="33" a="1"/>
  <c r="E64" i="33" s="1"/>
  <c r="F64" i="33" a="1"/>
  <c r="F64" i="33" s="1"/>
  <c r="G64" i="33" a="1"/>
  <c r="G64" i="33" s="1"/>
  <c r="L64" i="33" a="1"/>
  <c r="L64" i="33" s="1"/>
  <c r="M64" i="33"/>
  <c r="N64" i="33"/>
  <c r="P64" i="33"/>
  <c r="C1965" i="35" a="1"/>
  <c r="C1965" i="35" s="1"/>
  <c r="F1965" i="35"/>
  <c r="G1965" i="35" s="1"/>
  <c r="J1965" i="35"/>
  <c r="K1965" i="35" s="1"/>
  <c r="Q1965" i="35"/>
  <c r="C1964" i="35" a="1"/>
  <c r="C1964" i="35" s="1"/>
  <c r="F1964" i="35"/>
  <c r="G1964" i="35" s="1"/>
  <c r="J1964" i="35"/>
  <c r="K1964" i="35" s="1"/>
  <c r="Q1964" i="35"/>
  <c r="C1963" i="35" a="1"/>
  <c r="C1963" i="35" s="1"/>
  <c r="F1963" i="35"/>
  <c r="G1963" i="35" s="1"/>
  <c r="J1963" i="35"/>
  <c r="K1963" i="35" s="1"/>
  <c r="Q1963" i="35"/>
  <c r="C1962" i="35" a="1"/>
  <c r="C1962" i="35" s="1"/>
  <c r="F1962" i="35"/>
  <c r="G1962" i="35" s="1"/>
  <c r="J1962" i="35"/>
  <c r="K1962" i="35" s="1"/>
  <c r="Q1962" i="35"/>
  <c r="C1961" i="35" a="1"/>
  <c r="C1961" i="35" s="1"/>
  <c r="F1961" i="35"/>
  <c r="G1961" i="35" s="1"/>
  <c r="J1961" i="35"/>
  <c r="K1961" i="35" s="1"/>
  <c r="Q1961" i="35"/>
  <c r="C1960" i="35" a="1"/>
  <c r="C1960" i="35" s="1"/>
  <c r="F1960" i="35"/>
  <c r="G1960" i="35" s="1"/>
  <c r="J1960" i="35"/>
  <c r="K1960" i="35" s="1"/>
  <c r="Q1960" i="35"/>
  <c r="B49" i="33" a="1"/>
  <c r="B49" i="33" s="1"/>
  <c r="E49" i="33" a="1"/>
  <c r="E49" i="33" s="1"/>
  <c r="F49" i="33" a="1"/>
  <c r="F49" i="33" s="1"/>
  <c r="G49" i="33" a="1"/>
  <c r="G49" i="33" s="1"/>
  <c r="L49" i="33" a="1"/>
  <c r="L49" i="33" s="1"/>
  <c r="M49" i="33"/>
  <c r="N49" i="33"/>
  <c r="P49" i="33"/>
  <c r="C1959" i="35" a="1"/>
  <c r="C1959" i="35" s="1"/>
  <c r="F1959" i="35"/>
  <c r="G1959" i="35" s="1"/>
  <c r="J1959" i="35"/>
  <c r="K1959" i="35" s="1"/>
  <c r="Q1959" i="35"/>
  <c r="C1958" i="35" a="1"/>
  <c r="C1958" i="35" s="1"/>
  <c r="F1958" i="35"/>
  <c r="G1958" i="35" s="1"/>
  <c r="J1958" i="35"/>
  <c r="K1958" i="35" s="1"/>
  <c r="Q1958" i="35"/>
  <c r="C1957" i="35" a="1"/>
  <c r="C1957" i="35" s="1"/>
  <c r="F1957" i="35"/>
  <c r="G1957" i="35" s="1"/>
  <c r="J1957" i="35"/>
  <c r="K1957" i="35" s="1"/>
  <c r="Q1957" i="35"/>
  <c r="C1956" i="35" a="1"/>
  <c r="C1956" i="35" s="1"/>
  <c r="F1956" i="35"/>
  <c r="G1956" i="35" s="1"/>
  <c r="J1956" i="35"/>
  <c r="K1956" i="35" s="1"/>
  <c r="Q1956" i="35"/>
  <c r="C1955" i="35" a="1"/>
  <c r="C1955" i="35" s="1"/>
  <c r="F1955" i="35"/>
  <c r="G1955" i="35" s="1"/>
  <c r="J1955" i="35"/>
  <c r="K1955" i="35" s="1"/>
  <c r="Q1955" i="35"/>
  <c r="C1954" i="35" a="1"/>
  <c r="C1954" i="35" s="1"/>
  <c r="F1954" i="35"/>
  <c r="G1954" i="35" s="1"/>
  <c r="J1954" i="35"/>
  <c r="K1954" i="35" s="1"/>
  <c r="Q1954" i="35"/>
  <c r="C1953" i="35" a="1"/>
  <c r="C1953" i="35" s="1"/>
  <c r="F1953" i="35"/>
  <c r="G1953" i="35" s="1"/>
  <c r="J1953" i="35"/>
  <c r="K1953" i="35" s="1"/>
  <c r="Q1953" i="35"/>
  <c r="C1952" i="35" a="1"/>
  <c r="C1952" i="35" s="1"/>
  <c r="F1952" i="35"/>
  <c r="G1952" i="35" s="1"/>
  <c r="J1952" i="35"/>
  <c r="K1952" i="35" s="1"/>
  <c r="Q1952" i="35"/>
  <c r="C1951" i="35" a="1"/>
  <c r="C1951" i="35" s="1"/>
  <c r="F1951" i="35"/>
  <c r="G1951" i="35" s="1"/>
  <c r="J1951" i="35"/>
  <c r="K1951" i="35" s="1"/>
  <c r="Q1951" i="35"/>
  <c r="C1950" i="35" a="1"/>
  <c r="C1950" i="35" s="1"/>
  <c r="F1950" i="35"/>
  <c r="G1950" i="35" s="1"/>
  <c r="J1950" i="35"/>
  <c r="K1950" i="35" s="1"/>
  <c r="Q1950" i="35"/>
  <c r="C1949" i="35" a="1"/>
  <c r="C1949" i="35" s="1"/>
  <c r="F1949" i="35"/>
  <c r="G1949" i="35" s="1"/>
  <c r="J1949" i="35"/>
  <c r="K1949" i="35" s="1"/>
  <c r="Q1949" i="35"/>
  <c r="C1948" i="35" a="1"/>
  <c r="C1948" i="35" s="1"/>
  <c r="F1948" i="35"/>
  <c r="G1948" i="35" s="1"/>
  <c r="J1948" i="35"/>
  <c r="K1948" i="35" s="1"/>
  <c r="Q1948" i="35"/>
  <c r="C1947" i="35" a="1"/>
  <c r="C1947" i="35" s="1"/>
  <c r="F1947" i="35"/>
  <c r="G1947" i="35" s="1"/>
  <c r="J1947" i="35"/>
  <c r="K1947" i="35" s="1"/>
  <c r="Q1947" i="35"/>
  <c r="C1946" i="35" a="1"/>
  <c r="C1946" i="35" s="1"/>
  <c r="F1946" i="35"/>
  <c r="G1946" i="35" s="1"/>
  <c r="J1946" i="35"/>
  <c r="K1946" i="35" s="1"/>
  <c r="Q1946" i="35"/>
  <c r="C1945" i="35" a="1"/>
  <c r="C1945" i="35" s="1"/>
  <c r="F1945" i="35"/>
  <c r="G1945" i="35" s="1"/>
  <c r="J1945" i="35"/>
  <c r="K1945" i="35" s="1"/>
  <c r="Q1945" i="35"/>
  <c r="C1944" i="35" a="1"/>
  <c r="C1944" i="35" s="1"/>
  <c r="F1944" i="35"/>
  <c r="G1944" i="35" s="1"/>
  <c r="J1944" i="35"/>
  <c r="K1944" i="35" s="1"/>
  <c r="Q1944" i="35"/>
  <c r="C1943" i="35" a="1"/>
  <c r="C1943" i="35" s="1"/>
  <c r="F1943" i="35"/>
  <c r="G1943" i="35" s="1"/>
  <c r="J1943" i="35"/>
  <c r="K1943" i="35" s="1"/>
  <c r="Q1943" i="35"/>
  <c r="C1942" i="35" a="1"/>
  <c r="C1942" i="35" s="1"/>
  <c r="F1942" i="35"/>
  <c r="G1942" i="35" s="1"/>
  <c r="J1942" i="35"/>
  <c r="K1942" i="35" s="1"/>
  <c r="Q1942" i="35"/>
  <c r="C1941" i="35" a="1"/>
  <c r="C1941" i="35" s="1"/>
  <c r="F1941" i="35"/>
  <c r="G1941" i="35" s="1"/>
  <c r="J1941" i="35"/>
  <c r="K1941" i="35" s="1"/>
  <c r="Q1941" i="35"/>
  <c r="C1940" i="35" a="1"/>
  <c r="C1940" i="35" s="1"/>
  <c r="F1940" i="35"/>
  <c r="G1940" i="35" s="1"/>
  <c r="J1940" i="35"/>
  <c r="K1940" i="35" s="1"/>
  <c r="Q1940" i="35"/>
  <c r="C1939" i="35" a="1"/>
  <c r="C1939" i="35" s="1"/>
  <c r="F1939" i="35"/>
  <c r="G1939" i="35" s="1"/>
  <c r="J1939" i="35"/>
  <c r="K1939" i="35" s="1"/>
  <c r="Q1939" i="35"/>
  <c r="C1938" i="35" a="1"/>
  <c r="C1938" i="35" s="1"/>
  <c r="F1938" i="35"/>
  <c r="G1938" i="35" s="1"/>
  <c r="J1938" i="35"/>
  <c r="K1938" i="35" s="1"/>
  <c r="Q1938" i="35"/>
  <c r="C1937" i="35" a="1"/>
  <c r="C1937" i="35" s="1"/>
  <c r="F1937" i="35"/>
  <c r="G1937" i="35" s="1"/>
  <c r="J1937" i="35"/>
  <c r="K1937" i="35" s="1"/>
  <c r="Q1937" i="35"/>
  <c r="B61" i="33" a="1"/>
  <c r="B61" i="33" s="1"/>
  <c r="E61" i="33" a="1"/>
  <c r="E61" i="33" s="1"/>
  <c r="F61" i="33" a="1"/>
  <c r="F61" i="33" s="1"/>
  <c r="G61" i="33" a="1"/>
  <c r="G61" i="33" s="1"/>
  <c r="L61" i="33" a="1"/>
  <c r="L61" i="33" s="1"/>
  <c r="M61" i="33"/>
  <c r="N61" i="33"/>
  <c r="P61" i="33"/>
  <c r="C1936" i="35" a="1"/>
  <c r="C1936" i="35" s="1"/>
  <c r="F1936" i="35"/>
  <c r="G1936" i="35" s="1"/>
  <c r="J1936" i="35"/>
  <c r="K1936" i="35" s="1"/>
  <c r="Q1936" i="35"/>
  <c r="C1935" i="35" a="1"/>
  <c r="C1935" i="35" s="1"/>
  <c r="F1935" i="35"/>
  <c r="G1935" i="35" s="1"/>
  <c r="J1935" i="35"/>
  <c r="K1935" i="35" s="1"/>
  <c r="Q1935" i="35"/>
  <c r="C1934" i="35" a="1"/>
  <c r="C1934" i="35" s="1"/>
  <c r="F1934" i="35"/>
  <c r="G1934" i="35" s="1"/>
  <c r="J1934" i="35"/>
  <c r="K1934" i="35" s="1"/>
  <c r="Q1934" i="35"/>
  <c r="H452" i="6"/>
  <c r="J452" i="6" s="1"/>
  <c r="I452" i="6"/>
  <c r="K452" i="6" s="1"/>
  <c r="U452" i="6"/>
  <c r="H451" i="6"/>
  <c r="J451" i="6" s="1"/>
  <c r="I451" i="6"/>
  <c r="K451" i="6" s="1"/>
  <c r="U451" i="6"/>
  <c r="C1933" i="35" a="1"/>
  <c r="C1933" i="35" s="1"/>
  <c r="F1933" i="35"/>
  <c r="G1933" i="35" s="1"/>
  <c r="J1933" i="35"/>
  <c r="K1933" i="35" s="1"/>
  <c r="Q1933" i="35"/>
  <c r="C1932" i="35" a="1"/>
  <c r="C1932" i="35" s="1"/>
  <c r="F1932" i="35"/>
  <c r="G1932" i="35" s="1"/>
  <c r="J1932" i="35"/>
  <c r="K1932" i="35" s="1"/>
  <c r="Q1932" i="35"/>
  <c r="C1931" i="35" a="1"/>
  <c r="C1931" i="35" s="1"/>
  <c r="F1931" i="35"/>
  <c r="G1931" i="35" s="1"/>
  <c r="J1931" i="35"/>
  <c r="K1931" i="35" s="1"/>
  <c r="Q1931" i="35"/>
  <c r="C1930" i="35" a="1"/>
  <c r="C1930" i="35" s="1"/>
  <c r="F1930" i="35"/>
  <c r="G1930" i="35" s="1"/>
  <c r="J1930" i="35"/>
  <c r="K1930" i="35" s="1"/>
  <c r="Q1930" i="35"/>
  <c r="C1929" i="35" a="1"/>
  <c r="C1929" i="35" s="1"/>
  <c r="F1929" i="35"/>
  <c r="G1929" i="35" s="1"/>
  <c r="J1929" i="35"/>
  <c r="K1929" i="35" s="1"/>
  <c r="Q1929" i="35"/>
  <c r="C1928" i="35" a="1"/>
  <c r="C1928" i="35" s="1"/>
  <c r="F1928" i="35"/>
  <c r="G1928" i="35" s="1"/>
  <c r="J1928" i="35"/>
  <c r="K1928" i="35" s="1"/>
  <c r="M2053" i="35" s="1"/>
  <c r="Q1928" i="35"/>
  <c r="B74" i="33" a="1"/>
  <c r="B74" i="33" s="1"/>
  <c r="E74" i="33" a="1"/>
  <c r="E74" i="33" s="1"/>
  <c r="F74" i="33" a="1"/>
  <c r="F74" i="33" s="1"/>
  <c r="G74" i="33" a="1"/>
  <c r="G74" i="33" s="1"/>
  <c r="L74" i="33" a="1"/>
  <c r="L74" i="33" s="1"/>
  <c r="M74" i="33"/>
  <c r="N74" i="33"/>
  <c r="E92" i="40" s="1"/>
  <c r="P74" i="33"/>
  <c r="C1927" i="35" a="1"/>
  <c r="C1927" i="35" s="1"/>
  <c r="F1927" i="35"/>
  <c r="G1927" i="35" s="1"/>
  <c r="J1927" i="35"/>
  <c r="K1927" i="35" s="1"/>
  <c r="Q1927" i="35"/>
  <c r="C1926" i="35" a="1"/>
  <c r="C1926" i="35" s="1"/>
  <c r="F1926" i="35"/>
  <c r="G1926" i="35" s="1"/>
  <c r="J1926" i="35"/>
  <c r="K1926" i="35" s="1"/>
  <c r="Q1926" i="35"/>
  <c r="B44" i="33" a="1"/>
  <c r="B44" i="33" s="1"/>
  <c r="E44" i="33" a="1"/>
  <c r="E44" i="33" s="1"/>
  <c r="F44" i="33" a="1"/>
  <c r="F44" i="33" s="1"/>
  <c r="G44" i="33" a="1"/>
  <c r="G44" i="33" s="1"/>
  <c r="L44" i="33" a="1"/>
  <c r="L44" i="33" s="1"/>
  <c r="M44" i="33"/>
  <c r="N44" i="33"/>
  <c r="P44" i="33"/>
  <c r="C1925" i="35" a="1"/>
  <c r="C1925" i="35" s="1"/>
  <c r="F1925" i="35"/>
  <c r="G1925" i="35" s="1"/>
  <c r="J1925" i="35"/>
  <c r="K1925" i="35" s="1"/>
  <c r="Q1925" i="35"/>
  <c r="C1924" i="35" a="1"/>
  <c r="C1924" i="35" s="1"/>
  <c r="F1924" i="35"/>
  <c r="G1924" i="35" s="1"/>
  <c r="J1924" i="35"/>
  <c r="K1924" i="35" s="1"/>
  <c r="Q1924" i="35"/>
  <c r="C1923" i="35" a="1"/>
  <c r="C1923" i="35" s="1"/>
  <c r="F1923" i="35"/>
  <c r="G1923" i="35" s="1"/>
  <c r="J1923" i="35"/>
  <c r="K1923" i="35" s="1"/>
  <c r="Q1923" i="35"/>
  <c r="C1922" i="35" a="1"/>
  <c r="C1922" i="35" s="1"/>
  <c r="F1922" i="35"/>
  <c r="G1922" i="35" s="1"/>
  <c r="J1922" i="35"/>
  <c r="K1922" i="35" s="1"/>
  <c r="Q1922" i="35"/>
  <c r="C1921" i="35" a="1"/>
  <c r="C1921" i="35" s="1"/>
  <c r="F1921" i="35"/>
  <c r="G1921" i="35" s="1"/>
  <c r="J1921" i="35"/>
  <c r="K1921" i="35" s="1"/>
  <c r="Q1921" i="35"/>
  <c r="C1920" i="35" a="1"/>
  <c r="C1920" i="35" s="1"/>
  <c r="F1920" i="35"/>
  <c r="G1920" i="35" s="1"/>
  <c r="J1920" i="35"/>
  <c r="K1920" i="35" s="1"/>
  <c r="Q1920" i="35"/>
  <c r="C1919" i="35" a="1"/>
  <c r="C1919" i="35" s="1"/>
  <c r="F1919" i="35"/>
  <c r="G1919" i="35" s="1"/>
  <c r="J1919" i="35"/>
  <c r="K1919" i="35" s="1"/>
  <c r="Q1919" i="35"/>
  <c r="C1918" i="35" a="1"/>
  <c r="C1918" i="35" s="1"/>
  <c r="F1918" i="35"/>
  <c r="G1918" i="35" s="1"/>
  <c r="J1918" i="35"/>
  <c r="K1918" i="35" s="1"/>
  <c r="Q1918" i="35"/>
  <c r="C1917" i="35" a="1"/>
  <c r="C1917" i="35" s="1"/>
  <c r="F1917" i="35"/>
  <c r="G1917" i="35" s="1"/>
  <c r="I1917" i="35" s="1"/>
  <c r="J1917" i="35"/>
  <c r="K1917" i="35" s="1"/>
  <c r="M1917" i="35" s="1"/>
  <c r="Q1917" i="35"/>
  <c r="B94" i="33" a="1"/>
  <c r="B94" i="33" s="1"/>
  <c r="E94" i="33" a="1"/>
  <c r="E94" i="33" s="1"/>
  <c r="F94" i="33" a="1"/>
  <c r="F94" i="33" s="1"/>
  <c r="G94" i="33" a="1"/>
  <c r="G94" i="33" s="1"/>
  <c r="L94" i="33" a="1"/>
  <c r="L94" i="33" s="1"/>
  <c r="M94" i="33"/>
  <c r="N94" i="33"/>
  <c r="F25" i="34" s="1"/>
  <c r="P94" i="33"/>
  <c r="C1916" i="35" a="1"/>
  <c r="C1916" i="35" s="1"/>
  <c r="F1916" i="35"/>
  <c r="G1916" i="35" s="1"/>
  <c r="J1916" i="35"/>
  <c r="K1916" i="35" s="1"/>
  <c r="Q1916" i="35"/>
  <c r="C1915" i="35" a="1"/>
  <c r="C1915" i="35" s="1"/>
  <c r="F1915" i="35"/>
  <c r="G1915" i="35" s="1"/>
  <c r="J1915" i="35"/>
  <c r="K1915" i="35" s="1"/>
  <c r="Q1915" i="35"/>
  <c r="C1914" i="35" a="1"/>
  <c r="C1914" i="35" s="1"/>
  <c r="F1914" i="35"/>
  <c r="G1914" i="35" s="1"/>
  <c r="J1914" i="35"/>
  <c r="K1914" i="35" s="1"/>
  <c r="Q1914" i="35"/>
  <c r="C1913" i="35" a="1"/>
  <c r="C1913" i="35" s="1"/>
  <c r="F1913" i="35"/>
  <c r="G1913" i="35" s="1"/>
  <c r="J1913" i="35"/>
  <c r="K1913" i="35" s="1"/>
  <c r="Q1913" i="35"/>
  <c r="C1912" i="35" a="1"/>
  <c r="C1912" i="35" s="1"/>
  <c r="F1912" i="35"/>
  <c r="G1912" i="35" s="1"/>
  <c r="J1912" i="35"/>
  <c r="K1912" i="35" s="1"/>
  <c r="Q1912" i="35"/>
  <c r="C1911" i="35" a="1"/>
  <c r="C1911" i="35" s="1"/>
  <c r="F1911" i="35"/>
  <c r="G1911" i="35" s="1"/>
  <c r="J1911" i="35"/>
  <c r="K1911" i="35" s="1"/>
  <c r="Q1911" i="35"/>
  <c r="C1910" i="35" a="1"/>
  <c r="C1910" i="35" s="1"/>
  <c r="F1910" i="35"/>
  <c r="G1910" i="35" s="1"/>
  <c r="J1910" i="35"/>
  <c r="K1910" i="35" s="1"/>
  <c r="Q1910" i="35"/>
  <c r="C1909" i="35" a="1"/>
  <c r="C1909" i="35" s="1"/>
  <c r="F1909" i="35"/>
  <c r="G1909" i="35" s="1"/>
  <c r="J1909" i="35"/>
  <c r="K1909" i="35" s="1"/>
  <c r="Q1909" i="35"/>
  <c r="C1908" i="35" a="1"/>
  <c r="C1908" i="35" s="1"/>
  <c r="F1908" i="35"/>
  <c r="G1908" i="35" s="1"/>
  <c r="J1908" i="35"/>
  <c r="K1908" i="35" s="1"/>
  <c r="Q1908" i="35"/>
  <c r="C1907" i="35" a="1"/>
  <c r="C1907" i="35" s="1"/>
  <c r="F1907" i="35"/>
  <c r="G1907" i="35" s="1"/>
  <c r="J1907" i="35"/>
  <c r="K1907" i="35" s="1"/>
  <c r="Q1907" i="35"/>
  <c r="C1906" i="35" a="1"/>
  <c r="C1906" i="35" s="1"/>
  <c r="F1906" i="35"/>
  <c r="G1906" i="35" s="1"/>
  <c r="J1906" i="35"/>
  <c r="K1906" i="35" s="1"/>
  <c r="Q1906" i="35"/>
  <c r="C1905" i="35" a="1"/>
  <c r="C1905" i="35" s="1"/>
  <c r="F1905" i="35"/>
  <c r="G1905" i="35" s="1"/>
  <c r="J1905" i="35"/>
  <c r="K1905" i="35" s="1"/>
  <c r="Q1905" i="35"/>
  <c r="C1904" i="35" a="1"/>
  <c r="C1904" i="35" s="1"/>
  <c r="F1904" i="35"/>
  <c r="G1904" i="35" s="1"/>
  <c r="J1904" i="35"/>
  <c r="K1904" i="35" s="1"/>
  <c r="Q1904" i="35"/>
  <c r="C1903" i="35" a="1"/>
  <c r="C1903" i="35" s="1"/>
  <c r="F1903" i="35"/>
  <c r="G1903" i="35" s="1"/>
  <c r="J1903" i="35"/>
  <c r="K1903" i="35" s="1"/>
  <c r="Q1903" i="35"/>
  <c r="C1902" i="35" a="1"/>
  <c r="C1902" i="35" s="1"/>
  <c r="F1902" i="35"/>
  <c r="G1902" i="35" s="1"/>
  <c r="J1902" i="35"/>
  <c r="K1902" i="35" s="1"/>
  <c r="Q1902" i="35"/>
  <c r="C1901" i="35" a="1"/>
  <c r="C1901" i="35" s="1"/>
  <c r="F1901" i="35"/>
  <c r="G1901" i="35" s="1"/>
  <c r="J1901" i="35"/>
  <c r="K1901" i="35" s="1"/>
  <c r="Q1901" i="35"/>
  <c r="C1900" i="35" a="1"/>
  <c r="C1900" i="35" s="1"/>
  <c r="F1900" i="35"/>
  <c r="G1900" i="35" s="1"/>
  <c r="J1900" i="35"/>
  <c r="K1900" i="35" s="1"/>
  <c r="Q1900" i="35"/>
  <c r="C1899" i="35" a="1"/>
  <c r="C1899" i="35" s="1"/>
  <c r="F1899" i="35"/>
  <c r="G1899" i="35" s="1"/>
  <c r="J1899" i="35"/>
  <c r="K1899" i="35" s="1"/>
  <c r="Q1899" i="35"/>
  <c r="C1898" i="35" a="1"/>
  <c r="C1898" i="35" s="1"/>
  <c r="F1898" i="35"/>
  <c r="G1898" i="35" s="1"/>
  <c r="J1898" i="35"/>
  <c r="K1898" i="35" s="1"/>
  <c r="Q1898" i="35"/>
  <c r="C1897" i="35" a="1"/>
  <c r="C1897" i="35" s="1"/>
  <c r="F1897" i="35"/>
  <c r="G1897" i="35" s="1"/>
  <c r="J1897" i="35"/>
  <c r="K1897" i="35" s="1"/>
  <c r="Q1897" i="35"/>
  <c r="C1896" i="35" a="1"/>
  <c r="C1896" i="35" s="1"/>
  <c r="F1896" i="35"/>
  <c r="G1896" i="35" s="1"/>
  <c r="J1896" i="35"/>
  <c r="K1896" i="35" s="1"/>
  <c r="Q1896" i="35"/>
  <c r="C1895" i="35" a="1"/>
  <c r="C1895" i="35" s="1"/>
  <c r="F1895" i="35"/>
  <c r="G1895" i="35" s="1"/>
  <c r="J1895" i="35"/>
  <c r="K1895" i="35" s="1"/>
  <c r="Q1895" i="35"/>
  <c r="C1894" i="35" a="1"/>
  <c r="C1894" i="35" s="1"/>
  <c r="F1894" i="35"/>
  <c r="G1894" i="35" s="1"/>
  <c r="J1894" i="35"/>
  <c r="K1894" i="35" s="1"/>
  <c r="Q1894" i="35"/>
  <c r="B600" i="33" a="1"/>
  <c r="B600" i="33" s="1"/>
  <c r="E600" i="33" a="1"/>
  <c r="E600" i="33" s="1"/>
  <c r="F600" i="33" a="1"/>
  <c r="F600" i="33" s="1"/>
  <c r="G600" i="33" a="1"/>
  <c r="G600" i="33" s="1"/>
  <c r="L600" i="33" a="1"/>
  <c r="L600" i="33" s="1"/>
  <c r="M600" i="33"/>
  <c r="N600" i="33"/>
  <c r="P600" i="33"/>
  <c r="C1893" i="35" a="1"/>
  <c r="C1893" i="35" s="1"/>
  <c r="F1893" i="35"/>
  <c r="G1893" i="35" s="1"/>
  <c r="J1893" i="35"/>
  <c r="K1893" i="35" s="1"/>
  <c r="Q1893" i="35"/>
  <c r="C1892" i="35" a="1"/>
  <c r="C1892" i="35" s="1"/>
  <c r="F1892" i="35"/>
  <c r="G1892" i="35" s="1"/>
  <c r="J1892" i="35"/>
  <c r="K1892" i="35" s="1"/>
  <c r="Q1892" i="35"/>
  <c r="C1891" i="35" a="1"/>
  <c r="C1891" i="35" s="1"/>
  <c r="F1891" i="35"/>
  <c r="G1891" i="35" s="1"/>
  <c r="J1891" i="35"/>
  <c r="K1891" i="35" s="1"/>
  <c r="Q1891" i="35"/>
  <c r="C1890" i="35" a="1"/>
  <c r="C1890" i="35" s="1"/>
  <c r="F1890" i="35"/>
  <c r="G1890" i="35" s="1"/>
  <c r="J1890" i="35"/>
  <c r="K1890" i="35" s="1"/>
  <c r="Q1890" i="35"/>
  <c r="C1889" i="35" a="1"/>
  <c r="C1889" i="35" s="1"/>
  <c r="F1889" i="35"/>
  <c r="G1889" i="35" s="1"/>
  <c r="J1889" i="35"/>
  <c r="K1889" i="35" s="1"/>
  <c r="Q1889" i="35"/>
  <c r="C1888" i="35" a="1"/>
  <c r="C1888" i="35" s="1"/>
  <c r="F1888" i="35"/>
  <c r="G1888" i="35" s="1"/>
  <c r="J1888" i="35"/>
  <c r="K1888" i="35" s="1"/>
  <c r="Q1888" i="35"/>
  <c r="C1887" i="35" a="1"/>
  <c r="C1887" i="35" s="1"/>
  <c r="F1887" i="35"/>
  <c r="G1887" i="35" s="1"/>
  <c r="J1887" i="35"/>
  <c r="K1887" i="35" s="1"/>
  <c r="Q1887" i="35"/>
  <c r="C1886" i="35" a="1"/>
  <c r="C1886" i="35" s="1"/>
  <c r="F1886" i="35"/>
  <c r="G1886" i="35" s="1"/>
  <c r="J1886" i="35"/>
  <c r="K1886" i="35" s="1"/>
  <c r="Q1886" i="35"/>
  <c r="B599" i="33" a="1"/>
  <c r="B599" i="33" s="1"/>
  <c r="E599" i="33" a="1"/>
  <c r="E599" i="33" s="1"/>
  <c r="F599" i="33" a="1"/>
  <c r="F599" i="33" s="1"/>
  <c r="G599" i="33" a="1"/>
  <c r="G599" i="33" s="1"/>
  <c r="L599" i="33" a="1"/>
  <c r="L599" i="33" s="1"/>
  <c r="M599" i="33"/>
  <c r="N599" i="33"/>
  <c r="P599" i="33"/>
  <c r="C1885" i="35" a="1"/>
  <c r="C1885" i="35" s="1"/>
  <c r="F1885" i="35"/>
  <c r="G1885" i="35" s="1"/>
  <c r="J1885" i="35"/>
  <c r="K1885" i="35" s="1"/>
  <c r="Q1885" i="35"/>
  <c r="C1884" i="35" a="1"/>
  <c r="C1884" i="35" s="1"/>
  <c r="F1884" i="35"/>
  <c r="G1884" i="35" s="1"/>
  <c r="J1884" i="35"/>
  <c r="K1884" i="35" s="1"/>
  <c r="Q1884" i="35"/>
  <c r="C1883" i="35" a="1"/>
  <c r="C1883" i="35" s="1"/>
  <c r="F1883" i="35"/>
  <c r="G1883" i="35" s="1"/>
  <c r="J1883" i="35"/>
  <c r="K1883" i="35" s="1"/>
  <c r="Q1883" i="35"/>
  <c r="C1882" i="35" a="1"/>
  <c r="C1882" i="35" s="1"/>
  <c r="F1882" i="35"/>
  <c r="G1882" i="35" s="1"/>
  <c r="J1882" i="35"/>
  <c r="K1882" i="35" s="1"/>
  <c r="Q1882" i="35"/>
  <c r="C1881" i="35" a="1"/>
  <c r="C1881" i="35" s="1"/>
  <c r="F1881" i="35"/>
  <c r="G1881" i="35" s="1"/>
  <c r="J1881" i="35"/>
  <c r="K1881" i="35" s="1"/>
  <c r="Q1881" i="35"/>
  <c r="C1880" i="35" a="1"/>
  <c r="C1880" i="35" s="1"/>
  <c r="F1880" i="35"/>
  <c r="G1880" i="35" s="1"/>
  <c r="J1880" i="35"/>
  <c r="K1880" i="35" s="1"/>
  <c r="Q1880" i="35"/>
  <c r="C1879" i="35" a="1"/>
  <c r="C1879" i="35" s="1"/>
  <c r="F1879" i="35"/>
  <c r="G1879" i="35" s="1"/>
  <c r="J1879" i="35"/>
  <c r="K1879" i="35" s="1"/>
  <c r="Q1879" i="35"/>
  <c r="C1878" i="35" a="1"/>
  <c r="C1878" i="35" s="1"/>
  <c r="F1878" i="35"/>
  <c r="G1878" i="35" s="1"/>
  <c r="J1878" i="35"/>
  <c r="K1878" i="35" s="1"/>
  <c r="Q1878" i="35"/>
  <c r="C1877" i="35" a="1"/>
  <c r="C1877" i="35" s="1"/>
  <c r="F1877" i="35"/>
  <c r="G1877" i="35" s="1"/>
  <c r="J1877" i="35"/>
  <c r="K1877" i="35" s="1"/>
  <c r="Q1877" i="35"/>
  <c r="C1876" i="35" a="1"/>
  <c r="C1876" i="35" s="1"/>
  <c r="F1876" i="35"/>
  <c r="G1876" i="35" s="1"/>
  <c r="J1876" i="35"/>
  <c r="K1876" i="35" s="1"/>
  <c r="Q1876" i="35"/>
  <c r="C1875" i="35" a="1"/>
  <c r="C1875" i="35" s="1"/>
  <c r="F1875" i="35"/>
  <c r="G1875" i="35" s="1"/>
  <c r="J1875" i="35"/>
  <c r="K1875" i="35" s="1"/>
  <c r="Q1875" i="35"/>
  <c r="C1874" i="35" a="1"/>
  <c r="C1874" i="35" s="1"/>
  <c r="F1874" i="35"/>
  <c r="G1874" i="35" s="1"/>
  <c r="J1874" i="35"/>
  <c r="K1874" i="35" s="1"/>
  <c r="Q1874" i="35"/>
  <c r="C1873" i="35" a="1"/>
  <c r="C1873" i="35" s="1"/>
  <c r="F1873" i="35"/>
  <c r="G1873" i="35" s="1"/>
  <c r="J1873" i="35"/>
  <c r="K1873" i="35" s="1"/>
  <c r="Q1873" i="35"/>
  <c r="C1872" i="35" a="1"/>
  <c r="C1872" i="35" s="1"/>
  <c r="F1872" i="35"/>
  <c r="G1872" i="35" s="1"/>
  <c r="J1872" i="35"/>
  <c r="K1872" i="35" s="1"/>
  <c r="Q1872" i="35"/>
  <c r="C1871" i="35" a="1"/>
  <c r="C1871" i="35" s="1"/>
  <c r="F1871" i="35"/>
  <c r="G1871" i="35" s="1"/>
  <c r="J1871" i="35"/>
  <c r="K1871" i="35" s="1"/>
  <c r="Q1871" i="35"/>
  <c r="C1870" i="35" a="1"/>
  <c r="C1870" i="35" s="1"/>
  <c r="F1870" i="35"/>
  <c r="G1870" i="35" s="1"/>
  <c r="J1870" i="35"/>
  <c r="K1870" i="35" s="1"/>
  <c r="Q1870" i="35"/>
  <c r="C1869" i="35" a="1"/>
  <c r="C1869" i="35" s="1"/>
  <c r="F1869" i="35"/>
  <c r="G1869" i="35" s="1"/>
  <c r="J1869" i="35"/>
  <c r="K1869" i="35" s="1"/>
  <c r="Q1869" i="35"/>
  <c r="C1868" i="35" a="1"/>
  <c r="C1868" i="35" s="1"/>
  <c r="F1868" i="35"/>
  <c r="G1868" i="35" s="1"/>
  <c r="J1868" i="35"/>
  <c r="K1868" i="35" s="1"/>
  <c r="Q1868" i="35"/>
  <c r="C1867" i="35" a="1"/>
  <c r="C1867" i="35" s="1"/>
  <c r="F1867" i="35"/>
  <c r="G1867" i="35" s="1"/>
  <c r="J1867" i="35"/>
  <c r="K1867" i="35" s="1"/>
  <c r="Q1867" i="35"/>
  <c r="C1866" i="35" a="1"/>
  <c r="C1866" i="35" s="1"/>
  <c r="F1866" i="35"/>
  <c r="G1866" i="35" s="1"/>
  <c r="J1866" i="35"/>
  <c r="K1866" i="35" s="1"/>
  <c r="M2074" i="35" s="1"/>
  <c r="Q1866" i="35"/>
  <c r="C1865" i="35" a="1"/>
  <c r="C1865" i="35" s="1"/>
  <c r="F1865" i="35"/>
  <c r="G1865" i="35" s="1"/>
  <c r="J1865" i="35"/>
  <c r="K1865" i="35" s="1"/>
  <c r="Q1865" i="35"/>
  <c r="C1864" i="35" a="1"/>
  <c r="C1864" i="35" s="1"/>
  <c r="F1864" i="35"/>
  <c r="G1864" i="35" s="1"/>
  <c r="J1864" i="35"/>
  <c r="K1864" i="35" s="1"/>
  <c r="Q1864" i="35"/>
  <c r="H450" i="6"/>
  <c r="J450" i="6" s="1"/>
  <c r="I450" i="6"/>
  <c r="K450" i="6" s="1"/>
  <c r="U450" i="6"/>
  <c r="C1863" i="35" a="1"/>
  <c r="C1863" i="35" s="1"/>
  <c r="F1863" i="35"/>
  <c r="G1863" i="35" s="1"/>
  <c r="J1863" i="35"/>
  <c r="K1863" i="35" s="1"/>
  <c r="Q1863" i="35"/>
  <c r="B33" i="33" a="1"/>
  <c r="B33" i="33" s="1"/>
  <c r="E33" i="33" a="1"/>
  <c r="E33" i="33" s="1"/>
  <c r="F33" i="33" a="1"/>
  <c r="F33" i="33" s="1"/>
  <c r="G33" i="33" a="1"/>
  <c r="G33" i="33" s="1"/>
  <c r="L33" i="33" a="1"/>
  <c r="L33" i="33" s="1"/>
  <c r="M33" i="33"/>
  <c r="N33" i="33"/>
  <c r="P33" i="33"/>
  <c r="C1862" i="35" a="1"/>
  <c r="C1862" i="35" s="1"/>
  <c r="F1862" i="35"/>
  <c r="G1862" i="35" s="1"/>
  <c r="J1862" i="35"/>
  <c r="K1862" i="35" s="1"/>
  <c r="Q1862" i="35"/>
  <c r="C1861" i="35" a="1"/>
  <c r="C1861" i="35" s="1"/>
  <c r="F1861" i="35"/>
  <c r="G1861" i="35" s="1"/>
  <c r="J1861" i="35"/>
  <c r="K1861" i="35" s="1"/>
  <c r="Q1861" i="35"/>
  <c r="C1860" i="35" a="1"/>
  <c r="C1860" i="35" s="1"/>
  <c r="F1860" i="35"/>
  <c r="G1860" i="35" s="1"/>
  <c r="J1860" i="35"/>
  <c r="K1860" i="35" s="1"/>
  <c r="Q1860" i="35"/>
  <c r="C1859" i="35" a="1"/>
  <c r="C1859" i="35" s="1"/>
  <c r="F1859" i="35"/>
  <c r="G1859" i="35" s="1"/>
  <c r="J1859" i="35"/>
  <c r="K1859" i="35" s="1"/>
  <c r="Q1859" i="35"/>
  <c r="C1858" i="35" a="1"/>
  <c r="C1858" i="35" s="1"/>
  <c r="F1858" i="35"/>
  <c r="G1858" i="35" s="1"/>
  <c r="J1858" i="35"/>
  <c r="K1858" i="35" s="1"/>
  <c r="Q1858" i="35"/>
  <c r="C1857" i="35" a="1"/>
  <c r="C1857" i="35" s="1"/>
  <c r="F1857" i="35"/>
  <c r="G1857" i="35" s="1"/>
  <c r="J1857" i="35"/>
  <c r="K1857" i="35" s="1"/>
  <c r="Q1857" i="35"/>
  <c r="C1856" i="35" a="1"/>
  <c r="C1856" i="35" s="1"/>
  <c r="F1856" i="35"/>
  <c r="G1856" i="35" s="1"/>
  <c r="J1856" i="35"/>
  <c r="K1856" i="35" s="1"/>
  <c r="Q1856" i="35"/>
  <c r="C1855" i="35" a="1"/>
  <c r="C1855" i="35" s="1"/>
  <c r="F1855" i="35"/>
  <c r="J1855" i="35"/>
  <c r="K1855" i="35" s="1"/>
  <c r="Q1855" i="35"/>
  <c r="B72" i="33" a="1"/>
  <c r="B72" i="33" s="1"/>
  <c r="E72" i="33" a="1"/>
  <c r="E72" i="33" s="1"/>
  <c r="F72" i="33" a="1"/>
  <c r="F72" i="33" s="1"/>
  <c r="G72" i="33" a="1"/>
  <c r="G72" i="33" s="1"/>
  <c r="L72" i="33" a="1"/>
  <c r="L72" i="33" s="1"/>
  <c r="M72" i="33"/>
  <c r="N72" i="33"/>
  <c r="P72" i="33"/>
  <c r="C1854" i="35" a="1"/>
  <c r="C1854" i="35" s="1"/>
  <c r="F1854" i="35"/>
  <c r="G1854" i="35" s="1"/>
  <c r="J1854" i="35"/>
  <c r="K1854" i="35" s="1"/>
  <c r="Q1854" i="35"/>
  <c r="C1853" i="35" a="1"/>
  <c r="C1853" i="35" s="1"/>
  <c r="F1853" i="35"/>
  <c r="G1853" i="35" s="1"/>
  <c r="J1853" i="35"/>
  <c r="K1853" i="35" s="1"/>
  <c r="Q1853" i="35"/>
  <c r="C1852" i="35" a="1"/>
  <c r="C1852" i="35" s="1"/>
  <c r="F1852" i="35"/>
  <c r="G1852" i="35" s="1"/>
  <c r="J1852" i="35"/>
  <c r="K1852" i="35" s="1"/>
  <c r="Q1852" i="35"/>
  <c r="C1851" i="35" a="1"/>
  <c r="C1851" i="35" s="1"/>
  <c r="F1851" i="35"/>
  <c r="G1851" i="35" s="1"/>
  <c r="J1851" i="35"/>
  <c r="K1851" i="35" s="1"/>
  <c r="Q1851" i="35"/>
  <c r="C1850" i="35" a="1"/>
  <c r="C1850" i="35" s="1"/>
  <c r="F1850" i="35"/>
  <c r="G1850" i="35" s="1"/>
  <c r="J1850" i="35"/>
  <c r="K1850" i="35" s="1"/>
  <c r="Q1850" i="35"/>
  <c r="C1849" i="35" a="1"/>
  <c r="C1849" i="35" s="1"/>
  <c r="F1849" i="35"/>
  <c r="G1849" i="35" s="1"/>
  <c r="J1849" i="35"/>
  <c r="K1849" i="35" s="1"/>
  <c r="Q1849" i="35"/>
  <c r="C1848" i="35" a="1"/>
  <c r="C1848" i="35" s="1"/>
  <c r="F1848" i="35"/>
  <c r="G1848" i="35" s="1"/>
  <c r="J1848" i="35"/>
  <c r="K1848" i="35" s="1"/>
  <c r="Q1848" i="35"/>
  <c r="C1847" i="35" a="1"/>
  <c r="C1847" i="35" s="1"/>
  <c r="F1847" i="35"/>
  <c r="G1847" i="35" s="1"/>
  <c r="J1847" i="35"/>
  <c r="K1847" i="35" s="1"/>
  <c r="Q1847" i="35"/>
  <c r="C1846" i="35" a="1"/>
  <c r="C1846" i="35" s="1"/>
  <c r="F1846" i="35"/>
  <c r="G1846" i="35" s="1"/>
  <c r="J1846" i="35"/>
  <c r="K1846" i="35" s="1"/>
  <c r="Q1846" i="35"/>
  <c r="C1845" i="35" a="1"/>
  <c r="C1845" i="35" s="1"/>
  <c r="F1845" i="35"/>
  <c r="G1845" i="35" s="1"/>
  <c r="J1845" i="35"/>
  <c r="K1845" i="35" s="1"/>
  <c r="Q1845" i="35"/>
  <c r="C1844" i="35" a="1"/>
  <c r="C1844" i="35" s="1"/>
  <c r="F1844" i="35"/>
  <c r="G1844" i="35" s="1"/>
  <c r="J1844" i="35"/>
  <c r="K1844" i="35" s="1"/>
  <c r="Q1844" i="35"/>
  <c r="C1843" i="35" a="1"/>
  <c r="C1843" i="35" s="1"/>
  <c r="F1843" i="35"/>
  <c r="G1843" i="35" s="1"/>
  <c r="J1843" i="35"/>
  <c r="K1843" i="35" s="1"/>
  <c r="Q1843" i="35"/>
  <c r="C1842" i="35" a="1"/>
  <c r="C1842" i="35" s="1"/>
  <c r="F1842" i="35"/>
  <c r="G1842" i="35" s="1"/>
  <c r="J1842" i="35"/>
  <c r="K1842" i="35" s="1"/>
  <c r="Q1842" i="35"/>
  <c r="C1841" i="35" a="1"/>
  <c r="C1841" i="35" s="1"/>
  <c r="F1841" i="35"/>
  <c r="G1841" i="35" s="1"/>
  <c r="J1841" i="35"/>
  <c r="K1841" i="35" s="1"/>
  <c r="Q1841" i="35"/>
  <c r="C1840" i="35" a="1"/>
  <c r="C1840" i="35" s="1"/>
  <c r="F1840" i="35"/>
  <c r="G1840" i="35" s="1"/>
  <c r="J1840" i="35"/>
  <c r="K1840" i="35" s="1"/>
  <c r="Q1840" i="35"/>
  <c r="C836" i="31" a="1"/>
  <c r="C836" i="31" s="1"/>
  <c r="D836" i="31" a="1"/>
  <c r="D836" i="31" s="1"/>
  <c r="L836" i="31"/>
  <c r="Q836" i="31"/>
  <c r="R836" i="31"/>
  <c r="U836" i="31"/>
  <c r="V836" i="31"/>
  <c r="W836" i="31"/>
  <c r="AB836" i="31"/>
  <c r="AC836" i="31"/>
  <c r="AF836" i="31"/>
  <c r="C835" i="31" a="1"/>
  <c r="C835" i="31" s="1"/>
  <c r="D835" i="31" a="1"/>
  <c r="D835" i="31" s="1"/>
  <c r="L835" i="31"/>
  <c r="Q835" i="31"/>
  <c r="R835" i="31"/>
  <c r="U835" i="31"/>
  <c r="V835" i="31"/>
  <c r="W835" i="31"/>
  <c r="AB835" i="31"/>
  <c r="AC835" i="31"/>
  <c r="AF835" i="31"/>
  <c r="C1839" i="35" a="1"/>
  <c r="C1839" i="35" s="1"/>
  <c r="F1839" i="35"/>
  <c r="G1839" i="35" s="1"/>
  <c r="J1839" i="35"/>
  <c r="K1839" i="35" s="1"/>
  <c r="Q1839" i="35"/>
  <c r="C1838" i="35" a="1"/>
  <c r="C1838" i="35" s="1"/>
  <c r="F1838" i="35"/>
  <c r="G1838" i="35" s="1"/>
  <c r="J1838" i="35"/>
  <c r="K1838" i="35" s="1"/>
  <c r="Q1838" i="35"/>
  <c r="C1837" i="35" a="1"/>
  <c r="C1837" i="35" s="1"/>
  <c r="F1837" i="35"/>
  <c r="G1837" i="35" s="1"/>
  <c r="J1837" i="35"/>
  <c r="K1837" i="35" s="1"/>
  <c r="Q1837" i="35"/>
  <c r="C1836" i="35" a="1"/>
  <c r="C1836" i="35" s="1"/>
  <c r="F1836" i="35"/>
  <c r="G1836" i="35" s="1"/>
  <c r="J1836" i="35"/>
  <c r="K1836" i="35" s="1"/>
  <c r="Q1836" i="35"/>
  <c r="C1835" i="35" a="1"/>
  <c r="C1835" i="35" s="1"/>
  <c r="F1835" i="35"/>
  <c r="G1835" i="35" s="1"/>
  <c r="J1835" i="35"/>
  <c r="K1835" i="35" s="1"/>
  <c r="Q1835" i="35"/>
  <c r="C1834" i="35" a="1"/>
  <c r="C1834" i="35" s="1"/>
  <c r="F1834" i="35"/>
  <c r="G1834" i="35" s="1"/>
  <c r="J1834" i="35"/>
  <c r="K1834" i="35" s="1"/>
  <c r="Q1834" i="35"/>
  <c r="C1833" i="35" a="1"/>
  <c r="C1833" i="35" s="1"/>
  <c r="F1833" i="35"/>
  <c r="G1833" i="35" s="1"/>
  <c r="J1833" i="35"/>
  <c r="K1833" i="35" s="1"/>
  <c r="Q1833" i="35"/>
  <c r="C1832" i="35" a="1"/>
  <c r="C1832" i="35" s="1"/>
  <c r="F1832" i="35"/>
  <c r="G1832" i="35" s="1"/>
  <c r="J1832" i="35"/>
  <c r="K1832" i="35" s="1"/>
  <c r="Q1832" i="35"/>
  <c r="C1831" i="35" a="1"/>
  <c r="C1831" i="35" s="1"/>
  <c r="F1831" i="35"/>
  <c r="G1831" i="35" s="1"/>
  <c r="J1831" i="35"/>
  <c r="K1831" i="35" s="1"/>
  <c r="Q1831" i="35"/>
  <c r="C1830" i="35" a="1"/>
  <c r="C1830" i="35" s="1"/>
  <c r="F1830" i="35"/>
  <c r="G1830" i="35" s="1"/>
  <c r="J1830" i="35"/>
  <c r="K1830" i="35" s="1"/>
  <c r="Q1830" i="35"/>
  <c r="B97" i="33" a="1"/>
  <c r="B97" i="33" s="1"/>
  <c r="E97" i="33" a="1"/>
  <c r="E97" i="33" s="1"/>
  <c r="F97" i="33" a="1"/>
  <c r="F97" i="33" s="1"/>
  <c r="G97" i="33" a="1"/>
  <c r="G97" i="33" s="1"/>
  <c r="L97" i="33" a="1"/>
  <c r="L97" i="33" s="1"/>
  <c r="M97" i="33"/>
  <c r="N97" i="33"/>
  <c r="P97" i="33"/>
  <c r="C1829" i="35" a="1"/>
  <c r="C1829" i="35" s="1"/>
  <c r="F1829" i="35"/>
  <c r="G1829" i="35" s="1"/>
  <c r="J1829" i="35"/>
  <c r="K1829" i="35" s="1"/>
  <c r="Q1829" i="35"/>
  <c r="B47" i="33" a="1"/>
  <c r="B47" i="33" s="1"/>
  <c r="E47" i="33" a="1"/>
  <c r="E47" i="33" s="1"/>
  <c r="F47" i="33" a="1"/>
  <c r="F47" i="33" s="1"/>
  <c r="G47" i="33" a="1"/>
  <c r="G47" i="33" s="1"/>
  <c r="L47" i="33" a="1"/>
  <c r="L47" i="33" s="1"/>
  <c r="M47" i="33"/>
  <c r="N47" i="33"/>
  <c r="P47" i="33"/>
  <c r="C1828" i="35" a="1"/>
  <c r="C1828" i="35" s="1"/>
  <c r="F1828" i="35"/>
  <c r="G1828" i="35" s="1"/>
  <c r="J1828" i="35"/>
  <c r="K1828" i="35" s="1"/>
  <c r="Q1828" i="35"/>
  <c r="C1827" i="35" a="1"/>
  <c r="C1827" i="35" s="1"/>
  <c r="F1827" i="35"/>
  <c r="G1827" i="35" s="1"/>
  <c r="J1827" i="35"/>
  <c r="K1827" i="35" s="1"/>
  <c r="Q1827" i="35"/>
  <c r="C1826" i="35" a="1"/>
  <c r="C1826" i="35" s="1"/>
  <c r="F1826" i="35"/>
  <c r="G1826" i="35" s="1"/>
  <c r="J1826" i="35"/>
  <c r="K1826" i="35" s="1"/>
  <c r="Q1826" i="35"/>
  <c r="C1825" i="35" a="1"/>
  <c r="C1825" i="35" s="1"/>
  <c r="F1825" i="35"/>
  <c r="G1825" i="35" s="1"/>
  <c r="J1825" i="35"/>
  <c r="K1825" i="35" s="1"/>
  <c r="Q1825" i="35"/>
  <c r="C1824" i="35" a="1"/>
  <c r="C1824" i="35" s="1"/>
  <c r="F1824" i="35"/>
  <c r="G1824" i="35" s="1"/>
  <c r="J1824" i="35"/>
  <c r="K1824" i="35" s="1"/>
  <c r="Q1824" i="35"/>
  <c r="C1823" i="35" a="1"/>
  <c r="C1823" i="35" s="1"/>
  <c r="F1823" i="35"/>
  <c r="G1823" i="35" s="1"/>
  <c r="J1823" i="35"/>
  <c r="K1823" i="35" s="1"/>
  <c r="Q1823" i="35"/>
  <c r="C1822" i="35" a="1"/>
  <c r="C1822" i="35" s="1"/>
  <c r="F1822" i="35"/>
  <c r="G1822" i="35" s="1"/>
  <c r="J1822" i="35"/>
  <c r="K1822" i="35" s="1"/>
  <c r="Q1822" i="35"/>
  <c r="C1821" i="35" a="1"/>
  <c r="C1821" i="35" s="1"/>
  <c r="F1821" i="35"/>
  <c r="G1821" i="35" s="1"/>
  <c r="J1821" i="35"/>
  <c r="K1821" i="35" s="1"/>
  <c r="Q1821" i="35"/>
  <c r="C1820" i="35" a="1"/>
  <c r="C1820" i="35" s="1"/>
  <c r="F1820" i="35"/>
  <c r="G1820" i="35" s="1"/>
  <c r="J1820" i="35"/>
  <c r="K1820" i="35" s="1"/>
  <c r="Q1820" i="35"/>
  <c r="C1819" i="35" a="1"/>
  <c r="C1819" i="35" s="1"/>
  <c r="F1819" i="35"/>
  <c r="G1819" i="35" s="1"/>
  <c r="J1819" i="35"/>
  <c r="K1819" i="35" s="1"/>
  <c r="Q1819" i="35"/>
  <c r="C834" i="31" a="1"/>
  <c r="C834" i="31" s="1"/>
  <c r="D834" i="31" a="1"/>
  <c r="D834" i="31" s="1"/>
  <c r="L834" i="31"/>
  <c r="Q834" i="31"/>
  <c r="R834" i="31"/>
  <c r="U834" i="31"/>
  <c r="V834" i="31"/>
  <c r="W834" i="31"/>
  <c r="AB834" i="31"/>
  <c r="AC834" i="31"/>
  <c r="AF834" i="31"/>
  <c r="C833" i="31" a="1"/>
  <c r="C833" i="31" s="1"/>
  <c r="D833" i="31" a="1"/>
  <c r="D833" i="31" s="1"/>
  <c r="L833" i="31"/>
  <c r="Q833" i="31"/>
  <c r="R833" i="31"/>
  <c r="U833" i="31"/>
  <c r="V833" i="31"/>
  <c r="W833" i="31"/>
  <c r="AB833" i="31"/>
  <c r="AC833" i="31"/>
  <c r="AF833" i="31"/>
  <c r="C1818" i="35" a="1"/>
  <c r="C1818" i="35" s="1"/>
  <c r="F1818" i="35"/>
  <c r="G1818" i="35" s="1"/>
  <c r="J1818" i="35"/>
  <c r="K1818" i="35" s="1"/>
  <c r="Q1818" i="35"/>
  <c r="C1817" i="35" a="1"/>
  <c r="C1817" i="35" s="1"/>
  <c r="F1817" i="35"/>
  <c r="G1817" i="35" s="1"/>
  <c r="J1817" i="35"/>
  <c r="K1817" i="35" s="1"/>
  <c r="Q1817" i="35"/>
  <c r="C1816" i="35" a="1"/>
  <c r="C1816" i="35" s="1"/>
  <c r="F1816" i="35"/>
  <c r="G1816" i="35" s="1"/>
  <c r="J1816" i="35"/>
  <c r="K1816" i="35" s="1"/>
  <c r="Q1816" i="35"/>
  <c r="C1815" i="35" a="1"/>
  <c r="C1815" i="35" s="1"/>
  <c r="F1815" i="35"/>
  <c r="G1815" i="35" s="1"/>
  <c r="J1815" i="35"/>
  <c r="K1815" i="35" s="1"/>
  <c r="Q1815" i="35"/>
  <c r="C1814" i="35" a="1"/>
  <c r="C1814" i="35" s="1"/>
  <c r="F1814" i="35"/>
  <c r="G1814" i="35" s="1"/>
  <c r="J1814" i="35"/>
  <c r="K1814" i="35" s="1"/>
  <c r="Q1814" i="35"/>
  <c r="H449" i="6"/>
  <c r="J449" i="6" s="1"/>
  <c r="I449" i="6"/>
  <c r="K449" i="6" s="1"/>
  <c r="U449" i="6"/>
  <c r="H448" i="6"/>
  <c r="J448" i="6" s="1"/>
  <c r="I448" i="6"/>
  <c r="K448" i="6" s="1"/>
  <c r="U448" i="6"/>
  <c r="C1813" i="35" a="1"/>
  <c r="C1813" i="35" s="1"/>
  <c r="F1813" i="35"/>
  <c r="G1813" i="35" s="1"/>
  <c r="J1813" i="35"/>
  <c r="K1813" i="35" s="1"/>
  <c r="Q1813" i="35"/>
  <c r="C1812" i="35" a="1"/>
  <c r="C1812" i="35" s="1"/>
  <c r="F1812" i="35"/>
  <c r="G1812" i="35" s="1"/>
  <c r="J1812" i="35"/>
  <c r="K1812" i="35" s="1"/>
  <c r="Q1812" i="35"/>
  <c r="C1811" i="35" a="1"/>
  <c r="C1811" i="35" s="1"/>
  <c r="F1811" i="35"/>
  <c r="G1811" i="35" s="1"/>
  <c r="J1811" i="35"/>
  <c r="K1811" i="35" s="1"/>
  <c r="Q1811" i="35"/>
  <c r="C1810" i="35" a="1"/>
  <c r="C1810" i="35" s="1"/>
  <c r="F1810" i="35"/>
  <c r="G1810" i="35" s="1"/>
  <c r="J1810" i="35"/>
  <c r="K1810" i="35" s="1"/>
  <c r="Q1810" i="35"/>
  <c r="C1809" i="35" a="1"/>
  <c r="C1809" i="35" s="1"/>
  <c r="F1809" i="35"/>
  <c r="G1809" i="35" s="1"/>
  <c r="J1809" i="35"/>
  <c r="K1809" i="35" s="1"/>
  <c r="Q1809" i="35"/>
  <c r="C1808" i="35" a="1"/>
  <c r="C1808" i="35" s="1"/>
  <c r="F1808" i="35"/>
  <c r="G1808" i="35" s="1"/>
  <c r="J1808" i="35"/>
  <c r="K1808" i="35" s="1"/>
  <c r="Q1808" i="35"/>
  <c r="C1807" i="35" a="1"/>
  <c r="C1807" i="35" s="1"/>
  <c r="F1807" i="35"/>
  <c r="G1807" i="35" s="1"/>
  <c r="J1807" i="35"/>
  <c r="K1807" i="35" s="1"/>
  <c r="Q1807" i="35"/>
  <c r="C1806" i="35" a="1"/>
  <c r="C1806" i="35" s="1"/>
  <c r="F1806" i="35"/>
  <c r="G1806" i="35" s="1"/>
  <c r="J1806" i="35"/>
  <c r="K1806" i="35" s="1"/>
  <c r="Q1806" i="35"/>
  <c r="C1805" i="35" a="1"/>
  <c r="C1805" i="35" s="1"/>
  <c r="F1805" i="35"/>
  <c r="G1805" i="35" s="1"/>
  <c r="J1805" i="35"/>
  <c r="K1805" i="35" s="1"/>
  <c r="Q1805" i="35"/>
  <c r="C1804" i="35" a="1"/>
  <c r="C1804" i="35" s="1"/>
  <c r="F1804" i="35"/>
  <c r="G1804" i="35" s="1"/>
  <c r="J1804" i="35"/>
  <c r="K1804" i="35" s="1"/>
  <c r="Q1804" i="35"/>
  <c r="C1803" i="35" a="1"/>
  <c r="C1803" i="35" s="1"/>
  <c r="F1803" i="35"/>
  <c r="G1803" i="35" s="1"/>
  <c r="J1803" i="35"/>
  <c r="K1803" i="35" s="1"/>
  <c r="Q1803" i="35"/>
  <c r="C1802" i="35" a="1"/>
  <c r="C1802" i="35" s="1"/>
  <c r="F1802" i="35"/>
  <c r="G1802" i="35" s="1"/>
  <c r="J1802" i="35"/>
  <c r="K1802" i="35" s="1"/>
  <c r="Q1802" i="35"/>
  <c r="B598" i="33" a="1"/>
  <c r="B598" i="33" s="1"/>
  <c r="E598" i="33" a="1"/>
  <c r="E598" i="33" s="1"/>
  <c r="F598" i="33" a="1"/>
  <c r="F598" i="33" s="1"/>
  <c r="G598" i="33" a="1"/>
  <c r="G598" i="33" s="1"/>
  <c r="L598" i="33" a="1"/>
  <c r="L598" i="33" s="1"/>
  <c r="M598" i="33"/>
  <c r="N598" i="33"/>
  <c r="P598" i="33"/>
  <c r="C1801" i="35" a="1"/>
  <c r="C1801" i="35" s="1"/>
  <c r="F1801" i="35"/>
  <c r="G1801" i="35" s="1"/>
  <c r="J1801" i="35"/>
  <c r="K1801" i="35" s="1"/>
  <c r="Q1801" i="35"/>
  <c r="C832" i="31" a="1"/>
  <c r="C832" i="31" s="1"/>
  <c r="D832" i="31" a="1"/>
  <c r="D832" i="31" s="1"/>
  <c r="L832" i="31"/>
  <c r="Q832" i="31"/>
  <c r="R832" i="31"/>
  <c r="U832" i="31"/>
  <c r="V832" i="31"/>
  <c r="W832" i="31"/>
  <c r="AB832" i="31"/>
  <c r="AC832" i="31"/>
  <c r="AF832" i="31"/>
  <c r="C831" i="31" a="1"/>
  <c r="C831" i="31" s="1"/>
  <c r="D831" i="31" a="1"/>
  <c r="D831" i="31" s="1"/>
  <c r="L831" i="31"/>
  <c r="Q831" i="31"/>
  <c r="R831" i="31"/>
  <c r="U831" i="31"/>
  <c r="V831" i="31"/>
  <c r="W831" i="31"/>
  <c r="AB831" i="31"/>
  <c r="AC831" i="31"/>
  <c r="AF831" i="31"/>
  <c r="C1800" i="35" a="1"/>
  <c r="C1800" i="35" s="1"/>
  <c r="J1800" i="35"/>
  <c r="K1800" i="35" s="1"/>
  <c r="Q1800" i="35"/>
  <c r="C1799" i="35" a="1"/>
  <c r="C1799" i="35" s="1"/>
  <c r="F1799" i="35"/>
  <c r="G1799" i="35" s="1"/>
  <c r="J1799" i="35"/>
  <c r="K1799" i="35" s="1"/>
  <c r="Q1799" i="35"/>
  <c r="H447" i="6"/>
  <c r="L450" i="6" s="1"/>
  <c r="I447" i="6"/>
  <c r="K447" i="6" s="1"/>
  <c r="U447" i="6"/>
  <c r="H446" i="6"/>
  <c r="J446" i="6" s="1"/>
  <c r="I446" i="6"/>
  <c r="K446" i="6" s="1"/>
  <c r="U446" i="6"/>
  <c r="H445" i="6"/>
  <c r="J445" i="6" s="1"/>
  <c r="I445" i="6"/>
  <c r="K445" i="6" s="1"/>
  <c r="U445" i="6"/>
  <c r="C1798" i="35" a="1"/>
  <c r="C1798" i="35" s="1"/>
  <c r="F1798" i="35"/>
  <c r="G1798" i="35" s="1"/>
  <c r="J1798" i="35"/>
  <c r="K1798" i="35" s="1"/>
  <c r="Q1798" i="35"/>
  <c r="B42" i="33" a="1"/>
  <c r="B42" i="33" s="1"/>
  <c r="E42" i="33" a="1"/>
  <c r="E42" i="33" s="1"/>
  <c r="F42" i="33" a="1"/>
  <c r="F42" i="33" s="1"/>
  <c r="G42" i="33" a="1"/>
  <c r="G42" i="33" s="1"/>
  <c r="L42" i="33" a="1"/>
  <c r="L42" i="33" s="1"/>
  <c r="P42" i="33"/>
  <c r="C830" i="31" a="1"/>
  <c r="C830" i="31" s="1"/>
  <c r="D830" i="31" a="1"/>
  <c r="D830" i="31" s="1"/>
  <c r="L830" i="31"/>
  <c r="Q830" i="31"/>
  <c r="R830" i="31"/>
  <c r="U830" i="31"/>
  <c r="V830" i="31"/>
  <c r="W830" i="31"/>
  <c r="AB830" i="31"/>
  <c r="AC830" i="31"/>
  <c r="AF830" i="31"/>
  <c r="C1797" i="35" a="1"/>
  <c r="C1797" i="35" s="1"/>
  <c r="F1797" i="35"/>
  <c r="G1797" i="35" s="1"/>
  <c r="J1797" i="35"/>
  <c r="K1797" i="35" s="1"/>
  <c r="Q1797" i="35"/>
  <c r="C1796" i="35" a="1"/>
  <c r="C1796" i="35" s="1"/>
  <c r="F1796" i="35"/>
  <c r="G1796" i="35" s="1"/>
  <c r="J1796" i="35"/>
  <c r="K1796" i="35" s="1"/>
  <c r="Q1796" i="35"/>
  <c r="C1795" i="35" a="1"/>
  <c r="C1795" i="35" s="1"/>
  <c r="F1795" i="35"/>
  <c r="G1795" i="35" s="1"/>
  <c r="J1795" i="35"/>
  <c r="K1795" i="35" s="1"/>
  <c r="Q1795" i="35"/>
  <c r="C1794" i="35" a="1"/>
  <c r="C1794" i="35" s="1"/>
  <c r="F1794" i="35"/>
  <c r="G1794" i="35" s="1"/>
  <c r="J1794" i="35"/>
  <c r="K1794" i="35" s="1"/>
  <c r="Q1794" i="35"/>
  <c r="C1793" i="35" a="1"/>
  <c r="C1793" i="35" s="1"/>
  <c r="F1793" i="35"/>
  <c r="G1793" i="35" s="1"/>
  <c r="J1793" i="35"/>
  <c r="K1793" i="35" s="1"/>
  <c r="Q1793" i="35"/>
  <c r="C1792" i="35" a="1"/>
  <c r="C1792" i="35" s="1"/>
  <c r="F1792" i="35"/>
  <c r="G1792" i="35" s="1"/>
  <c r="J1792" i="35"/>
  <c r="K1792" i="35" s="1"/>
  <c r="Q1792" i="35"/>
  <c r="C1791" i="35" a="1"/>
  <c r="C1791" i="35" s="1"/>
  <c r="F1791" i="35"/>
  <c r="G1791" i="35" s="1"/>
  <c r="J1791" i="35"/>
  <c r="K1791" i="35" s="1"/>
  <c r="Q1791" i="35"/>
  <c r="C1790" i="35" a="1"/>
  <c r="C1790" i="35" s="1"/>
  <c r="F1790" i="35"/>
  <c r="G1790" i="35" s="1"/>
  <c r="J1790" i="35"/>
  <c r="K1790" i="35" s="1"/>
  <c r="Q1790" i="35"/>
  <c r="C1789" i="35" a="1"/>
  <c r="C1789" i="35" s="1"/>
  <c r="F1789" i="35"/>
  <c r="G1789" i="35" s="1"/>
  <c r="J1789" i="35"/>
  <c r="K1789" i="35" s="1"/>
  <c r="Q1789" i="35"/>
  <c r="C1788" i="35" a="1"/>
  <c r="C1788" i="35" s="1"/>
  <c r="F1788" i="35"/>
  <c r="G1788" i="35" s="1"/>
  <c r="J1788" i="35"/>
  <c r="K1788" i="35" s="1"/>
  <c r="Q1788" i="35"/>
  <c r="B597" i="33" a="1"/>
  <c r="B597" i="33" s="1"/>
  <c r="E597" i="33" a="1"/>
  <c r="E597" i="33" s="1"/>
  <c r="F597" i="33" a="1"/>
  <c r="F597" i="33" s="1"/>
  <c r="G597" i="33" a="1"/>
  <c r="G597" i="33" s="1"/>
  <c r="L597" i="33" a="1"/>
  <c r="L597" i="33" s="1"/>
  <c r="M597" i="33"/>
  <c r="N597" i="33"/>
  <c r="P597" i="33"/>
  <c r="C1787" i="35" a="1"/>
  <c r="C1787" i="35" s="1"/>
  <c r="F1787" i="35"/>
  <c r="G1787" i="35" s="1"/>
  <c r="J1787" i="35"/>
  <c r="K1787" i="35" s="1"/>
  <c r="Q1787" i="35"/>
  <c r="C1786" i="35" a="1"/>
  <c r="C1786" i="35" s="1"/>
  <c r="F1786" i="35"/>
  <c r="G1786" i="35" s="1"/>
  <c r="J1786" i="35"/>
  <c r="K1786" i="35" s="1"/>
  <c r="Q1786" i="35"/>
  <c r="C1785" i="35" a="1"/>
  <c r="C1785" i="35" s="1"/>
  <c r="F1785" i="35"/>
  <c r="G1785" i="35" s="1"/>
  <c r="J1785" i="35"/>
  <c r="K1785" i="35" s="1"/>
  <c r="Q1785" i="35"/>
  <c r="B43" i="33" a="1"/>
  <c r="B43" i="33" s="1"/>
  <c r="E43" i="33" a="1"/>
  <c r="E43" i="33" s="1"/>
  <c r="F43" i="33" a="1"/>
  <c r="F43" i="33" s="1"/>
  <c r="G43" i="33" a="1"/>
  <c r="G43" i="33" s="1"/>
  <c r="L43" i="33" a="1"/>
  <c r="L43" i="33" s="1"/>
  <c r="M43" i="33"/>
  <c r="N43" i="33"/>
  <c r="P43" i="33"/>
  <c r="C1784" i="35" a="1"/>
  <c r="C1784" i="35" s="1"/>
  <c r="F1784" i="35"/>
  <c r="G1784" i="35" s="1"/>
  <c r="J1784" i="35"/>
  <c r="K1784" i="35" s="1"/>
  <c r="Q1784" i="35"/>
  <c r="C829" i="31" a="1"/>
  <c r="C829" i="31" s="1"/>
  <c r="D829" i="31" a="1"/>
  <c r="D829" i="31" s="1"/>
  <c r="L829" i="31"/>
  <c r="Q829" i="31"/>
  <c r="R829" i="31"/>
  <c r="U829" i="31"/>
  <c r="V829" i="31"/>
  <c r="W829" i="31"/>
  <c r="AB829" i="31"/>
  <c r="AC829" i="31"/>
  <c r="AF829" i="31"/>
  <c r="C1783" i="35" a="1"/>
  <c r="C1783" i="35" s="1"/>
  <c r="F1783" i="35"/>
  <c r="G1783" i="35" s="1"/>
  <c r="J1783" i="35"/>
  <c r="K1783" i="35" s="1"/>
  <c r="Q1783" i="35"/>
  <c r="C828" i="31" a="1"/>
  <c r="C828" i="31" s="1"/>
  <c r="D828" i="31" a="1"/>
  <c r="D828" i="31" s="1"/>
  <c r="L828" i="31"/>
  <c r="Q828" i="31"/>
  <c r="R828" i="31"/>
  <c r="U828" i="31"/>
  <c r="V828" i="31"/>
  <c r="W828" i="31"/>
  <c r="AB828" i="31"/>
  <c r="AC828" i="31"/>
  <c r="AF828" i="31"/>
  <c r="C827" i="31" a="1"/>
  <c r="C827" i="31" s="1"/>
  <c r="D827" i="31" a="1"/>
  <c r="D827" i="31" s="1"/>
  <c r="L827" i="31"/>
  <c r="Q827" i="31"/>
  <c r="R827" i="31"/>
  <c r="U827" i="31"/>
  <c r="V827" i="31"/>
  <c r="W827" i="31"/>
  <c r="AB827" i="31"/>
  <c r="AC827" i="31"/>
  <c r="AF827" i="31"/>
  <c r="C1782" i="35" a="1"/>
  <c r="C1782" i="35" s="1"/>
  <c r="F1782" i="35"/>
  <c r="G1782" i="35" s="1"/>
  <c r="J1782" i="35"/>
  <c r="K1782" i="35" s="1"/>
  <c r="Q1782" i="35"/>
  <c r="C1781" i="35" a="1"/>
  <c r="C1781" i="35" s="1"/>
  <c r="F1781" i="35"/>
  <c r="G1781" i="35" s="1"/>
  <c r="J1781" i="35"/>
  <c r="K1781" i="35" s="1"/>
  <c r="Q1781" i="35"/>
  <c r="C1780" i="35" a="1"/>
  <c r="C1780" i="35" s="1"/>
  <c r="F1780" i="35"/>
  <c r="G1780" i="35" s="1"/>
  <c r="J1780" i="35"/>
  <c r="K1780" i="35" s="1"/>
  <c r="Q1780" i="35"/>
  <c r="C1779" i="35" a="1"/>
  <c r="C1779" i="35" s="1"/>
  <c r="F1779" i="35"/>
  <c r="G1779" i="35" s="1"/>
  <c r="J1779" i="35"/>
  <c r="K1779" i="35" s="1"/>
  <c r="Q1779" i="35"/>
  <c r="C1778" i="35" a="1"/>
  <c r="C1778" i="35" s="1"/>
  <c r="F1778" i="35"/>
  <c r="G1778" i="35" s="1"/>
  <c r="J1778" i="35"/>
  <c r="K1778" i="35" s="1"/>
  <c r="Q1778" i="35"/>
  <c r="C1777" i="35" a="1"/>
  <c r="C1777" i="35" s="1"/>
  <c r="F1777" i="35"/>
  <c r="G1777" i="35" s="1"/>
  <c r="J1777" i="35"/>
  <c r="K1777" i="35" s="1"/>
  <c r="Q1777" i="35"/>
  <c r="H444" i="6"/>
  <c r="J444" i="6" s="1"/>
  <c r="I444" i="6"/>
  <c r="K444" i="6" s="1"/>
  <c r="U444" i="6"/>
  <c r="H443" i="6"/>
  <c r="J443" i="6" s="1"/>
  <c r="I443" i="6"/>
  <c r="K443" i="6" s="1"/>
  <c r="U443" i="6"/>
  <c r="C826" i="31" a="1"/>
  <c r="C826" i="31" s="1"/>
  <c r="D826" i="31" a="1"/>
  <c r="D826" i="31" s="1"/>
  <c r="L826" i="31"/>
  <c r="Q826" i="31"/>
  <c r="R826" i="31"/>
  <c r="U826" i="31"/>
  <c r="V826" i="31"/>
  <c r="W826" i="31"/>
  <c r="AB826" i="31"/>
  <c r="AC826" i="31"/>
  <c r="AF826" i="31"/>
  <c r="C825" i="31" a="1"/>
  <c r="C825" i="31" s="1"/>
  <c r="D825" i="31" a="1"/>
  <c r="D825" i="31" s="1"/>
  <c r="L825" i="31"/>
  <c r="Q825" i="31"/>
  <c r="R825" i="31"/>
  <c r="U825" i="31"/>
  <c r="V825" i="31"/>
  <c r="W825" i="31"/>
  <c r="AB825" i="31"/>
  <c r="AC825" i="31"/>
  <c r="AF825" i="31"/>
  <c r="C824" i="31" a="1"/>
  <c r="C824" i="31" s="1"/>
  <c r="D824" i="31" a="1"/>
  <c r="D824" i="31" s="1"/>
  <c r="L824" i="31"/>
  <c r="Q824" i="31"/>
  <c r="R824" i="31"/>
  <c r="U824" i="31"/>
  <c r="V824" i="31"/>
  <c r="W824" i="31"/>
  <c r="AB824" i="31"/>
  <c r="AC824" i="31"/>
  <c r="AF824" i="31"/>
  <c r="C823" i="31" a="1"/>
  <c r="C823" i="31" s="1"/>
  <c r="D823" i="31" a="1"/>
  <c r="D823" i="31" s="1"/>
  <c r="L823" i="31"/>
  <c r="Q823" i="31"/>
  <c r="R823" i="31"/>
  <c r="U823" i="31"/>
  <c r="V823" i="31"/>
  <c r="W823" i="31"/>
  <c r="AB823" i="31"/>
  <c r="AC823" i="31"/>
  <c r="AF823" i="31"/>
  <c r="C822" i="31" a="1"/>
  <c r="C822" i="31" s="1"/>
  <c r="D822" i="31" a="1"/>
  <c r="D822" i="31" s="1"/>
  <c r="L822" i="31"/>
  <c r="Q822" i="31"/>
  <c r="R822" i="31"/>
  <c r="U822" i="31"/>
  <c r="V822" i="31"/>
  <c r="W822" i="31"/>
  <c r="AB822" i="31"/>
  <c r="AC822" i="31"/>
  <c r="AF822" i="31"/>
  <c r="C821" i="31" a="1"/>
  <c r="C821" i="31" s="1"/>
  <c r="D821" i="31" a="1"/>
  <c r="D821" i="31" s="1"/>
  <c r="L821" i="31"/>
  <c r="Q821" i="31"/>
  <c r="R821" i="31"/>
  <c r="U821" i="31"/>
  <c r="V821" i="31"/>
  <c r="W821" i="31"/>
  <c r="AB821" i="31"/>
  <c r="AC821" i="31"/>
  <c r="AF821" i="31"/>
  <c r="C820" i="31" a="1"/>
  <c r="C820" i="31" s="1"/>
  <c r="D820" i="31" a="1"/>
  <c r="D820" i="31" s="1"/>
  <c r="L820" i="31"/>
  <c r="Q820" i="31"/>
  <c r="R820" i="31"/>
  <c r="U820" i="31"/>
  <c r="V820" i="31"/>
  <c r="W820" i="31"/>
  <c r="AB820" i="31"/>
  <c r="AC820" i="31"/>
  <c r="AF820" i="31"/>
  <c r="C819" i="31" a="1"/>
  <c r="C819" i="31" s="1"/>
  <c r="D819" i="31" a="1"/>
  <c r="D819" i="31" s="1"/>
  <c r="L819" i="31"/>
  <c r="Q819" i="31"/>
  <c r="R819" i="31"/>
  <c r="U819" i="31"/>
  <c r="V819" i="31"/>
  <c r="W819" i="31"/>
  <c r="AB819" i="31"/>
  <c r="AC819" i="31"/>
  <c r="AF819" i="31"/>
  <c r="C1776" i="35" a="1"/>
  <c r="C1776" i="35" s="1"/>
  <c r="F1776" i="35"/>
  <c r="G1776" i="35" s="1"/>
  <c r="J1776" i="35"/>
  <c r="K1776" i="35" s="1"/>
  <c r="Q1776" i="35"/>
  <c r="C1775" i="35" a="1"/>
  <c r="C1775" i="35" s="1"/>
  <c r="F1775" i="35"/>
  <c r="G1775" i="35" s="1"/>
  <c r="J1775" i="35"/>
  <c r="K1775" i="35" s="1"/>
  <c r="Q1775" i="35"/>
  <c r="C1774" i="35" a="1"/>
  <c r="C1774" i="35" s="1"/>
  <c r="F1774" i="35"/>
  <c r="G1774" i="35" s="1"/>
  <c r="J1774" i="35"/>
  <c r="K1774" i="35" s="1"/>
  <c r="Q1774" i="35"/>
  <c r="C1773" i="35" a="1"/>
  <c r="C1773" i="35" s="1"/>
  <c r="F1773" i="35"/>
  <c r="G1773" i="35" s="1"/>
  <c r="J1773" i="35"/>
  <c r="K1773" i="35" s="1"/>
  <c r="Q1773" i="35"/>
  <c r="C1772" i="35" a="1"/>
  <c r="C1772" i="35" s="1"/>
  <c r="F1772" i="35"/>
  <c r="G1772" i="35" s="1"/>
  <c r="J1772" i="35"/>
  <c r="K1772" i="35" s="1"/>
  <c r="Q1772" i="35"/>
  <c r="C1771" i="35" a="1"/>
  <c r="C1771" i="35" s="1"/>
  <c r="F1771" i="35"/>
  <c r="G1771" i="35" s="1"/>
  <c r="J1771" i="35"/>
  <c r="K1771" i="35" s="1"/>
  <c r="Q1771" i="35"/>
  <c r="C1770" i="35" a="1"/>
  <c r="C1770" i="35" s="1"/>
  <c r="F1770" i="35"/>
  <c r="G1770" i="35" s="1"/>
  <c r="J1770" i="35"/>
  <c r="K1770" i="35" s="1"/>
  <c r="Q1770" i="35"/>
  <c r="C1769" i="35" a="1"/>
  <c r="C1769" i="35" s="1"/>
  <c r="F1769" i="35"/>
  <c r="G1769" i="35" s="1"/>
  <c r="J1769" i="35"/>
  <c r="K1769" i="35" s="1"/>
  <c r="Q1769" i="35"/>
  <c r="C1768" i="35" a="1"/>
  <c r="C1768" i="35" s="1"/>
  <c r="F1768" i="35"/>
  <c r="G1768" i="35" s="1"/>
  <c r="J1768" i="35"/>
  <c r="K1768" i="35" s="1"/>
  <c r="Q1768" i="35"/>
  <c r="C1767" i="35" a="1"/>
  <c r="C1767" i="35" s="1"/>
  <c r="F1767" i="35"/>
  <c r="G1767" i="35" s="1"/>
  <c r="J1767" i="35"/>
  <c r="K1767" i="35" s="1"/>
  <c r="Q1767" i="35"/>
  <c r="C1766" i="35" a="1"/>
  <c r="C1766" i="35" s="1"/>
  <c r="F1766" i="35"/>
  <c r="G1766" i="35" s="1"/>
  <c r="J1766" i="35"/>
  <c r="K1766" i="35" s="1"/>
  <c r="Q1766" i="35"/>
  <c r="C1765" i="35" a="1"/>
  <c r="C1765" i="35" s="1"/>
  <c r="F1765" i="35"/>
  <c r="G1765" i="35" s="1"/>
  <c r="J1765" i="35"/>
  <c r="K1765" i="35" s="1"/>
  <c r="Q1765" i="35"/>
  <c r="C1764" i="35" a="1"/>
  <c r="C1764" i="35" s="1"/>
  <c r="F1764" i="35"/>
  <c r="G1764" i="35" s="1"/>
  <c r="J1764" i="35"/>
  <c r="K1764" i="35" s="1"/>
  <c r="Q1764" i="35"/>
  <c r="C1763" i="35" a="1"/>
  <c r="C1763" i="35" s="1"/>
  <c r="F1763" i="35"/>
  <c r="G1763" i="35" s="1"/>
  <c r="J1763" i="35"/>
  <c r="K1763" i="35" s="1"/>
  <c r="Q1763" i="35"/>
  <c r="C1762" i="35" a="1"/>
  <c r="C1762" i="35" s="1"/>
  <c r="F1762" i="35"/>
  <c r="G1762" i="35" s="1"/>
  <c r="J1762" i="35"/>
  <c r="K1762" i="35" s="1"/>
  <c r="Q1762" i="35"/>
  <c r="C1761" i="35" a="1"/>
  <c r="C1761" i="35" s="1"/>
  <c r="F1761" i="35"/>
  <c r="G1761" i="35" s="1"/>
  <c r="J1761" i="35"/>
  <c r="K1761" i="35" s="1"/>
  <c r="Q1761" i="35"/>
  <c r="C1760" i="35" a="1"/>
  <c r="C1760" i="35" s="1"/>
  <c r="F1760" i="35"/>
  <c r="G1760" i="35" s="1"/>
  <c r="J1760" i="35"/>
  <c r="K1760" i="35" s="1"/>
  <c r="Q1760" i="35"/>
  <c r="C1759" i="35" a="1"/>
  <c r="C1759" i="35" s="1"/>
  <c r="F1759" i="35"/>
  <c r="G1759" i="35" s="1"/>
  <c r="J1759" i="35"/>
  <c r="K1759" i="35" s="1"/>
  <c r="Q1759" i="35"/>
  <c r="C1758" i="35" a="1"/>
  <c r="C1758" i="35" s="1"/>
  <c r="F1758" i="35"/>
  <c r="G1758" i="35" s="1"/>
  <c r="J1758" i="35"/>
  <c r="K1758" i="35" s="1"/>
  <c r="Q1758" i="35"/>
  <c r="C1757" i="35" a="1"/>
  <c r="C1757" i="35" s="1"/>
  <c r="F1757" i="35"/>
  <c r="G1757" i="35" s="1"/>
  <c r="J1757" i="35"/>
  <c r="K1757" i="35" s="1"/>
  <c r="Q1757" i="35"/>
  <c r="C1756" i="35" a="1"/>
  <c r="C1756" i="35" s="1"/>
  <c r="F1756" i="35"/>
  <c r="G1756" i="35" s="1"/>
  <c r="J1756" i="35"/>
  <c r="K1756" i="35" s="1"/>
  <c r="Q1756" i="35"/>
  <c r="C1755" i="35" a="1"/>
  <c r="C1755" i="35" s="1"/>
  <c r="F1755" i="35"/>
  <c r="G1755" i="35" s="1"/>
  <c r="J1755" i="35"/>
  <c r="K1755" i="35" s="1"/>
  <c r="Q1755" i="35"/>
  <c r="C1754" i="35" a="1"/>
  <c r="C1754" i="35" s="1"/>
  <c r="F1754" i="35"/>
  <c r="G1754" i="35" s="1"/>
  <c r="J1754" i="35"/>
  <c r="K1754" i="35" s="1"/>
  <c r="Q1754" i="35"/>
  <c r="C1753" i="35" a="1"/>
  <c r="C1753" i="35" s="1"/>
  <c r="F1753" i="35"/>
  <c r="G1753" i="35" s="1"/>
  <c r="J1753" i="35"/>
  <c r="K1753" i="35" s="1"/>
  <c r="Q1753" i="35"/>
  <c r="C1752" i="35" a="1"/>
  <c r="C1752" i="35" s="1"/>
  <c r="F1752" i="35"/>
  <c r="G1752" i="35" s="1"/>
  <c r="J1752" i="35"/>
  <c r="K1752" i="35" s="1"/>
  <c r="Q1752" i="35"/>
  <c r="C1751" i="35" a="1"/>
  <c r="C1751" i="35" s="1"/>
  <c r="F1751" i="35"/>
  <c r="G1751" i="35" s="1"/>
  <c r="J1751" i="35"/>
  <c r="K1751" i="35" s="1"/>
  <c r="Q1751" i="35"/>
  <c r="C1750" i="35" a="1"/>
  <c r="C1750" i="35" s="1"/>
  <c r="F1750" i="35"/>
  <c r="G1750" i="35" s="1"/>
  <c r="J1750" i="35"/>
  <c r="K1750" i="35" s="1"/>
  <c r="Q1750" i="35"/>
  <c r="C1749" i="35" a="1"/>
  <c r="C1749" i="35" s="1"/>
  <c r="F1749" i="35"/>
  <c r="G1749" i="35" s="1"/>
  <c r="J1749" i="35"/>
  <c r="K1749" i="35" s="1"/>
  <c r="Q1749" i="35"/>
  <c r="C1748" i="35" a="1"/>
  <c r="C1748" i="35" s="1"/>
  <c r="F1748" i="35"/>
  <c r="G1748" i="35" s="1"/>
  <c r="J1748" i="35"/>
  <c r="K1748" i="35" s="1"/>
  <c r="Q1748" i="35"/>
  <c r="C1747" i="35" a="1"/>
  <c r="C1747" i="35" s="1"/>
  <c r="F1747" i="35"/>
  <c r="G1747" i="35" s="1"/>
  <c r="J1747" i="35"/>
  <c r="K1747" i="35" s="1"/>
  <c r="Q1747" i="35"/>
  <c r="C1746" i="35" a="1"/>
  <c r="C1746" i="35" s="1"/>
  <c r="F1746" i="35"/>
  <c r="G1746" i="35" s="1"/>
  <c r="J1746" i="35"/>
  <c r="K1746" i="35" s="1"/>
  <c r="Q1746" i="35"/>
  <c r="C1745" i="35" a="1"/>
  <c r="C1745" i="35" s="1"/>
  <c r="F1745" i="35"/>
  <c r="G1745" i="35" s="1"/>
  <c r="J1745" i="35"/>
  <c r="K1745" i="35" s="1"/>
  <c r="Q1745" i="35"/>
  <c r="C1744" i="35" a="1"/>
  <c r="C1744" i="35" s="1"/>
  <c r="F1744" i="35"/>
  <c r="G1744" i="35" s="1"/>
  <c r="J1744" i="35"/>
  <c r="K1744" i="35" s="1"/>
  <c r="Q1744" i="35"/>
  <c r="C1743" i="35" a="1"/>
  <c r="C1743" i="35" s="1"/>
  <c r="F1743" i="35"/>
  <c r="G1743" i="35" s="1"/>
  <c r="J1743" i="35"/>
  <c r="K1743" i="35" s="1"/>
  <c r="Q1743" i="35"/>
  <c r="C1742" i="35" a="1"/>
  <c r="C1742" i="35" s="1"/>
  <c r="F1742" i="35"/>
  <c r="G1742" i="35" s="1"/>
  <c r="J1742" i="35"/>
  <c r="K1742" i="35" s="1"/>
  <c r="Q1742" i="35"/>
  <c r="C1741" i="35" a="1"/>
  <c r="C1741" i="35" s="1"/>
  <c r="F1741" i="35"/>
  <c r="G1741" i="35" s="1"/>
  <c r="J1741" i="35"/>
  <c r="K1741" i="35" s="1"/>
  <c r="Q1741" i="35"/>
  <c r="C1740" i="35" a="1"/>
  <c r="C1740" i="35" s="1"/>
  <c r="F1740" i="35"/>
  <c r="G1740" i="35" s="1"/>
  <c r="J1740" i="35"/>
  <c r="K1740" i="35" s="1"/>
  <c r="Q1740" i="35"/>
  <c r="C1739" i="35" a="1"/>
  <c r="C1739" i="35" s="1"/>
  <c r="F1739" i="35"/>
  <c r="G1739" i="35" s="1"/>
  <c r="J1739" i="35"/>
  <c r="K1739" i="35" s="1"/>
  <c r="Q1739" i="35"/>
  <c r="C1738" i="35" a="1"/>
  <c r="C1738" i="35" s="1"/>
  <c r="F1738" i="35"/>
  <c r="G1738" i="35" s="1"/>
  <c r="J1738" i="35"/>
  <c r="K1738" i="35" s="1"/>
  <c r="Q1738" i="35"/>
  <c r="C1737" i="35" a="1"/>
  <c r="C1737" i="35" s="1"/>
  <c r="F1737" i="35"/>
  <c r="G1737" i="35" s="1"/>
  <c r="J1737" i="35"/>
  <c r="K1737" i="35" s="1"/>
  <c r="Q1737" i="35"/>
  <c r="C1736" i="35" a="1"/>
  <c r="C1736" i="35" s="1"/>
  <c r="F1736" i="35"/>
  <c r="G1736" i="35" s="1"/>
  <c r="J1736" i="35"/>
  <c r="K1736" i="35" s="1"/>
  <c r="Q1736" i="35"/>
  <c r="C1735" i="35" a="1"/>
  <c r="C1735" i="35" s="1"/>
  <c r="F1735" i="35"/>
  <c r="G1735" i="35" s="1"/>
  <c r="J1735" i="35"/>
  <c r="K1735" i="35" s="1"/>
  <c r="Q1735" i="35"/>
  <c r="B596" i="33" a="1"/>
  <c r="B596" i="33" s="1"/>
  <c r="E596" i="33" a="1"/>
  <c r="E596" i="33" s="1"/>
  <c r="F596" i="33" a="1"/>
  <c r="F596" i="33" s="1"/>
  <c r="G596" i="33" a="1"/>
  <c r="G596" i="33" s="1"/>
  <c r="L596" i="33" a="1"/>
  <c r="L596" i="33" s="1"/>
  <c r="M596" i="33"/>
  <c r="N596" i="33"/>
  <c r="P596" i="33"/>
  <c r="C1734" i="35" a="1"/>
  <c r="C1734" i="35" s="1"/>
  <c r="F1734" i="35"/>
  <c r="G1734" i="35" s="1"/>
  <c r="J1734" i="35"/>
  <c r="K1734" i="35" s="1"/>
  <c r="Q1734" i="35"/>
  <c r="B25" i="33" a="1"/>
  <c r="B25" i="33" s="1"/>
  <c r="E25" i="33" a="1"/>
  <c r="E25" i="33" s="1"/>
  <c r="F25" i="33" a="1"/>
  <c r="F25" i="33" s="1"/>
  <c r="G25" i="33" a="1"/>
  <c r="G25" i="33" s="1"/>
  <c r="L25" i="33" a="1"/>
  <c r="L25" i="33" s="1"/>
  <c r="M25" i="33"/>
  <c r="N25" i="33"/>
  <c r="P25" i="33"/>
  <c r="C1733" i="35" a="1"/>
  <c r="C1733" i="35" s="1"/>
  <c r="F1733" i="35"/>
  <c r="G1733" i="35" s="1"/>
  <c r="J1733" i="35"/>
  <c r="K1733" i="35" s="1"/>
  <c r="Q1733" i="35"/>
  <c r="C1732" i="35" a="1"/>
  <c r="C1732" i="35" s="1"/>
  <c r="F1732" i="35"/>
  <c r="G1732" i="35" s="1"/>
  <c r="J1732" i="35"/>
  <c r="K1732" i="35" s="1"/>
  <c r="Q1732" i="35"/>
  <c r="C1731" i="35" a="1"/>
  <c r="C1731" i="35" s="1"/>
  <c r="F1731" i="35"/>
  <c r="G1731" i="35" s="1"/>
  <c r="J1731" i="35"/>
  <c r="K1731" i="35" s="1"/>
  <c r="Q1731" i="35"/>
  <c r="C1730" i="35" a="1"/>
  <c r="C1730" i="35" s="1"/>
  <c r="F1730" i="35"/>
  <c r="G1730" i="35" s="1"/>
  <c r="J1730" i="35"/>
  <c r="K1730" i="35" s="1"/>
  <c r="Q1730" i="35"/>
  <c r="C1729" i="35" a="1"/>
  <c r="C1729" i="35" s="1"/>
  <c r="F1729" i="35"/>
  <c r="G1729" i="35" s="1"/>
  <c r="J1729" i="35"/>
  <c r="K1729" i="35" s="1"/>
  <c r="Q1729" i="35"/>
  <c r="C1728" i="35" a="1"/>
  <c r="C1728" i="35" s="1"/>
  <c r="F1728" i="35"/>
  <c r="G1728" i="35" s="1"/>
  <c r="J1728" i="35"/>
  <c r="K1728" i="35" s="1"/>
  <c r="Q1728" i="35"/>
  <c r="C1727" i="35" a="1"/>
  <c r="C1727" i="35" s="1"/>
  <c r="F1727" i="35"/>
  <c r="G1727" i="35" s="1"/>
  <c r="J1727" i="35"/>
  <c r="K1727" i="35" s="1"/>
  <c r="Q1727" i="35"/>
  <c r="C1726" i="35" a="1"/>
  <c r="C1726" i="35" s="1"/>
  <c r="F1726" i="35"/>
  <c r="G1726" i="35" s="1"/>
  <c r="J1726" i="35"/>
  <c r="K1726" i="35" s="1"/>
  <c r="Q1726" i="35"/>
  <c r="C1725" i="35" a="1"/>
  <c r="C1725" i="35" s="1"/>
  <c r="F1725" i="35"/>
  <c r="G1725" i="35" s="1"/>
  <c r="J1725" i="35"/>
  <c r="K1725" i="35" s="1"/>
  <c r="Q1725" i="35"/>
  <c r="C1724" i="35" a="1"/>
  <c r="C1724" i="35" s="1"/>
  <c r="F1724" i="35"/>
  <c r="G1724" i="35" s="1"/>
  <c r="J1724" i="35"/>
  <c r="K1724" i="35" s="1"/>
  <c r="Q1724" i="35"/>
  <c r="C1723" i="35" a="1"/>
  <c r="C1723" i="35" s="1"/>
  <c r="F1723" i="35"/>
  <c r="G1723" i="35" s="1"/>
  <c r="J1723" i="35"/>
  <c r="K1723" i="35" s="1"/>
  <c r="Q1723" i="35"/>
  <c r="C1722" i="35" a="1"/>
  <c r="C1722" i="35" s="1"/>
  <c r="F1722" i="35"/>
  <c r="G1722" i="35" s="1"/>
  <c r="J1722" i="35"/>
  <c r="K1722" i="35" s="1"/>
  <c r="Q1722" i="35"/>
  <c r="C1721" i="35" a="1"/>
  <c r="C1721" i="35" s="1"/>
  <c r="F1721" i="35"/>
  <c r="G1721" i="35" s="1"/>
  <c r="J1721" i="35"/>
  <c r="K1721" i="35" s="1"/>
  <c r="Q1721" i="35"/>
  <c r="C1720" i="35" a="1"/>
  <c r="C1720" i="35" s="1"/>
  <c r="F1720" i="35"/>
  <c r="G1720" i="35" s="1"/>
  <c r="J1720" i="35"/>
  <c r="K1720" i="35" s="1"/>
  <c r="Q1720" i="35"/>
  <c r="C1719" i="35" a="1"/>
  <c r="C1719" i="35" s="1"/>
  <c r="F1719" i="35"/>
  <c r="G1719" i="35" s="1"/>
  <c r="J1719" i="35"/>
  <c r="K1719" i="35" s="1"/>
  <c r="Q1719" i="35"/>
  <c r="C1718" i="35" a="1"/>
  <c r="C1718" i="35" s="1"/>
  <c r="F1718" i="35"/>
  <c r="G1718" i="35" s="1"/>
  <c r="J1718" i="35"/>
  <c r="K1718" i="35" s="1"/>
  <c r="Q1718" i="35"/>
  <c r="C1717" i="35" a="1"/>
  <c r="C1717" i="35" s="1"/>
  <c r="F1717" i="35"/>
  <c r="G1717" i="35" s="1"/>
  <c r="J1717" i="35"/>
  <c r="K1717" i="35" s="1"/>
  <c r="Q1717" i="35"/>
  <c r="C1716" i="35" a="1"/>
  <c r="C1716" i="35" s="1"/>
  <c r="F1716" i="35"/>
  <c r="G1716" i="35" s="1"/>
  <c r="J1716" i="35"/>
  <c r="K1716" i="35" s="1"/>
  <c r="Q1716" i="35"/>
  <c r="C818" i="31" a="1"/>
  <c r="C818" i="31" s="1"/>
  <c r="D818" i="31" a="1"/>
  <c r="D818" i="31" s="1"/>
  <c r="L818" i="31"/>
  <c r="Q818" i="31"/>
  <c r="R818" i="31"/>
  <c r="U818" i="31"/>
  <c r="V818" i="31"/>
  <c r="W818" i="31"/>
  <c r="AB818" i="31"/>
  <c r="AC818" i="31"/>
  <c r="AF818" i="31"/>
  <c r="C1715" i="35" a="1"/>
  <c r="C1715" i="35" s="1"/>
  <c r="F1715" i="35"/>
  <c r="G1715" i="35" s="1"/>
  <c r="J1715" i="35"/>
  <c r="K1715" i="35" s="1"/>
  <c r="Q1715" i="35"/>
  <c r="C1714" i="35" a="1"/>
  <c r="C1714" i="35" s="1"/>
  <c r="F1714" i="35"/>
  <c r="G1714" i="35" s="1"/>
  <c r="J1714" i="35"/>
  <c r="K1714" i="35" s="1"/>
  <c r="Q1714" i="35"/>
  <c r="C1713" i="35" a="1"/>
  <c r="C1713" i="35" s="1"/>
  <c r="F1713" i="35"/>
  <c r="G1713" i="35" s="1"/>
  <c r="J1713" i="35"/>
  <c r="K1713" i="35" s="1"/>
  <c r="Q1713" i="35"/>
  <c r="C1712" i="35" a="1"/>
  <c r="C1712" i="35" s="1"/>
  <c r="F1712" i="35"/>
  <c r="G1712" i="35" s="1"/>
  <c r="J1712" i="35"/>
  <c r="K1712" i="35" s="1"/>
  <c r="Q1712" i="35"/>
  <c r="C1711" i="35" a="1"/>
  <c r="C1711" i="35" s="1"/>
  <c r="F1711" i="35"/>
  <c r="G1711" i="35" s="1"/>
  <c r="J1711" i="35"/>
  <c r="K1711" i="35" s="1"/>
  <c r="Q1711" i="35"/>
  <c r="C1710" i="35" a="1"/>
  <c r="C1710" i="35" s="1"/>
  <c r="F1710" i="35"/>
  <c r="G1710" i="35" s="1"/>
  <c r="J1710" i="35"/>
  <c r="K1710" i="35" s="1"/>
  <c r="Q1710" i="35"/>
  <c r="C1709" i="35" a="1"/>
  <c r="C1709" i="35" s="1"/>
  <c r="F1709" i="35"/>
  <c r="G1709" i="35" s="1"/>
  <c r="J1709" i="35"/>
  <c r="K1709" i="35" s="1"/>
  <c r="Q1709" i="35"/>
  <c r="H442" i="6"/>
  <c r="J442" i="6" s="1"/>
  <c r="I442" i="6"/>
  <c r="K442" i="6" s="1"/>
  <c r="U442" i="6"/>
  <c r="C817" i="31" a="1"/>
  <c r="C817" i="31" s="1"/>
  <c r="D817" i="31" a="1"/>
  <c r="D817" i="31" s="1"/>
  <c r="L817" i="31"/>
  <c r="Q817" i="31"/>
  <c r="R817" i="31"/>
  <c r="U817" i="31"/>
  <c r="V817" i="31"/>
  <c r="W817" i="31"/>
  <c r="AB817" i="31"/>
  <c r="AC817" i="31"/>
  <c r="AF817" i="31"/>
  <c r="C816" i="31" a="1"/>
  <c r="C816" i="31" s="1"/>
  <c r="D816" i="31" a="1"/>
  <c r="D816" i="31" s="1"/>
  <c r="L816" i="31"/>
  <c r="Q816" i="31"/>
  <c r="R816" i="31"/>
  <c r="U816" i="31"/>
  <c r="V816" i="31"/>
  <c r="W816" i="31"/>
  <c r="AB816" i="31"/>
  <c r="AC816" i="31"/>
  <c r="AF816" i="31"/>
  <c r="C1708" i="35" a="1"/>
  <c r="C1708" i="35" s="1"/>
  <c r="F1708" i="35"/>
  <c r="G1708" i="35" s="1"/>
  <c r="J1708" i="35"/>
  <c r="K1708" i="35" s="1"/>
  <c r="Q1708" i="35"/>
  <c r="C1707" i="35" a="1"/>
  <c r="C1707" i="35" s="1"/>
  <c r="F1707" i="35"/>
  <c r="G1707" i="35" s="1"/>
  <c r="J1707" i="35"/>
  <c r="K1707" i="35" s="1"/>
  <c r="Q1707" i="35"/>
  <c r="C1706" i="35" a="1"/>
  <c r="C1706" i="35" s="1"/>
  <c r="F1706" i="35"/>
  <c r="G1706" i="35" s="1"/>
  <c r="J1706" i="35"/>
  <c r="K1706" i="35" s="1"/>
  <c r="Q1706" i="35"/>
  <c r="C1705" i="35" a="1"/>
  <c r="C1705" i="35" s="1"/>
  <c r="F1705" i="35"/>
  <c r="G1705" i="35" s="1"/>
  <c r="J1705" i="35"/>
  <c r="K1705" i="35" s="1"/>
  <c r="Q1705" i="35"/>
  <c r="C1704" i="35" a="1"/>
  <c r="C1704" i="35" s="1"/>
  <c r="F1704" i="35"/>
  <c r="G1704" i="35" s="1"/>
  <c r="J1704" i="35"/>
  <c r="K1704" i="35" s="1"/>
  <c r="Q1704" i="35"/>
  <c r="C1703" i="35" a="1"/>
  <c r="C1703" i="35" s="1"/>
  <c r="F1703" i="35"/>
  <c r="G1703" i="35" s="1"/>
  <c r="J1703" i="35"/>
  <c r="K1703" i="35" s="1"/>
  <c r="Q1703" i="35"/>
  <c r="C815" i="31" a="1"/>
  <c r="C815" i="31" s="1"/>
  <c r="D815" i="31" a="1"/>
  <c r="D815" i="31" s="1"/>
  <c r="L815" i="31"/>
  <c r="Q815" i="31"/>
  <c r="R815" i="31"/>
  <c r="U815" i="31"/>
  <c r="V815" i="31"/>
  <c r="W815" i="31"/>
  <c r="AB815" i="31"/>
  <c r="AC815" i="31"/>
  <c r="AF815" i="31"/>
  <c r="H441" i="6"/>
  <c r="J441" i="6" s="1"/>
  <c r="I441" i="6"/>
  <c r="K441" i="6" s="1"/>
  <c r="U441" i="6"/>
  <c r="C1702" i="35" a="1"/>
  <c r="C1702" i="35" s="1"/>
  <c r="F1702" i="35"/>
  <c r="G1702" i="35" s="1"/>
  <c r="J1702" i="35"/>
  <c r="K1702" i="35" s="1"/>
  <c r="Q1702" i="35"/>
  <c r="B81" i="33" a="1"/>
  <c r="B81" i="33" s="1"/>
  <c r="E81" i="33" a="1"/>
  <c r="E81" i="33" s="1"/>
  <c r="F81" i="33" a="1"/>
  <c r="F81" i="33" s="1"/>
  <c r="G81" i="33" a="1"/>
  <c r="G81" i="33" s="1"/>
  <c r="L81" i="33" a="1"/>
  <c r="L81" i="33" s="1"/>
  <c r="M81" i="33"/>
  <c r="N81" i="33"/>
  <c r="P81" i="33"/>
  <c r="C1701" i="35" a="1"/>
  <c r="C1701" i="35" s="1"/>
  <c r="F1701" i="35"/>
  <c r="G1701" i="35" s="1"/>
  <c r="J1701" i="35"/>
  <c r="K1701" i="35" s="1"/>
  <c r="Q1701" i="35"/>
  <c r="C1700" i="35" a="1"/>
  <c r="C1700" i="35" s="1"/>
  <c r="F1700" i="35"/>
  <c r="G1700" i="35" s="1"/>
  <c r="J1700" i="35"/>
  <c r="K1700" i="35" s="1"/>
  <c r="Q1700" i="35"/>
  <c r="C1699" i="35" a="1"/>
  <c r="C1699" i="35" s="1"/>
  <c r="F1699" i="35"/>
  <c r="G1699" i="35" s="1"/>
  <c r="J1699" i="35"/>
  <c r="K1699" i="35" s="1"/>
  <c r="Q1699" i="35"/>
  <c r="C1698" i="35" a="1"/>
  <c r="C1698" i="35" s="1"/>
  <c r="F1698" i="35"/>
  <c r="G1698" i="35" s="1"/>
  <c r="J1698" i="35"/>
  <c r="K1698" i="35" s="1"/>
  <c r="Q1698" i="35"/>
  <c r="C814" i="31" a="1"/>
  <c r="C814" i="31" s="1"/>
  <c r="D814" i="31" a="1"/>
  <c r="D814" i="31" s="1"/>
  <c r="L814" i="31"/>
  <c r="Q814" i="31"/>
  <c r="R814" i="31"/>
  <c r="U814" i="31"/>
  <c r="V814" i="31"/>
  <c r="W814" i="31"/>
  <c r="AB814" i="31"/>
  <c r="AC814" i="31"/>
  <c r="AF814" i="31"/>
  <c r="C1697" i="35" a="1"/>
  <c r="C1697" i="35" s="1"/>
  <c r="F1697" i="35"/>
  <c r="G1697" i="35" s="1"/>
  <c r="J1697" i="35"/>
  <c r="K1697" i="35" s="1"/>
  <c r="Q1697" i="35"/>
  <c r="B595" i="33" a="1"/>
  <c r="B595" i="33" s="1"/>
  <c r="E595" i="33" a="1"/>
  <c r="E595" i="33" s="1"/>
  <c r="F595" i="33" a="1"/>
  <c r="F595" i="33" s="1"/>
  <c r="G595" i="33" a="1"/>
  <c r="G595" i="33" s="1"/>
  <c r="L595" i="33" a="1"/>
  <c r="L595" i="33" s="1"/>
  <c r="M595" i="33"/>
  <c r="N595" i="33"/>
  <c r="P595" i="33"/>
  <c r="C1696" i="35" a="1"/>
  <c r="C1696" i="35" s="1"/>
  <c r="F1696" i="35"/>
  <c r="G1696" i="35" s="1"/>
  <c r="J1696" i="35"/>
  <c r="K1696" i="35" s="1"/>
  <c r="Q1696" i="35"/>
  <c r="C1695" i="35" a="1"/>
  <c r="C1695" i="35" s="1"/>
  <c r="F1695" i="35"/>
  <c r="G1695" i="35" s="1"/>
  <c r="J1695" i="35"/>
  <c r="K1695" i="35" s="1"/>
  <c r="Q1695" i="35"/>
  <c r="C1694" i="35" a="1"/>
  <c r="C1694" i="35" s="1"/>
  <c r="F1694" i="35"/>
  <c r="G1694" i="35" s="1"/>
  <c r="J1694" i="35"/>
  <c r="K1694" i="35" s="1"/>
  <c r="Q1694" i="35"/>
  <c r="C813" i="31" a="1"/>
  <c r="C813" i="31" s="1"/>
  <c r="D813" i="31" a="1"/>
  <c r="D813" i="31" s="1"/>
  <c r="L813" i="31"/>
  <c r="Q813" i="31"/>
  <c r="R813" i="31"/>
  <c r="U813" i="31"/>
  <c r="V813" i="31"/>
  <c r="W813" i="31"/>
  <c r="AB813" i="31"/>
  <c r="AC813" i="31"/>
  <c r="AF813" i="31"/>
  <c r="C812" i="31" a="1"/>
  <c r="C812" i="31" s="1"/>
  <c r="D812" i="31" a="1"/>
  <c r="D812" i="31" s="1"/>
  <c r="L812" i="31"/>
  <c r="Q812" i="31"/>
  <c r="R812" i="31"/>
  <c r="U812" i="31"/>
  <c r="V812" i="31"/>
  <c r="W812" i="31"/>
  <c r="AB812" i="31"/>
  <c r="AC812" i="31"/>
  <c r="AF812" i="31"/>
  <c r="C1693" i="35" a="1"/>
  <c r="C1693" i="35" s="1"/>
  <c r="F1693" i="35"/>
  <c r="G1693" i="35" s="1"/>
  <c r="J1693" i="35"/>
  <c r="K1693" i="35" s="1"/>
  <c r="Q1693" i="35"/>
  <c r="C1692" i="35" a="1"/>
  <c r="C1692" i="35" s="1"/>
  <c r="F1692" i="35"/>
  <c r="G1692" i="35" s="1"/>
  <c r="J1692" i="35"/>
  <c r="K1692" i="35" s="1"/>
  <c r="Q1692" i="35"/>
  <c r="B594" i="33" a="1"/>
  <c r="B594" i="33" s="1"/>
  <c r="E594" i="33" a="1"/>
  <c r="E594" i="33" s="1"/>
  <c r="F594" i="33" a="1"/>
  <c r="F594" i="33" s="1"/>
  <c r="G594" i="33" a="1"/>
  <c r="G594" i="33" s="1"/>
  <c r="L594" i="33" a="1"/>
  <c r="L594" i="33" s="1"/>
  <c r="M594" i="33"/>
  <c r="N594" i="33"/>
  <c r="P594" i="33"/>
  <c r="C811" i="31" a="1"/>
  <c r="C811" i="31" s="1"/>
  <c r="D811" i="31" a="1"/>
  <c r="D811" i="31" s="1"/>
  <c r="L811" i="31"/>
  <c r="Q811" i="31"/>
  <c r="R811" i="31"/>
  <c r="U811" i="31"/>
  <c r="V811" i="31"/>
  <c r="W811" i="31"/>
  <c r="AB811" i="31"/>
  <c r="AC811" i="31"/>
  <c r="AF811" i="31"/>
  <c r="C1691" i="35" a="1"/>
  <c r="C1691" i="35" s="1"/>
  <c r="F1691" i="35"/>
  <c r="G1691" i="35" s="1"/>
  <c r="J1691" i="35"/>
  <c r="K1691" i="35" s="1"/>
  <c r="Q1691" i="35"/>
  <c r="C1690" i="35" a="1"/>
  <c r="C1690" i="35" s="1"/>
  <c r="F1690" i="35"/>
  <c r="G1690" i="35" s="1"/>
  <c r="J1690" i="35"/>
  <c r="K1690" i="35" s="1"/>
  <c r="Q1690" i="35"/>
  <c r="C1689" i="35" a="1"/>
  <c r="C1689" i="35" s="1"/>
  <c r="F1689" i="35"/>
  <c r="G1689" i="35" s="1"/>
  <c r="J1689" i="35"/>
  <c r="K1689" i="35" s="1"/>
  <c r="Q1689" i="35"/>
  <c r="B593" i="33" a="1"/>
  <c r="B593" i="33" s="1"/>
  <c r="E593" i="33" a="1"/>
  <c r="E593" i="33" s="1"/>
  <c r="F593" i="33" a="1"/>
  <c r="F593" i="33" s="1"/>
  <c r="G593" i="33" a="1"/>
  <c r="G593" i="33" s="1"/>
  <c r="L593" i="33" a="1"/>
  <c r="L593" i="33" s="1"/>
  <c r="M593" i="33"/>
  <c r="N593" i="33"/>
  <c r="P593" i="33"/>
  <c r="C1688" i="35" a="1"/>
  <c r="C1688" i="35" s="1"/>
  <c r="F1688" i="35"/>
  <c r="G1688" i="35" s="1"/>
  <c r="J1688" i="35"/>
  <c r="K1688" i="35" s="1"/>
  <c r="Q1688" i="35"/>
  <c r="C1687" i="35" a="1"/>
  <c r="C1687" i="35" s="1"/>
  <c r="F1687" i="35"/>
  <c r="G1687" i="35" s="1"/>
  <c r="J1687" i="35"/>
  <c r="K1687" i="35" s="1"/>
  <c r="Q1687" i="35"/>
  <c r="C810" i="31" a="1"/>
  <c r="C810" i="31" s="1"/>
  <c r="D810" i="31" a="1"/>
  <c r="D810" i="31" s="1"/>
  <c r="L810" i="31"/>
  <c r="Q810" i="31"/>
  <c r="R810" i="31"/>
  <c r="U810" i="31"/>
  <c r="V810" i="31"/>
  <c r="W810" i="31"/>
  <c r="AB810" i="31"/>
  <c r="AC810" i="31"/>
  <c r="AF810" i="31"/>
  <c r="C809" i="31" a="1"/>
  <c r="C809" i="31" s="1"/>
  <c r="D809" i="31" a="1"/>
  <c r="D809" i="31" s="1"/>
  <c r="L809" i="31"/>
  <c r="Q809" i="31"/>
  <c r="R809" i="31"/>
  <c r="U809" i="31"/>
  <c r="V809" i="31"/>
  <c r="W809" i="31"/>
  <c r="AB809" i="31"/>
  <c r="AC809" i="31"/>
  <c r="AF809" i="31"/>
  <c r="C1686" i="35" a="1"/>
  <c r="C1686" i="35" s="1"/>
  <c r="F1686" i="35"/>
  <c r="G1686" i="35" s="1"/>
  <c r="J1686" i="35"/>
  <c r="K1686" i="35" s="1"/>
  <c r="Q1686" i="35"/>
  <c r="C1685" i="35" a="1"/>
  <c r="C1685" i="35" s="1"/>
  <c r="F1685" i="35"/>
  <c r="G1685" i="35" s="1"/>
  <c r="J1685" i="35"/>
  <c r="K1685" i="35" s="1"/>
  <c r="Q1685" i="35"/>
  <c r="C808" i="31" a="1"/>
  <c r="C808" i="31" s="1"/>
  <c r="D808" i="31" a="1"/>
  <c r="D808" i="31" s="1"/>
  <c r="L808" i="31"/>
  <c r="Q808" i="31"/>
  <c r="R808" i="31"/>
  <c r="U808" i="31"/>
  <c r="V808" i="31"/>
  <c r="W808" i="31"/>
  <c r="AB808" i="31"/>
  <c r="AC808" i="31"/>
  <c r="AF808" i="31"/>
  <c r="C807" i="31" a="1"/>
  <c r="C807" i="31" s="1"/>
  <c r="D807" i="31" a="1"/>
  <c r="D807" i="31" s="1"/>
  <c r="L807" i="31"/>
  <c r="Q807" i="31"/>
  <c r="R807" i="31"/>
  <c r="U807" i="31"/>
  <c r="V807" i="31"/>
  <c r="W807" i="31"/>
  <c r="AB807" i="31"/>
  <c r="AC807" i="31"/>
  <c r="AF807" i="31"/>
  <c r="C1684" i="35" a="1"/>
  <c r="C1684" i="35" s="1"/>
  <c r="F1684" i="35"/>
  <c r="G1684" i="35" s="1"/>
  <c r="J1684" i="35"/>
  <c r="K1684" i="35" s="1"/>
  <c r="Q1684" i="35"/>
  <c r="C1683" i="35" a="1"/>
  <c r="C1683" i="35" s="1"/>
  <c r="F1683" i="35"/>
  <c r="G1683" i="35" s="1"/>
  <c r="J1683" i="35"/>
  <c r="K1683" i="35" s="1"/>
  <c r="Q1683" i="35"/>
  <c r="C806" i="31" a="1"/>
  <c r="C806" i="31" s="1"/>
  <c r="D806" i="31" a="1"/>
  <c r="D806" i="31" s="1"/>
  <c r="L806" i="31"/>
  <c r="Q806" i="31"/>
  <c r="R806" i="31"/>
  <c r="U806" i="31"/>
  <c r="V806" i="31"/>
  <c r="W806" i="31"/>
  <c r="AB806" i="31"/>
  <c r="AC806" i="31"/>
  <c r="AF806" i="31"/>
  <c r="C1682" i="35" a="1"/>
  <c r="C1682" i="35" s="1"/>
  <c r="F1682" i="35"/>
  <c r="G1682" i="35" s="1"/>
  <c r="J1682" i="35"/>
  <c r="K1682" i="35" s="1"/>
  <c r="Q1682" i="35"/>
  <c r="C1681" i="35" a="1"/>
  <c r="C1681" i="35" s="1"/>
  <c r="F1681" i="35"/>
  <c r="G1681" i="35" s="1"/>
  <c r="J1681" i="35"/>
  <c r="K1681" i="35" s="1"/>
  <c r="Q1681" i="35"/>
  <c r="C1680" i="35" a="1"/>
  <c r="C1680" i="35" s="1"/>
  <c r="F1680" i="35"/>
  <c r="G1680" i="35" s="1"/>
  <c r="J1680" i="35"/>
  <c r="K1680" i="35" s="1"/>
  <c r="Q1680" i="35"/>
  <c r="C1679" i="35" a="1"/>
  <c r="C1679" i="35" s="1"/>
  <c r="F1679" i="35"/>
  <c r="G1679" i="35" s="1"/>
  <c r="J1679" i="35"/>
  <c r="K1679" i="35" s="1"/>
  <c r="Q1679" i="35"/>
  <c r="C1678" i="35" a="1"/>
  <c r="C1678" i="35" s="1"/>
  <c r="F1678" i="35"/>
  <c r="G1678" i="35" s="1"/>
  <c r="J1678" i="35"/>
  <c r="K1678" i="35" s="1"/>
  <c r="Q1678" i="35"/>
  <c r="B592" i="33" a="1"/>
  <c r="B592" i="33" s="1"/>
  <c r="E592" i="33" a="1"/>
  <c r="E592" i="33" s="1"/>
  <c r="F592" i="33" a="1"/>
  <c r="F592" i="33" s="1"/>
  <c r="G592" i="33" a="1"/>
  <c r="G592" i="33" s="1"/>
  <c r="L592" i="33" a="1"/>
  <c r="L592" i="33" s="1"/>
  <c r="M592" i="33"/>
  <c r="N592" i="33"/>
  <c r="P592" i="33"/>
  <c r="C805" i="31" a="1"/>
  <c r="C805" i="31" s="1"/>
  <c r="D805" i="31" a="1"/>
  <c r="D805" i="31" s="1"/>
  <c r="L805" i="31"/>
  <c r="Q805" i="31"/>
  <c r="R805" i="31"/>
  <c r="U805" i="31"/>
  <c r="V805" i="31"/>
  <c r="W805" i="31"/>
  <c r="AB805" i="31"/>
  <c r="AC805" i="31"/>
  <c r="AF805" i="31"/>
  <c r="C1677" i="35" a="1"/>
  <c r="C1677" i="35" s="1"/>
  <c r="F1677" i="35"/>
  <c r="G1677" i="35" s="1"/>
  <c r="J1677" i="35"/>
  <c r="K1677" i="35" s="1"/>
  <c r="Q1677" i="35"/>
  <c r="C1676" i="35" a="1"/>
  <c r="C1676" i="35" s="1"/>
  <c r="F1676" i="35"/>
  <c r="G1676" i="35" s="1"/>
  <c r="J1676" i="35"/>
  <c r="K1676" i="35" s="1"/>
  <c r="Q1676" i="35"/>
  <c r="C1675" i="35" a="1"/>
  <c r="C1675" i="35" s="1"/>
  <c r="F1675" i="35"/>
  <c r="G1675" i="35" s="1"/>
  <c r="J1675" i="35"/>
  <c r="K1675" i="35" s="1"/>
  <c r="Q1675" i="35"/>
  <c r="C1674" i="35" a="1"/>
  <c r="C1674" i="35" s="1"/>
  <c r="F1674" i="35"/>
  <c r="G1674" i="35" s="1"/>
  <c r="J1674" i="35"/>
  <c r="K1674" i="35" s="1"/>
  <c r="Q1674" i="35"/>
  <c r="C1673" i="35" a="1"/>
  <c r="C1673" i="35" s="1"/>
  <c r="F1673" i="35"/>
  <c r="G1673" i="35" s="1"/>
  <c r="J1673" i="35"/>
  <c r="K1673" i="35" s="1"/>
  <c r="Q1673" i="35"/>
  <c r="C1672" i="35" a="1"/>
  <c r="C1672" i="35" s="1"/>
  <c r="F1672" i="35"/>
  <c r="G1672" i="35" s="1"/>
  <c r="J1672" i="35"/>
  <c r="K1672" i="35" s="1"/>
  <c r="Q1672" i="35"/>
  <c r="C1671" i="35" a="1"/>
  <c r="C1671" i="35" s="1"/>
  <c r="F1671" i="35"/>
  <c r="G1671" i="35" s="1"/>
  <c r="J1671" i="35"/>
  <c r="K1671" i="35" s="1"/>
  <c r="Q1671" i="35"/>
  <c r="C1670" i="35" a="1"/>
  <c r="C1670" i="35" s="1"/>
  <c r="F1670" i="35"/>
  <c r="G1670" i="35" s="1"/>
  <c r="J1670" i="35"/>
  <c r="K1670" i="35" s="1"/>
  <c r="Q1670" i="35"/>
  <c r="C1669" i="35" a="1"/>
  <c r="C1669" i="35" s="1"/>
  <c r="F1669" i="35"/>
  <c r="G1669" i="35" s="1"/>
  <c r="J1669" i="35"/>
  <c r="K1669" i="35" s="1"/>
  <c r="Q1669" i="35"/>
  <c r="C1668" i="35" a="1"/>
  <c r="C1668" i="35" s="1"/>
  <c r="F1668" i="35"/>
  <c r="G1668" i="35" s="1"/>
  <c r="J1668" i="35"/>
  <c r="K1668" i="35" s="1"/>
  <c r="Q1668" i="35"/>
  <c r="C1667" i="35" a="1"/>
  <c r="C1667" i="35" s="1"/>
  <c r="F1667" i="35"/>
  <c r="G1667" i="35" s="1"/>
  <c r="J1667" i="35"/>
  <c r="K1667" i="35" s="1"/>
  <c r="Q1667" i="35"/>
  <c r="C1666" i="35" a="1"/>
  <c r="C1666" i="35" s="1"/>
  <c r="F1666" i="35"/>
  <c r="G1666" i="35" s="1"/>
  <c r="J1666" i="35"/>
  <c r="K1666" i="35" s="1"/>
  <c r="Q1666" i="35"/>
  <c r="C1665" i="35" a="1"/>
  <c r="C1665" i="35" s="1"/>
  <c r="F1665" i="35"/>
  <c r="G1665" i="35" s="1"/>
  <c r="J1665" i="35"/>
  <c r="K1665" i="35" s="1"/>
  <c r="Q1665" i="35"/>
  <c r="C1664" i="35" a="1"/>
  <c r="C1664" i="35" s="1"/>
  <c r="F1664" i="35"/>
  <c r="G1664" i="35" s="1"/>
  <c r="J1664" i="35"/>
  <c r="K1664" i="35" s="1"/>
  <c r="Q1664" i="35"/>
  <c r="C1663" i="35" a="1"/>
  <c r="C1663" i="35" s="1"/>
  <c r="F1663" i="35"/>
  <c r="G1663" i="35" s="1"/>
  <c r="J1663" i="35"/>
  <c r="K1663" i="35" s="1"/>
  <c r="Q1663" i="35"/>
  <c r="C1662" i="35" a="1"/>
  <c r="C1662" i="35" s="1"/>
  <c r="F1662" i="35"/>
  <c r="G1662" i="35" s="1"/>
  <c r="J1662" i="35"/>
  <c r="K1662" i="35" s="1"/>
  <c r="Q1662" i="35"/>
  <c r="B26" i="33" a="1"/>
  <c r="B26" i="33" s="1"/>
  <c r="E26" i="33" a="1"/>
  <c r="E26" i="33" s="1"/>
  <c r="F26" i="33" a="1"/>
  <c r="F26" i="33" s="1"/>
  <c r="G26" i="33" a="1"/>
  <c r="G26" i="33" s="1"/>
  <c r="L26" i="33" a="1"/>
  <c r="L26" i="33" s="1"/>
  <c r="P26" i="33"/>
  <c r="C804" i="31" a="1"/>
  <c r="C804" i="31" s="1"/>
  <c r="D804" i="31" a="1"/>
  <c r="D804" i="31" s="1"/>
  <c r="L804" i="31"/>
  <c r="Q804" i="31"/>
  <c r="R804" i="31"/>
  <c r="U804" i="31"/>
  <c r="V804" i="31"/>
  <c r="W804" i="31"/>
  <c r="AB804" i="31"/>
  <c r="AC804" i="31"/>
  <c r="AF804" i="31"/>
  <c r="C1661" i="35" a="1"/>
  <c r="C1661" i="35" s="1"/>
  <c r="F1661" i="35"/>
  <c r="G1661" i="35" s="1"/>
  <c r="J1661" i="35"/>
  <c r="K1661" i="35" s="1"/>
  <c r="Q1661" i="35"/>
  <c r="C1660" i="35" a="1"/>
  <c r="C1660" i="35" s="1"/>
  <c r="F1660" i="35"/>
  <c r="G1660" i="35" s="1"/>
  <c r="J1660" i="35"/>
  <c r="K1660" i="35" s="1"/>
  <c r="Q1660" i="35"/>
  <c r="C1659" i="35" a="1"/>
  <c r="C1659" i="35" s="1"/>
  <c r="F1659" i="35"/>
  <c r="G1659" i="35" s="1"/>
  <c r="J1659" i="35"/>
  <c r="K1659" i="35" s="1"/>
  <c r="Q1659" i="35"/>
  <c r="C1658" i="35" a="1"/>
  <c r="C1658" i="35" s="1"/>
  <c r="F1658" i="35"/>
  <c r="G1658" i="35" s="1"/>
  <c r="J1658" i="35"/>
  <c r="K1658" i="35" s="1"/>
  <c r="Q1658" i="35"/>
  <c r="C1657" i="35" a="1"/>
  <c r="C1657" i="35" s="1"/>
  <c r="F1657" i="35"/>
  <c r="G1657" i="35" s="1"/>
  <c r="J1657" i="35"/>
  <c r="K1657" i="35" s="1"/>
  <c r="Q1657" i="35"/>
  <c r="B91" i="33" a="1"/>
  <c r="B91" i="33" s="1"/>
  <c r="E91" i="33" a="1"/>
  <c r="E91" i="33" s="1"/>
  <c r="F91" i="33" a="1"/>
  <c r="F91" i="33" s="1"/>
  <c r="G91" i="33" a="1"/>
  <c r="G91" i="33" s="1"/>
  <c r="L91" i="33" a="1"/>
  <c r="L91" i="33" s="1"/>
  <c r="M91" i="33"/>
  <c r="N91" i="33"/>
  <c r="P91" i="33"/>
  <c r="C1656" i="35" a="1"/>
  <c r="C1656" i="35" s="1"/>
  <c r="F1656" i="35"/>
  <c r="G1656" i="35" s="1"/>
  <c r="J1656" i="35"/>
  <c r="K1656" i="35" s="1"/>
  <c r="Q1656" i="35"/>
  <c r="C1655" i="35" a="1"/>
  <c r="C1655" i="35" s="1"/>
  <c r="F1655" i="35"/>
  <c r="G1655" i="35" s="1"/>
  <c r="J1655" i="35"/>
  <c r="K1655" i="35" s="1"/>
  <c r="Q1655" i="35"/>
  <c r="B591" i="33" a="1"/>
  <c r="B591" i="33" s="1"/>
  <c r="E591" i="33" a="1"/>
  <c r="E591" i="33" s="1"/>
  <c r="F591" i="33" a="1"/>
  <c r="F591" i="33" s="1"/>
  <c r="G591" i="33" a="1"/>
  <c r="G591" i="33" s="1"/>
  <c r="L591" i="33" a="1"/>
  <c r="L591" i="33" s="1"/>
  <c r="M591" i="33"/>
  <c r="N591" i="33"/>
  <c r="P591" i="33"/>
  <c r="C1654" i="35" a="1"/>
  <c r="C1654" i="35" s="1"/>
  <c r="F1654" i="35"/>
  <c r="G1654" i="35" s="1"/>
  <c r="J1654" i="35"/>
  <c r="K1654" i="35" s="1"/>
  <c r="Q1654" i="35"/>
  <c r="C1653" i="35" a="1"/>
  <c r="C1653" i="35" s="1"/>
  <c r="F1653" i="35"/>
  <c r="G1653" i="35" s="1"/>
  <c r="J1653" i="35"/>
  <c r="K1653" i="35" s="1"/>
  <c r="Q1653" i="35"/>
  <c r="C1652" i="35" a="1"/>
  <c r="C1652" i="35" s="1"/>
  <c r="F1652" i="35"/>
  <c r="G1652" i="35" s="1"/>
  <c r="J1652" i="35"/>
  <c r="K1652" i="35" s="1"/>
  <c r="Q1652" i="35"/>
  <c r="C1651" i="35" a="1"/>
  <c r="C1651" i="35" s="1"/>
  <c r="F1651" i="35"/>
  <c r="G1651" i="35" s="1"/>
  <c r="J1651" i="35"/>
  <c r="K1651" i="35" s="1"/>
  <c r="Q1651" i="35"/>
  <c r="C1650" i="35" a="1"/>
  <c r="C1650" i="35" s="1"/>
  <c r="F1650" i="35"/>
  <c r="G1650" i="35" s="1"/>
  <c r="J1650" i="35"/>
  <c r="K1650" i="35" s="1"/>
  <c r="Q1650" i="35"/>
  <c r="C1649" i="35" a="1"/>
  <c r="C1649" i="35" s="1"/>
  <c r="F1649" i="35"/>
  <c r="G1649" i="35" s="1"/>
  <c r="J1649" i="35"/>
  <c r="K1649" i="35" s="1"/>
  <c r="Q1649" i="35"/>
  <c r="C1648" i="35" a="1"/>
  <c r="C1648" i="35" s="1"/>
  <c r="F1648" i="35"/>
  <c r="G1648" i="35" s="1"/>
  <c r="J1648" i="35"/>
  <c r="K1648" i="35" s="1"/>
  <c r="Q1648" i="35"/>
  <c r="C1647" i="35" a="1"/>
  <c r="C1647" i="35" s="1"/>
  <c r="F1647" i="35"/>
  <c r="G1647" i="35" s="1"/>
  <c r="J1647" i="35"/>
  <c r="K1647" i="35" s="1"/>
  <c r="Q1647" i="35"/>
  <c r="C1646" i="35" a="1"/>
  <c r="C1646" i="35" s="1"/>
  <c r="F1646" i="35"/>
  <c r="G1646" i="35" s="1"/>
  <c r="J1646" i="35"/>
  <c r="K1646" i="35" s="1"/>
  <c r="Q1646" i="35"/>
  <c r="C1645" i="35" a="1"/>
  <c r="C1645" i="35" s="1"/>
  <c r="F1645" i="35"/>
  <c r="G1645" i="35" s="1"/>
  <c r="J1645" i="35"/>
  <c r="K1645" i="35" s="1"/>
  <c r="Q1645" i="35"/>
  <c r="C1644" i="35" a="1"/>
  <c r="C1644" i="35" s="1"/>
  <c r="F1644" i="35"/>
  <c r="G1644" i="35" s="1"/>
  <c r="J1644" i="35"/>
  <c r="K1644" i="35" s="1"/>
  <c r="Q1644" i="35"/>
  <c r="B590" i="33" a="1"/>
  <c r="B590" i="33" s="1"/>
  <c r="E590" i="33" a="1"/>
  <c r="E590" i="33" s="1"/>
  <c r="F590" i="33" a="1"/>
  <c r="F590" i="33" s="1"/>
  <c r="G590" i="33" a="1"/>
  <c r="G590" i="33" s="1"/>
  <c r="L590" i="33" a="1"/>
  <c r="L590" i="33" s="1"/>
  <c r="M590" i="33"/>
  <c r="N590" i="33"/>
  <c r="P590" i="33"/>
  <c r="C1643" i="35" a="1"/>
  <c r="C1643" i="35" s="1"/>
  <c r="F1643" i="35"/>
  <c r="G1643" i="35" s="1"/>
  <c r="J1643" i="35"/>
  <c r="K1643" i="35" s="1"/>
  <c r="Q1643" i="35"/>
  <c r="C1642" i="35" a="1"/>
  <c r="C1642" i="35" s="1"/>
  <c r="F1642" i="35"/>
  <c r="G1642" i="35" s="1"/>
  <c r="J1642" i="35"/>
  <c r="K1642" i="35" s="1"/>
  <c r="Q1642" i="35"/>
  <c r="C1641" i="35" a="1"/>
  <c r="C1641" i="35" s="1"/>
  <c r="F1641" i="35"/>
  <c r="G1641" i="35" s="1"/>
  <c r="J1641" i="35"/>
  <c r="K1641" i="35" s="1"/>
  <c r="Q1641" i="35"/>
  <c r="C1640" i="35" a="1"/>
  <c r="C1640" i="35" s="1"/>
  <c r="F1640" i="35"/>
  <c r="G1640" i="35" s="1"/>
  <c r="J1640" i="35"/>
  <c r="K1640" i="35" s="1"/>
  <c r="Q1640" i="35"/>
  <c r="B31" i="33" a="1"/>
  <c r="B31" i="33" s="1"/>
  <c r="E31" i="33" a="1"/>
  <c r="E31" i="33" s="1"/>
  <c r="F31" i="33" a="1"/>
  <c r="F31" i="33" s="1"/>
  <c r="G31" i="33" a="1"/>
  <c r="G31" i="33" s="1"/>
  <c r="L31" i="33" a="1"/>
  <c r="L31" i="33" s="1"/>
  <c r="M31" i="33"/>
  <c r="N31" i="33"/>
  <c r="P31" i="33"/>
  <c r="C1639" i="35" a="1"/>
  <c r="C1639" i="35" s="1"/>
  <c r="F1639" i="35"/>
  <c r="G1639" i="35" s="1"/>
  <c r="J1639" i="35"/>
  <c r="K1639" i="35" s="1"/>
  <c r="Q1639" i="35"/>
  <c r="C1638" i="35" a="1"/>
  <c r="C1638" i="35" s="1"/>
  <c r="F1638" i="35"/>
  <c r="G1638" i="35" s="1"/>
  <c r="J1638" i="35"/>
  <c r="K1638" i="35" s="1"/>
  <c r="Q1638" i="35"/>
  <c r="C1637" i="35" a="1"/>
  <c r="C1637" i="35" s="1"/>
  <c r="F1637" i="35"/>
  <c r="G1637" i="35" s="1"/>
  <c r="J1637" i="35"/>
  <c r="K1637" i="35" s="1"/>
  <c r="Q1637" i="35"/>
  <c r="C803" i="31" a="1"/>
  <c r="C803" i="31" s="1"/>
  <c r="D803" i="31" a="1"/>
  <c r="D803" i="31" s="1"/>
  <c r="L803" i="31"/>
  <c r="Q803" i="31"/>
  <c r="R803" i="31"/>
  <c r="U803" i="31"/>
  <c r="V803" i="31"/>
  <c r="W803" i="31"/>
  <c r="AB803" i="31"/>
  <c r="AC803" i="31"/>
  <c r="AF803" i="31"/>
  <c r="C1636" i="35" a="1"/>
  <c r="C1636" i="35" s="1"/>
  <c r="F1636" i="35"/>
  <c r="G1636" i="35" s="1"/>
  <c r="J1636" i="35"/>
  <c r="K1636" i="35" s="1"/>
  <c r="Q1636" i="35"/>
  <c r="C802" i="31" a="1"/>
  <c r="C802" i="31" s="1"/>
  <c r="D802" i="31" a="1"/>
  <c r="D802" i="31" s="1"/>
  <c r="L802" i="31"/>
  <c r="Q802" i="31"/>
  <c r="R802" i="31"/>
  <c r="U802" i="31"/>
  <c r="V802" i="31"/>
  <c r="W802" i="31"/>
  <c r="AB802" i="31"/>
  <c r="AC802" i="31"/>
  <c r="AF802" i="31"/>
  <c r="C1635" i="35" a="1"/>
  <c r="C1635" i="35" s="1"/>
  <c r="F1635" i="35"/>
  <c r="G1635" i="35" s="1"/>
  <c r="J1635" i="35"/>
  <c r="K1635" i="35" s="1"/>
  <c r="Q1635" i="35"/>
  <c r="C1634" i="35" a="1"/>
  <c r="C1634" i="35" s="1"/>
  <c r="F1634" i="35"/>
  <c r="G1634" i="35" s="1"/>
  <c r="J1634" i="35"/>
  <c r="K1634" i="35" s="1"/>
  <c r="Q1634" i="35"/>
  <c r="C1633" i="35" a="1"/>
  <c r="C1633" i="35" s="1"/>
  <c r="F1633" i="35"/>
  <c r="G1633" i="35" s="1"/>
  <c r="J1633" i="35"/>
  <c r="K1633" i="35" s="1"/>
  <c r="Q1633" i="35"/>
  <c r="C1632" i="35" a="1"/>
  <c r="C1632" i="35" s="1"/>
  <c r="F1632" i="35"/>
  <c r="G1632" i="35" s="1"/>
  <c r="J1632" i="35"/>
  <c r="K1632" i="35" s="1"/>
  <c r="Q1632" i="35"/>
  <c r="C1631" i="35" a="1"/>
  <c r="C1631" i="35" s="1"/>
  <c r="F1631" i="35"/>
  <c r="G1631" i="35" s="1"/>
  <c r="J1631" i="35"/>
  <c r="K1631" i="35" s="1"/>
  <c r="Q1631" i="35"/>
  <c r="C1630" i="35" a="1"/>
  <c r="C1630" i="35" s="1"/>
  <c r="F1630" i="35"/>
  <c r="G1630" i="35" s="1"/>
  <c r="J1630" i="35"/>
  <c r="K1630" i="35" s="1"/>
  <c r="Q1630" i="35"/>
  <c r="C1629" i="35" a="1"/>
  <c r="C1629" i="35" s="1"/>
  <c r="F1629" i="35"/>
  <c r="G1629" i="35" s="1"/>
  <c r="J1629" i="35"/>
  <c r="K1629" i="35" s="1"/>
  <c r="Q1629" i="35"/>
  <c r="H440" i="6"/>
  <c r="J440" i="6" s="1"/>
  <c r="I440" i="6"/>
  <c r="K440" i="6" s="1"/>
  <c r="U440" i="6"/>
  <c r="C1628" i="35" a="1"/>
  <c r="C1628" i="35" s="1"/>
  <c r="F1628" i="35"/>
  <c r="G1628" i="35" s="1"/>
  <c r="J1628" i="35"/>
  <c r="K1628" i="35" s="1"/>
  <c r="Q1628" i="35"/>
  <c r="C1627" i="35" a="1"/>
  <c r="C1627" i="35" s="1"/>
  <c r="F1627" i="35"/>
  <c r="G1627" i="35" s="1"/>
  <c r="J1627" i="35"/>
  <c r="K1627" i="35" s="1"/>
  <c r="Q1627" i="35"/>
  <c r="C801" i="31" a="1"/>
  <c r="C801" i="31" s="1"/>
  <c r="D801" i="31" a="1"/>
  <c r="D801" i="31" s="1"/>
  <c r="L801" i="31"/>
  <c r="Q801" i="31"/>
  <c r="R801" i="31"/>
  <c r="U801" i="31"/>
  <c r="V801" i="31"/>
  <c r="W801" i="31"/>
  <c r="AB801" i="31"/>
  <c r="AC801" i="31"/>
  <c r="AF801" i="31"/>
  <c r="C1626" i="35" a="1"/>
  <c r="C1626" i="35" s="1"/>
  <c r="F1626" i="35"/>
  <c r="G1626" i="35" s="1"/>
  <c r="J1626" i="35"/>
  <c r="K1626" i="35" s="1"/>
  <c r="Q1626" i="35"/>
  <c r="I439" i="6"/>
  <c r="K439" i="6" s="1"/>
  <c r="H439" i="6"/>
  <c r="J439" i="6" s="1"/>
  <c r="U439" i="6"/>
  <c r="H438" i="6"/>
  <c r="I438" i="6"/>
  <c r="K438" i="6" s="1"/>
  <c r="U438" i="6"/>
  <c r="C1625" i="35" a="1"/>
  <c r="C1625" i="35" s="1"/>
  <c r="F1625" i="35"/>
  <c r="G1625" i="35" s="1"/>
  <c r="J1625" i="35"/>
  <c r="K1625" i="35" s="1"/>
  <c r="Q1625" i="35"/>
  <c r="I2074" i="35" l="1"/>
  <c r="M2060" i="35"/>
  <c r="L2068" i="35"/>
  <c r="N2068" i="35" s="1"/>
  <c r="H2068" i="35"/>
  <c r="L2074" i="35"/>
  <c r="N2074" i="35" s="1"/>
  <c r="M2073" i="35"/>
  <c r="H2074" i="35"/>
  <c r="O2074" i="35" s="1"/>
  <c r="I2073" i="35"/>
  <c r="L2073" i="35"/>
  <c r="H2073" i="35"/>
  <c r="O2068" i="35"/>
  <c r="H615" i="33" s="1"/>
  <c r="J615" i="33" s="1"/>
  <c r="Q615" i="33"/>
  <c r="R615" i="33" s="1"/>
  <c r="M2067" i="35"/>
  <c r="I2067" i="35"/>
  <c r="L2067" i="35"/>
  <c r="H2067" i="35"/>
  <c r="L2063" i="35"/>
  <c r="N2063" i="35" s="1"/>
  <c r="O2063" i="35"/>
  <c r="H614" i="33" s="1"/>
  <c r="S614" i="33" s="1"/>
  <c r="L2060" i="35"/>
  <c r="N2060" i="35" s="1"/>
  <c r="Q614" i="33"/>
  <c r="R614" i="33" s="1"/>
  <c r="H2060" i="35"/>
  <c r="I2060" i="35"/>
  <c r="H2057" i="35"/>
  <c r="I2057" i="35"/>
  <c r="M2057" i="35"/>
  <c r="L2057" i="35"/>
  <c r="M2055" i="35"/>
  <c r="Q613" i="33"/>
  <c r="R613" i="33" s="1"/>
  <c r="I2051" i="35"/>
  <c r="M2054" i="35"/>
  <c r="H2049" i="35"/>
  <c r="O2049" i="35" s="1"/>
  <c r="H612" i="33" s="1"/>
  <c r="S612" i="33" s="1"/>
  <c r="I2054" i="35"/>
  <c r="L2055" i="35"/>
  <c r="M2051" i="35"/>
  <c r="I2055" i="35"/>
  <c r="M2039" i="35"/>
  <c r="H2055" i="35"/>
  <c r="L2054" i="35"/>
  <c r="H2054" i="35"/>
  <c r="L2053" i="35"/>
  <c r="N2053" i="35" s="1"/>
  <c r="M1928" i="35"/>
  <c r="I1928" i="35"/>
  <c r="I2053" i="35"/>
  <c r="H2053" i="35"/>
  <c r="L2051" i="35"/>
  <c r="H2051" i="35"/>
  <c r="N2049" i="35"/>
  <c r="Q612" i="33"/>
  <c r="R612" i="33" s="1"/>
  <c r="I2045" i="35"/>
  <c r="M2045" i="35"/>
  <c r="L2045" i="35"/>
  <c r="H2045" i="35"/>
  <c r="L2038" i="35"/>
  <c r="N2038" i="35" s="1"/>
  <c r="M2041" i="35"/>
  <c r="L2036" i="35"/>
  <c r="N2036" i="35" s="1"/>
  <c r="I2041" i="35"/>
  <c r="H2036" i="35"/>
  <c r="O2036" i="35" s="1"/>
  <c r="H576" i="33" s="1"/>
  <c r="L2041" i="35"/>
  <c r="H2041" i="35"/>
  <c r="I2010" i="35"/>
  <c r="L2039" i="35"/>
  <c r="H2038" i="35"/>
  <c r="O2038" i="35" s="1"/>
  <c r="I2039" i="35"/>
  <c r="H2039" i="35"/>
  <c r="M2010" i="35"/>
  <c r="Q611" i="33"/>
  <c r="R611" i="33" s="1"/>
  <c r="M2037" i="35"/>
  <c r="I2037" i="35"/>
  <c r="M2029" i="35"/>
  <c r="L2037" i="35"/>
  <c r="H2037" i="35"/>
  <c r="I1990" i="35"/>
  <c r="M1990" i="35"/>
  <c r="L2029" i="35"/>
  <c r="I2029" i="35"/>
  <c r="H2029" i="35"/>
  <c r="M2027" i="35"/>
  <c r="I2027" i="35"/>
  <c r="L2027" i="35"/>
  <c r="H2027" i="35"/>
  <c r="M2018" i="35"/>
  <c r="I2018" i="35"/>
  <c r="I2017" i="35"/>
  <c r="L2018" i="35"/>
  <c r="M2016" i="35"/>
  <c r="H2018" i="35"/>
  <c r="M2017" i="35"/>
  <c r="L2017" i="35"/>
  <c r="L2006" i="35"/>
  <c r="N2006" i="35" s="1"/>
  <c r="H2016" i="35"/>
  <c r="H2017" i="35"/>
  <c r="L2010" i="35"/>
  <c r="L2016" i="35"/>
  <c r="I2008" i="35"/>
  <c r="H2010" i="35"/>
  <c r="H2003" i="35"/>
  <c r="O2003" i="35" s="1"/>
  <c r="H607" i="33" s="1"/>
  <c r="S607" i="33" s="1"/>
  <c r="Q610" i="33"/>
  <c r="R610" i="33" s="1"/>
  <c r="H2006" i="35"/>
  <c r="O2006" i="35" s="1"/>
  <c r="H608" i="33" s="1"/>
  <c r="S608" i="33" s="1"/>
  <c r="Q609" i="33"/>
  <c r="R609" i="33" s="1"/>
  <c r="M2008" i="35"/>
  <c r="L2008" i="35"/>
  <c r="H2008" i="35"/>
  <c r="Q608" i="33"/>
  <c r="R608" i="33" s="1"/>
  <c r="L2003" i="35"/>
  <c r="N2003" i="35" s="1"/>
  <c r="I1947" i="35"/>
  <c r="M1947" i="35"/>
  <c r="M1985" i="35"/>
  <c r="Q607" i="33"/>
  <c r="R607" i="33" s="1"/>
  <c r="L1985" i="35"/>
  <c r="M2001" i="35"/>
  <c r="L2001" i="35"/>
  <c r="I1985" i="35"/>
  <c r="I2001" i="35"/>
  <c r="H2001" i="35"/>
  <c r="L1996" i="35"/>
  <c r="N1996" i="35" s="1"/>
  <c r="M1999" i="35"/>
  <c r="L1997" i="35"/>
  <c r="N1997" i="35" s="1"/>
  <c r="I1999" i="35"/>
  <c r="L1999" i="35"/>
  <c r="H1999" i="35"/>
  <c r="M1998" i="35"/>
  <c r="I1998" i="35"/>
  <c r="L1998" i="35"/>
  <c r="H1997" i="35"/>
  <c r="O1997" i="35" s="1"/>
  <c r="H1998" i="35"/>
  <c r="H1996" i="35"/>
  <c r="O1996" i="35" s="1"/>
  <c r="H605" i="33" s="1"/>
  <c r="S605" i="33" s="1"/>
  <c r="C50" i="34" s="1"/>
  <c r="Q606" i="33"/>
  <c r="R606" i="33" s="1"/>
  <c r="M1995" i="35"/>
  <c r="L1993" i="35"/>
  <c r="N1993" i="35" s="1"/>
  <c r="H1993" i="35"/>
  <c r="O1993" i="35" s="1"/>
  <c r="H604" i="33" s="1"/>
  <c r="L1976" i="35"/>
  <c r="Q605" i="33"/>
  <c r="I1995" i="35"/>
  <c r="L1995" i="35"/>
  <c r="I1966" i="35"/>
  <c r="H1995" i="35"/>
  <c r="M1966" i="35"/>
  <c r="M1994" i="35"/>
  <c r="L1994" i="35"/>
  <c r="I1994" i="35"/>
  <c r="H1994" i="35"/>
  <c r="L1990" i="35"/>
  <c r="M447" i="6"/>
  <c r="L447" i="6"/>
  <c r="J447" i="6"/>
  <c r="N450" i="6" s="1"/>
  <c r="P450" i="6" s="1"/>
  <c r="O450" i="6"/>
  <c r="H1990" i="35"/>
  <c r="Q604" i="33"/>
  <c r="R604" i="33" s="1"/>
  <c r="Q603" i="33"/>
  <c r="R603" i="33" s="1"/>
  <c r="M1987" i="35"/>
  <c r="I1987" i="35"/>
  <c r="M1983" i="35"/>
  <c r="H1985" i="35"/>
  <c r="L1987" i="35"/>
  <c r="H1987" i="35"/>
  <c r="M1984" i="35"/>
  <c r="I1984" i="35"/>
  <c r="L1984" i="35"/>
  <c r="H1984" i="35"/>
  <c r="L1983" i="35"/>
  <c r="M1936" i="35"/>
  <c r="I1936" i="35"/>
  <c r="I1983" i="35"/>
  <c r="H1983" i="35"/>
  <c r="M1768" i="35"/>
  <c r="M1814" i="35"/>
  <c r="M1982" i="35"/>
  <c r="I1982" i="35"/>
  <c r="L1982" i="35"/>
  <c r="M1976" i="35"/>
  <c r="H1982" i="35"/>
  <c r="M1981" i="35"/>
  <c r="L1981" i="35"/>
  <c r="H1981" i="35"/>
  <c r="O1981" i="35" s="1"/>
  <c r="I1976" i="35"/>
  <c r="H1976" i="35"/>
  <c r="M1973" i="35"/>
  <c r="I1973" i="35"/>
  <c r="L1973" i="35"/>
  <c r="H1973" i="35"/>
  <c r="L1971" i="35"/>
  <c r="M1971" i="35"/>
  <c r="I1960" i="35"/>
  <c r="I1971" i="35"/>
  <c r="H1971" i="35"/>
  <c r="M1960" i="35"/>
  <c r="M1969" i="35"/>
  <c r="I1969" i="35"/>
  <c r="L1966" i="35"/>
  <c r="L1969" i="35"/>
  <c r="H1969" i="35"/>
  <c r="M1964" i="35"/>
  <c r="H1966" i="35"/>
  <c r="Q64" i="33"/>
  <c r="R64" i="33" s="1"/>
  <c r="I1878" i="35"/>
  <c r="L1960" i="35"/>
  <c r="H1960" i="35"/>
  <c r="L1964" i="35"/>
  <c r="M1878" i="35"/>
  <c r="I1964" i="35"/>
  <c r="H1964" i="35"/>
  <c r="M1961" i="35"/>
  <c r="I1961" i="35"/>
  <c r="L1961" i="35"/>
  <c r="H1961" i="35"/>
  <c r="Q49" i="33"/>
  <c r="R49" i="33" s="1"/>
  <c r="M1958" i="35"/>
  <c r="I1958" i="35"/>
  <c r="L1958" i="35"/>
  <c r="H1958" i="35"/>
  <c r="I1894" i="35"/>
  <c r="M1956" i="35"/>
  <c r="L1956" i="35"/>
  <c r="I1956" i="35"/>
  <c r="M1955" i="35"/>
  <c r="I1955" i="35"/>
  <c r="H1956" i="35"/>
  <c r="M1894" i="35"/>
  <c r="L1955" i="35"/>
  <c r="H1955" i="35"/>
  <c r="M1954" i="35"/>
  <c r="I1954" i="35"/>
  <c r="L1954" i="35"/>
  <c r="H1954" i="35"/>
  <c r="L1947" i="35"/>
  <c r="H1947" i="35"/>
  <c r="I1951" i="35"/>
  <c r="L1936" i="35"/>
  <c r="M1951" i="35"/>
  <c r="L1951" i="35"/>
  <c r="H1951" i="35"/>
  <c r="M1937" i="35"/>
  <c r="M1946" i="35"/>
  <c r="I1946" i="35"/>
  <c r="L1946" i="35"/>
  <c r="H1946" i="35"/>
  <c r="M1944" i="35"/>
  <c r="I1944" i="35"/>
  <c r="L1944" i="35"/>
  <c r="I1943" i="35"/>
  <c r="H1944" i="35"/>
  <c r="M1940" i="35"/>
  <c r="M1926" i="35"/>
  <c r="M1943" i="35"/>
  <c r="L1942" i="35"/>
  <c r="L1943" i="35"/>
  <c r="I1926" i="35"/>
  <c r="H1943" i="35"/>
  <c r="M1942" i="35"/>
  <c r="I1942" i="35"/>
  <c r="H1942" i="35"/>
  <c r="I1940" i="35"/>
  <c r="L1940" i="35"/>
  <c r="H1940" i="35"/>
  <c r="M1927" i="35"/>
  <c r="I1938" i="35"/>
  <c r="L1926" i="35"/>
  <c r="M1938" i="35"/>
  <c r="H1936" i="35"/>
  <c r="L1938" i="35"/>
  <c r="H1938" i="35"/>
  <c r="I1937" i="35"/>
  <c r="L1937" i="35"/>
  <c r="H1937" i="35"/>
  <c r="M1932" i="35"/>
  <c r="Q61" i="33"/>
  <c r="H1932" i="35"/>
  <c r="L1928" i="35"/>
  <c r="H1928" i="35"/>
  <c r="L1932" i="35"/>
  <c r="H1926" i="35"/>
  <c r="I1678" i="35"/>
  <c r="Q74" i="33"/>
  <c r="M1678" i="35"/>
  <c r="L1927" i="35"/>
  <c r="I1927" i="35"/>
  <c r="H1927" i="35"/>
  <c r="I1863" i="35"/>
  <c r="Q44" i="33"/>
  <c r="R44" i="33" s="1"/>
  <c r="M1863" i="35"/>
  <c r="M1925" i="35"/>
  <c r="L1925" i="35"/>
  <c r="H1917" i="35"/>
  <c r="O1917" i="35" s="1"/>
  <c r="H94" i="33" s="1"/>
  <c r="S94" i="33" s="1"/>
  <c r="C25" i="34" s="1"/>
  <c r="I1925" i="35"/>
  <c r="H1925" i="35"/>
  <c r="M1921" i="35"/>
  <c r="H1894" i="35"/>
  <c r="I1921" i="35"/>
  <c r="L1921" i="35"/>
  <c r="H1921" i="35"/>
  <c r="M1920" i="35"/>
  <c r="L1917" i="35"/>
  <c r="N1917" i="35" s="1"/>
  <c r="I1920" i="35"/>
  <c r="I1866" i="35"/>
  <c r="L1920" i="35"/>
  <c r="H1920" i="35"/>
  <c r="M1866" i="35"/>
  <c r="M1919" i="35"/>
  <c r="L1919" i="35"/>
  <c r="I1918" i="35"/>
  <c r="I1919" i="35"/>
  <c r="H1919" i="35"/>
  <c r="M1918" i="35"/>
  <c r="L1918" i="35"/>
  <c r="H1918" i="35"/>
  <c r="Q94" i="33"/>
  <c r="I1907" i="35"/>
  <c r="S836" i="31"/>
  <c r="T836" i="31" s="1"/>
  <c r="L1894" i="35"/>
  <c r="M1740" i="35"/>
  <c r="M1907" i="35"/>
  <c r="L1907" i="35"/>
  <c r="H1907" i="35"/>
  <c r="I1740" i="35"/>
  <c r="M1901" i="35"/>
  <c r="I1901" i="35"/>
  <c r="L1901" i="35"/>
  <c r="M1899" i="35"/>
  <c r="H1901" i="35"/>
  <c r="I1900" i="35"/>
  <c r="M1900" i="35"/>
  <c r="I1899" i="35"/>
  <c r="L1900" i="35"/>
  <c r="H1900" i="35"/>
  <c r="L1899" i="35"/>
  <c r="H1899" i="35"/>
  <c r="M1896" i="35"/>
  <c r="I1896" i="35"/>
  <c r="L1896" i="35"/>
  <c r="H1896" i="35"/>
  <c r="Q600" i="33"/>
  <c r="R600" i="33" s="1"/>
  <c r="H1886" i="35"/>
  <c r="I1891" i="35"/>
  <c r="H1887" i="35"/>
  <c r="M1891" i="35"/>
  <c r="L1891" i="35"/>
  <c r="H1891" i="35"/>
  <c r="M1887" i="35"/>
  <c r="L1887" i="35"/>
  <c r="I1886" i="35"/>
  <c r="I1887" i="35"/>
  <c r="L1886" i="35"/>
  <c r="M1886" i="35"/>
  <c r="Q599" i="33"/>
  <c r="R599" i="33" s="1"/>
  <c r="I1881" i="35"/>
  <c r="L1878" i="35"/>
  <c r="L1866" i="35"/>
  <c r="H1878" i="35"/>
  <c r="M1881" i="35"/>
  <c r="L1881" i="35"/>
  <c r="H1881" i="35"/>
  <c r="M1782" i="35"/>
  <c r="I1782" i="35"/>
  <c r="M1873" i="35"/>
  <c r="L1873" i="35"/>
  <c r="I1873" i="35"/>
  <c r="H1873" i="35"/>
  <c r="H1863" i="35"/>
  <c r="H1866" i="35"/>
  <c r="L1855" i="35"/>
  <c r="I1869" i="35"/>
  <c r="M1869" i="35"/>
  <c r="L1869" i="35"/>
  <c r="H1869" i="35"/>
  <c r="L1863" i="35"/>
  <c r="M1844" i="35"/>
  <c r="M450" i="6"/>
  <c r="O447" i="6"/>
  <c r="Q33" i="33"/>
  <c r="R33" i="33" s="1"/>
  <c r="M1858" i="35"/>
  <c r="H1856" i="35"/>
  <c r="I1858" i="35"/>
  <c r="L1858" i="35"/>
  <c r="M1840" i="35"/>
  <c r="H1858" i="35"/>
  <c r="M1855" i="35"/>
  <c r="M1856" i="35"/>
  <c r="L1856" i="35"/>
  <c r="H1855" i="35"/>
  <c r="G1855" i="35"/>
  <c r="Q72" i="33"/>
  <c r="R72" i="33" s="1"/>
  <c r="M1845" i="35"/>
  <c r="I1845" i="35"/>
  <c r="L1845" i="35"/>
  <c r="H1845" i="35"/>
  <c r="I1735" i="35"/>
  <c r="I1843" i="35"/>
  <c r="L1844" i="35"/>
  <c r="H1843" i="35"/>
  <c r="I1844" i="35"/>
  <c r="M1735" i="35"/>
  <c r="M1839" i="35"/>
  <c r="H1844" i="35"/>
  <c r="M1841" i="35"/>
  <c r="M1843" i="35"/>
  <c r="L1843" i="35"/>
  <c r="H1841" i="35"/>
  <c r="I1841" i="35"/>
  <c r="I1829" i="35"/>
  <c r="L1841" i="35"/>
  <c r="M1829" i="35"/>
  <c r="I1692" i="35"/>
  <c r="L1840" i="35"/>
  <c r="M1692" i="35"/>
  <c r="I1840" i="35"/>
  <c r="I1839" i="35"/>
  <c r="H1840" i="35"/>
  <c r="AD836" i="31"/>
  <c r="AD835" i="31"/>
  <c r="X836" i="31"/>
  <c r="Y836" i="31" s="1"/>
  <c r="S835" i="31"/>
  <c r="T835" i="31" s="1"/>
  <c r="Z836" i="31"/>
  <c r="X835" i="31"/>
  <c r="Y835" i="31" s="1"/>
  <c r="Z835" i="31"/>
  <c r="L1839" i="35"/>
  <c r="I1838" i="35"/>
  <c r="H1839" i="35"/>
  <c r="M1838" i="35"/>
  <c r="L1838" i="35"/>
  <c r="H1838" i="35"/>
  <c r="L1831" i="35"/>
  <c r="H1831" i="35"/>
  <c r="L1830" i="35"/>
  <c r="M1835" i="35"/>
  <c r="I1835" i="35"/>
  <c r="L1835" i="35"/>
  <c r="H1835" i="35"/>
  <c r="H1829" i="35"/>
  <c r="M1833" i="35"/>
  <c r="H1830" i="35"/>
  <c r="L1833" i="35"/>
  <c r="I1832" i="35"/>
  <c r="I1833" i="35"/>
  <c r="H1833" i="35"/>
  <c r="M1831" i="35"/>
  <c r="M1832" i="35"/>
  <c r="L1832" i="35"/>
  <c r="H1832" i="35"/>
  <c r="I1830" i="35"/>
  <c r="L1829" i="35"/>
  <c r="M1830" i="35"/>
  <c r="I1831" i="35"/>
  <c r="O1831" i="35" s="1"/>
  <c r="Q97" i="33"/>
  <c r="R97" i="33" s="1"/>
  <c r="M1828" i="35"/>
  <c r="I1828" i="35"/>
  <c r="Q47" i="33"/>
  <c r="R47" i="33" s="1"/>
  <c r="L1828" i="35"/>
  <c r="H1828" i="35"/>
  <c r="I1785" i="35"/>
  <c r="M1785" i="35"/>
  <c r="M1826" i="35"/>
  <c r="L1826" i="35"/>
  <c r="I1826" i="35"/>
  <c r="H1826" i="35"/>
  <c r="M1821" i="35"/>
  <c r="H1821" i="35"/>
  <c r="L1820" i="35"/>
  <c r="H1820" i="35"/>
  <c r="L1821" i="35"/>
  <c r="M1820" i="35"/>
  <c r="I1820" i="35"/>
  <c r="I1821" i="35"/>
  <c r="S834" i="31"/>
  <c r="T834" i="31" s="1"/>
  <c r="S833" i="31"/>
  <c r="T833" i="31" s="1"/>
  <c r="AD834" i="31"/>
  <c r="X834" i="31"/>
  <c r="Y834" i="31" s="1"/>
  <c r="Z834" i="31"/>
  <c r="AD833" i="31"/>
  <c r="X833" i="31"/>
  <c r="Y833" i="31" s="1"/>
  <c r="Z833" i="31"/>
  <c r="S832" i="31"/>
  <c r="T832" i="31" s="1"/>
  <c r="I1644" i="35"/>
  <c r="L1814" i="35"/>
  <c r="I1814" i="35"/>
  <c r="M1644" i="35"/>
  <c r="H1814" i="35"/>
  <c r="I1805" i="35"/>
  <c r="M1810" i="35"/>
  <c r="I1810" i="35"/>
  <c r="L1810" i="35"/>
  <c r="H1810" i="35"/>
  <c r="M1802" i="35"/>
  <c r="H1802" i="35"/>
  <c r="M1805" i="35"/>
  <c r="L1805" i="35"/>
  <c r="I1802" i="35"/>
  <c r="H1805" i="35"/>
  <c r="L1802" i="35"/>
  <c r="Q598" i="33"/>
  <c r="R598" i="33" s="1"/>
  <c r="AD831" i="31"/>
  <c r="AD832" i="31"/>
  <c r="X832" i="31"/>
  <c r="Y832" i="31" s="1"/>
  <c r="Z832" i="31"/>
  <c r="S831" i="31"/>
  <c r="T831" i="31" s="1"/>
  <c r="X831" i="31"/>
  <c r="Y831" i="31" s="1"/>
  <c r="Z831" i="31"/>
  <c r="S829" i="31"/>
  <c r="T829" i="31" s="1"/>
  <c r="S830" i="31"/>
  <c r="T830" i="31" s="1"/>
  <c r="M42" i="33" s="1"/>
  <c r="AD829" i="31"/>
  <c r="Q42" i="33"/>
  <c r="Z830" i="31"/>
  <c r="X830" i="31"/>
  <c r="Y830" i="31" s="1"/>
  <c r="AD830" i="31"/>
  <c r="L1788" i="35"/>
  <c r="H1785" i="35"/>
  <c r="H1792" i="35"/>
  <c r="I1792" i="35"/>
  <c r="M1788" i="35"/>
  <c r="M1792" i="35"/>
  <c r="I1788" i="35"/>
  <c r="L1792" i="35"/>
  <c r="H1788" i="35"/>
  <c r="H1782" i="35"/>
  <c r="L1785" i="35"/>
  <c r="Q597" i="33"/>
  <c r="R597" i="33" s="1"/>
  <c r="L1782" i="35"/>
  <c r="Q43" i="33"/>
  <c r="R43" i="33" s="1"/>
  <c r="X829" i="31"/>
  <c r="Y829" i="31" s="1"/>
  <c r="Z829" i="31"/>
  <c r="S828" i="31"/>
  <c r="T828" i="31" s="1"/>
  <c r="AD828" i="31"/>
  <c r="Z827" i="31"/>
  <c r="X827" i="31"/>
  <c r="Y827" i="31" s="1"/>
  <c r="X828" i="31"/>
  <c r="Y828" i="31" s="1"/>
  <c r="Z828" i="31"/>
  <c r="S827" i="31"/>
  <c r="T827" i="31" s="1"/>
  <c r="AD827" i="31"/>
  <c r="M1775" i="35"/>
  <c r="S826" i="31"/>
  <c r="T826" i="31" s="1"/>
  <c r="AD826" i="31"/>
  <c r="Z826" i="31"/>
  <c r="X826" i="31"/>
  <c r="Y826" i="31" s="1"/>
  <c r="S825" i="31"/>
  <c r="T825" i="31" s="1"/>
  <c r="AD825" i="31"/>
  <c r="X825" i="31"/>
  <c r="Y825" i="31" s="1"/>
  <c r="S823" i="31"/>
  <c r="T823" i="31" s="1"/>
  <c r="S824" i="31"/>
  <c r="T824" i="31" s="1"/>
  <c r="Z825" i="31"/>
  <c r="X824" i="31"/>
  <c r="Y824" i="31" s="1"/>
  <c r="Z824" i="31"/>
  <c r="AD824" i="31"/>
  <c r="S822" i="31"/>
  <c r="T822" i="31" s="1"/>
  <c r="S819" i="31"/>
  <c r="T819" i="31" s="1"/>
  <c r="AD821" i="31"/>
  <c r="AD822" i="31"/>
  <c r="X822" i="31"/>
  <c r="Y822" i="31" s="1"/>
  <c r="X823" i="31"/>
  <c r="Y823" i="31" s="1"/>
  <c r="Z823" i="31"/>
  <c r="AD823" i="31"/>
  <c r="Z822" i="31"/>
  <c r="S821" i="31"/>
  <c r="T821" i="31" s="1"/>
  <c r="X821" i="31"/>
  <c r="Y821" i="31" s="1"/>
  <c r="Z821" i="31"/>
  <c r="S820" i="31"/>
  <c r="T820" i="31" s="1"/>
  <c r="AD820" i="31"/>
  <c r="AD819" i="31"/>
  <c r="X820" i="31"/>
  <c r="Y820" i="31" s="1"/>
  <c r="X819" i="31"/>
  <c r="Y819" i="31" s="1"/>
  <c r="Z820" i="31"/>
  <c r="Z819" i="31"/>
  <c r="I1775" i="35"/>
  <c r="L1775" i="35"/>
  <c r="H1775" i="35"/>
  <c r="I1761" i="35"/>
  <c r="L1768" i="35"/>
  <c r="M1761" i="35"/>
  <c r="I1768" i="35"/>
  <c r="H1768" i="35"/>
  <c r="M1757" i="35"/>
  <c r="H1761" i="35"/>
  <c r="L1761" i="35"/>
  <c r="M1759" i="35"/>
  <c r="I1759" i="35"/>
  <c r="L1740" i="35"/>
  <c r="L1759" i="35"/>
  <c r="H1759" i="35"/>
  <c r="I1757" i="35"/>
  <c r="L1757" i="35"/>
  <c r="H1757" i="35"/>
  <c r="M1756" i="35"/>
  <c r="I1734" i="35"/>
  <c r="L1756" i="35"/>
  <c r="I1756" i="35"/>
  <c r="H1756" i="35"/>
  <c r="M1734" i="35"/>
  <c r="M1751" i="35"/>
  <c r="I1751" i="35"/>
  <c r="L1751" i="35"/>
  <c r="H1751" i="35"/>
  <c r="H1735" i="35"/>
  <c r="L1734" i="35"/>
  <c r="I1744" i="35"/>
  <c r="M1744" i="35"/>
  <c r="L1744" i="35"/>
  <c r="H1744" i="35"/>
  <c r="H1740" i="35"/>
  <c r="L1735" i="35"/>
  <c r="H1734" i="35"/>
  <c r="M1722" i="35"/>
  <c r="Q596" i="33"/>
  <c r="R596" i="33" s="1"/>
  <c r="Q25" i="33"/>
  <c r="R25" i="33" s="1"/>
  <c r="S818" i="31"/>
  <c r="T818" i="31" s="1"/>
  <c r="S817" i="31"/>
  <c r="T817" i="31" s="1"/>
  <c r="I1689" i="35"/>
  <c r="L1722" i="35"/>
  <c r="I1722" i="35"/>
  <c r="H1722" i="35"/>
  <c r="M1689" i="35"/>
  <c r="AD818" i="31"/>
  <c r="X818" i="31"/>
  <c r="Y818" i="31" s="1"/>
  <c r="Z818" i="31"/>
  <c r="H1702" i="35"/>
  <c r="H1707" i="35"/>
  <c r="L1692" i="35"/>
  <c r="AD817" i="31"/>
  <c r="AD816" i="31"/>
  <c r="X817" i="31"/>
  <c r="Y817" i="31" s="1"/>
  <c r="S816" i="31"/>
  <c r="T816" i="31" s="1"/>
  <c r="Z817" i="31"/>
  <c r="X816" i="31"/>
  <c r="Y816" i="31" s="1"/>
  <c r="Z816" i="31"/>
  <c r="Z815" i="31"/>
  <c r="S815" i="31"/>
  <c r="T815" i="31" s="1"/>
  <c r="I1707" i="35"/>
  <c r="M1702" i="35"/>
  <c r="M1707" i="35"/>
  <c r="L1707" i="35"/>
  <c r="I1702" i="35"/>
  <c r="H1692" i="35"/>
  <c r="L1702" i="35"/>
  <c r="AD815" i="31"/>
  <c r="X815" i="31"/>
  <c r="Y815" i="31" s="1"/>
  <c r="AA815" i="31" s="1"/>
  <c r="Q81" i="33"/>
  <c r="R81" i="33" s="1"/>
  <c r="M1698" i="35"/>
  <c r="I1698" i="35"/>
  <c r="S814" i="31"/>
  <c r="T814" i="31" s="1"/>
  <c r="L1698" i="35"/>
  <c r="H1698" i="35"/>
  <c r="AD814" i="31"/>
  <c r="X814" i="31"/>
  <c r="Y814" i="31" s="1"/>
  <c r="Z814" i="31"/>
  <c r="S813" i="31"/>
  <c r="T813" i="31" s="1"/>
  <c r="Q595" i="33"/>
  <c r="R595" i="33" s="1"/>
  <c r="AD809" i="31"/>
  <c r="L1689" i="35"/>
  <c r="AD813" i="31"/>
  <c r="AD812" i="31"/>
  <c r="X812" i="31"/>
  <c r="Y812" i="31" s="1"/>
  <c r="X813" i="31"/>
  <c r="Y813" i="31" s="1"/>
  <c r="Z813" i="31"/>
  <c r="S812" i="31"/>
  <c r="T812" i="31" s="1"/>
  <c r="Z812" i="31"/>
  <c r="S810" i="31"/>
  <c r="T810" i="31" s="1"/>
  <c r="S811" i="31"/>
  <c r="T811" i="31" s="1"/>
  <c r="H1689" i="35"/>
  <c r="M1684" i="35"/>
  <c r="Q594" i="33"/>
  <c r="R594" i="33" s="1"/>
  <c r="M1691" i="35"/>
  <c r="AD811" i="31"/>
  <c r="Z811" i="31"/>
  <c r="X811" i="31"/>
  <c r="Y811" i="31" s="1"/>
  <c r="I1691" i="35"/>
  <c r="L1691" i="35"/>
  <c r="H1691" i="35"/>
  <c r="Q593" i="33"/>
  <c r="R593" i="33" s="1"/>
  <c r="I1684" i="35"/>
  <c r="H1678" i="35"/>
  <c r="AD810" i="31"/>
  <c r="X809" i="31"/>
  <c r="Y809" i="31" s="1"/>
  <c r="X810" i="31"/>
  <c r="Y810" i="31" s="1"/>
  <c r="S809" i="31"/>
  <c r="T809" i="31" s="1"/>
  <c r="Z810" i="31"/>
  <c r="S806" i="31"/>
  <c r="T806" i="31" s="1"/>
  <c r="S807" i="31"/>
  <c r="T807" i="31" s="1"/>
  <c r="S808" i="31"/>
  <c r="T808" i="31" s="1"/>
  <c r="Z809" i="31"/>
  <c r="AD808" i="31"/>
  <c r="AD807" i="31"/>
  <c r="Z807" i="31"/>
  <c r="X808" i="31"/>
  <c r="Y808" i="31" s="1"/>
  <c r="Z808" i="31"/>
  <c r="X807" i="31"/>
  <c r="Y807" i="31" s="1"/>
  <c r="L1684" i="35"/>
  <c r="I1655" i="35"/>
  <c r="H1684" i="35"/>
  <c r="M1655" i="35"/>
  <c r="M1683" i="35"/>
  <c r="L1683" i="35"/>
  <c r="L1678" i="35"/>
  <c r="I1683" i="35"/>
  <c r="H1683" i="35"/>
  <c r="AD806" i="31"/>
  <c r="X806" i="31"/>
  <c r="Y806" i="31" s="1"/>
  <c r="Z806" i="31"/>
  <c r="S805" i="31"/>
  <c r="T805" i="31" s="1"/>
  <c r="AD805" i="31"/>
  <c r="H1644" i="35"/>
  <c r="Q592" i="33"/>
  <c r="R592" i="33" s="1"/>
  <c r="X805" i="31"/>
  <c r="Y805" i="31" s="1"/>
  <c r="Z805" i="31"/>
  <c r="H1655" i="35"/>
  <c r="I1662" i="35"/>
  <c r="M1662" i="35"/>
  <c r="M1676" i="35"/>
  <c r="L1676" i="35"/>
  <c r="I1676" i="35"/>
  <c r="H1676" i="35"/>
  <c r="S804" i="31"/>
  <c r="T804" i="31" s="1"/>
  <c r="M26" i="33" s="1"/>
  <c r="L1658" i="35"/>
  <c r="H1662" i="35"/>
  <c r="L1644" i="35"/>
  <c r="H1658" i="35"/>
  <c r="L1662" i="35"/>
  <c r="L1656" i="35"/>
  <c r="AD804" i="31"/>
  <c r="Q26" i="33"/>
  <c r="X804" i="31"/>
  <c r="Y804" i="31" s="1"/>
  <c r="Z804" i="31"/>
  <c r="M1656" i="35"/>
  <c r="I1656" i="35"/>
  <c r="I1658" i="35"/>
  <c r="M1658" i="35"/>
  <c r="H1656" i="35"/>
  <c r="L1655" i="35"/>
  <c r="Q91" i="33"/>
  <c r="R91" i="33" s="1"/>
  <c r="Q591" i="33"/>
  <c r="R591" i="33" s="1"/>
  <c r="S803" i="31"/>
  <c r="T803" i="31" s="1"/>
  <c r="Q590" i="33"/>
  <c r="R590" i="33" s="1"/>
  <c r="AD803" i="31"/>
  <c r="Q31" i="33"/>
  <c r="R31" i="33" s="1"/>
  <c r="AD802" i="31"/>
  <c r="X803" i="31"/>
  <c r="Y803" i="31" s="1"/>
  <c r="Z803" i="31"/>
  <c r="S802" i="31"/>
  <c r="T802" i="31" s="1"/>
  <c r="X802" i="31"/>
  <c r="Y802" i="31" s="1"/>
  <c r="Z802" i="31"/>
  <c r="S801" i="31"/>
  <c r="T801" i="31" s="1"/>
  <c r="AD801" i="31"/>
  <c r="X801" i="31"/>
  <c r="Y801" i="31" s="1"/>
  <c r="Z801" i="31"/>
  <c r="J438" i="6"/>
  <c r="C1624" i="35" a="1"/>
  <c r="C1624" i="35" s="1"/>
  <c r="F1624" i="35"/>
  <c r="G1624" i="35" s="1"/>
  <c r="J1624" i="35"/>
  <c r="K1624" i="35" s="1"/>
  <c r="Q1624" i="35"/>
  <c r="C800" i="31" a="1"/>
  <c r="C800" i="31" s="1"/>
  <c r="D800" i="31" a="1"/>
  <c r="D800" i="31" s="1"/>
  <c r="L800" i="31"/>
  <c r="Q800" i="31"/>
  <c r="R800" i="31"/>
  <c r="U800" i="31"/>
  <c r="V800" i="31"/>
  <c r="W800" i="31"/>
  <c r="AB800" i="31"/>
  <c r="AC800" i="31"/>
  <c r="AF800" i="31"/>
  <c r="C1623" i="35" a="1"/>
  <c r="C1623" i="35" s="1"/>
  <c r="F1623" i="35"/>
  <c r="G1623" i="35" s="1"/>
  <c r="J1623" i="35"/>
  <c r="K1623" i="35" s="1"/>
  <c r="Q1623" i="35"/>
  <c r="C799" i="31" a="1"/>
  <c r="C799" i="31" s="1"/>
  <c r="D799" i="31" a="1"/>
  <c r="D799" i="31" s="1"/>
  <c r="L799" i="31"/>
  <c r="Q799" i="31"/>
  <c r="R799" i="31"/>
  <c r="U799" i="31"/>
  <c r="V799" i="31"/>
  <c r="AD799" i="31" s="1"/>
  <c r="W799" i="31"/>
  <c r="AB799" i="31"/>
  <c r="AC799" i="31"/>
  <c r="AF799" i="31"/>
  <c r="C1622" i="35" a="1"/>
  <c r="C1622" i="35" s="1"/>
  <c r="F1622" i="35"/>
  <c r="G1622" i="35" s="1"/>
  <c r="J1622" i="35"/>
  <c r="K1622" i="35" s="1"/>
  <c r="Q1622" i="35"/>
  <c r="C798" i="31" a="1"/>
  <c r="C798" i="31" s="1"/>
  <c r="D798" i="31" a="1"/>
  <c r="D798" i="31" s="1"/>
  <c r="L798" i="31"/>
  <c r="Q798" i="31"/>
  <c r="R798" i="31"/>
  <c r="U798" i="31"/>
  <c r="V798" i="31"/>
  <c r="W798" i="31"/>
  <c r="AB798" i="31"/>
  <c r="AC798" i="31"/>
  <c r="AF798" i="31"/>
  <c r="C797" i="31" a="1"/>
  <c r="C797" i="31" s="1"/>
  <c r="D797" i="31" a="1"/>
  <c r="D797" i="31" s="1"/>
  <c r="L797" i="31"/>
  <c r="Q797" i="31"/>
  <c r="R797" i="31"/>
  <c r="U797" i="31"/>
  <c r="V797" i="31"/>
  <c r="W797" i="31"/>
  <c r="AB797" i="31"/>
  <c r="AC797" i="31"/>
  <c r="AF797" i="31"/>
  <c r="C1621" i="35" a="1"/>
  <c r="C1621" i="35" s="1"/>
  <c r="F1621" i="35"/>
  <c r="G1621" i="35" s="1"/>
  <c r="J1621" i="35"/>
  <c r="K1621" i="35" s="1"/>
  <c r="Q1621" i="35"/>
  <c r="C1620" i="35" a="1"/>
  <c r="C1620" i="35" s="1"/>
  <c r="F1620" i="35"/>
  <c r="G1620" i="35" s="1"/>
  <c r="J1620" i="35"/>
  <c r="K1620" i="35" s="1"/>
  <c r="Q1620" i="35"/>
  <c r="C1619" i="35" a="1"/>
  <c r="C1619" i="35" s="1"/>
  <c r="F1619" i="35"/>
  <c r="G1619" i="35" s="1"/>
  <c r="J1619" i="35"/>
  <c r="K1619" i="35" s="1"/>
  <c r="Q1619" i="35"/>
  <c r="C1618" i="35" a="1"/>
  <c r="C1618" i="35" s="1"/>
  <c r="F1618" i="35"/>
  <c r="G1618" i="35" s="1"/>
  <c r="J1618" i="35"/>
  <c r="K1618" i="35" s="1"/>
  <c r="Q1618" i="35"/>
  <c r="C796" i="31" a="1"/>
  <c r="C796" i="31" s="1"/>
  <c r="D796" i="31" a="1"/>
  <c r="D796" i="31" s="1"/>
  <c r="L796" i="31"/>
  <c r="Q796" i="31"/>
  <c r="R796" i="31"/>
  <c r="U796" i="31"/>
  <c r="V796" i="31"/>
  <c r="W796" i="31"/>
  <c r="AB796" i="31"/>
  <c r="AC796" i="31"/>
  <c r="AF796" i="31"/>
  <c r="C795" i="31" a="1"/>
  <c r="C795" i="31" s="1"/>
  <c r="D795" i="31" a="1"/>
  <c r="D795" i="31" s="1"/>
  <c r="L795" i="31"/>
  <c r="Q795" i="31"/>
  <c r="R795" i="31"/>
  <c r="U795" i="31"/>
  <c r="V795" i="31"/>
  <c r="W795" i="31"/>
  <c r="AB795" i="31"/>
  <c r="AC795" i="31"/>
  <c r="AF795" i="31"/>
  <c r="C794" i="31" a="1"/>
  <c r="C794" i="31" s="1"/>
  <c r="D794" i="31" a="1"/>
  <c r="D794" i="31" s="1"/>
  <c r="L794" i="31"/>
  <c r="Q794" i="31"/>
  <c r="R794" i="31"/>
  <c r="U794" i="31"/>
  <c r="V794" i="31"/>
  <c r="W794" i="31"/>
  <c r="AB794" i="31"/>
  <c r="AC794" i="31"/>
  <c r="AF794" i="31"/>
  <c r="C1617" i="35" a="1"/>
  <c r="C1617" i="35" s="1"/>
  <c r="F1617" i="35"/>
  <c r="J1617" i="35"/>
  <c r="Q1617" i="35"/>
  <c r="C793" i="31" a="1"/>
  <c r="C793" i="31" s="1"/>
  <c r="D793" i="31" a="1"/>
  <c r="D793" i="31" s="1"/>
  <c r="L793" i="31"/>
  <c r="Q793" i="31"/>
  <c r="R793" i="31"/>
  <c r="U793" i="31"/>
  <c r="V793" i="31"/>
  <c r="W793" i="31"/>
  <c r="AB793" i="31"/>
  <c r="AC793" i="31"/>
  <c r="AF793" i="31"/>
  <c r="C792" i="31" a="1"/>
  <c r="C792" i="31" s="1"/>
  <c r="D792" i="31" a="1"/>
  <c r="D792" i="31" s="1"/>
  <c r="L792" i="31"/>
  <c r="Q792" i="31"/>
  <c r="R792" i="31"/>
  <c r="U792" i="31"/>
  <c r="V792" i="31"/>
  <c r="W792" i="31"/>
  <c r="AB792" i="31"/>
  <c r="AC792" i="31"/>
  <c r="AF792" i="31"/>
  <c r="C1616" i="35" a="1"/>
  <c r="C1616" i="35" s="1"/>
  <c r="F1616" i="35"/>
  <c r="G1616" i="35" s="1"/>
  <c r="J1616" i="35"/>
  <c r="K1616" i="35" s="1"/>
  <c r="Q1616" i="35"/>
  <c r="C1615" i="35" a="1"/>
  <c r="C1615" i="35" s="1"/>
  <c r="F1615" i="35"/>
  <c r="G1615" i="35" s="1"/>
  <c r="J1615" i="35"/>
  <c r="K1615" i="35" s="1"/>
  <c r="Q1615" i="35"/>
  <c r="C791" i="31" a="1"/>
  <c r="C791" i="31" s="1"/>
  <c r="D791" i="31" a="1"/>
  <c r="D791" i="31" s="1"/>
  <c r="L791" i="31"/>
  <c r="Q791" i="31"/>
  <c r="R791" i="31"/>
  <c r="U791" i="31"/>
  <c r="V791" i="31"/>
  <c r="W791" i="31"/>
  <c r="AB791" i="31"/>
  <c r="AC791" i="31"/>
  <c r="AF791" i="31"/>
  <c r="C1614" i="35" a="1"/>
  <c r="C1614" i="35" s="1"/>
  <c r="F1614" i="35"/>
  <c r="G1614" i="35" s="1"/>
  <c r="J1614" i="35"/>
  <c r="K1614" i="35" s="1"/>
  <c r="Q1614" i="35"/>
  <c r="C1613" i="35" a="1"/>
  <c r="C1613" i="35" s="1"/>
  <c r="F1613" i="35"/>
  <c r="G1613" i="35" s="1"/>
  <c r="J1613" i="35"/>
  <c r="K1613" i="35" s="1"/>
  <c r="Q1613" i="35"/>
  <c r="C1612" i="35" a="1"/>
  <c r="C1612" i="35" s="1"/>
  <c r="F1612" i="35"/>
  <c r="G1612" i="35" s="1"/>
  <c r="J1612" i="35"/>
  <c r="K1612" i="35" s="1"/>
  <c r="Q1612" i="35"/>
  <c r="C1611" i="35" a="1"/>
  <c r="C1611" i="35" s="1"/>
  <c r="F1611" i="35"/>
  <c r="G1611" i="35" s="1"/>
  <c r="J1611" i="35"/>
  <c r="K1611" i="35" s="1"/>
  <c r="Q1611" i="35"/>
  <c r="C1610" i="35" a="1"/>
  <c r="C1610" i="35" s="1"/>
  <c r="F1610" i="35"/>
  <c r="G1610" i="35" s="1"/>
  <c r="J1610" i="35"/>
  <c r="K1610" i="35" s="1"/>
  <c r="Q1610" i="35"/>
  <c r="H437" i="6"/>
  <c r="I437" i="6"/>
  <c r="M452" i="6" s="1"/>
  <c r="U437" i="6"/>
  <c r="C1609" i="35" a="1"/>
  <c r="C1609" i="35" s="1"/>
  <c r="F1609" i="35"/>
  <c r="J1609" i="35"/>
  <c r="Q1609" i="35"/>
  <c r="H436" i="6"/>
  <c r="J436" i="6" s="1"/>
  <c r="I436" i="6"/>
  <c r="K436" i="6" s="1"/>
  <c r="U436" i="6"/>
  <c r="H435" i="6"/>
  <c r="J435" i="6" s="1"/>
  <c r="I435" i="6"/>
  <c r="K435" i="6" s="1"/>
  <c r="U435" i="6"/>
  <c r="C1608" i="35" a="1"/>
  <c r="C1608" i="35" s="1"/>
  <c r="F1608" i="35"/>
  <c r="G1608" i="35" s="1"/>
  <c r="J1608" i="35"/>
  <c r="K1608" i="35" s="1"/>
  <c r="Q1608" i="35"/>
  <c r="Q1497" i="35"/>
  <c r="C762" i="31" a="1"/>
  <c r="C762" i="31" s="1"/>
  <c r="D762" i="31" a="1"/>
  <c r="D762" i="31" s="1"/>
  <c r="L762" i="31"/>
  <c r="Q762" i="31"/>
  <c r="R762" i="31"/>
  <c r="U762" i="31"/>
  <c r="V762" i="31"/>
  <c r="W762" i="31"/>
  <c r="AB762" i="31"/>
  <c r="AC762" i="31"/>
  <c r="AF762" i="31"/>
  <c r="H434" i="6"/>
  <c r="I434" i="6"/>
  <c r="U434" i="6"/>
  <c r="C743" i="31" a="1"/>
  <c r="C743" i="31" s="1"/>
  <c r="D743" i="31" a="1"/>
  <c r="D743" i="31" s="1"/>
  <c r="L743" i="31"/>
  <c r="Q743" i="31"/>
  <c r="R743" i="31"/>
  <c r="U743" i="31"/>
  <c r="V743" i="31"/>
  <c r="W743" i="31"/>
  <c r="AB743" i="31"/>
  <c r="AC743" i="31"/>
  <c r="AF743" i="31"/>
  <c r="C717" i="31" a="1"/>
  <c r="C717" i="31" s="1"/>
  <c r="D717" i="31" a="1"/>
  <c r="D717" i="31" s="1"/>
  <c r="L717" i="31"/>
  <c r="Q717" i="31"/>
  <c r="R717" i="31"/>
  <c r="U717" i="31"/>
  <c r="V717" i="31"/>
  <c r="W717" i="31"/>
  <c r="AB717" i="31"/>
  <c r="AC717" i="31"/>
  <c r="AF717" i="31"/>
  <c r="C1607" i="35" a="1"/>
  <c r="C1607" i="35" s="1"/>
  <c r="F1607" i="35"/>
  <c r="G1607" i="35" s="1"/>
  <c r="J1607" i="35"/>
  <c r="K1607" i="35" s="1"/>
  <c r="Q1607" i="35"/>
  <c r="C1606" i="35" a="1"/>
  <c r="C1606" i="35" s="1"/>
  <c r="F1606" i="35"/>
  <c r="G1606" i="35" s="1"/>
  <c r="J1606" i="35"/>
  <c r="K1606" i="35" s="1"/>
  <c r="Q1606" i="35"/>
  <c r="B35" i="33" a="1"/>
  <c r="B35" i="33" s="1"/>
  <c r="E35" i="33" a="1"/>
  <c r="E35" i="33" s="1"/>
  <c r="F35" i="33" a="1"/>
  <c r="F35" i="33" s="1"/>
  <c r="G35" i="33" a="1"/>
  <c r="G35" i="33" s="1"/>
  <c r="L35" i="33" a="1"/>
  <c r="L35" i="33" s="1"/>
  <c r="M35" i="33"/>
  <c r="N35" i="33"/>
  <c r="P35" i="33"/>
  <c r="C1605" i="35" a="1"/>
  <c r="C1605" i="35" s="1"/>
  <c r="F1605" i="35"/>
  <c r="H1850" i="35" s="1"/>
  <c r="J1605" i="35"/>
  <c r="L1850" i="35" s="1"/>
  <c r="Q1605" i="35"/>
  <c r="B132" i="33" a="1"/>
  <c r="B132" i="33" s="1"/>
  <c r="E132" i="33" a="1"/>
  <c r="E132" i="33" s="1"/>
  <c r="F132" i="33" a="1"/>
  <c r="F132" i="33" s="1"/>
  <c r="G132" i="33" a="1"/>
  <c r="G132" i="33" s="1"/>
  <c r="L132" i="33" a="1"/>
  <c r="L132" i="33" s="1"/>
  <c r="M132" i="33"/>
  <c r="N132" i="33"/>
  <c r="P132" i="33"/>
  <c r="C1604" i="35" a="1"/>
  <c r="C1604" i="35" s="1"/>
  <c r="F1604" i="35"/>
  <c r="J1604" i="35"/>
  <c r="Q1604" i="35"/>
  <c r="B71" i="33" a="1"/>
  <c r="B71" i="33" s="1"/>
  <c r="E71" i="33" a="1"/>
  <c r="E71" i="33" s="1"/>
  <c r="F71" i="33" a="1"/>
  <c r="F71" i="33" s="1"/>
  <c r="G71" i="33" a="1"/>
  <c r="G71" i="33" s="1"/>
  <c r="L71" i="33" a="1"/>
  <c r="L71" i="33" s="1"/>
  <c r="M71" i="33"/>
  <c r="N71" i="33"/>
  <c r="P71" i="33"/>
  <c r="C1603" i="35" a="1"/>
  <c r="C1603" i="35" s="1"/>
  <c r="F1603" i="35"/>
  <c r="H1888" i="35" s="1"/>
  <c r="J1603" i="35"/>
  <c r="L1888" i="35" s="1"/>
  <c r="Q1603" i="35"/>
  <c r="C1602" i="35" a="1"/>
  <c r="C1602" i="35" s="1"/>
  <c r="F1602" i="35"/>
  <c r="G1602" i="35" s="1"/>
  <c r="J1602" i="35"/>
  <c r="K1602" i="35" s="1"/>
  <c r="Q1602" i="35"/>
  <c r="C709" i="31" a="1"/>
  <c r="C709" i="31" s="1"/>
  <c r="D709" i="31" a="1"/>
  <c r="D709" i="31" s="1"/>
  <c r="L709" i="31"/>
  <c r="Q709" i="31"/>
  <c r="R709" i="31"/>
  <c r="U709" i="31"/>
  <c r="V709" i="31"/>
  <c r="W709" i="31"/>
  <c r="AB709" i="31"/>
  <c r="AC709" i="31"/>
  <c r="AF709" i="31"/>
  <c r="C1601" i="35" a="1"/>
  <c r="C1601" i="35" s="1"/>
  <c r="F1601" i="35"/>
  <c r="G1601" i="35" s="1"/>
  <c r="J1601" i="35"/>
  <c r="K1601" i="35" s="1"/>
  <c r="Q1601" i="35"/>
  <c r="C1600" i="35" a="1"/>
  <c r="C1600" i="35" s="1"/>
  <c r="F1600" i="35"/>
  <c r="G1600" i="35" s="1"/>
  <c r="J1600" i="35"/>
  <c r="K1600" i="35" s="1"/>
  <c r="Q1600" i="35"/>
  <c r="C1599" i="35" a="1"/>
  <c r="C1599" i="35" s="1"/>
  <c r="F1599" i="35"/>
  <c r="G1599" i="35" s="1"/>
  <c r="J1599" i="35"/>
  <c r="K1599" i="35" s="1"/>
  <c r="Q1599" i="35"/>
  <c r="C742" i="31" a="1"/>
  <c r="C742" i="31" s="1"/>
  <c r="D742" i="31" a="1"/>
  <c r="D742" i="31" s="1"/>
  <c r="L742" i="31"/>
  <c r="Q742" i="31"/>
  <c r="R742" i="31"/>
  <c r="U742" i="31"/>
  <c r="V742" i="31"/>
  <c r="W742" i="31"/>
  <c r="AB742" i="31"/>
  <c r="AC742" i="31"/>
  <c r="AF742" i="31"/>
  <c r="C1598" i="35" a="1"/>
  <c r="C1598" i="35" s="1"/>
  <c r="F1598" i="35"/>
  <c r="G1598" i="35" s="1"/>
  <c r="J1598" i="35"/>
  <c r="K1598" i="35" s="1"/>
  <c r="Q1598" i="35"/>
  <c r="C759" i="31" a="1"/>
  <c r="C759" i="31" s="1"/>
  <c r="D759" i="31" a="1"/>
  <c r="D759" i="31" s="1"/>
  <c r="L759" i="31"/>
  <c r="Q759" i="31"/>
  <c r="R759" i="31"/>
  <c r="U759" i="31"/>
  <c r="V759" i="31"/>
  <c r="W759" i="31"/>
  <c r="AB759" i="31"/>
  <c r="AC759" i="31"/>
  <c r="AF759" i="31"/>
  <c r="C758" i="31" a="1"/>
  <c r="C758" i="31" s="1"/>
  <c r="D758" i="31" a="1"/>
  <c r="D758" i="31" s="1"/>
  <c r="L758" i="31"/>
  <c r="Q758" i="31"/>
  <c r="R758" i="31"/>
  <c r="U758" i="31"/>
  <c r="V758" i="31"/>
  <c r="W758" i="31"/>
  <c r="AB758" i="31"/>
  <c r="AC758" i="31"/>
  <c r="AF758" i="31"/>
  <c r="C741" i="31" a="1"/>
  <c r="C741" i="31" s="1"/>
  <c r="D741" i="31" a="1"/>
  <c r="D741" i="31" s="1"/>
  <c r="L741" i="31"/>
  <c r="Q741" i="31"/>
  <c r="R741" i="31"/>
  <c r="U741" i="31"/>
  <c r="V741" i="31"/>
  <c r="W741" i="31"/>
  <c r="AB741" i="31"/>
  <c r="AC741" i="31"/>
  <c r="AF741" i="31"/>
  <c r="C1597" i="35" a="1"/>
  <c r="C1597" i="35" s="1"/>
  <c r="F1597" i="35"/>
  <c r="J1597" i="35"/>
  <c r="Q1597" i="35"/>
  <c r="B45" i="33" a="1"/>
  <c r="B45" i="33" s="1"/>
  <c r="E45" i="33" a="1"/>
  <c r="E45" i="33" s="1"/>
  <c r="F45" i="33" a="1"/>
  <c r="F45" i="33" s="1"/>
  <c r="G45" i="33" a="1"/>
  <c r="G45" i="33" s="1"/>
  <c r="L45" i="33" a="1"/>
  <c r="L45" i="33" s="1"/>
  <c r="M45" i="33"/>
  <c r="N45" i="33"/>
  <c r="E35" i="40" s="1"/>
  <c r="P45" i="33"/>
  <c r="C782" i="31" a="1"/>
  <c r="C782" i="31" s="1"/>
  <c r="D782" i="31" a="1"/>
  <c r="D782" i="31" s="1"/>
  <c r="L782" i="31"/>
  <c r="Q782" i="31"/>
  <c r="R782" i="31"/>
  <c r="U782" i="31"/>
  <c r="V782" i="31"/>
  <c r="W782" i="31"/>
  <c r="AB782" i="31"/>
  <c r="AC782" i="31"/>
  <c r="AF782" i="31"/>
  <c r="C781" i="31" a="1"/>
  <c r="C781" i="31" s="1"/>
  <c r="D781" i="31" a="1"/>
  <c r="D781" i="31" s="1"/>
  <c r="L781" i="31"/>
  <c r="Q781" i="31"/>
  <c r="R781" i="31"/>
  <c r="U781" i="31"/>
  <c r="V781" i="31"/>
  <c r="W781" i="31"/>
  <c r="AB781" i="31"/>
  <c r="AC781" i="31"/>
  <c r="AF781" i="31"/>
  <c r="C1596" i="35" a="1"/>
  <c r="C1596" i="35" s="1"/>
  <c r="F1596" i="35"/>
  <c r="G1596" i="35" s="1"/>
  <c r="J1596" i="35"/>
  <c r="K1596" i="35" s="1"/>
  <c r="Q1596" i="35"/>
  <c r="C1595" i="35" a="1"/>
  <c r="C1595" i="35" s="1"/>
  <c r="F1595" i="35"/>
  <c r="J1595" i="35"/>
  <c r="Q1595" i="35"/>
  <c r="B116" i="33" a="1"/>
  <c r="B116" i="33" s="1"/>
  <c r="E116" i="33" a="1"/>
  <c r="E116" i="33" s="1"/>
  <c r="F116" i="33" a="1"/>
  <c r="F116" i="33" s="1"/>
  <c r="G116" i="33" a="1"/>
  <c r="G116" i="33" s="1"/>
  <c r="L116" i="33" a="1"/>
  <c r="L116" i="33" s="1"/>
  <c r="M116" i="33"/>
  <c r="N116" i="33"/>
  <c r="P116" i="33"/>
  <c r="C1594" i="35" a="1"/>
  <c r="C1594" i="35" s="1"/>
  <c r="F1594" i="35"/>
  <c r="H2014" i="35" s="1"/>
  <c r="J1594" i="35"/>
  <c r="L2014" i="35" s="1"/>
  <c r="Q1594" i="35"/>
  <c r="C1593" i="35" a="1"/>
  <c r="C1593" i="35" s="1"/>
  <c r="F1593" i="35"/>
  <c r="G1593" i="35" s="1"/>
  <c r="J1593" i="35"/>
  <c r="K1593" i="35" s="1"/>
  <c r="Q1593" i="35"/>
  <c r="C1592" i="35" a="1"/>
  <c r="C1592" i="35" s="1"/>
  <c r="F1592" i="35"/>
  <c r="G1592" i="35" s="1"/>
  <c r="J1592" i="35"/>
  <c r="K1592" i="35" s="1"/>
  <c r="Q1592" i="35"/>
  <c r="C1591" i="35" a="1"/>
  <c r="C1591" i="35" s="1"/>
  <c r="F1591" i="35"/>
  <c r="G1591" i="35" s="1"/>
  <c r="J1591" i="35"/>
  <c r="K1591" i="35" s="1"/>
  <c r="Q1591" i="35"/>
  <c r="C1590" i="35" a="1"/>
  <c r="C1590" i="35" s="1"/>
  <c r="F1590" i="35"/>
  <c r="G1590" i="35" s="1"/>
  <c r="J1590" i="35"/>
  <c r="K1590" i="35" s="1"/>
  <c r="Q1590" i="35"/>
  <c r="C1589" i="35" a="1"/>
  <c r="C1589" i="35" s="1"/>
  <c r="F1589" i="35"/>
  <c r="G1589" i="35" s="1"/>
  <c r="J1589" i="35"/>
  <c r="K1589" i="35" s="1"/>
  <c r="Q1589" i="35"/>
  <c r="C1588" i="35" a="1"/>
  <c r="C1588" i="35" s="1"/>
  <c r="F1588" i="35"/>
  <c r="G1588" i="35" s="1"/>
  <c r="J1588" i="35"/>
  <c r="K1588" i="35" s="1"/>
  <c r="Q1588" i="35"/>
  <c r="C1587" i="35" a="1"/>
  <c r="C1587" i="35" s="1"/>
  <c r="F1587" i="35"/>
  <c r="G1587" i="35" s="1"/>
  <c r="J1587" i="35"/>
  <c r="K1587" i="35" s="1"/>
  <c r="Q1587" i="35"/>
  <c r="C1586" i="35" a="1"/>
  <c r="C1586" i="35" s="1"/>
  <c r="F1586" i="35"/>
  <c r="G1586" i="35" s="1"/>
  <c r="J1586" i="35"/>
  <c r="K1586" i="35" s="1"/>
  <c r="Q1586" i="35"/>
  <c r="C790" i="31" a="1"/>
  <c r="C790" i="31" s="1"/>
  <c r="D790" i="31" a="1"/>
  <c r="D790" i="31" s="1"/>
  <c r="L790" i="31"/>
  <c r="Q790" i="31"/>
  <c r="R790" i="31"/>
  <c r="U790" i="31"/>
  <c r="V790" i="31"/>
  <c r="W790" i="31"/>
  <c r="AB790" i="31"/>
  <c r="AC790" i="31"/>
  <c r="AF790" i="31"/>
  <c r="C1585" i="35" a="1"/>
  <c r="C1585" i="35" s="1"/>
  <c r="F1585" i="35"/>
  <c r="G1585" i="35" s="1"/>
  <c r="J1585" i="35"/>
  <c r="K1585" i="35" s="1"/>
  <c r="Q1585" i="35"/>
  <c r="C1584" i="35" a="1"/>
  <c r="C1584" i="35" s="1"/>
  <c r="F1584" i="35"/>
  <c r="G1584" i="35" s="1"/>
  <c r="J1584" i="35"/>
  <c r="K1584" i="35" s="1"/>
  <c r="Q1584" i="35"/>
  <c r="C1583" i="35" a="1"/>
  <c r="C1583" i="35" s="1"/>
  <c r="F1583" i="35"/>
  <c r="G1583" i="35" s="1"/>
  <c r="J1583" i="35"/>
  <c r="K1583" i="35" s="1"/>
  <c r="Q1583" i="35"/>
  <c r="C1582" i="35" a="1"/>
  <c r="C1582" i="35" s="1"/>
  <c r="F1582" i="35"/>
  <c r="G1582" i="35" s="1"/>
  <c r="J1582" i="35"/>
  <c r="K1582" i="35" s="1"/>
  <c r="Q1582" i="35"/>
  <c r="C1581" i="35" a="1"/>
  <c r="C1581" i="35" s="1"/>
  <c r="F1581" i="35"/>
  <c r="G1581" i="35" s="1"/>
  <c r="J1581" i="35"/>
  <c r="K1581" i="35" s="1"/>
  <c r="Q1581" i="35"/>
  <c r="C1580" i="35" a="1"/>
  <c r="C1580" i="35" s="1"/>
  <c r="F1580" i="35"/>
  <c r="G1580" i="35" s="1"/>
  <c r="J1580" i="35"/>
  <c r="K1580" i="35" s="1"/>
  <c r="Q1580" i="35"/>
  <c r="C1579" i="35" a="1"/>
  <c r="C1579" i="35" s="1"/>
  <c r="F1579" i="35"/>
  <c r="G1579" i="35" s="1"/>
  <c r="J1579" i="35"/>
  <c r="K1579" i="35" s="1"/>
  <c r="Q1579" i="35"/>
  <c r="C1578" i="35" a="1"/>
  <c r="C1578" i="35" s="1"/>
  <c r="F1578" i="35"/>
  <c r="G1578" i="35" s="1"/>
  <c r="J1578" i="35"/>
  <c r="K1578" i="35" s="1"/>
  <c r="Q1578" i="35"/>
  <c r="C779" i="31" a="1"/>
  <c r="C779" i="31" s="1"/>
  <c r="D779" i="31" a="1"/>
  <c r="D779" i="31" s="1"/>
  <c r="L779" i="31"/>
  <c r="Q779" i="31"/>
  <c r="R779" i="31"/>
  <c r="U779" i="31"/>
  <c r="V779" i="31"/>
  <c r="W779" i="31"/>
  <c r="AB779" i="31"/>
  <c r="AC779" i="31"/>
  <c r="AF779" i="31"/>
  <c r="C1577" i="35" a="1"/>
  <c r="C1577" i="35" s="1"/>
  <c r="F1577" i="35"/>
  <c r="G1577" i="35" s="1"/>
  <c r="J1577" i="35"/>
  <c r="K1577" i="35" s="1"/>
  <c r="Q1577" i="35"/>
  <c r="C1576" i="35" a="1"/>
  <c r="C1576" i="35" s="1"/>
  <c r="F1576" i="35"/>
  <c r="G1576" i="35" s="1"/>
  <c r="J1576" i="35"/>
  <c r="K1576" i="35" s="1"/>
  <c r="Q1576" i="35"/>
  <c r="C1575" i="35" a="1"/>
  <c r="C1575" i="35" s="1"/>
  <c r="F1575" i="35"/>
  <c r="G1575" i="35" s="1"/>
  <c r="J1575" i="35"/>
  <c r="K1575" i="35" s="1"/>
  <c r="Q1575" i="35"/>
  <c r="C1574" i="35" a="1"/>
  <c r="C1574" i="35" s="1"/>
  <c r="F1574" i="35"/>
  <c r="G1574" i="35" s="1"/>
  <c r="J1574" i="35"/>
  <c r="K1574" i="35" s="1"/>
  <c r="Q1574" i="35"/>
  <c r="C1573" i="35" a="1"/>
  <c r="C1573" i="35" s="1"/>
  <c r="F1573" i="35"/>
  <c r="G1573" i="35" s="1"/>
  <c r="J1573" i="35"/>
  <c r="K1573" i="35" s="1"/>
  <c r="Q1573" i="35"/>
  <c r="H433" i="6"/>
  <c r="J433" i="6" s="1"/>
  <c r="I433" i="6"/>
  <c r="K433" i="6" s="1"/>
  <c r="U433" i="6"/>
  <c r="C1572" i="35" a="1"/>
  <c r="C1572" i="35" s="1"/>
  <c r="F1572" i="35"/>
  <c r="G1572" i="35" s="1"/>
  <c r="J1572" i="35"/>
  <c r="K1572" i="35" s="1"/>
  <c r="Q1572" i="35"/>
  <c r="C1571" i="35" a="1"/>
  <c r="C1571" i="35" s="1"/>
  <c r="F1571" i="35"/>
  <c r="G1571" i="35" s="1"/>
  <c r="J1571" i="35"/>
  <c r="K1571" i="35" s="1"/>
  <c r="Q1571" i="35"/>
  <c r="C1570" i="35" a="1"/>
  <c r="C1570" i="35" s="1"/>
  <c r="F1570" i="35"/>
  <c r="G1570" i="35" s="1"/>
  <c r="J1570" i="35"/>
  <c r="K1570" i="35" s="1"/>
  <c r="Q1570" i="35"/>
  <c r="C1569" i="35" a="1"/>
  <c r="C1569" i="35" s="1"/>
  <c r="F1569" i="35"/>
  <c r="G1569" i="35" s="1"/>
  <c r="J1569" i="35"/>
  <c r="K1569" i="35" s="1"/>
  <c r="Q1569" i="35"/>
  <c r="C1568" i="35" a="1"/>
  <c r="C1568" i="35" s="1"/>
  <c r="F1568" i="35"/>
  <c r="G1568" i="35" s="1"/>
  <c r="J1568" i="35"/>
  <c r="K1568" i="35" s="1"/>
  <c r="Q1568" i="35"/>
  <c r="C1567" i="35" a="1"/>
  <c r="C1567" i="35" s="1"/>
  <c r="F1567" i="35"/>
  <c r="G1567" i="35" s="1"/>
  <c r="J1567" i="35"/>
  <c r="K1567" i="35" s="1"/>
  <c r="Q1567" i="35"/>
  <c r="C1566" i="35" a="1"/>
  <c r="C1566" i="35" s="1"/>
  <c r="F1566" i="35"/>
  <c r="G1566" i="35" s="1"/>
  <c r="J1566" i="35"/>
  <c r="K1566" i="35" s="1"/>
  <c r="Q1566" i="35"/>
  <c r="C1565" i="35" a="1"/>
  <c r="C1565" i="35" s="1"/>
  <c r="F1565" i="35"/>
  <c r="G1565" i="35" s="1"/>
  <c r="J1565" i="35"/>
  <c r="K1565" i="35" s="1"/>
  <c r="Q1565" i="35"/>
  <c r="C1564" i="35" a="1"/>
  <c r="C1564" i="35" s="1"/>
  <c r="F1564" i="35"/>
  <c r="J1564" i="35"/>
  <c r="Q1564" i="35"/>
  <c r="C1563" i="35" a="1"/>
  <c r="C1563" i="35" s="1"/>
  <c r="F1563" i="35"/>
  <c r="G1563" i="35" s="1"/>
  <c r="J1563" i="35"/>
  <c r="K1563" i="35" s="1"/>
  <c r="Q1563" i="35"/>
  <c r="C1562" i="35" a="1"/>
  <c r="C1562" i="35" s="1"/>
  <c r="F1562" i="35"/>
  <c r="G1562" i="35" s="1"/>
  <c r="J1562" i="35"/>
  <c r="K1562" i="35" s="1"/>
  <c r="Q1562" i="35"/>
  <c r="C1561" i="35" a="1"/>
  <c r="C1561" i="35" s="1"/>
  <c r="F1561" i="35"/>
  <c r="J1561" i="35"/>
  <c r="Q1561" i="35"/>
  <c r="B128" i="33" a="1"/>
  <c r="B128" i="33" s="1"/>
  <c r="E128" i="33" a="1"/>
  <c r="E128" i="33" s="1"/>
  <c r="F128" i="33" a="1"/>
  <c r="F128" i="33" s="1"/>
  <c r="G128" i="33" a="1"/>
  <c r="G128" i="33" s="1"/>
  <c r="L128" i="33" a="1"/>
  <c r="L128" i="33" s="1"/>
  <c r="M128" i="33"/>
  <c r="N128" i="33"/>
  <c r="P128" i="33"/>
  <c r="C1560" i="35" a="1"/>
  <c r="C1560" i="35" s="1"/>
  <c r="F1560" i="35"/>
  <c r="H1736" i="35" s="1"/>
  <c r="J1560" i="35"/>
  <c r="L1736" i="35" s="1"/>
  <c r="Q1560" i="35"/>
  <c r="B117" i="33" a="1"/>
  <c r="B117" i="33" s="1"/>
  <c r="E117" i="33" a="1"/>
  <c r="E117" i="33" s="1"/>
  <c r="F117" i="33" a="1"/>
  <c r="F117" i="33" s="1"/>
  <c r="G117" i="33" a="1"/>
  <c r="G117" i="33" s="1"/>
  <c r="L117" i="33" a="1"/>
  <c r="L117" i="33" s="1"/>
  <c r="M117" i="33"/>
  <c r="N117" i="33"/>
  <c r="P117" i="33"/>
  <c r="C1559" i="35" a="1"/>
  <c r="C1559" i="35" s="1"/>
  <c r="F1559" i="35"/>
  <c r="G1559" i="35" s="1"/>
  <c r="J1559" i="35"/>
  <c r="K1559" i="35" s="1"/>
  <c r="Q1559" i="35"/>
  <c r="C1558" i="35" a="1"/>
  <c r="C1558" i="35" s="1"/>
  <c r="F1558" i="35"/>
  <c r="G1558" i="35" s="1"/>
  <c r="J1558" i="35"/>
  <c r="K1558" i="35" s="1"/>
  <c r="Q1558" i="35"/>
  <c r="C708" i="31" a="1"/>
  <c r="C708" i="31" s="1"/>
  <c r="D708" i="31" a="1"/>
  <c r="D708" i="31" s="1"/>
  <c r="L708" i="31"/>
  <c r="Q708" i="31"/>
  <c r="R708" i="31"/>
  <c r="U708" i="31"/>
  <c r="V708" i="31"/>
  <c r="W708" i="31"/>
  <c r="AB708" i="31"/>
  <c r="AC708" i="31"/>
  <c r="AF708" i="31"/>
  <c r="C691" i="31" a="1"/>
  <c r="C691" i="31" s="1"/>
  <c r="D691" i="31" a="1"/>
  <c r="D691" i="31" s="1"/>
  <c r="L691" i="31"/>
  <c r="Q691" i="31"/>
  <c r="R691" i="31"/>
  <c r="U691" i="31"/>
  <c r="V691" i="31"/>
  <c r="W691" i="31"/>
  <c r="AB691" i="31"/>
  <c r="AC691" i="31"/>
  <c r="AF691" i="31"/>
  <c r="C1557" i="35" a="1"/>
  <c r="C1557" i="35" s="1"/>
  <c r="F1557" i="35"/>
  <c r="G1557" i="35" s="1"/>
  <c r="J1557" i="35"/>
  <c r="K1557" i="35" s="1"/>
  <c r="Q1557" i="35"/>
  <c r="C785" i="31" a="1"/>
  <c r="C785" i="31" s="1"/>
  <c r="D785" i="31" a="1"/>
  <c r="D785" i="31" s="1"/>
  <c r="L785" i="31"/>
  <c r="Q785" i="31"/>
  <c r="R785" i="31"/>
  <c r="U785" i="31"/>
  <c r="V785" i="31"/>
  <c r="W785" i="31"/>
  <c r="AB785" i="31"/>
  <c r="AC785" i="31"/>
  <c r="AF785" i="31"/>
  <c r="C767" i="31" a="1"/>
  <c r="C767" i="31" s="1"/>
  <c r="D767" i="31" a="1"/>
  <c r="D767" i="31" s="1"/>
  <c r="L767" i="31"/>
  <c r="Q767" i="31"/>
  <c r="R767" i="31"/>
  <c r="U767" i="31"/>
  <c r="V767" i="31"/>
  <c r="W767" i="31"/>
  <c r="AB767" i="31"/>
  <c r="AC767" i="31"/>
  <c r="AF767" i="31"/>
  <c r="H432" i="6"/>
  <c r="J432" i="6" s="1"/>
  <c r="I432" i="6"/>
  <c r="K432" i="6" s="1"/>
  <c r="U432" i="6"/>
  <c r="C1556" i="35" a="1"/>
  <c r="C1556" i="35" s="1"/>
  <c r="F1556" i="35"/>
  <c r="G1556" i="35" s="1"/>
  <c r="J1556" i="35"/>
  <c r="K1556" i="35" s="1"/>
  <c r="Q1556" i="35"/>
  <c r="C1555" i="35" a="1"/>
  <c r="C1555" i="35" s="1"/>
  <c r="F1555" i="35"/>
  <c r="G1555" i="35" s="1"/>
  <c r="J1555" i="35"/>
  <c r="K1555" i="35" s="1"/>
  <c r="Q1555" i="35"/>
  <c r="C1554" i="35" a="1"/>
  <c r="C1554" i="35" s="1"/>
  <c r="F1554" i="35"/>
  <c r="G1554" i="35" s="1"/>
  <c r="J1554" i="35"/>
  <c r="K1554" i="35" s="1"/>
  <c r="Q1554" i="35"/>
  <c r="C1553" i="35" a="1"/>
  <c r="C1553" i="35" s="1"/>
  <c r="F1553" i="35"/>
  <c r="G1553" i="35" s="1"/>
  <c r="I1553" i="35" s="1"/>
  <c r="J1553" i="35"/>
  <c r="K1553" i="35" s="1"/>
  <c r="M1553" i="35" s="1"/>
  <c r="Q1553" i="35"/>
  <c r="B96" i="33" a="1"/>
  <c r="B96" i="33" s="1"/>
  <c r="E96" i="33" a="1"/>
  <c r="E96" i="33" s="1"/>
  <c r="F96" i="33" a="1"/>
  <c r="F96" i="33" s="1"/>
  <c r="G96" i="33" a="1"/>
  <c r="G96" i="33" s="1"/>
  <c r="L96" i="33" a="1"/>
  <c r="L96" i="33" s="1"/>
  <c r="M96" i="33"/>
  <c r="N96" i="33"/>
  <c r="P96" i="33"/>
  <c r="C1552" i="35" a="1"/>
  <c r="C1552" i="35" s="1"/>
  <c r="F1552" i="35"/>
  <c r="G1552" i="35" s="1"/>
  <c r="J1552" i="35"/>
  <c r="K1552" i="35" s="1"/>
  <c r="Q1552" i="35"/>
  <c r="C1551" i="35" a="1"/>
  <c r="C1551" i="35" s="1"/>
  <c r="F1551" i="35"/>
  <c r="G1551" i="35" s="1"/>
  <c r="J1551" i="35"/>
  <c r="K1551" i="35" s="1"/>
  <c r="Q1551" i="35"/>
  <c r="C1550" i="35" a="1"/>
  <c r="C1550" i="35" s="1"/>
  <c r="F1550" i="35"/>
  <c r="G1550" i="35" s="1"/>
  <c r="J1550" i="35"/>
  <c r="K1550" i="35" s="1"/>
  <c r="Q1550" i="35"/>
  <c r="B56" i="33" a="1"/>
  <c r="B56" i="33" s="1"/>
  <c r="E56" i="33" a="1"/>
  <c r="E56" i="33" s="1"/>
  <c r="F56" i="33" a="1"/>
  <c r="F56" i="33" s="1"/>
  <c r="G56" i="33" a="1"/>
  <c r="G56" i="33" s="1"/>
  <c r="L56" i="33" a="1"/>
  <c r="L56" i="33" s="1"/>
  <c r="M56" i="33"/>
  <c r="N56" i="33"/>
  <c r="P56" i="33"/>
  <c r="C1549" i="35" a="1"/>
  <c r="C1549" i="35" s="1"/>
  <c r="F1549" i="35"/>
  <c r="J1549" i="35"/>
  <c r="Q1549" i="35"/>
  <c r="C1548" i="35" a="1"/>
  <c r="C1548" i="35" s="1"/>
  <c r="F1548" i="35"/>
  <c r="G1548" i="35" s="1"/>
  <c r="J1548" i="35"/>
  <c r="K1548" i="35" s="1"/>
  <c r="Q1548" i="35"/>
  <c r="C1547" i="35" a="1"/>
  <c r="C1547" i="35" s="1"/>
  <c r="F1547" i="35"/>
  <c r="G1547" i="35" s="1"/>
  <c r="J1547" i="35"/>
  <c r="K1547" i="35" s="1"/>
  <c r="Q1547" i="35"/>
  <c r="C774" i="31" a="1"/>
  <c r="C774" i="31" s="1"/>
  <c r="D774" i="31" a="1"/>
  <c r="D774" i="31" s="1"/>
  <c r="L774" i="31"/>
  <c r="Q774" i="31"/>
  <c r="R774" i="31"/>
  <c r="U774" i="31"/>
  <c r="V774" i="31"/>
  <c r="W774" i="31"/>
  <c r="AB774" i="31"/>
  <c r="AC774" i="31"/>
  <c r="AF774" i="31"/>
  <c r="C773" i="31" a="1"/>
  <c r="C773" i="31" s="1"/>
  <c r="D773" i="31" a="1"/>
  <c r="D773" i="31" s="1"/>
  <c r="L773" i="31"/>
  <c r="Q773" i="31"/>
  <c r="R773" i="31"/>
  <c r="U773" i="31"/>
  <c r="V773" i="31"/>
  <c r="W773" i="31"/>
  <c r="AB773" i="31"/>
  <c r="AC773" i="31"/>
  <c r="AF773" i="31"/>
  <c r="C1546" i="35" a="1"/>
  <c r="C1546" i="35" s="1"/>
  <c r="F1546" i="35"/>
  <c r="G1546" i="35" s="1"/>
  <c r="J1546" i="35"/>
  <c r="K1546" i="35" s="1"/>
  <c r="Q1546" i="35"/>
  <c r="C1545" i="35" a="1"/>
  <c r="C1545" i="35" s="1"/>
  <c r="F1545" i="35"/>
  <c r="G1545" i="35" s="1"/>
  <c r="J1545" i="35"/>
  <c r="K1545" i="35" s="1"/>
  <c r="Q1545" i="35"/>
  <c r="C772" i="31" a="1"/>
  <c r="C772" i="31" s="1"/>
  <c r="D772" i="31" a="1"/>
  <c r="D772" i="31" s="1"/>
  <c r="L772" i="31"/>
  <c r="Q772" i="31"/>
  <c r="R772" i="31"/>
  <c r="U772" i="31"/>
  <c r="V772" i="31"/>
  <c r="W772" i="31"/>
  <c r="AB772" i="31"/>
  <c r="AC772" i="31"/>
  <c r="AF772" i="31"/>
  <c r="C1544" i="35" a="1"/>
  <c r="C1544" i="35" s="1"/>
  <c r="F1544" i="35"/>
  <c r="J1544" i="35"/>
  <c r="Q1544" i="35"/>
  <c r="B601" i="33" a="1"/>
  <c r="B601" i="33" s="1"/>
  <c r="E601" i="33" a="1"/>
  <c r="E601" i="33" s="1"/>
  <c r="F601" i="33" a="1"/>
  <c r="F601" i="33" s="1"/>
  <c r="G601" i="33" a="1"/>
  <c r="G601" i="33" s="1"/>
  <c r="L601" i="33" a="1"/>
  <c r="L601" i="33" s="1"/>
  <c r="M601" i="33"/>
  <c r="N601" i="33"/>
  <c r="P601" i="33"/>
  <c r="C771" i="31" a="1"/>
  <c r="C771" i="31" s="1"/>
  <c r="D771" i="31" a="1"/>
  <c r="D771" i="31" s="1"/>
  <c r="L771" i="31"/>
  <c r="Q771" i="31"/>
  <c r="R771" i="31"/>
  <c r="U771" i="31"/>
  <c r="V771" i="31"/>
  <c r="W771" i="31"/>
  <c r="AB771" i="31"/>
  <c r="AC771" i="31"/>
  <c r="AF771" i="31"/>
  <c r="C770" i="31" a="1"/>
  <c r="C770" i="31" s="1"/>
  <c r="D770" i="31" a="1"/>
  <c r="D770" i="31" s="1"/>
  <c r="L770" i="31"/>
  <c r="Q770" i="31"/>
  <c r="R770" i="31"/>
  <c r="U770" i="31"/>
  <c r="V770" i="31"/>
  <c r="W770" i="31"/>
  <c r="AB770" i="31"/>
  <c r="AC770" i="31"/>
  <c r="AF770" i="31"/>
  <c r="C1543" i="35" a="1"/>
  <c r="C1543" i="35" s="1"/>
  <c r="F1543" i="35"/>
  <c r="G1543" i="35" s="1"/>
  <c r="J1543" i="35"/>
  <c r="K1543" i="35" s="1"/>
  <c r="Q1543" i="35"/>
  <c r="C769" i="31" a="1"/>
  <c r="C769" i="31" s="1"/>
  <c r="D769" i="31" a="1"/>
  <c r="D769" i="31" s="1"/>
  <c r="L769" i="31"/>
  <c r="Q769" i="31"/>
  <c r="R769" i="31"/>
  <c r="U769" i="31"/>
  <c r="V769" i="31"/>
  <c r="W769" i="31"/>
  <c r="AB769" i="31"/>
  <c r="AC769" i="31"/>
  <c r="AF769" i="31"/>
  <c r="C768" i="31" a="1"/>
  <c r="C768" i="31" s="1"/>
  <c r="D768" i="31" a="1"/>
  <c r="D768" i="31" s="1"/>
  <c r="L768" i="31"/>
  <c r="Q768" i="31"/>
  <c r="R768" i="31"/>
  <c r="U768" i="31"/>
  <c r="V768" i="31"/>
  <c r="W768" i="31"/>
  <c r="AB768" i="31"/>
  <c r="AC768" i="31"/>
  <c r="AF768" i="31"/>
  <c r="C1542" i="35" a="1"/>
  <c r="C1542" i="35" s="1"/>
  <c r="F1542" i="35"/>
  <c r="G1542" i="35" s="1"/>
  <c r="J1542" i="35"/>
  <c r="K1542" i="35" s="1"/>
  <c r="Q1542" i="35"/>
  <c r="C1541" i="35" a="1"/>
  <c r="C1541" i="35" s="1"/>
  <c r="F1541" i="35"/>
  <c r="G1541" i="35" s="1"/>
  <c r="J1541" i="35"/>
  <c r="K1541" i="35" s="1"/>
  <c r="Q1541" i="35"/>
  <c r="C757" i="31" a="1"/>
  <c r="C757" i="31" s="1"/>
  <c r="D757" i="31" a="1"/>
  <c r="D757" i="31" s="1"/>
  <c r="L757" i="31"/>
  <c r="Q757" i="31"/>
  <c r="R757" i="31"/>
  <c r="U757" i="31"/>
  <c r="V757" i="31"/>
  <c r="W757" i="31"/>
  <c r="AB757" i="31"/>
  <c r="AC757" i="31"/>
  <c r="AF757" i="31"/>
  <c r="C754" i="31" a="1"/>
  <c r="C754" i="31" s="1"/>
  <c r="D754" i="31" a="1"/>
  <c r="D754" i="31" s="1"/>
  <c r="L754" i="31"/>
  <c r="Q754" i="31"/>
  <c r="R754" i="31"/>
  <c r="U754" i="31"/>
  <c r="V754" i="31"/>
  <c r="W754" i="31"/>
  <c r="AB754" i="31"/>
  <c r="AC754" i="31"/>
  <c r="AF754" i="31"/>
  <c r="C1540" i="35" a="1"/>
  <c r="C1540" i="35" s="1"/>
  <c r="F1540" i="35"/>
  <c r="G1540" i="35" s="1"/>
  <c r="J1540" i="35"/>
  <c r="K1540" i="35" s="1"/>
  <c r="Q1540" i="35"/>
  <c r="B589" i="33" a="1"/>
  <c r="B589" i="33" s="1"/>
  <c r="E589" i="33" a="1"/>
  <c r="E589" i="33" s="1"/>
  <c r="F589" i="33" a="1"/>
  <c r="F589" i="33" s="1"/>
  <c r="G589" i="33" a="1"/>
  <c r="G589" i="33" s="1"/>
  <c r="L589" i="33" a="1"/>
  <c r="L589" i="33" s="1"/>
  <c r="P589" i="33"/>
  <c r="C765" i="31" a="1"/>
  <c r="C765" i="31" s="1"/>
  <c r="D765" i="31" a="1"/>
  <c r="D765" i="31" s="1"/>
  <c r="L765" i="31"/>
  <c r="Q765" i="31"/>
  <c r="R765" i="31"/>
  <c r="U765" i="31"/>
  <c r="V765" i="31"/>
  <c r="W765" i="31"/>
  <c r="AB765" i="31"/>
  <c r="AC765" i="31"/>
  <c r="AF765" i="31"/>
  <c r="C764" i="31" a="1"/>
  <c r="C764" i="31" s="1"/>
  <c r="D764" i="31" a="1"/>
  <c r="D764" i="31" s="1"/>
  <c r="L764" i="31"/>
  <c r="Q764" i="31"/>
  <c r="R764" i="31"/>
  <c r="U764" i="31"/>
  <c r="V764" i="31"/>
  <c r="AD764" i="31" s="1"/>
  <c r="W764" i="31"/>
  <c r="AB764" i="31"/>
  <c r="AC764" i="31"/>
  <c r="AF764" i="31"/>
  <c r="C1539" i="35" a="1"/>
  <c r="C1539" i="35" s="1"/>
  <c r="F1539" i="35"/>
  <c r="G1539" i="35" s="1"/>
  <c r="J1539" i="35"/>
  <c r="K1539" i="35" s="1"/>
  <c r="Q1539" i="35"/>
  <c r="C1538" i="35" a="1"/>
  <c r="C1538" i="35" s="1"/>
  <c r="F1538" i="35"/>
  <c r="G1538" i="35" s="1"/>
  <c r="J1538" i="35"/>
  <c r="K1538" i="35" s="1"/>
  <c r="Q1538" i="35"/>
  <c r="C1537" i="35" a="1"/>
  <c r="C1537" i="35" s="1"/>
  <c r="F1537" i="35"/>
  <c r="G1537" i="35" s="1"/>
  <c r="J1537" i="35"/>
  <c r="K1537" i="35" s="1"/>
  <c r="Q1537" i="35"/>
  <c r="C1536" i="35" a="1"/>
  <c r="C1536" i="35" s="1"/>
  <c r="F1536" i="35"/>
  <c r="G1536" i="35" s="1"/>
  <c r="J1536" i="35"/>
  <c r="K1536" i="35" s="1"/>
  <c r="Q1536" i="35"/>
  <c r="C763" i="31" a="1"/>
  <c r="C763" i="31" s="1"/>
  <c r="D763" i="31" a="1"/>
  <c r="D763" i="31" s="1"/>
  <c r="L763" i="31"/>
  <c r="Q763" i="31"/>
  <c r="R763" i="31"/>
  <c r="U763" i="31"/>
  <c r="V763" i="31"/>
  <c r="W763" i="31"/>
  <c r="AB763" i="31"/>
  <c r="AC763" i="31"/>
  <c r="AF763" i="31"/>
  <c r="C789" i="31" a="1"/>
  <c r="C789" i="31" s="1"/>
  <c r="D789" i="31" a="1"/>
  <c r="D789" i="31" s="1"/>
  <c r="L789" i="31"/>
  <c r="Q789" i="31"/>
  <c r="R789" i="31"/>
  <c r="U789" i="31"/>
  <c r="V789" i="31"/>
  <c r="W789" i="31"/>
  <c r="AB789" i="31"/>
  <c r="AC789" i="31"/>
  <c r="AF789" i="31"/>
  <c r="C1535" i="35" a="1"/>
  <c r="C1535" i="35" s="1"/>
  <c r="F1535" i="35"/>
  <c r="G1535" i="35" s="1"/>
  <c r="J1535" i="35"/>
  <c r="K1535" i="35" s="1"/>
  <c r="Q1535" i="35"/>
  <c r="C1534" i="35" a="1"/>
  <c r="C1534" i="35" s="1"/>
  <c r="F1534" i="35"/>
  <c r="G1534" i="35" s="1"/>
  <c r="J1534" i="35"/>
  <c r="K1534" i="35" s="1"/>
  <c r="Q1534" i="35"/>
  <c r="C761" i="31" a="1"/>
  <c r="C761" i="31" s="1"/>
  <c r="D761" i="31" a="1"/>
  <c r="D761" i="31" s="1"/>
  <c r="L761" i="31"/>
  <c r="Q761" i="31"/>
  <c r="R761" i="31"/>
  <c r="U761" i="31"/>
  <c r="V761" i="31"/>
  <c r="W761" i="31"/>
  <c r="AB761" i="31"/>
  <c r="AC761" i="31"/>
  <c r="AF761" i="31"/>
  <c r="C1533" i="35" a="1"/>
  <c r="C1533" i="35" s="1"/>
  <c r="F1533" i="35"/>
  <c r="G1533" i="35" s="1"/>
  <c r="J1533" i="35"/>
  <c r="K1533" i="35" s="1"/>
  <c r="Q1533" i="35"/>
  <c r="C1532" i="35" a="1"/>
  <c r="C1532" i="35" s="1"/>
  <c r="F1532" i="35"/>
  <c r="G1532" i="35" s="1"/>
  <c r="J1532" i="35"/>
  <c r="K1532" i="35" s="1"/>
  <c r="Q1532" i="35"/>
  <c r="C1531" i="35" a="1"/>
  <c r="C1531" i="35" s="1"/>
  <c r="F1531" i="35"/>
  <c r="G1531" i="35" s="1"/>
  <c r="J1531" i="35"/>
  <c r="K1531" i="35" s="1"/>
  <c r="Q1531" i="35"/>
  <c r="C1530" i="35" a="1"/>
  <c r="C1530" i="35" s="1"/>
  <c r="F1530" i="35"/>
  <c r="G1530" i="35" s="1"/>
  <c r="J1530" i="35"/>
  <c r="K1530" i="35" s="1"/>
  <c r="Q1530" i="35"/>
  <c r="C1529" i="35" a="1"/>
  <c r="C1529" i="35" s="1"/>
  <c r="F1529" i="35"/>
  <c r="G1529" i="35" s="1"/>
  <c r="J1529" i="35"/>
  <c r="K1529" i="35" s="1"/>
  <c r="Q1529" i="35"/>
  <c r="C1528" i="35" a="1"/>
  <c r="C1528" i="35" s="1"/>
  <c r="F1528" i="35"/>
  <c r="G1528" i="35" s="1"/>
  <c r="J1528" i="35"/>
  <c r="K1528" i="35" s="1"/>
  <c r="Q1528" i="35"/>
  <c r="C1527" i="35" a="1"/>
  <c r="C1527" i="35" s="1"/>
  <c r="F1527" i="35"/>
  <c r="G1527" i="35" s="1"/>
  <c r="J1527" i="35"/>
  <c r="K1527" i="35" s="1"/>
  <c r="Q1527" i="35"/>
  <c r="C760" i="31" a="1"/>
  <c r="C760" i="31" s="1"/>
  <c r="D760" i="31" a="1"/>
  <c r="D760" i="31" s="1"/>
  <c r="L760" i="31"/>
  <c r="Q760" i="31"/>
  <c r="R760" i="31"/>
  <c r="U760" i="31"/>
  <c r="V760" i="31"/>
  <c r="AD760" i="31" s="1"/>
  <c r="W760" i="31"/>
  <c r="AB760" i="31"/>
  <c r="AC760" i="31"/>
  <c r="AF760" i="31"/>
  <c r="C1526" i="35" a="1"/>
  <c r="C1526" i="35" s="1"/>
  <c r="F1526" i="35"/>
  <c r="G1526" i="35" s="1"/>
  <c r="J1526" i="35"/>
  <c r="K1526" i="35" s="1"/>
  <c r="Q1526" i="35"/>
  <c r="C1525" i="35" a="1"/>
  <c r="C1525" i="35" s="1"/>
  <c r="F1525" i="35"/>
  <c r="G1525" i="35" s="1"/>
  <c r="J1525" i="35"/>
  <c r="K1525" i="35" s="1"/>
  <c r="Q1525" i="35"/>
  <c r="C1524" i="35" a="1"/>
  <c r="C1524" i="35" s="1"/>
  <c r="F1524" i="35"/>
  <c r="G1524" i="35" s="1"/>
  <c r="J1524" i="35"/>
  <c r="K1524" i="35" s="1"/>
  <c r="Q1524" i="35"/>
  <c r="C1523" i="35" a="1"/>
  <c r="C1523" i="35" s="1"/>
  <c r="F1523" i="35"/>
  <c r="G1523" i="35" s="1"/>
  <c r="J1523" i="35"/>
  <c r="K1523" i="35" s="1"/>
  <c r="Q1523" i="35"/>
  <c r="C1522" i="35" a="1"/>
  <c r="C1522" i="35" s="1"/>
  <c r="F1522" i="35"/>
  <c r="G1522" i="35" s="1"/>
  <c r="J1522" i="35"/>
  <c r="K1522" i="35" s="1"/>
  <c r="Q1522" i="35"/>
  <c r="C1521" i="35" a="1"/>
  <c r="C1521" i="35" s="1"/>
  <c r="F1521" i="35"/>
  <c r="G1521" i="35" s="1"/>
  <c r="J1521" i="35"/>
  <c r="K1521" i="35" s="1"/>
  <c r="Q1521" i="35"/>
  <c r="C1520" i="35" a="1"/>
  <c r="C1520" i="35" s="1"/>
  <c r="F1520" i="35"/>
  <c r="J1520" i="35"/>
  <c r="Q1520" i="35"/>
  <c r="B120" i="33" a="1"/>
  <c r="B120" i="33" s="1"/>
  <c r="E120" i="33" a="1"/>
  <c r="E120" i="33" s="1"/>
  <c r="F120" i="33" a="1"/>
  <c r="F120" i="33" s="1"/>
  <c r="G120" i="33" a="1"/>
  <c r="G120" i="33" s="1"/>
  <c r="L120" i="33" a="1"/>
  <c r="L120" i="33" s="1"/>
  <c r="M120" i="33"/>
  <c r="N120" i="33"/>
  <c r="P120" i="33"/>
  <c r="C1519" i="35" a="1"/>
  <c r="C1519" i="35" s="1"/>
  <c r="F1519" i="35"/>
  <c r="G1519" i="35" s="1"/>
  <c r="J1519" i="35"/>
  <c r="K1519" i="35" s="1"/>
  <c r="Q1519" i="35"/>
  <c r="C788" i="31" a="1"/>
  <c r="C788" i="31" s="1"/>
  <c r="D788" i="31" a="1"/>
  <c r="D788" i="31" s="1"/>
  <c r="L788" i="31"/>
  <c r="Q788" i="31"/>
  <c r="R788" i="31"/>
  <c r="U788" i="31"/>
  <c r="V788" i="31"/>
  <c r="W788" i="31"/>
  <c r="AB788" i="31"/>
  <c r="AC788" i="31"/>
  <c r="AF788" i="31"/>
  <c r="C739" i="31" a="1"/>
  <c r="C739" i="31" s="1"/>
  <c r="D739" i="31" a="1"/>
  <c r="D739" i="31" s="1"/>
  <c r="L739" i="31"/>
  <c r="Q739" i="31"/>
  <c r="R739" i="31"/>
  <c r="U739" i="31"/>
  <c r="V739" i="31"/>
  <c r="W739" i="31"/>
  <c r="AB739" i="31"/>
  <c r="AC739" i="31"/>
  <c r="AF739" i="31"/>
  <c r="C737" i="31" a="1"/>
  <c r="C737" i="31" s="1"/>
  <c r="D737" i="31" a="1"/>
  <c r="D737" i="31" s="1"/>
  <c r="L737" i="31"/>
  <c r="Q737" i="31"/>
  <c r="R737" i="31"/>
  <c r="U737" i="31"/>
  <c r="V737" i="31"/>
  <c r="W737" i="31"/>
  <c r="AB737" i="31"/>
  <c r="AC737" i="31"/>
  <c r="AF737" i="31"/>
  <c r="C1518" i="35" a="1"/>
  <c r="C1518" i="35" s="1"/>
  <c r="F1518" i="35"/>
  <c r="G1518" i="35" s="1"/>
  <c r="J1518" i="35"/>
  <c r="K1518" i="35" s="1"/>
  <c r="Q1518" i="35"/>
  <c r="B101" i="33" a="1"/>
  <c r="B101" i="33" s="1"/>
  <c r="E101" i="33" a="1"/>
  <c r="E101" i="33" s="1"/>
  <c r="F101" i="33" a="1"/>
  <c r="F101" i="33" s="1"/>
  <c r="G101" i="33" a="1"/>
  <c r="G101" i="33" s="1"/>
  <c r="L101" i="33" a="1"/>
  <c r="L101" i="33" s="1"/>
  <c r="M101" i="33"/>
  <c r="N101" i="33"/>
  <c r="E46" i="40" s="1"/>
  <c r="P101" i="33"/>
  <c r="C1517" i="35" a="1"/>
  <c r="C1517" i="35" s="1"/>
  <c r="F1517" i="35"/>
  <c r="J1517" i="35"/>
  <c r="Q1517" i="35"/>
  <c r="C1516" i="35" a="1"/>
  <c r="C1516" i="35" s="1"/>
  <c r="F1516" i="35"/>
  <c r="G1516" i="35" s="1"/>
  <c r="J1516" i="35"/>
  <c r="K1516" i="35" s="1"/>
  <c r="Q1516" i="35"/>
  <c r="C1515" i="35" a="1"/>
  <c r="C1515" i="35" s="1"/>
  <c r="F1515" i="35"/>
  <c r="G1515" i="35" s="1"/>
  <c r="J1515" i="35"/>
  <c r="K1515" i="35" s="1"/>
  <c r="Q1515" i="35"/>
  <c r="C1514" i="35" a="1"/>
  <c r="C1514" i="35" s="1"/>
  <c r="F1514" i="35"/>
  <c r="J1514" i="35"/>
  <c r="Q1514" i="35"/>
  <c r="B109" i="33" a="1"/>
  <c r="B109" i="33" s="1"/>
  <c r="E109" i="33" a="1"/>
  <c r="E109" i="33" s="1"/>
  <c r="F109" i="33" a="1"/>
  <c r="F109" i="33" s="1"/>
  <c r="G109" i="33" a="1"/>
  <c r="G109" i="33" s="1"/>
  <c r="L109" i="33" a="1"/>
  <c r="L109" i="33" s="1"/>
  <c r="M109" i="33"/>
  <c r="N109" i="33"/>
  <c r="P109" i="33"/>
  <c r="C1513" i="35" a="1"/>
  <c r="C1513" i="35" s="1"/>
  <c r="F1513" i="35"/>
  <c r="J1513" i="35"/>
  <c r="Q1513" i="35"/>
  <c r="B588" i="33" a="1"/>
  <c r="B588" i="33" s="1"/>
  <c r="E588" i="33" a="1"/>
  <c r="E588" i="33" s="1"/>
  <c r="F588" i="33" a="1"/>
  <c r="F588" i="33" s="1"/>
  <c r="G588" i="33" a="1"/>
  <c r="G588" i="33" s="1"/>
  <c r="L588" i="33" a="1"/>
  <c r="L588" i="33" s="1"/>
  <c r="M588" i="33"/>
  <c r="P588" i="33"/>
  <c r="C1512" i="35" a="1"/>
  <c r="C1512" i="35" s="1"/>
  <c r="F1512" i="35"/>
  <c r="G1512" i="35" s="1"/>
  <c r="J1512" i="35"/>
  <c r="K1512" i="35" s="1"/>
  <c r="Q1512" i="35"/>
  <c r="C756" i="31" a="1"/>
  <c r="C756" i="31" s="1"/>
  <c r="D756" i="31" a="1"/>
  <c r="D756" i="31" s="1"/>
  <c r="L756" i="31"/>
  <c r="Q756" i="31"/>
  <c r="R756" i="31"/>
  <c r="U756" i="31"/>
  <c r="V756" i="31"/>
  <c r="W756" i="31"/>
  <c r="AB756" i="31"/>
  <c r="AC756" i="31"/>
  <c r="AF756" i="31"/>
  <c r="C755" i="31" a="1"/>
  <c r="C755" i="31" s="1"/>
  <c r="D755" i="31" a="1"/>
  <c r="D755" i="31" s="1"/>
  <c r="L755" i="31"/>
  <c r="Q755" i="31"/>
  <c r="R755" i="31"/>
  <c r="U755" i="31"/>
  <c r="V755" i="31"/>
  <c r="W755" i="31"/>
  <c r="AB755" i="31"/>
  <c r="AC755" i="31"/>
  <c r="AF755" i="31"/>
  <c r="C753" i="31" a="1"/>
  <c r="C753" i="31" s="1"/>
  <c r="D753" i="31" a="1"/>
  <c r="D753" i="31" s="1"/>
  <c r="L753" i="31"/>
  <c r="Q753" i="31"/>
  <c r="R753" i="31"/>
  <c r="U753" i="31"/>
  <c r="V753" i="31"/>
  <c r="W753" i="31"/>
  <c r="AB753" i="31"/>
  <c r="AC753" i="31"/>
  <c r="AF753" i="31"/>
  <c r="C735" i="31" a="1"/>
  <c r="C735" i="31" s="1"/>
  <c r="D735" i="31" a="1"/>
  <c r="D735" i="31" s="1"/>
  <c r="L735" i="31"/>
  <c r="Q735" i="31"/>
  <c r="R735" i="31"/>
  <c r="U735" i="31"/>
  <c r="V735" i="31"/>
  <c r="W735" i="31"/>
  <c r="AB735" i="31"/>
  <c r="AC735" i="31"/>
  <c r="AF735" i="31"/>
  <c r="C1511" i="35" a="1"/>
  <c r="C1511" i="35" s="1"/>
  <c r="F1511" i="35"/>
  <c r="G1511" i="35" s="1"/>
  <c r="J1511" i="35"/>
  <c r="K1511" i="35" s="1"/>
  <c r="Q1511" i="35"/>
  <c r="C1510" i="35" a="1"/>
  <c r="C1510" i="35" s="1"/>
  <c r="F1510" i="35"/>
  <c r="G1510" i="35" s="1"/>
  <c r="J1510" i="35"/>
  <c r="K1510" i="35" s="1"/>
  <c r="Q1510" i="35"/>
  <c r="C1509" i="35" a="1"/>
  <c r="C1509" i="35" s="1"/>
  <c r="F1509" i="35"/>
  <c r="G1509" i="35" s="1"/>
  <c r="J1509" i="35"/>
  <c r="K1509" i="35" s="1"/>
  <c r="Q1509" i="35"/>
  <c r="C1508" i="35" a="1"/>
  <c r="C1508" i="35" s="1"/>
  <c r="F1508" i="35"/>
  <c r="G1508" i="35" s="1"/>
  <c r="J1508" i="35"/>
  <c r="K1508" i="35" s="1"/>
  <c r="Q1508" i="35"/>
  <c r="C1507" i="35" a="1"/>
  <c r="C1507" i="35" s="1"/>
  <c r="F1507" i="35"/>
  <c r="G1507" i="35" s="1"/>
  <c r="J1507" i="35"/>
  <c r="K1507" i="35" s="1"/>
  <c r="Q1507" i="35"/>
  <c r="C1506" i="35" a="1"/>
  <c r="C1506" i="35" s="1"/>
  <c r="F1506" i="35"/>
  <c r="G1506" i="35" s="1"/>
  <c r="J1506" i="35"/>
  <c r="K1506" i="35" s="1"/>
  <c r="Q1506" i="35"/>
  <c r="C1505" i="35" a="1"/>
  <c r="C1505" i="35" s="1"/>
  <c r="F1505" i="35"/>
  <c r="G1505" i="35" s="1"/>
  <c r="J1505" i="35"/>
  <c r="K1505" i="35" s="1"/>
  <c r="Q1505" i="35"/>
  <c r="C1504" i="35" a="1"/>
  <c r="C1504" i="35" s="1"/>
  <c r="F1504" i="35"/>
  <c r="G1504" i="35" s="1"/>
  <c r="J1504" i="35"/>
  <c r="K1504" i="35" s="1"/>
  <c r="Q1504" i="35"/>
  <c r="C1503" i="35" a="1"/>
  <c r="C1503" i="35" s="1"/>
  <c r="F1503" i="35"/>
  <c r="G1503" i="35" s="1"/>
  <c r="J1503" i="35"/>
  <c r="K1503" i="35" s="1"/>
  <c r="Q1503" i="35"/>
  <c r="C1502" i="35" a="1"/>
  <c r="C1502" i="35" s="1"/>
  <c r="F1502" i="35"/>
  <c r="G1502" i="35" s="1"/>
  <c r="J1502" i="35"/>
  <c r="K1502" i="35" s="1"/>
  <c r="Q1502" i="35"/>
  <c r="C1501" i="35" a="1"/>
  <c r="C1501" i="35" s="1"/>
  <c r="F1501" i="35"/>
  <c r="G1501" i="35" s="1"/>
  <c r="J1501" i="35"/>
  <c r="K1501" i="35" s="1"/>
  <c r="Q1501" i="35"/>
  <c r="C1500" i="35" a="1"/>
  <c r="C1500" i="35" s="1"/>
  <c r="F1500" i="35"/>
  <c r="G1500" i="35" s="1"/>
  <c r="J1500" i="35"/>
  <c r="K1500" i="35" s="1"/>
  <c r="Q1500" i="35"/>
  <c r="C1499" i="35" a="1"/>
  <c r="C1499" i="35" s="1"/>
  <c r="F1499" i="35"/>
  <c r="G1499" i="35" s="1"/>
  <c r="J1499" i="35"/>
  <c r="K1499" i="35" s="1"/>
  <c r="Q1499" i="35"/>
  <c r="C1498" i="35" a="1"/>
  <c r="C1498" i="35" s="1"/>
  <c r="F1498" i="35"/>
  <c r="J1498" i="35"/>
  <c r="Q1498" i="35"/>
  <c r="C1497" i="35" a="1"/>
  <c r="C1497" i="35" s="1"/>
  <c r="F1497" i="35"/>
  <c r="G1497" i="35" s="1"/>
  <c r="J1497" i="35"/>
  <c r="K1497" i="35" s="1"/>
  <c r="C1496" i="35" a="1"/>
  <c r="C1496" i="35" s="1"/>
  <c r="F1496" i="35"/>
  <c r="G1496" i="35" s="1"/>
  <c r="J1496" i="35"/>
  <c r="K1496" i="35" s="1"/>
  <c r="Q1496" i="35"/>
  <c r="C1495" i="35" a="1"/>
  <c r="C1495" i="35" s="1"/>
  <c r="F1495" i="35"/>
  <c r="G1495" i="35" s="1"/>
  <c r="J1495" i="35"/>
  <c r="K1495" i="35" s="1"/>
  <c r="Q1495" i="35"/>
  <c r="C1494" i="35" a="1"/>
  <c r="C1494" i="35" s="1"/>
  <c r="F1494" i="35"/>
  <c r="G1494" i="35" s="1"/>
  <c r="J1494" i="35"/>
  <c r="K1494" i="35" s="1"/>
  <c r="Q1494" i="35"/>
  <c r="C752" i="31" a="1"/>
  <c r="C752" i="31" s="1"/>
  <c r="D752" i="31" a="1"/>
  <c r="D752" i="31" s="1"/>
  <c r="L752" i="31"/>
  <c r="Q752" i="31"/>
  <c r="R752" i="31"/>
  <c r="U752" i="31"/>
  <c r="V752" i="31"/>
  <c r="W752" i="31"/>
  <c r="AB752" i="31"/>
  <c r="AC752" i="31"/>
  <c r="AF752" i="31"/>
  <c r="C1493" i="35" a="1"/>
  <c r="C1493" i="35" s="1"/>
  <c r="F1493" i="35"/>
  <c r="G1493" i="35" s="1"/>
  <c r="J1493" i="35"/>
  <c r="K1493" i="35" s="1"/>
  <c r="Q1493" i="35"/>
  <c r="B92" i="33" a="1"/>
  <c r="B92" i="33" s="1"/>
  <c r="E92" i="33" a="1"/>
  <c r="E92" i="33" s="1"/>
  <c r="F92" i="33" a="1"/>
  <c r="F92" i="33" s="1"/>
  <c r="G92" i="33" a="1"/>
  <c r="G92" i="33" s="1"/>
  <c r="L92" i="33" a="1"/>
  <c r="L92" i="33" s="1"/>
  <c r="M92" i="33"/>
  <c r="N92" i="33"/>
  <c r="P92" i="33"/>
  <c r="C1492" i="35" a="1"/>
  <c r="C1492" i="35" s="1"/>
  <c r="F1492" i="35"/>
  <c r="G1492" i="35" s="1"/>
  <c r="J1492" i="35"/>
  <c r="K1492" i="35" s="1"/>
  <c r="Q1492" i="35"/>
  <c r="C1491" i="35" a="1"/>
  <c r="C1491" i="35" s="1"/>
  <c r="F1491" i="35"/>
  <c r="G1491" i="35" s="1"/>
  <c r="J1491" i="35"/>
  <c r="K1491" i="35" s="1"/>
  <c r="Q1491" i="35"/>
  <c r="C1490" i="35" a="1"/>
  <c r="C1490" i="35" s="1"/>
  <c r="F1490" i="35"/>
  <c r="G1490" i="35" s="1"/>
  <c r="J1490" i="35"/>
  <c r="K1490" i="35" s="1"/>
  <c r="Q1490" i="35"/>
  <c r="C1489" i="35" a="1"/>
  <c r="C1489" i="35" s="1"/>
  <c r="F1489" i="35"/>
  <c r="G1489" i="35" s="1"/>
  <c r="J1489" i="35"/>
  <c r="K1489" i="35" s="1"/>
  <c r="Q1489" i="35"/>
  <c r="C1488" i="35" a="1"/>
  <c r="C1488" i="35" s="1"/>
  <c r="F1488" i="35"/>
  <c r="G1488" i="35" s="1"/>
  <c r="J1488" i="35"/>
  <c r="K1488" i="35" s="1"/>
  <c r="Q1488" i="35"/>
  <c r="C1487" i="35" a="1"/>
  <c r="C1487" i="35" s="1"/>
  <c r="F1487" i="35"/>
  <c r="J1487" i="35"/>
  <c r="Q1487" i="35"/>
  <c r="C1486" i="35" a="1"/>
  <c r="C1486" i="35" s="1"/>
  <c r="F1486" i="35"/>
  <c r="G1486" i="35" s="1"/>
  <c r="J1486" i="35"/>
  <c r="K1486" i="35" s="1"/>
  <c r="Q1486" i="35"/>
  <c r="C1485" i="35" a="1"/>
  <c r="C1485" i="35" s="1"/>
  <c r="F1485" i="35"/>
  <c r="G1485" i="35" s="1"/>
  <c r="J1485" i="35"/>
  <c r="K1485" i="35" s="1"/>
  <c r="Q1485" i="35"/>
  <c r="C1484" i="35" a="1"/>
  <c r="C1484" i="35" s="1"/>
  <c r="F1484" i="35"/>
  <c r="G1484" i="35" s="1"/>
  <c r="J1484" i="35"/>
  <c r="K1484" i="35" s="1"/>
  <c r="Q1484" i="35"/>
  <c r="B36" i="33" a="1"/>
  <c r="B36" i="33" s="1"/>
  <c r="E36" i="33" a="1"/>
  <c r="E36" i="33" s="1"/>
  <c r="F36" i="33" a="1"/>
  <c r="F36" i="33" s="1"/>
  <c r="G36" i="33" a="1"/>
  <c r="G36" i="33" s="1"/>
  <c r="L36" i="33" a="1"/>
  <c r="L36" i="33" s="1"/>
  <c r="M36" i="33"/>
  <c r="N36" i="33"/>
  <c r="P36" i="33"/>
  <c r="B587" i="33" a="1"/>
  <c r="B587" i="33" s="1"/>
  <c r="E587" i="33" a="1"/>
  <c r="E587" i="33" s="1"/>
  <c r="F587" i="33" a="1"/>
  <c r="F587" i="33" s="1"/>
  <c r="G587" i="33" a="1"/>
  <c r="G587" i="33" s="1"/>
  <c r="H587" i="33"/>
  <c r="I587" i="33"/>
  <c r="L587" i="33" a="1"/>
  <c r="L587" i="33" s="1"/>
  <c r="M587" i="33"/>
  <c r="N587" i="33"/>
  <c r="E90" i="40" s="1"/>
  <c r="P587" i="33"/>
  <c r="B89" i="40"/>
  <c r="E89" i="40"/>
  <c r="B67" i="33" a="1"/>
  <c r="B67" i="33" s="1"/>
  <c r="E67" i="33" a="1"/>
  <c r="E67" i="33" s="1"/>
  <c r="F67" i="33" a="1"/>
  <c r="F67" i="33" s="1"/>
  <c r="G67" i="33" a="1"/>
  <c r="G67" i="33" s="1"/>
  <c r="L67" i="33" a="1"/>
  <c r="L67" i="33" s="1"/>
  <c r="P67" i="33"/>
  <c r="C751" i="31" a="1"/>
  <c r="C751" i="31" s="1"/>
  <c r="D751" i="31" a="1"/>
  <c r="D751" i="31" s="1"/>
  <c r="L751" i="31"/>
  <c r="Q751" i="31"/>
  <c r="R751" i="31"/>
  <c r="U751" i="31"/>
  <c r="V751" i="31"/>
  <c r="W751" i="31"/>
  <c r="AB751" i="31"/>
  <c r="AC751" i="31"/>
  <c r="AF751" i="31"/>
  <c r="C750" i="31" a="1"/>
  <c r="C750" i="31" s="1"/>
  <c r="D750" i="31" a="1"/>
  <c r="D750" i="31" s="1"/>
  <c r="L750" i="31"/>
  <c r="Q750" i="31"/>
  <c r="R750" i="31"/>
  <c r="U750" i="31"/>
  <c r="V750" i="31"/>
  <c r="AD750" i="31" s="1"/>
  <c r="W750" i="31"/>
  <c r="AB750" i="31"/>
  <c r="AC750" i="31"/>
  <c r="AF750" i="31"/>
  <c r="C1483" i="35" a="1"/>
  <c r="C1483" i="35" s="1"/>
  <c r="F1483" i="35"/>
  <c r="G1483" i="35" s="1"/>
  <c r="J1483" i="35"/>
  <c r="K1483" i="35" s="1"/>
  <c r="Q1483" i="35"/>
  <c r="C1482" i="35" a="1"/>
  <c r="C1482" i="35" s="1"/>
  <c r="F1482" i="35"/>
  <c r="J1482" i="35"/>
  <c r="Q1482" i="35"/>
  <c r="B112" i="33" a="1"/>
  <c r="B112" i="33" s="1"/>
  <c r="E112" i="33" a="1"/>
  <c r="E112" i="33" s="1"/>
  <c r="F112" i="33" a="1"/>
  <c r="F112" i="33" s="1"/>
  <c r="G112" i="33" a="1"/>
  <c r="G112" i="33" s="1"/>
  <c r="L112" i="33" a="1"/>
  <c r="L112" i="33" s="1"/>
  <c r="M112" i="33"/>
  <c r="N112" i="33"/>
  <c r="P112" i="33"/>
  <c r="C1481" i="35" a="1"/>
  <c r="C1481" i="35" s="1"/>
  <c r="F1481" i="35"/>
  <c r="G1481" i="35" s="1"/>
  <c r="J1481" i="35"/>
  <c r="K1481" i="35" s="1"/>
  <c r="Q1481" i="35"/>
  <c r="C1480" i="35" a="1"/>
  <c r="C1480" i="35" s="1"/>
  <c r="F1480" i="35"/>
  <c r="G1480" i="35" s="1"/>
  <c r="J1480" i="35"/>
  <c r="K1480" i="35" s="1"/>
  <c r="Q1480" i="35"/>
  <c r="B586" i="33" a="1"/>
  <c r="B586" i="33" s="1"/>
  <c r="E586" i="33" a="1"/>
  <c r="E586" i="33" s="1"/>
  <c r="F586" i="33" a="1"/>
  <c r="F586" i="33" s="1"/>
  <c r="G586" i="33" a="1"/>
  <c r="G586" i="33" s="1"/>
  <c r="H586" i="33"/>
  <c r="I586" i="33"/>
  <c r="L586" i="33" a="1"/>
  <c r="L586" i="33" s="1"/>
  <c r="P586" i="33"/>
  <c r="C749" i="31" a="1"/>
  <c r="C749" i="31" s="1"/>
  <c r="D749" i="31" a="1"/>
  <c r="D749" i="31" s="1"/>
  <c r="L749" i="31"/>
  <c r="Q749" i="31"/>
  <c r="R749" i="31"/>
  <c r="U749" i="31"/>
  <c r="V749" i="31"/>
  <c r="W749" i="31"/>
  <c r="AB749" i="31"/>
  <c r="AC749" i="31"/>
  <c r="AF749" i="31"/>
  <c r="C1479" i="35" a="1"/>
  <c r="C1479" i="35" s="1"/>
  <c r="F1479" i="35"/>
  <c r="G1479" i="35" s="1"/>
  <c r="J1479" i="35"/>
  <c r="K1479" i="35" s="1"/>
  <c r="Q1479" i="35"/>
  <c r="C1478" i="35" a="1"/>
  <c r="C1478" i="35" s="1"/>
  <c r="F1478" i="35"/>
  <c r="G1478" i="35" s="1"/>
  <c r="J1478" i="35"/>
  <c r="K1478" i="35" s="1"/>
  <c r="Q1478" i="35"/>
  <c r="C1477" i="35" a="1"/>
  <c r="C1477" i="35" s="1"/>
  <c r="F1477" i="35"/>
  <c r="H1754" i="35" s="1"/>
  <c r="J1477" i="35"/>
  <c r="L1754" i="35" s="1"/>
  <c r="Q1477" i="35"/>
  <c r="B121" i="33" a="1"/>
  <c r="B121" i="33" s="1"/>
  <c r="E121" i="33" a="1"/>
  <c r="E121" i="33" s="1"/>
  <c r="F121" i="33" a="1"/>
  <c r="F121" i="33" s="1"/>
  <c r="G121" i="33" a="1"/>
  <c r="G121" i="33" s="1"/>
  <c r="L121" i="33" a="1"/>
  <c r="L121" i="33" s="1"/>
  <c r="M121" i="33"/>
  <c r="N121" i="33"/>
  <c r="P121" i="33"/>
  <c r="C1476" i="35" a="1"/>
  <c r="C1476" i="35" s="1"/>
  <c r="F1476" i="35"/>
  <c r="H1715" i="35" s="1"/>
  <c r="J1476" i="35"/>
  <c r="L1715" i="35" s="1"/>
  <c r="Q1476" i="35"/>
  <c r="B41" i="33" a="1"/>
  <c r="B41" i="33" s="1"/>
  <c r="B79" i="33" a="1"/>
  <c r="B79" i="33" s="1"/>
  <c r="E79" i="33" a="1"/>
  <c r="E79" i="33" s="1"/>
  <c r="F79" i="33" a="1"/>
  <c r="F79" i="33" s="1"/>
  <c r="G79" i="33" a="1"/>
  <c r="G79" i="33" s="1"/>
  <c r="L79" i="33" a="1"/>
  <c r="L79" i="33" s="1"/>
  <c r="M79" i="33"/>
  <c r="N79" i="33"/>
  <c r="P79" i="33"/>
  <c r="C1475" i="35" a="1"/>
  <c r="C1475" i="35" s="1"/>
  <c r="F1475" i="35"/>
  <c r="G1475" i="35" s="1"/>
  <c r="J1475" i="35"/>
  <c r="K1475" i="35" s="1"/>
  <c r="Q1475" i="35"/>
  <c r="C1474" i="35" a="1"/>
  <c r="C1474" i="35" s="1"/>
  <c r="F1474" i="35"/>
  <c r="G1474" i="35" s="1"/>
  <c r="J1474" i="35"/>
  <c r="K1474" i="35" s="1"/>
  <c r="Q1474" i="35"/>
  <c r="C1473" i="35" a="1"/>
  <c r="C1473" i="35" s="1"/>
  <c r="F1473" i="35"/>
  <c r="G1473" i="35" s="1"/>
  <c r="J1473" i="35"/>
  <c r="K1473" i="35" s="1"/>
  <c r="Q1473" i="35"/>
  <c r="B585" i="33" a="1"/>
  <c r="B585" i="33" s="1"/>
  <c r="E585" i="33" a="1"/>
  <c r="E585" i="33" s="1"/>
  <c r="F585" i="33" a="1"/>
  <c r="F585" i="33" s="1"/>
  <c r="G585" i="33" a="1"/>
  <c r="G585" i="33" s="1"/>
  <c r="L585" i="33" a="1"/>
  <c r="L585" i="33" s="1"/>
  <c r="M585" i="33"/>
  <c r="N585" i="33"/>
  <c r="P585" i="33"/>
  <c r="C1472" i="35" a="1"/>
  <c r="C1472" i="35" s="1"/>
  <c r="F1472" i="35"/>
  <c r="G1472" i="35" s="1"/>
  <c r="J1472" i="35"/>
  <c r="K1472" i="35" s="1"/>
  <c r="Q1472" i="35"/>
  <c r="C748" i="31" a="1"/>
  <c r="C748" i="31" s="1"/>
  <c r="D748" i="31" a="1"/>
  <c r="D748" i="31" s="1"/>
  <c r="L748" i="31"/>
  <c r="Q748" i="31"/>
  <c r="R748" i="31"/>
  <c r="U748" i="31"/>
  <c r="V748" i="31"/>
  <c r="W748" i="31"/>
  <c r="AB748" i="31"/>
  <c r="AC748" i="31"/>
  <c r="AF748" i="31"/>
  <c r="C747" i="31" a="1"/>
  <c r="C747" i="31" s="1"/>
  <c r="D747" i="31" a="1"/>
  <c r="D747" i="31" s="1"/>
  <c r="L747" i="31"/>
  <c r="Q747" i="31"/>
  <c r="R747" i="31"/>
  <c r="U747" i="31"/>
  <c r="V747" i="31"/>
  <c r="W747" i="31"/>
  <c r="AB747" i="31"/>
  <c r="AC747" i="31"/>
  <c r="AF747" i="31"/>
  <c r="C1471" i="35" a="1"/>
  <c r="C1471" i="35" s="1"/>
  <c r="F1471" i="35"/>
  <c r="G1471" i="35" s="1"/>
  <c r="J1471" i="35"/>
  <c r="K1471" i="35" s="1"/>
  <c r="Q1471" i="35"/>
  <c r="C1470" i="35" a="1"/>
  <c r="C1470" i="35" s="1"/>
  <c r="F1470" i="35"/>
  <c r="G1470" i="35" s="1"/>
  <c r="J1470" i="35"/>
  <c r="K1470" i="35" s="1"/>
  <c r="Q1470" i="35"/>
  <c r="C1469" i="35" a="1"/>
  <c r="C1469" i="35" s="1"/>
  <c r="F1469" i="35"/>
  <c r="G1469" i="35" s="1"/>
  <c r="J1469" i="35"/>
  <c r="K1469" i="35" s="1"/>
  <c r="Q1469" i="35"/>
  <c r="C725" i="31" a="1"/>
  <c r="C725" i="31" s="1"/>
  <c r="D725" i="31" a="1"/>
  <c r="D725" i="31" s="1"/>
  <c r="L725" i="31"/>
  <c r="Q725" i="31"/>
  <c r="R725" i="31"/>
  <c r="U725" i="31"/>
  <c r="V725" i="31"/>
  <c r="W725" i="31"/>
  <c r="AB725" i="31"/>
  <c r="AC725" i="31"/>
  <c r="AF725" i="31"/>
  <c r="C720" i="31" a="1"/>
  <c r="C720" i="31" s="1"/>
  <c r="D720" i="31" a="1"/>
  <c r="D720" i="31" s="1"/>
  <c r="L720" i="31"/>
  <c r="Q720" i="31"/>
  <c r="R720" i="31"/>
  <c r="U720" i="31"/>
  <c r="V720" i="31"/>
  <c r="W720" i="31"/>
  <c r="AB720" i="31"/>
  <c r="AC720" i="31"/>
  <c r="AF720" i="31"/>
  <c r="C690" i="31" a="1"/>
  <c r="C690" i="31" s="1"/>
  <c r="D690" i="31" a="1"/>
  <c r="D690" i="31" s="1"/>
  <c r="L690" i="31"/>
  <c r="Q690" i="31"/>
  <c r="R690" i="31"/>
  <c r="U690" i="31"/>
  <c r="V690" i="31"/>
  <c r="W690" i="31"/>
  <c r="AB690" i="31"/>
  <c r="AC690" i="31"/>
  <c r="AF690" i="31"/>
  <c r="C676" i="31" a="1"/>
  <c r="C676" i="31" s="1"/>
  <c r="D676" i="31" a="1"/>
  <c r="D676" i="31" s="1"/>
  <c r="L676" i="31"/>
  <c r="Q676" i="31"/>
  <c r="R676" i="31"/>
  <c r="U676" i="31"/>
  <c r="V676" i="31"/>
  <c r="W676" i="31"/>
  <c r="AB676" i="31"/>
  <c r="AC676" i="31"/>
  <c r="AF676" i="31"/>
  <c r="C745" i="31" a="1"/>
  <c r="C745" i="31" s="1"/>
  <c r="D745" i="31" a="1"/>
  <c r="D745" i="31" s="1"/>
  <c r="L745" i="31"/>
  <c r="Q745" i="31"/>
  <c r="R745" i="31"/>
  <c r="U745" i="31"/>
  <c r="V745" i="31"/>
  <c r="W745" i="31"/>
  <c r="AB745" i="31"/>
  <c r="AC745" i="31"/>
  <c r="AF745" i="31"/>
  <c r="C744" i="31" a="1"/>
  <c r="C744" i="31" s="1"/>
  <c r="D744" i="31" a="1"/>
  <c r="D744" i="31" s="1"/>
  <c r="L744" i="31"/>
  <c r="Q744" i="31"/>
  <c r="R744" i="31"/>
  <c r="U744" i="31"/>
  <c r="V744" i="31"/>
  <c r="W744" i="31"/>
  <c r="AB744" i="31"/>
  <c r="AC744" i="31"/>
  <c r="AF744" i="31"/>
  <c r="C1468" i="35" a="1"/>
  <c r="C1468" i="35" s="1"/>
  <c r="F1468" i="35"/>
  <c r="G1468" i="35" s="1"/>
  <c r="J1468" i="35"/>
  <c r="K1468" i="35" s="1"/>
  <c r="Q1468" i="35"/>
  <c r="C1467" i="35" a="1"/>
  <c r="C1467" i="35" s="1"/>
  <c r="F1467" i="35"/>
  <c r="G1467" i="35" s="1"/>
  <c r="J1467" i="35"/>
  <c r="K1467" i="35" s="1"/>
  <c r="Q1467" i="35"/>
  <c r="C1466" i="35" a="1"/>
  <c r="C1466" i="35" s="1"/>
  <c r="F1466" i="35"/>
  <c r="G1466" i="35" s="1"/>
  <c r="J1466" i="35"/>
  <c r="K1466" i="35" s="1"/>
  <c r="Q1466" i="35"/>
  <c r="C1465" i="35" a="1"/>
  <c r="C1465" i="35" s="1"/>
  <c r="F1465" i="35"/>
  <c r="G1465" i="35" s="1"/>
  <c r="J1465" i="35"/>
  <c r="K1465" i="35" s="1"/>
  <c r="Q1465" i="35"/>
  <c r="C1464" i="35" a="1"/>
  <c r="C1464" i="35" s="1"/>
  <c r="F1464" i="35"/>
  <c r="G1464" i="35" s="1"/>
  <c r="J1464" i="35"/>
  <c r="K1464" i="35" s="1"/>
  <c r="Q1464" i="35"/>
  <c r="C1463" i="35" a="1"/>
  <c r="C1463" i="35" s="1"/>
  <c r="F1463" i="35"/>
  <c r="G1463" i="35" s="1"/>
  <c r="J1463" i="35"/>
  <c r="K1463" i="35" s="1"/>
  <c r="Q1463" i="35"/>
  <c r="C1462" i="35" a="1"/>
  <c r="C1462" i="35" s="1"/>
  <c r="F1462" i="35"/>
  <c r="G1462" i="35" s="1"/>
  <c r="J1462" i="35"/>
  <c r="K1462" i="35" s="1"/>
  <c r="Q1462" i="35"/>
  <c r="C1461" i="35" a="1"/>
  <c r="C1461" i="35" s="1"/>
  <c r="F1461" i="35"/>
  <c r="G1461" i="35" s="1"/>
  <c r="J1461" i="35"/>
  <c r="K1461" i="35" s="1"/>
  <c r="Q1461" i="35"/>
  <c r="C740" i="31" a="1"/>
  <c r="C740" i="31" s="1"/>
  <c r="D740" i="31" a="1"/>
  <c r="D740" i="31" s="1"/>
  <c r="L740" i="31"/>
  <c r="Q740" i="31"/>
  <c r="R740" i="31"/>
  <c r="U740" i="31"/>
  <c r="V740" i="31"/>
  <c r="AD740" i="31" s="1"/>
  <c r="W740" i="31"/>
  <c r="AB740" i="31"/>
  <c r="AC740" i="31"/>
  <c r="AF740" i="31"/>
  <c r="C787" i="31" a="1"/>
  <c r="C787" i="31" s="1"/>
  <c r="D787" i="31" a="1"/>
  <c r="D787" i="31" s="1"/>
  <c r="L787" i="31"/>
  <c r="Q787" i="31"/>
  <c r="R787" i="31"/>
  <c r="U787" i="31"/>
  <c r="V787" i="31"/>
  <c r="W787" i="31"/>
  <c r="AB787" i="31"/>
  <c r="AC787" i="31"/>
  <c r="AF787" i="31"/>
  <c r="C1460" i="35" a="1"/>
  <c r="C1460" i="35" s="1"/>
  <c r="F1460" i="35"/>
  <c r="G1460" i="35" s="1"/>
  <c r="J1460" i="35"/>
  <c r="K1460" i="35" s="1"/>
  <c r="Q1460" i="35"/>
  <c r="C1459" i="35" a="1"/>
  <c r="C1459" i="35" s="1"/>
  <c r="F1459" i="35"/>
  <c r="G1459" i="35" s="1"/>
  <c r="J1459" i="35"/>
  <c r="K1459" i="35" s="1"/>
  <c r="Q1459" i="35"/>
  <c r="C1458" i="35" a="1"/>
  <c r="C1458" i="35" s="1"/>
  <c r="F1458" i="35"/>
  <c r="G1458" i="35" s="1"/>
  <c r="J1458" i="35"/>
  <c r="K1458" i="35" s="1"/>
  <c r="Q1458" i="35"/>
  <c r="C1457" i="35" a="1"/>
  <c r="C1457" i="35" s="1"/>
  <c r="F1457" i="35"/>
  <c r="G1457" i="35" s="1"/>
  <c r="J1457" i="35"/>
  <c r="K1457" i="35" s="1"/>
  <c r="Q1457" i="35"/>
  <c r="C1456" i="35" a="1"/>
  <c r="C1456" i="35" s="1"/>
  <c r="F1456" i="35"/>
  <c r="G1456" i="35" s="1"/>
  <c r="J1456" i="35"/>
  <c r="K1456" i="35" s="1"/>
  <c r="Q1456" i="35"/>
  <c r="C1455" i="35" a="1"/>
  <c r="C1455" i="35" s="1"/>
  <c r="F1455" i="35"/>
  <c r="G1455" i="35" s="1"/>
  <c r="J1455" i="35"/>
  <c r="K1455" i="35" s="1"/>
  <c r="Q1455" i="35"/>
  <c r="C1454" i="35" a="1"/>
  <c r="C1454" i="35" s="1"/>
  <c r="F1454" i="35"/>
  <c r="G1454" i="35" s="1"/>
  <c r="J1454" i="35"/>
  <c r="K1454" i="35" s="1"/>
  <c r="Q1454" i="35"/>
  <c r="C1453" i="35" a="1"/>
  <c r="C1453" i="35" s="1"/>
  <c r="F1453" i="35"/>
  <c r="G1453" i="35" s="1"/>
  <c r="J1453" i="35"/>
  <c r="K1453" i="35" s="1"/>
  <c r="Q1453" i="35"/>
  <c r="C1452" i="35" a="1"/>
  <c r="C1452" i="35" s="1"/>
  <c r="F1452" i="35"/>
  <c r="G1452" i="35" s="1"/>
  <c r="J1452" i="35"/>
  <c r="K1452" i="35" s="1"/>
  <c r="Q1452" i="35"/>
  <c r="C1451" i="35" a="1"/>
  <c r="C1451" i="35" s="1"/>
  <c r="F1451" i="35"/>
  <c r="G1451" i="35" s="1"/>
  <c r="J1451" i="35"/>
  <c r="K1451" i="35" s="1"/>
  <c r="Q1451" i="35"/>
  <c r="C1450" i="35" a="1"/>
  <c r="C1450" i="35" s="1"/>
  <c r="F1450" i="35"/>
  <c r="G1450" i="35" s="1"/>
  <c r="J1450" i="35"/>
  <c r="K1450" i="35" s="1"/>
  <c r="Q1450" i="35"/>
  <c r="C1449" i="35" a="1"/>
  <c r="C1449" i="35" s="1"/>
  <c r="F1449" i="35"/>
  <c r="G1449" i="35" s="1"/>
  <c r="J1449" i="35"/>
  <c r="K1449" i="35" s="1"/>
  <c r="Q1449" i="35"/>
  <c r="C1448" i="35" a="1"/>
  <c r="C1448" i="35" s="1"/>
  <c r="F1448" i="35"/>
  <c r="G1448" i="35" s="1"/>
  <c r="J1448" i="35"/>
  <c r="K1448" i="35" s="1"/>
  <c r="Q1448" i="35"/>
  <c r="C1447" i="35" a="1"/>
  <c r="C1447" i="35" s="1"/>
  <c r="F1447" i="35"/>
  <c r="G1447" i="35" s="1"/>
  <c r="J1447" i="35"/>
  <c r="K1447" i="35" s="1"/>
  <c r="Q1447" i="35"/>
  <c r="C1446" i="35" a="1"/>
  <c r="C1446" i="35" s="1"/>
  <c r="F1446" i="35"/>
  <c r="G1446" i="35" s="1"/>
  <c r="J1446" i="35"/>
  <c r="K1446" i="35" s="1"/>
  <c r="Q1446" i="35"/>
  <c r="C1445" i="35" a="1"/>
  <c r="C1445" i="35" s="1"/>
  <c r="F1445" i="35"/>
  <c r="G1445" i="35" s="1"/>
  <c r="J1445" i="35"/>
  <c r="K1445" i="35" s="1"/>
  <c r="Q1445" i="35"/>
  <c r="C1444" i="35" a="1"/>
  <c r="C1444" i="35" s="1"/>
  <c r="F1444" i="35"/>
  <c r="G1444" i="35" s="1"/>
  <c r="J1444" i="35"/>
  <c r="K1444" i="35" s="1"/>
  <c r="Q1444" i="35"/>
  <c r="C1443" i="35" a="1"/>
  <c r="C1443" i="35" s="1"/>
  <c r="F1443" i="35"/>
  <c r="G1443" i="35" s="1"/>
  <c r="J1443" i="35"/>
  <c r="K1443" i="35" s="1"/>
  <c r="Q1443" i="35"/>
  <c r="B584" i="33" a="1"/>
  <c r="B584" i="33" s="1"/>
  <c r="E584" i="33" a="1"/>
  <c r="E584" i="33" s="1"/>
  <c r="F584" i="33" a="1"/>
  <c r="F584" i="33" s="1"/>
  <c r="G584" i="33" a="1"/>
  <c r="G584" i="33" s="1"/>
  <c r="L584" i="33" a="1"/>
  <c r="L584" i="33" s="1"/>
  <c r="M584" i="33"/>
  <c r="N584" i="33"/>
  <c r="P584" i="33"/>
  <c r="C1442" i="35" a="1"/>
  <c r="C1442" i="35" s="1"/>
  <c r="F1442" i="35"/>
  <c r="G1442" i="35" s="1"/>
  <c r="J1442" i="35"/>
  <c r="K1442" i="35" s="1"/>
  <c r="Q1442" i="35"/>
  <c r="C1441" i="35" a="1"/>
  <c r="C1441" i="35" s="1"/>
  <c r="F1441" i="35"/>
  <c r="H1705" i="35" s="1"/>
  <c r="J1441" i="35"/>
  <c r="L1705" i="35" s="1"/>
  <c r="Q1441" i="35"/>
  <c r="B131" i="33" a="1"/>
  <c r="B131" i="33" s="1"/>
  <c r="E131" i="33" a="1"/>
  <c r="E131" i="33" s="1"/>
  <c r="F131" i="33" a="1"/>
  <c r="F131" i="33" s="1"/>
  <c r="G131" i="33" a="1"/>
  <c r="G131" i="33" s="1"/>
  <c r="L131" i="33" a="1"/>
  <c r="L131" i="33" s="1"/>
  <c r="M131" i="33"/>
  <c r="N131" i="33"/>
  <c r="E50" i="40" s="1"/>
  <c r="P131" i="33"/>
  <c r="C1440" i="35" a="1"/>
  <c r="C1440" i="35" s="1"/>
  <c r="F1440" i="35"/>
  <c r="G1440" i="35" s="1"/>
  <c r="J1440" i="35"/>
  <c r="K1440" i="35" s="1"/>
  <c r="Q1440" i="35"/>
  <c r="C1439" i="35" a="1"/>
  <c r="C1439" i="35" s="1"/>
  <c r="F1439" i="35"/>
  <c r="G1439" i="35" s="1"/>
  <c r="J1439" i="35"/>
  <c r="K1439" i="35" s="1"/>
  <c r="Q1439" i="35"/>
  <c r="C1438" i="35" a="1"/>
  <c r="C1438" i="35" s="1"/>
  <c r="F1438" i="35"/>
  <c r="G1438" i="35" s="1"/>
  <c r="J1438" i="35"/>
  <c r="K1438" i="35" s="1"/>
  <c r="Q1438" i="35"/>
  <c r="C738" i="31" a="1"/>
  <c r="C738" i="31" s="1"/>
  <c r="D738" i="31" a="1"/>
  <c r="D738" i="31" s="1"/>
  <c r="L738" i="31"/>
  <c r="Q738" i="31"/>
  <c r="R738" i="31"/>
  <c r="U738" i="31"/>
  <c r="V738" i="31"/>
  <c r="W738" i="31"/>
  <c r="AB738" i="31"/>
  <c r="AC738" i="31"/>
  <c r="AF738" i="31"/>
  <c r="C1437" i="35" a="1"/>
  <c r="C1437" i="35" s="1"/>
  <c r="F1437" i="35"/>
  <c r="G1437" i="35" s="1"/>
  <c r="J1437" i="35"/>
  <c r="K1437" i="35" s="1"/>
  <c r="Q1437" i="35"/>
  <c r="C1436" i="35" a="1"/>
  <c r="C1436" i="35" s="1"/>
  <c r="F1436" i="35"/>
  <c r="G1436" i="35" s="1"/>
  <c r="J1436" i="35"/>
  <c r="K1436" i="35" s="1"/>
  <c r="Q1436" i="35"/>
  <c r="C1435" i="35" a="1"/>
  <c r="C1435" i="35" s="1"/>
  <c r="F1435" i="35"/>
  <c r="J1435" i="35"/>
  <c r="Q1435" i="35"/>
  <c r="B88" i="40"/>
  <c r="E88" i="40"/>
  <c r="B38" i="33" a="1"/>
  <c r="B38" i="33" s="1"/>
  <c r="E38" i="33" a="1"/>
  <c r="E38" i="33" s="1"/>
  <c r="F38" i="33" a="1"/>
  <c r="F38" i="33" s="1"/>
  <c r="G38" i="33" a="1"/>
  <c r="G38" i="33" s="1"/>
  <c r="L38" i="33" a="1"/>
  <c r="L38" i="33" s="1"/>
  <c r="M38" i="33"/>
  <c r="N38" i="33"/>
  <c r="P38" i="33"/>
  <c r="C1434" i="35" a="1"/>
  <c r="C1434" i="35" s="1"/>
  <c r="F1434" i="35"/>
  <c r="G1434" i="35" s="1"/>
  <c r="J1434" i="35"/>
  <c r="K1434" i="35" s="1"/>
  <c r="Q1434" i="35"/>
  <c r="C1433" i="35" a="1"/>
  <c r="C1433" i="35" s="1"/>
  <c r="F1433" i="35"/>
  <c r="G1433" i="35" s="1"/>
  <c r="J1433" i="35"/>
  <c r="K1433" i="35" s="1"/>
  <c r="Q1433" i="35"/>
  <c r="C719" i="31" a="1"/>
  <c r="C719" i="31" s="1"/>
  <c r="D719" i="31" a="1"/>
  <c r="D719" i="31" s="1"/>
  <c r="L719" i="31"/>
  <c r="Q719" i="31"/>
  <c r="R719" i="31"/>
  <c r="U719" i="31"/>
  <c r="V719" i="31"/>
  <c r="W719" i="31"/>
  <c r="AB719" i="31"/>
  <c r="AC719" i="31"/>
  <c r="AF719" i="31"/>
  <c r="C736" i="31" a="1"/>
  <c r="C736" i="31" s="1"/>
  <c r="D736" i="31" a="1"/>
  <c r="D736" i="31" s="1"/>
  <c r="L736" i="31"/>
  <c r="Q736" i="31"/>
  <c r="R736" i="31"/>
  <c r="U736" i="31"/>
  <c r="V736" i="31"/>
  <c r="W736" i="31"/>
  <c r="AB736" i="31"/>
  <c r="AC736" i="31"/>
  <c r="AF736" i="31"/>
  <c r="C1432" i="35" a="1"/>
  <c r="C1432" i="35" s="1"/>
  <c r="F1432" i="35"/>
  <c r="J1432" i="35"/>
  <c r="Q1432" i="35"/>
  <c r="B108" i="33" a="1"/>
  <c r="B108" i="33" s="1"/>
  <c r="E108" i="33" a="1"/>
  <c r="E108" i="33" s="1"/>
  <c r="F108" i="33" a="1"/>
  <c r="F108" i="33" s="1"/>
  <c r="G108" i="33" a="1"/>
  <c r="G108" i="33" s="1"/>
  <c r="L108" i="33" a="1"/>
  <c r="L108" i="33" s="1"/>
  <c r="M108" i="33"/>
  <c r="N108" i="33"/>
  <c r="P108" i="33"/>
  <c r="C1431" i="35" a="1"/>
  <c r="C1431" i="35" s="1"/>
  <c r="F1431" i="35"/>
  <c r="G1431" i="35" s="1"/>
  <c r="J1431" i="35"/>
  <c r="K1431" i="35" s="1"/>
  <c r="Q1431" i="35"/>
  <c r="C1430" i="35" a="1"/>
  <c r="C1430" i="35" s="1"/>
  <c r="F1430" i="35"/>
  <c r="G1430" i="35" s="1"/>
  <c r="J1430" i="35"/>
  <c r="K1430" i="35" s="1"/>
  <c r="Q1430" i="35"/>
  <c r="C1429" i="35" a="1"/>
  <c r="C1429" i="35" s="1"/>
  <c r="F1429" i="35"/>
  <c r="G1429" i="35" s="1"/>
  <c r="J1429" i="35"/>
  <c r="K1429" i="35" s="1"/>
  <c r="Q1429" i="35"/>
  <c r="C1428" i="35" a="1"/>
  <c r="C1428" i="35" s="1"/>
  <c r="F1428" i="35"/>
  <c r="G1428" i="35" s="1"/>
  <c r="J1428" i="35"/>
  <c r="K1428" i="35" s="1"/>
  <c r="Q1428" i="35"/>
  <c r="C1427" i="35" a="1"/>
  <c r="C1427" i="35" s="1"/>
  <c r="F1427" i="35"/>
  <c r="G1427" i="35" s="1"/>
  <c r="J1427" i="35"/>
  <c r="K1427" i="35" s="1"/>
  <c r="Q1427" i="35"/>
  <c r="C1426" i="35" a="1"/>
  <c r="C1426" i="35" s="1"/>
  <c r="F1426" i="35"/>
  <c r="G1426" i="35" s="1"/>
  <c r="J1426" i="35"/>
  <c r="K1426" i="35" s="1"/>
  <c r="Q1426" i="35"/>
  <c r="C1425" i="35" a="1"/>
  <c r="C1425" i="35" s="1"/>
  <c r="F1425" i="35"/>
  <c r="G1425" i="35" s="1"/>
  <c r="J1425" i="35"/>
  <c r="K1425" i="35" s="1"/>
  <c r="Q1425" i="35"/>
  <c r="C1424" i="35" a="1"/>
  <c r="C1424" i="35" s="1"/>
  <c r="F1424" i="35"/>
  <c r="G1424" i="35" s="1"/>
  <c r="J1424" i="35"/>
  <c r="K1424" i="35" s="1"/>
  <c r="Q1424" i="35"/>
  <c r="C1423" i="35" a="1"/>
  <c r="C1423" i="35" s="1"/>
  <c r="F1423" i="35"/>
  <c r="G1423" i="35" s="1"/>
  <c r="J1423" i="35"/>
  <c r="K1423" i="35" s="1"/>
  <c r="Q1423" i="35"/>
  <c r="C1422" i="35" a="1"/>
  <c r="C1422" i="35" s="1"/>
  <c r="F1422" i="35"/>
  <c r="G1422" i="35" s="1"/>
  <c r="J1422" i="35"/>
  <c r="K1422" i="35" s="1"/>
  <c r="Q1422" i="35"/>
  <c r="C1421" i="35" a="1"/>
  <c r="C1421" i="35" s="1"/>
  <c r="F1421" i="35"/>
  <c r="G1421" i="35" s="1"/>
  <c r="J1421" i="35"/>
  <c r="K1421" i="35" s="1"/>
  <c r="Q1421" i="35"/>
  <c r="B583" i="33" a="1"/>
  <c r="B583" i="33" s="1"/>
  <c r="E583" i="33" a="1"/>
  <c r="E583" i="33" s="1"/>
  <c r="F583" i="33" a="1"/>
  <c r="F583" i="33" s="1"/>
  <c r="G583" i="33" a="1"/>
  <c r="G583" i="33" s="1"/>
  <c r="L583" i="33" a="1"/>
  <c r="L583" i="33" s="1"/>
  <c r="M583" i="33"/>
  <c r="N583" i="33"/>
  <c r="P583" i="33"/>
  <c r="C1420" i="35" a="1"/>
  <c r="C1420" i="35" s="1"/>
  <c r="F1420" i="35"/>
  <c r="G1420" i="35" s="1"/>
  <c r="J1420" i="35"/>
  <c r="K1420" i="35" s="1"/>
  <c r="Q1420" i="35"/>
  <c r="C1419" i="35" a="1"/>
  <c r="C1419" i="35" s="1"/>
  <c r="F1419" i="35"/>
  <c r="J1419" i="35"/>
  <c r="Q1419" i="35"/>
  <c r="B127" i="33" a="1"/>
  <c r="B127" i="33" s="1"/>
  <c r="E127" i="33" a="1"/>
  <c r="E127" i="33" s="1"/>
  <c r="F127" i="33" a="1"/>
  <c r="F127" i="33" s="1"/>
  <c r="G127" i="33" a="1"/>
  <c r="G127" i="33" s="1"/>
  <c r="L127" i="33" a="1"/>
  <c r="L127" i="33" s="1"/>
  <c r="M127" i="33"/>
  <c r="N127" i="33"/>
  <c r="P127" i="33"/>
  <c r="C1418" i="35" a="1"/>
  <c r="C1418" i="35" s="1"/>
  <c r="F1418" i="35"/>
  <c r="G1418" i="35" s="1"/>
  <c r="J1418" i="35"/>
  <c r="K1418" i="35" s="1"/>
  <c r="Q1418" i="35"/>
  <c r="C669" i="31" a="1"/>
  <c r="C669" i="31" s="1"/>
  <c r="D669" i="31" a="1"/>
  <c r="D669" i="31" s="1"/>
  <c r="L669" i="31"/>
  <c r="Q669" i="31"/>
  <c r="R669" i="31"/>
  <c r="U669" i="31"/>
  <c r="V669" i="31"/>
  <c r="W669" i="31"/>
  <c r="AB669" i="31"/>
  <c r="AC669" i="31"/>
  <c r="AF669" i="31"/>
  <c r="C1417" i="35" a="1"/>
  <c r="C1417" i="35" s="1"/>
  <c r="F1417" i="35"/>
  <c r="G1417" i="35" s="1"/>
  <c r="J1417" i="35"/>
  <c r="K1417" i="35" s="1"/>
  <c r="Q1417" i="35"/>
  <c r="C1416" i="35" a="1"/>
  <c r="C1416" i="35" s="1"/>
  <c r="F1416" i="35"/>
  <c r="G1416" i="35" s="1"/>
  <c r="J1416" i="35"/>
  <c r="K1416" i="35" s="1"/>
  <c r="Q1416" i="35"/>
  <c r="C1415" i="35" a="1"/>
  <c r="C1415" i="35" s="1"/>
  <c r="F1415" i="35"/>
  <c r="G1415" i="35" s="1"/>
  <c r="J1415" i="35"/>
  <c r="K1415" i="35" s="1"/>
  <c r="Q1415" i="35"/>
  <c r="C1414" i="35" a="1"/>
  <c r="C1414" i="35" s="1"/>
  <c r="F1414" i="35"/>
  <c r="G1414" i="35" s="1"/>
  <c r="J1414" i="35"/>
  <c r="K1414" i="35" s="1"/>
  <c r="Q1414" i="35"/>
  <c r="C1413" i="35" a="1"/>
  <c r="C1413" i="35" s="1"/>
  <c r="F1413" i="35"/>
  <c r="G1413" i="35" s="1"/>
  <c r="J1413" i="35"/>
  <c r="K1413" i="35" s="1"/>
  <c r="Q1413" i="35"/>
  <c r="C1412" i="35" a="1"/>
  <c r="C1412" i="35" s="1"/>
  <c r="F1412" i="35"/>
  <c r="G1412" i="35" s="1"/>
  <c r="J1412" i="35"/>
  <c r="K1412" i="35" s="1"/>
  <c r="Q1412" i="35"/>
  <c r="C1411" i="35" a="1"/>
  <c r="C1411" i="35" s="1"/>
  <c r="F1411" i="35"/>
  <c r="G1411" i="35" s="1"/>
  <c r="J1411" i="35"/>
  <c r="K1411" i="35" s="1"/>
  <c r="Q1411" i="35"/>
  <c r="C1410" i="35" a="1"/>
  <c r="C1410" i="35" s="1"/>
  <c r="F1410" i="35"/>
  <c r="G1410" i="35" s="1"/>
  <c r="J1410" i="35"/>
  <c r="K1410" i="35" s="1"/>
  <c r="Q1410" i="35"/>
  <c r="C1409" i="35" a="1"/>
  <c r="C1409" i="35" s="1"/>
  <c r="F1409" i="35"/>
  <c r="J1409" i="35"/>
  <c r="Q1409" i="35"/>
  <c r="B88" i="33" a="1"/>
  <c r="B88" i="33" s="1"/>
  <c r="E88" i="33" a="1"/>
  <c r="E88" i="33" s="1"/>
  <c r="F88" i="33" a="1"/>
  <c r="F88" i="33" s="1"/>
  <c r="G88" i="33" a="1"/>
  <c r="G88" i="33" s="1"/>
  <c r="L88" i="33" a="1"/>
  <c r="L88" i="33" s="1"/>
  <c r="M88" i="33"/>
  <c r="N88" i="33"/>
  <c r="P88" i="33"/>
  <c r="C1408" i="35" a="1"/>
  <c r="C1408" i="35" s="1"/>
  <c r="F1408" i="35"/>
  <c r="G1408" i="35" s="1"/>
  <c r="J1408" i="35"/>
  <c r="K1408" i="35" s="1"/>
  <c r="Q1408" i="35"/>
  <c r="C1407" i="35" a="1"/>
  <c r="C1407" i="35" s="1"/>
  <c r="F1407" i="35"/>
  <c r="G1407" i="35" s="1"/>
  <c r="J1407" i="35"/>
  <c r="K1407" i="35" s="1"/>
  <c r="Q1407" i="35"/>
  <c r="C1406" i="35" a="1"/>
  <c r="C1406" i="35" s="1"/>
  <c r="F1406" i="35"/>
  <c r="G1406" i="35" s="1"/>
  <c r="J1406" i="35"/>
  <c r="K1406" i="35" s="1"/>
  <c r="Q1406" i="35"/>
  <c r="C734" i="31" a="1"/>
  <c r="C734" i="31" s="1"/>
  <c r="D734" i="31" a="1"/>
  <c r="D734" i="31" s="1"/>
  <c r="L734" i="31"/>
  <c r="Q734" i="31"/>
  <c r="R734" i="31"/>
  <c r="U734" i="31"/>
  <c r="V734" i="31"/>
  <c r="W734" i="31"/>
  <c r="AB734" i="31"/>
  <c r="AC734" i="31"/>
  <c r="AF734" i="31"/>
  <c r="C733" i="31" a="1"/>
  <c r="C733" i="31" s="1"/>
  <c r="D733" i="31" a="1"/>
  <c r="D733" i="31" s="1"/>
  <c r="L733" i="31"/>
  <c r="Q733" i="31"/>
  <c r="R733" i="31"/>
  <c r="U733" i="31"/>
  <c r="V733" i="31"/>
  <c r="W733" i="31"/>
  <c r="AB733" i="31"/>
  <c r="AC733" i="31"/>
  <c r="AF733" i="31"/>
  <c r="C1405" i="35" a="1"/>
  <c r="C1405" i="35" s="1"/>
  <c r="F1405" i="35"/>
  <c r="G1405" i="35" s="1"/>
  <c r="J1405" i="35"/>
  <c r="K1405" i="35" s="1"/>
  <c r="Q1405" i="35"/>
  <c r="C1404" i="35" a="1"/>
  <c r="C1404" i="35" s="1"/>
  <c r="F1404" i="35"/>
  <c r="G1404" i="35" s="1"/>
  <c r="J1404" i="35"/>
  <c r="K1404" i="35" s="1"/>
  <c r="Q1404" i="35"/>
  <c r="B582" i="33" a="1"/>
  <c r="B582" i="33" s="1"/>
  <c r="E582" i="33" a="1"/>
  <c r="E582" i="33" s="1"/>
  <c r="F582" i="33" a="1"/>
  <c r="F582" i="33" s="1"/>
  <c r="G582" i="33" a="1"/>
  <c r="G582" i="33" s="1"/>
  <c r="L582" i="33" a="1"/>
  <c r="L582" i="33" s="1"/>
  <c r="M582" i="33"/>
  <c r="N582" i="33"/>
  <c r="P582" i="33"/>
  <c r="C732" i="31" a="1"/>
  <c r="C732" i="31" s="1"/>
  <c r="D732" i="31" a="1"/>
  <c r="D732" i="31" s="1"/>
  <c r="L732" i="31"/>
  <c r="Q732" i="31"/>
  <c r="R732" i="31"/>
  <c r="U732" i="31"/>
  <c r="V732" i="31"/>
  <c r="W732" i="31"/>
  <c r="AB732" i="31"/>
  <c r="AC732" i="31"/>
  <c r="AF732" i="31"/>
  <c r="C1403" i="35" a="1"/>
  <c r="C1403" i="35" s="1"/>
  <c r="F1403" i="35"/>
  <c r="G1403" i="35" s="1"/>
  <c r="J1403" i="35"/>
  <c r="K1403" i="35" s="1"/>
  <c r="Q1403" i="35"/>
  <c r="C1402" i="35" a="1"/>
  <c r="C1402" i="35" s="1"/>
  <c r="F1402" i="35"/>
  <c r="G1402" i="35" s="1"/>
  <c r="J1402" i="35"/>
  <c r="K1402" i="35" s="1"/>
  <c r="Q1402" i="35"/>
  <c r="C1401" i="35" a="1"/>
  <c r="C1401" i="35" s="1"/>
  <c r="F1401" i="35"/>
  <c r="G1401" i="35" s="1"/>
  <c r="J1401" i="35"/>
  <c r="K1401" i="35" s="1"/>
  <c r="Q1401" i="35"/>
  <c r="C1400" i="35" a="1"/>
  <c r="C1400" i="35" s="1"/>
  <c r="F1400" i="35"/>
  <c r="G1400" i="35" s="1"/>
  <c r="J1400" i="35"/>
  <c r="K1400" i="35" s="1"/>
  <c r="Q1400" i="35"/>
  <c r="C1399" i="35" a="1"/>
  <c r="C1399" i="35" s="1"/>
  <c r="F1399" i="35"/>
  <c r="G1399" i="35" s="1"/>
  <c r="J1399" i="35"/>
  <c r="K1399" i="35" s="1"/>
  <c r="Q1399" i="35"/>
  <c r="C1398" i="35" a="1"/>
  <c r="C1398" i="35" s="1"/>
  <c r="F1398" i="35"/>
  <c r="G1398" i="35" s="1"/>
  <c r="J1398" i="35"/>
  <c r="K1398" i="35" s="1"/>
  <c r="Q1398" i="35"/>
  <c r="B581" i="33" a="1"/>
  <c r="B581" i="33" s="1"/>
  <c r="E581" i="33" a="1"/>
  <c r="E581" i="33" s="1"/>
  <c r="F581" i="33" a="1"/>
  <c r="F581" i="33" s="1"/>
  <c r="G581" i="33" a="1"/>
  <c r="G581" i="33" s="1"/>
  <c r="L581" i="33" a="1"/>
  <c r="L581" i="33" s="1"/>
  <c r="M581" i="33"/>
  <c r="N581" i="33"/>
  <c r="P581" i="33"/>
  <c r="C1397" i="35" a="1"/>
  <c r="C1397" i="35" s="1"/>
  <c r="F1397" i="35"/>
  <c r="G1397" i="35" s="1"/>
  <c r="J1397" i="35"/>
  <c r="K1397" i="35" s="1"/>
  <c r="Q1397" i="35"/>
  <c r="C731" i="31" a="1"/>
  <c r="C731" i="31" s="1"/>
  <c r="D731" i="31" a="1"/>
  <c r="D731" i="31" s="1"/>
  <c r="L731" i="31"/>
  <c r="Q731" i="31"/>
  <c r="R731" i="31"/>
  <c r="U731" i="31"/>
  <c r="V731" i="31"/>
  <c r="W731" i="31"/>
  <c r="AB731" i="31"/>
  <c r="AC731" i="31"/>
  <c r="AF731" i="31"/>
  <c r="C1396" i="35" a="1"/>
  <c r="C1396" i="35" s="1"/>
  <c r="F1396" i="35"/>
  <c r="G1396" i="35" s="1"/>
  <c r="J1396" i="35"/>
  <c r="K1396" i="35" s="1"/>
  <c r="Q1396" i="35"/>
  <c r="C1395" i="35" a="1"/>
  <c r="C1395" i="35" s="1"/>
  <c r="F1395" i="35"/>
  <c r="G1395" i="35" s="1"/>
  <c r="J1395" i="35"/>
  <c r="K1395" i="35" s="1"/>
  <c r="Q1395" i="35"/>
  <c r="C1394" i="35" a="1"/>
  <c r="C1394" i="35" s="1"/>
  <c r="F1394" i="35"/>
  <c r="G1394" i="35" s="1"/>
  <c r="J1394" i="35"/>
  <c r="K1394" i="35" s="1"/>
  <c r="Q1394" i="35"/>
  <c r="C1393" i="35" a="1"/>
  <c r="C1393" i="35" s="1"/>
  <c r="F1393" i="35"/>
  <c r="G1393" i="35" s="1"/>
  <c r="J1393" i="35"/>
  <c r="K1393" i="35" s="1"/>
  <c r="Q1393" i="35"/>
  <c r="C1392" i="35" a="1"/>
  <c r="C1392" i="35" s="1"/>
  <c r="F1392" i="35"/>
  <c r="G1392" i="35" s="1"/>
  <c r="J1392" i="35"/>
  <c r="K1392" i="35" s="1"/>
  <c r="Q1392" i="35"/>
  <c r="C730" i="31" a="1"/>
  <c r="C730" i="31" s="1"/>
  <c r="D730" i="31" a="1"/>
  <c r="D730" i="31" s="1"/>
  <c r="L730" i="31"/>
  <c r="Q730" i="31"/>
  <c r="R730" i="31"/>
  <c r="U730" i="31"/>
  <c r="V730" i="31"/>
  <c r="W730" i="31"/>
  <c r="AB730" i="31"/>
  <c r="AC730" i="31"/>
  <c r="AF730" i="31"/>
  <c r="C729" i="31" a="1"/>
  <c r="C729" i="31" s="1"/>
  <c r="D729" i="31" a="1"/>
  <c r="D729" i="31" s="1"/>
  <c r="L729" i="31"/>
  <c r="Q729" i="31"/>
  <c r="R729" i="31"/>
  <c r="U729" i="31"/>
  <c r="V729" i="31"/>
  <c r="AD729" i="31" s="1"/>
  <c r="W729" i="31"/>
  <c r="AB729" i="31"/>
  <c r="AC729" i="31"/>
  <c r="AF729" i="31"/>
  <c r="C1391" i="35" a="1"/>
  <c r="C1391" i="35" s="1"/>
  <c r="F1391" i="35"/>
  <c r="G1391" i="35" s="1"/>
  <c r="J1391" i="35"/>
  <c r="K1391" i="35" s="1"/>
  <c r="Q1391" i="35"/>
  <c r="C1390" i="35" a="1"/>
  <c r="C1390" i="35" s="1"/>
  <c r="F1390" i="35"/>
  <c r="G1390" i="35" s="1"/>
  <c r="J1390" i="35"/>
  <c r="K1390" i="35" s="1"/>
  <c r="Q1390" i="35"/>
  <c r="C1389" i="35" a="1"/>
  <c r="C1389" i="35" s="1"/>
  <c r="F1389" i="35"/>
  <c r="G1389" i="35" s="1"/>
  <c r="J1389" i="35"/>
  <c r="K1389" i="35" s="1"/>
  <c r="Q1389" i="35"/>
  <c r="C1388" i="35" a="1"/>
  <c r="C1388" i="35" s="1"/>
  <c r="F1388" i="35"/>
  <c r="G1388" i="35" s="1"/>
  <c r="J1388" i="35"/>
  <c r="K1388" i="35" s="1"/>
  <c r="Q1388" i="35"/>
  <c r="C1387" i="35" a="1"/>
  <c r="C1387" i="35" s="1"/>
  <c r="F1387" i="35"/>
  <c r="G1387" i="35" s="1"/>
  <c r="J1387" i="35"/>
  <c r="K1387" i="35" s="1"/>
  <c r="Q1387" i="35"/>
  <c r="C1386" i="35" a="1"/>
  <c r="C1386" i="35" s="1"/>
  <c r="F1386" i="35"/>
  <c r="G1386" i="35" s="1"/>
  <c r="J1386" i="35"/>
  <c r="K1386" i="35" s="1"/>
  <c r="Q1386" i="35"/>
  <c r="C1385" i="35" a="1"/>
  <c r="C1385" i="35" s="1"/>
  <c r="F1385" i="35"/>
  <c r="G1385" i="35" s="1"/>
  <c r="J1385" i="35"/>
  <c r="K1385" i="35" s="1"/>
  <c r="Q1385" i="35"/>
  <c r="C728" i="31" a="1"/>
  <c r="C728" i="31" s="1"/>
  <c r="D728" i="31" a="1"/>
  <c r="D728" i="31" s="1"/>
  <c r="L728" i="31"/>
  <c r="Q728" i="31"/>
  <c r="R728" i="31"/>
  <c r="U728" i="31"/>
  <c r="V728" i="31"/>
  <c r="W728" i="31"/>
  <c r="AB728" i="31"/>
  <c r="AC728" i="31"/>
  <c r="AF728" i="31"/>
  <c r="C727" i="31" a="1"/>
  <c r="C727" i="31" s="1"/>
  <c r="D727" i="31" a="1"/>
  <c r="D727" i="31" s="1"/>
  <c r="L727" i="31"/>
  <c r="Q727" i="31"/>
  <c r="R727" i="31"/>
  <c r="U727" i="31"/>
  <c r="V727" i="31"/>
  <c r="W727" i="31"/>
  <c r="AB727" i="31"/>
  <c r="AC727" i="31"/>
  <c r="AF727" i="31"/>
  <c r="C726" i="31" a="1"/>
  <c r="C726" i="31" s="1"/>
  <c r="D726" i="31" a="1"/>
  <c r="D726" i="31" s="1"/>
  <c r="L726" i="31"/>
  <c r="Q726" i="31"/>
  <c r="R726" i="31"/>
  <c r="U726" i="31"/>
  <c r="V726" i="31"/>
  <c r="W726" i="31"/>
  <c r="AB726" i="31"/>
  <c r="AC726" i="31"/>
  <c r="AF726" i="31"/>
  <c r="C1384" i="35" a="1"/>
  <c r="C1384" i="35" s="1"/>
  <c r="F1384" i="35"/>
  <c r="J1384" i="35"/>
  <c r="K1384" i="35" s="1"/>
  <c r="Q1384" i="35"/>
  <c r="B580" i="33" a="1"/>
  <c r="B580" i="33" s="1"/>
  <c r="E580" i="33" a="1"/>
  <c r="E580" i="33" s="1"/>
  <c r="F580" i="33" a="1"/>
  <c r="F580" i="33" s="1"/>
  <c r="G580" i="33" a="1"/>
  <c r="G580" i="33" s="1"/>
  <c r="L580" i="33" a="1"/>
  <c r="L580" i="33" s="1"/>
  <c r="M580" i="33"/>
  <c r="N580" i="33"/>
  <c r="P580" i="33"/>
  <c r="C1383" i="35" a="1"/>
  <c r="C1383" i="35" s="1"/>
  <c r="F1383" i="35"/>
  <c r="G1383" i="35" s="1"/>
  <c r="J1383" i="35"/>
  <c r="K1383" i="35" s="1"/>
  <c r="Q1383" i="35"/>
  <c r="C1382" i="35" a="1"/>
  <c r="C1382" i="35" s="1"/>
  <c r="F1382" i="35"/>
  <c r="G1382" i="35" s="1"/>
  <c r="J1382" i="35"/>
  <c r="K1382" i="35" s="1"/>
  <c r="Q1382" i="35"/>
  <c r="C1381" i="35" a="1"/>
  <c r="C1381" i="35" s="1"/>
  <c r="F1381" i="35"/>
  <c r="G1381" i="35" s="1"/>
  <c r="J1381" i="35"/>
  <c r="K1381" i="35" s="1"/>
  <c r="Q1381" i="35"/>
  <c r="C1380" i="35" a="1"/>
  <c r="C1380" i="35" s="1"/>
  <c r="F1380" i="35"/>
  <c r="G1380" i="35" s="1"/>
  <c r="J1380" i="35"/>
  <c r="K1380" i="35" s="1"/>
  <c r="Q1380" i="35"/>
  <c r="C1379" i="35" a="1"/>
  <c r="C1379" i="35" s="1"/>
  <c r="F1379" i="35"/>
  <c r="G1379" i="35" s="1"/>
  <c r="J1379" i="35"/>
  <c r="K1379" i="35" s="1"/>
  <c r="Q1379" i="35"/>
  <c r="C784" i="31" a="1"/>
  <c r="C784" i="31" s="1"/>
  <c r="D784" i="31" a="1"/>
  <c r="D784" i="31" s="1"/>
  <c r="L784" i="31"/>
  <c r="Q784" i="31"/>
  <c r="R784" i="31"/>
  <c r="U784" i="31"/>
  <c r="V784" i="31"/>
  <c r="W784" i="31"/>
  <c r="AB784" i="31"/>
  <c r="AC784" i="31"/>
  <c r="AF784" i="31"/>
  <c r="C1378" i="35" a="1"/>
  <c r="C1378" i="35" s="1"/>
  <c r="F1378" i="35"/>
  <c r="G1378" i="35" s="1"/>
  <c r="J1378" i="35"/>
  <c r="K1378" i="35" s="1"/>
  <c r="Q1378" i="35"/>
  <c r="C1377" i="35" a="1"/>
  <c r="C1377" i="35" s="1"/>
  <c r="F1377" i="35"/>
  <c r="G1377" i="35" s="1"/>
  <c r="J1377" i="35"/>
  <c r="K1377" i="35" s="1"/>
  <c r="Q1377" i="35"/>
  <c r="C1376" i="35" a="1"/>
  <c r="C1376" i="35" s="1"/>
  <c r="F1376" i="35"/>
  <c r="G1376" i="35" s="1"/>
  <c r="J1376" i="35"/>
  <c r="K1376" i="35" s="1"/>
  <c r="Q1376" i="35"/>
  <c r="C1375" i="35" a="1"/>
  <c r="C1375" i="35" s="1"/>
  <c r="F1375" i="35"/>
  <c r="G1375" i="35" s="1"/>
  <c r="J1375" i="35"/>
  <c r="K1375" i="35" s="1"/>
  <c r="Q1375" i="35"/>
  <c r="C1374" i="35" a="1"/>
  <c r="C1374" i="35" s="1"/>
  <c r="F1374" i="35"/>
  <c r="G1374" i="35" s="1"/>
  <c r="J1374" i="35"/>
  <c r="K1374" i="35" s="1"/>
  <c r="Q1374" i="35"/>
  <c r="C1373" i="35" a="1"/>
  <c r="C1373" i="35" s="1"/>
  <c r="F1373" i="35"/>
  <c r="G1373" i="35" s="1"/>
  <c r="J1373" i="35"/>
  <c r="K1373" i="35" s="1"/>
  <c r="Q1373" i="35"/>
  <c r="B579" i="33" a="1"/>
  <c r="B579" i="33" s="1"/>
  <c r="E579" i="33" a="1"/>
  <c r="E579" i="33" s="1"/>
  <c r="F579" i="33" a="1"/>
  <c r="F579" i="33" s="1"/>
  <c r="G579" i="33" a="1"/>
  <c r="G579" i="33" s="1"/>
  <c r="L579" i="33" a="1"/>
  <c r="L579" i="33" s="1"/>
  <c r="M579" i="33"/>
  <c r="N579" i="33"/>
  <c r="P579" i="33"/>
  <c r="C1372" i="35" a="1"/>
  <c r="C1372" i="35" s="1"/>
  <c r="F1372" i="35"/>
  <c r="G1372" i="35" s="1"/>
  <c r="J1372" i="35"/>
  <c r="K1372" i="35" s="1"/>
  <c r="Q1372" i="35"/>
  <c r="C1371" i="35" a="1"/>
  <c r="C1371" i="35" s="1"/>
  <c r="F1371" i="35"/>
  <c r="G1371" i="35" s="1"/>
  <c r="J1371" i="35"/>
  <c r="K1371" i="35" s="1"/>
  <c r="Q1371" i="35"/>
  <c r="C724" i="31" a="1"/>
  <c r="C724" i="31" s="1"/>
  <c r="D724" i="31" a="1"/>
  <c r="D724" i="31" s="1"/>
  <c r="L724" i="31"/>
  <c r="Q724" i="31"/>
  <c r="R724" i="31"/>
  <c r="U724" i="31"/>
  <c r="V724" i="31"/>
  <c r="W724" i="31"/>
  <c r="AB724" i="31"/>
  <c r="AC724" i="31"/>
  <c r="AF724" i="31"/>
  <c r="C1370" i="35" a="1"/>
  <c r="C1370" i="35" s="1"/>
  <c r="F1370" i="35"/>
  <c r="G1370" i="35" s="1"/>
  <c r="J1370" i="35"/>
  <c r="K1370" i="35" s="1"/>
  <c r="Q1370" i="35"/>
  <c r="B578" i="33" a="1"/>
  <c r="B578" i="33" s="1"/>
  <c r="E578" i="33" a="1"/>
  <c r="E578" i="33" s="1"/>
  <c r="F578" i="33" a="1"/>
  <c r="F578" i="33" s="1"/>
  <c r="G578" i="33" a="1"/>
  <c r="G578" i="33" s="1"/>
  <c r="H578" i="33"/>
  <c r="I578" i="33"/>
  <c r="L578" i="33" a="1"/>
  <c r="L578" i="33" s="1"/>
  <c r="P578" i="33"/>
  <c r="C723" i="31" a="1"/>
  <c r="C723" i="31" s="1"/>
  <c r="D723" i="31" a="1"/>
  <c r="D723" i="31" s="1"/>
  <c r="L723" i="31"/>
  <c r="Q723" i="31"/>
  <c r="R723" i="31"/>
  <c r="U723" i="31"/>
  <c r="V723" i="31"/>
  <c r="W723" i="31"/>
  <c r="AB723" i="31"/>
  <c r="AC723" i="31"/>
  <c r="AF723" i="31"/>
  <c r="H431" i="6"/>
  <c r="J431" i="6" s="1"/>
  <c r="I431" i="6"/>
  <c r="K431" i="6" s="1"/>
  <c r="U431" i="6"/>
  <c r="H430" i="6"/>
  <c r="J430" i="6" s="1"/>
  <c r="I430" i="6"/>
  <c r="K430" i="6" s="1"/>
  <c r="U430" i="6"/>
  <c r="H429" i="6"/>
  <c r="J429" i="6" s="1"/>
  <c r="I429" i="6"/>
  <c r="K429" i="6" s="1"/>
  <c r="U429" i="6"/>
  <c r="H428" i="6"/>
  <c r="J428" i="6" s="1"/>
  <c r="I428" i="6"/>
  <c r="K428" i="6" s="1"/>
  <c r="U428" i="6"/>
  <c r="H427" i="6"/>
  <c r="J427" i="6" s="1"/>
  <c r="I427" i="6"/>
  <c r="K427" i="6" s="1"/>
  <c r="U427" i="6"/>
  <c r="H426" i="6"/>
  <c r="J426" i="6" s="1"/>
  <c r="I426" i="6"/>
  <c r="K426" i="6" s="1"/>
  <c r="U426" i="6"/>
  <c r="H425" i="6"/>
  <c r="J425" i="6" s="1"/>
  <c r="I425" i="6"/>
  <c r="K425" i="6" s="1"/>
  <c r="U425" i="6"/>
  <c r="H424" i="6"/>
  <c r="J424" i="6" s="1"/>
  <c r="I424" i="6"/>
  <c r="K424" i="6" s="1"/>
  <c r="U424" i="6"/>
  <c r="H423" i="6"/>
  <c r="J423" i="6" s="1"/>
  <c r="I423" i="6"/>
  <c r="K423" i="6" s="1"/>
  <c r="U423" i="6"/>
  <c r="H422" i="6"/>
  <c r="J422" i="6" s="1"/>
  <c r="I422" i="6"/>
  <c r="K422" i="6" s="1"/>
  <c r="U422" i="6"/>
  <c r="C722" i="31" a="1"/>
  <c r="C722" i="31" s="1"/>
  <c r="D722" i="31" a="1"/>
  <c r="D722" i="31" s="1"/>
  <c r="L722" i="31"/>
  <c r="Q722" i="31"/>
  <c r="R722" i="31"/>
  <c r="U722" i="31"/>
  <c r="V722" i="31"/>
  <c r="W722" i="31"/>
  <c r="AB722" i="31"/>
  <c r="AC722" i="31"/>
  <c r="AF722" i="31"/>
  <c r="C721" i="31" a="1"/>
  <c r="C721" i="31" s="1"/>
  <c r="D721" i="31" a="1"/>
  <c r="D721" i="31" s="1"/>
  <c r="L721" i="31"/>
  <c r="Q721" i="31"/>
  <c r="R721" i="31"/>
  <c r="U721" i="31"/>
  <c r="V721" i="31"/>
  <c r="W721" i="31"/>
  <c r="AB721" i="31"/>
  <c r="AC721" i="31"/>
  <c r="AF721" i="31"/>
  <c r="C1369" i="35" a="1"/>
  <c r="C1369" i="35" s="1"/>
  <c r="F1369" i="35"/>
  <c r="G1369" i="35" s="1"/>
  <c r="J1369" i="35"/>
  <c r="K1369" i="35" s="1"/>
  <c r="Q1369" i="35"/>
  <c r="C1368" i="35" a="1"/>
  <c r="C1368" i="35" s="1"/>
  <c r="F1368" i="35"/>
  <c r="G1368" i="35" s="1"/>
  <c r="J1368" i="35"/>
  <c r="K1368" i="35" s="1"/>
  <c r="Q1368" i="35"/>
  <c r="C1367" i="35" a="1"/>
  <c r="C1367" i="35" s="1"/>
  <c r="F1367" i="35"/>
  <c r="G1367" i="35" s="1"/>
  <c r="J1367" i="35"/>
  <c r="K1367" i="35" s="1"/>
  <c r="Q1367" i="35"/>
  <c r="C672" i="31" a="1"/>
  <c r="C672" i="31" s="1"/>
  <c r="D672" i="31" a="1"/>
  <c r="D672" i="31" s="1"/>
  <c r="L672" i="31"/>
  <c r="Q672" i="31"/>
  <c r="R672" i="31"/>
  <c r="U672" i="31"/>
  <c r="V672" i="31"/>
  <c r="W672" i="31"/>
  <c r="AB672" i="31"/>
  <c r="AC672" i="31"/>
  <c r="AF672" i="31"/>
  <c r="C1366" i="35" a="1"/>
  <c r="C1366" i="35" s="1"/>
  <c r="F1366" i="35"/>
  <c r="G1366" i="35" s="1"/>
  <c r="J1366" i="35"/>
  <c r="K1366" i="35" s="1"/>
  <c r="Q1366" i="35"/>
  <c r="C766" i="31" a="1"/>
  <c r="C766" i="31" s="1"/>
  <c r="D766" i="31" a="1"/>
  <c r="D766" i="31" s="1"/>
  <c r="L766" i="31"/>
  <c r="Q766" i="31"/>
  <c r="R766" i="31"/>
  <c r="U766" i="31"/>
  <c r="V766" i="31"/>
  <c r="W766" i="31"/>
  <c r="AB766" i="31"/>
  <c r="AC766" i="31"/>
  <c r="AF766" i="31"/>
  <c r="C718" i="31" a="1"/>
  <c r="C718" i="31" s="1"/>
  <c r="D718" i="31" a="1"/>
  <c r="D718" i="31" s="1"/>
  <c r="L718" i="31"/>
  <c r="Q718" i="31"/>
  <c r="R718" i="31"/>
  <c r="U718" i="31"/>
  <c r="V718" i="31"/>
  <c r="W718" i="31"/>
  <c r="AB718" i="31"/>
  <c r="AC718" i="31"/>
  <c r="AF718" i="31"/>
  <c r="C1365" i="35" a="1"/>
  <c r="C1365" i="35" s="1"/>
  <c r="F1365" i="35"/>
  <c r="G1365" i="35" s="1"/>
  <c r="J1365" i="35"/>
  <c r="K1365" i="35" s="1"/>
  <c r="Q1365" i="35"/>
  <c r="C1364" i="35" a="1"/>
  <c r="C1364" i="35" s="1"/>
  <c r="F1364" i="35"/>
  <c r="G1364" i="35" s="1"/>
  <c r="J1364" i="35"/>
  <c r="K1364" i="35" s="1"/>
  <c r="Q1364" i="35"/>
  <c r="C1363" i="35" a="1"/>
  <c r="C1363" i="35" s="1"/>
  <c r="F1363" i="35"/>
  <c r="G1363" i="35" s="1"/>
  <c r="J1363" i="35"/>
  <c r="K1363" i="35" s="1"/>
  <c r="Q1363" i="35"/>
  <c r="C1362" i="35" a="1"/>
  <c r="C1362" i="35" s="1"/>
  <c r="F1362" i="35"/>
  <c r="G1362" i="35" s="1"/>
  <c r="J1362" i="35"/>
  <c r="K1362" i="35" s="1"/>
  <c r="Q1362" i="35"/>
  <c r="C1361" i="35" a="1"/>
  <c r="C1361" i="35" s="1"/>
  <c r="F1361" i="35"/>
  <c r="J1361" i="35"/>
  <c r="Q1361" i="35"/>
  <c r="B46" i="33" a="1"/>
  <c r="B46" i="33" s="1"/>
  <c r="E46" i="33" a="1"/>
  <c r="E46" i="33" s="1"/>
  <c r="F46" i="33" a="1"/>
  <c r="F46" i="33" s="1"/>
  <c r="G46" i="33" a="1"/>
  <c r="G46" i="33" s="1"/>
  <c r="L46" i="33" a="1"/>
  <c r="L46" i="33" s="1"/>
  <c r="M46" i="33"/>
  <c r="N46" i="33"/>
  <c r="P46" i="33"/>
  <c r="C1360" i="35" a="1"/>
  <c r="C1360" i="35" s="1"/>
  <c r="F1360" i="35"/>
  <c r="G1360" i="35" s="1"/>
  <c r="J1360" i="35"/>
  <c r="K1360" i="35" s="1"/>
  <c r="Q1360" i="35"/>
  <c r="C1359" i="35" a="1"/>
  <c r="C1359" i="35" s="1"/>
  <c r="F1359" i="35"/>
  <c r="G1359" i="35" s="1"/>
  <c r="J1359" i="35"/>
  <c r="K1359" i="35" s="1"/>
  <c r="Q1359" i="35"/>
  <c r="C1358" i="35" a="1"/>
  <c r="C1358" i="35" s="1"/>
  <c r="F1358" i="35"/>
  <c r="G1358" i="35" s="1"/>
  <c r="J1358" i="35"/>
  <c r="K1358" i="35" s="1"/>
  <c r="Q1358" i="35"/>
  <c r="C786" i="31" a="1"/>
  <c r="C786" i="31" s="1"/>
  <c r="D786" i="31" a="1"/>
  <c r="D786" i="31" s="1"/>
  <c r="L786" i="31"/>
  <c r="Q786" i="31"/>
  <c r="R786" i="31"/>
  <c r="U786" i="31"/>
  <c r="V786" i="31"/>
  <c r="W786" i="31"/>
  <c r="AB786" i="31"/>
  <c r="AC786" i="31"/>
  <c r="AF786" i="31"/>
  <c r="C1357" i="35" a="1"/>
  <c r="C1357" i="35" s="1"/>
  <c r="F1357" i="35"/>
  <c r="G1357" i="35" s="1"/>
  <c r="J1357" i="35"/>
  <c r="K1357" i="35" s="1"/>
  <c r="Q1357" i="35"/>
  <c r="C1356" i="35" a="1"/>
  <c r="C1356" i="35" s="1"/>
  <c r="F1356" i="35"/>
  <c r="G1356" i="35" s="1"/>
  <c r="J1356" i="35"/>
  <c r="K1356" i="35" s="1"/>
  <c r="Q1356" i="35"/>
  <c r="C1355" i="35" a="1"/>
  <c r="C1355" i="35" s="1"/>
  <c r="F1355" i="35"/>
  <c r="G1355" i="35" s="1"/>
  <c r="J1355" i="35"/>
  <c r="K1355" i="35" s="1"/>
  <c r="Q1355" i="35"/>
  <c r="B577" i="33" a="1"/>
  <c r="B577" i="33" s="1"/>
  <c r="E577" i="33" a="1"/>
  <c r="E577" i="33" s="1"/>
  <c r="F577" i="33" a="1"/>
  <c r="F577" i="33" s="1"/>
  <c r="G577" i="33" a="1"/>
  <c r="G577" i="33" s="1"/>
  <c r="L577" i="33" a="1"/>
  <c r="L577" i="33" s="1"/>
  <c r="M577" i="33"/>
  <c r="N577" i="33"/>
  <c r="P577" i="33"/>
  <c r="C1354" i="35" a="1"/>
  <c r="C1354" i="35" s="1"/>
  <c r="F1354" i="35"/>
  <c r="G1354" i="35" s="1"/>
  <c r="J1354" i="35"/>
  <c r="K1354" i="35" s="1"/>
  <c r="Q1354" i="35"/>
  <c r="B576" i="33" a="1"/>
  <c r="B576" i="33" s="1"/>
  <c r="E576" i="33" a="1"/>
  <c r="E576" i="33" s="1"/>
  <c r="F576" i="33" a="1"/>
  <c r="F576" i="33" s="1"/>
  <c r="G576" i="33" a="1"/>
  <c r="G576" i="33" s="1"/>
  <c r="L576" i="33" a="1"/>
  <c r="L576" i="33" s="1"/>
  <c r="M576" i="33"/>
  <c r="N576" i="33"/>
  <c r="P576" i="33"/>
  <c r="C1353" i="35" a="1"/>
  <c r="C1353" i="35" s="1"/>
  <c r="F1353" i="35"/>
  <c r="G1353" i="35" s="1"/>
  <c r="J1353" i="35"/>
  <c r="K1353" i="35" s="1"/>
  <c r="Q1353" i="35"/>
  <c r="C1352" i="35" a="1"/>
  <c r="C1352" i="35" s="1"/>
  <c r="F1352" i="35"/>
  <c r="G1352" i="35" s="1"/>
  <c r="J1352" i="35"/>
  <c r="K1352" i="35" s="1"/>
  <c r="Q1352" i="35"/>
  <c r="H421" i="6"/>
  <c r="J421" i="6" s="1"/>
  <c r="I421" i="6"/>
  <c r="K421" i="6" s="1"/>
  <c r="U421" i="6"/>
  <c r="H420" i="6"/>
  <c r="J420" i="6" s="1"/>
  <c r="I420" i="6"/>
  <c r="K420" i="6" s="1"/>
  <c r="U420" i="6"/>
  <c r="H207" i="42" a="1"/>
  <c r="H207" i="42" s="1"/>
  <c r="G207" i="42" a="1"/>
  <c r="G207" i="42" s="1"/>
  <c r="F207" i="42" a="1"/>
  <c r="F207" i="42" s="1"/>
  <c r="E207" i="42" a="1"/>
  <c r="E207" i="42" s="1"/>
  <c r="B207" i="42" a="1"/>
  <c r="B207" i="42" s="1"/>
  <c r="D207" i="42" s="1"/>
  <c r="H206" i="42" a="1"/>
  <c r="H206" i="42" s="1"/>
  <c r="G206" i="42" a="1"/>
  <c r="G206" i="42" s="1"/>
  <c r="F206" i="42" a="1"/>
  <c r="F206" i="42" s="1"/>
  <c r="E206" i="42" a="1"/>
  <c r="E206" i="42" s="1"/>
  <c r="B206" i="42" a="1"/>
  <c r="B206" i="42" s="1"/>
  <c r="D206" i="42" s="1"/>
  <c r="H205" i="42" a="1"/>
  <c r="H205" i="42" s="1"/>
  <c r="G205" i="42" a="1"/>
  <c r="G205" i="42" s="1"/>
  <c r="F205" i="42" a="1"/>
  <c r="F205" i="42" s="1"/>
  <c r="E205" i="42" a="1"/>
  <c r="E205" i="42" s="1"/>
  <c r="B205" i="42"/>
  <c r="D205" i="42" s="1"/>
  <c r="B205" i="42" a="1"/>
  <c r="H204" i="42" a="1"/>
  <c r="H204" i="42" s="1"/>
  <c r="G204" i="42" a="1"/>
  <c r="G204" i="42" s="1"/>
  <c r="F204" i="42" a="1"/>
  <c r="F204" i="42" s="1"/>
  <c r="E204" i="42" a="1"/>
  <c r="E204" i="42" s="1"/>
  <c r="B204" i="42"/>
  <c r="D204" i="42" s="1"/>
  <c r="B204" i="42" a="1"/>
  <c r="H203" i="42" a="1"/>
  <c r="H203" i="42" s="1"/>
  <c r="G203" i="42" a="1"/>
  <c r="G203" i="42" s="1"/>
  <c r="F203" i="42" a="1"/>
  <c r="F203" i="42" s="1"/>
  <c r="E203" i="42" a="1"/>
  <c r="E203" i="42" s="1"/>
  <c r="B203" i="42"/>
  <c r="D203" i="42" s="1"/>
  <c r="B203" i="42" a="1"/>
  <c r="H202" i="42" a="1"/>
  <c r="H202" i="42" s="1"/>
  <c r="G202" i="42" a="1"/>
  <c r="G202" i="42" s="1"/>
  <c r="F202" i="42" a="1"/>
  <c r="F202" i="42" s="1"/>
  <c r="E202" i="42" a="1"/>
  <c r="E202" i="42" s="1"/>
  <c r="B202" i="42" a="1"/>
  <c r="B202" i="42" s="1"/>
  <c r="D202" i="42" s="1"/>
  <c r="H201" i="42" a="1"/>
  <c r="H201" i="42" s="1"/>
  <c r="G201" i="42" a="1"/>
  <c r="G201" i="42" s="1"/>
  <c r="F201" i="42" a="1"/>
  <c r="F201" i="42" s="1"/>
  <c r="E201" i="42" a="1"/>
  <c r="E201" i="42" s="1"/>
  <c r="B201" i="42" a="1"/>
  <c r="B201" i="42" s="1"/>
  <c r="D201" i="42" s="1"/>
  <c r="H200" i="42" a="1"/>
  <c r="H200" i="42" s="1"/>
  <c r="G200" i="42" a="1"/>
  <c r="G200" i="42" s="1"/>
  <c r="F200" i="42" a="1"/>
  <c r="F200" i="42" s="1"/>
  <c r="E200" i="42" a="1"/>
  <c r="E200" i="42" s="1"/>
  <c r="B200" i="42" a="1"/>
  <c r="B200" i="42" s="1"/>
  <c r="D200" i="42" s="1"/>
  <c r="H199" i="42" a="1"/>
  <c r="H199" i="42" s="1"/>
  <c r="G199" i="42" a="1"/>
  <c r="G199" i="42" s="1"/>
  <c r="F199" i="42" a="1"/>
  <c r="F199" i="42" s="1"/>
  <c r="E199" i="42" a="1"/>
  <c r="E199" i="42" s="1"/>
  <c r="B199" i="42" a="1"/>
  <c r="B199" i="42" s="1"/>
  <c r="D199" i="42" s="1"/>
  <c r="H193" i="42" a="1"/>
  <c r="H193" i="42" s="1"/>
  <c r="G193" i="42" a="1"/>
  <c r="G193" i="42" s="1"/>
  <c r="F193" i="42" a="1"/>
  <c r="F193" i="42" s="1"/>
  <c r="E193" i="42" a="1"/>
  <c r="E193" i="42" s="1"/>
  <c r="B193" i="42" a="1"/>
  <c r="B193" i="42" s="1"/>
  <c r="D193" i="42" s="1"/>
  <c r="H192" i="42" a="1"/>
  <c r="H192" i="42" s="1"/>
  <c r="G192" i="42" a="1"/>
  <c r="G192" i="42" s="1"/>
  <c r="F192" i="42" a="1"/>
  <c r="F192" i="42" s="1"/>
  <c r="E192" i="42" a="1"/>
  <c r="E192" i="42" s="1"/>
  <c r="B192" i="42" a="1"/>
  <c r="B192" i="42" s="1"/>
  <c r="D192" i="42" s="1"/>
  <c r="H191" i="42" a="1"/>
  <c r="H191" i="42" s="1"/>
  <c r="G191" i="42" a="1"/>
  <c r="G191" i="42" s="1"/>
  <c r="F191" i="42" a="1"/>
  <c r="F191" i="42" s="1"/>
  <c r="E191" i="42" a="1"/>
  <c r="E191" i="42" s="1"/>
  <c r="B191" i="42" a="1"/>
  <c r="B191" i="42" s="1"/>
  <c r="D191" i="42" s="1"/>
  <c r="H190" i="42" a="1"/>
  <c r="H190" i="42" s="1"/>
  <c r="G190" i="42" a="1"/>
  <c r="G190" i="42" s="1"/>
  <c r="F190" i="42" a="1"/>
  <c r="F190" i="42" s="1"/>
  <c r="E190" i="42" a="1"/>
  <c r="E190" i="42" s="1"/>
  <c r="B190" i="42" a="1"/>
  <c r="B190" i="42" s="1"/>
  <c r="D190" i="42" s="1"/>
  <c r="H189" i="42" a="1"/>
  <c r="H189" i="42" s="1"/>
  <c r="G189" i="42" a="1"/>
  <c r="G189" i="42" s="1"/>
  <c r="F189" i="42" a="1"/>
  <c r="F189" i="42" s="1"/>
  <c r="E189" i="42" a="1"/>
  <c r="E189" i="42" s="1"/>
  <c r="B189" i="42" a="1"/>
  <c r="B189" i="42" s="1"/>
  <c r="D189" i="42" s="1"/>
  <c r="H188" i="42" a="1"/>
  <c r="H188" i="42" s="1"/>
  <c r="G188" i="42" a="1"/>
  <c r="G188" i="42" s="1"/>
  <c r="F188" i="42" a="1"/>
  <c r="F188" i="42" s="1"/>
  <c r="E188" i="42" a="1"/>
  <c r="E188" i="42" s="1"/>
  <c r="B188" i="42" a="1"/>
  <c r="B188" i="42" s="1"/>
  <c r="D188" i="42" s="1"/>
  <c r="H187" i="42" a="1"/>
  <c r="H187" i="42" s="1"/>
  <c r="G187" i="42" a="1"/>
  <c r="G187" i="42" s="1"/>
  <c r="F187" i="42" a="1"/>
  <c r="F187" i="42" s="1"/>
  <c r="E187" i="42" a="1"/>
  <c r="E187" i="42" s="1"/>
  <c r="B187" i="42" a="1"/>
  <c r="B187" i="42" s="1"/>
  <c r="D187" i="42" s="1"/>
  <c r="H186" i="42" a="1"/>
  <c r="H186" i="42" s="1"/>
  <c r="G186" i="42" a="1"/>
  <c r="G186" i="42" s="1"/>
  <c r="F186" i="42" a="1"/>
  <c r="F186" i="42" s="1"/>
  <c r="E186" i="42" a="1"/>
  <c r="E186" i="42" s="1"/>
  <c r="B186" i="42" a="1"/>
  <c r="B186" i="42" s="1"/>
  <c r="D186" i="42" s="1"/>
  <c r="H185" i="42" a="1"/>
  <c r="H185" i="42" s="1"/>
  <c r="G185" i="42" a="1"/>
  <c r="G185" i="42" s="1"/>
  <c r="F185" i="42" a="1"/>
  <c r="F185" i="42" s="1"/>
  <c r="E185" i="42" a="1"/>
  <c r="E185" i="42" s="1"/>
  <c r="B185" i="42" a="1"/>
  <c r="B185" i="42" s="1"/>
  <c r="D185" i="42" s="1"/>
  <c r="H179" i="42" a="1"/>
  <c r="H179" i="42" s="1"/>
  <c r="G179" i="42" a="1"/>
  <c r="G179" i="42" s="1"/>
  <c r="F179" i="42" a="1"/>
  <c r="F179" i="42" s="1"/>
  <c r="E179" i="42" a="1"/>
  <c r="E179" i="42" s="1"/>
  <c r="B179" i="42" a="1"/>
  <c r="B179" i="42" s="1"/>
  <c r="D179" i="42" s="1"/>
  <c r="H178" i="42" a="1"/>
  <c r="H178" i="42" s="1"/>
  <c r="G178" i="42" a="1"/>
  <c r="G178" i="42" s="1"/>
  <c r="F178" i="42" a="1"/>
  <c r="F178" i="42" s="1"/>
  <c r="E178" i="42" a="1"/>
  <c r="E178" i="42" s="1"/>
  <c r="B178" i="42" a="1"/>
  <c r="B178" i="42" s="1"/>
  <c r="D178" i="42" s="1"/>
  <c r="H177" i="42" a="1"/>
  <c r="H177" i="42" s="1"/>
  <c r="G177" i="42" a="1"/>
  <c r="G177" i="42" s="1"/>
  <c r="F177" i="42" a="1"/>
  <c r="F177" i="42" s="1"/>
  <c r="E177" i="42" a="1"/>
  <c r="E177" i="42" s="1"/>
  <c r="B177" i="42" a="1"/>
  <c r="B177" i="42" s="1"/>
  <c r="D177" i="42" s="1"/>
  <c r="H176" i="42" a="1"/>
  <c r="H176" i="42" s="1"/>
  <c r="G176" i="42" a="1"/>
  <c r="G176" i="42" s="1"/>
  <c r="F176" i="42" a="1"/>
  <c r="F176" i="42" s="1"/>
  <c r="E176" i="42" a="1"/>
  <c r="E176" i="42" s="1"/>
  <c r="B176" i="42" a="1"/>
  <c r="B176" i="42" s="1"/>
  <c r="D176" i="42" s="1"/>
  <c r="H175" i="42" a="1"/>
  <c r="H175" i="42" s="1"/>
  <c r="G175" i="42" a="1"/>
  <c r="G175" i="42" s="1"/>
  <c r="F175" i="42" a="1"/>
  <c r="F175" i="42" s="1"/>
  <c r="E175" i="42" a="1"/>
  <c r="E175" i="42" s="1"/>
  <c r="B175" i="42" a="1"/>
  <c r="B175" i="42" s="1"/>
  <c r="D175" i="42" s="1"/>
  <c r="H174" i="42" a="1"/>
  <c r="H174" i="42" s="1"/>
  <c r="G174" i="42" a="1"/>
  <c r="G174" i="42" s="1"/>
  <c r="F174" i="42" a="1"/>
  <c r="F174" i="42" s="1"/>
  <c r="E174" i="42" a="1"/>
  <c r="E174" i="42" s="1"/>
  <c r="B174" i="42" a="1"/>
  <c r="B174" i="42" s="1"/>
  <c r="D174" i="42" s="1"/>
  <c r="H173" i="42" a="1"/>
  <c r="H173" i="42" s="1"/>
  <c r="G173" i="42" a="1"/>
  <c r="G173" i="42" s="1"/>
  <c r="F173" i="42" a="1"/>
  <c r="F173" i="42" s="1"/>
  <c r="E173" i="42" a="1"/>
  <c r="E173" i="42" s="1"/>
  <c r="B173" i="42" a="1"/>
  <c r="B173" i="42" s="1"/>
  <c r="D173" i="42" s="1"/>
  <c r="H172" i="42" a="1"/>
  <c r="H172" i="42" s="1"/>
  <c r="G172" i="42" a="1"/>
  <c r="G172" i="42" s="1"/>
  <c r="F172" i="42" a="1"/>
  <c r="F172" i="42" s="1"/>
  <c r="E172" i="42" a="1"/>
  <c r="E172" i="42" s="1"/>
  <c r="B172" i="42" a="1"/>
  <c r="B172" i="42" s="1"/>
  <c r="D172" i="42" s="1"/>
  <c r="H171" i="42" a="1"/>
  <c r="H171" i="42" s="1"/>
  <c r="G171" i="42" a="1"/>
  <c r="G171" i="42" s="1"/>
  <c r="F171" i="42" a="1"/>
  <c r="F171" i="42" s="1"/>
  <c r="E171" i="42" a="1"/>
  <c r="E171" i="42" s="1"/>
  <c r="B171" i="42" a="1"/>
  <c r="B171" i="42" s="1"/>
  <c r="D171" i="42" s="1"/>
  <c r="H165" i="42" a="1"/>
  <c r="H165" i="42" s="1"/>
  <c r="G165" i="42" a="1"/>
  <c r="G165" i="42" s="1"/>
  <c r="F165" i="42" a="1"/>
  <c r="F165" i="42" s="1"/>
  <c r="E165" i="42" a="1"/>
  <c r="E165" i="42" s="1"/>
  <c r="B165" i="42" a="1"/>
  <c r="B165" i="42" s="1"/>
  <c r="D165" i="42" s="1"/>
  <c r="H164" i="42" a="1"/>
  <c r="H164" i="42" s="1"/>
  <c r="G164" i="42" a="1"/>
  <c r="G164" i="42" s="1"/>
  <c r="F164" i="42" a="1"/>
  <c r="F164" i="42" s="1"/>
  <c r="E164" i="42" a="1"/>
  <c r="E164" i="42" s="1"/>
  <c r="B164" i="42" a="1"/>
  <c r="B164" i="42" s="1"/>
  <c r="D164" i="42" s="1"/>
  <c r="H163" i="42" a="1"/>
  <c r="H163" i="42" s="1"/>
  <c r="G163" i="42" a="1"/>
  <c r="G163" i="42" s="1"/>
  <c r="F163" i="42" a="1"/>
  <c r="F163" i="42" s="1"/>
  <c r="E163" i="42" a="1"/>
  <c r="E163" i="42" s="1"/>
  <c r="B163" i="42" a="1"/>
  <c r="B163" i="42" s="1"/>
  <c r="D163" i="42" s="1"/>
  <c r="H162" i="42" a="1"/>
  <c r="H162" i="42" s="1"/>
  <c r="G162" i="42" a="1"/>
  <c r="G162" i="42" s="1"/>
  <c r="F162" i="42" a="1"/>
  <c r="F162" i="42" s="1"/>
  <c r="E162" i="42" a="1"/>
  <c r="E162" i="42" s="1"/>
  <c r="B162" i="42" a="1"/>
  <c r="B162" i="42" s="1"/>
  <c r="D162" i="42" s="1"/>
  <c r="H161" i="42" a="1"/>
  <c r="H161" i="42" s="1"/>
  <c r="G161" i="42" a="1"/>
  <c r="G161" i="42" s="1"/>
  <c r="F161" i="42" a="1"/>
  <c r="F161" i="42" s="1"/>
  <c r="E161" i="42" a="1"/>
  <c r="E161" i="42" s="1"/>
  <c r="B161" i="42" a="1"/>
  <c r="B161" i="42" s="1"/>
  <c r="D161" i="42" s="1"/>
  <c r="H160" i="42" a="1"/>
  <c r="H160" i="42" s="1"/>
  <c r="G160" i="42" a="1"/>
  <c r="G160" i="42" s="1"/>
  <c r="F160" i="42" a="1"/>
  <c r="F160" i="42" s="1"/>
  <c r="E160" i="42" a="1"/>
  <c r="E160" i="42" s="1"/>
  <c r="B160" i="42" a="1"/>
  <c r="B160" i="42" s="1"/>
  <c r="D160" i="42" s="1"/>
  <c r="H159" i="42" a="1"/>
  <c r="H159" i="42" s="1"/>
  <c r="G159" i="42" a="1"/>
  <c r="G159" i="42" s="1"/>
  <c r="F159" i="42" a="1"/>
  <c r="F159" i="42" s="1"/>
  <c r="E159" i="42" a="1"/>
  <c r="E159" i="42" s="1"/>
  <c r="B159" i="42" a="1"/>
  <c r="B159" i="42" s="1"/>
  <c r="D159" i="42" s="1"/>
  <c r="H158" i="42" a="1"/>
  <c r="H158" i="42" s="1"/>
  <c r="G158" i="42" a="1"/>
  <c r="G158" i="42" s="1"/>
  <c r="F158" i="42" a="1"/>
  <c r="F158" i="42" s="1"/>
  <c r="E158" i="42" a="1"/>
  <c r="E158" i="42" s="1"/>
  <c r="B158" i="42" a="1"/>
  <c r="B158" i="42" s="1"/>
  <c r="D158" i="42" s="1"/>
  <c r="H157" i="42" a="1"/>
  <c r="H157" i="42" s="1"/>
  <c r="G157" i="42" a="1"/>
  <c r="G157" i="42" s="1"/>
  <c r="F157" i="42" a="1"/>
  <c r="F157" i="42" s="1"/>
  <c r="E157" i="42" a="1"/>
  <c r="E157" i="42" s="1"/>
  <c r="B157" i="42"/>
  <c r="D157" i="42" s="1"/>
  <c r="B157" i="42" a="1"/>
  <c r="H151" i="42" a="1"/>
  <c r="H151" i="42" s="1"/>
  <c r="G151" i="42" a="1"/>
  <c r="G151" i="42" s="1"/>
  <c r="F151" i="42" a="1"/>
  <c r="F151" i="42" s="1"/>
  <c r="E151" i="42" a="1"/>
  <c r="E151" i="42" s="1"/>
  <c r="B151" i="42" a="1"/>
  <c r="B151" i="42" s="1"/>
  <c r="D151" i="42" s="1"/>
  <c r="H150" i="42" a="1"/>
  <c r="H150" i="42" s="1"/>
  <c r="G150" i="42" a="1"/>
  <c r="G150" i="42" s="1"/>
  <c r="F150" i="42" a="1"/>
  <c r="F150" i="42" s="1"/>
  <c r="I150" i="42" s="1"/>
  <c r="E150" i="42" a="1"/>
  <c r="E150" i="42" s="1"/>
  <c r="B150" i="42" a="1"/>
  <c r="B150" i="42" s="1"/>
  <c r="D150" i="42" s="1"/>
  <c r="H149" i="42" a="1"/>
  <c r="H149" i="42" s="1"/>
  <c r="G149" i="42" a="1"/>
  <c r="G149" i="42" s="1"/>
  <c r="F149" i="42" a="1"/>
  <c r="F149" i="42" s="1"/>
  <c r="E149" i="42" a="1"/>
  <c r="E149" i="42" s="1"/>
  <c r="B149" i="42"/>
  <c r="D149" i="42" s="1"/>
  <c r="B149" i="42" a="1"/>
  <c r="H148" i="42" a="1"/>
  <c r="H148" i="42" s="1"/>
  <c r="G148" i="42" a="1"/>
  <c r="G148" i="42" s="1"/>
  <c r="F148" i="42" a="1"/>
  <c r="F148" i="42" s="1"/>
  <c r="E148" i="42" a="1"/>
  <c r="E148" i="42" s="1"/>
  <c r="B148" i="42" a="1"/>
  <c r="B148" i="42" s="1"/>
  <c r="D148" i="42" s="1"/>
  <c r="H147" i="42" a="1"/>
  <c r="H147" i="42" s="1"/>
  <c r="G147" i="42" a="1"/>
  <c r="G147" i="42" s="1"/>
  <c r="F147" i="42" a="1"/>
  <c r="F147" i="42" s="1"/>
  <c r="E147" i="42" a="1"/>
  <c r="E147" i="42" s="1"/>
  <c r="B147" i="42" a="1"/>
  <c r="B147" i="42" s="1"/>
  <c r="D147" i="42" s="1"/>
  <c r="H146" i="42" a="1"/>
  <c r="H146" i="42" s="1"/>
  <c r="G146" i="42" a="1"/>
  <c r="G146" i="42" s="1"/>
  <c r="F146" i="42" a="1"/>
  <c r="F146" i="42" s="1"/>
  <c r="E146" i="42" a="1"/>
  <c r="E146" i="42" s="1"/>
  <c r="B146" i="42"/>
  <c r="D146" i="42" s="1"/>
  <c r="B146" i="42" a="1"/>
  <c r="H145" i="42" a="1"/>
  <c r="H145" i="42" s="1"/>
  <c r="G145" i="42" a="1"/>
  <c r="G145" i="42" s="1"/>
  <c r="F145" i="42" a="1"/>
  <c r="F145" i="42" s="1"/>
  <c r="E145" i="42" a="1"/>
  <c r="E145" i="42" s="1"/>
  <c r="B145" i="42" a="1"/>
  <c r="B145" i="42" s="1"/>
  <c r="D145" i="42" s="1"/>
  <c r="H144" i="42" a="1"/>
  <c r="H144" i="42" s="1"/>
  <c r="G144" i="42" a="1"/>
  <c r="G144" i="42" s="1"/>
  <c r="F144" i="42" a="1"/>
  <c r="F144" i="42" s="1"/>
  <c r="E144" i="42" a="1"/>
  <c r="E144" i="42" s="1"/>
  <c r="B144" i="42" a="1"/>
  <c r="B144" i="42" s="1"/>
  <c r="D144" i="42" s="1"/>
  <c r="H143" i="42" a="1"/>
  <c r="H143" i="42" s="1"/>
  <c r="G143" i="42" a="1"/>
  <c r="G143" i="42" s="1"/>
  <c r="F143" i="42" a="1"/>
  <c r="F143" i="42" s="1"/>
  <c r="E143" i="42" a="1"/>
  <c r="E143" i="42" s="1"/>
  <c r="B143" i="42" a="1"/>
  <c r="B143" i="42" s="1"/>
  <c r="D143" i="42" s="1"/>
  <c r="D104" i="42"/>
  <c r="D105" i="42"/>
  <c r="D106" i="42"/>
  <c r="D107" i="42"/>
  <c r="D108" i="42"/>
  <c r="D109" i="42"/>
  <c r="D137" i="42"/>
  <c r="H137" i="42" a="1"/>
  <c r="H137" i="42" s="1"/>
  <c r="G137" i="42" a="1"/>
  <c r="G137" i="42" s="1"/>
  <c r="F137" i="42" a="1"/>
  <c r="F137" i="42" s="1"/>
  <c r="E137" i="42" a="1"/>
  <c r="E137" i="42" s="1"/>
  <c r="B137" i="42" a="1"/>
  <c r="B137" i="42" s="1"/>
  <c r="H136" i="42" a="1"/>
  <c r="H136" i="42" s="1"/>
  <c r="G136" i="42" a="1"/>
  <c r="G136" i="42" s="1"/>
  <c r="F136" i="42" a="1"/>
  <c r="F136" i="42" s="1"/>
  <c r="E136" i="42" a="1"/>
  <c r="E136" i="42" s="1"/>
  <c r="B136" i="42" a="1"/>
  <c r="B136" i="42" s="1"/>
  <c r="D136" i="42" s="1"/>
  <c r="H135" i="42" a="1"/>
  <c r="H135" i="42" s="1"/>
  <c r="G135" i="42" a="1"/>
  <c r="G135" i="42" s="1"/>
  <c r="F135" i="42" a="1"/>
  <c r="F135" i="42" s="1"/>
  <c r="E135" i="42" a="1"/>
  <c r="E135" i="42" s="1"/>
  <c r="B135" i="42" a="1"/>
  <c r="B135" i="42" s="1"/>
  <c r="D135" i="42" s="1"/>
  <c r="H134" i="42" a="1"/>
  <c r="H134" i="42" s="1"/>
  <c r="G134" i="42" a="1"/>
  <c r="G134" i="42" s="1"/>
  <c r="F134" i="42" a="1"/>
  <c r="F134" i="42" s="1"/>
  <c r="E134" i="42" a="1"/>
  <c r="E134" i="42" s="1"/>
  <c r="B134" i="42" a="1"/>
  <c r="B134" i="42" s="1"/>
  <c r="D134" i="42" s="1"/>
  <c r="H133" i="42" a="1"/>
  <c r="H133" i="42" s="1"/>
  <c r="G133" i="42" a="1"/>
  <c r="G133" i="42" s="1"/>
  <c r="F133" i="42" a="1"/>
  <c r="F133" i="42" s="1"/>
  <c r="E133" i="42" a="1"/>
  <c r="E133" i="42" s="1"/>
  <c r="B133" i="42" a="1"/>
  <c r="B133" i="42" s="1"/>
  <c r="D133" i="42" s="1"/>
  <c r="H132" i="42" a="1"/>
  <c r="H132" i="42" s="1"/>
  <c r="G132" i="42" a="1"/>
  <c r="G132" i="42" s="1"/>
  <c r="F132" i="42" a="1"/>
  <c r="F132" i="42" s="1"/>
  <c r="E132" i="42" a="1"/>
  <c r="E132" i="42" s="1"/>
  <c r="B132" i="42" a="1"/>
  <c r="B132" i="42" s="1"/>
  <c r="D132" i="42" s="1"/>
  <c r="H131" i="42" a="1"/>
  <c r="H131" i="42" s="1"/>
  <c r="G131" i="42" a="1"/>
  <c r="G131" i="42" s="1"/>
  <c r="F131" i="42" a="1"/>
  <c r="F131" i="42" s="1"/>
  <c r="E131" i="42" a="1"/>
  <c r="E131" i="42" s="1"/>
  <c r="B131" i="42" a="1"/>
  <c r="B131" i="42" s="1"/>
  <c r="D131" i="42" s="1"/>
  <c r="H130" i="42" a="1"/>
  <c r="H130" i="42" s="1"/>
  <c r="G130" i="42" a="1"/>
  <c r="G130" i="42" s="1"/>
  <c r="F130" i="42" a="1"/>
  <c r="F130" i="42" s="1"/>
  <c r="E130" i="42" a="1"/>
  <c r="E130" i="42" s="1"/>
  <c r="B130" i="42" a="1"/>
  <c r="B130" i="42" s="1"/>
  <c r="D130" i="42" s="1"/>
  <c r="H129" i="42" a="1"/>
  <c r="H129" i="42" s="1"/>
  <c r="G129" i="42" a="1"/>
  <c r="G129" i="42" s="1"/>
  <c r="F129" i="42" a="1"/>
  <c r="F129" i="42" s="1"/>
  <c r="E129" i="42" a="1"/>
  <c r="E129" i="42" s="1"/>
  <c r="B129" i="42" a="1"/>
  <c r="B129" i="42" s="1"/>
  <c r="D129" i="42" s="1"/>
  <c r="H123" i="42" a="1"/>
  <c r="H123" i="42" s="1"/>
  <c r="G123" i="42" a="1"/>
  <c r="G123" i="42" s="1"/>
  <c r="F123" i="42" a="1"/>
  <c r="F123" i="42" s="1"/>
  <c r="E123" i="42" a="1"/>
  <c r="E123" i="42" s="1"/>
  <c r="B123" i="42" a="1"/>
  <c r="B123" i="42" s="1"/>
  <c r="D123" i="42" s="1"/>
  <c r="H122" i="42" a="1"/>
  <c r="H122" i="42" s="1"/>
  <c r="G122" i="42" a="1"/>
  <c r="G122" i="42" s="1"/>
  <c r="F122" i="42" a="1"/>
  <c r="F122" i="42" s="1"/>
  <c r="E122" i="42" a="1"/>
  <c r="E122" i="42" s="1"/>
  <c r="B122" i="42" a="1"/>
  <c r="B122" i="42" s="1"/>
  <c r="D122" i="42" s="1"/>
  <c r="H121" i="42" a="1"/>
  <c r="H121" i="42" s="1"/>
  <c r="G121" i="42" a="1"/>
  <c r="G121" i="42" s="1"/>
  <c r="F121" i="42" a="1"/>
  <c r="F121" i="42" s="1"/>
  <c r="E121" i="42" a="1"/>
  <c r="E121" i="42" s="1"/>
  <c r="B121" i="42" a="1"/>
  <c r="B121" i="42" s="1"/>
  <c r="D121" i="42" s="1"/>
  <c r="H120" i="42" a="1"/>
  <c r="H120" i="42" s="1"/>
  <c r="G120" i="42" a="1"/>
  <c r="G120" i="42" s="1"/>
  <c r="F120" i="42" a="1"/>
  <c r="F120" i="42" s="1"/>
  <c r="E120" i="42" a="1"/>
  <c r="E120" i="42" s="1"/>
  <c r="B120" i="42" a="1"/>
  <c r="B120" i="42" s="1"/>
  <c r="D120" i="42" s="1"/>
  <c r="H119" i="42" a="1"/>
  <c r="H119" i="42" s="1"/>
  <c r="G119" i="42" a="1"/>
  <c r="G119" i="42" s="1"/>
  <c r="F119" i="42" a="1"/>
  <c r="F119" i="42" s="1"/>
  <c r="E119" i="42" a="1"/>
  <c r="E119" i="42" s="1"/>
  <c r="B119" i="42" a="1"/>
  <c r="B119" i="42" s="1"/>
  <c r="D119" i="42" s="1"/>
  <c r="H118" i="42" a="1"/>
  <c r="H118" i="42" s="1"/>
  <c r="G118" i="42" a="1"/>
  <c r="G118" i="42" s="1"/>
  <c r="F118" i="42" a="1"/>
  <c r="F118" i="42" s="1"/>
  <c r="E118" i="42" a="1"/>
  <c r="E118" i="42" s="1"/>
  <c r="B118" i="42" a="1"/>
  <c r="B118" i="42" s="1"/>
  <c r="D118" i="42" s="1"/>
  <c r="H117" i="42" a="1"/>
  <c r="H117" i="42" s="1"/>
  <c r="G117" i="42" a="1"/>
  <c r="G117" i="42" s="1"/>
  <c r="F117" i="42" a="1"/>
  <c r="F117" i="42" s="1"/>
  <c r="E117" i="42" a="1"/>
  <c r="E117" i="42" s="1"/>
  <c r="B117" i="42" a="1"/>
  <c r="B117" i="42" s="1"/>
  <c r="D117" i="42" s="1"/>
  <c r="H116" i="42" a="1"/>
  <c r="H116" i="42" s="1"/>
  <c r="G116" i="42" a="1"/>
  <c r="G116" i="42" s="1"/>
  <c r="F116" i="42" a="1"/>
  <c r="F116" i="42" s="1"/>
  <c r="E116" i="42" a="1"/>
  <c r="E116" i="42" s="1"/>
  <c r="B116" i="42" a="1"/>
  <c r="B116" i="42" s="1"/>
  <c r="D116" i="42" s="1"/>
  <c r="H115" i="42" a="1"/>
  <c r="H115" i="42" s="1"/>
  <c r="G115" i="42" a="1"/>
  <c r="G115" i="42" s="1"/>
  <c r="F115" i="42" a="1"/>
  <c r="F115" i="42" s="1"/>
  <c r="E115" i="42" a="1"/>
  <c r="E115" i="42" s="1"/>
  <c r="B115" i="42" a="1"/>
  <c r="B115" i="42" s="1"/>
  <c r="D115" i="42" s="1"/>
  <c r="H109" i="42" a="1"/>
  <c r="H109" i="42" s="1"/>
  <c r="G109" i="42" a="1"/>
  <c r="G109" i="42" s="1"/>
  <c r="F109" i="42" a="1"/>
  <c r="F109" i="42" s="1"/>
  <c r="E109" i="42" a="1"/>
  <c r="E109" i="42" s="1"/>
  <c r="B109" i="42" a="1"/>
  <c r="B109" i="42" s="1"/>
  <c r="H108" i="42" a="1"/>
  <c r="H108" i="42" s="1"/>
  <c r="G108" i="42" a="1"/>
  <c r="G108" i="42" s="1"/>
  <c r="F108" i="42" a="1"/>
  <c r="F108" i="42" s="1"/>
  <c r="E108" i="42" a="1"/>
  <c r="E108" i="42" s="1"/>
  <c r="B108" i="42" a="1"/>
  <c r="B108" i="42" s="1"/>
  <c r="H107" i="42" a="1"/>
  <c r="H107" i="42" s="1"/>
  <c r="G107" i="42" a="1"/>
  <c r="G107" i="42" s="1"/>
  <c r="F107" i="42" a="1"/>
  <c r="F107" i="42" s="1"/>
  <c r="E107" i="42" a="1"/>
  <c r="E107" i="42" s="1"/>
  <c r="B107" i="42" a="1"/>
  <c r="B107" i="42" s="1"/>
  <c r="H106" i="42" a="1"/>
  <c r="H106" i="42" s="1"/>
  <c r="G106" i="42" a="1"/>
  <c r="G106" i="42" s="1"/>
  <c r="F106" i="42" a="1"/>
  <c r="F106" i="42" s="1"/>
  <c r="E106" i="42" a="1"/>
  <c r="E106" i="42" s="1"/>
  <c r="B106" i="42" a="1"/>
  <c r="B106" i="42" s="1"/>
  <c r="H105" i="42" a="1"/>
  <c r="H105" i="42" s="1"/>
  <c r="G105" i="42" a="1"/>
  <c r="G105" i="42" s="1"/>
  <c r="F105" i="42" a="1"/>
  <c r="F105" i="42" s="1"/>
  <c r="E105" i="42" a="1"/>
  <c r="E105" i="42" s="1"/>
  <c r="B105" i="42" a="1"/>
  <c r="B105" i="42" s="1"/>
  <c r="H104" i="42" a="1"/>
  <c r="H104" i="42" s="1"/>
  <c r="G104" i="42" a="1"/>
  <c r="G104" i="42" s="1"/>
  <c r="F104" i="42" a="1"/>
  <c r="F104" i="42" s="1"/>
  <c r="E104" i="42" a="1"/>
  <c r="E104" i="42" s="1"/>
  <c r="B104" i="42" a="1"/>
  <c r="B104" i="42" s="1"/>
  <c r="H103" i="42" a="1"/>
  <c r="H103" i="42" s="1"/>
  <c r="G103" i="42" a="1"/>
  <c r="G103" i="42" s="1"/>
  <c r="F103" i="42" a="1"/>
  <c r="F103" i="42" s="1"/>
  <c r="E103" i="42" a="1"/>
  <c r="E103" i="42" s="1"/>
  <c r="B103" i="42" a="1"/>
  <c r="B103" i="42" s="1"/>
  <c r="D103" i="42" s="1"/>
  <c r="H102" i="42" a="1"/>
  <c r="H102" i="42" s="1"/>
  <c r="G102" i="42" a="1"/>
  <c r="G102" i="42" s="1"/>
  <c r="F102" i="42" a="1"/>
  <c r="F102" i="42" s="1"/>
  <c r="E102" i="42" a="1"/>
  <c r="E102" i="42" s="1"/>
  <c r="B102" i="42" a="1"/>
  <c r="B102" i="42" s="1"/>
  <c r="D102" i="42" s="1"/>
  <c r="H101" i="42" a="1"/>
  <c r="H101" i="42" s="1"/>
  <c r="G101" i="42" a="1"/>
  <c r="G101" i="42" s="1"/>
  <c r="F101" i="42" a="1"/>
  <c r="F101" i="42" s="1"/>
  <c r="E101" i="42" a="1"/>
  <c r="E101" i="42" s="1"/>
  <c r="B101" i="42" a="1"/>
  <c r="B101" i="42" s="1"/>
  <c r="D101" i="42" s="1"/>
  <c r="H95" i="42" a="1"/>
  <c r="H95" i="42" s="1"/>
  <c r="G95" i="42" a="1"/>
  <c r="G95" i="42" s="1"/>
  <c r="F95" i="42" a="1"/>
  <c r="F95" i="42" s="1"/>
  <c r="E95" i="42" a="1"/>
  <c r="E95" i="42" s="1"/>
  <c r="B95" i="42" a="1"/>
  <c r="B95" i="42" s="1"/>
  <c r="D95" i="42" s="1"/>
  <c r="H94" i="42" a="1"/>
  <c r="H94" i="42" s="1"/>
  <c r="G94" i="42" a="1"/>
  <c r="G94" i="42" s="1"/>
  <c r="F94" i="42" a="1"/>
  <c r="F94" i="42" s="1"/>
  <c r="E94" i="42" a="1"/>
  <c r="E94" i="42" s="1"/>
  <c r="B94" i="42" a="1"/>
  <c r="B94" i="42" s="1"/>
  <c r="D94" i="42" s="1"/>
  <c r="H93" i="42" a="1"/>
  <c r="H93" i="42" s="1"/>
  <c r="G93" i="42" a="1"/>
  <c r="G93" i="42" s="1"/>
  <c r="F93" i="42" a="1"/>
  <c r="F93" i="42" s="1"/>
  <c r="E93" i="42" a="1"/>
  <c r="E93" i="42" s="1"/>
  <c r="B93" i="42" a="1"/>
  <c r="B93" i="42" s="1"/>
  <c r="D93" i="42" s="1"/>
  <c r="H92" i="42" a="1"/>
  <c r="H92" i="42" s="1"/>
  <c r="G92" i="42" a="1"/>
  <c r="G92" i="42" s="1"/>
  <c r="F92" i="42" a="1"/>
  <c r="F92" i="42" s="1"/>
  <c r="E92" i="42" a="1"/>
  <c r="E92" i="42" s="1"/>
  <c r="B92" i="42" a="1"/>
  <c r="B92" i="42" s="1"/>
  <c r="D92" i="42" s="1"/>
  <c r="H91" i="42" a="1"/>
  <c r="H91" i="42" s="1"/>
  <c r="G91" i="42" a="1"/>
  <c r="G91" i="42" s="1"/>
  <c r="F91" i="42" a="1"/>
  <c r="F91" i="42" s="1"/>
  <c r="E91" i="42" a="1"/>
  <c r="E91" i="42" s="1"/>
  <c r="B91" i="42" a="1"/>
  <c r="B91" i="42" s="1"/>
  <c r="D91" i="42" s="1"/>
  <c r="H90" i="42" a="1"/>
  <c r="H90" i="42" s="1"/>
  <c r="G90" i="42" a="1"/>
  <c r="G90" i="42" s="1"/>
  <c r="F90" i="42" a="1"/>
  <c r="F90" i="42" s="1"/>
  <c r="E90" i="42" a="1"/>
  <c r="E90" i="42" s="1"/>
  <c r="B90" i="42" a="1"/>
  <c r="B90" i="42" s="1"/>
  <c r="D90" i="42" s="1"/>
  <c r="H89" i="42" a="1"/>
  <c r="H89" i="42" s="1"/>
  <c r="G89" i="42" a="1"/>
  <c r="G89" i="42" s="1"/>
  <c r="F89" i="42" a="1"/>
  <c r="F89" i="42" s="1"/>
  <c r="E89" i="42" a="1"/>
  <c r="E89" i="42" s="1"/>
  <c r="B89" i="42" a="1"/>
  <c r="B89" i="42" s="1"/>
  <c r="D89" i="42" s="1"/>
  <c r="H88" i="42" a="1"/>
  <c r="H88" i="42" s="1"/>
  <c r="G88" i="42" a="1"/>
  <c r="G88" i="42" s="1"/>
  <c r="F88" i="42" a="1"/>
  <c r="F88" i="42" s="1"/>
  <c r="E88" i="42" a="1"/>
  <c r="E88" i="42" s="1"/>
  <c r="B88" i="42" a="1"/>
  <c r="B88" i="42" s="1"/>
  <c r="D88" i="42" s="1"/>
  <c r="H87" i="42" a="1"/>
  <c r="H87" i="42" s="1"/>
  <c r="G87" i="42" a="1"/>
  <c r="G87" i="42" s="1"/>
  <c r="F87" i="42" a="1"/>
  <c r="F87" i="42" s="1"/>
  <c r="E87" i="42" a="1"/>
  <c r="E87" i="42" s="1"/>
  <c r="B87" i="42" a="1"/>
  <c r="B87" i="42" s="1"/>
  <c r="D87" i="42" s="1"/>
  <c r="H81" i="42" a="1"/>
  <c r="H81" i="42" s="1"/>
  <c r="G81" i="42" a="1"/>
  <c r="G81" i="42" s="1"/>
  <c r="F81" i="42" a="1"/>
  <c r="F81" i="42" s="1"/>
  <c r="E81" i="42" a="1"/>
  <c r="E81" i="42" s="1"/>
  <c r="B81" i="42" a="1"/>
  <c r="B81" i="42" s="1"/>
  <c r="D81" i="42" s="1"/>
  <c r="H80" i="42" a="1"/>
  <c r="H80" i="42" s="1"/>
  <c r="G80" i="42" a="1"/>
  <c r="G80" i="42" s="1"/>
  <c r="F80" i="42" a="1"/>
  <c r="F80" i="42" s="1"/>
  <c r="E80" i="42" a="1"/>
  <c r="E80" i="42" s="1"/>
  <c r="B80" i="42" a="1"/>
  <c r="B80" i="42" s="1"/>
  <c r="D80" i="42" s="1"/>
  <c r="H79" i="42" a="1"/>
  <c r="H79" i="42" s="1"/>
  <c r="G79" i="42" a="1"/>
  <c r="G79" i="42" s="1"/>
  <c r="F79" i="42" a="1"/>
  <c r="F79" i="42" s="1"/>
  <c r="E79" i="42" a="1"/>
  <c r="E79" i="42" s="1"/>
  <c r="B79" i="42" a="1"/>
  <c r="B79" i="42" s="1"/>
  <c r="D79" i="42" s="1"/>
  <c r="H78" i="42" a="1"/>
  <c r="H78" i="42" s="1"/>
  <c r="G78" i="42" a="1"/>
  <c r="G78" i="42" s="1"/>
  <c r="F78" i="42" a="1"/>
  <c r="F78" i="42" s="1"/>
  <c r="E78" i="42" a="1"/>
  <c r="E78" i="42" s="1"/>
  <c r="B78" i="42" a="1"/>
  <c r="B78" i="42" s="1"/>
  <c r="D78" i="42" s="1"/>
  <c r="H77" i="42" a="1"/>
  <c r="H77" i="42" s="1"/>
  <c r="G77" i="42" a="1"/>
  <c r="G77" i="42" s="1"/>
  <c r="F77" i="42" a="1"/>
  <c r="F77" i="42" s="1"/>
  <c r="E77" i="42" a="1"/>
  <c r="E77" i="42" s="1"/>
  <c r="B77" i="42" a="1"/>
  <c r="B77" i="42" s="1"/>
  <c r="D77" i="42" s="1"/>
  <c r="H76" i="42" a="1"/>
  <c r="H76" i="42" s="1"/>
  <c r="G76" i="42" a="1"/>
  <c r="G76" i="42" s="1"/>
  <c r="F76" i="42" a="1"/>
  <c r="F76" i="42" s="1"/>
  <c r="E76" i="42" a="1"/>
  <c r="E76" i="42" s="1"/>
  <c r="B76" i="42" a="1"/>
  <c r="B76" i="42" s="1"/>
  <c r="D76" i="42" s="1"/>
  <c r="H75" i="42" a="1"/>
  <c r="H75" i="42" s="1"/>
  <c r="G75" i="42" a="1"/>
  <c r="G75" i="42" s="1"/>
  <c r="F75" i="42" a="1"/>
  <c r="F75" i="42" s="1"/>
  <c r="E75" i="42" a="1"/>
  <c r="E75" i="42" s="1"/>
  <c r="B75" i="42" a="1"/>
  <c r="B75" i="42" s="1"/>
  <c r="D75" i="42" s="1"/>
  <c r="H74" i="42" a="1"/>
  <c r="H74" i="42" s="1"/>
  <c r="G74" i="42" a="1"/>
  <c r="G74" i="42" s="1"/>
  <c r="F74" i="42" a="1"/>
  <c r="F74" i="42" s="1"/>
  <c r="E74" i="42" a="1"/>
  <c r="E74" i="42" s="1"/>
  <c r="B74" i="42" a="1"/>
  <c r="B74" i="42" s="1"/>
  <c r="D74" i="42" s="1"/>
  <c r="H73" i="42" a="1"/>
  <c r="H73" i="42" s="1"/>
  <c r="G73" i="42" a="1"/>
  <c r="G73" i="42" s="1"/>
  <c r="F73" i="42" a="1"/>
  <c r="F73" i="42" s="1"/>
  <c r="E73" i="42" a="1"/>
  <c r="E73" i="42" s="1"/>
  <c r="B73" i="42" a="1"/>
  <c r="B73" i="42" s="1"/>
  <c r="D73" i="42" s="1"/>
  <c r="H67" i="42" a="1"/>
  <c r="H67" i="42" s="1"/>
  <c r="G67" i="42" a="1"/>
  <c r="G67" i="42" s="1"/>
  <c r="F67" i="42" a="1"/>
  <c r="F67" i="42" s="1"/>
  <c r="E67" i="42" a="1"/>
  <c r="E67" i="42" s="1"/>
  <c r="B67" i="42" a="1"/>
  <c r="B67" i="42" s="1"/>
  <c r="D67" i="42" s="1"/>
  <c r="H66" i="42" a="1"/>
  <c r="H66" i="42" s="1"/>
  <c r="G66" i="42" a="1"/>
  <c r="G66" i="42" s="1"/>
  <c r="F66" i="42" a="1"/>
  <c r="F66" i="42" s="1"/>
  <c r="E66" i="42" a="1"/>
  <c r="E66" i="42" s="1"/>
  <c r="B66" i="42" a="1"/>
  <c r="B66" i="42" s="1"/>
  <c r="D66" i="42" s="1"/>
  <c r="H65" i="42" a="1"/>
  <c r="H65" i="42" s="1"/>
  <c r="G65" i="42" a="1"/>
  <c r="G65" i="42" s="1"/>
  <c r="F65" i="42" a="1"/>
  <c r="F65" i="42" s="1"/>
  <c r="E65" i="42" a="1"/>
  <c r="E65" i="42" s="1"/>
  <c r="B65" i="42" a="1"/>
  <c r="B65" i="42" s="1"/>
  <c r="D65" i="42" s="1"/>
  <c r="H64" i="42" a="1"/>
  <c r="H64" i="42" s="1"/>
  <c r="G64" i="42" a="1"/>
  <c r="G64" i="42" s="1"/>
  <c r="F64" i="42" a="1"/>
  <c r="F64" i="42" s="1"/>
  <c r="E64" i="42" a="1"/>
  <c r="E64" i="42" s="1"/>
  <c r="B64" i="42" a="1"/>
  <c r="B64" i="42" s="1"/>
  <c r="D64" i="42" s="1"/>
  <c r="H63" i="42" a="1"/>
  <c r="H63" i="42" s="1"/>
  <c r="G63" i="42" a="1"/>
  <c r="G63" i="42" s="1"/>
  <c r="F63" i="42" a="1"/>
  <c r="F63" i="42" s="1"/>
  <c r="E63" i="42" a="1"/>
  <c r="E63" i="42" s="1"/>
  <c r="B63" i="42" a="1"/>
  <c r="B63" i="42" s="1"/>
  <c r="D63" i="42" s="1"/>
  <c r="H62" i="42" a="1"/>
  <c r="H62" i="42" s="1"/>
  <c r="G62" i="42" a="1"/>
  <c r="G62" i="42" s="1"/>
  <c r="F62" i="42" a="1"/>
  <c r="F62" i="42" s="1"/>
  <c r="E62" i="42" a="1"/>
  <c r="E62" i="42" s="1"/>
  <c r="B62" i="42" a="1"/>
  <c r="B62" i="42" s="1"/>
  <c r="D62" i="42" s="1"/>
  <c r="H61" i="42" a="1"/>
  <c r="H61" i="42" s="1"/>
  <c r="G61" i="42" a="1"/>
  <c r="G61" i="42" s="1"/>
  <c r="F61" i="42" a="1"/>
  <c r="F61" i="42" s="1"/>
  <c r="E61" i="42" a="1"/>
  <c r="E61" i="42" s="1"/>
  <c r="B61" i="42" a="1"/>
  <c r="B61" i="42" s="1"/>
  <c r="D61" i="42" s="1"/>
  <c r="H60" i="42" a="1"/>
  <c r="H60" i="42" s="1"/>
  <c r="G60" i="42" a="1"/>
  <c r="G60" i="42" s="1"/>
  <c r="F60" i="42" a="1"/>
  <c r="F60" i="42" s="1"/>
  <c r="E60" i="42" a="1"/>
  <c r="E60" i="42" s="1"/>
  <c r="B60" i="42" a="1"/>
  <c r="B60" i="42" s="1"/>
  <c r="D60" i="42" s="1"/>
  <c r="H59" i="42" a="1"/>
  <c r="H59" i="42" s="1"/>
  <c r="G59" i="42" a="1"/>
  <c r="G59" i="42" s="1"/>
  <c r="F59" i="42" a="1"/>
  <c r="F59" i="42" s="1"/>
  <c r="E59" i="42" a="1"/>
  <c r="E59" i="42" s="1"/>
  <c r="B59" i="42" a="1"/>
  <c r="B59" i="42" s="1"/>
  <c r="D59" i="42" s="1"/>
  <c r="H53" i="42" a="1"/>
  <c r="H53" i="42" s="1"/>
  <c r="G53" i="42" a="1"/>
  <c r="G53" i="42" s="1"/>
  <c r="F53" i="42" a="1"/>
  <c r="F53" i="42" s="1"/>
  <c r="E53" i="42" a="1"/>
  <c r="E53" i="42" s="1"/>
  <c r="B53" i="42" a="1"/>
  <c r="B53" i="42" s="1"/>
  <c r="D53" i="42" s="1"/>
  <c r="H52" i="42" a="1"/>
  <c r="H52" i="42" s="1"/>
  <c r="G52" i="42" a="1"/>
  <c r="G52" i="42" s="1"/>
  <c r="F52" i="42" a="1"/>
  <c r="F52" i="42" s="1"/>
  <c r="E52" i="42" a="1"/>
  <c r="E52" i="42" s="1"/>
  <c r="B52" i="42" a="1"/>
  <c r="B52" i="42" s="1"/>
  <c r="D52" i="42" s="1"/>
  <c r="H51" i="42" a="1"/>
  <c r="H51" i="42" s="1"/>
  <c r="G51" i="42" a="1"/>
  <c r="G51" i="42" s="1"/>
  <c r="F51" i="42" a="1"/>
  <c r="F51" i="42" s="1"/>
  <c r="E51" i="42" a="1"/>
  <c r="E51" i="42" s="1"/>
  <c r="B51" i="42" a="1"/>
  <c r="B51" i="42" s="1"/>
  <c r="D51" i="42" s="1"/>
  <c r="H50" i="42" a="1"/>
  <c r="H50" i="42" s="1"/>
  <c r="G50" i="42" a="1"/>
  <c r="G50" i="42" s="1"/>
  <c r="F50" i="42" a="1"/>
  <c r="F50" i="42" s="1"/>
  <c r="E50" i="42" a="1"/>
  <c r="E50" i="42" s="1"/>
  <c r="B50" i="42" a="1"/>
  <c r="B50" i="42" s="1"/>
  <c r="D50" i="42" s="1"/>
  <c r="H49" i="42" a="1"/>
  <c r="H49" i="42" s="1"/>
  <c r="G49" i="42" a="1"/>
  <c r="G49" i="42" s="1"/>
  <c r="F49" i="42" a="1"/>
  <c r="F49" i="42" s="1"/>
  <c r="E49" i="42" a="1"/>
  <c r="E49" i="42" s="1"/>
  <c r="B49" i="42" a="1"/>
  <c r="B49" i="42" s="1"/>
  <c r="D49" i="42" s="1"/>
  <c r="H48" i="42" a="1"/>
  <c r="H48" i="42" s="1"/>
  <c r="G48" i="42" a="1"/>
  <c r="G48" i="42" s="1"/>
  <c r="F48" i="42" a="1"/>
  <c r="F48" i="42" s="1"/>
  <c r="E48" i="42" a="1"/>
  <c r="E48" i="42" s="1"/>
  <c r="B48" i="42" a="1"/>
  <c r="B48" i="42" s="1"/>
  <c r="D48" i="42" s="1"/>
  <c r="H47" i="42" a="1"/>
  <c r="H47" i="42" s="1"/>
  <c r="G47" i="42" a="1"/>
  <c r="G47" i="42" s="1"/>
  <c r="F47" i="42" a="1"/>
  <c r="F47" i="42" s="1"/>
  <c r="E47" i="42" a="1"/>
  <c r="E47" i="42" s="1"/>
  <c r="B47" i="42" a="1"/>
  <c r="B47" i="42" s="1"/>
  <c r="D47" i="42" s="1"/>
  <c r="H46" i="42" a="1"/>
  <c r="H46" i="42" s="1"/>
  <c r="G46" i="42" a="1"/>
  <c r="G46" i="42" s="1"/>
  <c r="F46" i="42" a="1"/>
  <c r="F46" i="42" s="1"/>
  <c r="E46" i="42" a="1"/>
  <c r="E46" i="42" s="1"/>
  <c r="B46" i="42" a="1"/>
  <c r="B46" i="42" s="1"/>
  <c r="D46" i="42" s="1"/>
  <c r="H45" i="42" a="1"/>
  <c r="H45" i="42" s="1"/>
  <c r="G45" i="42" a="1"/>
  <c r="G45" i="42" s="1"/>
  <c r="F45" i="42" a="1"/>
  <c r="F45" i="42" s="1"/>
  <c r="E45" i="42" a="1"/>
  <c r="E45" i="42" s="1"/>
  <c r="B45" i="42" a="1"/>
  <c r="B45" i="42" s="1"/>
  <c r="D45" i="42" s="1"/>
  <c r="H39" i="42" a="1"/>
  <c r="H39" i="42" s="1"/>
  <c r="G39" i="42" a="1"/>
  <c r="G39" i="42" s="1"/>
  <c r="F39" i="42" a="1"/>
  <c r="F39" i="42" s="1"/>
  <c r="E39" i="42" a="1"/>
  <c r="E39" i="42" s="1"/>
  <c r="B39" i="42" a="1"/>
  <c r="B39" i="42" s="1"/>
  <c r="D39" i="42" s="1"/>
  <c r="H38" i="42" a="1"/>
  <c r="H38" i="42" s="1"/>
  <c r="G38" i="42" a="1"/>
  <c r="G38" i="42" s="1"/>
  <c r="F38" i="42" a="1"/>
  <c r="F38" i="42" s="1"/>
  <c r="E38" i="42" a="1"/>
  <c r="E38" i="42" s="1"/>
  <c r="B38" i="42" a="1"/>
  <c r="B38" i="42" s="1"/>
  <c r="D38" i="42" s="1"/>
  <c r="H37" i="42" a="1"/>
  <c r="H37" i="42" s="1"/>
  <c r="G37" i="42" a="1"/>
  <c r="G37" i="42" s="1"/>
  <c r="F37" i="42" a="1"/>
  <c r="F37" i="42" s="1"/>
  <c r="E37" i="42" a="1"/>
  <c r="E37" i="42" s="1"/>
  <c r="B37" i="42" a="1"/>
  <c r="B37" i="42" s="1"/>
  <c r="D37" i="42" s="1"/>
  <c r="H36" i="42" a="1"/>
  <c r="H36" i="42" s="1"/>
  <c r="G36" i="42" a="1"/>
  <c r="G36" i="42" s="1"/>
  <c r="F36" i="42" a="1"/>
  <c r="F36" i="42" s="1"/>
  <c r="E36" i="42" a="1"/>
  <c r="E36" i="42" s="1"/>
  <c r="B36" i="42" a="1"/>
  <c r="B36" i="42" s="1"/>
  <c r="D36" i="42" s="1"/>
  <c r="H35" i="42" a="1"/>
  <c r="H35" i="42" s="1"/>
  <c r="G35" i="42" a="1"/>
  <c r="G35" i="42" s="1"/>
  <c r="F35" i="42" a="1"/>
  <c r="F35" i="42" s="1"/>
  <c r="E35" i="42" a="1"/>
  <c r="E35" i="42" s="1"/>
  <c r="B35" i="42" a="1"/>
  <c r="B35" i="42" s="1"/>
  <c r="D35" i="42" s="1"/>
  <c r="H34" i="42" a="1"/>
  <c r="H34" i="42" s="1"/>
  <c r="G34" i="42" a="1"/>
  <c r="G34" i="42" s="1"/>
  <c r="F34" i="42" a="1"/>
  <c r="F34" i="42" s="1"/>
  <c r="E34" i="42" a="1"/>
  <c r="E34" i="42" s="1"/>
  <c r="B34" i="42" a="1"/>
  <c r="B34" i="42" s="1"/>
  <c r="D34" i="42" s="1"/>
  <c r="H33" i="42" a="1"/>
  <c r="H33" i="42" s="1"/>
  <c r="G33" i="42" a="1"/>
  <c r="G33" i="42" s="1"/>
  <c r="F33" i="42" a="1"/>
  <c r="F33" i="42" s="1"/>
  <c r="E33" i="42" a="1"/>
  <c r="E33" i="42" s="1"/>
  <c r="B33" i="42" a="1"/>
  <c r="B33" i="42" s="1"/>
  <c r="D33" i="42" s="1"/>
  <c r="H32" i="42" a="1"/>
  <c r="H32" i="42" s="1"/>
  <c r="G32" i="42" a="1"/>
  <c r="G32" i="42" s="1"/>
  <c r="F32" i="42" a="1"/>
  <c r="F32" i="42" s="1"/>
  <c r="E32" i="42" a="1"/>
  <c r="E32" i="42" s="1"/>
  <c r="B32" i="42" a="1"/>
  <c r="B32" i="42" s="1"/>
  <c r="D32" i="42" s="1"/>
  <c r="H31" i="42" a="1"/>
  <c r="H31" i="42" s="1"/>
  <c r="G31" i="42" a="1"/>
  <c r="G31" i="42" s="1"/>
  <c r="F31" i="42" a="1"/>
  <c r="F31" i="42" s="1"/>
  <c r="E31" i="42" a="1"/>
  <c r="E31" i="42" s="1"/>
  <c r="B31" i="42" a="1"/>
  <c r="B31" i="42" s="1"/>
  <c r="D31" i="42" s="1"/>
  <c r="H25" i="42" a="1"/>
  <c r="H25" i="42" s="1"/>
  <c r="G25" i="42" a="1"/>
  <c r="G25" i="42" s="1"/>
  <c r="F25" i="42" a="1"/>
  <c r="F25" i="42" s="1"/>
  <c r="E25" i="42" a="1"/>
  <c r="E25" i="42" s="1"/>
  <c r="B25" i="42" a="1"/>
  <c r="B25" i="42" s="1"/>
  <c r="D25" i="42" s="1"/>
  <c r="H24" i="42" a="1"/>
  <c r="H24" i="42" s="1"/>
  <c r="G24" i="42" a="1"/>
  <c r="G24" i="42" s="1"/>
  <c r="F24" i="42" a="1"/>
  <c r="F24" i="42" s="1"/>
  <c r="E24" i="42" a="1"/>
  <c r="E24" i="42" s="1"/>
  <c r="B24" i="42" a="1"/>
  <c r="B24" i="42" s="1"/>
  <c r="D24" i="42" s="1"/>
  <c r="H23" i="42" a="1"/>
  <c r="H23" i="42" s="1"/>
  <c r="G23" i="42" a="1"/>
  <c r="G23" i="42" s="1"/>
  <c r="F23" i="42" a="1"/>
  <c r="F23" i="42" s="1"/>
  <c r="E23" i="42" a="1"/>
  <c r="E23" i="42" s="1"/>
  <c r="B23" i="42" a="1"/>
  <c r="B23" i="42" s="1"/>
  <c r="D23" i="42" s="1"/>
  <c r="H22" i="42" a="1"/>
  <c r="H22" i="42" s="1"/>
  <c r="G22" i="42" a="1"/>
  <c r="G22" i="42" s="1"/>
  <c r="F22" i="42" a="1"/>
  <c r="F22" i="42" s="1"/>
  <c r="E22" i="42" a="1"/>
  <c r="E22" i="42" s="1"/>
  <c r="B22" i="42" a="1"/>
  <c r="B22" i="42" s="1"/>
  <c r="D22" i="42" s="1"/>
  <c r="H21" i="42" a="1"/>
  <c r="H21" i="42" s="1"/>
  <c r="G21" i="42" a="1"/>
  <c r="G21" i="42" s="1"/>
  <c r="F21" i="42" a="1"/>
  <c r="F21" i="42" s="1"/>
  <c r="E21" i="42" a="1"/>
  <c r="E21" i="42" s="1"/>
  <c r="B21" i="42" a="1"/>
  <c r="B21" i="42" s="1"/>
  <c r="D21" i="42" s="1"/>
  <c r="H20" i="42" a="1"/>
  <c r="H20" i="42" s="1"/>
  <c r="G20" i="42" a="1"/>
  <c r="G20" i="42" s="1"/>
  <c r="F20" i="42" a="1"/>
  <c r="F20" i="42" s="1"/>
  <c r="E20" i="42" a="1"/>
  <c r="E20" i="42" s="1"/>
  <c r="B20" i="42" a="1"/>
  <c r="B20" i="42" s="1"/>
  <c r="D20" i="42" s="1"/>
  <c r="H19" i="42" a="1"/>
  <c r="H19" i="42" s="1"/>
  <c r="G19" i="42" a="1"/>
  <c r="G19" i="42" s="1"/>
  <c r="F19" i="42" a="1"/>
  <c r="F19" i="42" s="1"/>
  <c r="E19" i="42" a="1"/>
  <c r="E19" i="42" s="1"/>
  <c r="B19" i="42" a="1"/>
  <c r="B19" i="42" s="1"/>
  <c r="D19" i="42" s="1"/>
  <c r="H18" i="42" a="1"/>
  <c r="H18" i="42" s="1"/>
  <c r="G18" i="42" a="1"/>
  <c r="G18" i="42" s="1"/>
  <c r="F18" i="42" a="1"/>
  <c r="F18" i="42" s="1"/>
  <c r="E18" i="42" a="1"/>
  <c r="E18" i="42" s="1"/>
  <c r="B18" i="42" a="1"/>
  <c r="B18" i="42" s="1"/>
  <c r="D18" i="42" s="1"/>
  <c r="H17" i="42" a="1"/>
  <c r="H17" i="42" s="1"/>
  <c r="G17" i="42" a="1"/>
  <c r="G17" i="42" s="1"/>
  <c r="F17" i="42" a="1"/>
  <c r="F17" i="42" s="1"/>
  <c r="E17" i="42" a="1"/>
  <c r="E17" i="42" s="1"/>
  <c r="B17" i="42" a="1"/>
  <c r="B17" i="42" s="1"/>
  <c r="D17" i="42" s="1"/>
  <c r="G3" i="42" a="1"/>
  <c r="G3" i="42" s="1"/>
  <c r="H4" i="42" a="1"/>
  <c r="H4" i="42" s="1"/>
  <c r="H5" i="42" a="1"/>
  <c r="H5" i="42" s="1"/>
  <c r="H6" i="42" a="1"/>
  <c r="H6" i="42" s="1"/>
  <c r="H7" i="42" a="1"/>
  <c r="H7" i="42" s="1"/>
  <c r="H8" i="42" a="1"/>
  <c r="H8" i="42" s="1"/>
  <c r="H9" i="42" a="1"/>
  <c r="H9" i="42" s="1"/>
  <c r="H10" i="42" a="1"/>
  <c r="H10" i="42" s="1"/>
  <c r="H11" i="42" a="1"/>
  <c r="H11" i="42" s="1"/>
  <c r="H3" i="42" a="1"/>
  <c r="H3" i="42" s="1"/>
  <c r="G4" i="42" a="1"/>
  <c r="G4" i="42" s="1"/>
  <c r="G5" i="42" a="1"/>
  <c r="G5" i="42" s="1"/>
  <c r="G6" i="42" a="1"/>
  <c r="G6" i="42" s="1"/>
  <c r="G7" i="42" a="1"/>
  <c r="G7" i="42" s="1"/>
  <c r="G8" i="42" a="1"/>
  <c r="G8" i="42" s="1"/>
  <c r="G9" i="42" a="1"/>
  <c r="G9" i="42" s="1"/>
  <c r="G10" i="42" a="1"/>
  <c r="G10" i="42" s="1"/>
  <c r="G11" i="42" a="1"/>
  <c r="G11" i="42" s="1"/>
  <c r="F4" i="42" a="1"/>
  <c r="F4" i="42" s="1"/>
  <c r="F5" i="42" a="1"/>
  <c r="F5" i="42" s="1"/>
  <c r="F6" i="42" a="1"/>
  <c r="F6" i="42" s="1"/>
  <c r="F7" i="42" a="1"/>
  <c r="F7" i="42" s="1"/>
  <c r="F8" i="42" a="1"/>
  <c r="F8" i="42" s="1"/>
  <c r="F9" i="42" a="1"/>
  <c r="F9" i="42" s="1"/>
  <c r="F10" i="42" a="1"/>
  <c r="F10" i="42" s="1"/>
  <c r="F11" i="42" a="1"/>
  <c r="F11" i="42" s="1"/>
  <c r="F3" i="42" a="1"/>
  <c r="F3" i="42" s="1"/>
  <c r="E4" i="42" a="1"/>
  <c r="E4" i="42" s="1"/>
  <c r="E5" i="42" a="1"/>
  <c r="E5" i="42" s="1"/>
  <c r="E6" i="42" a="1"/>
  <c r="E6" i="42" s="1"/>
  <c r="E7" i="42" a="1"/>
  <c r="E7" i="42" s="1"/>
  <c r="E8" i="42" a="1"/>
  <c r="E8" i="42" s="1"/>
  <c r="E9" i="42" a="1"/>
  <c r="E9" i="42" s="1"/>
  <c r="E10" i="42" a="1"/>
  <c r="E10" i="42" s="1"/>
  <c r="E11" i="42" a="1"/>
  <c r="E11" i="42" s="1"/>
  <c r="E3" i="42" a="1"/>
  <c r="E3" i="42" s="1"/>
  <c r="B11" i="42" a="1"/>
  <c r="B11" i="42" s="1"/>
  <c r="D11" i="42" s="1"/>
  <c r="B10" i="42" a="1"/>
  <c r="B10" i="42" s="1"/>
  <c r="D10" i="42" s="1"/>
  <c r="B9" i="42" a="1"/>
  <c r="B9" i="42" s="1"/>
  <c r="D9" i="42" s="1"/>
  <c r="B8" i="42" a="1"/>
  <c r="B8" i="42" s="1"/>
  <c r="D8" i="42" s="1"/>
  <c r="B7" i="42" a="1"/>
  <c r="B7" i="42" s="1"/>
  <c r="D7" i="42" s="1"/>
  <c r="B6" i="42" a="1"/>
  <c r="B6" i="42" s="1"/>
  <c r="D6" i="42" s="1"/>
  <c r="B5" i="42" a="1"/>
  <c r="B5" i="42" s="1"/>
  <c r="D5" i="42" s="1"/>
  <c r="B4" i="42" a="1"/>
  <c r="B4" i="42" s="1"/>
  <c r="D4" i="42" s="1"/>
  <c r="B3" i="42" a="1"/>
  <c r="B3" i="42" s="1"/>
  <c r="D3" i="42" s="1"/>
  <c r="C1351" i="35" a="1"/>
  <c r="C1351" i="35" s="1"/>
  <c r="F1351" i="35"/>
  <c r="G1351" i="35" s="1"/>
  <c r="J1351" i="35"/>
  <c r="K1351" i="35" s="1"/>
  <c r="Q1351" i="35"/>
  <c r="H419" i="6"/>
  <c r="J419" i="6" s="1"/>
  <c r="I419" i="6"/>
  <c r="K419" i="6" s="1"/>
  <c r="U419" i="6"/>
  <c r="H418" i="6"/>
  <c r="J418" i="6" s="1"/>
  <c r="I418" i="6"/>
  <c r="K418" i="6" s="1"/>
  <c r="U418" i="6"/>
  <c r="H417" i="6"/>
  <c r="J417" i="6" s="1"/>
  <c r="I417" i="6"/>
  <c r="K417" i="6" s="1"/>
  <c r="U417" i="6"/>
  <c r="H416" i="6"/>
  <c r="J416" i="6" s="1"/>
  <c r="I416" i="6"/>
  <c r="K416" i="6" s="1"/>
  <c r="U416" i="6"/>
  <c r="H415" i="6"/>
  <c r="J415" i="6" s="1"/>
  <c r="I415" i="6"/>
  <c r="K415" i="6" s="1"/>
  <c r="U415" i="6"/>
  <c r="N2073" i="35" l="1"/>
  <c r="P2074" i="35"/>
  <c r="O2073" i="35"/>
  <c r="P2068" i="35"/>
  <c r="I615" i="33" s="1"/>
  <c r="K615" i="33"/>
  <c r="S615" i="33"/>
  <c r="O2067" i="35"/>
  <c r="N2067" i="35"/>
  <c r="K614" i="33"/>
  <c r="J614" i="33"/>
  <c r="P2063" i="35"/>
  <c r="I614" i="33" s="1"/>
  <c r="H2059" i="35"/>
  <c r="O2057" i="35"/>
  <c r="H613" i="33" s="1"/>
  <c r="S613" i="33" s="1"/>
  <c r="O2060" i="35"/>
  <c r="P2060" i="35" s="1"/>
  <c r="N2057" i="35"/>
  <c r="H2058" i="35"/>
  <c r="N2055" i="35"/>
  <c r="L2059" i="35"/>
  <c r="L2058" i="35"/>
  <c r="O2051" i="35"/>
  <c r="O1928" i="35"/>
  <c r="H74" i="33" s="1"/>
  <c r="S74" i="33" s="1"/>
  <c r="N2054" i="35"/>
  <c r="N2051" i="35"/>
  <c r="O2054" i="35"/>
  <c r="N1928" i="35"/>
  <c r="N2039" i="35"/>
  <c r="O2055" i="35"/>
  <c r="O2053" i="35"/>
  <c r="P2053" i="35" s="1"/>
  <c r="K1498" i="35"/>
  <c r="M2052" i="35" s="1"/>
  <c r="L2052" i="35"/>
  <c r="G1498" i="35"/>
  <c r="I2052" i="35" s="1"/>
  <c r="H2052" i="35"/>
  <c r="K612" i="33"/>
  <c r="J612" i="33"/>
  <c r="P2049" i="35"/>
  <c r="I612" i="33" s="1"/>
  <c r="O2045" i="35"/>
  <c r="N2045" i="35"/>
  <c r="H2040" i="35"/>
  <c r="L2044" i="35"/>
  <c r="H2044" i="35"/>
  <c r="N2041" i="35"/>
  <c r="O2010" i="35"/>
  <c r="H610" i="33" s="1"/>
  <c r="S610" i="33" s="1"/>
  <c r="O2041" i="35"/>
  <c r="O1990" i="35"/>
  <c r="H603" i="33" s="1"/>
  <c r="S603" i="33" s="1"/>
  <c r="L2040" i="35"/>
  <c r="N2010" i="35"/>
  <c r="O2039" i="35"/>
  <c r="H611" i="33"/>
  <c r="P2038" i="35"/>
  <c r="I611" i="33" s="1"/>
  <c r="N2037" i="35"/>
  <c r="O2037" i="35"/>
  <c r="N2029" i="35"/>
  <c r="N1990" i="35"/>
  <c r="P2036" i="35"/>
  <c r="I576" i="33" s="1"/>
  <c r="N1976" i="35"/>
  <c r="O2029" i="35"/>
  <c r="N2027" i="35"/>
  <c r="O2027" i="35"/>
  <c r="O2017" i="35"/>
  <c r="N1985" i="35"/>
  <c r="N1947" i="35"/>
  <c r="L2021" i="35"/>
  <c r="H2021" i="35"/>
  <c r="O2018" i="35"/>
  <c r="N2018" i="35"/>
  <c r="L2013" i="35"/>
  <c r="N2016" i="35"/>
  <c r="N2017" i="35"/>
  <c r="O2008" i="35"/>
  <c r="L2015" i="35"/>
  <c r="H2015" i="35"/>
  <c r="I1932" i="35"/>
  <c r="O1932" i="35" s="1"/>
  <c r="I2016" i="35"/>
  <c r="O2016" i="35" s="1"/>
  <c r="H2013" i="35"/>
  <c r="N2008" i="35"/>
  <c r="O1947" i="35"/>
  <c r="K608" i="33"/>
  <c r="J608" i="33"/>
  <c r="P2006" i="35"/>
  <c r="I608" i="33" s="1"/>
  <c r="P2003" i="35"/>
  <c r="I607" i="33" s="1"/>
  <c r="K607" i="33"/>
  <c r="J607" i="33"/>
  <c r="O1985" i="35"/>
  <c r="N2001" i="35"/>
  <c r="O2001" i="35"/>
  <c r="L2000" i="35"/>
  <c r="H2000" i="35"/>
  <c r="N1999" i="35"/>
  <c r="O1998" i="35"/>
  <c r="N1998" i="35"/>
  <c r="O1999" i="35"/>
  <c r="H606" i="33"/>
  <c r="P1997" i="35"/>
  <c r="I606" i="33" s="1"/>
  <c r="O1966" i="35"/>
  <c r="H64" i="33" s="1"/>
  <c r="S64" i="33" s="1"/>
  <c r="N1995" i="35"/>
  <c r="J604" i="33"/>
  <c r="S604" i="33"/>
  <c r="K605" i="33"/>
  <c r="J50" i="34" s="1"/>
  <c r="K50" i="34" s="1"/>
  <c r="J605" i="33"/>
  <c r="P1996" i="35"/>
  <c r="I605" i="33" s="1"/>
  <c r="I50" i="34" s="1"/>
  <c r="R605" i="33"/>
  <c r="B50" i="34"/>
  <c r="O1994" i="35"/>
  <c r="O1995" i="35"/>
  <c r="P1993" i="35"/>
  <c r="I604" i="33" s="1"/>
  <c r="N1966" i="35"/>
  <c r="K604" i="33"/>
  <c r="N1994" i="35"/>
  <c r="N447" i="6"/>
  <c r="Q450" i="6"/>
  <c r="P447" i="6"/>
  <c r="G113" i="36" s="1"/>
  <c r="I113" i="36" s="1"/>
  <c r="R447" i="6"/>
  <c r="H113" i="36" s="1"/>
  <c r="F113" i="36" s="1"/>
  <c r="Q447" i="6"/>
  <c r="J437" i="6"/>
  <c r="N452" i="6" s="1"/>
  <c r="L452" i="6"/>
  <c r="R452" i="6" s="1"/>
  <c r="O1987" i="35"/>
  <c r="N1987" i="35"/>
  <c r="N1983" i="35"/>
  <c r="O1936" i="35"/>
  <c r="H61" i="33" s="1"/>
  <c r="S61" i="33" s="1"/>
  <c r="N1984" i="35"/>
  <c r="O1984" i="35"/>
  <c r="N1936" i="35"/>
  <c r="N1814" i="35"/>
  <c r="O1983" i="35"/>
  <c r="N1768" i="35"/>
  <c r="N1964" i="35"/>
  <c r="O1982" i="35"/>
  <c r="N1982" i="35"/>
  <c r="O1976" i="35"/>
  <c r="N1981" i="35"/>
  <c r="P1981" i="35" s="1"/>
  <c r="O1878" i="35"/>
  <c r="N1973" i="35"/>
  <c r="O1973" i="35"/>
  <c r="N1971" i="35"/>
  <c r="O1960" i="35"/>
  <c r="H49" i="33" s="1"/>
  <c r="S49" i="33" s="1"/>
  <c r="N1960" i="35"/>
  <c r="O1971" i="35"/>
  <c r="O1969" i="35"/>
  <c r="N1969" i="35"/>
  <c r="N1878" i="35"/>
  <c r="O1964" i="35"/>
  <c r="N1961" i="35"/>
  <c r="O1961" i="35"/>
  <c r="N1958" i="35"/>
  <c r="O1958" i="35"/>
  <c r="N1955" i="35"/>
  <c r="O1926" i="35"/>
  <c r="H44" i="33" s="1"/>
  <c r="S44" i="33" s="1"/>
  <c r="N1894" i="35"/>
  <c r="O1894" i="35"/>
  <c r="H600" i="33" s="1"/>
  <c r="S600" i="33" s="1"/>
  <c r="O1955" i="35"/>
  <c r="O1956" i="35"/>
  <c r="N1956" i="35"/>
  <c r="O1954" i="35"/>
  <c r="N1954" i="35"/>
  <c r="O1951" i="35"/>
  <c r="N1951" i="35"/>
  <c r="N1937" i="35"/>
  <c r="L1948" i="35"/>
  <c r="H1948" i="35"/>
  <c r="N1946" i="35"/>
  <c r="O1946" i="35"/>
  <c r="N1926" i="35"/>
  <c r="N1944" i="35"/>
  <c r="L1945" i="35"/>
  <c r="O1944" i="35"/>
  <c r="H1945" i="35"/>
  <c r="N1940" i="35"/>
  <c r="N1942" i="35"/>
  <c r="O1943" i="35"/>
  <c r="O1940" i="35"/>
  <c r="N1943" i="35"/>
  <c r="N1927" i="35"/>
  <c r="L1941" i="35"/>
  <c r="O1942" i="35"/>
  <c r="H1941" i="35"/>
  <c r="L1939" i="35"/>
  <c r="H1939" i="35"/>
  <c r="O1938" i="35"/>
  <c r="N1938" i="35"/>
  <c r="O1937" i="35"/>
  <c r="N1932" i="35"/>
  <c r="R61" i="33"/>
  <c r="B93" i="40"/>
  <c r="K1609" i="35"/>
  <c r="M2058" i="35" s="1"/>
  <c r="N2058" i="35" s="1"/>
  <c r="L1935" i="35"/>
  <c r="G1609" i="35"/>
  <c r="I2058" i="35" s="1"/>
  <c r="O2058" i="35" s="1"/>
  <c r="H1935" i="35"/>
  <c r="S450" i="6"/>
  <c r="N1678" i="35"/>
  <c r="O1678" i="35"/>
  <c r="H592" i="33" s="1"/>
  <c r="S592" i="33" s="1"/>
  <c r="O1927" i="35"/>
  <c r="R74" i="33"/>
  <c r="B92" i="40"/>
  <c r="O1863" i="35"/>
  <c r="H33" i="33" s="1"/>
  <c r="S33" i="33" s="1"/>
  <c r="N1863" i="35"/>
  <c r="O1925" i="35"/>
  <c r="N1925" i="35"/>
  <c r="N1921" i="35"/>
  <c r="O1866" i="35"/>
  <c r="N1920" i="35"/>
  <c r="O1921" i="35"/>
  <c r="N1866" i="35"/>
  <c r="O1920" i="35"/>
  <c r="O1918" i="35"/>
  <c r="O1919" i="35"/>
  <c r="H1916" i="35"/>
  <c r="N1919" i="35"/>
  <c r="N1918" i="35"/>
  <c r="K94" i="33"/>
  <c r="J25" i="34" s="1"/>
  <c r="K25" i="34" s="1"/>
  <c r="J94" i="33"/>
  <c r="O1907" i="35"/>
  <c r="P1917" i="35"/>
  <c r="I94" i="33" s="1"/>
  <c r="I25" i="34" s="1"/>
  <c r="R94" i="33"/>
  <c r="B25" i="34"/>
  <c r="G25" i="34" s="1"/>
  <c r="H1915" i="35"/>
  <c r="L1916" i="35"/>
  <c r="L1913" i="35"/>
  <c r="L1915" i="35"/>
  <c r="L1914" i="35"/>
  <c r="H1914" i="35"/>
  <c r="H1913" i="35"/>
  <c r="O1740" i="35"/>
  <c r="H67" i="33" s="1"/>
  <c r="J67" i="33" s="1"/>
  <c r="N1740" i="35"/>
  <c r="N1907" i="35"/>
  <c r="L1904" i="35"/>
  <c r="H1904" i="35"/>
  <c r="N1901" i="35"/>
  <c r="O1901" i="35"/>
  <c r="O1900" i="35"/>
  <c r="O1899" i="35"/>
  <c r="N1899" i="35"/>
  <c r="N1900" i="35"/>
  <c r="N1896" i="35"/>
  <c r="O1896" i="35"/>
  <c r="L1897" i="35"/>
  <c r="H1897" i="35"/>
  <c r="O1886" i="35"/>
  <c r="H599" i="33" s="1"/>
  <c r="S599" i="33" s="1"/>
  <c r="O1891" i="35"/>
  <c r="N1891" i="35"/>
  <c r="N1887" i="35"/>
  <c r="O1887" i="35"/>
  <c r="N1886" i="35"/>
  <c r="O1881" i="35"/>
  <c r="N1782" i="35"/>
  <c r="N1881" i="35"/>
  <c r="N1855" i="35"/>
  <c r="O1782" i="35"/>
  <c r="H73" i="33" s="1"/>
  <c r="O1873" i="35"/>
  <c r="N1873" i="35"/>
  <c r="N1844" i="35"/>
  <c r="O1869" i="35"/>
  <c r="N1869" i="35"/>
  <c r="L1868" i="35"/>
  <c r="H1868" i="35"/>
  <c r="R450" i="6"/>
  <c r="T450" i="6" s="1"/>
  <c r="L1857" i="35"/>
  <c r="L1860" i="35"/>
  <c r="L1861" i="35"/>
  <c r="H1861" i="35"/>
  <c r="N1692" i="35"/>
  <c r="N1858" i="35"/>
  <c r="H1860" i="35"/>
  <c r="N1840" i="35"/>
  <c r="O1858" i="35"/>
  <c r="H1857" i="35"/>
  <c r="N1856" i="35"/>
  <c r="I1856" i="35"/>
  <c r="O1856" i="35" s="1"/>
  <c r="I1855" i="35"/>
  <c r="O1855" i="35" s="1"/>
  <c r="H72" i="33" s="1"/>
  <c r="L1854" i="35"/>
  <c r="H1854" i="35"/>
  <c r="K1419" i="35"/>
  <c r="L1853" i="35"/>
  <c r="G1419" i="35"/>
  <c r="H1853" i="35"/>
  <c r="N1845" i="35"/>
  <c r="L1848" i="35"/>
  <c r="H1848" i="35"/>
  <c r="N1735" i="35"/>
  <c r="O1845" i="35"/>
  <c r="O1735" i="35"/>
  <c r="H596" i="33" s="1"/>
  <c r="S596" i="33" s="1"/>
  <c r="O1843" i="35"/>
  <c r="N1839" i="35"/>
  <c r="O1844" i="35"/>
  <c r="N1841" i="35"/>
  <c r="O1692" i="35"/>
  <c r="H594" i="33" s="1"/>
  <c r="S594" i="33" s="1"/>
  <c r="O1841" i="35"/>
  <c r="N1843" i="35"/>
  <c r="O1829" i="35"/>
  <c r="H47" i="33" s="1"/>
  <c r="K47" i="33" s="1"/>
  <c r="O1839" i="35"/>
  <c r="N1829" i="35"/>
  <c r="N1831" i="35"/>
  <c r="P1831" i="35" s="1"/>
  <c r="O1840" i="35"/>
  <c r="AA836" i="31"/>
  <c r="AA835" i="31"/>
  <c r="O1805" i="35"/>
  <c r="N1830" i="35"/>
  <c r="O1838" i="35"/>
  <c r="N1838" i="35"/>
  <c r="N1835" i="35"/>
  <c r="O1835" i="35"/>
  <c r="O1644" i="35"/>
  <c r="H590" i="33" s="1"/>
  <c r="S590" i="33" s="1"/>
  <c r="O1832" i="35"/>
  <c r="N1833" i="35"/>
  <c r="O1830" i="35"/>
  <c r="H97" i="33" s="1"/>
  <c r="J97" i="33" s="1"/>
  <c r="O1833" i="35"/>
  <c r="N1832" i="35"/>
  <c r="O1828" i="35"/>
  <c r="N1828" i="35"/>
  <c r="O1785" i="35"/>
  <c r="H43" i="33" s="1"/>
  <c r="S43" i="33" s="1"/>
  <c r="N1785" i="35"/>
  <c r="O1821" i="35"/>
  <c r="O1826" i="35"/>
  <c r="O1820" i="35"/>
  <c r="H42" i="33" s="1"/>
  <c r="S42" i="33" s="1"/>
  <c r="N1826" i="35"/>
  <c r="N1821" i="35"/>
  <c r="N1820" i="35"/>
  <c r="N1644" i="35"/>
  <c r="H1822" i="35"/>
  <c r="L1822" i="35"/>
  <c r="H1811" i="35"/>
  <c r="H1794" i="35"/>
  <c r="AA834" i="31"/>
  <c r="AA833" i="31"/>
  <c r="L1811" i="35"/>
  <c r="L1817" i="35"/>
  <c r="H1817" i="35"/>
  <c r="L1815" i="35"/>
  <c r="H1815" i="35"/>
  <c r="O1814" i="35"/>
  <c r="N1810" i="35"/>
  <c r="O1810" i="35"/>
  <c r="N1802" i="35"/>
  <c r="O1802" i="35"/>
  <c r="H598" i="33" s="1"/>
  <c r="S598" i="33" s="1"/>
  <c r="N1805" i="35"/>
  <c r="H1803" i="35"/>
  <c r="L1803" i="35"/>
  <c r="AA832" i="31"/>
  <c r="AA831" i="31"/>
  <c r="H1795" i="35"/>
  <c r="N444" i="6"/>
  <c r="N437" i="6"/>
  <c r="K434" i="6"/>
  <c r="M446" i="6"/>
  <c r="M440" i="6"/>
  <c r="L436" i="6"/>
  <c r="L440" i="6"/>
  <c r="L446" i="6"/>
  <c r="L439" i="6"/>
  <c r="L444" i="6"/>
  <c r="L438" i="6"/>
  <c r="M438" i="6"/>
  <c r="M444" i="6"/>
  <c r="M439" i="6"/>
  <c r="N438" i="6"/>
  <c r="O435" i="6"/>
  <c r="N439" i="6"/>
  <c r="M437" i="6"/>
  <c r="L437" i="6"/>
  <c r="K437" i="6"/>
  <c r="O452" i="6" s="1"/>
  <c r="Q452" i="6" s="1"/>
  <c r="H1790" i="35"/>
  <c r="N1788" i="35"/>
  <c r="AA830" i="31"/>
  <c r="N42" i="33" s="1"/>
  <c r="R42" i="33" s="1"/>
  <c r="L1796" i="35"/>
  <c r="O1792" i="35"/>
  <c r="H1796" i="35"/>
  <c r="L1795" i="35"/>
  <c r="L1794" i="35"/>
  <c r="N1792" i="35"/>
  <c r="O1788" i="35"/>
  <c r="H597" i="33" s="1"/>
  <c r="S597" i="33" s="1"/>
  <c r="H1789" i="35"/>
  <c r="L1790" i="35"/>
  <c r="L1789" i="35"/>
  <c r="AA829" i="31"/>
  <c r="AA828" i="31"/>
  <c r="AA827" i="31"/>
  <c r="L1781" i="35"/>
  <c r="H1780" i="35"/>
  <c r="H1781" i="35"/>
  <c r="L1779" i="35"/>
  <c r="L1780" i="35"/>
  <c r="N1775" i="35"/>
  <c r="H1779" i="35"/>
  <c r="O1775" i="35"/>
  <c r="AA826" i="31"/>
  <c r="AA825" i="31"/>
  <c r="AA824" i="31"/>
  <c r="AA823" i="31"/>
  <c r="AA822" i="31"/>
  <c r="AA821" i="31"/>
  <c r="AA820" i="31"/>
  <c r="AA819" i="31"/>
  <c r="O1761" i="35"/>
  <c r="O1768" i="35"/>
  <c r="N1761" i="35"/>
  <c r="K1561" i="35"/>
  <c r="L1767" i="35"/>
  <c r="G1561" i="35"/>
  <c r="H1767" i="35"/>
  <c r="N1757" i="35"/>
  <c r="L1760" i="35"/>
  <c r="H1760" i="35"/>
  <c r="O1759" i="35"/>
  <c r="N1759" i="35"/>
  <c r="O1757" i="35"/>
  <c r="O1756" i="35"/>
  <c r="N1756" i="35"/>
  <c r="O1734" i="35"/>
  <c r="H25" i="33" s="1"/>
  <c r="S25" i="33" s="1"/>
  <c r="N1751" i="35"/>
  <c r="N1734" i="35"/>
  <c r="L1755" i="35"/>
  <c r="H1755" i="35"/>
  <c r="O1751" i="35"/>
  <c r="K1603" i="35"/>
  <c r="M1888" i="35" s="1"/>
  <c r="N1888" i="35" s="1"/>
  <c r="L1748" i="35"/>
  <c r="G1603" i="35"/>
  <c r="I1888" i="35" s="1"/>
  <c r="O1888" i="35" s="1"/>
  <c r="H1748" i="35"/>
  <c r="K1514" i="35"/>
  <c r="M1857" i="35" s="1"/>
  <c r="L1747" i="35"/>
  <c r="G1514" i="35"/>
  <c r="I1857" i="35" s="1"/>
  <c r="H1747" i="35"/>
  <c r="O1744" i="35"/>
  <c r="N1744" i="35"/>
  <c r="H1741" i="35"/>
  <c r="L1741" i="35"/>
  <c r="H1732" i="35"/>
  <c r="L1737" i="35"/>
  <c r="H1737" i="35"/>
  <c r="N1722" i="35"/>
  <c r="L1732" i="35"/>
  <c r="L1731" i="35"/>
  <c r="H1717" i="35"/>
  <c r="H1731" i="35"/>
  <c r="O1689" i="35"/>
  <c r="H593" i="33" s="1"/>
  <c r="S593" i="33" s="1"/>
  <c r="N1689" i="35"/>
  <c r="O1722" i="35"/>
  <c r="H1719" i="35"/>
  <c r="L1719" i="35"/>
  <c r="K1605" i="35"/>
  <c r="L1718" i="35"/>
  <c r="G1605" i="35"/>
  <c r="H1718" i="35"/>
  <c r="L1717" i="35"/>
  <c r="O1702" i="35"/>
  <c r="H81" i="33" s="1"/>
  <c r="S81" i="33" s="1"/>
  <c r="AA818" i="31"/>
  <c r="K1435" i="35"/>
  <c r="L1714" i="35"/>
  <c r="G1435" i="35"/>
  <c r="H1714" i="35"/>
  <c r="H1712" i="35"/>
  <c r="O1707" i="35"/>
  <c r="L1712" i="35"/>
  <c r="AA817" i="31"/>
  <c r="AA816" i="31"/>
  <c r="N1702" i="35"/>
  <c r="N1707" i="35"/>
  <c r="K1517" i="35"/>
  <c r="L1706" i="35"/>
  <c r="G1517" i="35"/>
  <c r="H1706" i="35"/>
  <c r="O1698" i="35"/>
  <c r="N1698" i="35"/>
  <c r="AA814" i="31"/>
  <c r="K1361" i="35"/>
  <c r="L1697" i="35"/>
  <c r="G1361" i="35"/>
  <c r="H1697" i="35"/>
  <c r="L1696" i="35"/>
  <c r="H1696" i="35"/>
  <c r="K1560" i="35"/>
  <c r="M1736" i="35" s="1"/>
  <c r="N1736" i="35" s="1"/>
  <c r="L1695" i="35"/>
  <c r="G1560" i="35"/>
  <c r="I1736" i="35" s="1"/>
  <c r="O1736" i="35" s="1"/>
  <c r="H1695" i="35"/>
  <c r="AA813" i="31"/>
  <c r="AA812" i="31"/>
  <c r="AA811" i="31"/>
  <c r="N1684" i="35"/>
  <c r="N1691" i="35"/>
  <c r="S774" i="31"/>
  <c r="T774" i="31" s="1"/>
  <c r="O1691" i="35"/>
  <c r="H1685" i="35"/>
  <c r="O1684" i="35"/>
  <c r="L1681" i="35"/>
  <c r="L1687" i="35"/>
  <c r="H1681" i="35"/>
  <c r="H1687" i="35"/>
  <c r="AA810" i="31"/>
  <c r="AA809" i="31"/>
  <c r="L1685" i="35"/>
  <c r="AA808" i="31"/>
  <c r="AA807" i="31"/>
  <c r="S759" i="31"/>
  <c r="T759" i="31" s="1"/>
  <c r="O1655" i="35"/>
  <c r="H591" i="33" s="1"/>
  <c r="S591" i="33" s="1"/>
  <c r="N1655" i="35"/>
  <c r="O1683" i="35"/>
  <c r="N1683" i="35"/>
  <c r="AA806" i="31"/>
  <c r="AA805" i="31"/>
  <c r="O1662" i="35"/>
  <c r="H26" i="33" s="1"/>
  <c r="J26" i="33" s="1"/>
  <c r="N1662" i="35"/>
  <c r="O1676" i="35"/>
  <c r="N1676" i="35"/>
  <c r="O1658" i="35"/>
  <c r="K1477" i="35"/>
  <c r="M1754" i="35" s="1"/>
  <c r="N1754" i="35" s="1"/>
  <c r="L1674" i="35"/>
  <c r="G1477" i="35"/>
  <c r="I1754" i="35" s="1"/>
  <c r="O1754" i="35" s="1"/>
  <c r="H1674" i="35"/>
  <c r="N1658" i="35"/>
  <c r="L1670" i="35"/>
  <c r="H1670" i="35"/>
  <c r="G1604" i="35"/>
  <c r="I1669" i="35" s="1"/>
  <c r="H1669" i="35"/>
  <c r="H1667" i="35"/>
  <c r="N1656" i="35"/>
  <c r="K1604" i="35"/>
  <c r="M1669" i="35" s="1"/>
  <c r="L1669" i="35"/>
  <c r="K1520" i="35"/>
  <c r="L1668" i="35"/>
  <c r="G1520" i="35"/>
  <c r="H1668" i="35"/>
  <c r="L1667" i="35"/>
  <c r="K1617" i="35"/>
  <c r="L1666" i="35"/>
  <c r="G1617" i="35"/>
  <c r="H1666" i="35"/>
  <c r="K1564" i="35"/>
  <c r="L1664" i="35"/>
  <c r="G1564" i="35"/>
  <c r="H1664" i="35"/>
  <c r="AA804" i="31"/>
  <c r="N26" i="33" s="1"/>
  <c r="R26" i="33" s="1"/>
  <c r="G1597" i="35"/>
  <c r="H1660" i="35"/>
  <c r="K1597" i="35"/>
  <c r="L1660" i="35"/>
  <c r="O1656" i="35"/>
  <c r="H91" i="33" s="1"/>
  <c r="S91" i="33" s="1"/>
  <c r="K1432" i="35"/>
  <c r="M1448" i="35" s="1"/>
  <c r="L1657" i="35"/>
  <c r="G1432" i="35"/>
  <c r="I1438" i="35" s="1"/>
  <c r="H1657" i="35"/>
  <c r="K1544" i="35"/>
  <c r="M2021" i="35" s="1"/>
  <c r="L1654" i="35"/>
  <c r="G1544" i="35"/>
  <c r="I2021" i="35" s="1"/>
  <c r="H1654" i="35"/>
  <c r="K1595" i="35"/>
  <c r="L1651" i="35"/>
  <c r="G1595" i="35"/>
  <c r="H1651" i="35"/>
  <c r="K1476" i="35"/>
  <c r="M1715" i="35" s="1"/>
  <c r="N1715" i="35" s="1"/>
  <c r="L1650" i="35"/>
  <c r="G1476" i="35"/>
  <c r="I1715" i="35" s="1"/>
  <c r="O1715" i="35" s="1"/>
  <c r="H1650" i="35"/>
  <c r="L1647" i="35"/>
  <c r="H1647" i="35"/>
  <c r="G1482" i="35"/>
  <c r="H1645" i="35"/>
  <c r="K1482" i="35"/>
  <c r="L1645" i="35"/>
  <c r="G1513" i="35"/>
  <c r="H1641" i="35"/>
  <c r="K1513" i="35"/>
  <c r="L1641" i="35"/>
  <c r="K1441" i="35"/>
  <c r="L1637" i="35"/>
  <c r="G1441" i="35"/>
  <c r="H1637" i="35"/>
  <c r="AA803" i="31"/>
  <c r="AA802" i="31"/>
  <c r="K1594" i="35"/>
  <c r="M2014" i="35" s="1"/>
  <c r="N2014" i="35" s="1"/>
  <c r="L1635" i="35"/>
  <c r="G1594" i="35"/>
  <c r="I2014" i="35" s="1"/>
  <c r="O2014" i="35" s="1"/>
  <c r="H1635" i="35"/>
  <c r="K1409" i="35"/>
  <c r="L1634" i="35"/>
  <c r="G1409" i="35"/>
  <c r="H1634" i="35"/>
  <c r="K1487" i="35"/>
  <c r="L1631" i="35"/>
  <c r="G1487" i="35"/>
  <c r="H1631" i="35"/>
  <c r="S800" i="31"/>
  <c r="T800" i="31" s="1"/>
  <c r="AA801" i="31"/>
  <c r="AD795" i="31"/>
  <c r="S797" i="31"/>
  <c r="T797" i="31" s="1"/>
  <c r="K1549" i="35"/>
  <c r="M2013" i="35" s="1"/>
  <c r="N2013" i="35" s="1"/>
  <c r="L1626" i="35"/>
  <c r="G1549" i="35"/>
  <c r="H1626" i="35"/>
  <c r="L1624" i="35"/>
  <c r="H1624" i="35"/>
  <c r="AD800" i="31"/>
  <c r="X800" i="31"/>
  <c r="Y800" i="31" s="1"/>
  <c r="Z800" i="31"/>
  <c r="H1617" i="35"/>
  <c r="S799" i="31"/>
  <c r="T799" i="31" s="1"/>
  <c r="X799" i="31"/>
  <c r="Y799" i="31" s="1"/>
  <c r="Z799" i="31"/>
  <c r="S796" i="31"/>
  <c r="T796" i="31" s="1"/>
  <c r="S798" i="31"/>
  <c r="T798" i="31" s="1"/>
  <c r="AD796" i="31"/>
  <c r="AD797" i="31"/>
  <c r="Z798" i="31"/>
  <c r="X798" i="31"/>
  <c r="Y798" i="31" s="1"/>
  <c r="AD798" i="31"/>
  <c r="X797" i="31"/>
  <c r="Y797" i="31" s="1"/>
  <c r="Z797" i="31"/>
  <c r="S795" i="31"/>
  <c r="T795" i="31" s="1"/>
  <c r="L1621" i="35"/>
  <c r="H1621" i="35"/>
  <c r="L1620" i="35"/>
  <c r="H1620" i="35"/>
  <c r="L1617" i="35"/>
  <c r="L1619" i="35"/>
  <c r="H1619" i="35"/>
  <c r="X796" i="31"/>
  <c r="Y796" i="31" s="1"/>
  <c r="Z796" i="31"/>
  <c r="S794" i="31"/>
  <c r="T794" i="31" s="1"/>
  <c r="S792" i="31"/>
  <c r="T792" i="31" s="1"/>
  <c r="Z794" i="31"/>
  <c r="X795" i="31"/>
  <c r="Y795" i="31" s="1"/>
  <c r="Z795" i="31"/>
  <c r="AD794" i="31"/>
  <c r="X794" i="31"/>
  <c r="Y794" i="31" s="1"/>
  <c r="S793" i="31"/>
  <c r="T793" i="31" s="1"/>
  <c r="X792" i="31"/>
  <c r="Y792" i="31" s="1"/>
  <c r="X793" i="31"/>
  <c r="Y793" i="31" s="1"/>
  <c r="Z793" i="31"/>
  <c r="Z792" i="31"/>
  <c r="AD793" i="31"/>
  <c r="AD792" i="31"/>
  <c r="AD791" i="31"/>
  <c r="L1615" i="35"/>
  <c r="H1615" i="35"/>
  <c r="S791" i="31"/>
  <c r="T791" i="31" s="1"/>
  <c r="X791" i="31"/>
  <c r="Y791" i="31" s="1"/>
  <c r="Z791" i="31"/>
  <c r="L1614" i="35"/>
  <c r="H1614" i="35"/>
  <c r="L1613" i="35"/>
  <c r="L1612" i="35"/>
  <c r="H1613" i="35"/>
  <c r="H1612" i="35"/>
  <c r="O436" i="6"/>
  <c r="M435" i="6"/>
  <c r="J434" i="6"/>
  <c r="L435" i="6"/>
  <c r="M436" i="6"/>
  <c r="L1603" i="35"/>
  <c r="H1603" i="35"/>
  <c r="S762" i="31"/>
  <c r="T762" i="31" s="1"/>
  <c r="S733" i="31"/>
  <c r="T733" i="31" s="1"/>
  <c r="S743" i="31"/>
  <c r="T743" i="31" s="1"/>
  <c r="AD762" i="31"/>
  <c r="E30" i="40"/>
  <c r="X762" i="31"/>
  <c r="Y762" i="31" s="1"/>
  <c r="Z762" i="31"/>
  <c r="M434" i="6"/>
  <c r="L434" i="6"/>
  <c r="S717" i="31"/>
  <c r="T717" i="31" s="1"/>
  <c r="AD743" i="31"/>
  <c r="AD717" i="31"/>
  <c r="X717" i="31"/>
  <c r="Y717" i="31" s="1"/>
  <c r="X743" i="31"/>
  <c r="Y743" i="31" s="1"/>
  <c r="Z743" i="31"/>
  <c r="Z717" i="31"/>
  <c r="L1597" i="35"/>
  <c r="Q35" i="33"/>
  <c r="R35" i="33" s="1"/>
  <c r="L1594" i="35"/>
  <c r="Q132" i="33"/>
  <c r="R132" i="33" s="1"/>
  <c r="Q71" i="33"/>
  <c r="R71" i="33" s="1"/>
  <c r="L1602" i="35"/>
  <c r="I1584" i="35"/>
  <c r="H1602" i="35"/>
  <c r="AD709" i="31"/>
  <c r="S709" i="31"/>
  <c r="T709" i="31" s="1"/>
  <c r="X709" i="31"/>
  <c r="Y709" i="31" s="1"/>
  <c r="Z709" i="31"/>
  <c r="S742" i="31"/>
  <c r="T742" i="31" s="1"/>
  <c r="H1597" i="35"/>
  <c r="L1600" i="35"/>
  <c r="H1600" i="35"/>
  <c r="H1595" i="35"/>
  <c r="AD742" i="31"/>
  <c r="X742" i="31"/>
  <c r="Y742" i="31" s="1"/>
  <c r="Z742" i="31"/>
  <c r="S758" i="31"/>
  <c r="T758" i="31" s="1"/>
  <c r="L1598" i="35"/>
  <c r="H1594" i="35"/>
  <c r="H1598" i="35"/>
  <c r="AD759" i="31"/>
  <c r="AD758" i="31"/>
  <c r="X759" i="31"/>
  <c r="Y759" i="31" s="1"/>
  <c r="Z759" i="31"/>
  <c r="X758" i="31"/>
  <c r="Y758" i="31" s="1"/>
  <c r="S741" i="31"/>
  <c r="T741" i="31" s="1"/>
  <c r="Z758" i="31"/>
  <c r="S782" i="31"/>
  <c r="T782" i="31" s="1"/>
  <c r="AD741" i="31"/>
  <c r="X741" i="31"/>
  <c r="Y741" i="31" s="1"/>
  <c r="Z741" i="31"/>
  <c r="S781" i="31"/>
  <c r="T781" i="31" s="1"/>
  <c r="AD782" i="31"/>
  <c r="Q45" i="33"/>
  <c r="Z781" i="31"/>
  <c r="AD781" i="31"/>
  <c r="X782" i="31"/>
  <c r="Y782" i="31" s="1"/>
  <c r="Z782" i="31"/>
  <c r="X781" i="31"/>
  <c r="Y781" i="31" s="1"/>
  <c r="S779" i="31"/>
  <c r="T779" i="31" s="1"/>
  <c r="L1595" i="35"/>
  <c r="Q116" i="33"/>
  <c r="R116" i="33" s="1"/>
  <c r="L1589" i="35"/>
  <c r="H1589" i="35"/>
  <c r="M1574" i="35"/>
  <c r="S790" i="31"/>
  <c r="T790" i="31" s="1"/>
  <c r="AD790" i="31"/>
  <c r="X790" i="31"/>
  <c r="Y790" i="31" s="1"/>
  <c r="Z790" i="31"/>
  <c r="S691" i="31"/>
  <c r="T691" i="31" s="1"/>
  <c r="S708" i="31"/>
  <c r="T708" i="31" s="1"/>
  <c r="L1585" i="35"/>
  <c r="M1584" i="35"/>
  <c r="H1585" i="35"/>
  <c r="L1584" i="35"/>
  <c r="H1584" i="35"/>
  <c r="L1583" i="35"/>
  <c r="H1583" i="35"/>
  <c r="L1582" i="35"/>
  <c r="H1582" i="35"/>
  <c r="AD779" i="31"/>
  <c r="X779" i="31"/>
  <c r="Y779" i="31" s="1"/>
  <c r="AD708" i="31"/>
  <c r="Z708" i="31"/>
  <c r="Z779" i="31"/>
  <c r="AD691" i="31"/>
  <c r="I1577" i="35"/>
  <c r="M1577" i="35"/>
  <c r="L1577" i="35"/>
  <c r="I1473" i="35"/>
  <c r="H1577" i="35"/>
  <c r="M1473" i="35"/>
  <c r="L1574" i="35"/>
  <c r="I1574" i="35"/>
  <c r="H1574" i="35"/>
  <c r="H1570" i="35"/>
  <c r="L1570" i="35"/>
  <c r="H1564" i="35"/>
  <c r="L1561" i="35"/>
  <c r="L1568" i="35"/>
  <c r="L1560" i="35"/>
  <c r="H1568" i="35"/>
  <c r="L1564" i="35"/>
  <c r="H1561" i="35"/>
  <c r="H1553" i="35"/>
  <c r="O1553" i="35" s="1"/>
  <c r="H96" i="33" s="1"/>
  <c r="S96" i="33" s="1"/>
  <c r="H1560" i="35"/>
  <c r="Q128" i="33"/>
  <c r="R128" i="33" s="1"/>
  <c r="Q117" i="33"/>
  <c r="R117" i="33" s="1"/>
  <c r="L1553" i="35"/>
  <c r="N1553" i="35" s="1"/>
  <c r="I1558" i="35"/>
  <c r="M1558" i="35"/>
  <c r="L1558" i="35"/>
  <c r="H1558" i="35"/>
  <c r="X708" i="31"/>
  <c r="Y708" i="31" s="1"/>
  <c r="X691" i="31"/>
  <c r="Y691" i="31" s="1"/>
  <c r="Z691" i="31"/>
  <c r="S767" i="31"/>
  <c r="T767" i="31" s="1"/>
  <c r="AD785" i="31"/>
  <c r="S785" i="31"/>
  <c r="T785" i="31" s="1"/>
  <c r="AD767" i="31"/>
  <c r="X785" i="31"/>
  <c r="Y785" i="31" s="1"/>
  <c r="Z785" i="31"/>
  <c r="X767" i="31"/>
  <c r="Y767" i="31" s="1"/>
  <c r="Z767" i="31"/>
  <c r="L1556" i="35"/>
  <c r="H1556" i="35"/>
  <c r="AD772" i="31"/>
  <c r="AD773" i="31"/>
  <c r="S773" i="31"/>
  <c r="T773" i="31" s="1"/>
  <c r="Q96" i="33"/>
  <c r="M1550" i="35"/>
  <c r="I1551" i="35"/>
  <c r="M1551" i="35"/>
  <c r="I1550" i="35"/>
  <c r="L1551" i="35"/>
  <c r="H1551" i="35"/>
  <c r="L1550" i="35"/>
  <c r="L1544" i="35"/>
  <c r="H1550" i="35"/>
  <c r="Q56" i="33"/>
  <c r="L1547" i="35"/>
  <c r="H1547" i="35"/>
  <c r="H1544" i="35"/>
  <c r="AD774" i="31"/>
  <c r="X774" i="31"/>
  <c r="Y774" i="31" s="1"/>
  <c r="Z774" i="31"/>
  <c r="X773" i="31"/>
  <c r="Y773" i="31" s="1"/>
  <c r="S772" i="31"/>
  <c r="T772" i="31" s="1"/>
  <c r="Z773" i="31"/>
  <c r="M1542" i="35"/>
  <c r="S771" i="31"/>
  <c r="T771" i="31" s="1"/>
  <c r="X772" i="31"/>
  <c r="Y772" i="31" s="1"/>
  <c r="Z772" i="31"/>
  <c r="Q601" i="33"/>
  <c r="S770" i="31"/>
  <c r="T770" i="31" s="1"/>
  <c r="AD771" i="31"/>
  <c r="X771" i="31"/>
  <c r="Y771" i="31" s="1"/>
  <c r="Z771" i="31"/>
  <c r="Z770" i="31"/>
  <c r="AD770" i="31"/>
  <c r="X770" i="31"/>
  <c r="Y770" i="31" s="1"/>
  <c r="S757" i="31"/>
  <c r="T757" i="31" s="1"/>
  <c r="S769" i="31"/>
  <c r="T769" i="31" s="1"/>
  <c r="S754" i="31"/>
  <c r="T754" i="31" s="1"/>
  <c r="AD769" i="31"/>
  <c r="S768" i="31"/>
  <c r="T768" i="31" s="1"/>
  <c r="X769" i="31"/>
  <c r="Y769" i="31" s="1"/>
  <c r="Z769" i="31"/>
  <c r="AD768" i="31"/>
  <c r="X768" i="31"/>
  <c r="Y768" i="31" s="1"/>
  <c r="Z768" i="31"/>
  <c r="S765" i="31"/>
  <c r="T765" i="31" s="1"/>
  <c r="AD757" i="31"/>
  <c r="AD765" i="31"/>
  <c r="L1542" i="35"/>
  <c r="H1542" i="35"/>
  <c r="Z757" i="31"/>
  <c r="X757" i="31"/>
  <c r="Y757" i="31" s="1"/>
  <c r="X754" i="31"/>
  <c r="Y754" i="31" s="1"/>
  <c r="Z754" i="31"/>
  <c r="AD754" i="31"/>
  <c r="S764" i="31"/>
  <c r="T764" i="31" s="1"/>
  <c r="L1513" i="35"/>
  <c r="Q589" i="33"/>
  <c r="X764" i="31"/>
  <c r="Y764" i="31" s="1"/>
  <c r="X765" i="31"/>
  <c r="Y765" i="31" s="1"/>
  <c r="Z765" i="31"/>
  <c r="Z764" i="31"/>
  <c r="AD761" i="31"/>
  <c r="S763" i="31"/>
  <c r="T763" i="31" s="1"/>
  <c r="L1537" i="35"/>
  <c r="H1533" i="35"/>
  <c r="H1537" i="35"/>
  <c r="X763" i="31"/>
  <c r="Y763" i="31" s="1"/>
  <c r="Z763" i="31"/>
  <c r="AD763" i="31"/>
  <c r="AD789" i="31"/>
  <c r="S789" i="31"/>
  <c r="T789" i="31" s="1"/>
  <c r="S761" i="31"/>
  <c r="T761" i="31" s="1"/>
  <c r="Z789" i="31"/>
  <c r="X789" i="31"/>
  <c r="Y789" i="31" s="1"/>
  <c r="I1534" i="35"/>
  <c r="M1534" i="35"/>
  <c r="L1534" i="35"/>
  <c r="H1534" i="35"/>
  <c r="X761" i="31"/>
  <c r="Y761" i="31" s="1"/>
  <c r="S760" i="31"/>
  <c r="T760" i="31" s="1"/>
  <c r="Z761" i="31"/>
  <c r="M1533" i="35"/>
  <c r="L1533" i="35"/>
  <c r="L1520" i="35"/>
  <c r="X760" i="31"/>
  <c r="Y760" i="31" s="1"/>
  <c r="Z760" i="31"/>
  <c r="Z788" i="31"/>
  <c r="L1525" i="35"/>
  <c r="H1525" i="35"/>
  <c r="H1520" i="35"/>
  <c r="S788" i="31"/>
  <c r="T788" i="31" s="1"/>
  <c r="L1523" i="35"/>
  <c r="I1521" i="35"/>
  <c r="H1523" i="35"/>
  <c r="M1521" i="35"/>
  <c r="L1521" i="35"/>
  <c r="H1521" i="35"/>
  <c r="Q120" i="33"/>
  <c r="R120" i="33" s="1"/>
  <c r="AD788" i="31"/>
  <c r="X788" i="31"/>
  <c r="Y788" i="31" s="1"/>
  <c r="S739" i="31"/>
  <c r="T739" i="31" s="1"/>
  <c r="AD739" i="31"/>
  <c r="AD737" i="31"/>
  <c r="X737" i="31"/>
  <c r="Y737" i="31" s="1"/>
  <c r="X739" i="31"/>
  <c r="Y739" i="31" s="1"/>
  <c r="Z739" i="31"/>
  <c r="S737" i="31"/>
  <c r="T737" i="31" s="1"/>
  <c r="Z737" i="31"/>
  <c r="S755" i="31"/>
  <c r="T755" i="31" s="1"/>
  <c r="S756" i="31"/>
  <c r="T756" i="31" s="1"/>
  <c r="Q101" i="33"/>
  <c r="H1513" i="35"/>
  <c r="Q109" i="33"/>
  <c r="R109" i="33" s="1"/>
  <c r="Q588" i="33"/>
  <c r="AD756" i="31"/>
  <c r="AD755" i="31"/>
  <c r="X755" i="31"/>
  <c r="Y755" i="31" s="1"/>
  <c r="X756" i="31"/>
  <c r="Y756" i="31" s="1"/>
  <c r="Z756" i="31"/>
  <c r="Z755" i="31"/>
  <c r="S752" i="31"/>
  <c r="T752" i="31" s="1"/>
  <c r="S753" i="31"/>
  <c r="T753" i="31" s="1"/>
  <c r="S751" i="31"/>
  <c r="T751" i="31" s="1"/>
  <c r="AD753" i="31"/>
  <c r="Z735" i="31"/>
  <c r="X735" i="31"/>
  <c r="Y735" i="31" s="1"/>
  <c r="X753" i="31"/>
  <c r="Y753" i="31" s="1"/>
  <c r="Z753" i="31"/>
  <c r="S735" i="31"/>
  <c r="T735" i="31" s="1"/>
  <c r="AD735" i="31"/>
  <c r="H1498" i="35"/>
  <c r="I1414" i="35"/>
  <c r="M1414" i="35"/>
  <c r="L1498" i="35"/>
  <c r="M1494" i="35"/>
  <c r="H1482" i="35"/>
  <c r="L1487" i="35"/>
  <c r="L1491" i="35"/>
  <c r="I1398" i="35"/>
  <c r="L1494" i="35"/>
  <c r="H1483" i="35"/>
  <c r="M1398" i="35"/>
  <c r="L1476" i="35"/>
  <c r="I1494" i="35"/>
  <c r="H1494" i="35"/>
  <c r="AD752" i="31"/>
  <c r="X752" i="31"/>
  <c r="Y752" i="31" s="1"/>
  <c r="Z752" i="31"/>
  <c r="S723" i="31"/>
  <c r="T723" i="31" s="1"/>
  <c r="M578" i="33" s="1"/>
  <c r="S749" i="31"/>
  <c r="T749" i="31" s="1"/>
  <c r="M586" i="33" s="1"/>
  <c r="H1487" i="35"/>
  <c r="Q92" i="33"/>
  <c r="R92" i="33" s="1"/>
  <c r="H1491" i="35"/>
  <c r="L1483" i="35"/>
  <c r="L1482" i="35"/>
  <c r="L1477" i="35"/>
  <c r="H1477" i="35"/>
  <c r="S587" i="33"/>
  <c r="Q36" i="33"/>
  <c r="R36" i="33" s="1"/>
  <c r="J587" i="33"/>
  <c r="K587" i="33"/>
  <c r="Q587" i="33"/>
  <c r="F89" i="40"/>
  <c r="Q67" i="33"/>
  <c r="B55" i="40" s="1"/>
  <c r="X751" i="31"/>
  <c r="Y751" i="31" s="1"/>
  <c r="Z751" i="31"/>
  <c r="X750" i="31"/>
  <c r="Y750" i="31" s="1"/>
  <c r="Z750" i="31"/>
  <c r="S747" i="31"/>
  <c r="T747" i="31" s="1"/>
  <c r="AD751" i="31"/>
  <c r="S750" i="31"/>
  <c r="T750" i="31" s="1"/>
  <c r="Q112" i="33"/>
  <c r="R112" i="33" s="1"/>
  <c r="S586" i="33"/>
  <c r="J586" i="33"/>
  <c r="L1473" i="35"/>
  <c r="H1473" i="35"/>
  <c r="AD749" i="31"/>
  <c r="Z749" i="31"/>
  <c r="X749" i="31"/>
  <c r="Y749" i="31" s="1"/>
  <c r="Z738" i="31"/>
  <c r="Q586" i="33"/>
  <c r="K586" i="33"/>
  <c r="S748" i="31"/>
  <c r="T748" i="31" s="1"/>
  <c r="H1476" i="35"/>
  <c r="Q121" i="33"/>
  <c r="R121" i="33" s="1"/>
  <c r="Q79" i="33"/>
  <c r="I1467" i="35"/>
  <c r="Q585" i="33"/>
  <c r="R585" i="33" s="1"/>
  <c r="X748" i="31"/>
  <c r="Y748" i="31" s="1"/>
  <c r="Z748" i="31"/>
  <c r="AD748" i="31"/>
  <c r="AD747" i="31"/>
  <c r="X747" i="31"/>
  <c r="Y747" i="31" s="1"/>
  <c r="Z747" i="31"/>
  <c r="S725" i="31"/>
  <c r="T725" i="31" s="1"/>
  <c r="M1469" i="35"/>
  <c r="I1469" i="35"/>
  <c r="M1467" i="35"/>
  <c r="L1469" i="35"/>
  <c r="H1469" i="35"/>
  <c r="M1443" i="35"/>
  <c r="L1467" i="35"/>
  <c r="AD725" i="31"/>
  <c r="AD720" i="31"/>
  <c r="X725" i="31"/>
  <c r="Y725" i="31" s="1"/>
  <c r="S720" i="31"/>
  <c r="T720" i="31" s="1"/>
  <c r="Z725" i="31"/>
  <c r="X720" i="31"/>
  <c r="Y720" i="31" s="1"/>
  <c r="Z720" i="31"/>
  <c r="S690" i="31"/>
  <c r="T690" i="31" s="1"/>
  <c r="AD690" i="31"/>
  <c r="AD676" i="31"/>
  <c r="X676" i="31"/>
  <c r="Y676" i="31" s="1"/>
  <c r="Z676" i="31"/>
  <c r="X690" i="31"/>
  <c r="Y690" i="31" s="1"/>
  <c r="Z690" i="31"/>
  <c r="S676" i="31"/>
  <c r="T676" i="31" s="1"/>
  <c r="S744" i="31"/>
  <c r="T744" i="31" s="1"/>
  <c r="S745" i="31"/>
  <c r="T745" i="31" s="1"/>
  <c r="AD745" i="31"/>
  <c r="Z745" i="31"/>
  <c r="X745" i="31"/>
  <c r="Y745" i="31" s="1"/>
  <c r="Z744" i="31"/>
  <c r="X744" i="31"/>
  <c r="Y744" i="31" s="1"/>
  <c r="AD744" i="31"/>
  <c r="M1452" i="35"/>
  <c r="M1447" i="35"/>
  <c r="H1467" i="35"/>
  <c r="I1443" i="35"/>
  <c r="H1384" i="35"/>
  <c r="L1463" i="35"/>
  <c r="H1463" i="35"/>
  <c r="S787" i="31"/>
  <c r="T787" i="31" s="1"/>
  <c r="S740" i="31"/>
  <c r="T740" i="31" s="1"/>
  <c r="Z740" i="31"/>
  <c r="X740" i="31"/>
  <c r="Y740" i="31" s="1"/>
  <c r="X787" i="31"/>
  <c r="Y787" i="31" s="1"/>
  <c r="Z787" i="31"/>
  <c r="AD787" i="31"/>
  <c r="S738" i="31"/>
  <c r="T738" i="31" s="1"/>
  <c r="M1384" i="35"/>
  <c r="M1460" i="35"/>
  <c r="L1460" i="35"/>
  <c r="H1460" i="35"/>
  <c r="L1454" i="35"/>
  <c r="L1455" i="35"/>
  <c r="H1455" i="35"/>
  <c r="M1422" i="35"/>
  <c r="M1454" i="35"/>
  <c r="I1422" i="35"/>
  <c r="I1454" i="35"/>
  <c r="H1454" i="35"/>
  <c r="I1373" i="35"/>
  <c r="L1452" i="35"/>
  <c r="I1452" i="35"/>
  <c r="H1452" i="35"/>
  <c r="M1373" i="35"/>
  <c r="H1443" i="35"/>
  <c r="L1443" i="35"/>
  <c r="AD719" i="31"/>
  <c r="L1448" i="35"/>
  <c r="I1421" i="35"/>
  <c r="H1435" i="35"/>
  <c r="H1448" i="35"/>
  <c r="L1447" i="35"/>
  <c r="I1447" i="35"/>
  <c r="H1447" i="35"/>
  <c r="M1421" i="35"/>
  <c r="L1435" i="35"/>
  <c r="H1441" i="35"/>
  <c r="L1441" i="35"/>
  <c r="S736" i="31"/>
  <c r="T736" i="31" s="1"/>
  <c r="S719" i="31"/>
  <c r="T719" i="31" s="1"/>
  <c r="Q584" i="33"/>
  <c r="H1432" i="35"/>
  <c r="H1438" i="35"/>
  <c r="Q131" i="33"/>
  <c r="L1421" i="35"/>
  <c r="L1438" i="35"/>
  <c r="AD738" i="31"/>
  <c r="X738" i="31"/>
  <c r="Y738" i="31" s="1"/>
  <c r="L1419" i="35"/>
  <c r="L1432" i="35"/>
  <c r="F88" i="40"/>
  <c r="Q38" i="33"/>
  <c r="R38" i="33" s="1"/>
  <c r="H1419" i="35"/>
  <c r="X719" i="31"/>
  <c r="Y719" i="31" s="1"/>
  <c r="Z719" i="31"/>
  <c r="Z736" i="31"/>
  <c r="S669" i="31"/>
  <c r="T669" i="31" s="1"/>
  <c r="X736" i="31"/>
  <c r="Y736" i="31" s="1"/>
  <c r="AD736" i="31"/>
  <c r="S732" i="31"/>
  <c r="T732" i="31" s="1"/>
  <c r="Q108" i="33"/>
  <c r="R108" i="33" s="1"/>
  <c r="L1429" i="35"/>
  <c r="H1429" i="35"/>
  <c r="H1422" i="35"/>
  <c r="L1422" i="35"/>
  <c r="L1409" i="35"/>
  <c r="M1425" i="35"/>
  <c r="I1425" i="35"/>
  <c r="L1425" i="35"/>
  <c r="H1425" i="35"/>
  <c r="H1421" i="35"/>
  <c r="L1414" i="35"/>
  <c r="Q583" i="33"/>
  <c r="R583" i="33" s="1"/>
  <c r="H1414" i="35"/>
  <c r="Q127" i="33"/>
  <c r="R127" i="33" s="1"/>
  <c r="AD669" i="31"/>
  <c r="X669" i="31"/>
  <c r="Y669" i="31" s="1"/>
  <c r="Z669" i="31"/>
  <c r="L1404" i="35"/>
  <c r="H1404" i="35"/>
  <c r="L1373" i="35"/>
  <c r="S734" i="31"/>
  <c r="T734" i="31" s="1"/>
  <c r="L1398" i="35"/>
  <c r="H1409" i="35"/>
  <c r="I1407" i="35"/>
  <c r="L1408" i="35"/>
  <c r="H1408" i="35"/>
  <c r="M1408" i="35"/>
  <c r="I1404" i="35"/>
  <c r="I1408" i="35"/>
  <c r="Q88" i="33"/>
  <c r="R88" i="33" s="1"/>
  <c r="L1401" i="35"/>
  <c r="M1404" i="35"/>
  <c r="I1401" i="35"/>
  <c r="M1407" i="35"/>
  <c r="L1407" i="35"/>
  <c r="H1407" i="35"/>
  <c r="M1401" i="35"/>
  <c r="H1401" i="35"/>
  <c r="AD733" i="31"/>
  <c r="X733" i="31"/>
  <c r="Y733" i="31" s="1"/>
  <c r="X734" i="31"/>
  <c r="Y734" i="31" s="1"/>
  <c r="Z734" i="31"/>
  <c r="AD734" i="31"/>
  <c r="Z733" i="31"/>
  <c r="Z732" i="31"/>
  <c r="H1398" i="35"/>
  <c r="Q582" i="33"/>
  <c r="X732" i="31"/>
  <c r="Y732" i="31" s="1"/>
  <c r="AD732" i="31"/>
  <c r="I1396" i="35"/>
  <c r="L1384" i="35"/>
  <c r="M1396" i="35"/>
  <c r="Q581" i="33"/>
  <c r="R581" i="33" s="1"/>
  <c r="S730" i="31"/>
  <c r="T730" i="31" s="1"/>
  <c r="S731" i="31"/>
  <c r="T731" i="31" s="1"/>
  <c r="AD730" i="31"/>
  <c r="AD731" i="31"/>
  <c r="X731" i="31"/>
  <c r="Y731" i="31" s="1"/>
  <c r="Z731" i="31"/>
  <c r="L1396" i="35"/>
  <c r="H1396" i="35"/>
  <c r="M1355" i="35"/>
  <c r="I1355" i="35"/>
  <c r="S729" i="31"/>
  <c r="T729" i="31" s="1"/>
  <c r="X730" i="31"/>
  <c r="Y730" i="31" s="1"/>
  <c r="Z730" i="31"/>
  <c r="X729" i="31"/>
  <c r="Y729" i="31" s="1"/>
  <c r="Z729" i="31"/>
  <c r="G1384" i="35"/>
  <c r="I1533" i="35" s="1"/>
  <c r="S727" i="31"/>
  <c r="T727" i="31" s="1"/>
  <c r="S728" i="31"/>
  <c r="T728" i="31" s="1"/>
  <c r="X728" i="31"/>
  <c r="Y728" i="31" s="1"/>
  <c r="Z728" i="31"/>
  <c r="AD728" i="31"/>
  <c r="AD726" i="31"/>
  <c r="X727" i="31"/>
  <c r="Y727" i="31" s="1"/>
  <c r="Z727" i="31"/>
  <c r="AD727" i="31"/>
  <c r="S726" i="31"/>
  <c r="T726" i="31" s="1"/>
  <c r="X726" i="31"/>
  <c r="Y726" i="31" s="1"/>
  <c r="Z726" i="31"/>
  <c r="S784" i="31"/>
  <c r="T784" i="31" s="1"/>
  <c r="H1361" i="35"/>
  <c r="Q580" i="33"/>
  <c r="R580" i="33" s="1"/>
  <c r="H1373" i="35"/>
  <c r="E28" i="40"/>
  <c r="X784" i="31"/>
  <c r="Y784" i="31" s="1"/>
  <c r="Z784" i="31"/>
  <c r="S724" i="31"/>
  <c r="T724" i="31" s="1"/>
  <c r="AD784" i="31"/>
  <c r="L1361" i="35"/>
  <c r="H1355" i="35"/>
  <c r="I1364" i="35"/>
  <c r="Q579" i="33"/>
  <c r="R579" i="33" s="1"/>
  <c r="AD724" i="31"/>
  <c r="X724" i="31"/>
  <c r="Y724" i="31" s="1"/>
  <c r="Z724" i="31"/>
  <c r="AD718" i="31"/>
  <c r="AD723" i="31"/>
  <c r="S578" i="33"/>
  <c r="H1362" i="35"/>
  <c r="J578" i="33"/>
  <c r="K578" i="33"/>
  <c r="Q578" i="33"/>
  <c r="X723" i="31"/>
  <c r="Y723" i="31" s="1"/>
  <c r="Z723" i="31"/>
  <c r="AD722" i="31"/>
  <c r="AD721" i="31"/>
  <c r="S722" i="31"/>
  <c r="T722" i="31" s="1"/>
  <c r="S721" i="31"/>
  <c r="T721" i="31" s="1"/>
  <c r="I3" i="42"/>
  <c r="X722" i="31"/>
  <c r="Y722" i="31" s="1"/>
  <c r="Z722" i="31"/>
  <c r="X721" i="31"/>
  <c r="Y721" i="31" s="1"/>
  <c r="S672" i="31"/>
  <c r="T672" i="31" s="1"/>
  <c r="S766" i="31"/>
  <c r="T766" i="31" s="1"/>
  <c r="Z721" i="31"/>
  <c r="L1364" i="35"/>
  <c r="X672" i="31"/>
  <c r="Y672" i="31" s="1"/>
  <c r="Z672" i="31"/>
  <c r="AD672" i="31"/>
  <c r="S718" i="31"/>
  <c r="T718" i="31" s="1"/>
  <c r="AD766" i="31"/>
  <c r="Z766" i="31"/>
  <c r="X766" i="31"/>
  <c r="Y766" i="31" s="1"/>
  <c r="Z718" i="31"/>
  <c r="X718" i="31"/>
  <c r="Y718" i="31" s="1"/>
  <c r="S786" i="31"/>
  <c r="T786" i="31" s="1"/>
  <c r="L1362" i="35"/>
  <c r="M1364" i="35"/>
  <c r="H1364" i="35"/>
  <c r="M1362" i="35"/>
  <c r="I1362" i="35"/>
  <c r="Q46" i="33"/>
  <c r="R46" i="33" s="1"/>
  <c r="L1355" i="35"/>
  <c r="X786" i="31"/>
  <c r="Y786" i="31" s="1"/>
  <c r="Z786" i="31"/>
  <c r="AD786" i="31"/>
  <c r="Q577" i="33"/>
  <c r="S576" i="33"/>
  <c r="J576" i="33"/>
  <c r="K576" i="33"/>
  <c r="Q576" i="33"/>
  <c r="R576" i="33" s="1"/>
  <c r="I7" i="42"/>
  <c r="J171" i="42"/>
  <c r="I6" i="42"/>
  <c r="J177" i="42"/>
  <c r="I9" i="42"/>
  <c r="I5" i="42"/>
  <c r="I4" i="42"/>
  <c r="I173" i="42"/>
  <c r="I179" i="42"/>
  <c r="I175" i="42"/>
  <c r="I145" i="42"/>
  <c r="I177" i="42"/>
  <c r="I199" i="42"/>
  <c r="I206" i="42"/>
  <c r="I205" i="42"/>
  <c r="J207" i="42"/>
  <c r="I202" i="42"/>
  <c r="I207" i="42"/>
  <c r="I203" i="42"/>
  <c r="I204" i="42"/>
  <c r="J205" i="42"/>
  <c r="J201" i="42"/>
  <c r="I200" i="42"/>
  <c r="J202" i="42"/>
  <c r="J199" i="42"/>
  <c r="I201" i="42"/>
  <c r="J204" i="42"/>
  <c r="J200" i="42"/>
  <c r="J203" i="42"/>
  <c r="J206" i="42"/>
  <c r="I185" i="42"/>
  <c r="I192" i="42"/>
  <c r="J187" i="42"/>
  <c r="I188" i="42"/>
  <c r="I186" i="42"/>
  <c r="J186" i="42"/>
  <c r="I187" i="42"/>
  <c r="J185" i="42"/>
  <c r="J190" i="42"/>
  <c r="I191" i="42"/>
  <c r="J193" i="42"/>
  <c r="J189" i="42"/>
  <c r="J191" i="42"/>
  <c r="J188" i="42"/>
  <c r="I190" i="42"/>
  <c r="I193" i="42"/>
  <c r="J192" i="42"/>
  <c r="I189" i="42"/>
  <c r="I172" i="42"/>
  <c r="J174" i="42"/>
  <c r="I174" i="42"/>
  <c r="J173" i="42"/>
  <c r="J176" i="42"/>
  <c r="I171" i="42"/>
  <c r="J179" i="42"/>
  <c r="J175" i="42"/>
  <c r="I176" i="42"/>
  <c r="I178" i="42"/>
  <c r="J172" i="42"/>
  <c r="J178" i="42"/>
  <c r="I164" i="42"/>
  <c r="I161" i="42"/>
  <c r="J163" i="42"/>
  <c r="I163" i="42"/>
  <c r="I157" i="42"/>
  <c r="I162" i="42"/>
  <c r="I165" i="42"/>
  <c r="J158" i="42"/>
  <c r="J165" i="42"/>
  <c r="I158" i="42"/>
  <c r="I160" i="42"/>
  <c r="J162" i="42"/>
  <c r="J159" i="42"/>
  <c r="J160" i="42"/>
  <c r="J157" i="42"/>
  <c r="J164" i="42"/>
  <c r="I159" i="42"/>
  <c r="J161" i="42"/>
  <c r="J147" i="42"/>
  <c r="I144" i="42"/>
  <c r="I151" i="42"/>
  <c r="I147" i="42"/>
  <c r="J149" i="42"/>
  <c r="J144" i="42"/>
  <c r="J146" i="42"/>
  <c r="I149" i="42"/>
  <c r="J151" i="42"/>
  <c r="J143" i="42"/>
  <c r="I146" i="42"/>
  <c r="J148" i="42"/>
  <c r="I143" i="42"/>
  <c r="J145" i="42"/>
  <c r="I148" i="42"/>
  <c r="J150" i="42"/>
  <c r="J8" i="42"/>
  <c r="J4" i="42"/>
  <c r="J5" i="42"/>
  <c r="J6" i="42"/>
  <c r="J7" i="42"/>
  <c r="J11" i="42"/>
  <c r="J10" i="42"/>
  <c r="J9" i="42"/>
  <c r="J3" i="42"/>
  <c r="I136" i="42"/>
  <c r="J129" i="42"/>
  <c r="I135" i="42"/>
  <c r="I137" i="42"/>
  <c r="I130" i="42"/>
  <c r="I133" i="42"/>
  <c r="I132" i="42"/>
  <c r="I129" i="42"/>
  <c r="I134" i="42"/>
  <c r="J132" i="42"/>
  <c r="J135" i="42"/>
  <c r="J137" i="42"/>
  <c r="J131" i="42"/>
  <c r="J134" i="42"/>
  <c r="J130" i="42"/>
  <c r="I131" i="42"/>
  <c r="J133" i="42"/>
  <c r="J136" i="42"/>
  <c r="I122" i="42"/>
  <c r="I118" i="42"/>
  <c r="I123" i="42"/>
  <c r="I119" i="42"/>
  <c r="J116" i="42"/>
  <c r="I121" i="42"/>
  <c r="J118" i="42"/>
  <c r="J121" i="42"/>
  <c r="I116" i="42"/>
  <c r="J115" i="42"/>
  <c r="J123" i="42"/>
  <c r="J120" i="42"/>
  <c r="I115" i="42"/>
  <c r="J117" i="42"/>
  <c r="I120" i="42"/>
  <c r="J122" i="42"/>
  <c r="I117" i="42"/>
  <c r="J119" i="42"/>
  <c r="I106" i="42"/>
  <c r="I108" i="42"/>
  <c r="I101" i="42"/>
  <c r="I103" i="42"/>
  <c r="I105" i="42"/>
  <c r="I107" i="42"/>
  <c r="J105" i="42"/>
  <c r="I109" i="42"/>
  <c r="J103" i="42"/>
  <c r="J106" i="42"/>
  <c r="J107" i="42"/>
  <c r="J102" i="42"/>
  <c r="J109" i="42"/>
  <c r="I102" i="42"/>
  <c r="J101" i="42"/>
  <c r="J104" i="42"/>
  <c r="J108" i="42"/>
  <c r="I104" i="42"/>
  <c r="I92" i="42"/>
  <c r="I87" i="42"/>
  <c r="J93" i="42"/>
  <c r="I95" i="42"/>
  <c r="I91" i="42"/>
  <c r="I90" i="42"/>
  <c r="I94" i="42"/>
  <c r="J88" i="42"/>
  <c r="I93" i="42"/>
  <c r="J95" i="42"/>
  <c r="I88" i="42"/>
  <c r="J91" i="42"/>
  <c r="J92" i="42"/>
  <c r="J89" i="42"/>
  <c r="J87" i="42"/>
  <c r="I89" i="42"/>
  <c r="J90" i="42"/>
  <c r="J94" i="42"/>
  <c r="I80" i="42"/>
  <c r="J75" i="42"/>
  <c r="I74" i="42"/>
  <c r="I75" i="42"/>
  <c r="I77" i="42"/>
  <c r="J81" i="42"/>
  <c r="J80" i="42"/>
  <c r="J77" i="42"/>
  <c r="J74" i="42"/>
  <c r="J79" i="42"/>
  <c r="J76" i="42"/>
  <c r="I79" i="42"/>
  <c r="J78" i="42"/>
  <c r="J73" i="42"/>
  <c r="I76" i="42"/>
  <c r="I81" i="42"/>
  <c r="I73" i="42"/>
  <c r="I78" i="42"/>
  <c r="I60" i="42"/>
  <c r="I59" i="42"/>
  <c r="J61" i="42"/>
  <c r="I62" i="42"/>
  <c r="I66" i="42"/>
  <c r="I64" i="42"/>
  <c r="I67" i="42"/>
  <c r="I63" i="42"/>
  <c r="J65" i="42"/>
  <c r="I61" i="42"/>
  <c r="J63" i="42"/>
  <c r="J60" i="42"/>
  <c r="J64" i="42"/>
  <c r="I65" i="42"/>
  <c r="J67" i="42"/>
  <c r="J59" i="42"/>
  <c r="J62" i="42"/>
  <c r="J66" i="42"/>
  <c r="I50" i="42"/>
  <c r="I52" i="42"/>
  <c r="J46" i="42"/>
  <c r="I48" i="42"/>
  <c r="I53" i="42"/>
  <c r="I46" i="42"/>
  <c r="J51" i="42"/>
  <c r="J45" i="42"/>
  <c r="I51" i="42"/>
  <c r="J50" i="42"/>
  <c r="I45" i="42"/>
  <c r="J48" i="42"/>
  <c r="I49" i="42"/>
  <c r="J53" i="42"/>
  <c r="J47" i="42"/>
  <c r="J52" i="42"/>
  <c r="I47" i="42"/>
  <c r="J49" i="42"/>
  <c r="I33" i="42"/>
  <c r="J37" i="42"/>
  <c r="I35" i="42"/>
  <c r="J34" i="42"/>
  <c r="I31" i="42"/>
  <c r="I39" i="42"/>
  <c r="I37" i="42"/>
  <c r="I36" i="42"/>
  <c r="J32" i="42"/>
  <c r="I38" i="42"/>
  <c r="J31" i="42"/>
  <c r="I34" i="42"/>
  <c r="J33" i="42"/>
  <c r="I32" i="42"/>
  <c r="J39" i="42"/>
  <c r="J36" i="42"/>
  <c r="J35" i="42"/>
  <c r="J38" i="42"/>
  <c r="I8" i="42"/>
  <c r="I11" i="42"/>
  <c r="I10" i="42"/>
  <c r="J19" i="42"/>
  <c r="J18" i="42"/>
  <c r="J17" i="42"/>
  <c r="J25" i="42"/>
  <c r="J24" i="42"/>
  <c r="J23" i="42"/>
  <c r="J22" i="42"/>
  <c r="J21" i="42"/>
  <c r="J20" i="42"/>
  <c r="I19" i="42"/>
  <c r="I22" i="42"/>
  <c r="I17" i="42"/>
  <c r="I24" i="42"/>
  <c r="I21" i="42"/>
  <c r="I18" i="42"/>
  <c r="I23" i="42"/>
  <c r="I25" i="42"/>
  <c r="I20" i="42"/>
  <c r="C716" i="31" a="1"/>
  <c r="C716" i="31" s="1"/>
  <c r="D716" i="31" a="1"/>
  <c r="D716" i="31" s="1"/>
  <c r="L716" i="31"/>
  <c r="Q716" i="31"/>
  <c r="R716" i="31"/>
  <c r="U716" i="31"/>
  <c r="V716" i="31"/>
  <c r="W716" i="31"/>
  <c r="AB716" i="31"/>
  <c r="AC716" i="31"/>
  <c r="AF716" i="31"/>
  <c r="C715" i="31" a="1"/>
  <c r="C715" i="31" s="1"/>
  <c r="D715" i="31" a="1"/>
  <c r="D715" i="31" s="1"/>
  <c r="L715" i="31"/>
  <c r="Q715" i="31"/>
  <c r="R715" i="31"/>
  <c r="U715" i="31"/>
  <c r="V715" i="31"/>
  <c r="W715" i="31"/>
  <c r="AB715" i="31"/>
  <c r="AC715" i="31"/>
  <c r="AF715" i="31"/>
  <c r="C714" i="31" a="1"/>
  <c r="C714" i="31" s="1"/>
  <c r="D714" i="31" a="1"/>
  <c r="D714" i="31" s="1"/>
  <c r="L714" i="31"/>
  <c r="Q714" i="31"/>
  <c r="R714" i="31"/>
  <c r="U714" i="31"/>
  <c r="V714" i="31"/>
  <c r="W714" i="31"/>
  <c r="AB714" i="31"/>
  <c r="AC714" i="31"/>
  <c r="AF714" i="31"/>
  <c r="C1350" i="35" a="1"/>
  <c r="C1350" i="35" s="1"/>
  <c r="F1350" i="35"/>
  <c r="J1350" i="35"/>
  <c r="Q1350" i="35"/>
  <c r="B174" i="33" a="1"/>
  <c r="B174" i="33" s="1"/>
  <c r="E174" i="33" a="1"/>
  <c r="E174" i="33" s="1"/>
  <c r="F174" i="33" a="1"/>
  <c r="F174" i="33" s="1"/>
  <c r="G174" i="33" a="1"/>
  <c r="G174" i="33" s="1"/>
  <c r="L174" i="33" a="1"/>
  <c r="L174" i="33" s="1"/>
  <c r="M174" i="33"/>
  <c r="N174" i="33"/>
  <c r="P174" i="33"/>
  <c r="C1349" i="35" a="1"/>
  <c r="C1349" i="35" s="1"/>
  <c r="F1349" i="35"/>
  <c r="G1349" i="35" s="1"/>
  <c r="J1349" i="35"/>
  <c r="K1349" i="35" s="1"/>
  <c r="Q1349" i="35"/>
  <c r="C1348" i="35" a="1"/>
  <c r="C1348" i="35" s="1"/>
  <c r="F1348" i="35"/>
  <c r="G1348" i="35" s="1"/>
  <c r="J1348" i="35"/>
  <c r="K1348" i="35" s="1"/>
  <c r="Q1348" i="35"/>
  <c r="C1347" i="35" a="1"/>
  <c r="C1347" i="35" s="1"/>
  <c r="F1347" i="35"/>
  <c r="G1347" i="35" s="1"/>
  <c r="J1347" i="35"/>
  <c r="K1347" i="35" s="1"/>
  <c r="Q1347" i="35"/>
  <c r="C1346" i="35" a="1"/>
  <c r="C1346" i="35" s="1"/>
  <c r="F1346" i="35"/>
  <c r="G1346" i="35" s="1"/>
  <c r="J1346" i="35"/>
  <c r="K1346" i="35" s="1"/>
  <c r="Q1346" i="35"/>
  <c r="C713" i="31" a="1"/>
  <c r="C713" i="31" s="1"/>
  <c r="D713" i="31" a="1"/>
  <c r="D713" i="31" s="1"/>
  <c r="L713" i="31"/>
  <c r="Q713" i="31"/>
  <c r="R713" i="31"/>
  <c r="U713" i="31"/>
  <c r="V713" i="31"/>
  <c r="W713" i="31"/>
  <c r="AB713" i="31"/>
  <c r="AC713" i="31"/>
  <c r="AF713" i="31"/>
  <c r="C712" i="31" a="1"/>
  <c r="C712" i="31" s="1"/>
  <c r="D712" i="31" a="1"/>
  <c r="D712" i="31" s="1"/>
  <c r="L712" i="31"/>
  <c r="Q712" i="31"/>
  <c r="R712" i="31"/>
  <c r="U712" i="31"/>
  <c r="V712" i="31"/>
  <c r="W712" i="31"/>
  <c r="AB712" i="31"/>
  <c r="AC712" i="31"/>
  <c r="AF712" i="31"/>
  <c r="C711" i="31" a="1"/>
  <c r="C711" i="31" s="1"/>
  <c r="D711" i="31" a="1"/>
  <c r="D711" i="31" s="1"/>
  <c r="L711" i="31"/>
  <c r="Q711" i="31"/>
  <c r="R711" i="31"/>
  <c r="U711" i="31"/>
  <c r="V711" i="31"/>
  <c r="W711" i="31"/>
  <c r="AB711" i="31"/>
  <c r="AC711" i="31"/>
  <c r="AF711" i="31"/>
  <c r="C710" i="31" a="1"/>
  <c r="C710" i="31" s="1"/>
  <c r="D710" i="31" a="1"/>
  <c r="D710" i="31" s="1"/>
  <c r="L710" i="31"/>
  <c r="Q710" i="31"/>
  <c r="R710" i="31"/>
  <c r="U710" i="31"/>
  <c r="V710" i="31"/>
  <c r="W710" i="31"/>
  <c r="AB710" i="31"/>
  <c r="AC710" i="31"/>
  <c r="AF710" i="31"/>
  <c r="C1345" i="35" a="1"/>
  <c r="C1345" i="35" s="1"/>
  <c r="F1345" i="35"/>
  <c r="G1345" i="35" s="1"/>
  <c r="J1345" i="35"/>
  <c r="K1345" i="35" s="1"/>
  <c r="Q1345" i="35"/>
  <c r="C1344" i="35" a="1"/>
  <c r="C1344" i="35" s="1"/>
  <c r="F1344" i="35"/>
  <c r="G1344" i="35" s="1"/>
  <c r="J1344" i="35"/>
  <c r="K1344" i="35" s="1"/>
  <c r="Q1344" i="35"/>
  <c r="C1343" i="35" a="1"/>
  <c r="C1343" i="35" s="1"/>
  <c r="F1343" i="35"/>
  <c r="G1343" i="35" s="1"/>
  <c r="J1343" i="35"/>
  <c r="K1343" i="35" s="1"/>
  <c r="Q1343" i="35"/>
  <c r="C1342" i="35" a="1"/>
  <c r="C1342" i="35" s="1"/>
  <c r="F1342" i="35"/>
  <c r="G1342" i="35" s="1"/>
  <c r="J1342" i="35"/>
  <c r="K1342" i="35" s="1"/>
  <c r="Q1342" i="35"/>
  <c r="C1341" i="35" a="1"/>
  <c r="C1341" i="35" s="1"/>
  <c r="F1341" i="35"/>
  <c r="G1341" i="35" s="1"/>
  <c r="J1341" i="35"/>
  <c r="K1341" i="35" s="1"/>
  <c r="Q1341" i="35"/>
  <c r="C1340" i="35" a="1"/>
  <c r="C1340" i="35" s="1"/>
  <c r="F1340" i="35"/>
  <c r="G1340" i="35" s="1"/>
  <c r="J1340" i="35"/>
  <c r="K1340" i="35" s="1"/>
  <c r="Q1340" i="35"/>
  <c r="C1339" i="35" a="1"/>
  <c r="C1339" i="35" s="1"/>
  <c r="F1339" i="35"/>
  <c r="G1339" i="35" s="1"/>
  <c r="J1339" i="35"/>
  <c r="K1339" i="35" s="1"/>
  <c r="Q1339" i="35"/>
  <c r="C1338" i="35" a="1"/>
  <c r="C1338" i="35" s="1"/>
  <c r="F1338" i="35"/>
  <c r="G1338" i="35" s="1"/>
  <c r="J1338" i="35"/>
  <c r="K1338" i="35" s="1"/>
  <c r="Q1338" i="35"/>
  <c r="C1337" i="35" a="1"/>
  <c r="C1337" i="35" s="1"/>
  <c r="F1337" i="35"/>
  <c r="G1337" i="35" s="1"/>
  <c r="J1337" i="35"/>
  <c r="K1337" i="35" s="1"/>
  <c r="Q1337" i="35"/>
  <c r="C1336" i="35" a="1"/>
  <c r="C1336" i="35" s="1"/>
  <c r="F1336" i="35"/>
  <c r="G1336" i="35" s="1"/>
  <c r="J1336" i="35"/>
  <c r="K1336" i="35" s="1"/>
  <c r="Q1336" i="35"/>
  <c r="C1335" i="35" a="1"/>
  <c r="C1335" i="35" s="1"/>
  <c r="F1335" i="35"/>
  <c r="G1335" i="35" s="1"/>
  <c r="J1335" i="35"/>
  <c r="K1335" i="35" s="1"/>
  <c r="Q1335" i="35"/>
  <c r="C1334" i="35" a="1"/>
  <c r="C1334" i="35" s="1"/>
  <c r="F1334" i="35"/>
  <c r="G1334" i="35" s="1"/>
  <c r="J1334" i="35"/>
  <c r="K1334" i="35" s="1"/>
  <c r="Q1334" i="35"/>
  <c r="C1333" i="35" a="1"/>
  <c r="C1333" i="35" s="1"/>
  <c r="F1333" i="35"/>
  <c r="G1333" i="35" s="1"/>
  <c r="J1333" i="35"/>
  <c r="K1333" i="35" s="1"/>
  <c r="Q1333" i="35"/>
  <c r="C1332" i="35" a="1"/>
  <c r="C1332" i="35" s="1"/>
  <c r="F1332" i="35"/>
  <c r="G1332" i="35" s="1"/>
  <c r="J1332" i="35"/>
  <c r="K1332" i="35" s="1"/>
  <c r="Q1332" i="35"/>
  <c r="C1331" i="35" a="1"/>
  <c r="C1331" i="35" s="1"/>
  <c r="F1331" i="35"/>
  <c r="G1331" i="35" s="1"/>
  <c r="J1331" i="35"/>
  <c r="K1331" i="35" s="1"/>
  <c r="Q1331" i="35"/>
  <c r="C1330" i="35" a="1"/>
  <c r="C1330" i="35" s="1"/>
  <c r="F1330" i="35"/>
  <c r="G1330" i="35" s="1"/>
  <c r="J1330" i="35"/>
  <c r="K1330" i="35" s="1"/>
  <c r="Q1330" i="35"/>
  <c r="C1329" i="35" a="1"/>
  <c r="C1329" i="35" s="1"/>
  <c r="F1329" i="35"/>
  <c r="G1329" i="35" s="1"/>
  <c r="J1329" i="35"/>
  <c r="K1329" i="35" s="1"/>
  <c r="Q1329" i="35"/>
  <c r="C1328" i="35" a="1"/>
  <c r="C1328" i="35" s="1"/>
  <c r="F1328" i="35"/>
  <c r="G1328" i="35" s="1"/>
  <c r="J1328" i="35"/>
  <c r="K1328" i="35" s="1"/>
  <c r="Q1328" i="35"/>
  <c r="C1327" i="35" a="1"/>
  <c r="C1327" i="35" s="1"/>
  <c r="F1327" i="35"/>
  <c r="G1327" i="35" s="1"/>
  <c r="J1327" i="35"/>
  <c r="K1327" i="35" s="1"/>
  <c r="Q1327" i="35"/>
  <c r="C1326" i="35" a="1"/>
  <c r="C1326" i="35" s="1"/>
  <c r="F1326" i="35"/>
  <c r="G1326" i="35" s="1"/>
  <c r="J1326" i="35"/>
  <c r="K1326" i="35" s="1"/>
  <c r="Q1326" i="35"/>
  <c r="B180" i="33" a="1"/>
  <c r="B180" i="33" s="1"/>
  <c r="E180" i="33" a="1"/>
  <c r="E180" i="33" s="1"/>
  <c r="F180" i="33" a="1"/>
  <c r="F180" i="33" s="1"/>
  <c r="G180" i="33" a="1"/>
  <c r="G180" i="33" s="1"/>
  <c r="L180" i="33" a="1"/>
  <c r="L180" i="33" s="1"/>
  <c r="M180" i="33"/>
  <c r="N180" i="33"/>
  <c r="P180" i="33"/>
  <c r="C1325" i="35" a="1"/>
  <c r="C1325" i="35" s="1"/>
  <c r="F1325" i="35"/>
  <c r="H1423" i="35" s="1"/>
  <c r="J1325" i="35"/>
  <c r="L1423" i="35" s="1"/>
  <c r="Q1325" i="35"/>
  <c r="C1324" i="35" a="1"/>
  <c r="C1324" i="35" s="1"/>
  <c r="F1324" i="35"/>
  <c r="G1324" i="35" s="1"/>
  <c r="J1324" i="35"/>
  <c r="K1324" i="35" s="1"/>
  <c r="Q1324" i="35"/>
  <c r="C1323" i="35" a="1"/>
  <c r="C1323" i="35" s="1"/>
  <c r="F1323" i="35"/>
  <c r="G1323" i="35" s="1"/>
  <c r="J1323" i="35"/>
  <c r="K1323" i="35" s="1"/>
  <c r="Q1323" i="35"/>
  <c r="C1322" i="35" a="1"/>
  <c r="C1322" i="35" s="1"/>
  <c r="F1322" i="35"/>
  <c r="G1322" i="35" s="1"/>
  <c r="J1322" i="35"/>
  <c r="K1322" i="35" s="1"/>
  <c r="Q1322" i="35"/>
  <c r="C1321" i="35" a="1"/>
  <c r="C1321" i="35" s="1"/>
  <c r="F1321" i="35"/>
  <c r="J1321" i="35"/>
  <c r="Q1321" i="35"/>
  <c r="B167" i="33" a="1"/>
  <c r="B167" i="33" s="1"/>
  <c r="E167" i="33" a="1"/>
  <c r="E167" i="33" s="1"/>
  <c r="F167" i="33" a="1"/>
  <c r="F167" i="33" s="1"/>
  <c r="G167" i="33" a="1"/>
  <c r="G167" i="33" s="1"/>
  <c r="L167" i="33" a="1"/>
  <c r="L167" i="33" s="1"/>
  <c r="M167" i="33"/>
  <c r="N167" i="33"/>
  <c r="P167" i="33"/>
  <c r="C746" i="31" a="1"/>
  <c r="C746" i="31" s="1"/>
  <c r="D746" i="31" a="1"/>
  <c r="D746" i="31" s="1"/>
  <c r="L746" i="31"/>
  <c r="Q746" i="31"/>
  <c r="R746" i="31"/>
  <c r="U746" i="31"/>
  <c r="V746" i="31"/>
  <c r="W746" i="31"/>
  <c r="AB746" i="31"/>
  <c r="AC746" i="31"/>
  <c r="AF746" i="31"/>
  <c r="C670" i="31" a="1"/>
  <c r="C670" i="31" s="1"/>
  <c r="D670" i="31" a="1"/>
  <c r="D670" i="31" s="1"/>
  <c r="L670" i="31"/>
  <c r="Q670" i="31"/>
  <c r="R670" i="31"/>
  <c r="U670" i="31"/>
  <c r="V670" i="31"/>
  <c r="W670" i="31"/>
  <c r="AB670" i="31"/>
  <c r="AC670" i="31"/>
  <c r="AF670" i="31"/>
  <c r="C1320" i="35" a="1"/>
  <c r="C1320" i="35" s="1"/>
  <c r="F1320" i="35"/>
  <c r="G1320" i="35" s="1"/>
  <c r="J1320" i="35"/>
  <c r="K1320" i="35" s="1"/>
  <c r="Q1320" i="35"/>
  <c r="C1319" i="35" a="1"/>
  <c r="C1319" i="35" s="1"/>
  <c r="F1319" i="35"/>
  <c r="G1319" i="35" s="1"/>
  <c r="J1319" i="35"/>
  <c r="K1319" i="35" s="1"/>
  <c r="Q1319" i="35"/>
  <c r="C1318" i="35" a="1"/>
  <c r="C1318" i="35" s="1"/>
  <c r="F1318" i="35"/>
  <c r="G1318" i="35" s="1"/>
  <c r="J1318" i="35"/>
  <c r="K1318" i="35" s="1"/>
  <c r="Q1318" i="35"/>
  <c r="C707" i="31" a="1"/>
  <c r="C707" i="31" s="1"/>
  <c r="D707" i="31" a="1"/>
  <c r="D707" i="31" s="1"/>
  <c r="L707" i="31"/>
  <c r="Q707" i="31"/>
  <c r="R707" i="31"/>
  <c r="U707" i="31"/>
  <c r="V707" i="31"/>
  <c r="W707" i="31"/>
  <c r="AB707" i="31"/>
  <c r="AC707" i="31"/>
  <c r="AF707" i="31"/>
  <c r="C706" i="31" a="1"/>
  <c r="C706" i="31" s="1"/>
  <c r="D706" i="31" a="1"/>
  <c r="D706" i="31" s="1"/>
  <c r="L706" i="31"/>
  <c r="Q706" i="31"/>
  <c r="R706" i="31"/>
  <c r="U706" i="31"/>
  <c r="V706" i="31"/>
  <c r="W706" i="31"/>
  <c r="AB706" i="31"/>
  <c r="AC706" i="31"/>
  <c r="AF706" i="31"/>
  <c r="C705" i="31" a="1"/>
  <c r="C705" i="31" s="1"/>
  <c r="D705" i="31" a="1"/>
  <c r="D705" i="31" s="1"/>
  <c r="L705" i="31"/>
  <c r="Q705" i="31"/>
  <c r="R705" i="31"/>
  <c r="U705" i="31"/>
  <c r="V705" i="31"/>
  <c r="W705" i="31"/>
  <c r="AB705" i="31"/>
  <c r="AC705" i="31"/>
  <c r="AF705" i="31"/>
  <c r="C1317" i="35" a="1"/>
  <c r="C1317" i="35" s="1"/>
  <c r="F1317" i="35"/>
  <c r="G1317" i="35" s="1"/>
  <c r="J1317" i="35"/>
  <c r="K1317" i="35" s="1"/>
  <c r="Q1317" i="35"/>
  <c r="C1316" i="35" a="1"/>
  <c r="C1316" i="35" s="1"/>
  <c r="F1316" i="35"/>
  <c r="G1316" i="35" s="1"/>
  <c r="J1316" i="35"/>
  <c r="K1316" i="35" s="1"/>
  <c r="Q1316" i="35"/>
  <c r="C1315" i="35" a="1"/>
  <c r="C1315" i="35" s="1"/>
  <c r="F1315" i="35"/>
  <c r="G1315" i="35" s="1"/>
  <c r="J1315" i="35"/>
  <c r="K1315" i="35" s="1"/>
  <c r="Q1315" i="35"/>
  <c r="C1314" i="35" a="1"/>
  <c r="C1314" i="35" s="1"/>
  <c r="F1314" i="35"/>
  <c r="G1314" i="35" s="1"/>
  <c r="J1314" i="35"/>
  <c r="K1314" i="35" s="1"/>
  <c r="Q1314" i="35"/>
  <c r="C1313" i="35" a="1"/>
  <c r="C1313" i="35" s="1"/>
  <c r="F1313" i="35"/>
  <c r="G1313" i="35" s="1"/>
  <c r="J1313" i="35"/>
  <c r="K1313" i="35" s="1"/>
  <c r="Q1313" i="35"/>
  <c r="C1312" i="35" a="1"/>
  <c r="C1312" i="35" s="1"/>
  <c r="F1312" i="35"/>
  <c r="G1312" i="35" s="1"/>
  <c r="J1312" i="35"/>
  <c r="K1312" i="35" s="1"/>
  <c r="Q1312" i="35"/>
  <c r="C1311" i="35" a="1"/>
  <c r="C1311" i="35" s="1"/>
  <c r="F1311" i="35"/>
  <c r="G1311" i="35" s="1"/>
  <c r="J1311" i="35"/>
  <c r="K1311" i="35" s="1"/>
  <c r="Q1311" i="35"/>
  <c r="C1310" i="35" a="1"/>
  <c r="C1310" i="35" s="1"/>
  <c r="F1310" i="35"/>
  <c r="G1310" i="35" s="1"/>
  <c r="J1310" i="35"/>
  <c r="K1310" i="35" s="1"/>
  <c r="Q1310" i="35"/>
  <c r="C1309" i="35" a="1"/>
  <c r="C1309" i="35" s="1"/>
  <c r="F1309" i="35"/>
  <c r="G1309" i="35" s="1"/>
  <c r="J1309" i="35"/>
  <c r="K1309" i="35" s="1"/>
  <c r="Q1309" i="35"/>
  <c r="C1308" i="35" a="1"/>
  <c r="C1308" i="35" s="1"/>
  <c r="F1308" i="35"/>
  <c r="G1308" i="35" s="1"/>
  <c r="J1308" i="35"/>
  <c r="K1308" i="35" s="1"/>
  <c r="Q1308" i="35"/>
  <c r="C1307" i="35" a="1"/>
  <c r="C1307" i="35" s="1"/>
  <c r="F1307" i="35"/>
  <c r="G1307" i="35" s="1"/>
  <c r="J1307" i="35"/>
  <c r="K1307" i="35" s="1"/>
  <c r="Q1307" i="35"/>
  <c r="C1306" i="35" a="1"/>
  <c r="C1306" i="35" s="1"/>
  <c r="F1306" i="35"/>
  <c r="G1306" i="35" s="1"/>
  <c r="J1306" i="35"/>
  <c r="K1306" i="35" s="1"/>
  <c r="Q1306" i="35"/>
  <c r="C1305" i="35" a="1"/>
  <c r="C1305" i="35" s="1"/>
  <c r="F1305" i="35"/>
  <c r="H1529" i="35" s="1"/>
  <c r="J1305" i="35"/>
  <c r="L1529" i="35" s="1"/>
  <c r="Q1305" i="35"/>
  <c r="B166" i="33" a="1"/>
  <c r="B166" i="33" s="1"/>
  <c r="E166" i="33" a="1"/>
  <c r="E166" i="33" s="1"/>
  <c r="F166" i="33" a="1"/>
  <c r="F166" i="33" s="1"/>
  <c r="G166" i="33" a="1"/>
  <c r="G166" i="33" s="1"/>
  <c r="L166" i="33" a="1"/>
  <c r="L166" i="33" s="1"/>
  <c r="M166" i="33"/>
  <c r="N166" i="33"/>
  <c r="P166" i="33"/>
  <c r="C1304" i="35" a="1"/>
  <c r="C1304" i="35" s="1"/>
  <c r="F1304" i="35"/>
  <c r="G1304" i="35" s="1"/>
  <c r="J1304" i="35"/>
  <c r="K1304" i="35" s="1"/>
  <c r="Q1304" i="35"/>
  <c r="C1303" i="35" a="1"/>
  <c r="C1303" i="35" s="1"/>
  <c r="F1303" i="35"/>
  <c r="G1303" i="35" s="1"/>
  <c r="J1303" i="35"/>
  <c r="K1303" i="35" s="1"/>
  <c r="Q1303" i="35"/>
  <c r="C1302" i="35" a="1"/>
  <c r="C1302" i="35" s="1"/>
  <c r="F1302" i="35"/>
  <c r="G1302" i="35" s="1"/>
  <c r="J1302" i="35"/>
  <c r="K1302" i="35" s="1"/>
  <c r="Q1302" i="35"/>
  <c r="C1301" i="35" a="1"/>
  <c r="C1301" i="35" s="1"/>
  <c r="F1301" i="35"/>
  <c r="G1301" i="35" s="1"/>
  <c r="J1301" i="35"/>
  <c r="K1301" i="35" s="1"/>
  <c r="Q1301" i="35"/>
  <c r="C1300" i="35" a="1"/>
  <c r="C1300" i="35" s="1"/>
  <c r="F1300" i="35"/>
  <c r="G1300" i="35" s="1"/>
  <c r="J1300" i="35"/>
  <c r="K1300" i="35" s="1"/>
  <c r="Q1300" i="35"/>
  <c r="C1299" i="35" a="1"/>
  <c r="C1299" i="35" s="1"/>
  <c r="F1299" i="35"/>
  <c r="G1299" i="35" s="1"/>
  <c r="J1299" i="35"/>
  <c r="K1299" i="35" s="1"/>
  <c r="Q1299" i="35"/>
  <c r="C1298" i="35" a="1"/>
  <c r="C1298" i="35" s="1"/>
  <c r="F1298" i="35"/>
  <c r="G1298" i="35" s="1"/>
  <c r="J1298" i="35"/>
  <c r="K1298" i="35" s="1"/>
  <c r="Q1298" i="35"/>
  <c r="C704" i="31" a="1"/>
  <c r="C704" i="31" s="1"/>
  <c r="D704" i="31" a="1"/>
  <c r="D704" i="31" s="1"/>
  <c r="L704" i="31"/>
  <c r="Q704" i="31"/>
  <c r="R704" i="31"/>
  <c r="U704" i="31"/>
  <c r="V704" i="31"/>
  <c r="W704" i="31"/>
  <c r="AB704" i="31"/>
  <c r="AC704" i="31"/>
  <c r="AF704" i="31"/>
  <c r="C703" i="31" a="1"/>
  <c r="C703" i="31" s="1"/>
  <c r="D703" i="31" a="1"/>
  <c r="D703" i="31" s="1"/>
  <c r="L703" i="31"/>
  <c r="Q703" i="31"/>
  <c r="R703" i="31"/>
  <c r="U703" i="31"/>
  <c r="V703" i="31"/>
  <c r="W703" i="31"/>
  <c r="AB703" i="31"/>
  <c r="AC703" i="31"/>
  <c r="AF703" i="31"/>
  <c r="C702" i="31" a="1"/>
  <c r="C702" i="31" s="1"/>
  <c r="D702" i="31" a="1"/>
  <c r="D702" i="31" s="1"/>
  <c r="L702" i="31"/>
  <c r="Q702" i="31"/>
  <c r="R702" i="31"/>
  <c r="U702" i="31"/>
  <c r="V702" i="31"/>
  <c r="W702" i="31"/>
  <c r="AB702" i="31"/>
  <c r="AC702" i="31"/>
  <c r="AF702" i="31"/>
  <c r="C701" i="31" a="1"/>
  <c r="C701" i="31" s="1"/>
  <c r="D701" i="31" a="1"/>
  <c r="D701" i="31" s="1"/>
  <c r="L701" i="31"/>
  <c r="Q701" i="31"/>
  <c r="R701" i="31"/>
  <c r="U701" i="31"/>
  <c r="V701" i="31"/>
  <c r="W701" i="31"/>
  <c r="AB701" i="31"/>
  <c r="AC701" i="31"/>
  <c r="AF701" i="31"/>
  <c r="C1297" i="35" a="1"/>
  <c r="C1297" i="35" s="1"/>
  <c r="F1297" i="35"/>
  <c r="G1297" i="35" s="1"/>
  <c r="J1297" i="35"/>
  <c r="K1297" i="35" s="1"/>
  <c r="Q1297" i="35"/>
  <c r="C1296" i="35" a="1"/>
  <c r="C1296" i="35" s="1"/>
  <c r="F1296" i="35"/>
  <c r="G1296" i="35" s="1"/>
  <c r="J1296" i="35"/>
  <c r="K1296" i="35" s="1"/>
  <c r="Q1296" i="35"/>
  <c r="C1295" i="35" a="1"/>
  <c r="C1295" i="35" s="1"/>
  <c r="F1295" i="35"/>
  <c r="G1295" i="35" s="1"/>
  <c r="J1295" i="35"/>
  <c r="K1295" i="35" s="1"/>
  <c r="Q1295" i="35"/>
  <c r="C700" i="31" a="1"/>
  <c r="C700" i="31" s="1"/>
  <c r="D700" i="31" a="1"/>
  <c r="D700" i="31" s="1"/>
  <c r="L700" i="31"/>
  <c r="Q700" i="31"/>
  <c r="R700" i="31"/>
  <c r="U700" i="31"/>
  <c r="V700" i="31"/>
  <c r="AD700" i="31" s="1"/>
  <c r="W700" i="31"/>
  <c r="AB700" i="31"/>
  <c r="AC700" i="31"/>
  <c r="AF700" i="31"/>
  <c r="C699" i="31" a="1"/>
  <c r="C699" i="31" s="1"/>
  <c r="D699" i="31" a="1"/>
  <c r="D699" i="31" s="1"/>
  <c r="L699" i="31"/>
  <c r="Q699" i="31"/>
  <c r="R699" i="31"/>
  <c r="U699" i="31"/>
  <c r="V699" i="31"/>
  <c r="W699" i="31"/>
  <c r="AB699" i="31"/>
  <c r="AC699" i="31"/>
  <c r="AF699" i="31"/>
  <c r="C1294" i="35" a="1"/>
  <c r="C1294" i="35" s="1"/>
  <c r="F1294" i="35"/>
  <c r="G1294" i="35" s="1"/>
  <c r="J1294" i="35"/>
  <c r="K1294" i="35" s="1"/>
  <c r="Q1294" i="35"/>
  <c r="C1293" i="35" a="1"/>
  <c r="C1293" i="35" s="1"/>
  <c r="F1293" i="35"/>
  <c r="G1293" i="35" s="1"/>
  <c r="J1293" i="35"/>
  <c r="K1293" i="35" s="1"/>
  <c r="Q1293" i="35"/>
  <c r="C1292" i="35" a="1"/>
  <c r="C1292" i="35" s="1"/>
  <c r="F1292" i="35"/>
  <c r="G1292" i="35" s="1"/>
  <c r="J1292" i="35"/>
  <c r="K1292" i="35" s="1"/>
  <c r="Q1292" i="35"/>
  <c r="C1291" i="35" a="1"/>
  <c r="C1291" i="35" s="1"/>
  <c r="F1291" i="35"/>
  <c r="G1291" i="35" s="1"/>
  <c r="J1291" i="35"/>
  <c r="K1291" i="35" s="1"/>
  <c r="Q1291" i="35"/>
  <c r="C1290" i="35" a="1"/>
  <c r="C1290" i="35" s="1"/>
  <c r="F1290" i="35"/>
  <c r="G1290" i="35" s="1"/>
  <c r="J1290" i="35"/>
  <c r="K1290" i="35" s="1"/>
  <c r="Q1290" i="35"/>
  <c r="C1289" i="35" a="1"/>
  <c r="C1289" i="35" s="1"/>
  <c r="F1289" i="35"/>
  <c r="G1289" i="35" s="1"/>
  <c r="J1289" i="35"/>
  <c r="K1289" i="35" s="1"/>
  <c r="Q1289" i="35"/>
  <c r="C1288" i="35" a="1"/>
  <c r="C1288" i="35" s="1"/>
  <c r="F1288" i="35"/>
  <c r="G1288" i="35" s="1"/>
  <c r="J1288" i="35"/>
  <c r="K1288" i="35" s="1"/>
  <c r="Q1288" i="35"/>
  <c r="C1287" i="35" a="1"/>
  <c r="C1287" i="35" s="1"/>
  <c r="F1287" i="35"/>
  <c r="G1287" i="35" s="1"/>
  <c r="J1287" i="35"/>
  <c r="K1287" i="35" s="1"/>
  <c r="Q1287" i="35"/>
  <c r="C1286" i="35" a="1"/>
  <c r="C1286" i="35" s="1"/>
  <c r="F1286" i="35"/>
  <c r="G1286" i="35" s="1"/>
  <c r="J1286" i="35"/>
  <c r="K1286" i="35" s="1"/>
  <c r="Q1286" i="35"/>
  <c r="C1285" i="35" a="1"/>
  <c r="C1285" i="35" s="1"/>
  <c r="F1285" i="35"/>
  <c r="G1285" i="35" s="1"/>
  <c r="J1285" i="35"/>
  <c r="K1285" i="35" s="1"/>
  <c r="Q1285" i="35"/>
  <c r="C1284" i="35" a="1"/>
  <c r="C1284" i="35" s="1"/>
  <c r="F1284" i="35"/>
  <c r="G1284" i="35" s="1"/>
  <c r="J1284" i="35"/>
  <c r="K1284" i="35" s="1"/>
  <c r="Q1284" i="35"/>
  <c r="C1283" i="35" a="1"/>
  <c r="C1283" i="35" s="1"/>
  <c r="F1283" i="35"/>
  <c r="G1283" i="35" s="1"/>
  <c r="J1283" i="35"/>
  <c r="K1283" i="35" s="1"/>
  <c r="Q1283" i="35"/>
  <c r="C1282" i="35" a="1"/>
  <c r="C1282" i="35" s="1"/>
  <c r="F1282" i="35"/>
  <c r="G1282" i="35" s="1"/>
  <c r="J1282" i="35"/>
  <c r="K1282" i="35" s="1"/>
  <c r="Q1282" i="35"/>
  <c r="C698" i="31" a="1"/>
  <c r="C698" i="31" s="1"/>
  <c r="D698" i="31" a="1"/>
  <c r="D698" i="31" s="1"/>
  <c r="L698" i="31"/>
  <c r="Q698" i="31"/>
  <c r="R698" i="31"/>
  <c r="U698" i="31"/>
  <c r="V698" i="31"/>
  <c r="W698" i="31"/>
  <c r="AB698" i="31"/>
  <c r="AC698" i="31"/>
  <c r="AF698" i="31"/>
  <c r="C1281" i="35" a="1"/>
  <c r="C1281" i="35" s="1"/>
  <c r="F1281" i="35"/>
  <c r="G1281" i="35" s="1"/>
  <c r="J1281" i="35"/>
  <c r="K1281" i="35" s="1"/>
  <c r="Q1281" i="35"/>
  <c r="C697" i="31" a="1"/>
  <c r="C697" i="31" s="1"/>
  <c r="D697" i="31" a="1"/>
  <c r="D697" i="31" s="1"/>
  <c r="L697" i="31"/>
  <c r="Q697" i="31"/>
  <c r="R697" i="31"/>
  <c r="U697" i="31"/>
  <c r="V697" i="31"/>
  <c r="W697" i="31"/>
  <c r="AB697" i="31"/>
  <c r="AC697" i="31"/>
  <c r="AF697" i="31"/>
  <c r="C696" i="31" a="1"/>
  <c r="C696" i="31" s="1"/>
  <c r="D696" i="31" a="1"/>
  <c r="D696" i="31" s="1"/>
  <c r="L696" i="31"/>
  <c r="Q696" i="31"/>
  <c r="R696" i="31"/>
  <c r="U696" i="31"/>
  <c r="V696" i="31"/>
  <c r="W696" i="31"/>
  <c r="AB696" i="31"/>
  <c r="AC696" i="31"/>
  <c r="AF696" i="31"/>
  <c r="C1280" i="35" a="1"/>
  <c r="C1280" i="35" s="1"/>
  <c r="F1280" i="35"/>
  <c r="G1280" i="35" s="1"/>
  <c r="J1280" i="35"/>
  <c r="K1280" i="35" s="1"/>
  <c r="Q1280" i="35"/>
  <c r="C1279" i="35" a="1"/>
  <c r="C1279" i="35" s="1"/>
  <c r="F1279" i="35"/>
  <c r="J1279" i="35"/>
  <c r="Q1279" i="35"/>
  <c r="B144" i="33" a="1"/>
  <c r="B144" i="33" s="1"/>
  <c r="E144" i="33" a="1"/>
  <c r="E144" i="33" s="1"/>
  <c r="F144" i="33" a="1"/>
  <c r="F144" i="33" s="1"/>
  <c r="G144" i="33" a="1"/>
  <c r="G144" i="33" s="1"/>
  <c r="L144" i="33" a="1"/>
  <c r="L144" i="33" s="1"/>
  <c r="M144" i="33"/>
  <c r="N144" i="33"/>
  <c r="P144" i="33"/>
  <c r="C1278" i="35" a="1"/>
  <c r="C1278" i="35" s="1"/>
  <c r="F1278" i="35"/>
  <c r="G1278" i="35" s="1"/>
  <c r="J1278" i="35"/>
  <c r="K1278" i="35" s="1"/>
  <c r="Q1278" i="35"/>
  <c r="C1277" i="35" a="1"/>
  <c r="C1277" i="35" s="1"/>
  <c r="F1277" i="35"/>
  <c r="G1277" i="35" s="1"/>
  <c r="J1277" i="35"/>
  <c r="K1277" i="35" s="1"/>
  <c r="Q1277" i="35"/>
  <c r="C1276" i="35" a="1"/>
  <c r="C1276" i="35" s="1"/>
  <c r="F1276" i="35"/>
  <c r="G1276" i="35" s="1"/>
  <c r="J1276" i="35"/>
  <c r="K1276" i="35" s="1"/>
  <c r="Q1276" i="35"/>
  <c r="C1275" i="35" a="1"/>
  <c r="C1275" i="35" s="1"/>
  <c r="F1275" i="35"/>
  <c r="G1275" i="35" s="1"/>
  <c r="J1275" i="35"/>
  <c r="K1275" i="35" s="1"/>
  <c r="Q1275" i="35"/>
  <c r="C695" i="31" a="1"/>
  <c r="C695" i="31" s="1"/>
  <c r="D695" i="31" a="1"/>
  <c r="D695" i="31" s="1"/>
  <c r="L695" i="31"/>
  <c r="Q695" i="31"/>
  <c r="R695" i="31"/>
  <c r="U695" i="31"/>
  <c r="V695" i="31"/>
  <c r="W695" i="31"/>
  <c r="AB695" i="31"/>
  <c r="AC695" i="31"/>
  <c r="AF695" i="31"/>
  <c r="C694" i="31" a="1"/>
  <c r="C694" i="31" s="1"/>
  <c r="D694" i="31" a="1"/>
  <c r="D694" i="31" s="1"/>
  <c r="L694" i="31"/>
  <c r="Q694" i="31"/>
  <c r="R694" i="31"/>
  <c r="U694" i="31"/>
  <c r="V694" i="31"/>
  <c r="W694" i="31"/>
  <c r="AB694" i="31"/>
  <c r="AC694" i="31"/>
  <c r="AF694" i="31"/>
  <c r="H414" i="6"/>
  <c r="J414" i="6" s="1"/>
  <c r="I414" i="6"/>
  <c r="K414" i="6" s="1"/>
  <c r="U414" i="6"/>
  <c r="H413" i="6"/>
  <c r="J413" i="6" s="1"/>
  <c r="I413" i="6"/>
  <c r="K413" i="6" s="1"/>
  <c r="U413" i="6"/>
  <c r="C693" i="31" a="1"/>
  <c r="C693" i="31" s="1"/>
  <c r="D693" i="31" a="1"/>
  <c r="D693" i="31" s="1"/>
  <c r="L693" i="31"/>
  <c r="Q693" i="31"/>
  <c r="R693" i="31"/>
  <c r="U693" i="31"/>
  <c r="V693" i="31"/>
  <c r="W693" i="31"/>
  <c r="AB693" i="31"/>
  <c r="AC693" i="31"/>
  <c r="AF693" i="31"/>
  <c r="C692" i="31" a="1"/>
  <c r="C692" i="31" s="1"/>
  <c r="D692" i="31" a="1"/>
  <c r="D692" i="31" s="1"/>
  <c r="L692" i="31"/>
  <c r="Q692" i="31"/>
  <c r="R692" i="31"/>
  <c r="U692" i="31"/>
  <c r="V692" i="31"/>
  <c r="W692" i="31"/>
  <c r="AB692" i="31"/>
  <c r="AC692" i="31"/>
  <c r="AF692" i="31"/>
  <c r="C1274" i="35" a="1"/>
  <c r="C1274" i="35" s="1"/>
  <c r="F1274" i="35"/>
  <c r="J1274" i="35"/>
  <c r="Q1274" i="35"/>
  <c r="B574" i="33" a="1"/>
  <c r="B574" i="33" s="1"/>
  <c r="E574" i="33" a="1"/>
  <c r="E574" i="33" s="1"/>
  <c r="F574" i="33" a="1"/>
  <c r="F574" i="33" s="1"/>
  <c r="G574" i="33" a="1"/>
  <c r="G574" i="33" s="1"/>
  <c r="L574" i="33" a="1"/>
  <c r="L574" i="33" s="1"/>
  <c r="M574" i="33"/>
  <c r="N574" i="33"/>
  <c r="P574" i="33"/>
  <c r="C1273" i="35" a="1"/>
  <c r="C1273" i="35" s="1"/>
  <c r="F1273" i="35"/>
  <c r="G1273" i="35" s="1"/>
  <c r="J1273" i="35"/>
  <c r="K1273" i="35" s="1"/>
  <c r="Q1273" i="35"/>
  <c r="C1272" i="35" a="1"/>
  <c r="C1272" i="35" s="1"/>
  <c r="F1272" i="35"/>
  <c r="G1272" i="35" s="1"/>
  <c r="J1272" i="35"/>
  <c r="K1272" i="35" s="1"/>
  <c r="Q1272" i="35"/>
  <c r="C1271" i="35" a="1"/>
  <c r="C1271" i="35" s="1"/>
  <c r="F1271" i="35"/>
  <c r="G1271" i="35" s="1"/>
  <c r="J1271" i="35"/>
  <c r="K1271" i="35" s="1"/>
  <c r="Q1271" i="35"/>
  <c r="C1270" i="35" a="1"/>
  <c r="C1270" i="35" s="1"/>
  <c r="F1270" i="35"/>
  <c r="J1270" i="35"/>
  <c r="Q1270" i="35"/>
  <c r="B148" i="33" a="1"/>
  <c r="B148" i="33" s="1"/>
  <c r="E148" i="33" a="1"/>
  <c r="E148" i="33" s="1"/>
  <c r="F148" i="33" a="1"/>
  <c r="F148" i="33" s="1"/>
  <c r="G148" i="33" a="1"/>
  <c r="G148" i="33" s="1"/>
  <c r="L148" i="33" a="1"/>
  <c r="L148" i="33" s="1"/>
  <c r="M148" i="33"/>
  <c r="N148" i="33"/>
  <c r="P148" i="33"/>
  <c r="C1269" i="35" a="1"/>
  <c r="C1269" i="35" s="1"/>
  <c r="F1269" i="35"/>
  <c r="G1269" i="35" s="1"/>
  <c r="J1269" i="35"/>
  <c r="K1269" i="35" s="1"/>
  <c r="Q1269" i="35"/>
  <c r="C1268" i="35" a="1"/>
  <c r="C1268" i="35" s="1"/>
  <c r="F1268" i="35"/>
  <c r="G1268" i="35" s="1"/>
  <c r="J1268" i="35"/>
  <c r="K1268" i="35" s="1"/>
  <c r="Q1268" i="35"/>
  <c r="C1267" i="35" a="1"/>
  <c r="C1267" i="35" s="1"/>
  <c r="F1267" i="35"/>
  <c r="G1267" i="35" s="1"/>
  <c r="J1267" i="35"/>
  <c r="K1267" i="35" s="1"/>
  <c r="Q1267" i="35"/>
  <c r="C1266" i="35" a="1"/>
  <c r="C1266" i="35" s="1"/>
  <c r="F1266" i="35"/>
  <c r="G1266" i="35" s="1"/>
  <c r="J1266" i="35"/>
  <c r="K1266" i="35" s="1"/>
  <c r="Q1266" i="35"/>
  <c r="C783" i="31" a="1"/>
  <c r="C783" i="31" s="1"/>
  <c r="D783" i="31" a="1"/>
  <c r="D783" i="31" s="1"/>
  <c r="L783" i="31"/>
  <c r="Q783" i="31"/>
  <c r="R783" i="31"/>
  <c r="U783" i="31"/>
  <c r="V783" i="31"/>
  <c r="W783" i="31"/>
  <c r="AB783" i="31"/>
  <c r="AC783" i="31"/>
  <c r="AF783" i="31"/>
  <c r="C780" i="31" a="1"/>
  <c r="C780" i="31" s="1"/>
  <c r="D780" i="31" a="1"/>
  <c r="D780" i="31" s="1"/>
  <c r="L780" i="31"/>
  <c r="Q780" i="31"/>
  <c r="R780" i="31"/>
  <c r="U780" i="31"/>
  <c r="V780" i="31"/>
  <c r="W780" i="31"/>
  <c r="AB780" i="31"/>
  <c r="AC780" i="31"/>
  <c r="AF780" i="31"/>
  <c r="C689" i="31" a="1"/>
  <c r="C689" i="31" s="1"/>
  <c r="D689" i="31" a="1"/>
  <c r="D689" i="31" s="1"/>
  <c r="L689" i="31"/>
  <c r="Q689" i="31"/>
  <c r="R689" i="31"/>
  <c r="U689" i="31"/>
  <c r="V689" i="31"/>
  <c r="W689" i="31"/>
  <c r="AB689" i="31"/>
  <c r="AC689" i="31"/>
  <c r="AF689" i="31"/>
  <c r="C688" i="31" a="1"/>
  <c r="C688" i="31" s="1"/>
  <c r="D688" i="31" a="1"/>
  <c r="D688" i="31" s="1"/>
  <c r="L688" i="31"/>
  <c r="Q688" i="31"/>
  <c r="R688" i="31"/>
  <c r="U688" i="31"/>
  <c r="V688" i="31"/>
  <c r="W688" i="31"/>
  <c r="AB688" i="31"/>
  <c r="AC688" i="31"/>
  <c r="AF688" i="31"/>
  <c r="C687" i="31" a="1"/>
  <c r="C687" i="31" s="1"/>
  <c r="D687" i="31" a="1"/>
  <c r="D687" i="31" s="1"/>
  <c r="L687" i="31"/>
  <c r="Q687" i="31"/>
  <c r="R687" i="31"/>
  <c r="U687" i="31"/>
  <c r="V687" i="31"/>
  <c r="W687" i="31"/>
  <c r="AB687" i="31"/>
  <c r="AC687" i="31"/>
  <c r="AF687" i="31"/>
  <c r="B73" i="33" a="1"/>
  <c r="B73" i="33" s="1"/>
  <c r="E73" i="33" a="1"/>
  <c r="E73" i="33" s="1"/>
  <c r="F73" i="33" a="1"/>
  <c r="F73" i="33" s="1"/>
  <c r="G73" i="33" a="1"/>
  <c r="G73" i="33" s="1"/>
  <c r="L73" i="33" a="1"/>
  <c r="L73" i="33" s="1"/>
  <c r="M73" i="33"/>
  <c r="N73" i="33"/>
  <c r="P73" i="33"/>
  <c r="C686" i="31" a="1"/>
  <c r="C686" i="31" s="1"/>
  <c r="D686" i="31" a="1"/>
  <c r="D686" i="31" s="1"/>
  <c r="L686" i="31"/>
  <c r="Q686" i="31"/>
  <c r="R686" i="31"/>
  <c r="U686" i="31"/>
  <c r="V686" i="31"/>
  <c r="W686" i="31"/>
  <c r="AB686" i="31"/>
  <c r="AC686" i="31"/>
  <c r="AF686" i="31"/>
  <c r="C685" i="31" a="1"/>
  <c r="C685" i="31" s="1"/>
  <c r="D685" i="31" a="1"/>
  <c r="D685" i="31" s="1"/>
  <c r="L685" i="31"/>
  <c r="Q685" i="31"/>
  <c r="R685" i="31"/>
  <c r="U685" i="31"/>
  <c r="V685" i="31"/>
  <c r="AD685" i="31" s="1"/>
  <c r="W685" i="31"/>
  <c r="AB685" i="31"/>
  <c r="AC685" i="31"/>
  <c r="AF685" i="31"/>
  <c r="C684" i="31" a="1"/>
  <c r="C684" i="31" s="1"/>
  <c r="D684" i="31" a="1"/>
  <c r="D684" i="31" s="1"/>
  <c r="L684" i="31"/>
  <c r="Q684" i="31"/>
  <c r="R684" i="31"/>
  <c r="U684" i="31"/>
  <c r="V684" i="31"/>
  <c r="W684" i="31"/>
  <c r="AB684" i="31"/>
  <c r="AC684" i="31"/>
  <c r="AF684" i="31"/>
  <c r="D683" i="31" a="1"/>
  <c r="D683" i="31" s="1"/>
  <c r="D682" i="31" a="1"/>
  <c r="D682" i="31" s="1"/>
  <c r="C683" i="31" a="1"/>
  <c r="C683" i="31" s="1"/>
  <c r="C682" i="31" a="1"/>
  <c r="C682" i="31" s="1"/>
  <c r="C1265" i="35" a="1"/>
  <c r="C1265" i="35" s="1"/>
  <c r="F1265" i="35"/>
  <c r="G1265" i="35" s="1"/>
  <c r="J1265" i="35"/>
  <c r="K1265" i="35" s="1"/>
  <c r="Q1265" i="35"/>
  <c r="C1264" i="35" a="1"/>
  <c r="C1264" i="35" s="1"/>
  <c r="F1264" i="35"/>
  <c r="G1264" i="35" s="1"/>
  <c r="J1264" i="35"/>
  <c r="K1264" i="35" s="1"/>
  <c r="Q1264" i="35"/>
  <c r="C1263" i="35" a="1"/>
  <c r="C1263" i="35" s="1"/>
  <c r="F1263" i="35"/>
  <c r="G1263" i="35" s="1"/>
  <c r="J1263" i="35"/>
  <c r="K1263" i="35" s="1"/>
  <c r="Q1263" i="35"/>
  <c r="C1262" i="35" a="1"/>
  <c r="C1262" i="35" s="1"/>
  <c r="F1262" i="35"/>
  <c r="G1262" i="35" s="1"/>
  <c r="J1262" i="35"/>
  <c r="K1262" i="35" s="1"/>
  <c r="Q1262" i="35"/>
  <c r="C1261" i="35" a="1"/>
  <c r="C1261" i="35" s="1"/>
  <c r="F1261" i="35"/>
  <c r="G1261" i="35" s="1"/>
  <c r="J1261" i="35"/>
  <c r="K1261" i="35" s="1"/>
  <c r="Q1261" i="35"/>
  <c r="L683" i="31"/>
  <c r="Q683" i="31"/>
  <c r="R683" i="31"/>
  <c r="U683" i="31"/>
  <c r="V683" i="31"/>
  <c r="W683" i="31"/>
  <c r="AB683" i="31"/>
  <c r="AC683" i="31"/>
  <c r="AF683" i="31"/>
  <c r="L682" i="31"/>
  <c r="Q682" i="31"/>
  <c r="R682" i="31"/>
  <c r="U682" i="31"/>
  <c r="V682" i="31"/>
  <c r="W682" i="31"/>
  <c r="AB682" i="31"/>
  <c r="AC682" i="31"/>
  <c r="AF682" i="31"/>
  <c r="C681" i="31" a="1"/>
  <c r="C681" i="31" s="1"/>
  <c r="D681" i="31" a="1"/>
  <c r="D681" i="31" s="1"/>
  <c r="L681" i="31"/>
  <c r="Q681" i="31"/>
  <c r="R681" i="31"/>
  <c r="U681" i="31"/>
  <c r="V681" i="31"/>
  <c r="W681" i="31"/>
  <c r="AB681" i="31"/>
  <c r="AC681" i="31"/>
  <c r="AF681" i="31"/>
  <c r="C680" i="31" a="1"/>
  <c r="C680" i="31" s="1"/>
  <c r="D680" i="31" a="1"/>
  <c r="D680" i="31" s="1"/>
  <c r="L680" i="31"/>
  <c r="Q680" i="31"/>
  <c r="R680" i="31"/>
  <c r="U680" i="31"/>
  <c r="V680" i="31"/>
  <c r="W680" i="31"/>
  <c r="AB680" i="31"/>
  <c r="AC680" i="31"/>
  <c r="AF680" i="31"/>
  <c r="C679" i="31" a="1"/>
  <c r="C679" i="31" s="1"/>
  <c r="D679" i="31" a="1"/>
  <c r="D679" i="31" s="1"/>
  <c r="L679" i="31"/>
  <c r="Q679" i="31"/>
  <c r="R679" i="31"/>
  <c r="U679" i="31"/>
  <c r="V679" i="31"/>
  <c r="W679" i="31"/>
  <c r="AB679" i="31"/>
  <c r="AC679" i="31"/>
  <c r="AF679" i="31"/>
  <c r="H412" i="6"/>
  <c r="J412" i="6" s="1"/>
  <c r="I412" i="6"/>
  <c r="K412" i="6" s="1"/>
  <c r="U412" i="6"/>
  <c r="H411" i="6"/>
  <c r="J411" i="6" s="1"/>
  <c r="I411" i="6"/>
  <c r="K411" i="6" s="1"/>
  <c r="U411" i="6"/>
  <c r="H410" i="6"/>
  <c r="J410" i="6" s="1"/>
  <c r="I410" i="6"/>
  <c r="K410" i="6" s="1"/>
  <c r="U410" i="6"/>
  <c r="H409" i="6"/>
  <c r="J409" i="6" s="1"/>
  <c r="I409" i="6"/>
  <c r="K409" i="6" s="1"/>
  <c r="U409" i="6"/>
  <c r="C1260" i="35" a="1"/>
  <c r="C1260" i="35" s="1"/>
  <c r="F1260" i="35"/>
  <c r="G1260" i="35" s="1"/>
  <c r="J1260" i="35"/>
  <c r="K1260" i="35" s="1"/>
  <c r="Q1260" i="35"/>
  <c r="C560" i="31" a="1"/>
  <c r="C560" i="31" s="1"/>
  <c r="D560" i="31" a="1"/>
  <c r="D560" i="31" s="1"/>
  <c r="L560" i="31"/>
  <c r="Q560" i="31"/>
  <c r="R560" i="31"/>
  <c r="U560" i="31"/>
  <c r="V560" i="31"/>
  <c r="W560" i="31"/>
  <c r="AB560" i="31"/>
  <c r="AC560" i="31"/>
  <c r="AF560" i="31"/>
  <c r="C1259" i="35" a="1"/>
  <c r="C1259" i="35" s="1"/>
  <c r="F1259" i="35"/>
  <c r="G1259" i="35" s="1"/>
  <c r="J1259" i="35"/>
  <c r="K1259" i="35" s="1"/>
  <c r="Q1259" i="35"/>
  <c r="C648" i="31" a="1"/>
  <c r="C648" i="31" s="1"/>
  <c r="D648" i="31" a="1"/>
  <c r="D648" i="31" s="1"/>
  <c r="L648" i="31"/>
  <c r="Q648" i="31"/>
  <c r="R648" i="31"/>
  <c r="U648" i="31"/>
  <c r="V648" i="31"/>
  <c r="W648" i="31"/>
  <c r="AB648" i="31"/>
  <c r="AC648" i="31"/>
  <c r="AF648" i="31"/>
  <c r="C1258" i="35" a="1"/>
  <c r="C1258" i="35" s="1"/>
  <c r="F1258" i="35"/>
  <c r="G1258" i="35" s="1"/>
  <c r="J1258" i="35"/>
  <c r="K1258" i="35" s="1"/>
  <c r="Q1258" i="35"/>
  <c r="L646" i="31"/>
  <c r="C647" i="31" a="1"/>
  <c r="C647" i="31" s="1"/>
  <c r="D647" i="31" a="1"/>
  <c r="D647" i="31" s="1"/>
  <c r="L647" i="31"/>
  <c r="Q647" i="31"/>
  <c r="R647" i="31"/>
  <c r="U647" i="31"/>
  <c r="V647" i="31"/>
  <c r="W647" i="31"/>
  <c r="AB647" i="31"/>
  <c r="AC647" i="31"/>
  <c r="AF647" i="31"/>
  <c r="C646" i="31" a="1"/>
  <c r="C646" i="31" s="1"/>
  <c r="D646" i="31" a="1"/>
  <c r="D646" i="31" s="1"/>
  <c r="Q646" i="31"/>
  <c r="R646" i="31"/>
  <c r="U646" i="31"/>
  <c r="V646" i="31"/>
  <c r="W646" i="31"/>
  <c r="AB646" i="31"/>
  <c r="AC646" i="31"/>
  <c r="AF646" i="31"/>
  <c r="C1257" i="35" a="1"/>
  <c r="C1257" i="35" s="1"/>
  <c r="F1257" i="35"/>
  <c r="G1257" i="35" s="1"/>
  <c r="J1257" i="35"/>
  <c r="K1257" i="35" s="1"/>
  <c r="Q1257" i="35"/>
  <c r="C1256" i="35" a="1"/>
  <c r="C1256" i="35" s="1"/>
  <c r="F1256" i="35"/>
  <c r="G1256" i="35" s="1"/>
  <c r="J1256" i="35"/>
  <c r="K1256" i="35" s="1"/>
  <c r="Q1256" i="35"/>
  <c r="C1255" i="35" a="1"/>
  <c r="C1255" i="35" s="1"/>
  <c r="F1255" i="35"/>
  <c r="G1255" i="35" s="1"/>
  <c r="J1255" i="35"/>
  <c r="K1255" i="35" s="1"/>
  <c r="Q1255" i="35"/>
  <c r="C664" i="31" a="1"/>
  <c r="C664" i="31" s="1"/>
  <c r="D664" i="31" a="1"/>
  <c r="D664" i="31" s="1"/>
  <c r="L664" i="31"/>
  <c r="Q664" i="31"/>
  <c r="R664" i="31"/>
  <c r="U664" i="31"/>
  <c r="V664" i="31"/>
  <c r="W664" i="31"/>
  <c r="AB664" i="31"/>
  <c r="AC664" i="31"/>
  <c r="AF664" i="31"/>
  <c r="C653" i="31" a="1"/>
  <c r="C653" i="31" s="1"/>
  <c r="D653" i="31" a="1"/>
  <c r="D653" i="31" s="1"/>
  <c r="L653" i="31"/>
  <c r="Q653" i="31"/>
  <c r="R653" i="31"/>
  <c r="U653" i="31"/>
  <c r="V653" i="31"/>
  <c r="W653" i="31"/>
  <c r="AB653" i="31"/>
  <c r="AC653" i="31"/>
  <c r="AF653" i="31"/>
  <c r="C639" i="31" a="1"/>
  <c r="C639" i="31" s="1"/>
  <c r="D639" i="31" a="1"/>
  <c r="D639" i="31" s="1"/>
  <c r="L639" i="31"/>
  <c r="Q639" i="31"/>
  <c r="R639" i="31"/>
  <c r="U639" i="31"/>
  <c r="V639" i="31"/>
  <c r="W639" i="31"/>
  <c r="AB639" i="31"/>
  <c r="AC639" i="31"/>
  <c r="AF639" i="31"/>
  <c r="C636" i="31" a="1"/>
  <c r="C636" i="31" s="1"/>
  <c r="D636" i="31" a="1"/>
  <c r="D636" i="31" s="1"/>
  <c r="L636" i="31"/>
  <c r="Q636" i="31"/>
  <c r="R636" i="31"/>
  <c r="U636" i="31"/>
  <c r="V636" i="31"/>
  <c r="W636" i="31"/>
  <c r="AB636" i="31"/>
  <c r="AC636" i="31"/>
  <c r="AF636" i="31"/>
  <c r="C1254" i="35" a="1"/>
  <c r="C1254" i="35" s="1"/>
  <c r="F1254" i="35"/>
  <c r="G1254" i="35" s="1"/>
  <c r="J1254" i="35"/>
  <c r="K1254" i="35" s="1"/>
  <c r="Q1254" i="35"/>
  <c r="C678" i="31" a="1"/>
  <c r="C678" i="31" s="1"/>
  <c r="D678" i="31" a="1"/>
  <c r="D678" i="31" s="1"/>
  <c r="L678" i="31"/>
  <c r="Q678" i="31"/>
  <c r="R678" i="31"/>
  <c r="U678" i="31"/>
  <c r="V678" i="31"/>
  <c r="W678" i="31"/>
  <c r="AB678" i="31"/>
  <c r="AC678" i="31"/>
  <c r="AF678" i="31"/>
  <c r="C677" i="31" a="1"/>
  <c r="C677" i="31" s="1"/>
  <c r="D677" i="31" a="1"/>
  <c r="D677" i="31" s="1"/>
  <c r="L677" i="31"/>
  <c r="Q677" i="31"/>
  <c r="R677" i="31"/>
  <c r="U677" i="31"/>
  <c r="V677" i="31"/>
  <c r="W677" i="31"/>
  <c r="AB677" i="31"/>
  <c r="AC677" i="31"/>
  <c r="AF677" i="31"/>
  <c r="C1253" i="35" a="1"/>
  <c r="C1253" i="35" s="1"/>
  <c r="F1253" i="35"/>
  <c r="G1253" i="35" s="1"/>
  <c r="J1253" i="35"/>
  <c r="K1253" i="35" s="1"/>
  <c r="Q1253" i="35"/>
  <c r="C1252" i="35" a="1"/>
  <c r="C1252" i="35" s="1"/>
  <c r="F1252" i="35"/>
  <c r="G1252" i="35" s="1"/>
  <c r="J1252" i="35"/>
  <c r="K1252" i="35" s="1"/>
  <c r="Q1252" i="35"/>
  <c r="C1251" i="35" a="1"/>
  <c r="C1251" i="35" s="1"/>
  <c r="F1251" i="35"/>
  <c r="G1251" i="35" s="1"/>
  <c r="J1251" i="35"/>
  <c r="K1251" i="35" s="1"/>
  <c r="Q1251" i="35"/>
  <c r="C1250" i="35" a="1"/>
  <c r="C1250" i="35" s="1"/>
  <c r="F1250" i="35"/>
  <c r="G1250" i="35" s="1"/>
  <c r="J1250" i="35"/>
  <c r="K1250" i="35" s="1"/>
  <c r="Q1250" i="35"/>
  <c r="C1249" i="35" a="1"/>
  <c r="C1249" i="35" s="1"/>
  <c r="F1249" i="35"/>
  <c r="G1249" i="35" s="1"/>
  <c r="J1249" i="35"/>
  <c r="K1249" i="35" s="1"/>
  <c r="Q1249" i="35"/>
  <c r="C1248" i="35" a="1"/>
  <c r="C1248" i="35" s="1"/>
  <c r="F1248" i="35"/>
  <c r="G1248" i="35" s="1"/>
  <c r="J1248" i="35"/>
  <c r="K1248" i="35" s="1"/>
  <c r="Q1248" i="35"/>
  <c r="C1247" i="35" a="1"/>
  <c r="C1247" i="35" s="1"/>
  <c r="F1247" i="35"/>
  <c r="G1247" i="35" s="1"/>
  <c r="J1247" i="35"/>
  <c r="K1247" i="35" s="1"/>
  <c r="Q1247" i="35"/>
  <c r="C1246" i="35" a="1"/>
  <c r="C1246" i="35" s="1"/>
  <c r="F1246" i="35"/>
  <c r="G1246" i="35" s="1"/>
  <c r="J1246" i="35"/>
  <c r="K1246" i="35" s="1"/>
  <c r="Q1246" i="35"/>
  <c r="C652" i="31" a="1"/>
  <c r="C652" i="31" s="1"/>
  <c r="D652" i="31" a="1"/>
  <c r="D652" i="31" s="1"/>
  <c r="L652" i="31"/>
  <c r="Q652" i="31"/>
  <c r="R652" i="31"/>
  <c r="U652" i="31"/>
  <c r="V652" i="31"/>
  <c r="W652" i="31"/>
  <c r="AB652" i="31"/>
  <c r="AC652" i="31"/>
  <c r="AF652" i="31"/>
  <c r="C1245" i="35" a="1"/>
  <c r="C1245" i="35" s="1"/>
  <c r="F1245" i="35"/>
  <c r="G1245" i="35" s="1"/>
  <c r="J1245" i="35"/>
  <c r="K1245" i="35" s="1"/>
  <c r="Q1245" i="35"/>
  <c r="C1244" i="35" a="1"/>
  <c r="C1244" i="35" s="1"/>
  <c r="F1244" i="35"/>
  <c r="G1244" i="35" s="1"/>
  <c r="J1244" i="35"/>
  <c r="K1244" i="35" s="1"/>
  <c r="Q1244" i="35"/>
  <c r="C1243" i="35" a="1"/>
  <c r="C1243" i="35" s="1"/>
  <c r="F1243" i="35"/>
  <c r="G1243" i="35" s="1"/>
  <c r="J1243" i="35"/>
  <c r="K1243" i="35" s="1"/>
  <c r="Q1243" i="35"/>
  <c r="C654" i="31" a="1"/>
  <c r="C654" i="31" s="1"/>
  <c r="D654" i="31" a="1"/>
  <c r="D654" i="31" s="1"/>
  <c r="L654" i="31"/>
  <c r="Q654" i="31"/>
  <c r="R654" i="31"/>
  <c r="U654" i="31"/>
  <c r="V654" i="31"/>
  <c r="W654" i="31"/>
  <c r="AB654" i="31"/>
  <c r="AC654" i="31"/>
  <c r="AF654" i="31"/>
  <c r="C1242" i="35" a="1"/>
  <c r="C1242" i="35" s="1"/>
  <c r="F1242" i="35"/>
  <c r="G1242" i="35" s="1"/>
  <c r="J1242" i="35"/>
  <c r="K1242" i="35" s="1"/>
  <c r="Q1242" i="35"/>
  <c r="C1241" i="35" a="1"/>
  <c r="C1241" i="35" s="1"/>
  <c r="F1241" i="35"/>
  <c r="G1241" i="35" s="1"/>
  <c r="J1241" i="35"/>
  <c r="K1241" i="35" s="1"/>
  <c r="Q1241" i="35"/>
  <c r="C1240" i="35" a="1"/>
  <c r="C1240" i="35" s="1"/>
  <c r="F1240" i="35"/>
  <c r="J1240" i="35"/>
  <c r="Q1240" i="35"/>
  <c r="B62" i="33" a="1"/>
  <c r="B62" i="33" s="1"/>
  <c r="E62" i="33" a="1"/>
  <c r="E62" i="33" s="1"/>
  <c r="F62" i="33" a="1"/>
  <c r="F62" i="33" s="1"/>
  <c r="G62" i="33" a="1"/>
  <c r="G62" i="33" s="1"/>
  <c r="L62" i="33" a="1"/>
  <c r="L62" i="33" s="1"/>
  <c r="M62" i="33"/>
  <c r="N62" i="33"/>
  <c r="P62" i="33"/>
  <c r="C1239" i="35" a="1"/>
  <c r="C1239" i="35" s="1"/>
  <c r="F1239" i="35"/>
  <c r="G1239" i="35" s="1"/>
  <c r="J1239" i="35"/>
  <c r="K1239" i="35" s="1"/>
  <c r="Q1239" i="35"/>
  <c r="C1238" i="35" a="1"/>
  <c r="C1238" i="35" s="1"/>
  <c r="F1238" i="35"/>
  <c r="G1238" i="35" s="1"/>
  <c r="J1238" i="35"/>
  <c r="K1238" i="35" s="1"/>
  <c r="Q1238" i="35"/>
  <c r="C650" i="31" a="1"/>
  <c r="C650" i="31" s="1"/>
  <c r="D650" i="31" a="1"/>
  <c r="D650" i="31" s="1"/>
  <c r="L650" i="31"/>
  <c r="Q650" i="31"/>
  <c r="R650" i="31"/>
  <c r="U650" i="31"/>
  <c r="V650" i="31"/>
  <c r="W650" i="31"/>
  <c r="AB650" i="31"/>
  <c r="AC650" i="31"/>
  <c r="AF650" i="31"/>
  <c r="C649" i="31" a="1"/>
  <c r="C649" i="31" s="1"/>
  <c r="D649" i="31" a="1"/>
  <c r="D649" i="31" s="1"/>
  <c r="L649" i="31"/>
  <c r="Q649" i="31"/>
  <c r="R649" i="31"/>
  <c r="U649" i="31"/>
  <c r="V649" i="31"/>
  <c r="W649" i="31"/>
  <c r="AB649" i="31"/>
  <c r="AC649" i="31"/>
  <c r="AF649" i="31"/>
  <c r="C1237" i="35" a="1"/>
  <c r="C1237" i="35" s="1"/>
  <c r="F1237" i="35"/>
  <c r="G1237" i="35" s="1"/>
  <c r="J1237" i="35"/>
  <c r="K1237" i="35" s="1"/>
  <c r="Q1237" i="35"/>
  <c r="C1236" i="35" a="1"/>
  <c r="C1236" i="35" s="1"/>
  <c r="F1236" i="35"/>
  <c r="G1236" i="35" s="1"/>
  <c r="J1236" i="35"/>
  <c r="K1236" i="35" s="1"/>
  <c r="Q1236" i="35"/>
  <c r="C1235" i="35" a="1"/>
  <c r="C1235" i="35" s="1"/>
  <c r="F1235" i="35"/>
  <c r="G1235" i="35" s="1"/>
  <c r="J1235" i="35"/>
  <c r="K1235" i="35" s="1"/>
  <c r="Q1235" i="35"/>
  <c r="C663" i="31" a="1"/>
  <c r="C663" i="31" s="1"/>
  <c r="D663" i="31" a="1"/>
  <c r="D663" i="31" s="1"/>
  <c r="L663" i="31"/>
  <c r="Q663" i="31"/>
  <c r="R663" i="31"/>
  <c r="U663" i="31"/>
  <c r="V663" i="31"/>
  <c r="W663" i="31"/>
  <c r="AB663" i="31"/>
  <c r="AC663" i="31"/>
  <c r="AF663" i="31"/>
  <c r="C1234" i="35" a="1"/>
  <c r="C1234" i="35" s="1"/>
  <c r="F1234" i="35"/>
  <c r="G1234" i="35" s="1"/>
  <c r="J1234" i="35"/>
  <c r="K1234" i="35" s="1"/>
  <c r="Q1234" i="35"/>
  <c r="C634" i="31" a="1"/>
  <c r="C634" i="31" s="1"/>
  <c r="D634" i="31" a="1"/>
  <c r="D634" i="31" s="1"/>
  <c r="L634" i="31"/>
  <c r="Q634" i="31"/>
  <c r="R634" i="31"/>
  <c r="U634" i="31"/>
  <c r="V634" i="31"/>
  <c r="W634" i="31"/>
  <c r="AB634" i="31"/>
  <c r="AC634" i="31"/>
  <c r="AF634" i="31"/>
  <c r="C1233" i="35" a="1"/>
  <c r="C1233" i="35" s="1"/>
  <c r="F1233" i="35"/>
  <c r="G1233" i="35" s="1"/>
  <c r="J1233" i="35"/>
  <c r="K1233" i="35" s="1"/>
  <c r="Q1233" i="35"/>
  <c r="C1232" i="35" a="1"/>
  <c r="C1232" i="35" s="1"/>
  <c r="F1232" i="35"/>
  <c r="G1232" i="35" s="1"/>
  <c r="J1232" i="35"/>
  <c r="K1232" i="35" s="1"/>
  <c r="Q1232" i="35"/>
  <c r="C1231" i="35" a="1"/>
  <c r="C1231" i="35" s="1"/>
  <c r="F1231" i="35"/>
  <c r="G1231" i="35" s="1"/>
  <c r="J1231" i="35"/>
  <c r="K1231" i="35" s="1"/>
  <c r="Q1231" i="35"/>
  <c r="H408" i="6"/>
  <c r="J408" i="6" s="1"/>
  <c r="I408" i="6"/>
  <c r="K408" i="6" s="1"/>
  <c r="U408" i="6"/>
  <c r="C1230" i="35" a="1"/>
  <c r="C1230" i="35" s="1"/>
  <c r="F1230" i="35"/>
  <c r="G1230" i="35" s="1"/>
  <c r="J1230" i="35"/>
  <c r="K1230" i="35" s="1"/>
  <c r="Q1230" i="35"/>
  <c r="C1229" i="35" a="1"/>
  <c r="C1229" i="35" s="1"/>
  <c r="F1229" i="35"/>
  <c r="G1229" i="35" s="1"/>
  <c r="J1229" i="35"/>
  <c r="K1229" i="35" s="1"/>
  <c r="Q1229" i="35"/>
  <c r="C1228" i="35" a="1"/>
  <c r="C1228" i="35" s="1"/>
  <c r="F1228" i="35"/>
  <c r="G1228" i="35" s="1"/>
  <c r="J1228" i="35"/>
  <c r="K1228" i="35" s="1"/>
  <c r="Q1228" i="35"/>
  <c r="C1227" i="35" a="1"/>
  <c r="C1227" i="35" s="1"/>
  <c r="F1227" i="35"/>
  <c r="G1227" i="35" s="1"/>
  <c r="J1227" i="35"/>
  <c r="K1227" i="35" s="1"/>
  <c r="Q1227" i="35"/>
  <c r="C667" i="31" a="1"/>
  <c r="C667" i="31" s="1"/>
  <c r="D667" i="31" a="1"/>
  <c r="D667" i="31" s="1"/>
  <c r="L667" i="31"/>
  <c r="Q667" i="31"/>
  <c r="R667" i="31"/>
  <c r="U667" i="31"/>
  <c r="V667" i="31"/>
  <c r="W667" i="31"/>
  <c r="AB667" i="31"/>
  <c r="AC667" i="31"/>
  <c r="AF667" i="31"/>
  <c r="C1226" i="35" a="1"/>
  <c r="C1226" i="35" s="1"/>
  <c r="F1226" i="35"/>
  <c r="G1226" i="35" s="1"/>
  <c r="J1226" i="35"/>
  <c r="K1226" i="35" s="1"/>
  <c r="Q1226" i="35"/>
  <c r="C1225" i="35" a="1"/>
  <c r="C1225" i="35" s="1"/>
  <c r="F1225" i="35"/>
  <c r="G1225" i="35" s="1"/>
  <c r="J1225" i="35"/>
  <c r="K1225" i="35" s="1"/>
  <c r="Q1225" i="35"/>
  <c r="C661" i="31" a="1"/>
  <c r="C661" i="31" s="1"/>
  <c r="D661" i="31" a="1"/>
  <c r="D661" i="31" s="1"/>
  <c r="L661" i="31"/>
  <c r="Q661" i="31"/>
  <c r="R661" i="31"/>
  <c r="U661" i="31"/>
  <c r="V661" i="31"/>
  <c r="W661" i="31"/>
  <c r="AB661" i="31"/>
  <c r="AC661" i="31"/>
  <c r="AF661" i="31"/>
  <c r="H407" i="6"/>
  <c r="J407" i="6" s="1"/>
  <c r="I407" i="6"/>
  <c r="K407" i="6" s="1"/>
  <c r="U407" i="6"/>
  <c r="C1224" i="35" a="1"/>
  <c r="C1224" i="35" s="1"/>
  <c r="F1224" i="35"/>
  <c r="G1224" i="35" s="1"/>
  <c r="J1224" i="35"/>
  <c r="K1224" i="35" s="1"/>
  <c r="Q1224" i="35"/>
  <c r="C1223" i="35" a="1"/>
  <c r="C1223" i="35" s="1"/>
  <c r="F1223" i="35"/>
  <c r="G1223" i="35" s="1"/>
  <c r="J1223" i="35"/>
  <c r="K1223" i="35" s="1"/>
  <c r="Q1223" i="35"/>
  <c r="C1222" i="35" a="1"/>
  <c r="C1222" i="35" s="1"/>
  <c r="F1222" i="35"/>
  <c r="G1222" i="35" s="1"/>
  <c r="J1222" i="35"/>
  <c r="K1222" i="35" s="1"/>
  <c r="Q1222" i="35"/>
  <c r="C1221" i="35" a="1"/>
  <c r="C1221" i="35" s="1"/>
  <c r="F1221" i="35"/>
  <c r="G1221" i="35" s="1"/>
  <c r="J1221" i="35"/>
  <c r="K1221" i="35" s="1"/>
  <c r="Q1221" i="35"/>
  <c r="C1220" i="35" a="1"/>
  <c r="C1220" i="35" s="1"/>
  <c r="F1220" i="35"/>
  <c r="G1220" i="35" s="1"/>
  <c r="J1220" i="35"/>
  <c r="K1220" i="35" s="1"/>
  <c r="Q1220" i="35"/>
  <c r="C1219" i="35" a="1"/>
  <c r="C1219" i="35" s="1"/>
  <c r="F1219" i="35"/>
  <c r="G1219" i="35" s="1"/>
  <c r="J1219" i="35"/>
  <c r="K1219" i="35" s="1"/>
  <c r="Q1219" i="35"/>
  <c r="C1218" i="35" a="1"/>
  <c r="C1218" i="35" s="1"/>
  <c r="F1218" i="35"/>
  <c r="G1218" i="35" s="1"/>
  <c r="J1218" i="35"/>
  <c r="K1218" i="35" s="1"/>
  <c r="Q1218" i="35"/>
  <c r="C662" i="31" a="1"/>
  <c r="C662" i="31" s="1"/>
  <c r="D662" i="31" a="1"/>
  <c r="D662" i="31" s="1"/>
  <c r="L662" i="31"/>
  <c r="Q662" i="31"/>
  <c r="R662" i="31"/>
  <c r="U662" i="31"/>
  <c r="V662" i="31"/>
  <c r="W662" i="31"/>
  <c r="AB662" i="31"/>
  <c r="AC662" i="31"/>
  <c r="AF662" i="31"/>
  <c r="C660" i="31" a="1"/>
  <c r="C660" i="31" s="1"/>
  <c r="D660" i="31" a="1"/>
  <c r="D660" i="31" s="1"/>
  <c r="L660" i="31"/>
  <c r="Q660" i="31"/>
  <c r="R660" i="31"/>
  <c r="U660" i="31"/>
  <c r="V660" i="31"/>
  <c r="W660" i="31"/>
  <c r="AB660" i="31"/>
  <c r="AC660" i="31"/>
  <c r="AF660" i="31"/>
  <c r="C1217" i="35" a="1"/>
  <c r="C1217" i="35" s="1"/>
  <c r="F1217" i="35"/>
  <c r="G1217" i="35" s="1"/>
  <c r="J1217" i="35"/>
  <c r="K1217" i="35" s="1"/>
  <c r="Q1217" i="35"/>
  <c r="C1216" i="35" a="1"/>
  <c r="C1216" i="35" s="1"/>
  <c r="F1216" i="35"/>
  <c r="G1216" i="35" s="1"/>
  <c r="J1216" i="35"/>
  <c r="K1216" i="35" s="1"/>
  <c r="Q1216" i="35"/>
  <c r="C1215" i="35" a="1"/>
  <c r="C1215" i="35" s="1"/>
  <c r="F1215" i="35"/>
  <c r="G1215" i="35" s="1"/>
  <c r="J1215" i="35"/>
  <c r="K1215" i="35" s="1"/>
  <c r="Q1215" i="35"/>
  <c r="C1214" i="35" a="1"/>
  <c r="C1214" i="35" s="1"/>
  <c r="F1214" i="35"/>
  <c r="J1214" i="35"/>
  <c r="Q1214" i="35"/>
  <c r="B202" i="33" a="1"/>
  <c r="B202" i="33" s="1"/>
  <c r="E202" i="33" a="1"/>
  <c r="E202" i="33" s="1"/>
  <c r="F202" i="33" a="1"/>
  <c r="F202" i="33" s="1"/>
  <c r="G202" i="33" a="1"/>
  <c r="G202" i="33" s="1"/>
  <c r="L202" i="33" a="1"/>
  <c r="L202" i="33" s="1"/>
  <c r="M202" i="33"/>
  <c r="N202" i="33"/>
  <c r="P202" i="33"/>
  <c r="C1213" i="35" a="1"/>
  <c r="C1213" i="35" s="1"/>
  <c r="F1213" i="35"/>
  <c r="G1213" i="35" s="1"/>
  <c r="J1213" i="35"/>
  <c r="K1213" i="35" s="1"/>
  <c r="Q1213" i="35"/>
  <c r="B59" i="33" a="1"/>
  <c r="B59" i="33" s="1"/>
  <c r="E59" i="33" a="1"/>
  <c r="E59" i="33" s="1"/>
  <c r="F59" i="33" a="1"/>
  <c r="F59" i="33" s="1"/>
  <c r="G59" i="33" a="1"/>
  <c r="G59" i="33" s="1"/>
  <c r="L59" i="33" a="1"/>
  <c r="L59" i="33" s="1"/>
  <c r="P59" i="33"/>
  <c r="C658" i="31" a="1"/>
  <c r="C658" i="31" s="1"/>
  <c r="D658" i="31" a="1"/>
  <c r="D658" i="31" s="1"/>
  <c r="L658" i="31"/>
  <c r="Q658" i="31"/>
  <c r="R658" i="31"/>
  <c r="U658" i="31"/>
  <c r="V658" i="31"/>
  <c r="W658" i="31"/>
  <c r="AB658" i="31"/>
  <c r="AC658" i="31"/>
  <c r="AF658" i="31"/>
  <c r="C1212" i="35" a="1"/>
  <c r="C1212" i="35" s="1"/>
  <c r="F1212" i="35"/>
  <c r="G1212" i="35" s="1"/>
  <c r="J1212" i="35"/>
  <c r="K1212" i="35" s="1"/>
  <c r="Q1212" i="35"/>
  <c r="C1211" i="35" a="1"/>
  <c r="C1211" i="35" s="1"/>
  <c r="F1211" i="35"/>
  <c r="J1211" i="35"/>
  <c r="Q1211" i="35"/>
  <c r="C1210" i="35" a="1"/>
  <c r="C1210" i="35" s="1"/>
  <c r="F1210" i="35"/>
  <c r="G1210" i="35" s="1"/>
  <c r="J1210" i="35"/>
  <c r="K1210" i="35" s="1"/>
  <c r="Q1210" i="35"/>
  <c r="C1209" i="35" a="1"/>
  <c r="C1209" i="35" s="1"/>
  <c r="F1209" i="35"/>
  <c r="G1209" i="35" s="1"/>
  <c r="J1209" i="35"/>
  <c r="K1209" i="35" s="1"/>
  <c r="Q1209" i="35"/>
  <c r="C657" i="31" a="1"/>
  <c r="C657" i="31" s="1"/>
  <c r="D657" i="31" a="1"/>
  <c r="D657" i="31" s="1"/>
  <c r="L657" i="31"/>
  <c r="Q657" i="31"/>
  <c r="R657" i="31"/>
  <c r="U657" i="31"/>
  <c r="V657" i="31"/>
  <c r="W657" i="31"/>
  <c r="AB657" i="31"/>
  <c r="AC657" i="31"/>
  <c r="AF657" i="31"/>
  <c r="C656" i="31" a="1"/>
  <c r="C656" i="31" s="1"/>
  <c r="D656" i="31" a="1"/>
  <c r="D656" i="31" s="1"/>
  <c r="L656" i="31"/>
  <c r="Q656" i="31"/>
  <c r="R656" i="31"/>
  <c r="U656" i="31"/>
  <c r="V656" i="31"/>
  <c r="AD656" i="31" s="1"/>
  <c r="W656" i="31"/>
  <c r="AB656" i="31"/>
  <c r="AC656" i="31"/>
  <c r="AF656" i="31"/>
  <c r="C1208" i="35" a="1"/>
  <c r="C1208" i="35" s="1"/>
  <c r="F1208" i="35"/>
  <c r="G1208" i="35" s="1"/>
  <c r="J1208" i="35"/>
  <c r="K1208" i="35" s="1"/>
  <c r="Q1208" i="35"/>
  <c r="H406" i="6"/>
  <c r="J406" i="6" s="1"/>
  <c r="I406" i="6"/>
  <c r="K406" i="6" s="1"/>
  <c r="U406" i="6"/>
  <c r="H405" i="6"/>
  <c r="J405" i="6" s="1"/>
  <c r="I405" i="6"/>
  <c r="K405" i="6" s="1"/>
  <c r="U405" i="6"/>
  <c r="C1207" i="35" a="1"/>
  <c r="C1207" i="35" s="1"/>
  <c r="F1207" i="35"/>
  <c r="G1207" i="35" s="1"/>
  <c r="J1207" i="35"/>
  <c r="K1207" i="35" s="1"/>
  <c r="Q1207" i="35"/>
  <c r="H404" i="6"/>
  <c r="J404" i="6" s="1"/>
  <c r="I404" i="6"/>
  <c r="K404" i="6" s="1"/>
  <c r="U404" i="6"/>
  <c r="H403" i="6"/>
  <c r="J403" i="6" s="1"/>
  <c r="I403" i="6"/>
  <c r="K403" i="6" s="1"/>
  <c r="U403" i="6"/>
  <c r="H402" i="6"/>
  <c r="J402" i="6" s="1"/>
  <c r="I402" i="6"/>
  <c r="K402" i="6" s="1"/>
  <c r="U402" i="6"/>
  <c r="H401" i="6"/>
  <c r="J401" i="6" s="1"/>
  <c r="I401" i="6"/>
  <c r="K401" i="6" s="1"/>
  <c r="U401" i="6"/>
  <c r="H400" i="6"/>
  <c r="J400" i="6" s="1"/>
  <c r="I400" i="6"/>
  <c r="K400" i="6" s="1"/>
  <c r="U400" i="6"/>
  <c r="C645" i="31" a="1"/>
  <c r="C645" i="31" s="1"/>
  <c r="D645" i="31" a="1"/>
  <c r="D645" i="31" s="1"/>
  <c r="L645" i="31"/>
  <c r="Q645" i="31"/>
  <c r="R645" i="31"/>
  <c r="U645" i="31"/>
  <c r="V645" i="31"/>
  <c r="W645" i="31"/>
  <c r="AB645" i="31"/>
  <c r="AC645" i="31"/>
  <c r="AF645" i="31"/>
  <c r="C640" i="31" a="1"/>
  <c r="C640" i="31" s="1"/>
  <c r="D640" i="31" a="1"/>
  <c r="D640" i="31" s="1"/>
  <c r="L640" i="31"/>
  <c r="Q640" i="31"/>
  <c r="R640" i="31"/>
  <c r="U640" i="31"/>
  <c r="V640" i="31"/>
  <c r="W640" i="31"/>
  <c r="AB640" i="31"/>
  <c r="AC640" i="31"/>
  <c r="AF640" i="31"/>
  <c r="C1206" i="35" a="1"/>
  <c r="C1206" i="35" s="1"/>
  <c r="F1206" i="35"/>
  <c r="G1206" i="35" s="1"/>
  <c r="J1206" i="35"/>
  <c r="K1206" i="35" s="1"/>
  <c r="Q1206" i="35"/>
  <c r="H399" i="6"/>
  <c r="J399" i="6" s="1"/>
  <c r="I399" i="6"/>
  <c r="K399" i="6" s="1"/>
  <c r="U399" i="6"/>
  <c r="H398" i="6"/>
  <c r="J398" i="6" s="1"/>
  <c r="I398" i="6"/>
  <c r="K398" i="6" s="1"/>
  <c r="U398" i="6"/>
  <c r="C613" i="31" a="1"/>
  <c r="C613" i="31" s="1"/>
  <c r="D613" i="31" a="1"/>
  <c r="D613" i="31" s="1"/>
  <c r="L613" i="31"/>
  <c r="Q613" i="31"/>
  <c r="R613" i="31"/>
  <c r="U613" i="31"/>
  <c r="V613" i="31"/>
  <c r="W613" i="31"/>
  <c r="AB613" i="31"/>
  <c r="AC613" i="31"/>
  <c r="AF613" i="31"/>
  <c r="C1205" i="35" a="1"/>
  <c r="C1205" i="35" s="1"/>
  <c r="F1205" i="35"/>
  <c r="G1205" i="35" s="1"/>
  <c r="J1205" i="35"/>
  <c r="K1205" i="35" s="1"/>
  <c r="Q1205" i="35"/>
  <c r="C1204" i="35" a="1"/>
  <c r="C1204" i="35" s="1"/>
  <c r="F1204" i="35"/>
  <c r="G1204" i="35" s="1"/>
  <c r="J1204" i="35"/>
  <c r="K1204" i="35" s="1"/>
  <c r="Q1204" i="35"/>
  <c r="C1203" i="35" a="1"/>
  <c r="C1203" i="35" s="1"/>
  <c r="F1203" i="35"/>
  <c r="G1203" i="35" s="1"/>
  <c r="J1203" i="35"/>
  <c r="K1203" i="35" s="1"/>
  <c r="Q1203" i="35"/>
  <c r="C1202" i="35" a="1"/>
  <c r="C1202" i="35" s="1"/>
  <c r="F1202" i="35"/>
  <c r="G1202" i="35" s="1"/>
  <c r="J1202" i="35"/>
  <c r="K1202" i="35" s="1"/>
  <c r="Q1202" i="35"/>
  <c r="C1201" i="35" a="1"/>
  <c r="C1201" i="35" s="1"/>
  <c r="F1201" i="35"/>
  <c r="G1201" i="35" s="1"/>
  <c r="J1201" i="35"/>
  <c r="K1201" i="35" s="1"/>
  <c r="Q1201" i="35"/>
  <c r="C1200" i="35" a="1"/>
  <c r="C1200" i="35" s="1"/>
  <c r="F1200" i="35"/>
  <c r="G1200" i="35" s="1"/>
  <c r="J1200" i="35"/>
  <c r="K1200" i="35" s="1"/>
  <c r="Q1200" i="35"/>
  <c r="C1199" i="35" a="1"/>
  <c r="C1199" i="35" s="1"/>
  <c r="F1199" i="35"/>
  <c r="G1199" i="35" s="1"/>
  <c r="J1199" i="35"/>
  <c r="K1199" i="35" s="1"/>
  <c r="Q1199" i="35"/>
  <c r="C1198" i="35" a="1"/>
  <c r="C1198" i="35" s="1"/>
  <c r="F1198" i="35"/>
  <c r="G1198" i="35" s="1"/>
  <c r="J1198" i="35"/>
  <c r="K1198" i="35" s="1"/>
  <c r="Q1198" i="35"/>
  <c r="C1197" i="35" a="1"/>
  <c r="C1197" i="35" s="1"/>
  <c r="F1197" i="35"/>
  <c r="J1197" i="35"/>
  <c r="Q1197" i="35"/>
  <c r="B57" i="33" a="1"/>
  <c r="B57" i="33" s="1"/>
  <c r="E57" i="33" a="1"/>
  <c r="E57" i="33" s="1"/>
  <c r="F57" i="33" a="1"/>
  <c r="F57" i="33" s="1"/>
  <c r="G57" i="33" a="1"/>
  <c r="G57" i="33" s="1"/>
  <c r="L57" i="33" a="1"/>
  <c r="L57" i="33" s="1"/>
  <c r="M57" i="33"/>
  <c r="N57" i="33"/>
  <c r="P57" i="33"/>
  <c r="C1196" i="35" a="1"/>
  <c r="C1196" i="35" s="1"/>
  <c r="F1196" i="35"/>
  <c r="G1196" i="35" s="1"/>
  <c r="J1196" i="35"/>
  <c r="K1196" i="35" s="1"/>
  <c r="Q1196" i="35"/>
  <c r="C1195" i="35" a="1"/>
  <c r="C1195" i="35" s="1"/>
  <c r="F1195" i="35"/>
  <c r="H1444" i="35" s="1"/>
  <c r="J1195" i="35"/>
  <c r="L1444" i="35" s="1"/>
  <c r="Q1195" i="35"/>
  <c r="B168" i="33" a="1"/>
  <c r="B168" i="33" s="1"/>
  <c r="E168" i="33" a="1"/>
  <c r="E168" i="33" s="1"/>
  <c r="F168" i="33" a="1"/>
  <c r="F168" i="33" s="1"/>
  <c r="G168" i="33" a="1"/>
  <c r="G168" i="33" s="1"/>
  <c r="L168" i="33" a="1"/>
  <c r="L168" i="33" s="1"/>
  <c r="M168" i="33"/>
  <c r="N168" i="33"/>
  <c r="P168" i="33"/>
  <c r="C1194" i="35" a="1"/>
  <c r="C1194" i="35" s="1"/>
  <c r="F1194" i="35"/>
  <c r="G1194" i="35" s="1"/>
  <c r="J1194" i="35"/>
  <c r="K1194" i="35" s="1"/>
  <c r="Q1194" i="35"/>
  <c r="C615" i="31" a="1"/>
  <c r="C615" i="31" s="1"/>
  <c r="D615" i="31" a="1"/>
  <c r="D615" i="31" s="1"/>
  <c r="L615" i="31"/>
  <c r="Q615" i="31"/>
  <c r="R615" i="31"/>
  <c r="U615" i="31"/>
  <c r="V615" i="31"/>
  <c r="W615" i="31"/>
  <c r="AB615" i="31"/>
  <c r="AC615" i="31"/>
  <c r="AF615" i="31"/>
  <c r="C651" i="31" a="1"/>
  <c r="C651" i="31" s="1"/>
  <c r="D651" i="31" a="1"/>
  <c r="D651" i="31" s="1"/>
  <c r="L651" i="31"/>
  <c r="Q651" i="31"/>
  <c r="R651" i="31"/>
  <c r="U651" i="31"/>
  <c r="V651" i="31"/>
  <c r="W651" i="31"/>
  <c r="AB651" i="31"/>
  <c r="AC651" i="31"/>
  <c r="AF651" i="31"/>
  <c r="C1193" i="35" a="1"/>
  <c r="C1193" i="35" s="1"/>
  <c r="F1193" i="35"/>
  <c r="H1478" i="35" s="1"/>
  <c r="J1193" i="35"/>
  <c r="L1478" i="35" s="1"/>
  <c r="Q1193" i="35"/>
  <c r="B151" i="33" a="1"/>
  <c r="B151" i="33" s="1"/>
  <c r="E151" i="33" a="1"/>
  <c r="E151" i="33" s="1"/>
  <c r="F151" i="33" a="1"/>
  <c r="F151" i="33" s="1"/>
  <c r="G151" i="33" a="1"/>
  <c r="G151" i="33" s="1"/>
  <c r="L151" i="33" a="1"/>
  <c r="L151" i="33" s="1"/>
  <c r="M151" i="33"/>
  <c r="N151" i="33"/>
  <c r="P151" i="33"/>
  <c r="C1192" i="35" a="1"/>
  <c r="C1192" i="35" s="1"/>
  <c r="F1192" i="35"/>
  <c r="G1192" i="35" s="1"/>
  <c r="J1192" i="35"/>
  <c r="K1192" i="35" s="1"/>
  <c r="Q1192" i="35"/>
  <c r="C1191" i="35" a="1"/>
  <c r="C1191" i="35" s="1"/>
  <c r="F1191" i="35"/>
  <c r="G1191" i="35" s="1"/>
  <c r="J1191" i="35"/>
  <c r="K1191" i="35" s="1"/>
  <c r="Q1191" i="35"/>
  <c r="C668" i="31" a="1"/>
  <c r="C668" i="31" s="1"/>
  <c r="D668" i="31" a="1"/>
  <c r="D668" i="31" s="1"/>
  <c r="L668" i="31"/>
  <c r="Q668" i="31"/>
  <c r="R668" i="31"/>
  <c r="U668" i="31"/>
  <c r="V668" i="31"/>
  <c r="W668" i="31"/>
  <c r="AB668" i="31"/>
  <c r="AC668" i="31"/>
  <c r="AF668" i="31"/>
  <c r="C659" i="31" a="1"/>
  <c r="C659" i="31" s="1"/>
  <c r="D659" i="31" a="1"/>
  <c r="D659" i="31" s="1"/>
  <c r="L659" i="31"/>
  <c r="Q659" i="31"/>
  <c r="R659" i="31"/>
  <c r="U659" i="31"/>
  <c r="V659" i="31"/>
  <c r="W659" i="31"/>
  <c r="AB659" i="31"/>
  <c r="AC659" i="31"/>
  <c r="AF659" i="31"/>
  <c r="C1190" i="35" a="1"/>
  <c r="C1190" i="35" s="1"/>
  <c r="F1190" i="35"/>
  <c r="G1190" i="35" s="1"/>
  <c r="J1190" i="35"/>
  <c r="K1190" i="35" s="1"/>
  <c r="Q1190" i="35"/>
  <c r="C1189" i="35" a="1"/>
  <c r="C1189" i="35" s="1"/>
  <c r="F1189" i="35"/>
  <c r="G1189" i="35" s="1"/>
  <c r="J1189" i="35"/>
  <c r="K1189" i="35" s="1"/>
  <c r="Q1189" i="35"/>
  <c r="C1188" i="35" a="1"/>
  <c r="C1188" i="35" s="1"/>
  <c r="F1188" i="35"/>
  <c r="G1188" i="35" s="1"/>
  <c r="J1188" i="35"/>
  <c r="K1188" i="35" s="1"/>
  <c r="Q1188" i="35"/>
  <c r="C1187" i="35" a="1"/>
  <c r="C1187" i="35" s="1"/>
  <c r="F1187" i="35"/>
  <c r="J1187" i="35"/>
  <c r="Q1187" i="35"/>
  <c r="B154" i="33" a="1"/>
  <c r="B154" i="33" s="1"/>
  <c r="E154" i="33" a="1"/>
  <c r="E154" i="33" s="1"/>
  <c r="F154" i="33" a="1"/>
  <c r="F154" i="33" s="1"/>
  <c r="G154" i="33" a="1"/>
  <c r="G154" i="33" s="1"/>
  <c r="L154" i="33" a="1"/>
  <c r="L154" i="33" s="1"/>
  <c r="M154" i="33"/>
  <c r="N154" i="33"/>
  <c r="P154" i="33"/>
  <c r="C1186" i="35" a="1"/>
  <c r="C1186" i="35" s="1"/>
  <c r="F1186" i="35"/>
  <c r="G1186" i="35" s="1"/>
  <c r="J1186" i="35"/>
  <c r="K1186" i="35" s="1"/>
  <c r="Q1186" i="35"/>
  <c r="C621" i="31" a="1"/>
  <c r="C621" i="31" s="1"/>
  <c r="D621" i="31" a="1"/>
  <c r="D621" i="31" s="1"/>
  <c r="L621" i="31"/>
  <c r="Q621" i="31"/>
  <c r="R621" i="31"/>
  <c r="U621" i="31"/>
  <c r="V621" i="31"/>
  <c r="W621" i="31"/>
  <c r="AB621" i="31"/>
  <c r="AC621" i="31"/>
  <c r="AF621" i="31"/>
  <c r="C620" i="31" a="1"/>
  <c r="C620" i="31" s="1"/>
  <c r="D620" i="31" a="1"/>
  <c r="D620" i="31" s="1"/>
  <c r="L620" i="31"/>
  <c r="Q620" i="31"/>
  <c r="R620" i="31"/>
  <c r="U620" i="31"/>
  <c r="V620" i="31"/>
  <c r="W620" i="31"/>
  <c r="AB620" i="31"/>
  <c r="AC620" i="31"/>
  <c r="AF620" i="31"/>
  <c r="C612" i="31" a="1"/>
  <c r="C612" i="31" s="1"/>
  <c r="D612" i="31" a="1"/>
  <c r="D612" i="31" s="1"/>
  <c r="L612" i="31"/>
  <c r="Q612" i="31"/>
  <c r="R612" i="31"/>
  <c r="U612" i="31"/>
  <c r="V612" i="31"/>
  <c r="W612" i="31"/>
  <c r="AB612" i="31"/>
  <c r="AC612" i="31"/>
  <c r="AF612" i="31"/>
  <c r="C1185" i="35" a="1"/>
  <c r="C1185" i="35" s="1"/>
  <c r="F1185" i="35"/>
  <c r="G1185" i="35" s="1"/>
  <c r="J1185" i="35"/>
  <c r="K1185" i="35" s="1"/>
  <c r="Q1185" i="35"/>
  <c r="C1184" i="35" a="1"/>
  <c r="C1184" i="35" s="1"/>
  <c r="F1184" i="35"/>
  <c r="G1184" i="35" s="1"/>
  <c r="J1184" i="35"/>
  <c r="K1184" i="35" s="1"/>
  <c r="Q1184" i="35"/>
  <c r="C1183" i="35" a="1"/>
  <c r="C1183" i="35" s="1"/>
  <c r="F1183" i="35"/>
  <c r="G1183" i="35" s="1"/>
  <c r="J1183" i="35"/>
  <c r="K1183" i="35" s="1"/>
  <c r="Q1183" i="35"/>
  <c r="H397" i="6"/>
  <c r="J397" i="6" s="1"/>
  <c r="I397" i="6"/>
  <c r="K397" i="6" s="1"/>
  <c r="U397" i="6"/>
  <c r="C778" i="31" a="1"/>
  <c r="C778" i="31" s="1"/>
  <c r="D778" i="31" a="1"/>
  <c r="D778" i="31" s="1"/>
  <c r="L778" i="31"/>
  <c r="Q778" i="31"/>
  <c r="R778" i="31"/>
  <c r="U778" i="31"/>
  <c r="V778" i="31"/>
  <c r="W778" i="31"/>
  <c r="AB778" i="31"/>
  <c r="AC778" i="31"/>
  <c r="AF778" i="31"/>
  <c r="C1182" i="35" a="1"/>
  <c r="C1182" i="35" s="1"/>
  <c r="F1182" i="35"/>
  <c r="G1182" i="35" s="1"/>
  <c r="J1182" i="35"/>
  <c r="K1182" i="35" s="1"/>
  <c r="Q1182" i="35"/>
  <c r="C1181" i="35" a="1"/>
  <c r="C1181" i="35" s="1"/>
  <c r="F1181" i="35"/>
  <c r="G1181" i="35" s="1"/>
  <c r="J1181" i="35"/>
  <c r="K1181" i="35" s="1"/>
  <c r="Q1181" i="35"/>
  <c r="C644" i="31" a="1"/>
  <c r="C644" i="31" s="1"/>
  <c r="D644" i="31" a="1"/>
  <c r="D644" i="31" s="1"/>
  <c r="L644" i="31"/>
  <c r="Q644" i="31"/>
  <c r="R644" i="31"/>
  <c r="U644" i="31"/>
  <c r="V644" i="31"/>
  <c r="W644" i="31"/>
  <c r="AB644" i="31"/>
  <c r="AC644" i="31"/>
  <c r="AF644" i="31"/>
  <c r="C1180" i="35" a="1"/>
  <c r="C1180" i="35" s="1"/>
  <c r="F1180" i="35"/>
  <c r="G1180" i="35" s="1"/>
  <c r="J1180" i="35"/>
  <c r="K1180" i="35" s="1"/>
  <c r="Q1180" i="35"/>
  <c r="C1179" i="35" a="1"/>
  <c r="C1179" i="35" s="1"/>
  <c r="F1179" i="35"/>
  <c r="G1179" i="35" s="1"/>
  <c r="J1179" i="35"/>
  <c r="K1179" i="35" s="1"/>
  <c r="Q1179" i="35"/>
  <c r="C1178" i="35" a="1"/>
  <c r="C1178" i="35" s="1"/>
  <c r="F1178" i="35"/>
  <c r="G1178" i="35" s="1"/>
  <c r="J1178" i="35"/>
  <c r="K1178" i="35" s="1"/>
  <c r="Q1178" i="35"/>
  <c r="C643" i="31" a="1"/>
  <c r="C643" i="31" s="1"/>
  <c r="D643" i="31" a="1"/>
  <c r="D643" i="31" s="1"/>
  <c r="L643" i="31"/>
  <c r="Q643" i="31"/>
  <c r="R643" i="31"/>
  <c r="U643" i="31"/>
  <c r="V643" i="31"/>
  <c r="W643" i="31"/>
  <c r="AB643" i="31"/>
  <c r="AC643" i="31"/>
  <c r="AF643" i="31"/>
  <c r="C1177" i="35" a="1"/>
  <c r="C1177" i="35" s="1"/>
  <c r="F1177" i="35"/>
  <c r="G1177" i="35" s="1"/>
  <c r="J1177" i="35"/>
  <c r="K1177" i="35" s="1"/>
  <c r="Q1177" i="35"/>
  <c r="C1176" i="35" a="1"/>
  <c r="C1176" i="35" s="1"/>
  <c r="F1176" i="35"/>
  <c r="J1176" i="35"/>
  <c r="Q1176" i="35"/>
  <c r="B163" i="33" a="1"/>
  <c r="B163" i="33" s="1"/>
  <c r="E163" i="33" a="1"/>
  <c r="E163" i="33" s="1"/>
  <c r="F163" i="33" a="1"/>
  <c r="F163" i="33" s="1"/>
  <c r="G163" i="33" a="1"/>
  <c r="G163" i="33" s="1"/>
  <c r="L163" i="33" a="1"/>
  <c r="L163" i="33" s="1"/>
  <c r="M163" i="33"/>
  <c r="N163" i="33"/>
  <c r="P163" i="33"/>
  <c r="C1175" i="35" a="1"/>
  <c r="C1175" i="35" s="1"/>
  <c r="F1175" i="35"/>
  <c r="G1175" i="35" s="1"/>
  <c r="J1175" i="35"/>
  <c r="K1175" i="35" s="1"/>
  <c r="Q1175" i="35"/>
  <c r="C606" i="31" a="1"/>
  <c r="C606" i="31" s="1"/>
  <c r="D606" i="31" a="1"/>
  <c r="D606" i="31" s="1"/>
  <c r="L606" i="31"/>
  <c r="Q606" i="31"/>
  <c r="R606" i="31"/>
  <c r="U606" i="31"/>
  <c r="V606" i="31"/>
  <c r="W606" i="31"/>
  <c r="AB606" i="31"/>
  <c r="AC606" i="31"/>
  <c r="AF606" i="31"/>
  <c r="C605" i="31" a="1"/>
  <c r="C605" i="31" s="1"/>
  <c r="D605" i="31" a="1"/>
  <c r="D605" i="31" s="1"/>
  <c r="L605" i="31"/>
  <c r="Q605" i="31"/>
  <c r="R605" i="31"/>
  <c r="U605" i="31"/>
  <c r="V605" i="31"/>
  <c r="W605" i="31"/>
  <c r="AB605" i="31"/>
  <c r="AC605" i="31"/>
  <c r="AF605" i="31"/>
  <c r="C1174" i="35" a="1"/>
  <c r="C1174" i="35" s="1"/>
  <c r="F1174" i="35"/>
  <c r="G1174" i="35" s="1"/>
  <c r="J1174" i="35"/>
  <c r="K1174" i="35" s="1"/>
  <c r="Q1174" i="35"/>
  <c r="C1173" i="35" a="1"/>
  <c r="C1173" i="35" s="1"/>
  <c r="F1173" i="35"/>
  <c r="J1173" i="35"/>
  <c r="Q1173" i="35"/>
  <c r="B23" i="33" a="1"/>
  <c r="B23" i="33" s="1"/>
  <c r="E23" i="33" a="1"/>
  <c r="E23" i="33" s="1"/>
  <c r="F23" i="33" a="1"/>
  <c r="F23" i="33" s="1"/>
  <c r="G23" i="33" a="1"/>
  <c r="G23" i="33" s="1"/>
  <c r="L23" i="33" a="1"/>
  <c r="L23" i="33" s="1"/>
  <c r="P23" i="33"/>
  <c r="C1172" i="35" a="1"/>
  <c r="C1172" i="35" s="1"/>
  <c r="F1172" i="35"/>
  <c r="G1172" i="35" s="1"/>
  <c r="J1172" i="35"/>
  <c r="K1172" i="35" s="1"/>
  <c r="Q1172" i="35"/>
  <c r="C1171" i="35" a="1"/>
  <c r="C1171" i="35" s="1"/>
  <c r="F1171" i="35"/>
  <c r="G1171" i="35" s="1"/>
  <c r="J1171" i="35"/>
  <c r="K1171" i="35" s="1"/>
  <c r="Q1171" i="35"/>
  <c r="C1170" i="35" a="1"/>
  <c r="C1170" i="35" s="1"/>
  <c r="F1170" i="35"/>
  <c r="G1170" i="35" s="1"/>
  <c r="J1170" i="35"/>
  <c r="K1170" i="35" s="1"/>
  <c r="Q1170" i="35"/>
  <c r="C1169" i="35" a="1"/>
  <c r="C1169" i="35" s="1"/>
  <c r="F1169" i="35"/>
  <c r="G1169" i="35" s="1"/>
  <c r="J1169" i="35"/>
  <c r="K1169" i="35" s="1"/>
  <c r="Q1169" i="35"/>
  <c r="C1168" i="35" a="1"/>
  <c r="C1168" i="35" s="1"/>
  <c r="F1168" i="35"/>
  <c r="G1168" i="35" s="1"/>
  <c r="J1168" i="35"/>
  <c r="K1168" i="35" s="1"/>
  <c r="Q1168" i="35"/>
  <c r="C1167" i="35" a="1"/>
  <c r="C1167" i="35" s="1"/>
  <c r="F1167" i="35"/>
  <c r="J1167" i="35"/>
  <c r="Q1167" i="35"/>
  <c r="C1166" i="35" a="1"/>
  <c r="C1166" i="35" s="1"/>
  <c r="F1166" i="35"/>
  <c r="G1166" i="35" s="1"/>
  <c r="J1166" i="35"/>
  <c r="K1166" i="35" s="1"/>
  <c r="Q1166" i="35"/>
  <c r="C1165" i="35" a="1"/>
  <c r="C1165" i="35" s="1"/>
  <c r="F1165" i="35"/>
  <c r="G1165" i="35" s="1"/>
  <c r="J1165" i="35"/>
  <c r="K1165" i="35" s="1"/>
  <c r="Q1165" i="35"/>
  <c r="C1164" i="35" a="1"/>
  <c r="C1164" i="35" s="1"/>
  <c r="F1164" i="35"/>
  <c r="G1164" i="35" s="1"/>
  <c r="J1164" i="35"/>
  <c r="K1164" i="35" s="1"/>
  <c r="Q1164" i="35"/>
  <c r="C1163" i="35" a="1"/>
  <c r="C1163" i="35" s="1"/>
  <c r="F1163" i="35"/>
  <c r="G1163" i="35" s="1"/>
  <c r="J1163" i="35"/>
  <c r="K1163" i="35" s="1"/>
  <c r="Q1163" i="35"/>
  <c r="C1162" i="35" a="1"/>
  <c r="C1162" i="35" s="1"/>
  <c r="F1162" i="35"/>
  <c r="G1162" i="35" s="1"/>
  <c r="J1162" i="35"/>
  <c r="K1162" i="35" s="1"/>
  <c r="Q1162" i="35"/>
  <c r="C1161" i="35" a="1"/>
  <c r="C1161" i="35" s="1"/>
  <c r="F1161" i="35"/>
  <c r="G1161" i="35" s="1"/>
  <c r="J1161" i="35"/>
  <c r="K1161" i="35" s="1"/>
  <c r="Q1161" i="35"/>
  <c r="C1160" i="35" a="1"/>
  <c r="C1160" i="35" s="1"/>
  <c r="F1160" i="35"/>
  <c r="G1160" i="35" s="1"/>
  <c r="J1160" i="35"/>
  <c r="K1160" i="35" s="1"/>
  <c r="Q1160" i="35"/>
  <c r="C1159" i="35" a="1"/>
  <c r="C1159" i="35" s="1"/>
  <c r="F1159" i="35"/>
  <c r="G1159" i="35" s="1"/>
  <c r="J1159" i="35"/>
  <c r="K1159" i="35" s="1"/>
  <c r="Q1159" i="35"/>
  <c r="C1158" i="35" a="1"/>
  <c r="C1158" i="35" s="1"/>
  <c r="F1158" i="35"/>
  <c r="G1158" i="35" s="1"/>
  <c r="J1158" i="35"/>
  <c r="K1158" i="35" s="1"/>
  <c r="Q1158" i="35"/>
  <c r="C1157" i="35" a="1"/>
  <c r="C1157" i="35" s="1"/>
  <c r="F1157" i="35"/>
  <c r="G1157" i="35" s="1"/>
  <c r="J1157" i="35"/>
  <c r="K1157" i="35" s="1"/>
  <c r="Q1157" i="35"/>
  <c r="C1156" i="35" a="1"/>
  <c r="C1156" i="35" s="1"/>
  <c r="F1156" i="35"/>
  <c r="G1156" i="35" s="1"/>
  <c r="J1156" i="35"/>
  <c r="K1156" i="35" s="1"/>
  <c r="Q1156" i="35"/>
  <c r="C1155" i="35" a="1"/>
  <c r="C1155" i="35" s="1"/>
  <c r="F1155" i="35"/>
  <c r="G1155" i="35" s="1"/>
  <c r="J1155" i="35"/>
  <c r="K1155" i="35" s="1"/>
  <c r="Q1155" i="35"/>
  <c r="C1154" i="35" a="1"/>
  <c r="C1154" i="35" s="1"/>
  <c r="F1154" i="35"/>
  <c r="G1154" i="35" s="1"/>
  <c r="J1154" i="35"/>
  <c r="K1154" i="35" s="1"/>
  <c r="Q1154" i="35"/>
  <c r="C633" i="31" a="1"/>
  <c r="C633" i="31" s="1"/>
  <c r="D633" i="31" a="1"/>
  <c r="D633" i="31" s="1"/>
  <c r="L633" i="31"/>
  <c r="Q633" i="31"/>
  <c r="R633" i="31"/>
  <c r="U633" i="31"/>
  <c r="V633" i="31"/>
  <c r="W633" i="31"/>
  <c r="AB633" i="31"/>
  <c r="AC633" i="31"/>
  <c r="AF633" i="31"/>
  <c r="C616" i="31" a="1"/>
  <c r="C616" i="31" s="1"/>
  <c r="D616" i="31" a="1"/>
  <c r="D616" i="31" s="1"/>
  <c r="L616" i="31"/>
  <c r="Q616" i="31"/>
  <c r="R616" i="31"/>
  <c r="U616" i="31"/>
  <c r="V616" i="31"/>
  <c r="W616" i="31"/>
  <c r="AB616" i="31"/>
  <c r="AC616" i="31"/>
  <c r="AF616" i="31"/>
  <c r="C1153" i="35" a="1"/>
  <c r="C1153" i="35" s="1"/>
  <c r="F1153" i="35"/>
  <c r="G1153" i="35" s="1"/>
  <c r="J1153" i="35"/>
  <c r="K1153" i="35" s="1"/>
  <c r="Q1153" i="35"/>
  <c r="C1152" i="35" a="1"/>
  <c r="C1152" i="35" s="1"/>
  <c r="F1152" i="35"/>
  <c r="G1152" i="35" s="1"/>
  <c r="J1152" i="35"/>
  <c r="K1152" i="35" s="1"/>
  <c r="Q1152" i="35"/>
  <c r="C1151" i="35" a="1"/>
  <c r="C1151" i="35" s="1"/>
  <c r="F1151" i="35"/>
  <c r="G1151" i="35" s="1"/>
  <c r="J1151" i="35"/>
  <c r="K1151" i="35" s="1"/>
  <c r="Q1151" i="35"/>
  <c r="C1150" i="35" a="1"/>
  <c r="C1150" i="35" s="1"/>
  <c r="F1150" i="35"/>
  <c r="G1150" i="35" s="1"/>
  <c r="J1150" i="35"/>
  <c r="K1150" i="35" s="1"/>
  <c r="Q1150" i="35"/>
  <c r="C1149" i="35" a="1"/>
  <c r="C1149" i="35" s="1"/>
  <c r="F1149" i="35"/>
  <c r="G1149" i="35" s="1"/>
  <c r="J1149" i="35"/>
  <c r="K1149" i="35" s="1"/>
  <c r="Q1149" i="35"/>
  <c r="C638" i="31" a="1"/>
  <c r="C638" i="31" s="1"/>
  <c r="D638" i="31" a="1"/>
  <c r="D638" i="31" s="1"/>
  <c r="L638" i="31"/>
  <c r="Q638" i="31"/>
  <c r="R638" i="31"/>
  <c r="U638" i="31"/>
  <c r="V638" i="31"/>
  <c r="W638" i="31"/>
  <c r="AB638" i="31"/>
  <c r="AC638" i="31"/>
  <c r="AF638" i="31"/>
  <c r="B571" i="33" a="1"/>
  <c r="B571" i="33" s="1"/>
  <c r="E571" i="33" a="1"/>
  <c r="E571" i="33" s="1"/>
  <c r="F571" i="33" a="1"/>
  <c r="F571" i="33" s="1"/>
  <c r="G571" i="33" a="1"/>
  <c r="G571" i="33" s="1"/>
  <c r="H571" i="33"/>
  <c r="I571" i="33"/>
  <c r="L571" i="33" a="1"/>
  <c r="L571" i="33" s="1"/>
  <c r="P571" i="33"/>
  <c r="C637" i="31" a="1"/>
  <c r="C637" i="31" s="1"/>
  <c r="D637" i="31" a="1"/>
  <c r="D637" i="31" s="1"/>
  <c r="L637" i="31"/>
  <c r="Q637" i="31"/>
  <c r="R637" i="31"/>
  <c r="U637" i="31"/>
  <c r="V637" i="31"/>
  <c r="W637" i="31"/>
  <c r="AB637" i="31"/>
  <c r="AC637" i="31"/>
  <c r="AF637" i="31"/>
  <c r="C1148" i="35" a="1"/>
  <c r="C1148" i="35" s="1"/>
  <c r="F1148" i="35"/>
  <c r="G1148" i="35" s="1"/>
  <c r="J1148" i="35"/>
  <c r="K1148" i="35" s="1"/>
  <c r="Q1148" i="35"/>
  <c r="B570" i="33" a="1"/>
  <c r="B570" i="33" s="1"/>
  <c r="E570" i="33" a="1"/>
  <c r="E570" i="33" s="1"/>
  <c r="F570" i="33" a="1"/>
  <c r="F570" i="33" s="1"/>
  <c r="G570" i="33" a="1"/>
  <c r="G570" i="33" s="1"/>
  <c r="H570" i="33"/>
  <c r="I570" i="33"/>
  <c r="L570" i="33" a="1"/>
  <c r="L570" i="33" s="1"/>
  <c r="P570" i="33"/>
  <c r="C607" i="31" a="1"/>
  <c r="C607" i="31" s="1"/>
  <c r="D607" i="31" a="1"/>
  <c r="D607" i="31" s="1"/>
  <c r="L607" i="31"/>
  <c r="Q607" i="31"/>
  <c r="R607" i="31"/>
  <c r="U607" i="31"/>
  <c r="V607" i="31"/>
  <c r="W607" i="31"/>
  <c r="AB607" i="31"/>
  <c r="AC607" i="31"/>
  <c r="AF607" i="31"/>
  <c r="C1147" i="35" a="1"/>
  <c r="C1147" i="35" s="1"/>
  <c r="F1147" i="35"/>
  <c r="G1147" i="35" s="1"/>
  <c r="J1147" i="35"/>
  <c r="K1147" i="35" s="1"/>
  <c r="Q1147" i="35"/>
  <c r="C655" i="31" a="1"/>
  <c r="C655" i="31" s="1"/>
  <c r="D655" i="31" a="1"/>
  <c r="D655" i="31" s="1"/>
  <c r="L655" i="31"/>
  <c r="Q655" i="31"/>
  <c r="R655" i="31"/>
  <c r="U655" i="31"/>
  <c r="V655" i="31"/>
  <c r="W655" i="31"/>
  <c r="AB655" i="31"/>
  <c r="AC655" i="31"/>
  <c r="AF655" i="31"/>
  <c r="C611" i="31" a="1"/>
  <c r="C611" i="31" s="1"/>
  <c r="D611" i="31" a="1"/>
  <c r="D611" i="31" s="1"/>
  <c r="L611" i="31"/>
  <c r="Q611" i="31"/>
  <c r="R611" i="31"/>
  <c r="U611" i="31"/>
  <c r="V611" i="31"/>
  <c r="W611" i="31"/>
  <c r="AB611" i="31"/>
  <c r="AC611" i="31"/>
  <c r="AF611" i="31"/>
  <c r="C1146" i="35" a="1"/>
  <c r="C1146" i="35" s="1"/>
  <c r="F1146" i="35"/>
  <c r="J1146" i="35"/>
  <c r="Q1146" i="35"/>
  <c r="H396" i="6"/>
  <c r="J396" i="6" s="1"/>
  <c r="I396" i="6"/>
  <c r="K396" i="6" s="1"/>
  <c r="U396" i="6"/>
  <c r="H395" i="6"/>
  <c r="J395" i="6" s="1"/>
  <c r="I395" i="6"/>
  <c r="K395" i="6" s="1"/>
  <c r="U395" i="6"/>
  <c r="H394" i="6"/>
  <c r="J394" i="6" s="1"/>
  <c r="I394" i="6"/>
  <c r="K394" i="6" s="1"/>
  <c r="U394" i="6"/>
  <c r="H393" i="6"/>
  <c r="J393" i="6" s="1"/>
  <c r="I393" i="6"/>
  <c r="K393" i="6" s="1"/>
  <c r="U393" i="6"/>
  <c r="H392" i="6"/>
  <c r="J392" i="6" s="1"/>
  <c r="I392" i="6"/>
  <c r="K392" i="6" s="1"/>
  <c r="U392" i="6"/>
  <c r="H391" i="6"/>
  <c r="J391" i="6" s="1"/>
  <c r="I391" i="6"/>
  <c r="K391" i="6" s="1"/>
  <c r="U391" i="6"/>
  <c r="H390" i="6"/>
  <c r="J390" i="6" s="1"/>
  <c r="I390" i="6"/>
  <c r="K390" i="6" s="1"/>
  <c r="U390" i="6"/>
  <c r="H389" i="6"/>
  <c r="J389" i="6" s="1"/>
  <c r="I389" i="6"/>
  <c r="K389" i="6" s="1"/>
  <c r="U389" i="6"/>
  <c r="B171" i="33" a="1"/>
  <c r="B171" i="33" s="1"/>
  <c r="E171" i="33" a="1"/>
  <c r="E171" i="33" s="1"/>
  <c r="F171" i="33" a="1"/>
  <c r="F171" i="33" s="1"/>
  <c r="G171" i="33" a="1"/>
  <c r="G171" i="33" s="1"/>
  <c r="L171" i="33" a="1"/>
  <c r="L171" i="33" s="1"/>
  <c r="M171" i="33"/>
  <c r="N171" i="33"/>
  <c r="P171" i="33"/>
  <c r="C1145" i="35" a="1"/>
  <c r="C1145" i="35" s="1"/>
  <c r="F1145" i="35"/>
  <c r="G1145" i="35" s="1"/>
  <c r="J1145" i="35"/>
  <c r="K1145" i="35" s="1"/>
  <c r="Q1145" i="35"/>
  <c r="C559" i="31" a="1"/>
  <c r="C559" i="31" s="1"/>
  <c r="D559" i="31" a="1"/>
  <c r="D559" i="31" s="1"/>
  <c r="L559" i="31"/>
  <c r="Q559" i="31"/>
  <c r="R559" i="31"/>
  <c r="U559" i="31"/>
  <c r="V559" i="31"/>
  <c r="W559" i="31"/>
  <c r="AB559" i="31"/>
  <c r="AC559" i="31"/>
  <c r="AF559" i="31"/>
  <c r="C1144" i="35" a="1"/>
  <c r="C1144" i="35" s="1"/>
  <c r="F1144" i="35"/>
  <c r="G1144" i="35" s="1"/>
  <c r="J1144" i="35"/>
  <c r="K1144" i="35" s="1"/>
  <c r="Q1144" i="35"/>
  <c r="B175" i="33" a="1"/>
  <c r="B175" i="33" s="1"/>
  <c r="E175" i="33" a="1"/>
  <c r="E175" i="33" s="1"/>
  <c r="F175" i="33" a="1"/>
  <c r="F175" i="33" s="1"/>
  <c r="G175" i="33" a="1"/>
  <c r="G175" i="33" s="1"/>
  <c r="L175" i="33" a="1"/>
  <c r="L175" i="33" s="1"/>
  <c r="M175" i="33"/>
  <c r="N175" i="33"/>
  <c r="P175" i="33"/>
  <c r="H388" i="6"/>
  <c r="J388" i="6" s="1"/>
  <c r="I388" i="6"/>
  <c r="K388" i="6" s="1"/>
  <c r="U388" i="6"/>
  <c r="C1143" i="35" a="1"/>
  <c r="C1143" i="35" s="1"/>
  <c r="F1143" i="35"/>
  <c r="G1143" i="35" s="1"/>
  <c r="J1143" i="35"/>
  <c r="K1143" i="35" s="1"/>
  <c r="Q1143" i="35"/>
  <c r="C1142" i="35" a="1"/>
  <c r="C1142" i="35" s="1"/>
  <c r="F1142" i="35"/>
  <c r="G1142" i="35" s="1"/>
  <c r="J1142" i="35"/>
  <c r="K1142" i="35" s="1"/>
  <c r="Q1142" i="35"/>
  <c r="C1141" i="35" a="1"/>
  <c r="C1141" i="35" s="1"/>
  <c r="F1141" i="35"/>
  <c r="G1141" i="35" s="1"/>
  <c r="J1141" i="35"/>
  <c r="K1141" i="35" s="1"/>
  <c r="Q1141" i="35"/>
  <c r="H387" i="6"/>
  <c r="J387" i="6" s="1"/>
  <c r="I387" i="6"/>
  <c r="K387" i="6" s="1"/>
  <c r="U387" i="6"/>
  <c r="C1140" i="35" a="1"/>
  <c r="C1140" i="35" s="1"/>
  <c r="F1140" i="35"/>
  <c r="G1140" i="35" s="1"/>
  <c r="J1140" i="35"/>
  <c r="K1140" i="35" s="1"/>
  <c r="Q1140" i="35"/>
  <c r="C632" i="31" a="1"/>
  <c r="C632" i="31" s="1"/>
  <c r="D632" i="31" a="1"/>
  <c r="D632" i="31" s="1"/>
  <c r="L632" i="31"/>
  <c r="Q632" i="31"/>
  <c r="R632" i="31"/>
  <c r="U632" i="31"/>
  <c r="V632" i="31"/>
  <c r="W632" i="31"/>
  <c r="AB632" i="31"/>
  <c r="AC632" i="31"/>
  <c r="AF632" i="31"/>
  <c r="C631" i="31" a="1"/>
  <c r="C631" i="31" s="1"/>
  <c r="D631" i="31" a="1"/>
  <c r="D631" i="31" s="1"/>
  <c r="L631" i="31"/>
  <c r="Q631" i="31"/>
  <c r="R631" i="31"/>
  <c r="U631" i="31"/>
  <c r="V631" i="31"/>
  <c r="W631" i="31"/>
  <c r="AB631" i="31"/>
  <c r="AC631" i="31"/>
  <c r="AF631" i="31"/>
  <c r="C1139" i="35" a="1"/>
  <c r="C1139" i="35" s="1"/>
  <c r="F1139" i="35"/>
  <c r="J1139" i="35"/>
  <c r="Q1139" i="35"/>
  <c r="B105" i="33" a="1"/>
  <c r="B105" i="33" s="1"/>
  <c r="E105" i="33" a="1"/>
  <c r="E105" i="33" s="1"/>
  <c r="F105" i="33" a="1"/>
  <c r="F105" i="33" s="1"/>
  <c r="G105" i="33" a="1"/>
  <c r="G105" i="33" s="1"/>
  <c r="L105" i="33" a="1"/>
  <c r="L105" i="33" s="1"/>
  <c r="M105" i="33"/>
  <c r="P105" i="33"/>
  <c r="C630" i="31" a="1"/>
  <c r="C630" i="31" s="1"/>
  <c r="D630" i="31" a="1"/>
  <c r="D630" i="31" s="1"/>
  <c r="L630" i="31"/>
  <c r="Q630" i="31"/>
  <c r="R630" i="31"/>
  <c r="U630" i="31"/>
  <c r="V630" i="31"/>
  <c r="W630" i="31"/>
  <c r="AB630" i="31"/>
  <c r="AC630" i="31"/>
  <c r="AF630" i="31"/>
  <c r="C629" i="31" a="1"/>
  <c r="C629" i="31" s="1"/>
  <c r="D629" i="31" a="1"/>
  <c r="D629" i="31" s="1"/>
  <c r="L629" i="31"/>
  <c r="Q629" i="31"/>
  <c r="R629" i="31"/>
  <c r="U629" i="31"/>
  <c r="V629" i="31"/>
  <c r="W629" i="31"/>
  <c r="AB629" i="31"/>
  <c r="AC629" i="31"/>
  <c r="AF629" i="31"/>
  <c r="C1138" i="35" a="1"/>
  <c r="C1138" i="35" s="1"/>
  <c r="F1138" i="35"/>
  <c r="G1138" i="35" s="1"/>
  <c r="J1138" i="35"/>
  <c r="K1138" i="35" s="1"/>
  <c r="Q1138" i="35"/>
  <c r="C1137" i="35" a="1"/>
  <c r="C1137" i="35" s="1"/>
  <c r="F1137" i="35"/>
  <c r="G1137" i="35" s="1"/>
  <c r="J1137" i="35"/>
  <c r="K1137" i="35" s="1"/>
  <c r="Q1137" i="35"/>
  <c r="C1136" i="35" a="1"/>
  <c r="C1136" i="35" s="1"/>
  <c r="F1136" i="35"/>
  <c r="G1136" i="35" s="1"/>
  <c r="J1136" i="35"/>
  <c r="K1136" i="35" s="1"/>
  <c r="Q1136" i="35"/>
  <c r="C628" i="31" a="1"/>
  <c r="C628" i="31" s="1"/>
  <c r="D628" i="31" a="1"/>
  <c r="D628" i="31" s="1"/>
  <c r="L628" i="31"/>
  <c r="Q628" i="31"/>
  <c r="R628" i="31"/>
  <c r="U628" i="31"/>
  <c r="V628" i="31"/>
  <c r="W628" i="31"/>
  <c r="AB628" i="31"/>
  <c r="AC628" i="31"/>
  <c r="AF628" i="31"/>
  <c r="C627" i="31" a="1"/>
  <c r="C627" i="31" s="1"/>
  <c r="D627" i="31" a="1"/>
  <c r="D627" i="31" s="1"/>
  <c r="L627" i="31"/>
  <c r="Q627" i="31"/>
  <c r="R627" i="31"/>
  <c r="U627" i="31"/>
  <c r="V627" i="31"/>
  <c r="W627" i="31"/>
  <c r="AB627" i="31"/>
  <c r="AC627" i="31"/>
  <c r="AF627" i="31"/>
  <c r="C1135" i="35" a="1"/>
  <c r="C1135" i="35" s="1"/>
  <c r="F1135" i="35"/>
  <c r="G1135" i="35" s="1"/>
  <c r="J1135" i="35"/>
  <c r="K1135" i="35" s="1"/>
  <c r="Q1135" i="35"/>
  <c r="C1134" i="35" a="1"/>
  <c r="C1134" i="35" s="1"/>
  <c r="F1134" i="35"/>
  <c r="G1134" i="35" s="1"/>
  <c r="J1134" i="35"/>
  <c r="K1134" i="35" s="1"/>
  <c r="Q1134" i="35"/>
  <c r="C1133" i="35" a="1"/>
  <c r="C1133" i="35" s="1"/>
  <c r="F1133" i="35"/>
  <c r="G1133" i="35" s="1"/>
  <c r="J1133" i="35"/>
  <c r="K1133" i="35" s="1"/>
  <c r="Q1133" i="35"/>
  <c r="C1132" i="35" a="1"/>
  <c r="C1132" i="35" s="1"/>
  <c r="F1132" i="35"/>
  <c r="G1132" i="35" s="1"/>
  <c r="J1132" i="35"/>
  <c r="K1132" i="35" s="1"/>
  <c r="Q1132" i="35"/>
  <c r="C1131" i="35" a="1"/>
  <c r="C1131" i="35" s="1"/>
  <c r="F1131" i="35"/>
  <c r="G1131" i="35" s="1"/>
  <c r="J1131" i="35"/>
  <c r="K1131" i="35" s="1"/>
  <c r="Q1131" i="35"/>
  <c r="C626" i="31" a="1"/>
  <c r="C626" i="31" s="1"/>
  <c r="D626" i="31" a="1"/>
  <c r="D626" i="31" s="1"/>
  <c r="L626" i="31"/>
  <c r="Q626" i="31"/>
  <c r="R626" i="31"/>
  <c r="U626" i="31"/>
  <c r="V626" i="31"/>
  <c r="W626" i="31"/>
  <c r="AB626" i="31"/>
  <c r="AC626" i="31"/>
  <c r="AF626" i="31"/>
  <c r="C625" i="31" a="1"/>
  <c r="C625" i="31" s="1"/>
  <c r="D625" i="31" a="1"/>
  <c r="D625" i="31" s="1"/>
  <c r="L625" i="31"/>
  <c r="Q625" i="31"/>
  <c r="R625" i="31"/>
  <c r="U625" i="31"/>
  <c r="V625" i="31"/>
  <c r="W625" i="31"/>
  <c r="AB625" i="31"/>
  <c r="AC625" i="31"/>
  <c r="AF625" i="31"/>
  <c r="C1130" i="35" a="1"/>
  <c r="C1130" i="35" s="1"/>
  <c r="F1130" i="35"/>
  <c r="G1130" i="35" s="1"/>
  <c r="J1130" i="35"/>
  <c r="K1130" i="35" s="1"/>
  <c r="Q1130" i="35"/>
  <c r="C1129" i="35" a="1"/>
  <c r="C1129" i="35" s="1"/>
  <c r="F1129" i="35"/>
  <c r="G1129" i="35" s="1"/>
  <c r="J1129" i="35"/>
  <c r="K1129" i="35" s="1"/>
  <c r="Q1129" i="35"/>
  <c r="C1128" i="35" a="1"/>
  <c r="C1128" i="35" s="1"/>
  <c r="F1128" i="35"/>
  <c r="G1128" i="35" s="1"/>
  <c r="J1128" i="35"/>
  <c r="K1128" i="35" s="1"/>
  <c r="Q1128" i="35"/>
  <c r="C1127" i="35" a="1"/>
  <c r="C1127" i="35" s="1"/>
  <c r="F1127" i="35"/>
  <c r="G1127" i="35" s="1"/>
  <c r="J1127" i="35"/>
  <c r="K1127" i="35" s="1"/>
  <c r="Q1127" i="35"/>
  <c r="B52" i="33" a="1"/>
  <c r="B52" i="33" s="1"/>
  <c r="E52" i="33" a="1"/>
  <c r="E52" i="33" s="1"/>
  <c r="F52" i="33" a="1"/>
  <c r="F52" i="33" s="1"/>
  <c r="G52" i="33" a="1"/>
  <c r="G52" i="33" s="1"/>
  <c r="L52" i="33" a="1"/>
  <c r="L52" i="33" s="1"/>
  <c r="M52" i="33"/>
  <c r="N52" i="33"/>
  <c r="P52" i="33"/>
  <c r="C1126" i="35" a="1"/>
  <c r="C1126" i="35" s="1"/>
  <c r="F1126" i="35"/>
  <c r="G1126" i="35" s="1"/>
  <c r="J1126" i="35"/>
  <c r="K1126" i="35" s="1"/>
  <c r="Q1126" i="35"/>
  <c r="C1125" i="35" a="1"/>
  <c r="C1125" i="35" s="1"/>
  <c r="F1125" i="35"/>
  <c r="G1125" i="35" s="1"/>
  <c r="J1125" i="35"/>
  <c r="K1125" i="35" s="1"/>
  <c r="Q1125" i="35"/>
  <c r="C596" i="31" a="1"/>
  <c r="C596" i="31" s="1"/>
  <c r="D596" i="31" a="1"/>
  <c r="D596" i="31" s="1"/>
  <c r="L596" i="31"/>
  <c r="Q596" i="31"/>
  <c r="R596" i="31"/>
  <c r="U596" i="31"/>
  <c r="V596" i="31"/>
  <c r="W596" i="31"/>
  <c r="AB596" i="31"/>
  <c r="AC596" i="31"/>
  <c r="AF596" i="31"/>
  <c r="C595" i="31" a="1"/>
  <c r="C595" i="31" s="1"/>
  <c r="D595" i="31" a="1"/>
  <c r="D595" i="31" s="1"/>
  <c r="L595" i="31"/>
  <c r="Q595" i="31"/>
  <c r="R595" i="31"/>
  <c r="U595" i="31"/>
  <c r="V595" i="31"/>
  <c r="W595" i="31"/>
  <c r="AB595" i="31"/>
  <c r="AC595" i="31"/>
  <c r="AF595" i="31"/>
  <c r="C1124" i="35" a="1"/>
  <c r="C1124" i="35" s="1"/>
  <c r="F1124" i="35"/>
  <c r="G1124" i="35" s="1"/>
  <c r="J1124" i="35"/>
  <c r="K1124" i="35" s="1"/>
  <c r="Q1124" i="35"/>
  <c r="C1123" i="35" a="1"/>
  <c r="C1123" i="35" s="1"/>
  <c r="F1123" i="35"/>
  <c r="G1123" i="35" s="1"/>
  <c r="J1123" i="35"/>
  <c r="K1123" i="35" s="1"/>
  <c r="Q1123" i="35"/>
  <c r="B569" i="33" a="1"/>
  <c r="B569" i="33" s="1"/>
  <c r="E569" i="33" a="1"/>
  <c r="E569" i="33" s="1"/>
  <c r="F569" i="33" a="1"/>
  <c r="F569" i="33" s="1"/>
  <c r="G569" i="33" a="1"/>
  <c r="G569" i="33" s="1"/>
  <c r="H569" i="33"/>
  <c r="I569" i="33"/>
  <c r="L569" i="33" a="1"/>
  <c r="L569" i="33" s="1"/>
  <c r="P569" i="33"/>
  <c r="C622" i="31" a="1"/>
  <c r="C622" i="31" s="1"/>
  <c r="D622" i="31" a="1"/>
  <c r="D622" i="31" s="1"/>
  <c r="L622" i="31"/>
  <c r="Q622" i="31"/>
  <c r="R622" i="31"/>
  <c r="U622" i="31"/>
  <c r="V622" i="31"/>
  <c r="W622" i="31"/>
  <c r="AB622" i="31"/>
  <c r="AC622" i="31"/>
  <c r="AF622" i="31"/>
  <c r="C1122" i="35" a="1"/>
  <c r="C1122" i="35" s="1"/>
  <c r="F1122" i="35"/>
  <c r="G1122" i="35" s="1"/>
  <c r="J1122" i="35"/>
  <c r="K1122" i="35" s="1"/>
  <c r="Q1122" i="35"/>
  <c r="C1121" i="35" a="1"/>
  <c r="C1121" i="35" s="1"/>
  <c r="F1121" i="35"/>
  <c r="G1121" i="35" s="1"/>
  <c r="J1121" i="35"/>
  <c r="K1121" i="35" s="1"/>
  <c r="Q1121" i="35"/>
  <c r="C1120" i="35" a="1"/>
  <c r="C1120" i="35" s="1"/>
  <c r="F1120" i="35"/>
  <c r="G1120" i="35" s="1"/>
  <c r="J1120" i="35"/>
  <c r="K1120" i="35" s="1"/>
  <c r="Q1120" i="35"/>
  <c r="C1119" i="35" a="1"/>
  <c r="C1119" i="35" s="1"/>
  <c r="F1119" i="35"/>
  <c r="G1119" i="35" s="1"/>
  <c r="J1119" i="35"/>
  <c r="K1119" i="35" s="1"/>
  <c r="Q1119" i="35"/>
  <c r="C1118" i="35" a="1"/>
  <c r="C1118" i="35" s="1"/>
  <c r="F1118" i="35"/>
  <c r="G1118" i="35" s="1"/>
  <c r="J1118" i="35"/>
  <c r="K1118" i="35" s="1"/>
  <c r="Q1118" i="35"/>
  <c r="C1117" i="35" a="1"/>
  <c r="C1117" i="35" s="1"/>
  <c r="F1117" i="35"/>
  <c r="J1117" i="35"/>
  <c r="Q1117" i="35"/>
  <c r="C1116" i="35" a="1"/>
  <c r="C1116" i="35" s="1"/>
  <c r="F1116" i="35"/>
  <c r="G1116" i="35" s="1"/>
  <c r="J1116" i="35"/>
  <c r="K1116" i="35" s="1"/>
  <c r="Q1116" i="35"/>
  <c r="C1115" i="35" a="1"/>
  <c r="C1115" i="35" s="1"/>
  <c r="F1115" i="35"/>
  <c r="G1115" i="35" s="1"/>
  <c r="J1115" i="35"/>
  <c r="K1115" i="35" s="1"/>
  <c r="Q1115" i="35"/>
  <c r="C1114" i="35" a="1"/>
  <c r="C1114" i="35" s="1"/>
  <c r="F1114" i="35"/>
  <c r="G1114" i="35" s="1"/>
  <c r="J1114" i="35"/>
  <c r="K1114" i="35" s="1"/>
  <c r="Q1114" i="35"/>
  <c r="C642" i="31" a="1"/>
  <c r="C642" i="31" s="1"/>
  <c r="D642" i="31" a="1"/>
  <c r="D642" i="31" s="1"/>
  <c r="L642" i="31"/>
  <c r="Q642" i="31"/>
  <c r="R642" i="31"/>
  <c r="U642" i="31"/>
  <c r="V642" i="31"/>
  <c r="W642" i="31"/>
  <c r="AB642" i="31"/>
  <c r="AC642" i="31"/>
  <c r="AF642" i="31"/>
  <c r="C641" i="31" a="1"/>
  <c r="C641" i="31" s="1"/>
  <c r="D641" i="31" a="1"/>
  <c r="D641" i="31" s="1"/>
  <c r="L641" i="31"/>
  <c r="Q641" i="31"/>
  <c r="R641" i="31"/>
  <c r="U641" i="31"/>
  <c r="V641" i="31"/>
  <c r="W641" i="31"/>
  <c r="AB641" i="31"/>
  <c r="AC641" i="31"/>
  <c r="AF641" i="31"/>
  <c r="C619" i="31" a="1"/>
  <c r="C619" i="31" s="1"/>
  <c r="D619" i="31" a="1"/>
  <c r="D619" i="31" s="1"/>
  <c r="L619" i="31"/>
  <c r="Q619" i="31"/>
  <c r="R619" i="31"/>
  <c r="U619" i="31"/>
  <c r="V619" i="31"/>
  <c r="W619" i="31"/>
  <c r="AB619" i="31"/>
  <c r="AC619" i="31"/>
  <c r="AF619" i="31"/>
  <c r="C618" i="31" a="1"/>
  <c r="C618" i="31" s="1"/>
  <c r="D618" i="31" a="1"/>
  <c r="D618" i="31" s="1"/>
  <c r="L618" i="31"/>
  <c r="Q618" i="31"/>
  <c r="R618" i="31"/>
  <c r="U618" i="31"/>
  <c r="V618" i="31"/>
  <c r="W618" i="31"/>
  <c r="AB618" i="31"/>
  <c r="AC618" i="31"/>
  <c r="AF618" i="31"/>
  <c r="C617" i="31" a="1"/>
  <c r="C617" i="31" s="1"/>
  <c r="D617" i="31" a="1"/>
  <c r="D617" i="31" s="1"/>
  <c r="L617" i="31"/>
  <c r="Q617" i="31"/>
  <c r="R617" i="31"/>
  <c r="U617" i="31"/>
  <c r="V617" i="31"/>
  <c r="W617" i="31"/>
  <c r="AB617" i="31"/>
  <c r="AC617" i="31"/>
  <c r="AF617" i="31"/>
  <c r="C1113" i="35" a="1"/>
  <c r="C1113" i="35" s="1"/>
  <c r="F1113" i="35"/>
  <c r="G1113" i="35" s="1"/>
  <c r="J1113" i="35"/>
  <c r="K1113" i="35" s="1"/>
  <c r="Q1113" i="35"/>
  <c r="C1112" i="35" a="1"/>
  <c r="C1112" i="35" s="1"/>
  <c r="F1112" i="35"/>
  <c r="G1112" i="35" s="1"/>
  <c r="J1112" i="35"/>
  <c r="K1112" i="35" s="1"/>
  <c r="Q1112" i="35"/>
  <c r="C1111" i="35" a="1"/>
  <c r="C1111" i="35" s="1"/>
  <c r="F1111" i="35"/>
  <c r="G1111" i="35" s="1"/>
  <c r="J1111" i="35"/>
  <c r="K1111" i="35" s="1"/>
  <c r="Q1111" i="35"/>
  <c r="H386" i="6"/>
  <c r="J386" i="6" s="1"/>
  <c r="I386" i="6"/>
  <c r="K386" i="6" s="1"/>
  <c r="U386" i="6"/>
  <c r="H385" i="6"/>
  <c r="J385" i="6" s="1"/>
  <c r="I385" i="6"/>
  <c r="K385" i="6" s="1"/>
  <c r="U385" i="6"/>
  <c r="H384" i="6"/>
  <c r="J384" i="6" s="1"/>
  <c r="I384" i="6"/>
  <c r="K384" i="6" s="1"/>
  <c r="U384" i="6"/>
  <c r="H383" i="6"/>
  <c r="J383" i="6" s="1"/>
  <c r="I383" i="6"/>
  <c r="K383" i="6" s="1"/>
  <c r="U383" i="6"/>
  <c r="H382" i="6"/>
  <c r="J382" i="6" s="1"/>
  <c r="I382" i="6"/>
  <c r="K382" i="6" s="1"/>
  <c r="U382" i="6"/>
  <c r="H381" i="6"/>
  <c r="J381" i="6" s="1"/>
  <c r="I381" i="6"/>
  <c r="K381" i="6" s="1"/>
  <c r="U381" i="6"/>
  <c r="C1110" i="35" a="1"/>
  <c r="C1110" i="35" s="1"/>
  <c r="F1110" i="35"/>
  <c r="G1110" i="35" s="1"/>
  <c r="J1110" i="35"/>
  <c r="K1110" i="35" s="1"/>
  <c r="Q1110" i="35"/>
  <c r="C1109" i="35" a="1"/>
  <c r="C1109" i="35" s="1"/>
  <c r="F1109" i="35"/>
  <c r="G1109" i="35" s="1"/>
  <c r="J1109" i="35"/>
  <c r="K1109" i="35" s="1"/>
  <c r="Q1109" i="35"/>
  <c r="C1108" i="35" a="1"/>
  <c r="C1108" i="35" s="1"/>
  <c r="F1108" i="35"/>
  <c r="G1108" i="35" s="1"/>
  <c r="J1108" i="35"/>
  <c r="K1108" i="35" s="1"/>
  <c r="Q1108" i="35"/>
  <c r="C521" i="31" a="1"/>
  <c r="C521" i="31" s="1"/>
  <c r="D521" i="31" a="1"/>
  <c r="D521" i="31" s="1"/>
  <c r="L521" i="31"/>
  <c r="Q521" i="31"/>
  <c r="R521" i="31"/>
  <c r="U521" i="31"/>
  <c r="V521" i="31"/>
  <c r="W521" i="31"/>
  <c r="AB521" i="31"/>
  <c r="AC521" i="31"/>
  <c r="AF521" i="31"/>
  <c r="C609" i="31" a="1"/>
  <c r="C609" i="31" s="1"/>
  <c r="D609" i="31" a="1"/>
  <c r="D609" i="31" s="1"/>
  <c r="L609" i="31"/>
  <c r="Q609" i="31"/>
  <c r="R609" i="31"/>
  <c r="U609" i="31"/>
  <c r="V609" i="31"/>
  <c r="W609" i="31"/>
  <c r="AB609" i="31"/>
  <c r="AC609" i="31"/>
  <c r="AF609" i="31"/>
  <c r="C500" i="31" a="1"/>
  <c r="C500" i="31" s="1"/>
  <c r="D500" i="31" a="1"/>
  <c r="D500" i="31" s="1"/>
  <c r="L500" i="31"/>
  <c r="Q500" i="31"/>
  <c r="R500" i="31"/>
  <c r="U500" i="31"/>
  <c r="V500" i="31"/>
  <c r="W500" i="31"/>
  <c r="AB500" i="31"/>
  <c r="AC500" i="31"/>
  <c r="AF500" i="31"/>
  <c r="C598" i="31" a="1"/>
  <c r="C598" i="31" s="1"/>
  <c r="D598" i="31" a="1"/>
  <c r="D598" i="31" s="1"/>
  <c r="L598" i="31"/>
  <c r="Q598" i="31"/>
  <c r="R598" i="31"/>
  <c r="U598" i="31"/>
  <c r="V598" i="31"/>
  <c r="W598" i="31"/>
  <c r="AB598" i="31"/>
  <c r="AC598" i="31"/>
  <c r="AF598" i="31"/>
  <c r="C1107" i="35" a="1"/>
  <c r="C1107" i="35" s="1"/>
  <c r="F1107" i="35"/>
  <c r="G1107" i="35" s="1"/>
  <c r="J1107" i="35"/>
  <c r="K1107" i="35" s="1"/>
  <c r="Q1107" i="35"/>
  <c r="C597" i="31" a="1"/>
  <c r="C597" i="31" s="1"/>
  <c r="D597" i="31" a="1"/>
  <c r="D597" i="31" s="1"/>
  <c r="L597" i="31"/>
  <c r="Q597" i="31"/>
  <c r="R597" i="31"/>
  <c r="U597" i="31"/>
  <c r="V597" i="31"/>
  <c r="W597" i="31"/>
  <c r="AB597" i="31"/>
  <c r="AC597" i="31"/>
  <c r="AF597" i="31"/>
  <c r="C1106" i="35" a="1"/>
  <c r="C1106" i="35" s="1"/>
  <c r="F1106" i="35"/>
  <c r="G1106" i="35" s="1"/>
  <c r="J1106" i="35"/>
  <c r="K1106" i="35" s="1"/>
  <c r="Q1106" i="35"/>
  <c r="C1105" i="35" a="1"/>
  <c r="C1105" i="35" s="1"/>
  <c r="F1105" i="35"/>
  <c r="G1105" i="35" s="1"/>
  <c r="J1105" i="35"/>
  <c r="K1105" i="35" s="1"/>
  <c r="Q1105" i="35"/>
  <c r="C1104" i="35" a="1"/>
  <c r="C1104" i="35" s="1"/>
  <c r="F1104" i="35"/>
  <c r="G1104" i="35" s="1"/>
  <c r="J1104" i="35"/>
  <c r="K1104" i="35" s="1"/>
  <c r="Q1104" i="35"/>
  <c r="C1103" i="35" a="1"/>
  <c r="C1103" i="35" s="1"/>
  <c r="F1103" i="35"/>
  <c r="G1103" i="35" s="1"/>
  <c r="J1103" i="35"/>
  <c r="K1103" i="35" s="1"/>
  <c r="Q1103" i="35"/>
  <c r="C624" i="31" a="1"/>
  <c r="C624" i="31" s="1"/>
  <c r="D624" i="31" a="1"/>
  <c r="D624" i="31" s="1"/>
  <c r="L624" i="31"/>
  <c r="Q624" i="31"/>
  <c r="R624" i="31"/>
  <c r="U624" i="31"/>
  <c r="V624" i="31"/>
  <c r="W624" i="31"/>
  <c r="AB624" i="31"/>
  <c r="AC624" i="31"/>
  <c r="AF624" i="31"/>
  <c r="C623" i="31" a="1"/>
  <c r="C623" i="31" s="1"/>
  <c r="D623" i="31" a="1"/>
  <c r="D623" i="31" s="1"/>
  <c r="L623" i="31"/>
  <c r="Q623" i="31"/>
  <c r="R623" i="31"/>
  <c r="U623" i="31"/>
  <c r="V623" i="31"/>
  <c r="W623" i="31"/>
  <c r="AB623" i="31"/>
  <c r="AC623" i="31"/>
  <c r="AF623" i="31"/>
  <c r="C675" i="31" a="1"/>
  <c r="C675" i="31" s="1"/>
  <c r="D675" i="31" a="1"/>
  <c r="D675" i="31" s="1"/>
  <c r="L675" i="31"/>
  <c r="Q675" i="31"/>
  <c r="R675" i="31"/>
  <c r="U675" i="31"/>
  <c r="V675" i="31"/>
  <c r="W675" i="31"/>
  <c r="AB675" i="31"/>
  <c r="AC675" i="31"/>
  <c r="AF675" i="31"/>
  <c r="C527" i="31" a="1"/>
  <c r="C527" i="31" s="1"/>
  <c r="D527" i="31" a="1"/>
  <c r="D527" i="31" s="1"/>
  <c r="L527" i="31"/>
  <c r="Q527" i="31"/>
  <c r="R527" i="31"/>
  <c r="U527" i="31"/>
  <c r="V527" i="31"/>
  <c r="W527" i="31"/>
  <c r="AB527" i="31"/>
  <c r="AC527" i="31"/>
  <c r="AF527" i="31"/>
  <c r="B568" i="33" a="1"/>
  <c r="B568" i="33" s="1"/>
  <c r="E568" i="33" a="1"/>
  <c r="E568" i="33" s="1"/>
  <c r="F568" i="33" a="1"/>
  <c r="F568" i="33" s="1"/>
  <c r="G568" i="33" a="1"/>
  <c r="G568" i="33" s="1"/>
  <c r="H568" i="33"/>
  <c r="I568" i="33"/>
  <c r="L568" i="33" a="1"/>
  <c r="L568" i="33" s="1"/>
  <c r="P568" i="33"/>
  <c r="C523" i="31" a="1"/>
  <c r="C523" i="31" s="1"/>
  <c r="D523" i="31" a="1"/>
  <c r="D523" i="31" s="1"/>
  <c r="L523" i="31"/>
  <c r="Q523" i="31"/>
  <c r="R523" i="31"/>
  <c r="U523" i="31"/>
  <c r="V523" i="31"/>
  <c r="W523" i="31"/>
  <c r="AB523" i="31"/>
  <c r="AC523" i="31"/>
  <c r="AF523" i="31"/>
  <c r="C1102" i="35" a="1"/>
  <c r="C1102" i="35" s="1"/>
  <c r="F1102" i="35"/>
  <c r="J1102" i="35"/>
  <c r="Q1102" i="35"/>
  <c r="H380" i="6"/>
  <c r="J380" i="6" s="1"/>
  <c r="I380" i="6"/>
  <c r="U380" i="6"/>
  <c r="H379" i="6"/>
  <c r="J379" i="6" s="1"/>
  <c r="I379" i="6"/>
  <c r="K379" i="6" s="1"/>
  <c r="U379" i="6"/>
  <c r="H378" i="6"/>
  <c r="J378" i="6" s="1"/>
  <c r="I378" i="6"/>
  <c r="K378" i="6" s="1"/>
  <c r="U378" i="6"/>
  <c r="C1101" i="35" a="1"/>
  <c r="C1101" i="35" s="1"/>
  <c r="F1101" i="35"/>
  <c r="J1101" i="35"/>
  <c r="Q1101" i="35"/>
  <c r="C1100" i="35" a="1"/>
  <c r="C1100" i="35" s="1"/>
  <c r="F1100" i="35"/>
  <c r="G1100" i="35" s="1"/>
  <c r="J1100" i="35"/>
  <c r="K1100" i="35" s="1"/>
  <c r="Q1100" i="35"/>
  <c r="C1099" i="35" a="1"/>
  <c r="C1099" i="35" s="1"/>
  <c r="F1099" i="35"/>
  <c r="G1099" i="35" s="1"/>
  <c r="J1099" i="35"/>
  <c r="K1099" i="35" s="1"/>
  <c r="Q1099" i="35"/>
  <c r="C1098" i="35" a="1"/>
  <c r="C1098" i="35" s="1"/>
  <c r="F1098" i="35"/>
  <c r="G1098" i="35" s="1"/>
  <c r="J1098" i="35"/>
  <c r="K1098" i="35" s="1"/>
  <c r="Q1098" i="35"/>
  <c r="C1097" i="35" a="1"/>
  <c r="C1097" i="35" s="1"/>
  <c r="F1097" i="35"/>
  <c r="G1097" i="35" s="1"/>
  <c r="J1097" i="35"/>
  <c r="K1097" i="35" s="1"/>
  <c r="Q1097" i="35"/>
  <c r="C1096" i="35" a="1"/>
  <c r="C1096" i="35" s="1"/>
  <c r="F1096" i="35"/>
  <c r="G1096" i="35" s="1"/>
  <c r="J1096" i="35"/>
  <c r="K1096" i="35" s="1"/>
  <c r="Q1096" i="35"/>
  <c r="C1095" i="35" a="1"/>
  <c r="C1095" i="35" s="1"/>
  <c r="F1095" i="35"/>
  <c r="G1095" i="35" s="1"/>
  <c r="J1095" i="35"/>
  <c r="K1095" i="35" s="1"/>
  <c r="Q1095" i="35"/>
  <c r="C1094" i="35" a="1"/>
  <c r="C1094" i="35" s="1"/>
  <c r="F1094" i="35"/>
  <c r="G1094" i="35" s="1"/>
  <c r="J1094" i="35"/>
  <c r="K1094" i="35" s="1"/>
  <c r="Q1094" i="35"/>
  <c r="C1093" i="35" a="1"/>
  <c r="C1093" i="35" s="1"/>
  <c r="F1093" i="35"/>
  <c r="J1093" i="35"/>
  <c r="Q1093" i="35"/>
  <c r="B115" i="33" a="1"/>
  <c r="B115" i="33" s="1"/>
  <c r="E115" i="33" a="1"/>
  <c r="E115" i="33" s="1"/>
  <c r="F115" i="33" a="1"/>
  <c r="F115" i="33" s="1"/>
  <c r="G115" i="33" a="1"/>
  <c r="G115" i="33" s="1"/>
  <c r="L115" i="33" a="1"/>
  <c r="L115" i="33" s="1"/>
  <c r="M115" i="33"/>
  <c r="N115" i="33"/>
  <c r="P115" i="33"/>
  <c r="C1092" i="35" a="1"/>
  <c r="C1092" i="35" s="1"/>
  <c r="F1092" i="35"/>
  <c r="G1092" i="35" s="1"/>
  <c r="J1092" i="35"/>
  <c r="K1092" i="35" s="1"/>
  <c r="Q1092" i="35"/>
  <c r="C603" i="31" a="1"/>
  <c r="C603" i="31" s="1"/>
  <c r="D603" i="31" a="1"/>
  <c r="D603" i="31" s="1"/>
  <c r="L603" i="31"/>
  <c r="Q603" i="31"/>
  <c r="R603" i="31"/>
  <c r="U603" i="31"/>
  <c r="V603" i="31"/>
  <c r="W603" i="31"/>
  <c r="AB603" i="31"/>
  <c r="AC603" i="31"/>
  <c r="AF603" i="31"/>
  <c r="C588" i="31" a="1"/>
  <c r="C588" i="31" s="1"/>
  <c r="D588" i="31" a="1"/>
  <c r="D588" i="31" s="1"/>
  <c r="L588" i="31"/>
  <c r="Q588" i="31"/>
  <c r="R588" i="31"/>
  <c r="U588" i="31"/>
  <c r="V588" i="31"/>
  <c r="W588" i="31"/>
  <c r="AB588" i="31"/>
  <c r="AC588" i="31"/>
  <c r="AF588" i="31"/>
  <c r="C1091" i="35" a="1"/>
  <c r="C1091" i="35" s="1"/>
  <c r="F1091" i="35"/>
  <c r="G1091" i="35" s="1"/>
  <c r="J1091" i="35"/>
  <c r="K1091" i="35" s="1"/>
  <c r="Q1091" i="35"/>
  <c r="C635" i="31" a="1"/>
  <c r="C635" i="31" s="1"/>
  <c r="D635" i="31" a="1"/>
  <c r="D635" i="31" s="1"/>
  <c r="L635" i="31"/>
  <c r="Q635" i="31"/>
  <c r="R635" i="31"/>
  <c r="U635" i="31"/>
  <c r="V635" i="31"/>
  <c r="W635" i="31"/>
  <c r="AB635" i="31"/>
  <c r="AC635" i="31"/>
  <c r="AF635" i="31"/>
  <c r="C614" i="31" a="1"/>
  <c r="C614" i="31" s="1"/>
  <c r="D614" i="31" a="1"/>
  <c r="D614" i="31" s="1"/>
  <c r="L614" i="31"/>
  <c r="Q614" i="31"/>
  <c r="R614" i="31"/>
  <c r="U614" i="31"/>
  <c r="V614" i="31"/>
  <c r="W614" i="31"/>
  <c r="AB614" i="31"/>
  <c r="AC614" i="31"/>
  <c r="AF614" i="31"/>
  <c r="C602" i="31" a="1"/>
  <c r="C602" i="31" s="1"/>
  <c r="D602" i="31" a="1"/>
  <c r="D602" i="31" s="1"/>
  <c r="L602" i="31"/>
  <c r="Q602" i="31"/>
  <c r="R602" i="31"/>
  <c r="U602" i="31"/>
  <c r="V602" i="31"/>
  <c r="W602" i="31"/>
  <c r="AB602" i="31"/>
  <c r="AC602" i="31"/>
  <c r="AF602" i="31"/>
  <c r="C601" i="31" a="1"/>
  <c r="C601" i="31" s="1"/>
  <c r="D601" i="31" a="1"/>
  <c r="D601" i="31" s="1"/>
  <c r="L601" i="31"/>
  <c r="Q601" i="31"/>
  <c r="R601" i="31"/>
  <c r="U601" i="31"/>
  <c r="V601" i="31"/>
  <c r="W601" i="31"/>
  <c r="AB601" i="31"/>
  <c r="AC601" i="31"/>
  <c r="AF601" i="31"/>
  <c r="C587" i="31" a="1"/>
  <c r="C587" i="31" s="1"/>
  <c r="D587" i="31" a="1"/>
  <c r="D587" i="31" s="1"/>
  <c r="L587" i="31"/>
  <c r="Q587" i="31"/>
  <c r="R587" i="31"/>
  <c r="U587" i="31"/>
  <c r="V587" i="31"/>
  <c r="W587" i="31"/>
  <c r="AB587" i="31"/>
  <c r="AC587" i="31"/>
  <c r="AF587" i="31"/>
  <c r="C599" i="31" a="1"/>
  <c r="C599" i="31" s="1"/>
  <c r="D599" i="31" a="1"/>
  <c r="D599" i="31" s="1"/>
  <c r="L599" i="31"/>
  <c r="Q599" i="31"/>
  <c r="R599" i="31"/>
  <c r="U599" i="31"/>
  <c r="V599" i="31"/>
  <c r="W599" i="31"/>
  <c r="AB599" i="31"/>
  <c r="AC599" i="31"/>
  <c r="AF599" i="31"/>
  <c r="C1090" i="35" a="1"/>
  <c r="C1090" i="35" s="1"/>
  <c r="F1090" i="35"/>
  <c r="J1090" i="35"/>
  <c r="Q1090" i="35"/>
  <c r="B114" i="33" a="1"/>
  <c r="B114" i="33" s="1"/>
  <c r="E114" i="33" a="1"/>
  <c r="E114" i="33" s="1"/>
  <c r="F114" i="33" a="1"/>
  <c r="F114" i="33" s="1"/>
  <c r="G114" i="33" a="1"/>
  <c r="G114" i="33" s="1"/>
  <c r="L114" i="33" a="1"/>
  <c r="L114" i="33" s="1"/>
  <c r="M114" i="33"/>
  <c r="N114" i="33"/>
  <c r="P114" i="33"/>
  <c r="C666" i="31" a="1"/>
  <c r="C666" i="31" s="1"/>
  <c r="D666" i="31" a="1"/>
  <c r="D666" i="31" s="1"/>
  <c r="L666" i="31"/>
  <c r="Q666" i="31"/>
  <c r="R666" i="31"/>
  <c r="U666" i="31"/>
  <c r="V666" i="31"/>
  <c r="W666" i="31"/>
  <c r="AB666" i="31"/>
  <c r="AC666" i="31"/>
  <c r="AF666" i="31"/>
  <c r="C665" i="31" a="1"/>
  <c r="C665" i="31" s="1"/>
  <c r="D665" i="31" a="1"/>
  <c r="D665" i="31" s="1"/>
  <c r="L665" i="31"/>
  <c r="Q665" i="31"/>
  <c r="R665" i="31"/>
  <c r="U665" i="31"/>
  <c r="V665" i="31"/>
  <c r="W665" i="31"/>
  <c r="AB665" i="31"/>
  <c r="AC665" i="31"/>
  <c r="AF665" i="31"/>
  <c r="C584" i="31" a="1"/>
  <c r="C584" i="31" s="1"/>
  <c r="D584" i="31" a="1"/>
  <c r="D584" i="31" s="1"/>
  <c r="L584" i="31"/>
  <c r="Q584" i="31"/>
  <c r="R584" i="31"/>
  <c r="U584" i="31"/>
  <c r="V584" i="31"/>
  <c r="W584" i="31"/>
  <c r="AB584" i="31"/>
  <c r="AC584" i="31"/>
  <c r="AF584" i="31"/>
  <c r="C579" i="31" a="1"/>
  <c r="C579" i="31" s="1"/>
  <c r="D579" i="31" a="1"/>
  <c r="D579" i="31" s="1"/>
  <c r="L579" i="31"/>
  <c r="Q579" i="31"/>
  <c r="R579" i="31"/>
  <c r="U579" i="31"/>
  <c r="V579" i="31"/>
  <c r="W579" i="31"/>
  <c r="AB579" i="31"/>
  <c r="AC579" i="31"/>
  <c r="AF579" i="31"/>
  <c r="C594" i="31" a="1"/>
  <c r="C594" i="31" s="1"/>
  <c r="D594" i="31" a="1"/>
  <c r="D594" i="31" s="1"/>
  <c r="L594" i="31"/>
  <c r="Q594" i="31"/>
  <c r="R594" i="31"/>
  <c r="U594" i="31"/>
  <c r="V594" i="31"/>
  <c r="W594" i="31"/>
  <c r="AB594" i="31"/>
  <c r="AC594" i="31"/>
  <c r="AF594" i="31"/>
  <c r="C593" i="31" a="1"/>
  <c r="C593" i="31" s="1"/>
  <c r="D593" i="31" a="1"/>
  <c r="D593" i="31" s="1"/>
  <c r="L593" i="31"/>
  <c r="Q593" i="31"/>
  <c r="R593" i="31"/>
  <c r="U593" i="31"/>
  <c r="V593" i="31"/>
  <c r="W593" i="31"/>
  <c r="AB593" i="31"/>
  <c r="AC593" i="31"/>
  <c r="AF593" i="31"/>
  <c r="C592" i="31" a="1"/>
  <c r="C592" i="31" s="1"/>
  <c r="D592" i="31" a="1"/>
  <c r="D592" i="31" s="1"/>
  <c r="L592" i="31"/>
  <c r="Q592" i="31"/>
  <c r="R592" i="31"/>
  <c r="U592" i="31"/>
  <c r="V592" i="31"/>
  <c r="W592" i="31"/>
  <c r="AB592" i="31"/>
  <c r="AC592" i="31"/>
  <c r="AF592" i="31"/>
  <c r="C1089" i="35" a="1"/>
  <c r="C1089" i="35" s="1"/>
  <c r="F1089" i="35"/>
  <c r="G1089" i="35" s="1"/>
  <c r="J1089" i="35"/>
  <c r="K1089" i="35" s="1"/>
  <c r="Q1089" i="35"/>
  <c r="C591" i="31" a="1"/>
  <c r="C591" i="31" s="1"/>
  <c r="D591" i="31" a="1"/>
  <c r="D591" i="31" s="1"/>
  <c r="L591" i="31"/>
  <c r="Q591" i="31"/>
  <c r="R591" i="31"/>
  <c r="U591" i="31"/>
  <c r="V591" i="31"/>
  <c r="W591" i="31"/>
  <c r="AB591" i="31"/>
  <c r="AC591" i="31"/>
  <c r="AF591" i="31"/>
  <c r="C1088" i="35" a="1"/>
  <c r="C1088" i="35" s="1"/>
  <c r="F1088" i="35"/>
  <c r="G1088" i="35" s="1"/>
  <c r="J1088" i="35"/>
  <c r="K1088" i="35" s="1"/>
  <c r="Q1088" i="35"/>
  <c r="C590" i="31" a="1"/>
  <c r="C590" i="31" s="1"/>
  <c r="D590" i="31" a="1"/>
  <c r="D590" i="31" s="1"/>
  <c r="L590" i="31"/>
  <c r="Q590" i="31"/>
  <c r="R590" i="31"/>
  <c r="U590" i="31"/>
  <c r="V590" i="31"/>
  <c r="W590" i="31"/>
  <c r="AB590" i="31"/>
  <c r="AC590" i="31"/>
  <c r="AF590" i="31"/>
  <c r="C589" i="31" a="1"/>
  <c r="C589" i="31" s="1"/>
  <c r="D589" i="31" a="1"/>
  <c r="D589" i="31" s="1"/>
  <c r="L589" i="31"/>
  <c r="Q589" i="31"/>
  <c r="R589" i="31"/>
  <c r="U589" i="31"/>
  <c r="V589" i="31"/>
  <c r="W589" i="31"/>
  <c r="AB589" i="31"/>
  <c r="AC589" i="31"/>
  <c r="AF589" i="31"/>
  <c r="C610" i="31" a="1"/>
  <c r="C610" i="31" s="1"/>
  <c r="D610" i="31" a="1"/>
  <c r="D610" i="31" s="1"/>
  <c r="L610" i="31"/>
  <c r="Q610" i="31"/>
  <c r="R610" i="31"/>
  <c r="U610" i="31"/>
  <c r="V610" i="31"/>
  <c r="W610" i="31"/>
  <c r="AB610" i="31"/>
  <c r="AC610" i="31"/>
  <c r="AF610" i="31"/>
  <c r="C600" i="31" a="1"/>
  <c r="C600" i="31" s="1"/>
  <c r="D600" i="31" a="1"/>
  <c r="D600" i="31" s="1"/>
  <c r="L600" i="31"/>
  <c r="Q600" i="31"/>
  <c r="R600" i="31"/>
  <c r="U600" i="31"/>
  <c r="V600" i="31"/>
  <c r="W600" i="31"/>
  <c r="AB600" i="31"/>
  <c r="AC600" i="31"/>
  <c r="AF600" i="31"/>
  <c r="C586" i="31" a="1"/>
  <c r="C586" i="31" s="1"/>
  <c r="D586" i="31" a="1"/>
  <c r="D586" i="31" s="1"/>
  <c r="L586" i="31"/>
  <c r="Q586" i="31"/>
  <c r="R586" i="31"/>
  <c r="U586" i="31"/>
  <c r="V586" i="31"/>
  <c r="W586" i="31"/>
  <c r="AB586" i="31"/>
  <c r="AC586" i="31"/>
  <c r="AF586" i="31"/>
  <c r="C1087" i="35" a="1"/>
  <c r="C1087" i="35" s="1"/>
  <c r="F1087" i="35"/>
  <c r="G1087" i="35" s="1"/>
  <c r="J1087" i="35"/>
  <c r="K1087" i="35" s="1"/>
  <c r="Q1087" i="35"/>
  <c r="C1086" i="35" a="1"/>
  <c r="C1086" i="35" s="1"/>
  <c r="F1086" i="35"/>
  <c r="G1086" i="35" s="1"/>
  <c r="J1086" i="35"/>
  <c r="K1086" i="35" s="1"/>
  <c r="Q1086" i="35"/>
  <c r="C1085" i="35" a="1"/>
  <c r="C1085" i="35" s="1"/>
  <c r="F1085" i="35"/>
  <c r="G1085" i="35" s="1"/>
  <c r="J1085" i="35"/>
  <c r="K1085" i="35" s="1"/>
  <c r="Q1085" i="35"/>
  <c r="B160" i="33" a="1"/>
  <c r="B160" i="33" s="1"/>
  <c r="E160" i="33" a="1"/>
  <c r="E160" i="33" s="1"/>
  <c r="F160" i="33" a="1"/>
  <c r="F160" i="33" s="1"/>
  <c r="G160" i="33" a="1"/>
  <c r="G160" i="33" s="1"/>
  <c r="L160" i="33" a="1"/>
  <c r="L160" i="33" s="1"/>
  <c r="M160" i="33"/>
  <c r="N160" i="33"/>
  <c r="P160" i="33"/>
  <c r="C1084" i="35" a="1"/>
  <c r="C1084" i="35" s="1"/>
  <c r="F1084" i="35"/>
  <c r="G1084" i="35" s="1"/>
  <c r="J1084" i="35"/>
  <c r="K1084" i="35" s="1"/>
  <c r="Q1084" i="35"/>
  <c r="C585" i="31" a="1"/>
  <c r="C585" i="31" s="1"/>
  <c r="D585" i="31" a="1"/>
  <c r="D585" i="31" s="1"/>
  <c r="L585" i="31"/>
  <c r="Q585" i="31"/>
  <c r="R585" i="31"/>
  <c r="U585" i="31"/>
  <c r="V585" i="31"/>
  <c r="AD585" i="31" s="1"/>
  <c r="W585" i="31"/>
  <c r="AB585" i="31"/>
  <c r="AC585" i="31"/>
  <c r="AF585" i="31"/>
  <c r="C496" i="31" a="1"/>
  <c r="C496" i="31" s="1"/>
  <c r="D496" i="31" a="1"/>
  <c r="D496" i="31" s="1"/>
  <c r="L496" i="31"/>
  <c r="Q496" i="31"/>
  <c r="R496" i="31"/>
  <c r="U496" i="31"/>
  <c r="V496" i="31"/>
  <c r="W496" i="31"/>
  <c r="AB496" i="31"/>
  <c r="AC496" i="31"/>
  <c r="AF496" i="31"/>
  <c r="C583" i="31" a="1"/>
  <c r="C583" i="31" s="1"/>
  <c r="D583" i="31" a="1"/>
  <c r="D583" i="31" s="1"/>
  <c r="L583" i="31"/>
  <c r="Q583" i="31"/>
  <c r="R583" i="31"/>
  <c r="U583" i="31"/>
  <c r="V583" i="31"/>
  <c r="W583" i="31"/>
  <c r="AB583" i="31"/>
  <c r="AC583" i="31"/>
  <c r="AF583" i="31"/>
  <c r="C582" i="31" a="1"/>
  <c r="C582" i="31" s="1"/>
  <c r="D582" i="31" a="1"/>
  <c r="D582" i="31" s="1"/>
  <c r="L582" i="31"/>
  <c r="Q582" i="31"/>
  <c r="R582" i="31"/>
  <c r="U582" i="31"/>
  <c r="V582" i="31"/>
  <c r="W582" i="31"/>
  <c r="AB582" i="31"/>
  <c r="AC582" i="31"/>
  <c r="AF582" i="31"/>
  <c r="C581" i="31" a="1"/>
  <c r="C581" i="31" s="1"/>
  <c r="D581" i="31" a="1"/>
  <c r="D581" i="31" s="1"/>
  <c r="L581" i="31"/>
  <c r="Q581" i="31"/>
  <c r="R581" i="31"/>
  <c r="U581" i="31"/>
  <c r="V581" i="31"/>
  <c r="W581" i="31"/>
  <c r="AB581" i="31"/>
  <c r="AC581" i="31"/>
  <c r="AF581" i="31"/>
  <c r="C1083" i="35" a="1"/>
  <c r="C1083" i="35" s="1"/>
  <c r="F1083" i="35"/>
  <c r="G1083" i="35" s="1"/>
  <c r="J1083" i="35"/>
  <c r="K1083" i="35" s="1"/>
  <c r="Q1083" i="35"/>
  <c r="C580" i="31" a="1"/>
  <c r="C580" i="31" s="1"/>
  <c r="D580" i="31" a="1"/>
  <c r="D580" i="31" s="1"/>
  <c r="L580" i="31"/>
  <c r="Q580" i="31"/>
  <c r="R580" i="31"/>
  <c r="U580" i="31"/>
  <c r="V580" i="31"/>
  <c r="W580" i="31"/>
  <c r="AB580" i="31"/>
  <c r="AC580" i="31"/>
  <c r="AF580" i="31"/>
  <c r="C608" i="31" a="1"/>
  <c r="C608" i="31" s="1"/>
  <c r="D608" i="31" a="1"/>
  <c r="D608" i="31" s="1"/>
  <c r="L608" i="31"/>
  <c r="Q608" i="31"/>
  <c r="R608" i="31"/>
  <c r="U608" i="31"/>
  <c r="V608" i="31"/>
  <c r="W608" i="31"/>
  <c r="AB608" i="31"/>
  <c r="AC608" i="31"/>
  <c r="AF608" i="31"/>
  <c r="C578" i="31" a="1"/>
  <c r="C578" i="31" s="1"/>
  <c r="D578" i="31" a="1"/>
  <c r="D578" i="31" s="1"/>
  <c r="L578" i="31"/>
  <c r="Q578" i="31"/>
  <c r="R578" i="31"/>
  <c r="U578" i="31"/>
  <c r="V578" i="31"/>
  <c r="W578" i="31"/>
  <c r="AB578" i="31"/>
  <c r="AC578" i="31"/>
  <c r="AF578" i="31"/>
  <c r="H377" i="6"/>
  <c r="J377" i="6" s="1"/>
  <c r="I377" i="6"/>
  <c r="K377" i="6" s="1"/>
  <c r="U377" i="6"/>
  <c r="C1082" i="35" a="1"/>
  <c r="C1082" i="35" s="1"/>
  <c r="F1082" i="35"/>
  <c r="G1082" i="35" s="1"/>
  <c r="J1082" i="35"/>
  <c r="K1082" i="35" s="1"/>
  <c r="Q1082" i="35"/>
  <c r="C577" i="31" a="1"/>
  <c r="C577" i="31" s="1"/>
  <c r="D577" i="31" a="1"/>
  <c r="D577" i="31" s="1"/>
  <c r="L577" i="31"/>
  <c r="Q577" i="31"/>
  <c r="R577" i="31"/>
  <c r="U577" i="31"/>
  <c r="V577" i="31"/>
  <c r="W577" i="31"/>
  <c r="AB577" i="31"/>
  <c r="AC577" i="31"/>
  <c r="AF577" i="31"/>
  <c r="C576" i="31" a="1"/>
  <c r="C576" i="31" s="1"/>
  <c r="D576" i="31" a="1"/>
  <c r="D576" i="31" s="1"/>
  <c r="L576" i="31"/>
  <c r="Q576" i="31"/>
  <c r="R576" i="31"/>
  <c r="U576" i="31"/>
  <c r="V576" i="31"/>
  <c r="W576" i="31"/>
  <c r="AB576" i="31"/>
  <c r="AC576" i="31"/>
  <c r="AF576" i="31"/>
  <c r="C1081" i="35" a="1"/>
  <c r="C1081" i="35" s="1"/>
  <c r="F1081" i="35"/>
  <c r="G1081" i="35" s="1"/>
  <c r="J1081" i="35"/>
  <c r="K1081" i="35" s="1"/>
  <c r="Q1081" i="35"/>
  <c r="C674" i="31" a="1"/>
  <c r="C674" i="31" s="1"/>
  <c r="D674" i="31" a="1"/>
  <c r="D674" i="31" s="1"/>
  <c r="L674" i="31"/>
  <c r="Q674" i="31"/>
  <c r="R674" i="31"/>
  <c r="U674" i="31"/>
  <c r="V674" i="31"/>
  <c r="W674" i="31"/>
  <c r="AB674" i="31"/>
  <c r="AC674" i="31"/>
  <c r="AF674" i="31"/>
  <c r="C604" i="31" a="1"/>
  <c r="C604" i="31" s="1"/>
  <c r="D604" i="31" a="1"/>
  <c r="D604" i="31" s="1"/>
  <c r="L604" i="31"/>
  <c r="Q604" i="31"/>
  <c r="R604" i="31"/>
  <c r="U604" i="31"/>
  <c r="V604" i="31"/>
  <c r="W604" i="31"/>
  <c r="AB604" i="31"/>
  <c r="AC604" i="31"/>
  <c r="AF604" i="31"/>
  <c r="C1080" i="35" a="1"/>
  <c r="C1080" i="35" s="1"/>
  <c r="F1080" i="35"/>
  <c r="G1080" i="35" s="1"/>
  <c r="J1080" i="35"/>
  <c r="K1080" i="35" s="1"/>
  <c r="Q1080" i="35"/>
  <c r="C1079" i="35" a="1"/>
  <c r="C1079" i="35" s="1"/>
  <c r="F1079" i="35"/>
  <c r="G1079" i="35" s="1"/>
  <c r="J1079" i="35"/>
  <c r="K1079" i="35" s="1"/>
  <c r="Q1079" i="35"/>
  <c r="C1078" i="35" a="1"/>
  <c r="C1078" i="35" s="1"/>
  <c r="F1078" i="35"/>
  <c r="G1078" i="35" s="1"/>
  <c r="J1078" i="35"/>
  <c r="K1078" i="35" s="1"/>
  <c r="Q1078" i="35"/>
  <c r="C1077" i="35" a="1"/>
  <c r="C1077" i="35" s="1"/>
  <c r="F1077" i="35"/>
  <c r="G1077" i="35" s="1"/>
  <c r="J1077" i="35"/>
  <c r="K1077" i="35" s="1"/>
  <c r="Q1077" i="35"/>
  <c r="C573" i="31" a="1"/>
  <c r="C573" i="31" s="1"/>
  <c r="D573" i="31" a="1"/>
  <c r="D573" i="31" s="1"/>
  <c r="L573" i="31"/>
  <c r="Q573" i="31"/>
  <c r="R573" i="31"/>
  <c r="U573" i="31"/>
  <c r="V573" i="31"/>
  <c r="W573" i="31"/>
  <c r="AB573" i="31"/>
  <c r="AC573" i="31"/>
  <c r="AF573" i="31"/>
  <c r="C1076" i="35" a="1"/>
  <c r="C1076" i="35" s="1"/>
  <c r="F1076" i="35"/>
  <c r="G1076" i="35" s="1"/>
  <c r="J1076" i="35"/>
  <c r="K1076" i="35" s="1"/>
  <c r="Q1076" i="35"/>
  <c r="H376" i="6"/>
  <c r="J376" i="6" s="1"/>
  <c r="I376" i="6"/>
  <c r="K376" i="6" s="1"/>
  <c r="U376" i="6"/>
  <c r="C1075" i="35" a="1"/>
  <c r="C1075" i="35" s="1"/>
  <c r="F1075" i="35"/>
  <c r="G1075" i="35" s="1"/>
  <c r="J1075" i="35"/>
  <c r="K1075" i="35" s="1"/>
  <c r="Q1075" i="35"/>
  <c r="C572" i="31" a="1"/>
  <c r="C572" i="31" s="1"/>
  <c r="D572" i="31" a="1"/>
  <c r="D572" i="31" s="1"/>
  <c r="L572" i="31"/>
  <c r="Q572" i="31"/>
  <c r="R572" i="31"/>
  <c r="U572" i="31"/>
  <c r="V572" i="31"/>
  <c r="W572" i="31"/>
  <c r="AB572" i="31"/>
  <c r="AC572" i="31"/>
  <c r="AF572" i="31"/>
  <c r="C571" i="31" a="1"/>
  <c r="C571" i="31" s="1"/>
  <c r="D571" i="31" a="1"/>
  <c r="D571" i="31" s="1"/>
  <c r="L571" i="31"/>
  <c r="Q571" i="31"/>
  <c r="R571" i="31"/>
  <c r="U571" i="31"/>
  <c r="V571" i="31"/>
  <c r="W571" i="31"/>
  <c r="AB571" i="31"/>
  <c r="AC571" i="31"/>
  <c r="AF571" i="31"/>
  <c r="C570" i="31" a="1"/>
  <c r="C570" i="31" s="1"/>
  <c r="D570" i="31" a="1"/>
  <c r="D570" i="31" s="1"/>
  <c r="L570" i="31"/>
  <c r="Q570" i="31"/>
  <c r="R570" i="31"/>
  <c r="U570" i="31"/>
  <c r="V570" i="31"/>
  <c r="W570" i="31"/>
  <c r="AB570" i="31"/>
  <c r="AC570" i="31"/>
  <c r="AF570" i="31"/>
  <c r="C1074" i="35" a="1"/>
  <c r="C1074" i="35" s="1"/>
  <c r="F1074" i="35"/>
  <c r="G1074" i="35" s="1"/>
  <c r="J1074" i="35"/>
  <c r="K1074" i="35" s="1"/>
  <c r="Q1074" i="35"/>
  <c r="C1073" i="35" a="1"/>
  <c r="C1073" i="35" s="1"/>
  <c r="F1073" i="35"/>
  <c r="G1073" i="35" s="1"/>
  <c r="J1073" i="35"/>
  <c r="K1073" i="35" s="1"/>
  <c r="Q1073" i="35"/>
  <c r="C1072" i="35" a="1"/>
  <c r="C1072" i="35" s="1"/>
  <c r="F1072" i="35"/>
  <c r="G1072" i="35" s="1"/>
  <c r="J1072" i="35"/>
  <c r="K1072" i="35" s="1"/>
  <c r="Q1072" i="35"/>
  <c r="C1071" i="35" a="1"/>
  <c r="C1071" i="35" s="1"/>
  <c r="F1071" i="35"/>
  <c r="G1071" i="35" s="1"/>
  <c r="J1071" i="35"/>
  <c r="K1071" i="35" s="1"/>
  <c r="Q1071" i="35"/>
  <c r="C1070" i="35" a="1"/>
  <c r="C1070" i="35" s="1"/>
  <c r="F1070" i="35"/>
  <c r="G1070" i="35" s="1"/>
  <c r="J1070" i="35"/>
  <c r="K1070" i="35" s="1"/>
  <c r="Q1070" i="35"/>
  <c r="C1069" i="35" a="1"/>
  <c r="C1069" i="35" s="1"/>
  <c r="F1069" i="35"/>
  <c r="G1069" i="35" s="1"/>
  <c r="J1069" i="35"/>
  <c r="K1069" i="35" s="1"/>
  <c r="Q1069" i="35"/>
  <c r="C1068" i="35" a="1"/>
  <c r="C1068" i="35" s="1"/>
  <c r="F1068" i="35"/>
  <c r="G1068" i="35" s="1"/>
  <c r="J1068" i="35"/>
  <c r="K1068" i="35" s="1"/>
  <c r="Q1068" i="35"/>
  <c r="C569" i="31" a="1"/>
  <c r="C569" i="31" s="1"/>
  <c r="D569" i="31" a="1"/>
  <c r="D569" i="31" s="1"/>
  <c r="L569" i="31"/>
  <c r="Q569" i="31"/>
  <c r="R569" i="31"/>
  <c r="U569" i="31"/>
  <c r="V569" i="31"/>
  <c r="W569" i="31"/>
  <c r="AB569" i="31"/>
  <c r="AC569" i="31"/>
  <c r="AF569" i="31"/>
  <c r="C568" i="31" a="1"/>
  <c r="C568" i="31" s="1"/>
  <c r="D568" i="31" a="1"/>
  <c r="D568" i="31" s="1"/>
  <c r="L568" i="31"/>
  <c r="Q568" i="31"/>
  <c r="R568" i="31"/>
  <c r="U568" i="31"/>
  <c r="V568" i="31"/>
  <c r="W568" i="31"/>
  <c r="AB568" i="31"/>
  <c r="AC568" i="31"/>
  <c r="AF568" i="31"/>
  <c r="C567" i="31" a="1"/>
  <c r="C567" i="31" s="1"/>
  <c r="D567" i="31" a="1"/>
  <c r="D567" i="31" s="1"/>
  <c r="L567" i="31"/>
  <c r="Q567" i="31"/>
  <c r="R567" i="31"/>
  <c r="U567" i="31"/>
  <c r="V567" i="31"/>
  <c r="W567" i="31"/>
  <c r="AB567" i="31"/>
  <c r="AC567" i="31"/>
  <c r="AF567" i="31"/>
  <c r="C566" i="31" a="1"/>
  <c r="C566" i="31" s="1"/>
  <c r="D566" i="31" a="1"/>
  <c r="D566" i="31" s="1"/>
  <c r="L566" i="31"/>
  <c r="Q566" i="31"/>
  <c r="R566" i="31"/>
  <c r="U566" i="31"/>
  <c r="V566" i="31"/>
  <c r="W566" i="31"/>
  <c r="AB566" i="31"/>
  <c r="AC566" i="31"/>
  <c r="AF566" i="31"/>
  <c r="C565" i="31" a="1"/>
  <c r="C565" i="31" s="1"/>
  <c r="D565" i="31" a="1"/>
  <c r="D565" i="31" s="1"/>
  <c r="L565" i="31"/>
  <c r="Q565" i="31"/>
  <c r="R565" i="31"/>
  <c r="U565" i="31"/>
  <c r="V565" i="31"/>
  <c r="W565" i="31"/>
  <c r="AB565" i="31"/>
  <c r="AC565" i="31"/>
  <c r="AF565" i="31"/>
  <c r="C564" i="31" a="1"/>
  <c r="C564" i="31" s="1"/>
  <c r="D564" i="31" a="1"/>
  <c r="D564" i="31" s="1"/>
  <c r="L564" i="31"/>
  <c r="Q564" i="31"/>
  <c r="R564" i="31"/>
  <c r="U564" i="31"/>
  <c r="V564" i="31"/>
  <c r="W564" i="31"/>
  <c r="AB564" i="31"/>
  <c r="AC564" i="31"/>
  <c r="AF564" i="31"/>
  <c r="C563" i="31" a="1"/>
  <c r="C563" i="31" s="1"/>
  <c r="D563" i="31" a="1"/>
  <c r="D563" i="31" s="1"/>
  <c r="L563" i="31"/>
  <c r="Q563" i="31"/>
  <c r="R563" i="31"/>
  <c r="U563" i="31"/>
  <c r="V563" i="31"/>
  <c r="W563" i="31"/>
  <c r="AB563" i="31"/>
  <c r="AC563" i="31"/>
  <c r="AF563" i="31"/>
  <c r="C1067" i="35" a="1"/>
  <c r="C1067" i="35" s="1"/>
  <c r="F1067" i="35"/>
  <c r="G1067" i="35" s="1"/>
  <c r="J1067" i="35"/>
  <c r="K1067" i="35" s="1"/>
  <c r="Q1067" i="35"/>
  <c r="C1066" i="35" a="1"/>
  <c r="C1066" i="35" s="1"/>
  <c r="F1066" i="35"/>
  <c r="G1066" i="35" s="1"/>
  <c r="J1066" i="35"/>
  <c r="K1066" i="35" s="1"/>
  <c r="Q1066" i="35"/>
  <c r="C562" i="31" a="1"/>
  <c r="C562" i="31" s="1"/>
  <c r="D562" i="31" a="1"/>
  <c r="D562" i="31" s="1"/>
  <c r="L562" i="31"/>
  <c r="Q562" i="31"/>
  <c r="R562" i="31"/>
  <c r="U562" i="31"/>
  <c r="V562" i="31"/>
  <c r="W562" i="31"/>
  <c r="AB562" i="31"/>
  <c r="AC562" i="31"/>
  <c r="AF562" i="31"/>
  <c r="C561" i="31" a="1"/>
  <c r="C561" i="31" s="1"/>
  <c r="D561" i="31" a="1"/>
  <c r="D561" i="31" s="1"/>
  <c r="L561" i="31"/>
  <c r="Q561" i="31"/>
  <c r="R561" i="31"/>
  <c r="U561" i="31"/>
  <c r="V561" i="31"/>
  <c r="W561" i="31"/>
  <c r="AB561" i="31"/>
  <c r="AC561" i="31"/>
  <c r="AF561" i="31"/>
  <c r="C558" i="31" a="1"/>
  <c r="C558" i="31" s="1"/>
  <c r="D558" i="31" a="1"/>
  <c r="D558" i="31" s="1"/>
  <c r="L558" i="31"/>
  <c r="Q558" i="31"/>
  <c r="R558" i="31"/>
  <c r="U558" i="31"/>
  <c r="V558" i="31"/>
  <c r="W558" i="31"/>
  <c r="AB558" i="31"/>
  <c r="AC558" i="31"/>
  <c r="AF558" i="31"/>
  <c r="C557" i="31" a="1"/>
  <c r="C557" i="31" s="1"/>
  <c r="D557" i="31" a="1"/>
  <c r="D557" i="31" s="1"/>
  <c r="L557" i="31"/>
  <c r="Q557" i="31"/>
  <c r="R557" i="31"/>
  <c r="U557" i="31"/>
  <c r="V557" i="31"/>
  <c r="W557" i="31"/>
  <c r="AB557" i="31"/>
  <c r="AC557" i="31"/>
  <c r="AF557" i="31"/>
  <c r="C556" i="31" a="1"/>
  <c r="C556" i="31" s="1"/>
  <c r="D556" i="31" a="1"/>
  <c r="D556" i="31" s="1"/>
  <c r="L556" i="31"/>
  <c r="Q556" i="31"/>
  <c r="R556" i="31"/>
  <c r="U556" i="31"/>
  <c r="V556" i="31"/>
  <c r="W556" i="31"/>
  <c r="AB556" i="31"/>
  <c r="AC556" i="31"/>
  <c r="AF556" i="31"/>
  <c r="C555" i="31" a="1"/>
  <c r="C555" i="31" s="1"/>
  <c r="D555" i="31" a="1"/>
  <c r="D555" i="31" s="1"/>
  <c r="L555" i="31"/>
  <c r="Q555" i="31"/>
  <c r="R555" i="31"/>
  <c r="U555" i="31"/>
  <c r="V555" i="31"/>
  <c r="W555" i="31"/>
  <c r="AB555" i="31"/>
  <c r="AC555" i="31"/>
  <c r="AF555" i="31"/>
  <c r="B567" i="33" a="1"/>
  <c r="B567" i="33" s="1"/>
  <c r="E567" i="33" a="1"/>
  <c r="E567" i="33" s="1"/>
  <c r="F567" i="33" a="1"/>
  <c r="F567" i="33" s="1"/>
  <c r="G567" i="33" a="1"/>
  <c r="G567" i="33" s="1"/>
  <c r="H567" i="33"/>
  <c r="I567" i="33"/>
  <c r="L567" i="33" a="1"/>
  <c r="L567" i="33" s="1"/>
  <c r="P567" i="33"/>
  <c r="C554" i="31" a="1"/>
  <c r="C554" i="31" s="1"/>
  <c r="D554" i="31" a="1"/>
  <c r="D554" i="31" s="1"/>
  <c r="L554" i="31"/>
  <c r="Q554" i="31"/>
  <c r="R554" i="31"/>
  <c r="U554" i="31"/>
  <c r="V554" i="31"/>
  <c r="W554" i="31"/>
  <c r="AB554" i="31"/>
  <c r="AC554" i="31"/>
  <c r="AF554" i="31"/>
  <c r="C553" i="31" a="1"/>
  <c r="C553" i="31" s="1"/>
  <c r="D553" i="31" a="1"/>
  <c r="D553" i="31" s="1"/>
  <c r="L553" i="31"/>
  <c r="Q553" i="31"/>
  <c r="R553" i="31"/>
  <c r="U553" i="31"/>
  <c r="V553" i="31"/>
  <c r="W553" i="31"/>
  <c r="AB553" i="31"/>
  <c r="AC553" i="31"/>
  <c r="AF553" i="31"/>
  <c r="C1065" i="35" a="1"/>
  <c r="C1065" i="35" s="1"/>
  <c r="F1065" i="35"/>
  <c r="G1065" i="35" s="1"/>
  <c r="J1065" i="35"/>
  <c r="K1065" i="35" s="1"/>
  <c r="Q1065" i="35"/>
  <c r="C1064" i="35" a="1"/>
  <c r="C1064" i="35" s="1"/>
  <c r="F1064" i="35"/>
  <c r="G1064" i="35" s="1"/>
  <c r="J1064" i="35"/>
  <c r="K1064" i="35" s="1"/>
  <c r="Q1064" i="35"/>
  <c r="H375" i="6"/>
  <c r="J375" i="6" s="1"/>
  <c r="I375" i="6"/>
  <c r="K375" i="6" s="1"/>
  <c r="U375" i="6"/>
  <c r="H374" i="6"/>
  <c r="J374" i="6" s="1"/>
  <c r="I374" i="6"/>
  <c r="K374" i="6" s="1"/>
  <c r="U374" i="6"/>
  <c r="H373" i="6"/>
  <c r="J373" i="6" s="1"/>
  <c r="I373" i="6"/>
  <c r="K373" i="6" s="1"/>
  <c r="U373" i="6"/>
  <c r="H372" i="6"/>
  <c r="J372" i="6" s="1"/>
  <c r="I372" i="6"/>
  <c r="K372" i="6" s="1"/>
  <c r="U372" i="6"/>
  <c r="H371" i="6"/>
  <c r="J371" i="6" s="1"/>
  <c r="I371" i="6"/>
  <c r="K371" i="6" s="1"/>
  <c r="U371" i="6"/>
  <c r="H370" i="6"/>
  <c r="J370" i="6" s="1"/>
  <c r="I370" i="6"/>
  <c r="K370" i="6" s="1"/>
  <c r="U370" i="6"/>
  <c r="H369" i="6"/>
  <c r="J369" i="6" s="1"/>
  <c r="I369" i="6"/>
  <c r="K369" i="6" s="1"/>
  <c r="U369" i="6"/>
  <c r="H368" i="6"/>
  <c r="J368" i="6" s="1"/>
  <c r="I368" i="6"/>
  <c r="K368" i="6" s="1"/>
  <c r="U368" i="6"/>
  <c r="H367" i="6"/>
  <c r="I367" i="6"/>
  <c r="U367" i="6"/>
  <c r="H366" i="6"/>
  <c r="J366" i="6" s="1"/>
  <c r="I366" i="6"/>
  <c r="K366" i="6" s="1"/>
  <c r="U366" i="6"/>
  <c r="H365" i="6"/>
  <c r="J365" i="6" s="1"/>
  <c r="I365" i="6"/>
  <c r="K365" i="6" s="1"/>
  <c r="U365" i="6"/>
  <c r="C552" i="31" a="1"/>
  <c r="C552" i="31" s="1"/>
  <c r="D552" i="31" a="1"/>
  <c r="D552" i="31" s="1"/>
  <c r="L552" i="31"/>
  <c r="Q552" i="31"/>
  <c r="R552" i="31"/>
  <c r="U552" i="31"/>
  <c r="V552" i="31"/>
  <c r="W552" i="31"/>
  <c r="AB552" i="31"/>
  <c r="AC552" i="31"/>
  <c r="AF552" i="31"/>
  <c r="C551" i="31" a="1"/>
  <c r="C551" i="31" s="1"/>
  <c r="D551" i="31" a="1"/>
  <c r="D551" i="31" s="1"/>
  <c r="L551" i="31"/>
  <c r="Q551" i="31"/>
  <c r="R551" i="31"/>
  <c r="U551" i="31"/>
  <c r="V551" i="31"/>
  <c r="W551" i="31"/>
  <c r="AB551" i="31"/>
  <c r="AC551" i="31"/>
  <c r="AF551" i="31"/>
  <c r="C1063" i="35" a="1"/>
  <c r="C1063" i="35" s="1"/>
  <c r="F1063" i="35"/>
  <c r="G1063" i="35" s="1"/>
  <c r="J1063" i="35"/>
  <c r="K1063" i="35" s="1"/>
  <c r="Q1063" i="35"/>
  <c r="C1062" i="35" a="1"/>
  <c r="C1062" i="35" s="1"/>
  <c r="F1062" i="35"/>
  <c r="G1062" i="35" s="1"/>
  <c r="J1062" i="35"/>
  <c r="K1062" i="35" s="1"/>
  <c r="Q1062" i="35"/>
  <c r="C550" i="31" a="1"/>
  <c r="C550" i="31" s="1"/>
  <c r="D550" i="31" a="1"/>
  <c r="D550" i="31" s="1"/>
  <c r="L550" i="31"/>
  <c r="Q550" i="31"/>
  <c r="R550" i="31"/>
  <c r="U550" i="31"/>
  <c r="V550" i="31"/>
  <c r="W550" i="31"/>
  <c r="AB550" i="31"/>
  <c r="AC550" i="31"/>
  <c r="AF550" i="31"/>
  <c r="C549" i="31" a="1"/>
  <c r="C549" i="31" s="1"/>
  <c r="D549" i="31" a="1"/>
  <c r="D549" i="31" s="1"/>
  <c r="L549" i="31"/>
  <c r="Q549" i="31"/>
  <c r="R549" i="31"/>
  <c r="U549" i="31"/>
  <c r="V549" i="31"/>
  <c r="W549" i="31"/>
  <c r="AB549" i="31"/>
  <c r="AC549" i="31"/>
  <c r="AF549" i="31"/>
  <c r="C1061" i="35" a="1"/>
  <c r="C1061" i="35" s="1"/>
  <c r="F1061" i="35"/>
  <c r="G1061" i="35" s="1"/>
  <c r="J1061" i="35"/>
  <c r="K1061" i="35" s="1"/>
  <c r="Q1061" i="35"/>
  <c r="C548" i="31" a="1"/>
  <c r="C548" i="31" s="1"/>
  <c r="D548" i="31" a="1"/>
  <c r="D548" i="31" s="1"/>
  <c r="L548" i="31"/>
  <c r="Q548" i="31"/>
  <c r="R548" i="31"/>
  <c r="U548" i="31"/>
  <c r="V548" i="31"/>
  <c r="W548" i="31"/>
  <c r="AB548" i="31"/>
  <c r="AC548" i="31"/>
  <c r="AF548" i="31"/>
  <c r="C547" i="31" a="1"/>
  <c r="C547" i="31" s="1"/>
  <c r="D547" i="31" a="1"/>
  <c r="D547" i="31" s="1"/>
  <c r="L547" i="31"/>
  <c r="Q547" i="31"/>
  <c r="R547" i="31"/>
  <c r="U547" i="31"/>
  <c r="V547" i="31"/>
  <c r="W547" i="31"/>
  <c r="AB547" i="31"/>
  <c r="AC547" i="31"/>
  <c r="AF547" i="31"/>
  <c r="C546" i="31" a="1"/>
  <c r="C546" i="31" s="1"/>
  <c r="D546" i="31" a="1"/>
  <c r="D546" i="31" s="1"/>
  <c r="L546" i="31"/>
  <c r="Q546" i="31"/>
  <c r="R546" i="31"/>
  <c r="U546" i="31"/>
  <c r="V546" i="31"/>
  <c r="W546" i="31"/>
  <c r="AB546" i="31"/>
  <c r="AC546" i="31"/>
  <c r="AF546" i="31"/>
  <c r="C1060" i="35" a="1"/>
  <c r="C1060" i="35" s="1"/>
  <c r="F1060" i="35"/>
  <c r="G1060" i="35" s="1"/>
  <c r="J1060" i="35"/>
  <c r="K1060" i="35" s="1"/>
  <c r="Q1060" i="35"/>
  <c r="B155" i="33" a="1"/>
  <c r="B155" i="33" s="1"/>
  <c r="E155" i="33" a="1"/>
  <c r="E155" i="33" s="1"/>
  <c r="F155" i="33" a="1"/>
  <c r="F155" i="33" s="1"/>
  <c r="G155" i="33" a="1"/>
  <c r="G155" i="33" s="1"/>
  <c r="L155" i="33" a="1"/>
  <c r="L155" i="33" s="1"/>
  <c r="M155" i="33"/>
  <c r="N155" i="33"/>
  <c r="P155" i="33"/>
  <c r="C1059" i="35" a="1"/>
  <c r="C1059" i="35" s="1"/>
  <c r="F1059" i="35"/>
  <c r="G1059" i="35" s="1"/>
  <c r="J1059" i="35"/>
  <c r="K1059" i="35" s="1"/>
  <c r="Q1059" i="35"/>
  <c r="C545" i="31" a="1"/>
  <c r="C545" i="31" s="1"/>
  <c r="D545" i="31" a="1"/>
  <c r="D545" i="31" s="1"/>
  <c r="L545" i="31"/>
  <c r="Q545" i="31"/>
  <c r="R545" i="31"/>
  <c r="U545" i="31"/>
  <c r="V545" i="31"/>
  <c r="W545" i="31"/>
  <c r="AB545" i="31"/>
  <c r="AC545" i="31"/>
  <c r="AF545" i="31"/>
  <c r="C1058" i="35" a="1"/>
  <c r="C1058" i="35" s="1"/>
  <c r="F1058" i="35"/>
  <c r="G1058" i="35" s="1"/>
  <c r="J1058" i="35"/>
  <c r="K1058" i="35" s="1"/>
  <c r="Q1058" i="35"/>
  <c r="C544" i="31" a="1"/>
  <c r="C544" i="31" s="1"/>
  <c r="D544" i="31" a="1"/>
  <c r="D544" i="31" s="1"/>
  <c r="L544" i="31"/>
  <c r="Q544" i="31"/>
  <c r="R544" i="31"/>
  <c r="U544" i="31"/>
  <c r="V544" i="31"/>
  <c r="W544" i="31"/>
  <c r="AB544" i="31"/>
  <c r="AC544" i="31"/>
  <c r="AF544" i="31"/>
  <c r="C1057" i="35" a="1"/>
  <c r="C1057" i="35" s="1"/>
  <c r="F1057" i="35"/>
  <c r="G1057" i="35" s="1"/>
  <c r="J1057" i="35"/>
  <c r="K1057" i="35" s="1"/>
  <c r="Q1057" i="35"/>
  <c r="C543" i="31" a="1"/>
  <c r="C543" i="31" s="1"/>
  <c r="D543" i="31" a="1"/>
  <c r="D543" i="31" s="1"/>
  <c r="L543" i="31"/>
  <c r="Q543" i="31"/>
  <c r="R543" i="31"/>
  <c r="U543" i="31"/>
  <c r="V543" i="31"/>
  <c r="W543" i="31"/>
  <c r="AB543" i="31"/>
  <c r="AC543" i="31"/>
  <c r="AF543" i="31"/>
  <c r="C542" i="31" a="1"/>
  <c r="C542" i="31" s="1"/>
  <c r="D542" i="31" a="1"/>
  <c r="D542" i="31" s="1"/>
  <c r="L542" i="31"/>
  <c r="Q542" i="31"/>
  <c r="R542" i="31"/>
  <c r="U542" i="31"/>
  <c r="V542" i="31"/>
  <c r="W542" i="31"/>
  <c r="AB542" i="31"/>
  <c r="AC542" i="31"/>
  <c r="AF542" i="31"/>
  <c r="C541" i="31" a="1"/>
  <c r="C541" i="31" s="1"/>
  <c r="D541" i="31" a="1"/>
  <c r="D541" i="31" s="1"/>
  <c r="L541" i="31"/>
  <c r="Q541" i="31"/>
  <c r="R541" i="31"/>
  <c r="U541" i="31"/>
  <c r="V541" i="31"/>
  <c r="W541" i="31"/>
  <c r="AB541" i="31"/>
  <c r="AC541" i="31"/>
  <c r="AF541" i="31"/>
  <c r="C1056" i="35" a="1"/>
  <c r="C1056" i="35" s="1"/>
  <c r="F1056" i="35"/>
  <c r="G1056" i="35" s="1"/>
  <c r="J1056" i="35"/>
  <c r="K1056" i="35" s="1"/>
  <c r="Q1056" i="35"/>
  <c r="B566" i="33" a="1"/>
  <c r="B566" i="33" s="1"/>
  <c r="E566" i="33" a="1"/>
  <c r="E566" i="33" s="1"/>
  <c r="F566" i="33" a="1"/>
  <c r="F566" i="33" s="1"/>
  <c r="G566" i="33" a="1"/>
  <c r="G566" i="33" s="1"/>
  <c r="H566" i="33"/>
  <c r="I566" i="33"/>
  <c r="L566" i="33" a="1"/>
  <c r="L566" i="33" s="1"/>
  <c r="P566" i="33"/>
  <c r="C540" i="31" a="1"/>
  <c r="C540" i="31" s="1"/>
  <c r="D540" i="31" a="1"/>
  <c r="D540" i="31" s="1"/>
  <c r="L540" i="31"/>
  <c r="Q540" i="31"/>
  <c r="R540" i="31"/>
  <c r="U540" i="31"/>
  <c r="V540" i="31"/>
  <c r="W540" i="31"/>
  <c r="AB540" i="31"/>
  <c r="AC540" i="31"/>
  <c r="AF540" i="31"/>
  <c r="B565" i="33" a="1"/>
  <c r="B565" i="33" s="1"/>
  <c r="E565" i="33" a="1"/>
  <c r="E565" i="33" s="1"/>
  <c r="F565" i="33" a="1"/>
  <c r="F565" i="33" s="1"/>
  <c r="G565" i="33" a="1"/>
  <c r="G565" i="33" s="1"/>
  <c r="L565" i="33" a="1"/>
  <c r="L565" i="33" s="1"/>
  <c r="P565" i="33"/>
  <c r="C539" i="31" a="1"/>
  <c r="C539" i="31" s="1"/>
  <c r="D539" i="31" a="1"/>
  <c r="D539" i="31" s="1"/>
  <c r="L539" i="31"/>
  <c r="Q539" i="31"/>
  <c r="R539" i="31"/>
  <c r="U539" i="31"/>
  <c r="V539" i="31"/>
  <c r="W539" i="31"/>
  <c r="AB539" i="31"/>
  <c r="AC539" i="31"/>
  <c r="AF539" i="31"/>
  <c r="C1055" i="35" a="1"/>
  <c r="C1055" i="35" s="1"/>
  <c r="F1055" i="35"/>
  <c r="G1055" i="35" s="1"/>
  <c r="J1055" i="35"/>
  <c r="K1055" i="35" s="1"/>
  <c r="Q1055" i="35"/>
  <c r="C1054" i="35" a="1"/>
  <c r="C1054" i="35" s="1"/>
  <c r="F1054" i="35"/>
  <c r="G1054" i="35" s="1"/>
  <c r="J1054" i="35"/>
  <c r="K1054" i="35" s="1"/>
  <c r="Q1054" i="35"/>
  <c r="C1053" i="35" a="1"/>
  <c r="C1053" i="35" s="1"/>
  <c r="F1053" i="35"/>
  <c r="G1053" i="35" s="1"/>
  <c r="J1053" i="35"/>
  <c r="K1053" i="35" s="1"/>
  <c r="Q1053" i="35"/>
  <c r="C1052" i="35" a="1"/>
  <c r="C1052" i="35" s="1"/>
  <c r="F1052" i="35"/>
  <c r="G1052" i="35" s="1"/>
  <c r="J1052" i="35"/>
  <c r="K1052" i="35" s="1"/>
  <c r="Q1052" i="35"/>
  <c r="C1051" i="35" a="1"/>
  <c r="C1051" i="35" s="1"/>
  <c r="F1051" i="35"/>
  <c r="G1051" i="35" s="1"/>
  <c r="J1051" i="35"/>
  <c r="K1051" i="35" s="1"/>
  <c r="Q1051" i="35"/>
  <c r="C1050" i="35" a="1"/>
  <c r="C1050" i="35" s="1"/>
  <c r="F1050" i="35"/>
  <c r="G1050" i="35" s="1"/>
  <c r="J1050" i="35"/>
  <c r="K1050" i="35" s="1"/>
  <c r="Q1050" i="35"/>
  <c r="C538" i="31" a="1"/>
  <c r="C538" i="31" s="1"/>
  <c r="D538" i="31" a="1"/>
  <c r="D538" i="31" s="1"/>
  <c r="L538" i="31"/>
  <c r="Q538" i="31"/>
  <c r="R538" i="31"/>
  <c r="U538" i="31"/>
  <c r="V538" i="31"/>
  <c r="W538" i="31"/>
  <c r="AB538" i="31"/>
  <c r="AC538" i="31"/>
  <c r="AF538" i="31"/>
  <c r="C1049" i="35" a="1"/>
  <c r="C1049" i="35" s="1"/>
  <c r="F1049" i="35"/>
  <c r="G1049" i="35" s="1"/>
  <c r="J1049" i="35"/>
  <c r="K1049" i="35" s="1"/>
  <c r="Q1049" i="35"/>
  <c r="C1048" i="35" a="1"/>
  <c r="C1048" i="35" s="1"/>
  <c r="F1048" i="35"/>
  <c r="G1048" i="35" s="1"/>
  <c r="J1048" i="35"/>
  <c r="K1048" i="35" s="1"/>
  <c r="Q1048" i="35"/>
  <c r="C1047" i="35" a="1"/>
  <c r="C1047" i="35" s="1"/>
  <c r="F1047" i="35"/>
  <c r="G1047" i="35" s="1"/>
  <c r="J1047" i="35"/>
  <c r="K1047" i="35" s="1"/>
  <c r="Q1047" i="35"/>
  <c r="C1046" i="35" a="1"/>
  <c r="C1046" i="35" s="1"/>
  <c r="F1046" i="35"/>
  <c r="G1046" i="35" s="1"/>
  <c r="J1046" i="35"/>
  <c r="K1046" i="35" s="1"/>
  <c r="Q1046" i="35"/>
  <c r="C537" i="31" a="1"/>
  <c r="C537" i="31" s="1"/>
  <c r="D537" i="31" a="1"/>
  <c r="D537" i="31" s="1"/>
  <c r="L537" i="31"/>
  <c r="Q537" i="31"/>
  <c r="R537" i="31"/>
  <c r="U537" i="31"/>
  <c r="V537" i="31"/>
  <c r="W537" i="31"/>
  <c r="AB537" i="31"/>
  <c r="AC537" i="31"/>
  <c r="AF537" i="31"/>
  <c r="C535" i="31" a="1"/>
  <c r="C535" i="31" s="1"/>
  <c r="C536" i="31" a="1"/>
  <c r="C536" i="31" s="1"/>
  <c r="D535" i="31" a="1"/>
  <c r="D535" i="31" s="1"/>
  <c r="D536" i="31" a="1"/>
  <c r="D536" i="31" s="1"/>
  <c r="L535" i="31"/>
  <c r="L536" i="31"/>
  <c r="Q535" i="31"/>
  <c r="Q536" i="31"/>
  <c r="R535" i="31"/>
  <c r="R536" i="31"/>
  <c r="U535" i="31"/>
  <c r="U536" i="31"/>
  <c r="V535" i="31"/>
  <c r="V536" i="31"/>
  <c r="W535" i="31"/>
  <c r="W536" i="31"/>
  <c r="AB535" i="31"/>
  <c r="AB536" i="31"/>
  <c r="AC535" i="31"/>
  <c r="AC536" i="31"/>
  <c r="AF535" i="31"/>
  <c r="AF536" i="31"/>
  <c r="C534" i="31" a="1"/>
  <c r="C534" i="31" s="1"/>
  <c r="D534" i="31" a="1"/>
  <c r="D534" i="31" s="1"/>
  <c r="L534" i="31"/>
  <c r="Q534" i="31"/>
  <c r="R534" i="31"/>
  <c r="U534" i="31"/>
  <c r="V534" i="31"/>
  <c r="W534" i="31"/>
  <c r="AB534" i="31"/>
  <c r="AC534" i="31"/>
  <c r="AF534" i="31"/>
  <c r="C533" i="31" a="1"/>
  <c r="C533" i="31" s="1"/>
  <c r="D533" i="31" a="1"/>
  <c r="D533" i="31" s="1"/>
  <c r="L533" i="31"/>
  <c r="Q533" i="31"/>
  <c r="R533" i="31"/>
  <c r="U533" i="31"/>
  <c r="V533" i="31"/>
  <c r="W533" i="31"/>
  <c r="AB533" i="31"/>
  <c r="AC533" i="31"/>
  <c r="AF533" i="31"/>
  <c r="C1045" i="35" a="1"/>
  <c r="C1045" i="35" s="1"/>
  <c r="F1045" i="35"/>
  <c r="G1045" i="35" s="1"/>
  <c r="J1045" i="35"/>
  <c r="K1045" i="35" s="1"/>
  <c r="Q1045" i="35"/>
  <c r="C1044" i="35" a="1"/>
  <c r="C1044" i="35" s="1"/>
  <c r="F1044" i="35"/>
  <c r="G1044" i="35" s="1"/>
  <c r="J1044" i="35"/>
  <c r="K1044" i="35" s="1"/>
  <c r="Q1044" i="35"/>
  <c r="C673" i="31" a="1"/>
  <c r="C673" i="31" s="1"/>
  <c r="D673" i="31" a="1"/>
  <c r="D673" i="31" s="1"/>
  <c r="L673" i="31"/>
  <c r="Q673" i="31"/>
  <c r="R673" i="31"/>
  <c r="U673" i="31"/>
  <c r="V673" i="31"/>
  <c r="W673" i="31"/>
  <c r="AB673" i="31"/>
  <c r="AC673" i="31"/>
  <c r="AF673" i="31"/>
  <c r="C1043" i="35" a="1"/>
  <c r="C1043" i="35" s="1"/>
  <c r="F1043" i="35"/>
  <c r="G1043" i="35" s="1"/>
  <c r="J1043" i="35"/>
  <c r="K1043" i="35" s="1"/>
  <c r="Q1043" i="35"/>
  <c r="C1042" i="35" a="1"/>
  <c r="C1042" i="35" s="1"/>
  <c r="F1042" i="35"/>
  <c r="G1042" i="35" s="1"/>
  <c r="J1042" i="35"/>
  <c r="K1042" i="35" s="1"/>
  <c r="Q1042" i="35"/>
  <c r="P2073" i="35" l="1"/>
  <c r="I1542" i="35"/>
  <c r="J74" i="33"/>
  <c r="P2067" i="35"/>
  <c r="P2058" i="35"/>
  <c r="I1498" i="35"/>
  <c r="P2057" i="35"/>
  <c r="I613" i="33" s="1"/>
  <c r="J613" i="33"/>
  <c r="K613" i="33"/>
  <c r="M1498" i="35"/>
  <c r="P2055" i="35"/>
  <c r="P1928" i="35"/>
  <c r="I74" i="33" s="1"/>
  <c r="I1660" i="35"/>
  <c r="O1660" i="35" s="1"/>
  <c r="I2059" i="35"/>
  <c r="O2059" i="35" s="1"/>
  <c r="M1660" i="35"/>
  <c r="M2059" i="35"/>
  <c r="N2059" i="35" s="1"/>
  <c r="P2051" i="35"/>
  <c r="P2054" i="35"/>
  <c r="K74" i="33"/>
  <c r="P2039" i="35"/>
  <c r="O2052" i="35"/>
  <c r="N2052" i="35"/>
  <c r="P2045" i="35"/>
  <c r="P1976" i="35"/>
  <c r="P2010" i="35"/>
  <c r="I610" i="33" s="1"/>
  <c r="M2015" i="35"/>
  <c r="M2044" i="35"/>
  <c r="N2044" i="35" s="1"/>
  <c r="P2041" i="35"/>
  <c r="I2015" i="35"/>
  <c r="O2015" i="35" s="1"/>
  <c r="I2044" i="35"/>
  <c r="O2044" i="35" s="1"/>
  <c r="J610" i="33"/>
  <c r="K610" i="33"/>
  <c r="P1990" i="35"/>
  <c r="I603" i="33" s="1"/>
  <c r="K603" i="33"/>
  <c r="J603" i="33"/>
  <c r="N2021" i="35"/>
  <c r="P2037" i="35"/>
  <c r="I1935" i="35"/>
  <c r="O1935" i="35" s="1"/>
  <c r="I2040" i="35"/>
  <c r="O2040" i="35" s="1"/>
  <c r="M1935" i="35"/>
  <c r="N1935" i="35" s="1"/>
  <c r="M2040" i="35"/>
  <c r="N2040" i="35" s="1"/>
  <c r="J611" i="33"/>
  <c r="K611" i="33"/>
  <c r="S611" i="33"/>
  <c r="P2029" i="35"/>
  <c r="N2015" i="35"/>
  <c r="P1985" i="35"/>
  <c r="P2027" i="35"/>
  <c r="O2021" i="35"/>
  <c r="P2017" i="35"/>
  <c r="P1947" i="35"/>
  <c r="I59" i="33" s="1"/>
  <c r="P2018" i="35"/>
  <c r="P2016" i="35"/>
  <c r="P2008" i="35"/>
  <c r="I1624" i="35"/>
  <c r="P2014" i="35"/>
  <c r="I1948" i="35"/>
  <c r="O1948" i="35" s="1"/>
  <c r="I2013" i="35"/>
  <c r="O2013" i="35" s="1"/>
  <c r="P2013" i="35" s="1"/>
  <c r="P1768" i="35"/>
  <c r="H59" i="33"/>
  <c r="J59" i="33" s="1"/>
  <c r="P2001" i="35"/>
  <c r="P1998" i="35"/>
  <c r="P1995" i="35"/>
  <c r="P1966" i="35"/>
  <c r="I64" i="33" s="1"/>
  <c r="P1999" i="35"/>
  <c r="M1854" i="35"/>
  <c r="N1854" i="35" s="1"/>
  <c r="M2000" i="35"/>
  <c r="N2000" i="35" s="1"/>
  <c r="I1854" i="35"/>
  <c r="O1854" i="35" s="1"/>
  <c r="I2000" i="35"/>
  <c r="O2000" i="35" s="1"/>
  <c r="P1814" i="35"/>
  <c r="J64" i="33"/>
  <c r="K606" i="33"/>
  <c r="S606" i="33"/>
  <c r="J606" i="33"/>
  <c r="K64" i="33"/>
  <c r="I1612" i="35"/>
  <c r="O1612" i="35" s="1"/>
  <c r="P1994" i="35"/>
  <c r="G50" i="34"/>
  <c r="S447" i="6"/>
  <c r="C113" i="36" s="1"/>
  <c r="T447" i="6"/>
  <c r="D113" i="36" s="1"/>
  <c r="P452" i="6"/>
  <c r="T452" i="6" s="1"/>
  <c r="P1987" i="35"/>
  <c r="P1983" i="35"/>
  <c r="P1984" i="35"/>
  <c r="P1936" i="35"/>
  <c r="I61" i="33" s="1"/>
  <c r="J61" i="33"/>
  <c r="K61" i="33"/>
  <c r="P1964" i="35"/>
  <c r="P1878" i="35"/>
  <c r="P1982" i="35"/>
  <c r="P1973" i="35"/>
  <c r="M1612" i="35"/>
  <c r="N1612" i="35" s="1"/>
  <c r="P1960" i="35"/>
  <c r="I49" i="33" s="1"/>
  <c r="P1971" i="35"/>
  <c r="K49" i="33"/>
  <c r="J49" i="33"/>
  <c r="P1969" i="35"/>
  <c r="M1624" i="35"/>
  <c r="N1624" i="35" s="1"/>
  <c r="P1961" i="35"/>
  <c r="P1958" i="35"/>
  <c r="L1962" i="35"/>
  <c r="H1962" i="35"/>
  <c r="K600" i="33"/>
  <c r="P1926" i="35"/>
  <c r="I44" i="33" s="1"/>
  <c r="P1894" i="35"/>
  <c r="I600" i="33" s="1"/>
  <c r="J600" i="33"/>
  <c r="J44" i="33"/>
  <c r="P1955" i="35"/>
  <c r="K44" i="33"/>
  <c r="P1956" i="35"/>
  <c r="P1937" i="35"/>
  <c r="P1954" i="35"/>
  <c r="P1951" i="35"/>
  <c r="M1796" i="35"/>
  <c r="N1796" i="35" s="1"/>
  <c r="M1948" i="35"/>
  <c r="N1948" i="35" s="1"/>
  <c r="P1946" i="35"/>
  <c r="P1678" i="35"/>
  <c r="I592" i="33" s="1"/>
  <c r="P1944" i="35"/>
  <c r="P1943" i="35"/>
  <c r="P1940" i="35"/>
  <c r="M1939" i="35"/>
  <c r="N1939" i="35" s="1"/>
  <c r="M1945" i="35"/>
  <c r="N1945" i="35" s="1"/>
  <c r="I1939" i="35"/>
  <c r="O1939" i="35" s="1"/>
  <c r="I1945" i="35"/>
  <c r="O1945" i="35" s="1"/>
  <c r="P1942" i="35"/>
  <c r="P1927" i="35"/>
  <c r="P1863" i="35"/>
  <c r="I33" i="33" s="1"/>
  <c r="P1932" i="35"/>
  <c r="I1915" i="35"/>
  <c r="O1915" i="35" s="1"/>
  <c r="I1941" i="35"/>
  <c r="O1941" i="35" s="1"/>
  <c r="M1915" i="35"/>
  <c r="N1915" i="35" s="1"/>
  <c r="M1941" i="35"/>
  <c r="N1941" i="35" s="1"/>
  <c r="P1938" i="35"/>
  <c r="K592" i="33"/>
  <c r="J592" i="33"/>
  <c r="R437" i="6"/>
  <c r="H112" i="36" s="1"/>
  <c r="F112" i="36" s="1"/>
  <c r="P437" i="6"/>
  <c r="P1866" i="35"/>
  <c r="F92" i="40"/>
  <c r="J33" i="33"/>
  <c r="K33" i="33"/>
  <c r="P1925" i="35"/>
  <c r="P1921" i="35"/>
  <c r="P1920" i="35"/>
  <c r="P1919" i="35"/>
  <c r="P1918" i="35"/>
  <c r="P1907" i="35"/>
  <c r="S67" i="33"/>
  <c r="K67" i="33"/>
  <c r="P1740" i="35"/>
  <c r="I67" i="33" s="1"/>
  <c r="I1914" i="35"/>
  <c r="O1914" i="35" s="1"/>
  <c r="I1916" i="35"/>
  <c r="O1916" i="35" s="1"/>
  <c r="M1914" i="35"/>
  <c r="N1914" i="35" s="1"/>
  <c r="M1916" i="35"/>
  <c r="N1916" i="35" s="1"/>
  <c r="M1868" i="35"/>
  <c r="N1868" i="35" s="1"/>
  <c r="M1913" i="35"/>
  <c r="N1913" i="35" s="1"/>
  <c r="I1868" i="35"/>
  <c r="O1868" i="35" s="1"/>
  <c r="I1913" i="35"/>
  <c r="O1913" i="35" s="1"/>
  <c r="I1714" i="35"/>
  <c r="O1714" i="35" s="1"/>
  <c r="I1904" i="35"/>
  <c r="O1904" i="35" s="1"/>
  <c r="M1714" i="35"/>
  <c r="N1714" i="35" s="1"/>
  <c r="M1904" i="35"/>
  <c r="N1904" i="35" s="1"/>
  <c r="P1901" i="35"/>
  <c r="P1900" i="35"/>
  <c r="P1899" i="35"/>
  <c r="K599" i="33"/>
  <c r="P1896" i="35"/>
  <c r="P1886" i="35"/>
  <c r="I599" i="33" s="1"/>
  <c r="N1857" i="35"/>
  <c r="P1891" i="35"/>
  <c r="I1822" i="35"/>
  <c r="O1822" i="35" s="1"/>
  <c r="I1897" i="35"/>
  <c r="O1897" i="35" s="1"/>
  <c r="M1822" i="35"/>
  <c r="N1822" i="35" s="1"/>
  <c r="M1897" i="35"/>
  <c r="N1897" i="35" s="1"/>
  <c r="J599" i="33"/>
  <c r="P1887" i="35"/>
  <c r="P1881" i="35"/>
  <c r="P1782" i="35"/>
  <c r="I73" i="33" s="1"/>
  <c r="P1888" i="35"/>
  <c r="P1844" i="35"/>
  <c r="P1869" i="35"/>
  <c r="P1873" i="35"/>
  <c r="H1871" i="35"/>
  <c r="O1857" i="35"/>
  <c r="L1871" i="35"/>
  <c r="P1840" i="35"/>
  <c r="R436" i="6"/>
  <c r="P1692" i="35"/>
  <c r="I594" i="33" s="1"/>
  <c r="I1860" i="35"/>
  <c r="O1860" i="35" s="1"/>
  <c r="I1861" i="35"/>
  <c r="O1861" i="35" s="1"/>
  <c r="M1860" i="35"/>
  <c r="N1860" i="35" s="1"/>
  <c r="M1861" i="35"/>
  <c r="N1861" i="35" s="1"/>
  <c r="P1858" i="35"/>
  <c r="P1856" i="35"/>
  <c r="S72" i="33"/>
  <c r="J72" i="33"/>
  <c r="K72" i="33"/>
  <c r="P1855" i="35"/>
  <c r="I72" i="33" s="1"/>
  <c r="K596" i="33"/>
  <c r="P1845" i="35"/>
  <c r="H1834" i="35"/>
  <c r="I1419" i="35"/>
  <c r="O1419" i="35" s="1"/>
  <c r="H127" i="33" s="1"/>
  <c r="I1853" i="35"/>
  <c r="O1853" i="35" s="1"/>
  <c r="M1419" i="35"/>
  <c r="N1419" i="35" s="1"/>
  <c r="M1853" i="35"/>
  <c r="N1853" i="35" s="1"/>
  <c r="P1839" i="35"/>
  <c r="I1718" i="35"/>
  <c r="O1718" i="35" s="1"/>
  <c r="I1850" i="35"/>
  <c r="O1850" i="35" s="1"/>
  <c r="M1718" i="35"/>
  <c r="N1718" i="35" s="1"/>
  <c r="M1850" i="35"/>
  <c r="N1850" i="35" s="1"/>
  <c r="P1735" i="35"/>
  <c r="I596" i="33" s="1"/>
  <c r="I1767" i="35"/>
  <c r="O1767" i="35" s="1"/>
  <c r="I1848" i="35"/>
  <c r="O1848" i="35" s="1"/>
  <c r="M1767" i="35"/>
  <c r="N1767" i="35" s="1"/>
  <c r="M1848" i="35"/>
  <c r="N1848" i="35" s="1"/>
  <c r="P1843" i="35"/>
  <c r="J596" i="33"/>
  <c r="J594" i="33"/>
  <c r="K594" i="33"/>
  <c r="P1841" i="35"/>
  <c r="P1829" i="35"/>
  <c r="I47" i="33" s="1"/>
  <c r="S47" i="33"/>
  <c r="J47" i="33"/>
  <c r="P1805" i="35"/>
  <c r="J590" i="33"/>
  <c r="P1838" i="35"/>
  <c r="K590" i="33"/>
  <c r="I1463" i="35"/>
  <c r="O1463" i="35" s="1"/>
  <c r="P1835" i="35"/>
  <c r="P1644" i="35"/>
  <c r="I590" i="33" s="1"/>
  <c r="P1832" i="35"/>
  <c r="P1833" i="35"/>
  <c r="L1804" i="35"/>
  <c r="L1834" i="35"/>
  <c r="K97" i="33"/>
  <c r="S97" i="33"/>
  <c r="P1830" i="35"/>
  <c r="I97" i="33" s="1"/>
  <c r="P1785" i="35"/>
  <c r="I43" i="33" s="1"/>
  <c r="K43" i="33"/>
  <c r="P1828" i="35"/>
  <c r="P1821" i="35"/>
  <c r="J43" i="33"/>
  <c r="H1804" i="35"/>
  <c r="P1820" i="35"/>
  <c r="I42" i="33" s="1"/>
  <c r="P1826" i="35"/>
  <c r="J42" i="33"/>
  <c r="K42" i="33"/>
  <c r="H1812" i="35"/>
  <c r="M1815" i="35"/>
  <c r="N1815" i="35" s="1"/>
  <c r="M1817" i="35"/>
  <c r="N1817" i="35" s="1"/>
  <c r="I1815" i="35"/>
  <c r="O1815" i="35" s="1"/>
  <c r="I1817" i="35"/>
  <c r="O1817" i="35" s="1"/>
  <c r="P1810" i="35"/>
  <c r="R440" i="6"/>
  <c r="R446" i="6"/>
  <c r="P439" i="6"/>
  <c r="R444" i="6"/>
  <c r="L1812" i="35"/>
  <c r="I1747" i="35"/>
  <c r="O1747" i="35" s="1"/>
  <c r="I1811" i="35"/>
  <c r="O1811" i="35" s="1"/>
  <c r="M1747" i="35"/>
  <c r="N1747" i="35" s="1"/>
  <c r="M1811" i="35"/>
  <c r="N1811" i="35" s="1"/>
  <c r="K598" i="33"/>
  <c r="P1802" i="35"/>
  <c r="I598" i="33" s="1"/>
  <c r="J598" i="33"/>
  <c r="I1795" i="35"/>
  <c r="O1795" i="35" s="1"/>
  <c r="I1803" i="35"/>
  <c r="O1803" i="35" s="1"/>
  <c r="M1795" i="35"/>
  <c r="N1795" i="35" s="1"/>
  <c r="M1803" i="35"/>
  <c r="N1803" i="35" s="1"/>
  <c r="M1619" i="35"/>
  <c r="N1619" i="35" s="1"/>
  <c r="Q435" i="6"/>
  <c r="R438" i="6"/>
  <c r="N446" i="6"/>
  <c r="P446" i="6" s="1"/>
  <c r="N440" i="6"/>
  <c r="P440" i="6" s="1"/>
  <c r="O437" i="6"/>
  <c r="Q437" i="6" s="1"/>
  <c r="S437" i="6" s="1"/>
  <c r="C112" i="36" s="1"/>
  <c r="O439" i="6"/>
  <c r="Q439" i="6" s="1"/>
  <c r="O438" i="6"/>
  <c r="Q438" i="6" s="1"/>
  <c r="O444" i="6"/>
  <c r="Q444" i="6" s="1"/>
  <c r="R439" i="6"/>
  <c r="P438" i="6"/>
  <c r="O440" i="6"/>
  <c r="Q440" i="6" s="1"/>
  <c r="O446" i="6"/>
  <c r="Q446" i="6" s="1"/>
  <c r="P444" i="6"/>
  <c r="I1448" i="35"/>
  <c r="O1448" i="35" s="1"/>
  <c r="M1621" i="35"/>
  <c r="N1621" i="35" s="1"/>
  <c r="P1792" i="35"/>
  <c r="I1789" i="35"/>
  <c r="O1789" i="35" s="1"/>
  <c r="I1796" i="35"/>
  <c r="O1796" i="35" s="1"/>
  <c r="I1491" i="35"/>
  <c r="O1491" i="35" s="1"/>
  <c r="I1794" i="35"/>
  <c r="O1794" i="35" s="1"/>
  <c r="M1487" i="35"/>
  <c r="N1487" i="35" s="1"/>
  <c r="M1794" i="35"/>
  <c r="N1794" i="35" s="1"/>
  <c r="P1788" i="35"/>
  <c r="I597" i="33" s="1"/>
  <c r="J597" i="33"/>
  <c r="K597" i="33"/>
  <c r="M1781" i="35"/>
  <c r="N1781" i="35" s="1"/>
  <c r="M1790" i="35"/>
  <c r="N1790" i="35" s="1"/>
  <c r="I1781" i="35"/>
  <c r="O1781" i="35" s="1"/>
  <c r="I1790" i="35"/>
  <c r="O1790" i="35" s="1"/>
  <c r="M1626" i="35"/>
  <c r="N1626" i="35" s="1"/>
  <c r="M1789" i="35"/>
  <c r="N1789" i="35" s="1"/>
  <c r="I1621" i="35"/>
  <c r="O1621" i="35" s="1"/>
  <c r="I1615" i="35"/>
  <c r="O1615" i="35" s="1"/>
  <c r="I1561" i="35"/>
  <c r="O1561" i="35" s="1"/>
  <c r="H128" i="33" s="1"/>
  <c r="S128" i="33" s="1"/>
  <c r="P1775" i="35"/>
  <c r="M1561" i="35"/>
  <c r="N1561" i="35" s="1"/>
  <c r="M1615" i="35"/>
  <c r="N1615" i="35" s="1"/>
  <c r="M1779" i="35"/>
  <c r="N1779" i="35" s="1"/>
  <c r="M1780" i="35"/>
  <c r="N1780" i="35" s="1"/>
  <c r="I1779" i="35"/>
  <c r="O1779" i="35" s="1"/>
  <c r="I1780" i="35"/>
  <c r="O1780" i="35" s="1"/>
  <c r="K591" i="33"/>
  <c r="I1619" i="35"/>
  <c r="O1619" i="35" s="1"/>
  <c r="H1777" i="35"/>
  <c r="H1763" i="35"/>
  <c r="H1778" i="35"/>
  <c r="L1763" i="35"/>
  <c r="L1778" i="35"/>
  <c r="L1777" i="35"/>
  <c r="N588" i="33"/>
  <c r="F27" i="34" s="1"/>
  <c r="P1761" i="35"/>
  <c r="P1757" i="35"/>
  <c r="P1734" i="35"/>
  <c r="I25" i="33" s="1"/>
  <c r="M1463" i="35"/>
  <c r="N1463" i="35" s="1"/>
  <c r="M1570" i="35"/>
  <c r="N1570" i="35" s="1"/>
  <c r="I1583" i="35"/>
  <c r="O1583" i="35" s="1"/>
  <c r="K1101" i="35"/>
  <c r="L1762" i="35"/>
  <c r="G1101" i="35"/>
  <c r="H1762" i="35"/>
  <c r="P1759" i="35"/>
  <c r="P1722" i="35"/>
  <c r="M1583" i="35"/>
  <c r="N1583" i="35" s="1"/>
  <c r="M1732" i="35"/>
  <c r="N1732" i="35" s="1"/>
  <c r="M1760" i="35"/>
  <c r="N1760" i="35" s="1"/>
  <c r="I1732" i="35"/>
  <c r="O1732" i="35" s="1"/>
  <c r="I1760" i="35"/>
  <c r="O1760" i="35" s="1"/>
  <c r="P1756" i="35"/>
  <c r="J25" i="33"/>
  <c r="L1758" i="35"/>
  <c r="H1758" i="35"/>
  <c r="K25" i="33"/>
  <c r="P1751" i="35"/>
  <c r="I1697" i="35"/>
  <c r="O1697" i="35" s="1"/>
  <c r="I1755" i="35"/>
  <c r="O1755" i="35" s="1"/>
  <c r="M1697" i="35"/>
  <c r="N1697" i="35" s="1"/>
  <c r="M1755" i="35"/>
  <c r="N1755" i="35" s="1"/>
  <c r="P1754" i="35"/>
  <c r="P1744" i="35"/>
  <c r="I1603" i="35"/>
  <c r="O1603" i="35" s="1"/>
  <c r="H71" i="33" s="1"/>
  <c r="I1748" i="35"/>
  <c r="O1748" i="35" s="1"/>
  <c r="M1603" i="35"/>
  <c r="N1603" i="35" s="1"/>
  <c r="M1748" i="35"/>
  <c r="N1748" i="35" s="1"/>
  <c r="L1745" i="35"/>
  <c r="H1745" i="35"/>
  <c r="I1706" i="35"/>
  <c r="O1706" i="35" s="1"/>
  <c r="I1741" i="35"/>
  <c r="O1741" i="35" s="1"/>
  <c r="M1706" i="35"/>
  <c r="N1706" i="35" s="1"/>
  <c r="M1741" i="35"/>
  <c r="N1741" i="35" s="1"/>
  <c r="M1598" i="35"/>
  <c r="N1598" i="35" s="1"/>
  <c r="P1736" i="35"/>
  <c r="I1696" i="35"/>
  <c r="O1696" i="35" s="1"/>
  <c r="H595" i="33" s="1"/>
  <c r="J595" i="33" s="1"/>
  <c r="I1737" i="35"/>
  <c r="O1737" i="35" s="1"/>
  <c r="M1696" i="35"/>
  <c r="N1696" i="35" s="1"/>
  <c r="M1737" i="35"/>
  <c r="N1737" i="35" s="1"/>
  <c r="P1689" i="35"/>
  <c r="I593" i="33" s="1"/>
  <c r="I1570" i="35"/>
  <c r="O1570" i="35" s="1"/>
  <c r="M1717" i="35"/>
  <c r="N1717" i="35" s="1"/>
  <c r="M1731" i="35"/>
  <c r="N1731" i="35" s="1"/>
  <c r="I1717" i="35"/>
  <c r="O1717" i="35" s="1"/>
  <c r="I1731" i="35"/>
  <c r="O1731" i="35" s="1"/>
  <c r="M1525" i="35"/>
  <c r="N1525" i="35" s="1"/>
  <c r="I1525" i="35"/>
  <c r="O1525" i="35" s="1"/>
  <c r="I1568" i="35"/>
  <c r="O1568" i="35" s="1"/>
  <c r="N105" i="33"/>
  <c r="H1721" i="35"/>
  <c r="J593" i="33"/>
  <c r="K593" i="33"/>
  <c r="L1693" i="35"/>
  <c r="L1721" i="35"/>
  <c r="M1435" i="35"/>
  <c r="N1435" i="35" s="1"/>
  <c r="P1702" i="35"/>
  <c r="I81" i="33" s="1"/>
  <c r="M1685" i="35"/>
  <c r="N1685" i="35" s="1"/>
  <c r="M1719" i="35"/>
  <c r="N1719" i="35" s="1"/>
  <c r="I1685" i="35"/>
  <c r="O1685" i="35" s="1"/>
  <c r="I1719" i="35"/>
  <c r="O1719" i="35" s="1"/>
  <c r="J81" i="33"/>
  <c r="M1361" i="35"/>
  <c r="N1361" i="35" s="1"/>
  <c r="I1435" i="35"/>
  <c r="O1435" i="35" s="1"/>
  <c r="H38" i="33" s="1"/>
  <c r="S38" i="33" s="1"/>
  <c r="M1429" i="35"/>
  <c r="N1429" i="35" s="1"/>
  <c r="L1709" i="35"/>
  <c r="K81" i="33"/>
  <c r="M1491" i="35"/>
  <c r="N1491" i="35" s="1"/>
  <c r="M1523" i="35"/>
  <c r="N1523" i="35" s="1"/>
  <c r="P1715" i="35"/>
  <c r="P1707" i="35"/>
  <c r="M1687" i="35"/>
  <c r="N1687" i="35" s="1"/>
  <c r="M1712" i="35"/>
  <c r="N1712" i="35" s="1"/>
  <c r="I1687" i="35"/>
  <c r="O1687" i="35" s="1"/>
  <c r="I1712" i="35"/>
  <c r="O1712" i="35" s="1"/>
  <c r="M1602" i="35"/>
  <c r="N1602" i="35" s="1"/>
  <c r="I1361" i="35"/>
  <c r="O1361" i="35" s="1"/>
  <c r="H46" i="33" s="1"/>
  <c r="S46" i="33" s="1"/>
  <c r="M1556" i="35"/>
  <c r="N1556" i="35" s="1"/>
  <c r="M1483" i="35"/>
  <c r="N1483" i="35" s="1"/>
  <c r="M1537" i="35"/>
  <c r="N1537" i="35" s="1"/>
  <c r="M1568" i="35"/>
  <c r="N1568" i="35" s="1"/>
  <c r="M1589" i="35"/>
  <c r="N1589" i="35" s="1"/>
  <c r="H1709" i="35"/>
  <c r="I1429" i="35"/>
  <c r="O1429" i="35" s="1"/>
  <c r="I1556" i="35"/>
  <c r="O1556" i="35" s="1"/>
  <c r="I1602" i="35"/>
  <c r="O1602" i="35" s="1"/>
  <c r="I1589" i="35"/>
  <c r="O1589" i="35" s="1"/>
  <c r="I1598" i="35"/>
  <c r="O1598" i="35" s="1"/>
  <c r="M1637" i="35"/>
  <c r="N1637" i="35" s="1"/>
  <c r="M1705" i="35"/>
  <c r="N1705" i="35" s="1"/>
  <c r="I1637" i="35"/>
  <c r="O1637" i="35" s="1"/>
  <c r="I1705" i="35"/>
  <c r="O1705" i="35" s="1"/>
  <c r="H1693" i="35"/>
  <c r="P1698" i="35"/>
  <c r="M1432" i="35"/>
  <c r="N1432" i="35" s="1"/>
  <c r="I1560" i="35"/>
  <c r="O1560" i="35" s="1"/>
  <c r="H117" i="33" s="1"/>
  <c r="I1695" i="35"/>
  <c r="O1695" i="35" s="1"/>
  <c r="M1560" i="35"/>
  <c r="N1560" i="35" s="1"/>
  <c r="M1695" i="35"/>
  <c r="N1695" i="35" s="1"/>
  <c r="P1684" i="35"/>
  <c r="P1691" i="35"/>
  <c r="I1654" i="35"/>
  <c r="O1654" i="35" s="1"/>
  <c r="M1654" i="35"/>
  <c r="N1654" i="35" s="1"/>
  <c r="M1482" i="35"/>
  <c r="N1482" i="35" s="1"/>
  <c r="I1455" i="35"/>
  <c r="O1455" i="35" s="1"/>
  <c r="P1655" i="35"/>
  <c r="I591" i="33" s="1"/>
  <c r="M1438" i="35"/>
  <c r="N1438" i="35" s="1"/>
  <c r="I1483" i="35"/>
  <c r="O1483" i="35" s="1"/>
  <c r="I1585" i="35"/>
  <c r="O1585" i="35" s="1"/>
  <c r="I1482" i="35"/>
  <c r="O1482" i="35" s="1"/>
  <c r="H112" i="33" s="1"/>
  <c r="J112" i="33" s="1"/>
  <c r="P1683" i="35"/>
  <c r="J591" i="33"/>
  <c r="P1662" i="35"/>
  <c r="I26" i="33" s="1"/>
  <c r="M1641" i="35"/>
  <c r="N1641" i="35" s="1"/>
  <c r="M1681" i="35"/>
  <c r="N1681" i="35" s="1"/>
  <c r="I1641" i="35"/>
  <c r="O1641" i="35" s="1"/>
  <c r="I1681" i="35"/>
  <c r="O1681" i="35" s="1"/>
  <c r="L1653" i="35"/>
  <c r="M1455" i="35"/>
  <c r="N1455" i="35" s="1"/>
  <c r="I1432" i="35"/>
  <c r="O1432" i="35" s="1"/>
  <c r="H108" i="33" s="1"/>
  <c r="K108" i="33" s="1"/>
  <c r="P1658" i="35"/>
  <c r="P1676" i="35"/>
  <c r="S26" i="33"/>
  <c r="K26" i="33"/>
  <c r="I1477" i="35"/>
  <c r="O1477" i="35" s="1"/>
  <c r="H121" i="33" s="1"/>
  <c r="J121" i="33" s="1"/>
  <c r="I1674" i="35"/>
  <c r="O1674" i="35" s="1"/>
  <c r="M1477" i="35"/>
  <c r="N1477" i="35" s="1"/>
  <c r="M1674" i="35"/>
  <c r="N1674" i="35" s="1"/>
  <c r="M1547" i="35"/>
  <c r="N1547" i="35" s="1"/>
  <c r="M1544" i="35"/>
  <c r="N1544" i="35" s="1"/>
  <c r="I1613" i="35"/>
  <c r="O1613" i="35" s="1"/>
  <c r="I1597" i="35"/>
  <c r="O1597" i="35" s="1"/>
  <c r="H45" i="33" s="1"/>
  <c r="S45" i="33" s="1"/>
  <c r="I1657" i="35"/>
  <c r="O1657" i="35" s="1"/>
  <c r="I1670" i="35"/>
  <c r="O1670" i="35" s="1"/>
  <c r="M1657" i="35"/>
  <c r="N1657" i="35" s="1"/>
  <c r="M1670" i="35"/>
  <c r="N1670" i="35" s="1"/>
  <c r="M1620" i="35"/>
  <c r="N1620" i="35" s="1"/>
  <c r="N1669" i="35"/>
  <c r="O1669" i="35"/>
  <c r="I1520" i="35"/>
  <c r="O1520" i="35" s="1"/>
  <c r="H120" i="33" s="1"/>
  <c r="I1668" i="35"/>
  <c r="O1668" i="35" s="1"/>
  <c r="M1520" i="35"/>
  <c r="N1520" i="35" s="1"/>
  <c r="M1668" i="35"/>
  <c r="N1668" i="35" s="1"/>
  <c r="M1645" i="35"/>
  <c r="N1645" i="35" s="1"/>
  <c r="M1667" i="35"/>
  <c r="N1667" i="35" s="1"/>
  <c r="I1645" i="35"/>
  <c r="O1645" i="35" s="1"/>
  <c r="I1667" i="35"/>
  <c r="O1667" i="35" s="1"/>
  <c r="M1613" i="35"/>
  <c r="N1613" i="35" s="1"/>
  <c r="M1597" i="35"/>
  <c r="N1597" i="35" s="1"/>
  <c r="I1617" i="35"/>
  <c r="O1617" i="35" s="1"/>
  <c r="I1666" i="35"/>
  <c r="O1666" i="35" s="1"/>
  <c r="M1617" i="35"/>
  <c r="N1617" i="35" s="1"/>
  <c r="M1666" i="35"/>
  <c r="N1666" i="35" s="1"/>
  <c r="I1564" i="35"/>
  <c r="O1564" i="35" s="1"/>
  <c r="I1664" i="35"/>
  <c r="O1664" i="35" s="1"/>
  <c r="M1564" i="35"/>
  <c r="N1564" i="35" s="1"/>
  <c r="M1664" i="35"/>
  <c r="N1664" i="35" s="1"/>
  <c r="I1620" i="35"/>
  <c r="O1620" i="35" s="1"/>
  <c r="I1513" i="35"/>
  <c r="O1513" i="35" s="1"/>
  <c r="H588" i="33" s="1"/>
  <c r="S588" i="33" s="1"/>
  <c r="M1585" i="35"/>
  <c r="N1585" i="35" s="1"/>
  <c r="I1544" i="35"/>
  <c r="O1544" i="35" s="1"/>
  <c r="H601" i="33" s="1"/>
  <c r="S601" i="33" s="1"/>
  <c r="M1441" i="35"/>
  <c r="N1441" i="35" s="1"/>
  <c r="N1660" i="35"/>
  <c r="I1537" i="35"/>
  <c r="O1537" i="35" s="1"/>
  <c r="I1547" i="35"/>
  <c r="O1547" i="35" s="1"/>
  <c r="I1582" i="35"/>
  <c r="O1582" i="35" s="1"/>
  <c r="J91" i="33"/>
  <c r="K91" i="33"/>
  <c r="P1656" i="35"/>
  <c r="I91" i="33" s="1"/>
  <c r="M1582" i="35"/>
  <c r="N1582" i="35" s="1"/>
  <c r="M1513" i="35"/>
  <c r="N1513" i="35" s="1"/>
  <c r="H1653" i="35"/>
  <c r="I1595" i="35"/>
  <c r="O1595" i="35" s="1"/>
  <c r="H116" i="33" s="1"/>
  <c r="I1651" i="35"/>
  <c r="O1651" i="35" s="1"/>
  <c r="M1595" i="35"/>
  <c r="N1595" i="35" s="1"/>
  <c r="M1651" i="35"/>
  <c r="N1651" i="35" s="1"/>
  <c r="I1476" i="35"/>
  <c r="O1476" i="35" s="1"/>
  <c r="H79" i="33" s="1"/>
  <c r="I1650" i="35"/>
  <c r="O1650" i="35" s="1"/>
  <c r="M1476" i="35"/>
  <c r="N1476" i="35" s="1"/>
  <c r="M1650" i="35"/>
  <c r="N1650" i="35" s="1"/>
  <c r="M1631" i="35"/>
  <c r="N1631" i="35" s="1"/>
  <c r="M1647" i="35"/>
  <c r="N1647" i="35" s="1"/>
  <c r="L1646" i="35"/>
  <c r="I1631" i="35"/>
  <c r="O1631" i="35" s="1"/>
  <c r="I1647" i="35"/>
  <c r="O1647" i="35" s="1"/>
  <c r="H1646" i="35"/>
  <c r="I1441" i="35"/>
  <c r="O1441" i="35" s="1"/>
  <c r="H131" i="33" s="1"/>
  <c r="S131" i="33" s="1"/>
  <c r="M1600" i="35"/>
  <c r="N1600" i="35" s="1"/>
  <c r="N1398" i="35"/>
  <c r="I1487" i="35"/>
  <c r="O1487" i="35" s="1"/>
  <c r="H36" i="33" s="1"/>
  <c r="S36" i="33" s="1"/>
  <c r="H1618" i="35"/>
  <c r="I1523" i="35"/>
  <c r="O1523" i="35" s="1"/>
  <c r="I1600" i="35"/>
  <c r="O1600" i="35" s="1"/>
  <c r="H1611" i="35"/>
  <c r="I1594" i="35"/>
  <c r="O1594" i="35" s="1"/>
  <c r="I1635" i="35"/>
  <c r="O1635" i="35" s="1"/>
  <c r="M1594" i="35"/>
  <c r="N1594" i="35" s="1"/>
  <c r="M1635" i="35"/>
  <c r="N1635" i="35" s="1"/>
  <c r="I1409" i="35"/>
  <c r="O1409" i="35" s="1"/>
  <c r="H88" i="33" s="1"/>
  <c r="I1634" i="35"/>
  <c r="O1634" i="35" s="1"/>
  <c r="M1409" i="35"/>
  <c r="N1409" i="35" s="1"/>
  <c r="M1634" i="35"/>
  <c r="N1634" i="35" s="1"/>
  <c r="M1614" i="35"/>
  <c r="N1614" i="35" s="1"/>
  <c r="L1611" i="35"/>
  <c r="L1629" i="35"/>
  <c r="H1629" i="35"/>
  <c r="I1614" i="35"/>
  <c r="O1614" i="35" s="1"/>
  <c r="I1626" i="35"/>
  <c r="O1626" i="35" s="1"/>
  <c r="O1624" i="35"/>
  <c r="AA800" i="31"/>
  <c r="AA799" i="31"/>
  <c r="AA798" i="31"/>
  <c r="AA797" i="31"/>
  <c r="L1618" i="35"/>
  <c r="AA796" i="31"/>
  <c r="AA795" i="31"/>
  <c r="AA794" i="31"/>
  <c r="AA793" i="31"/>
  <c r="AA792" i="31"/>
  <c r="AA791" i="31"/>
  <c r="G112" i="36"/>
  <c r="I112" i="36" s="1"/>
  <c r="R435" i="6"/>
  <c r="N435" i="6"/>
  <c r="P435" i="6" s="1"/>
  <c r="N436" i="6"/>
  <c r="P436" i="6" s="1"/>
  <c r="Q436" i="6"/>
  <c r="R434" i="6"/>
  <c r="H111" i="36" s="1"/>
  <c r="F111" i="36" s="1"/>
  <c r="L1601" i="35"/>
  <c r="AA762" i="31"/>
  <c r="AA743" i="31"/>
  <c r="AA717" i="31"/>
  <c r="H1601" i="35"/>
  <c r="O1584" i="35"/>
  <c r="AA709" i="31"/>
  <c r="O1473" i="35"/>
  <c r="H585" i="33" s="1"/>
  <c r="S585" i="33" s="1"/>
  <c r="AA742" i="31"/>
  <c r="AA759" i="31"/>
  <c r="AA758" i="31"/>
  <c r="AA741" i="31"/>
  <c r="AA781" i="31"/>
  <c r="R45" i="33"/>
  <c r="B35" i="40"/>
  <c r="AA782" i="31"/>
  <c r="L1590" i="35"/>
  <c r="N1574" i="35"/>
  <c r="G1102" i="35"/>
  <c r="I1611" i="35" s="1"/>
  <c r="H1591" i="35"/>
  <c r="K1102" i="35"/>
  <c r="M1611" i="35" s="1"/>
  <c r="L1591" i="35"/>
  <c r="H1590" i="35"/>
  <c r="O1533" i="35"/>
  <c r="AA790" i="31"/>
  <c r="N1584" i="35"/>
  <c r="L1546" i="35"/>
  <c r="AA779" i="31"/>
  <c r="AA708" i="31"/>
  <c r="N1473" i="35"/>
  <c r="O1577" i="35"/>
  <c r="N1577" i="35"/>
  <c r="O1574" i="35"/>
  <c r="M397" i="6"/>
  <c r="N409" i="6"/>
  <c r="N397" i="6"/>
  <c r="L397" i="6"/>
  <c r="M409" i="6"/>
  <c r="K367" i="6"/>
  <c r="M416" i="6"/>
  <c r="L409" i="6"/>
  <c r="J367" i="6"/>
  <c r="L416" i="6"/>
  <c r="H1565" i="35"/>
  <c r="L1565" i="35"/>
  <c r="L1507" i="35"/>
  <c r="O1558" i="35"/>
  <c r="N1558" i="35"/>
  <c r="AA691" i="31"/>
  <c r="AA785" i="31"/>
  <c r="AA767" i="31"/>
  <c r="P1553" i="35"/>
  <c r="I96" i="33" s="1"/>
  <c r="K96" i="33"/>
  <c r="J96" i="33"/>
  <c r="N1550" i="35"/>
  <c r="O1550" i="35"/>
  <c r="R96" i="33"/>
  <c r="O1551" i="35"/>
  <c r="N1551" i="35"/>
  <c r="R56" i="33"/>
  <c r="B44" i="40"/>
  <c r="H1546" i="35"/>
  <c r="B48" i="40"/>
  <c r="N1542" i="35"/>
  <c r="AA774" i="31"/>
  <c r="AA773" i="31"/>
  <c r="O1498" i="35"/>
  <c r="AA772" i="31"/>
  <c r="N1498" i="35"/>
  <c r="R601" i="33"/>
  <c r="H1531" i="35"/>
  <c r="AA771" i="31"/>
  <c r="AA770" i="31"/>
  <c r="M589" i="33"/>
  <c r="AA769" i="31"/>
  <c r="AA768" i="31"/>
  <c r="AA757" i="31"/>
  <c r="N1414" i="35"/>
  <c r="O1542" i="35"/>
  <c r="L1539" i="35"/>
  <c r="AA754" i="31"/>
  <c r="AA765" i="31"/>
  <c r="AA764" i="31"/>
  <c r="H1539" i="35"/>
  <c r="L1535" i="35"/>
  <c r="L1536" i="35"/>
  <c r="H1535" i="35"/>
  <c r="H1536" i="35"/>
  <c r="AA763" i="31"/>
  <c r="AA789" i="31"/>
  <c r="N1534" i="35"/>
  <c r="O1534" i="35"/>
  <c r="AA761" i="31"/>
  <c r="AA788" i="31"/>
  <c r="N1533" i="35"/>
  <c r="L1531" i="35"/>
  <c r="H1527" i="35"/>
  <c r="G1093" i="35"/>
  <c r="H1530" i="35"/>
  <c r="K1093" i="35"/>
  <c r="M1653" i="35" s="1"/>
  <c r="L1530" i="35"/>
  <c r="H1528" i="35"/>
  <c r="L1528" i="35"/>
  <c r="L1527" i="35"/>
  <c r="AA760" i="31"/>
  <c r="L1526" i="35"/>
  <c r="H1526" i="35"/>
  <c r="O1521" i="35"/>
  <c r="L1524" i="35"/>
  <c r="H1524" i="35"/>
  <c r="K1214" i="35"/>
  <c r="M1522" i="35" s="1"/>
  <c r="L1522" i="35"/>
  <c r="G1214" i="35"/>
  <c r="I1522" i="35" s="1"/>
  <c r="H1522" i="35"/>
  <c r="N1521" i="35"/>
  <c r="AA739" i="31"/>
  <c r="AA737" i="31"/>
  <c r="H1507" i="35"/>
  <c r="L1518" i="35"/>
  <c r="H1518" i="35"/>
  <c r="R101" i="33"/>
  <c r="B46" i="40"/>
  <c r="K1146" i="35"/>
  <c r="L1515" i="35"/>
  <c r="G1146" i="35"/>
  <c r="H1515" i="35"/>
  <c r="B27" i="34"/>
  <c r="O1414" i="35"/>
  <c r="AA756" i="31"/>
  <c r="AA755" i="31"/>
  <c r="M67" i="33"/>
  <c r="AA753" i="31"/>
  <c r="AA735" i="31"/>
  <c r="L1502" i="35"/>
  <c r="H1502" i="35"/>
  <c r="N1494" i="35"/>
  <c r="G1211" i="35"/>
  <c r="I1777" i="35" s="1"/>
  <c r="H1499" i="35"/>
  <c r="K1211" i="35"/>
  <c r="M1777" i="35" s="1"/>
  <c r="L1499" i="35"/>
  <c r="O1398" i="35"/>
  <c r="H581" i="33" s="1"/>
  <c r="S581" i="33" s="1"/>
  <c r="H1486" i="35"/>
  <c r="O1494" i="35"/>
  <c r="AA752" i="31"/>
  <c r="K1321" i="35"/>
  <c r="M1323" i="35" s="1"/>
  <c r="L1490" i="35"/>
  <c r="G1321" i="35"/>
  <c r="I1321" i="35" s="1"/>
  <c r="H1490" i="35"/>
  <c r="L1486" i="35"/>
  <c r="R587" i="33"/>
  <c r="B90" i="40"/>
  <c r="AA751" i="31"/>
  <c r="AA750" i="31"/>
  <c r="AA738" i="31"/>
  <c r="AA749" i="31"/>
  <c r="N586" i="33" s="1"/>
  <c r="E48" i="40" s="1"/>
  <c r="R79" i="33"/>
  <c r="O1467" i="35"/>
  <c r="O1443" i="35"/>
  <c r="H584" i="33" s="1"/>
  <c r="S584" i="33" s="1"/>
  <c r="AA748" i="31"/>
  <c r="AA747" i="31"/>
  <c r="N1443" i="35"/>
  <c r="N1447" i="35"/>
  <c r="N1469" i="35"/>
  <c r="O1469" i="35"/>
  <c r="N1467" i="35"/>
  <c r="N1452" i="35"/>
  <c r="AA725" i="31"/>
  <c r="AA720" i="31"/>
  <c r="AA690" i="31"/>
  <c r="AA676" i="31"/>
  <c r="AA745" i="31"/>
  <c r="AA744" i="31"/>
  <c r="N1422" i="35"/>
  <c r="N1454" i="35"/>
  <c r="K1173" i="35"/>
  <c r="M1962" i="35" s="1"/>
  <c r="L1462" i="35"/>
  <c r="G1173" i="35"/>
  <c r="I1962" i="35" s="1"/>
  <c r="H1462" i="35"/>
  <c r="N1384" i="35"/>
  <c r="AA740" i="31"/>
  <c r="AA787" i="31"/>
  <c r="I1384" i="35"/>
  <c r="O1384" i="35" s="1"/>
  <c r="H580" i="33" s="1"/>
  <c r="S580" i="33" s="1"/>
  <c r="I1460" i="35"/>
  <c r="O1460" i="35" s="1"/>
  <c r="N1460" i="35"/>
  <c r="L1457" i="35"/>
  <c r="H1457" i="35"/>
  <c r="N1448" i="35"/>
  <c r="O1422" i="35"/>
  <c r="N1421" i="35"/>
  <c r="O1454" i="35"/>
  <c r="N1373" i="35"/>
  <c r="O1373" i="35"/>
  <c r="H579" i="33" s="1"/>
  <c r="S579" i="33" s="1"/>
  <c r="O1452" i="35"/>
  <c r="O1421" i="35"/>
  <c r="H583" i="33" s="1"/>
  <c r="S583" i="33" s="1"/>
  <c r="O1447" i="35"/>
  <c r="R584" i="33"/>
  <c r="B30" i="40"/>
  <c r="O1438" i="35"/>
  <c r="R131" i="33"/>
  <c r="B50" i="40"/>
  <c r="F50" i="40" s="1"/>
  <c r="K1176" i="35"/>
  <c r="M1434" i="35" s="1"/>
  <c r="L1434" i="35"/>
  <c r="G1176" i="35"/>
  <c r="I1434" i="35" s="1"/>
  <c r="H1434" i="35"/>
  <c r="AA719" i="31"/>
  <c r="AA736" i="31"/>
  <c r="K1240" i="35"/>
  <c r="M1871" i="35" s="1"/>
  <c r="L1431" i="35"/>
  <c r="G1240" i="35"/>
  <c r="I1871" i="35" s="1"/>
  <c r="H1431" i="35"/>
  <c r="H1418" i="35"/>
  <c r="L1424" i="35"/>
  <c r="L1428" i="35"/>
  <c r="H1424" i="35"/>
  <c r="H1428" i="35"/>
  <c r="O1425" i="35"/>
  <c r="N1425" i="35"/>
  <c r="AA669" i="31"/>
  <c r="N1404" i="35"/>
  <c r="L1418" i="35"/>
  <c r="O1404" i="35"/>
  <c r="H582" i="33" s="1"/>
  <c r="J582" i="33" s="1"/>
  <c r="O1407" i="35"/>
  <c r="N1408" i="35"/>
  <c r="O1408" i="35"/>
  <c r="N1401" i="35"/>
  <c r="K1193" i="35"/>
  <c r="M1478" i="35" s="1"/>
  <c r="N1478" i="35" s="1"/>
  <c r="L1410" i="35"/>
  <c r="G1193" i="35"/>
  <c r="I1478" i="35" s="1"/>
  <c r="O1478" i="35" s="1"/>
  <c r="H1410" i="35"/>
  <c r="O1401" i="35"/>
  <c r="N1407" i="35"/>
  <c r="AA734" i="31"/>
  <c r="AA733" i="31"/>
  <c r="AA732" i="31"/>
  <c r="K1187" i="35"/>
  <c r="M1405" i="35" s="1"/>
  <c r="L1405" i="35"/>
  <c r="G1187" i="35"/>
  <c r="I1405" i="35" s="1"/>
  <c r="H1405" i="35"/>
  <c r="R582" i="33"/>
  <c r="B34" i="40"/>
  <c r="H1403" i="35"/>
  <c r="L1403" i="35"/>
  <c r="O1396" i="35"/>
  <c r="N1396" i="35"/>
  <c r="AA731" i="31"/>
  <c r="O1355" i="35"/>
  <c r="H577" i="33" s="1"/>
  <c r="S577" i="33" s="1"/>
  <c r="N1355" i="35"/>
  <c r="AA730" i="31"/>
  <c r="AA729" i="31"/>
  <c r="G1197" i="35"/>
  <c r="I1812" i="35" s="1"/>
  <c r="H1391" i="35"/>
  <c r="K1197" i="35"/>
  <c r="M1812" i="35" s="1"/>
  <c r="L1391" i="35"/>
  <c r="K1350" i="35"/>
  <c r="L1385" i="35"/>
  <c r="G1350" i="35"/>
  <c r="H1385" i="35"/>
  <c r="AA728" i="31"/>
  <c r="AA727" i="31"/>
  <c r="AA726" i="31"/>
  <c r="K1305" i="35"/>
  <c r="M1529" i="35" s="1"/>
  <c r="N1529" i="35" s="1"/>
  <c r="L1382" i="35"/>
  <c r="G1305" i="35"/>
  <c r="I1529" i="35" s="1"/>
  <c r="O1529" i="35" s="1"/>
  <c r="H1382" i="35"/>
  <c r="K1279" i="35"/>
  <c r="L1379" i="35"/>
  <c r="G1279" i="35"/>
  <c r="H1379" i="35"/>
  <c r="AA784" i="31"/>
  <c r="K1325" i="35"/>
  <c r="M1423" i="35" s="1"/>
  <c r="N1423" i="35" s="1"/>
  <c r="L1377" i="35"/>
  <c r="G1325" i="35"/>
  <c r="I1423" i="35" s="1"/>
  <c r="O1423" i="35" s="1"/>
  <c r="H1377" i="35"/>
  <c r="O1364" i="35"/>
  <c r="N1364" i="35"/>
  <c r="O1362" i="35"/>
  <c r="AA724" i="31"/>
  <c r="K1195" i="35"/>
  <c r="M1444" i="35" s="1"/>
  <c r="N1444" i="35" s="1"/>
  <c r="L1370" i="35"/>
  <c r="AA723" i="31"/>
  <c r="N578" i="33" s="1"/>
  <c r="E87" i="40" s="1"/>
  <c r="G1195" i="35"/>
  <c r="I1444" i="35" s="1"/>
  <c r="O1444" i="35" s="1"/>
  <c r="H1370" i="35"/>
  <c r="B87" i="40"/>
  <c r="AA722" i="31"/>
  <c r="AA721" i="31"/>
  <c r="AA672" i="31"/>
  <c r="AA766" i="31"/>
  <c r="AA718" i="31"/>
  <c r="N1362" i="35"/>
  <c r="K1090" i="35"/>
  <c r="L1365" i="35"/>
  <c r="G1090" i="35"/>
  <c r="H1365" i="35"/>
  <c r="K1270" i="35"/>
  <c r="L1360" i="35"/>
  <c r="G1270" i="35"/>
  <c r="H1360" i="35"/>
  <c r="L1350" i="35"/>
  <c r="H1350" i="35"/>
  <c r="AA786" i="31"/>
  <c r="K1167" i="35"/>
  <c r="M1167" i="35" s="1"/>
  <c r="L1357" i="35"/>
  <c r="G1167" i="35"/>
  <c r="I1357" i="35" s="1"/>
  <c r="H1357" i="35"/>
  <c r="G1139" i="35"/>
  <c r="H1356" i="35"/>
  <c r="K1139" i="35"/>
  <c r="L1356" i="35"/>
  <c r="R577" i="33"/>
  <c r="B28" i="40"/>
  <c r="F28" i="40" s="1"/>
  <c r="G1117" i="35"/>
  <c r="H1354" i="35"/>
  <c r="K1117" i="35"/>
  <c r="L1354" i="35"/>
  <c r="S716" i="31"/>
  <c r="T716" i="31" s="1"/>
  <c r="S714" i="31"/>
  <c r="T714" i="31" s="1"/>
  <c r="K1274" i="35"/>
  <c r="M1274" i="35" s="1"/>
  <c r="G1274" i="35"/>
  <c r="I1278" i="35" s="1"/>
  <c r="AD716" i="31"/>
  <c r="X716" i="31"/>
  <c r="Y716" i="31" s="1"/>
  <c r="Z716" i="31"/>
  <c r="S715" i="31"/>
  <c r="T715" i="31" s="1"/>
  <c r="AD715" i="31"/>
  <c r="X715" i="31"/>
  <c r="Y715" i="31" s="1"/>
  <c r="Z714" i="31"/>
  <c r="Z715" i="31"/>
  <c r="X714" i="31"/>
  <c r="Y714" i="31" s="1"/>
  <c r="AD714" i="31"/>
  <c r="Q144" i="33"/>
  <c r="R144" i="33" s="1"/>
  <c r="Q174" i="33"/>
  <c r="R174" i="33" s="1"/>
  <c r="Q166" i="33"/>
  <c r="R166" i="33" s="1"/>
  <c r="S712" i="31"/>
  <c r="T712" i="31" s="1"/>
  <c r="S713" i="31"/>
  <c r="T713" i="31" s="1"/>
  <c r="AD713" i="31"/>
  <c r="X713" i="31"/>
  <c r="Y713" i="31" s="1"/>
  <c r="Z713" i="31"/>
  <c r="Z711" i="31"/>
  <c r="Z712" i="31"/>
  <c r="X712" i="31"/>
  <c r="Y712" i="31" s="1"/>
  <c r="AD712" i="31"/>
  <c r="S711" i="31"/>
  <c r="T711" i="31" s="1"/>
  <c r="X711" i="31"/>
  <c r="Y711" i="31" s="1"/>
  <c r="AD711" i="31"/>
  <c r="Z710" i="31"/>
  <c r="S710" i="31"/>
  <c r="T710" i="31" s="1"/>
  <c r="X710" i="31"/>
  <c r="Y710" i="31" s="1"/>
  <c r="AD710" i="31"/>
  <c r="L1344" i="35"/>
  <c r="H1344" i="35"/>
  <c r="S670" i="31"/>
  <c r="T670" i="31" s="1"/>
  <c r="AD670" i="31"/>
  <c r="AD746" i="31"/>
  <c r="S746" i="31"/>
  <c r="T746" i="31" s="1"/>
  <c r="L1340" i="35"/>
  <c r="H1340" i="35"/>
  <c r="L1331" i="35"/>
  <c r="H1331" i="35"/>
  <c r="L1337" i="35"/>
  <c r="H1337" i="35"/>
  <c r="L1325" i="35"/>
  <c r="H1325" i="35"/>
  <c r="H1321" i="35"/>
  <c r="Q180" i="33"/>
  <c r="R180" i="33" s="1"/>
  <c r="H1323" i="35"/>
  <c r="L1321" i="35"/>
  <c r="L1323" i="35"/>
  <c r="Q167" i="33"/>
  <c r="R167" i="33" s="1"/>
  <c r="X746" i="31"/>
  <c r="Y746" i="31" s="1"/>
  <c r="Z746" i="31"/>
  <c r="X670" i="31"/>
  <c r="Y670" i="31" s="1"/>
  <c r="Z670" i="31"/>
  <c r="S704" i="31"/>
  <c r="T704" i="31" s="1"/>
  <c r="S707" i="31"/>
  <c r="T707" i="31" s="1"/>
  <c r="S706" i="31"/>
  <c r="T706" i="31" s="1"/>
  <c r="AD707" i="31"/>
  <c r="AD706" i="31"/>
  <c r="Z707" i="31"/>
  <c r="X707" i="31"/>
  <c r="Y707" i="31" s="1"/>
  <c r="X706" i="31"/>
  <c r="Y706" i="31" s="1"/>
  <c r="Z706" i="31"/>
  <c r="S701" i="31"/>
  <c r="T701" i="31" s="1"/>
  <c r="S705" i="31"/>
  <c r="T705" i="31" s="1"/>
  <c r="AD705" i="31"/>
  <c r="X705" i="31"/>
  <c r="Y705" i="31" s="1"/>
  <c r="Z705" i="31"/>
  <c r="L1316" i="35"/>
  <c r="H1316" i="35"/>
  <c r="Z704" i="31"/>
  <c r="L1314" i="35"/>
  <c r="H1314" i="35"/>
  <c r="L1305" i="35"/>
  <c r="H1305" i="35"/>
  <c r="I1144" i="35"/>
  <c r="M1144" i="35"/>
  <c r="M1307" i="35"/>
  <c r="L1307" i="35"/>
  <c r="I1307" i="35"/>
  <c r="H1307" i="35"/>
  <c r="L1301" i="35"/>
  <c r="H1301" i="35"/>
  <c r="AD702" i="31"/>
  <c r="X704" i="31"/>
  <c r="Y704" i="31" s="1"/>
  <c r="AD704" i="31"/>
  <c r="Z703" i="31"/>
  <c r="S703" i="31"/>
  <c r="T703" i="31" s="1"/>
  <c r="AD703" i="31"/>
  <c r="X703" i="31"/>
  <c r="Y703" i="31" s="1"/>
  <c r="S702" i="31"/>
  <c r="T702" i="31" s="1"/>
  <c r="AD701" i="31"/>
  <c r="X701" i="31"/>
  <c r="Y701" i="31" s="1"/>
  <c r="Z701" i="31"/>
  <c r="X702" i="31"/>
  <c r="Y702" i="31" s="1"/>
  <c r="Z702" i="31"/>
  <c r="M1281" i="35"/>
  <c r="S700" i="31"/>
  <c r="T700" i="31" s="1"/>
  <c r="H1294" i="35"/>
  <c r="X700" i="31"/>
  <c r="Y700" i="31" s="1"/>
  <c r="Z700" i="31"/>
  <c r="S699" i="31"/>
  <c r="T699" i="31" s="1"/>
  <c r="AD698" i="31"/>
  <c r="AD699" i="31"/>
  <c r="Z699" i="31"/>
  <c r="X699" i="31"/>
  <c r="Y699" i="31" s="1"/>
  <c r="AD696" i="31"/>
  <c r="S697" i="31"/>
  <c r="T697" i="31" s="1"/>
  <c r="S698" i="31"/>
  <c r="T698" i="31" s="1"/>
  <c r="L1294" i="35"/>
  <c r="L1283" i="35"/>
  <c r="I1060" i="35"/>
  <c r="L1279" i="35"/>
  <c r="H1283" i="35"/>
  <c r="H1280" i="35"/>
  <c r="X698" i="31"/>
  <c r="Y698" i="31" s="1"/>
  <c r="Z698" i="31"/>
  <c r="L1281" i="35"/>
  <c r="I1281" i="35"/>
  <c r="H1281" i="35"/>
  <c r="M1060" i="35"/>
  <c r="AD697" i="31"/>
  <c r="X697" i="31"/>
  <c r="Y697" i="31" s="1"/>
  <c r="Z697" i="31"/>
  <c r="S696" i="31"/>
  <c r="T696" i="31" s="1"/>
  <c r="X696" i="31"/>
  <c r="Y696" i="31" s="1"/>
  <c r="Z696" i="31"/>
  <c r="L1280" i="35"/>
  <c r="H1279" i="35"/>
  <c r="L1274" i="35"/>
  <c r="L1278" i="35"/>
  <c r="H1278" i="35"/>
  <c r="L1270" i="35"/>
  <c r="S695" i="31"/>
  <c r="T695" i="31" s="1"/>
  <c r="M1275" i="35"/>
  <c r="I1275" i="35"/>
  <c r="L1275" i="35"/>
  <c r="H1274" i="35"/>
  <c r="H1275" i="35"/>
  <c r="AD695" i="31"/>
  <c r="X695" i="31"/>
  <c r="Y695" i="31" s="1"/>
  <c r="Z695" i="31"/>
  <c r="S783" i="31"/>
  <c r="T783" i="31" s="1"/>
  <c r="S694" i="31"/>
  <c r="T694" i="31" s="1"/>
  <c r="S692" i="31"/>
  <c r="T692" i="31" s="1"/>
  <c r="Z694" i="31"/>
  <c r="X694" i="31"/>
  <c r="Y694" i="31" s="1"/>
  <c r="AD694" i="31"/>
  <c r="S688" i="31"/>
  <c r="T688" i="31" s="1"/>
  <c r="AD780" i="31"/>
  <c r="S693" i="31"/>
  <c r="T693" i="31" s="1"/>
  <c r="AD693" i="31"/>
  <c r="AD692" i="31"/>
  <c r="X693" i="31"/>
  <c r="Y693" i="31" s="1"/>
  <c r="Z693" i="31"/>
  <c r="X692" i="31"/>
  <c r="Y692" i="31" s="1"/>
  <c r="Z692" i="31"/>
  <c r="AD682" i="31"/>
  <c r="AD783" i="31"/>
  <c r="S780" i="31"/>
  <c r="T780" i="31" s="1"/>
  <c r="H1270" i="35"/>
  <c r="Q574" i="33"/>
  <c r="R574" i="33" s="1"/>
  <c r="M1268" i="35"/>
  <c r="S686" i="31"/>
  <c r="T686" i="31" s="1"/>
  <c r="Q148" i="33"/>
  <c r="R148" i="33" s="1"/>
  <c r="Q73" i="33"/>
  <c r="R73" i="33" s="1"/>
  <c r="I1085" i="35"/>
  <c r="M1085" i="35"/>
  <c r="L1268" i="35"/>
  <c r="I1268" i="35"/>
  <c r="H1268" i="35"/>
  <c r="L1266" i="35"/>
  <c r="H1266" i="35"/>
  <c r="X783" i="31"/>
  <c r="Y783" i="31" s="1"/>
  <c r="Z783" i="31"/>
  <c r="X780" i="31"/>
  <c r="Y780" i="31" s="1"/>
  <c r="Z780" i="31"/>
  <c r="AD688" i="31"/>
  <c r="S689" i="31"/>
  <c r="T689" i="31" s="1"/>
  <c r="AD689" i="31"/>
  <c r="X689" i="31"/>
  <c r="Y689" i="31" s="1"/>
  <c r="Z689" i="31"/>
  <c r="S687" i="31"/>
  <c r="T687" i="31" s="1"/>
  <c r="S684" i="31"/>
  <c r="T684" i="31" s="1"/>
  <c r="AD687" i="31"/>
  <c r="X687" i="31"/>
  <c r="Y687" i="31" s="1"/>
  <c r="Z687" i="31"/>
  <c r="X688" i="31"/>
  <c r="Y688" i="31" s="1"/>
  <c r="Z688" i="31"/>
  <c r="J73" i="33"/>
  <c r="K73" i="33"/>
  <c r="S73" i="33"/>
  <c r="Z686" i="31"/>
  <c r="X686" i="31"/>
  <c r="Y686" i="31" s="1"/>
  <c r="AD686" i="31"/>
  <c r="S685" i="31"/>
  <c r="T685" i="31" s="1"/>
  <c r="X685" i="31"/>
  <c r="Y685" i="31" s="1"/>
  <c r="Z685" i="31"/>
  <c r="S683" i="31"/>
  <c r="T683" i="31" s="1"/>
  <c r="AD684" i="31"/>
  <c r="X684" i="31"/>
  <c r="Y684" i="31" s="1"/>
  <c r="Z684" i="31"/>
  <c r="S681" i="31"/>
  <c r="T681" i="31" s="1"/>
  <c r="S682" i="31"/>
  <c r="T682" i="31" s="1"/>
  <c r="AD680" i="31"/>
  <c r="S680" i="31"/>
  <c r="T680" i="31" s="1"/>
  <c r="AD681" i="31"/>
  <c r="L1263" i="35"/>
  <c r="H1263" i="35"/>
  <c r="AD683" i="31"/>
  <c r="X683" i="31"/>
  <c r="Y683" i="31" s="1"/>
  <c r="X682" i="31"/>
  <c r="Y682" i="31" s="1"/>
  <c r="Z682" i="31"/>
  <c r="Z683" i="31"/>
  <c r="X681" i="31"/>
  <c r="Y681" i="31" s="1"/>
  <c r="X680" i="31"/>
  <c r="Y680" i="31" s="1"/>
  <c r="Z680" i="31"/>
  <c r="Z681" i="31"/>
  <c r="S560" i="31"/>
  <c r="T560" i="31" s="1"/>
  <c r="S679" i="31"/>
  <c r="T679" i="31" s="1"/>
  <c r="Z679" i="31"/>
  <c r="X679" i="31"/>
  <c r="Y679" i="31" s="1"/>
  <c r="AD679" i="31"/>
  <c r="Q62" i="33"/>
  <c r="Z560" i="31"/>
  <c r="S648" i="31"/>
  <c r="T648" i="31" s="1"/>
  <c r="X560" i="31"/>
  <c r="Y560" i="31" s="1"/>
  <c r="AD560" i="31"/>
  <c r="AD648" i="31"/>
  <c r="S664" i="31"/>
  <c r="T664" i="31" s="1"/>
  <c r="L1259" i="35"/>
  <c r="H1259" i="35"/>
  <c r="Z648" i="31"/>
  <c r="X648" i="31"/>
  <c r="Y648" i="31" s="1"/>
  <c r="AD647" i="31"/>
  <c r="S647" i="31"/>
  <c r="T647" i="31" s="1"/>
  <c r="AD646" i="31"/>
  <c r="X647" i="31"/>
  <c r="Y647" i="31" s="1"/>
  <c r="S646" i="31"/>
  <c r="T646" i="31" s="1"/>
  <c r="Z647" i="31"/>
  <c r="X646" i="31"/>
  <c r="Y646" i="31" s="1"/>
  <c r="S653" i="31"/>
  <c r="T653" i="31" s="1"/>
  <c r="Z646" i="31"/>
  <c r="AD664" i="31"/>
  <c r="X653" i="31"/>
  <c r="Y653" i="31" s="1"/>
  <c r="X664" i="31"/>
  <c r="Y664" i="31" s="1"/>
  <c r="Z664" i="31"/>
  <c r="S636" i="31"/>
  <c r="T636" i="31" s="1"/>
  <c r="Z653" i="31"/>
  <c r="S639" i="31"/>
  <c r="T639" i="31" s="1"/>
  <c r="S678" i="31"/>
  <c r="T678" i="31" s="1"/>
  <c r="AD653" i="31"/>
  <c r="AD639" i="31"/>
  <c r="X639" i="31"/>
  <c r="Y639" i="31" s="1"/>
  <c r="Z639" i="31"/>
  <c r="Z636" i="31"/>
  <c r="X636" i="31"/>
  <c r="Y636" i="31" s="1"/>
  <c r="AD636" i="31"/>
  <c r="L1254" i="35"/>
  <c r="H1254" i="35"/>
  <c r="AD678" i="31"/>
  <c r="X678" i="31"/>
  <c r="Y678" i="31" s="1"/>
  <c r="Z678" i="31"/>
  <c r="S677" i="31"/>
  <c r="T677" i="31" s="1"/>
  <c r="X677" i="31"/>
  <c r="Y677" i="31" s="1"/>
  <c r="Z677" i="31"/>
  <c r="AD677" i="31"/>
  <c r="S650" i="31"/>
  <c r="T650" i="31" s="1"/>
  <c r="L1252" i="35"/>
  <c r="L1240" i="35"/>
  <c r="H1252" i="35"/>
  <c r="S652" i="31"/>
  <c r="T652" i="31" s="1"/>
  <c r="L1250" i="35"/>
  <c r="H1249" i="35"/>
  <c r="H1250" i="35"/>
  <c r="L1249" i="35"/>
  <c r="I1246" i="35"/>
  <c r="M1246" i="35"/>
  <c r="L1246" i="35"/>
  <c r="H1246" i="35"/>
  <c r="AD652" i="31"/>
  <c r="X652" i="31"/>
  <c r="Y652" i="31" s="1"/>
  <c r="S654" i="31"/>
  <c r="T654" i="31" s="1"/>
  <c r="Z652" i="31"/>
  <c r="S649" i="31"/>
  <c r="T649" i="31" s="1"/>
  <c r="L1245" i="35"/>
  <c r="H1240" i="35"/>
  <c r="H1245" i="35"/>
  <c r="X654" i="31"/>
  <c r="Y654" i="31" s="1"/>
  <c r="Z654" i="31"/>
  <c r="AD654" i="31"/>
  <c r="S663" i="31"/>
  <c r="T663" i="31" s="1"/>
  <c r="M23" i="33" s="1"/>
  <c r="AD650" i="31"/>
  <c r="X650" i="31"/>
  <c r="Y650" i="31" s="1"/>
  <c r="Z650" i="31"/>
  <c r="Z649" i="31"/>
  <c r="X649" i="31"/>
  <c r="Y649" i="31" s="1"/>
  <c r="AD649" i="31"/>
  <c r="S634" i="31"/>
  <c r="T634" i="31" s="1"/>
  <c r="L1214" i="35"/>
  <c r="X663" i="31"/>
  <c r="Y663" i="31" s="1"/>
  <c r="Z663" i="31"/>
  <c r="Z634" i="31"/>
  <c r="AD663" i="31"/>
  <c r="AD634" i="31"/>
  <c r="X634" i="31"/>
  <c r="Y634" i="31" s="1"/>
  <c r="S667" i="31"/>
  <c r="T667" i="31" s="1"/>
  <c r="X667" i="31"/>
  <c r="Y667" i="31" s="1"/>
  <c r="Z667" i="31"/>
  <c r="AD667" i="31"/>
  <c r="S661" i="31"/>
  <c r="T661" i="31" s="1"/>
  <c r="L1225" i="35"/>
  <c r="H1225" i="35"/>
  <c r="M1224" i="35"/>
  <c r="X661" i="31"/>
  <c r="Y661" i="31" s="1"/>
  <c r="Z661" i="31"/>
  <c r="AD661" i="31"/>
  <c r="S662" i="31"/>
  <c r="T662" i="31" s="1"/>
  <c r="I1224" i="35"/>
  <c r="L1224" i="35"/>
  <c r="H1224" i="35"/>
  <c r="L1211" i="35"/>
  <c r="L1222" i="35"/>
  <c r="H1222" i="35"/>
  <c r="H1214" i="35"/>
  <c r="S660" i="31"/>
  <c r="T660" i="31" s="1"/>
  <c r="AD660" i="31"/>
  <c r="AD662" i="31"/>
  <c r="X660" i="31"/>
  <c r="Y660" i="31" s="1"/>
  <c r="X662" i="31"/>
  <c r="Y662" i="31" s="1"/>
  <c r="Z662" i="31"/>
  <c r="Z660" i="31"/>
  <c r="AD658" i="31"/>
  <c r="L1217" i="35"/>
  <c r="H1217" i="35"/>
  <c r="S658" i="31"/>
  <c r="T658" i="31" s="1"/>
  <c r="I1210" i="35"/>
  <c r="Q202" i="33"/>
  <c r="R202" i="33" s="1"/>
  <c r="Q59" i="33"/>
  <c r="Z658" i="31"/>
  <c r="X658" i="31"/>
  <c r="Y658" i="31" s="1"/>
  <c r="H1211" i="35"/>
  <c r="S645" i="31"/>
  <c r="T645" i="31" s="1"/>
  <c r="M1210" i="35"/>
  <c r="L1210" i="35"/>
  <c r="H1210" i="35"/>
  <c r="S657" i="31"/>
  <c r="T657" i="31" s="1"/>
  <c r="AD657" i="31"/>
  <c r="X657" i="31"/>
  <c r="Y657" i="31" s="1"/>
  <c r="Z657" i="31"/>
  <c r="S656" i="31"/>
  <c r="T656" i="31" s="1"/>
  <c r="X656" i="31"/>
  <c r="Y656" i="31" s="1"/>
  <c r="Z656" i="31"/>
  <c r="S615" i="31"/>
  <c r="T615" i="31" s="1"/>
  <c r="Q57" i="33"/>
  <c r="R57" i="33" s="1"/>
  <c r="S640" i="31"/>
  <c r="T640" i="31" s="1"/>
  <c r="AD640" i="31"/>
  <c r="Z645" i="31"/>
  <c r="X645" i="31"/>
  <c r="Y645" i="31" s="1"/>
  <c r="AD645" i="31"/>
  <c r="X640" i="31"/>
  <c r="Y640" i="31" s="1"/>
  <c r="Z640" i="31"/>
  <c r="S613" i="31"/>
  <c r="T613" i="31" s="1"/>
  <c r="AD613" i="31"/>
  <c r="X613" i="31"/>
  <c r="Y613" i="31" s="1"/>
  <c r="Z613" i="31"/>
  <c r="I1184" i="35"/>
  <c r="M1205" i="35"/>
  <c r="L1205" i="35"/>
  <c r="L1197" i="35"/>
  <c r="I1205" i="35"/>
  <c r="H1205" i="35"/>
  <c r="M1184" i="35"/>
  <c r="L1193" i="35"/>
  <c r="L1203" i="35"/>
  <c r="H1203" i="35"/>
  <c r="H1197" i="35"/>
  <c r="H1195" i="35"/>
  <c r="L1187" i="35"/>
  <c r="L1195" i="35"/>
  <c r="S651" i="31"/>
  <c r="T651" i="31" s="1"/>
  <c r="H1193" i="35"/>
  <c r="Q168" i="33"/>
  <c r="Q171" i="33"/>
  <c r="R171" i="33" s="1"/>
  <c r="L1189" i="35"/>
  <c r="AD615" i="31"/>
  <c r="X615" i="31"/>
  <c r="Y615" i="31" s="1"/>
  <c r="Z615" i="31"/>
  <c r="S659" i="31"/>
  <c r="T659" i="31" s="1"/>
  <c r="Z651" i="31"/>
  <c r="X651" i="31"/>
  <c r="Y651" i="31" s="1"/>
  <c r="AD651" i="31"/>
  <c r="Q151" i="33"/>
  <c r="R151" i="33" s="1"/>
  <c r="L1191" i="35"/>
  <c r="H1191" i="35"/>
  <c r="S668" i="31"/>
  <c r="T668" i="31" s="1"/>
  <c r="AD668" i="31"/>
  <c r="AD659" i="31"/>
  <c r="X659" i="31"/>
  <c r="Y659" i="31" s="1"/>
  <c r="X668" i="31"/>
  <c r="Y668" i="31" s="1"/>
  <c r="Z668" i="31"/>
  <c r="Z659" i="31"/>
  <c r="Z620" i="31"/>
  <c r="S621" i="31"/>
  <c r="T621" i="31" s="1"/>
  <c r="H1189" i="35"/>
  <c r="H1187" i="35"/>
  <c r="L1184" i="35"/>
  <c r="H1184" i="35"/>
  <c r="Q154" i="33"/>
  <c r="R154" i="33" s="1"/>
  <c r="Q23" i="33"/>
  <c r="AD621" i="31"/>
  <c r="X620" i="31"/>
  <c r="Y620" i="31" s="1"/>
  <c r="X621" i="31"/>
  <c r="Y621" i="31" s="1"/>
  <c r="Z621" i="31"/>
  <c r="S612" i="31"/>
  <c r="T612" i="31" s="1"/>
  <c r="S620" i="31"/>
  <c r="T620" i="31" s="1"/>
  <c r="AD620" i="31"/>
  <c r="AD612" i="31"/>
  <c r="X612" i="31"/>
  <c r="Y612" i="31" s="1"/>
  <c r="Z612" i="31"/>
  <c r="AD778" i="31"/>
  <c r="S778" i="31"/>
  <c r="T778" i="31" s="1"/>
  <c r="X778" i="31"/>
  <c r="Y778" i="31" s="1"/>
  <c r="Z778" i="31"/>
  <c r="S644" i="31"/>
  <c r="T644" i="31" s="1"/>
  <c r="L1173" i="35"/>
  <c r="L1181" i="35"/>
  <c r="H1181" i="35"/>
  <c r="X644" i="31"/>
  <c r="Y644" i="31" s="1"/>
  <c r="Z644" i="31"/>
  <c r="S643" i="31"/>
  <c r="T643" i="31" s="1"/>
  <c r="AD644" i="31"/>
  <c r="H1176" i="35"/>
  <c r="L1176" i="35"/>
  <c r="L1174" i="35"/>
  <c r="AD643" i="31"/>
  <c r="X643" i="31"/>
  <c r="Y643" i="31" s="1"/>
  <c r="Z643" i="31"/>
  <c r="S616" i="31"/>
  <c r="T616" i="31" s="1"/>
  <c r="H1174" i="35"/>
  <c r="H1173" i="35"/>
  <c r="Q163" i="33"/>
  <c r="AD605" i="31"/>
  <c r="S606" i="31"/>
  <c r="T606" i="31" s="1"/>
  <c r="AD606" i="31"/>
  <c r="X605" i="31"/>
  <c r="Y605" i="31" s="1"/>
  <c r="X606" i="31"/>
  <c r="Y606" i="31" s="1"/>
  <c r="Z606" i="31"/>
  <c r="Z605" i="31"/>
  <c r="S605" i="31"/>
  <c r="T605" i="31" s="1"/>
  <c r="S633" i="31"/>
  <c r="T633" i="31" s="1"/>
  <c r="S638" i="31"/>
  <c r="T638" i="31" s="1"/>
  <c r="AD637" i="31"/>
  <c r="X633" i="31"/>
  <c r="Y633" i="31" s="1"/>
  <c r="Z633" i="31"/>
  <c r="L1167" i="35"/>
  <c r="H1167" i="35"/>
  <c r="L1146" i="35"/>
  <c r="AD616" i="31"/>
  <c r="AD633" i="31"/>
  <c r="X616" i="31"/>
  <c r="Y616" i="31" s="1"/>
  <c r="Z616" i="31"/>
  <c r="AD607" i="31"/>
  <c r="H1146" i="35"/>
  <c r="S571" i="33"/>
  <c r="AD638" i="31"/>
  <c r="Z638" i="31"/>
  <c r="X638" i="31"/>
  <c r="Y638" i="31" s="1"/>
  <c r="S637" i="31"/>
  <c r="T637" i="31" s="1"/>
  <c r="M571" i="33" s="1"/>
  <c r="J571" i="33"/>
  <c r="K571" i="33"/>
  <c r="Q571" i="33"/>
  <c r="X637" i="31"/>
  <c r="Y637" i="31" s="1"/>
  <c r="Z637" i="31"/>
  <c r="S607" i="31"/>
  <c r="T607" i="31" s="1"/>
  <c r="AD611" i="31"/>
  <c r="H1144" i="35"/>
  <c r="J570" i="33"/>
  <c r="K570" i="33"/>
  <c r="Q570" i="33"/>
  <c r="S570" i="33"/>
  <c r="X607" i="31"/>
  <c r="Y607" i="31" s="1"/>
  <c r="Z607" i="31"/>
  <c r="S655" i="31"/>
  <c r="T655" i="31" s="1"/>
  <c r="S611" i="31"/>
  <c r="T611" i="31" s="1"/>
  <c r="AD655" i="31"/>
  <c r="X655" i="31"/>
  <c r="Y655" i="31" s="1"/>
  <c r="Z655" i="31"/>
  <c r="X611" i="31"/>
  <c r="Y611" i="31" s="1"/>
  <c r="Z611" i="31"/>
  <c r="S559" i="31"/>
  <c r="T559" i="31" s="1"/>
  <c r="AD559" i="31"/>
  <c r="L1139" i="35"/>
  <c r="L1144" i="35"/>
  <c r="L1117" i="35"/>
  <c r="X559" i="31"/>
  <c r="Y559" i="31" s="1"/>
  <c r="Z559" i="31"/>
  <c r="M1140" i="35"/>
  <c r="Q175" i="33"/>
  <c r="R175" i="33" s="1"/>
  <c r="I1127" i="35"/>
  <c r="H1139" i="35"/>
  <c r="S628" i="31"/>
  <c r="T628" i="31" s="1"/>
  <c r="L1141" i="35"/>
  <c r="H1141" i="35"/>
  <c r="S627" i="31"/>
  <c r="T627" i="31" s="1"/>
  <c r="S632" i="31"/>
  <c r="T632" i="31" s="1"/>
  <c r="S631" i="31"/>
  <c r="T631" i="31" s="1"/>
  <c r="M1127" i="35"/>
  <c r="L1140" i="35"/>
  <c r="I1140" i="35"/>
  <c r="H1140" i="35"/>
  <c r="AD632" i="31"/>
  <c r="X632" i="31"/>
  <c r="Y632" i="31" s="1"/>
  <c r="Z632" i="31"/>
  <c r="S630" i="31"/>
  <c r="T630" i="31" s="1"/>
  <c r="X631" i="31"/>
  <c r="Y631" i="31" s="1"/>
  <c r="Z631" i="31"/>
  <c r="AD631" i="31"/>
  <c r="AD630" i="31"/>
  <c r="Q105" i="33"/>
  <c r="X630" i="31"/>
  <c r="Y630" i="31" s="1"/>
  <c r="S629" i="31"/>
  <c r="T629" i="31" s="1"/>
  <c r="Z630" i="31"/>
  <c r="AD629" i="31"/>
  <c r="X629" i="31"/>
  <c r="Y629" i="31" s="1"/>
  <c r="Z629" i="31"/>
  <c r="AD628" i="31"/>
  <c r="X628" i="31"/>
  <c r="Y628" i="31" s="1"/>
  <c r="Z628" i="31"/>
  <c r="S626" i="31"/>
  <c r="T626" i="31" s="1"/>
  <c r="X627" i="31"/>
  <c r="Y627" i="31" s="1"/>
  <c r="Z627" i="31"/>
  <c r="AD627" i="31"/>
  <c r="Z626" i="31"/>
  <c r="S625" i="31"/>
  <c r="T625" i="31" s="1"/>
  <c r="AD626" i="31"/>
  <c r="L1127" i="35"/>
  <c r="AD625" i="31"/>
  <c r="X626" i="31"/>
  <c r="Y626" i="31" s="1"/>
  <c r="X625" i="31"/>
  <c r="Y625" i="31" s="1"/>
  <c r="Z625" i="31"/>
  <c r="H1127" i="35"/>
  <c r="Q52" i="33"/>
  <c r="R52" i="33" s="1"/>
  <c r="S596" i="31"/>
  <c r="T596" i="31" s="1"/>
  <c r="AD595" i="31"/>
  <c r="S642" i="31"/>
  <c r="T642" i="31" s="1"/>
  <c r="AD596" i="31"/>
  <c r="Z595" i="31"/>
  <c r="X595" i="31"/>
  <c r="Y595" i="31" s="1"/>
  <c r="X596" i="31"/>
  <c r="Y596" i="31" s="1"/>
  <c r="Z596" i="31"/>
  <c r="S595" i="31"/>
  <c r="T595" i="31" s="1"/>
  <c r="S622" i="31"/>
  <c r="T622" i="31" s="1"/>
  <c r="M569" i="33" s="1"/>
  <c r="AD622" i="31"/>
  <c r="Z622" i="31"/>
  <c r="X622" i="31"/>
  <c r="Y622" i="31" s="1"/>
  <c r="J569" i="33"/>
  <c r="K569" i="33"/>
  <c r="Q569" i="33"/>
  <c r="S569" i="33"/>
  <c r="H1117" i="35"/>
  <c r="AD642" i="31"/>
  <c r="X642" i="31"/>
  <c r="Y642" i="31" s="1"/>
  <c r="Z642" i="31"/>
  <c r="Z641" i="31"/>
  <c r="S641" i="31"/>
  <c r="T641" i="31" s="1"/>
  <c r="AD641" i="31"/>
  <c r="X641" i="31"/>
  <c r="Y641" i="31" s="1"/>
  <c r="S619" i="31"/>
  <c r="T619" i="31" s="1"/>
  <c r="AD619" i="31"/>
  <c r="X619" i="31"/>
  <c r="Y619" i="31" s="1"/>
  <c r="Z619" i="31"/>
  <c r="S618" i="31"/>
  <c r="T618" i="31" s="1"/>
  <c r="AD618" i="31"/>
  <c r="X618" i="31"/>
  <c r="Y618" i="31" s="1"/>
  <c r="Z618" i="31"/>
  <c r="S617" i="31"/>
  <c r="T617" i="31" s="1"/>
  <c r="AD617" i="31"/>
  <c r="X617" i="31"/>
  <c r="Y617" i="31" s="1"/>
  <c r="Z617" i="31"/>
  <c r="M380" i="6"/>
  <c r="M367" i="6"/>
  <c r="K380" i="6"/>
  <c r="O380" i="6" s="1"/>
  <c r="M379" i="6"/>
  <c r="L380" i="6"/>
  <c r="L379" i="6"/>
  <c r="Q114" i="33"/>
  <c r="R114" i="33" s="1"/>
  <c r="S521" i="31"/>
  <c r="T521" i="31" s="1"/>
  <c r="S500" i="31"/>
  <c r="T500" i="31" s="1"/>
  <c r="L1085" i="35"/>
  <c r="L1093" i="35"/>
  <c r="L1101" i="35"/>
  <c r="H1102" i="35"/>
  <c r="L1102" i="35"/>
  <c r="AD521" i="31"/>
  <c r="X521" i="31"/>
  <c r="Y521" i="31" s="1"/>
  <c r="S609" i="31"/>
  <c r="T609" i="31" s="1"/>
  <c r="Z521" i="31"/>
  <c r="AD609" i="31"/>
  <c r="X609" i="31"/>
  <c r="Y609" i="31" s="1"/>
  <c r="Z609" i="31"/>
  <c r="Z500" i="31"/>
  <c r="AD500" i="31"/>
  <c r="AD623" i="31"/>
  <c r="S597" i="31"/>
  <c r="T597" i="31" s="1"/>
  <c r="X500" i="31"/>
  <c r="Y500" i="31" s="1"/>
  <c r="S598" i="31"/>
  <c r="T598" i="31" s="1"/>
  <c r="AD598" i="31"/>
  <c r="X598" i="31"/>
  <c r="Y598" i="31" s="1"/>
  <c r="Z598" i="31"/>
  <c r="S624" i="31"/>
  <c r="T624" i="31" s="1"/>
  <c r="X597" i="31"/>
  <c r="Y597" i="31" s="1"/>
  <c r="Z597" i="31"/>
  <c r="AD597" i="31"/>
  <c r="S603" i="31"/>
  <c r="T603" i="31" s="1"/>
  <c r="S623" i="31"/>
  <c r="T623" i="31" s="1"/>
  <c r="H1101" i="35"/>
  <c r="S568" i="33"/>
  <c r="AD624" i="31"/>
  <c r="X624" i="31"/>
  <c r="Y624" i="31" s="1"/>
  <c r="Z624" i="31"/>
  <c r="X623" i="31"/>
  <c r="Y623" i="31" s="1"/>
  <c r="Z623" i="31"/>
  <c r="S675" i="31"/>
  <c r="T675" i="31" s="1"/>
  <c r="AD675" i="31"/>
  <c r="X675" i="31"/>
  <c r="Y675" i="31" s="1"/>
  <c r="Z675" i="31"/>
  <c r="S527" i="31"/>
  <c r="T527" i="31" s="1"/>
  <c r="AD527" i="31"/>
  <c r="X527" i="31"/>
  <c r="Y527" i="31" s="1"/>
  <c r="Z527" i="31"/>
  <c r="AD523" i="31"/>
  <c r="S523" i="31"/>
  <c r="T523" i="31" s="1"/>
  <c r="M568" i="33" s="1"/>
  <c r="X523" i="31"/>
  <c r="Y523" i="31" s="1"/>
  <c r="J568" i="33"/>
  <c r="K568" i="33"/>
  <c r="Q568" i="33"/>
  <c r="B84" i="40" s="1"/>
  <c r="Z523" i="31"/>
  <c r="S588" i="31"/>
  <c r="T588" i="31" s="1"/>
  <c r="S635" i="31"/>
  <c r="T635" i="31" s="1"/>
  <c r="N379" i="6"/>
  <c r="N380" i="6"/>
  <c r="H1093" i="35"/>
  <c r="H1090" i="35"/>
  <c r="L1090" i="35"/>
  <c r="Q115" i="33"/>
  <c r="R115" i="33" s="1"/>
  <c r="H1085" i="35"/>
  <c r="AD603" i="31"/>
  <c r="AD588" i="31"/>
  <c r="X603" i="31"/>
  <c r="Y603" i="31" s="1"/>
  <c r="Z603" i="31"/>
  <c r="X588" i="31"/>
  <c r="Y588" i="31" s="1"/>
  <c r="Z588" i="31"/>
  <c r="S614" i="31"/>
  <c r="T614" i="31" s="1"/>
  <c r="AD614" i="31"/>
  <c r="AD635" i="31"/>
  <c r="X635" i="31"/>
  <c r="Y635" i="31" s="1"/>
  <c r="Z635" i="31"/>
  <c r="X614" i="31"/>
  <c r="Y614" i="31" s="1"/>
  <c r="Z614" i="31"/>
  <c r="S602" i="31"/>
  <c r="T602" i="31" s="1"/>
  <c r="S601" i="31"/>
  <c r="T601" i="31" s="1"/>
  <c r="AD602" i="31"/>
  <c r="X602" i="31"/>
  <c r="Y602" i="31" s="1"/>
  <c r="Z602" i="31"/>
  <c r="AD601" i="31"/>
  <c r="X601" i="31"/>
  <c r="Y601" i="31" s="1"/>
  <c r="Z601" i="31"/>
  <c r="S587" i="31"/>
  <c r="T587" i="31" s="1"/>
  <c r="AD587" i="31"/>
  <c r="X587" i="31"/>
  <c r="Y587" i="31" s="1"/>
  <c r="Z587" i="31"/>
  <c r="S666" i="31"/>
  <c r="T666" i="31" s="1"/>
  <c r="S599" i="31"/>
  <c r="T599" i="31" s="1"/>
  <c r="X599" i="31"/>
  <c r="Y599" i="31" s="1"/>
  <c r="Z599" i="31"/>
  <c r="AD599" i="31"/>
  <c r="S665" i="31"/>
  <c r="T665" i="31" s="1"/>
  <c r="AD665" i="31"/>
  <c r="AD666" i="31"/>
  <c r="X666" i="31"/>
  <c r="Y666" i="31" s="1"/>
  <c r="X665" i="31"/>
  <c r="Y665" i="31" s="1"/>
  <c r="Z666" i="31"/>
  <c r="Z665" i="31"/>
  <c r="S590" i="31"/>
  <c r="T590" i="31" s="1"/>
  <c r="S579" i="31"/>
  <c r="T579" i="31" s="1"/>
  <c r="AD592" i="31"/>
  <c r="S584" i="31"/>
  <c r="T584" i="31" s="1"/>
  <c r="AD584" i="31"/>
  <c r="AD579" i="31"/>
  <c r="X579" i="31"/>
  <c r="Y579" i="31" s="1"/>
  <c r="X584" i="31"/>
  <c r="Y584" i="31" s="1"/>
  <c r="Z584" i="31"/>
  <c r="Z579" i="31"/>
  <c r="S593" i="31"/>
  <c r="T593" i="31" s="1"/>
  <c r="S594" i="31"/>
  <c r="T594" i="31" s="1"/>
  <c r="AD594" i="31"/>
  <c r="AD593" i="31"/>
  <c r="X593" i="31"/>
  <c r="Y593" i="31" s="1"/>
  <c r="X594" i="31"/>
  <c r="Y594" i="31" s="1"/>
  <c r="Z594" i="31"/>
  <c r="AD591" i="31"/>
  <c r="S592" i="31"/>
  <c r="T592" i="31" s="1"/>
  <c r="Z593" i="31"/>
  <c r="Z610" i="31"/>
  <c r="S591" i="31"/>
  <c r="T591" i="31" s="1"/>
  <c r="X592" i="31"/>
  <c r="Y592" i="31" s="1"/>
  <c r="Z592" i="31"/>
  <c r="X591" i="31"/>
  <c r="Y591" i="31" s="1"/>
  <c r="Z591" i="31"/>
  <c r="AD589" i="31"/>
  <c r="S610" i="31"/>
  <c r="T610" i="31" s="1"/>
  <c r="AD590" i="31"/>
  <c r="X590" i="31"/>
  <c r="Y590" i="31" s="1"/>
  <c r="Z590" i="31"/>
  <c r="S589" i="31"/>
  <c r="T589" i="31" s="1"/>
  <c r="S600" i="31"/>
  <c r="T600" i="31" s="1"/>
  <c r="X589" i="31"/>
  <c r="Y589" i="31" s="1"/>
  <c r="Z589" i="31"/>
  <c r="X610" i="31"/>
  <c r="Y610" i="31" s="1"/>
  <c r="AD610" i="31"/>
  <c r="AD600" i="31"/>
  <c r="X600" i="31"/>
  <c r="Y600" i="31" s="1"/>
  <c r="Z600" i="31"/>
  <c r="S586" i="31"/>
  <c r="T586" i="31" s="1"/>
  <c r="AD586" i="31"/>
  <c r="X586" i="31"/>
  <c r="Y586" i="31" s="1"/>
  <c r="Z586" i="31"/>
  <c r="Z496" i="31"/>
  <c r="Q160" i="33"/>
  <c r="R160" i="33" s="1"/>
  <c r="S585" i="31"/>
  <c r="T585" i="31" s="1"/>
  <c r="X585" i="31"/>
  <c r="Y585" i="31" s="1"/>
  <c r="Z585" i="31"/>
  <c r="S496" i="31"/>
  <c r="T496" i="31" s="1"/>
  <c r="X496" i="31"/>
  <c r="Y496" i="31" s="1"/>
  <c r="AD496" i="31"/>
  <c r="S583" i="31"/>
  <c r="T583" i="31" s="1"/>
  <c r="AD583" i="31"/>
  <c r="X583" i="31"/>
  <c r="Y583" i="31" s="1"/>
  <c r="Z583" i="31"/>
  <c r="S582" i="31"/>
  <c r="T582" i="31" s="1"/>
  <c r="Z582" i="31"/>
  <c r="X582" i="31"/>
  <c r="Y582" i="31" s="1"/>
  <c r="AD582" i="31"/>
  <c r="S581" i="31"/>
  <c r="T581" i="31" s="1"/>
  <c r="S580" i="31"/>
  <c r="T580" i="31" s="1"/>
  <c r="X581" i="31"/>
  <c r="Y581" i="31" s="1"/>
  <c r="Z581" i="31"/>
  <c r="AD581" i="31"/>
  <c r="AD608" i="31"/>
  <c r="AD580" i="31"/>
  <c r="X580" i="31"/>
  <c r="Y580" i="31" s="1"/>
  <c r="Z580" i="31"/>
  <c r="S608" i="31"/>
  <c r="T608" i="31" s="1"/>
  <c r="X608" i="31"/>
  <c r="Y608" i="31" s="1"/>
  <c r="Z608" i="31"/>
  <c r="S577" i="31"/>
  <c r="T577" i="31" s="1"/>
  <c r="S578" i="31"/>
  <c r="T578" i="31" s="1"/>
  <c r="Z578" i="31"/>
  <c r="X578" i="31"/>
  <c r="Y578" i="31" s="1"/>
  <c r="AD578" i="31"/>
  <c r="AD577" i="31"/>
  <c r="X577" i="31"/>
  <c r="Y577" i="31" s="1"/>
  <c r="Z577" i="31"/>
  <c r="S576" i="31"/>
  <c r="T576" i="31" s="1"/>
  <c r="S604" i="31"/>
  <c r="T604" i="31" s="1"/>
  <c r="AD576" i="31"/>
  <c r="X576" i="31"/>
  <c r="Y576" i="31" s="1"/>
  <c r="Z576" i="31"/>
  <c r="S674" i="31"/>
  <c r="T674" i="31" s="1"/>
  <c r="AD674" i="31"/>
  <c r="X674" i="31"/>
  <c r="Y674" i="31" s="1"/>
  <c r="Z674" i="31"/>
  <c r="AD604" i="31"/>
  <c r="X604" i="31"/>
  <c r="Y604" i="31" s="1"/>
  <c r="Z604" i="31"/>
  <c r="S573" i="31"/>
  <c r="T573" i="31" s="1"/>
  <c r="S571" i="31"/>
  <c r="T571" i="31" s="1"/>
  <c r="L1060" i="35"/>
  <c r="AD573" i="31"/>
  <c r="X573" i="31"/>
  <c r="Y573" i="31" s="1"/>
  <c r="Z573" i="31"/>
  <c r="Z572" i="31"/>
  <c r="S572" i="31"/>
  <c r="T572" i="31" s="1"/>
  <c r="AD572" i="31"/>
  <c r="X572" i="31"/>
  <c r="Y572" i="31" s="1"/>
  <c r="S570" i="31"/>
  <c r="T570" i="31" s="1"/>
  <c r="AD571" i="31"/>
  <c r="X571" i="31"/>
  <c r="Y571" i="31" s="1"/>
  <c r="Z571" i="31"/>
  <c r="Z570" i="31"/>
  <c r="AD570" i="31"/>
  <c r="X570" i="31"/>
  <c r="Y570" i="31" s="1"/>
  <c r="S569" i="31"/>
  <c r="T569" i="31" s="1"/>
  <c r="H1060" i="35"/>
  <c r="AD569" i="31"/>
  <c r="X569" i="31"/>
  <c r="Y569" i="31" s="1"/>
  <c r="Z569" i="31"/>
  <c r="S567" i="31"/>
  <c r="T567" i="31" s="1"/>
  <c r="S568" i="31"/>
  <c r="T568" i="31" s="1"/>
  <c r="AD568" i="31"/>
  <c r="X568" i="31"/>
  <c r="Y568" i="31" s="1"/>
  <c r="Z568" i="31"/>
  <c r="S565" i="31"/>
  <c r="T565" i="31" s="1"/>
  <c r="Z567" i="31"/>
  <c r="AD566" i="31"/>
  <c r="X567" i="31"/>
  <c r="Y567" i="31" s="1"/>
  <c r="AD567" i="31"/>
  <c r="S566" i="31"/>
  <c r="T566" i="31" s="1"/>
  <c r="X566" i="31"/>
  <c r="Y566" i="31" s="1"/>
  <c r="Z566" i="31"/>
  <c r="S564" i="31"/>
  <c r="T564" i="31" s="1"/>
  <c r="S563" i="31"/>
  <c r="T563" i="31" s="1"/>
  <c r="AD565" i="31"/>
  <c r="AD564" i="31"/>
  <c r="X564" i="31"/>
  <c r="Y564" i="31" s="1"/>
  <c r="X565" i="31"/>
  <c r="Y565" i="31" s="1"/>
  <c r="Z565" i="31"/>
  <c r="Z564" i="31"/>
  <c r="AD563" i="31"/>
  <c r="Z563" i="31"/>
  <c r="X563" i="31"/>
  <c r="Y563" i="31" s="1"/>
  <c r="S561" i="31"/>
  <c r="T561" i="31" s="1"/>
  <c r="AD562" i="31"/>
  <c r="S562" i="31"/>
  <c r="T562" i="31" s="1"/>
  <c r="AD561" i="31"/>
  <c r="X561" i="31"/>
  <c r="Y561" i="31" s="1"/>
  <c r="X562" i="31"/>
  <c r="Y562" i="31" s="1"/>
  <c r="Z562" i="31"/>
  <c r="Z561" i="31"/>
  <c r="S558" i="31"/>
  <c r="T558" i="31" s="1"/>
  <c r="AD557" i="31"/>
  <c r="S557" i="31"/>
  <c r="T557" i="31" s="1"/>
  <c r="AD558" i="31"/>
  <c r="X558" i="31"/>
  <c r="Y558" i="31" s="1"/>
  <c r="Z558" i="31"/>
  <c r="X557" i="31"/>
  <c r="Y557" i="31" s="1"/>
  <c r="Z557" i="31"/>
  <c r="S556" i="31"/>
  <c r="T556" i="31" s="1"/>
  <c r="S555" i="31"/>
  <c r="T555" i="31" s="1"/>
  <c r="Z556" i="31"/>
  <c r="AD556" i="31"/>
  <c r="AD555" i="31"/>
  <c r="X556" i="31"/>
  <c r="Y556" i="31" s="1"/>
  <c r="X555" i="31"/>
  <c r="Y555" i="31" s="1"/>
  <c r="Z555" i="31"/>
  <c r="Q567" i="33"/>
  <c r="S553" i="31"/>
  <c r="T553" i="31" s="1"/>
  <c r="S554" i="31"/>
  <c r="T554" i="31" s="1"/>
  <c r="M567" i="33" s="1"/>
  <c r="J567" i="33"/>
  <c r="K567" i="33"/>
  <c r="S567" i="33"/>
  <c r="X554" i="31"/>
  <c r="Y554" i="31" s="1"/>
  <c r="Z553" i="31"/>
  <c r="Z554" i="31"/>
  <c r="AD554" i="31"/>
  <c r="AD553" i="31"/>
  <c r="X553" i="31"/>
  <c r="Y553" i="31" s="1"/>
  <c r="L367" i="6"/>
  <c r="Q155" i="33"/>
  <c r="R155" i="33" s="1"/>
  <c r="S550" i="31"/>
  <c r="T550" i="31" s="1"/>
  <c r="AD552" i="31"/>
  <c r="S552" i="31"/>
  <c r="T552" i="31" s="1"/>
  <c r="X552" i="31"/>
  <c r="Y552" i="31" s="1"/>
  <c r="Z552" i="31"/>
  <c r="AD550" i="31"/>
  <c r="S551" i="31"/>
  <c r="T551" i="31" s="1"/>
  <c r="AD551" i="31"/>
  <c r="X551" i="31"/>
  <c r="Y551" i="31" s="1"/>
  <c r="Z551" i="31"/>
  <c r="AD547" i="31"/>
  <c r="X550" i="31"/>
  <c r="Y550" i="31" s="1"/>
  <c r="Z550" i="31"/>
  <c r="S549" i="31"/>
  <c r="T549" i="31" s="1"/>
  <c r="S548" i="31"/>
  <c r="T548" i="31" s="1"/>
  <c r="AD549" i="31"/>
  <c r="X549" i="31"/>
  <c r="Y549" i="31" s="1"/>
  <c r="Z549" i="31"/>
  <c r="S547" i="31"/>
  <c r="T547" i="31" s="1"/>
  <c r="AD548" i="31"/>
  <c r="X548" i="31"/>
  <c r="Y548" i="31" s="1"/>
  <c r="Z548" i="31"/>
  <c r="Z547" i="31"/>
  <c r="X547" i="31"/>
  <c r="Y547" i="31" s="1"/>
  <c r="S544" i="31"/>
  <c r="T544" i="31" s="1"/>
  <c r="S546" i="31"/>
  <c r="T546" i="31" s="1"/>
  <c r="AD546" i="31"/>
  <c r="X546" i="31"/>
  <c r="Y546" i="31" s="1"/>
  <c r="Z546" i="31"/>
  <c r="S545" i="31"/>
  <c r="T545" i="31" s="1"/>
  <c r="Q566" i="33"/>
  <c r="X545" i="31"/>
  <c r="Y545" i="31" s="1"/>
  <c r="Z545" i="31"/>
  <c r="AD545" i="31"/>
  <c r="AD544" i="31"/>
  <c r="X544" i="31"/>
  <c r="Y544" i="31" s="1"/>
  <c r="Z544" i="31"/>
  <c r="S543" i="31"/>
  <c r="T543" i="31" s="1"/>
  <c r="S542" i="31"/>
  <c r="T542" i="31" s="1"/>
  <c r="AD543" i="31"/>
  <c r="AD542" i="31"/>
  <c r="X542" i="31"/>
  <c r="Y542" i="31" s="1"/>
  <c r="X543" i="31"/>
  <c r="Y543" i="31" s="1"/>
  <c r="Z543" i="31"/>
  <c r="Z542" i="31"/>
  <c r="S540" i="31"/>
  <c r="T540" i="31" s="1"/>
  <c r="S541" i="31"/>
  <c r="T541" i="31" s="1"/>
  <c r="X541" i="31"/>
  <c r="Y541" i="31" s="1"/>
  <c r="Z541" i="31"/>
  <c r="AD541" i="31"/>
  <c r="AD540" i="31"/>
  <c r="S566" i="33"/>
  <c r="J566" i="33"/>
  <c r="K566" i="33"/>
  <c r="X540" i="31"/>
  <c r="Y540" i="31" s="1"/>
  <c r="S539" i="31"/>
  <c r="T539" i="31" s="1"/>
  <c r="Z540" i="31"/>
  <c r="S538" i="31"/>
  <c r="T538" i="31" s="1"/>
  <c r="AD539" i="31"/>
  <c r="Q565" i="33"/>
  <c r="X539" i="31"/>
  <c r="Y539" i="31" s="1"/>
  <c r="Z539" i="31"/>
  <c r="AD538" i="31"/>
  <c r="X538" i="31"/>
  <c r="Y538" i="31" s="1"/>
  <c r="Z538" i="31"/>
  <c r="S536" i="31"/>
  <c r="T536" i="31" s="1"/>
  <c r="S535" i="31"/>
  <c r="T535" i="31" s="1"/>
  <c r="S537" i="31"/>
  <c r="T537" i="31" s="1"/>
  <c r="Z537" i="31"/>
  <c r="X537" i="31"/>
  <c r="Y537" i="31" s="1"/>
  <c r="AD537" i="31"/>
  <c r="AD535" i="31"/>
  <c r="S534" i="31"/>
  <c r="T534" i="31" s="1"/>
  <c r="AD536" i="31"/>
  <c r="Z535" i="31"/>
  <c r="X535" i="31"/>
  <c r="Y535" i="31" s="1"/>
  <c r="X536" i="31"/>
  <c r="Y536" i="31" s="1"/>
  <c r="Z536" i="31"/>
  <c r="X534" i="31"/>
  <c r="Y534" i="31" s="1"/>
  <c r="Z534" i="31"/>
  <c r="AD534" i="31"/>
  <c r="S533" i="31"/>
  <c r="T533" i="31" s="1"/>
  <c r="AD673" i="31"/>
  <c r="X533" i="31"/>
  <c r="Y533" i="31" s="1"/>
  <c r="Z533" i="31"/>
  <c r="AD533" i="31"/>
  <c r="S673" i="31"/>
  <c r="T673" i="31" s="1"/>
  <c r="Z673" i="31"/>
  <c r="X673" i="31"/>
  <c r="Y673" i="31" s="1"/>
  <c r="H364" i="6"/>
  <c r="J364" i="6" s="1"/>
  <c r="I364" i="6"/>
  <c r="K364" i="6" s="1"/>
  <c r="U364" i="6"/>
  <c r="C1041" i="35" a="1"/>
  <c r="C1041" i="35" s="1"/>
  <c r="F1041" i="35"/>
  <c r="H1172" i="35" s="1"/>
  <c r="J1041" i="35"/>
  <c r="L1172" i="35" s="1"/>
  <c r="Q1041" i="35"/>
  <c r="B564" i="33" a="1"/>
  <c r="B564" i="33" s="1"/>
  <c r="E564" i="33" a="1"/>
  <c r="E564" i="33" s="1"/>
  <c r="F564" i="33" a="1"/>
  <c r="F564" i="33" s="1"/>
  <c r="G564" i="33" a="1"/>
  <c r="G564" i="33" s="1"/>
  <c r="L564" i="33" a="1"/>
  <c r="L564" i="33" s="1"/>
  <c r="M564" i="33"/>
  <c r="N564" i="33"/>
  <c r="P564" i="33"/>
  <c r="C1040" i="35" a="1"/>
  <c r="C1040" i="35" s="1"/>
  <c r="F1040" i="35"/>
  <c r="H1555" i="35" s="1"/>
  <c r="J1040" i="35"/>
  <c r="L1555" i="35" s="1"/>
  <c r="Q1040" i="35"/>
  <c r="B176" i="33" a="1"/>
  <c r="B176" i="33" s="1"/>
  <c r="E176" i="33" a="1"/>
  <c r="E176" i="33" s="1"/>
  <c r="F176" i="33" a="1"/>
  <c r="F176" i="33" s="1"/>
  <c r="G176" i="33" a="1"/>
  <c r="G176" i="33" s="1"/>
  <c r="L176" i="33" a="1"/>
  <c r="L176" i="33" s="1"/>
  <c r="M176" i="33"/>
  <c r="N176" i="33"/>
  <c r="P176" i="33"/>
  <c r="C1039" i="35" a="1"/>
  <c r="C1039" i="35" s="1"/>
  <c r="F1039" i="35"/>
  <c r="G1039" i="35" s="1"/>
  <c r="J1039" i="35"/>
  <c r="K1039" i="35" s="1"/>
  <c r="Q1039" i="35"/>
  <c r="C531" i="31" a="1"/>
  <c r="C531" i="31" s="1"/>
  <c r="D531" i="31" a="1"/>
  <c r="D531" i="31" s="1"/>
  <c r="L531" i="31"/>
  <c r="Q531" i="31"/>
  <c r="R531" i="31"/>
  <c r="U531" i="31"/>
  <c r="V531" i="31"/>
  <c r="W531" i="31"/>
  <c r="AB531" i="31"/>
  <c r="AC531" i="31"/>
  <c r="AF531" i="31"/>
  <c r="C530" i="31" a="1"/>
  <c r="C530" i="31" s="1"/>
  <c r="D530" i="31" a="1"/>
  <c r="D530" i="31" s="1"/>
  <c r="L530" i="31"/>
  <c r="Q530" i="31"/>
  <c r="R530" i="31"/>
  <c r="U530" i="31"/>
  <c r="V530" i="31"/>
  <c r="W530" i="31"/>
  <c r="AB530" i="31"/>
  <c r="AC530" i="31"/>
  <c r="AF530" i="31"/>
  <c r="C529" i="31" a="1"/>
  <c r="C529" i="31" s="1"/>
  <c r="D529" i="31" a="1"/>
  <c r="D529" i="31" s="1"/>
  <c r="L529" i="31"/>
  <c r="Q529" i="31"/>
  <c r="R529" i="31"/>
  <c r="U529" i="31"/>
  <c r="V529" i="31"/>
  <c r="W529" i="31"/>
  <c r="AB529" i="31"/>
  <c r="AC529" i="31"/>
  <c r="AF529" i="31"/>
  <c r="H363" i="6"/>
  <c r="J363" i="6" s="1"/>
  <c r="N363" i="6" s="1"/>
  <c r="I363" i="6"/>
  <c r="K363" i="6" s="1"/>
  <c r="O363" i="6" s="1"/>
  <c r="U363" i="6"/>
  <c r="C1038" i="35" a="1"/>
  <c r="C1038" i="35" s="1"/>
  <c r="F1038" i="35"/>
  <c r="G1038" i="35" s="1"/>
  <c r="J1038" i="35"/>
  <c r="K1038" i="35" s="1"/>
  <c r="Q1038" i="35"/>
  <c r="C528" i="31" a="1"/>
  <c r="C528" i="31" s="1"/>
  <c r="D528" i="31" a="1"/>
  <c r="D528" i="31" s="1"/>
  <c r="L528" i="31"/>
  <c r="Q528" i="31"/>
  <c r="R528" i="31"/>
  <c r="U528" i="31"/>
  <c r="V528" i="31"/>
  <c r="W528" i="31"/>
  <c r="AB528" i="31"/>
  <c r="AC528" i="31"/>
  <c r="AF528" i="31"/>
  <c r="H362" i="6"/>
  <c r="J362" i="6" s="1"/>
  <c r="I362" i="6"/>
  <c r="K362" i="6" s="1"/>
  <c r="U362" i="6"/>
  <c r="C1037" i="35" a="1"/>
  <c r="C1037" i="35" s="1"/>
  <c r="F1037" i="35"/>
  <c r="G1037" i="35" s="1"/>
  <c r="J1037" i="35"/>
  <c r="K1037" i="35" s="1"/>
  <c r="Q1037" i="35"/>
  <c r="C1036" i="35" a="1"/>
  <c r="C1036" i="35" s="1"/>
  <c r="F1036" i="35"/>
  <c r="G1036" i="35" s="1"/>
  <c r="J1036" i="35"/>
  <c r="K1036" i="35" s="1"/>
  <c r="Q1036" i="35"/>
  <c r="H361" i="6"/>
  <c r="J361" i="6" s="1"/>
  <c r="I361" i="6"/>
  <c r="K361" i="6" s="1"/>
  <c r="U361" i="6"/>
  <c r="H360" i="6"/>
  <c r="J360" i="6" s="1"/>
  <c r="I360" i="6"/>
  <c r="K360" i="6" s="1"/>
  <c r="U360" i="6"/>
  <c r="C1035" i="35" a="1"/>
  <c r="C1035" i="35" s="1"/>
  <c r="F1035" i="35"/>
  <c r="G1035" i="35" s="1"/>
  <c r="J1035" i="35"/>
  <c r="K1035" i="35" s="1"/>
  <c r="Q1035" i="35"/>
  <c r="P2059" i="35" l="1"/>
  <c r="P2052" i="35"/>
  <c r="P2044" i="35"/>
  <c r="P2021" i="35"/>
  <c r="P2040" i="35"/>
  <c r="P2015" i="35"/>
  <c r="O1962" i="35"/>
  <c r="K59" i="33"/>
  <c r="S59" i="33"/>
  <c r="N1962" i="35"/>
  <c r="P2000" i="35"/>
  <c r="T437" i="6"/>
  <c r="D112" i="36" s="1"/>
  <c r="S452" i="6"/>
  <c r="O379" i="6"/>
  <c r="Q379" i="6" s="1"/>
  <c r="T436" i="6"/>
  <c r="P1948" i="35"/>
  <c r="P1854" i="35"/>
  <c r="P1939" i="35"/>
  <c r="P1945" i="35"/>
  <c r="P1941" i="35"/>
  <c r="P1915" i="35"/>
  <c r="P1935" i="35"/>
  <c r="T439" i="6"/>
  <c r="T440" i="6"/>
  <c r="P1914" i="35"/>
  <c r="P1916" i="35"/>
  <c r="P1913" i="35"/>
  <c r="P1904" i="35"/>
  <c r="P1857" i="35"/>
  <c r="N1871" i="35"/>
  <c r="P1897" i="35"/>
  <c r="P1868" i="35"/>
  <c r="O1871" i="35"/>
  <c r="T444" i="6"/>
  <c r="P1860" i="35"/>
  <c r="P1861" i="35"/>
  <c r="P1853" i="35"/>
  <c r="P1419" i="35"/>
  <c r="I127" i="33" s="1"/>
  <c r="J127" i="33"/>
  <c r="S127" i="33"/>
  <c r="K127" i="33"/>
  <c r="P1850" i="35"/>
  <c r="P1848" i="35"/>
  <c r="O1812" i="35"/>
  <c r="P1822" i="35"/>
  <c r="M1804" i="35"/>
  <c r="N1804" i="35" s="1"/>
  <c r="M1834" i="35"/>
  <c r="N1834" i="35" s="1"/>
  <c r="I1804" i="35"/>
  <c r="O1804" i="35" s="1"/>
  <c r="I1834" i="35"/>
  <c r="O1834" i="35" s="1"/>
  <c r="N1812" i="35"/>
  <c r="P1815" i="35"/>
  <c r="P1817" i="35"/>
  <c r="S439" i="6"/>
  <c r="T446" i="6"/>
  <c r="T438" i="6"/>
  <c r="S444" i="6"/>
  <c r="P1811" i="35"/>
  <c r="P1796" i="35"/>
  <c r="P1795" i="35"/>
  <c r="P1803" i="35"/>
  <c r="O1777" i="35"/>
  <c r="P1789" i="35"/>
  <c r="S440" i="6"/>
  <c r="S438" i="6"/>
  <c r="S446" i="6"/>
  <c r="P1794" i="35"/>
  <c r="P1790" i="35"/>
  <c r="P1781" i="35"/>
  <c r="N1777" i="35"/>
  <c r="P1779" i="35"/>
  <c r="P1780" i="35"/>
  <c r="I1763" i="35"/>
  <c r="O1763" i="35" s="1"/>
  <c r="I1778" i="35"/>
  <c r="O1778" i="35" s="1"/>
  <c r="M1763" i="35"/>
  <c r="N1763" i="35" s="1"/>
  <c r="M1778" i="35"/>
  <c r="N1778" i="35" s="1"/>
  <c r="R588" i="33"/>
  <c r="P1767" i="35"/>
  <c r="I1101" i="35"/>
  <c r="O1101" i="35" s="1"/>
  <c r="I1762" i="35"/>
  <c r="O1762" i="35" s="1"/>
  <c r="M1101" i="35"/>
  <c r="N1101" i="35" s="1"/>
  <c r="M1762" i="35"/>
  <c r="N1762" i="35" s="1"/>
  <c r="P1732" i="35"/>
  <c r="P1760" i="35"/>
  <c r="I1590" i="35"/>
  <c r="O1590" i="35" s="1"/>
  <c r="I1758" i="35"/>
  <c r="O1758" i="35" s="1"/>
  <c r="M1590" i="35"/>
  <c r="N1590" i="35" s="1"/>
  <c r="M1758" i="35"/>
  <c r="N1758" i="35" s="1"/>
  <c r="P1755" i="35"/>
  <c r="P1747" i="35"/>
  <c r="P1748" i="35"/>
  <c r="P1603" i="35"/>
  <c r="I71" i="33" s="1"/>
  <c r="S71" i="33"/>
  <c r="J71" i="33"/>
  <c r="K71" i="33"/>
  <c r="I1646" i="35"/>
  <c r="O1646" i="35" s="1"/>
  <c r="I1745" i="35"/>
  <c r="O1745" i="35" s="1"/>
  <c r="M1646" i="35"/>
  <c r="N1646" i="35" s="1"/>
  <c r="M1745" i="35"/>
  <c r="N1745" i="35" s="1"/>
  <c r="P1741" i="35"/>
  <c r="P1737" i="35"/>
  <c r="P1717" i="35"/>
  <c r="P1731" i="35"/>
  <c r="R105" i="33"/>
  <c r="M1693" i="35"/>
  <c r="N1693" i="35" s="1"/>
  <c r="M1721" i="35"/>
  <c r="N1721" i="35" s="1"/>
  <c r="I1693" i="35"/>
  <c r="O1693" i="35" s="1"/>
  <c r="I1721" i="35"/>
  <c r="O1721" i="35" s="1"/>
  <c r="P1719" i="35"/>
  <c r="P1718" i="35"/>
  <c r="P1714" i="35"/>
  <c r="P1687" i="35"/>
  <c r="P1685" i="35"/>
  <c r="P1712" i="35"/>
  <c r="P1706" i="35"/>
  <c r="I1211" i="35"/>
  <c r="O1211" i="35" s="1"/>
  <c r="I1709" i="35"/>
  <c r="O1709" i="35" s="1"/>
  <c r="M1211" i="35"/>
  <c r="N1211" i="35" s="1"/>
  <c r="M1709" i="35"/>
  <c r="N1709" i="35" s="1"/>
  <c r="P1705" i="35"/>
  <c r="P1696" i="35"/>
  <c r="I595" i="33" s="1"/>
  <c r="S595" i="33"/>
  <c r="K595" i="33"/>
  <c r="N1653" i="35"/>
  <c r="P1697" i="35"/>
  <c r="P1560" i="35"/>
  <c r="I117" i="33" s="1"/>
  <c r="P1695" i="35"/>
  <c r="S117" i="33"/>
  <c r="J117" i="33"/>
  <c r="K117" i="33"/>
  <c r="P1681" i="35"/>
  <c r="S121" i="33"/>
  <c r="P1674" i="35"/>
  <c r="K121" i="33"/>
  <c r="P1477" i="35"/>
  <c r="I121" i="33" s="1"/>
  <c r="P1670" i="35"/>
  <c r="P1668" i="35"/>
  <c r="P1520" i="35"/>
  <c r="I120" i="33" s="1"/>
  <c r="P1669" i="35"/>
  <c r="S120" i="33"/>
  <c r="K120" i="33"/>
  <c r="J120" i="33"/>
  <c r="P1666" i="35"/>
  <c r="P1667" i="35"/>
  <c r="P1617" i="35"/>
  <c r="P1564" i="35"/>
  <c r="P1664" i="35"/>
  <c r="P1537" i="35"/>
  <c r="P1660" i="35"/>
  <c r="P1654" i="35"/>
  <c r="P1657" i="35"/>
  <c r="N1611" i="35"/>
  <c r="I1222" i="35"/>
  <c r="O1222" i="35" s="1"/>
  <c r="I1653" i="35"/>
  <c r="O1653" i="35" s="1"/>
  <c r="O1611" i="35"/>
  <c r="P1651" i="35"/>
  <c r="P1624" i="35"/>
  <c r="P1582" i="35"/>
  <c r="P1483" i="35"/>
  <c r="P1595" i="35"/>
  <c r="I116" i="33" s="1"/>
  <c r="S116" i="33"/>
  <c r="K116" i="33"/>
  <c r="J116" i="33"/>
  <c r="P1650" i="35"/>
  <c r="P1476" i="35"/>
  <c r="I79" i="33" s="1"/>
  <c r="P1645" i="35"/>
  <c r="P1647" i="35"/>
  <c r="P1641" i="35"/>
  <c r="P1637" i="35"/>
  <c r="P1594" i="35"/>
  <c r="P1631" i="35"/>
  <c r="I1331" i="35"/>
  <c r="O1331" i="35" s="1"/>
  <c r="P1409" i="35"/>
  <c r="I88" i="33" s="1"/>
  <c r="P1635" i="35"/>
  <c r="P1634" i="35"/>
  <c r="J88" i="33"/>
  <c r="K88" i="33"/>
  <c r="S88" i="33"/>
  <c r="I1462" i="35"/>
  <c r="O1462" i="35" s="1"/>
  <c r="I1629" i="35"/>
  <c r="O1629" i="35" s="1"/>
  <c r="M1462" i="35"/>
  <c r="N1462" i="35" s="1"/>
  <c r="M1629" i="35"/>
  <c r="N1629" i="35" s="1"/>
  <c r="P1612" i="35"/>
  <c r="I1102" i="35"/>
  <c r="O1102" i="35" s="1"/>
  <c r="P1626" i="35"/>
  <c r="P1614" i="35"/>
  <c r="P1613" i="35"/>
  <c r="P1619" i="35"/>
  <c r="P1620" i="35"/>
  <c r="P1561" i="35"/>
  <c r="I128" i="33" s="1"/>
  <c r="P1621" i="35"/>
  <c r="P1615" i="35"/>
  <c r="M1093" i="35"/>
  <c r="N1093" i="35" s="1"/>
  <c r="M1618" i="35"/>
  <c r="N1618" i="35" s="1"/>
  <c r="I1141" i="35"/>
  <c r="O1141" i="35" s="1"/>
  <c r="I1618" i="35"/>
  <c r="O1618" i="35" s="1"/>
  <c r="K128" i="33"/>
  <c r="J128" i="33"/>
  <c r="P1597" i="35"/>
  <c r="I45" i="33" s="1"/>
  <c r="K45" i="33"/>
  <c r="J45" i="33"/>
  <c r="P1583" i="35"/>
  <c r="I1093" i="35"/>
  <c r="O1093" i="35" s="1"/>
  <c r="H115" i="33" s="1"/>
  <c r="J115" i="33" s="1"/>
  <c r="P1473" i="35"/>
  <c r="I585" i="33" s="1"/>
  <c r="I1225" i="35"/>
  <c r="O1225" i="35" s="1"/>
  <c r="P1584" i="35"/>
  <c r="T435" i="6"/>
  <c r="S436" i="6"/>
  <c r="S435" i="6"/>
  <c r="P397" i="6"/>
  <c r="R409" i="6"/>
  <c r="R397" i="6"/>
  <c r="P409" i="6"/>
  <c r="P1602" i="35"/>
  <c r="P1513" i="35"/>
  <c r="I588" i="33" s="1"/>
  <c r="P1600" i="35"/>
  <c r="P1598" i="35"/>
  <c r="M1591" i="35"/>
  <c r="N1591" i="35" s="1"/>
  <c r="M1601" i="35"/>
  <c r="N1601" i="35" s="1"/>
  <c r="I1591" i="35"/>
  <c r="O1591" i="35" s="1"/>
  <c r="I1601" i="35"/>
  <c r="O1601" i="35" s="1"/>
  <c r="J585" i="33"/>
  <c r="K585" i="33"/>
  <c r="K131" i="33"/>
  <c r="P1441" i="35"/>
  <c r="I131" i="33" s="1"/>
  <c r="P1574" i="35"/>
  <c r="J131" i="33"/>
  <c r="K588" i="33"/>
  <c r="M1331" i="35"/>
  <c r="N1331" i="35" s="1"/>
  <c r="M1102" i="35"/>
  <c r="N1102" i="35" s="1"/>
  <c r="F35" i="40"/>
  <c r="J588" i="33"/>
  <c r="P1589" i="35"/>
  <c r="P1533" i="35"/>
  <c r="P1585" i="35"/>
  <c r="P1547" i="35"/>
  <c r="P1577" i="35"/>
  <c r="P1570" i="35"/>
  <c r="P1568" i="35"/>
  <c r="P1556" i="35"/>
  <c r="I1294" i="35"/>
  <c r="O1294" i="35" s="1"/>
  <c r="I1214" i="35"/>
  <c r="O1214" i="35" s="1"/>
  <c r="H202" i="33" s="1"/>
  <c r="J202" i="33" s="1"/>
  <c r="O367" i="6"/>
  <c r="Q367" i="6" s="1"/>
  <c r="O416" i="6"/>
  <c r="Q416" i="6" s="1"/>
  <c r="O409" i="6"/>
  <c r="Q409" i="6" s="1"/>
  <c r="R416" i="6"/>
  <c r="O397" i="6"/>
  <c r="Q397" i="6" s="1"/>
  <c r="N367" i="6"/>
  <c r="P367" i="6" s="1"/>
  <c r="N416" i="6"/>
  <c r="P416" i="6" s="1"/>
  <c r="M1225" i="35"/>
  <c r="N1225" i="35" s="1"/>
  <c r="M1316" i="35"/>
  <c r="N1316" i="35" s="1"/>
  <c r="M1214" i="35"/>
  <c r="N1214" i="35" s="1"/>
  <c r="M1536" i="35"/>
  <c r="N1536" i="35" s="1"/>
  <c r="M1565" i="35"/>
  <c r="N1565" i="35" s="1"/>
  <c r="I1536" i="35"/>
  <c r="O1536" i="35" s="1"/>
  <c r="I1565" i="35"/>
  <c r="O1565" i="35" s="1"/>
  <c r="M1141" i="35"/>
  <c r="N1141" i="35" s="1"/>
  <c r="M1294" i="35"/>
  <c r="N1294" i="35" s="1"/>
  <c r="M1222" i="35"/>
  <c r="N1222" i="35" s="1"/>
  <c r="P1558" i="35"/>
  <c r="P1550" i="35"/>
  <c r="R578" i="33"/>
  <c r="P1551" i="35"/>
  <c r="F48" i="40"/>
  <c r="P1544" i="35"/>
  <c r="I601" i="33" s="1"/>
  <c r="P1498" i="35"/>
  <c r="J601" i="33"/>
  <c r="K601" i="33"/>
  <c r="P1542" i="35"/>
  <c r="M1428" i="35"/>
  <c r="N1428" i="35" s="1"/>
  <c r="M1546" i="35"/>
  <c r="N1546" i="35" s="1"/>
  <c r="I1428" i="35"/>
  <c r="O1428" i="35" s="1"/>
  <c r="I1546" i="35"/>
  <c r="O1546" i="35" s="1"/>
  <c r="P1525" i="35"/>
  <c r="F46" i="40"/>
  <c r="P1414" i="35"/>
  <c r="P1494" i="35"/>
  <c r="N589" i="33"/>
  <c r="R589" i="33" s="1"/>
  <c r="I1316" i="35"/>
  <c r="O1316" i="35" s="1"/>
  <c r="I1490" i="35"/>
  <c r="O1490" i="35" s="1"/>
  <c r="I1539" i="35"/>
  <c r="O1539" i="35" s="1"/>
  <c r="M1490" i="35"/>
  <c r="N1490" i="35" s="1"/>
  <c r="M1539" i="35"/>
  <c r="N1539" i="35" s="1"/>
  <c r="P1534" i="35"/>
  <c r="M1391" i="35"/>
  <c r="N1391" i="35" s="1"/>
  <c r="M1535" i="35"/>
  <c r="N1535" i="35" s="1"/>
  <c r="I1391" i="35"/>
  <c r="O1391" i="35" s="1"/>
  <c r="I1535" i="35"/>
  <c r="O1535" i="35" s="1"/>
  <c r="M1530" i="35"/>
  <c r="N1530" i="35" s="1"/>
  <c r="M1531" i="35"/>
  <c r="N1531" i="35" s="1"/>
  <c r="I1530" i="35"/>
  <c r="O1530" i="35" s="1"/>
  <c r="I1531" i="35"/>
  <c r="O1531" i="35" s="1"/>
  <c r="P1529" i="35"/>
  <c r="M1431" i="35"/>
  <c r="N1431" i="35" s="1"/>
  <c r="M1528" i="35"/>
  <c r="N1528" i="35" s="1"/>
  <c r="I1431" i="35"/>
  <c r="O1431" i="35" s="1"/>
  <c r="I1528" i="35"/>
  <c r="O1528" i="35" s="1"/>
  <c r="M1526" i="35"/>
  <c r="N1526" i="35" s="1"/>
  <c r="M1527" i="35"/>
  <c r="N1527" i="35" s="1"/>
  <c r="I1526" i="35"/>
  <c r="O1526" i="35" s="1"/>
  <c r="I1527" i="35"/>
  <c r="O1527" i="35" s="1"/>
  <c r="P1523" i="35"/>
  <c r="P1521" i="35"/>
  <c r="M1502" i="35"/>
  <c r="N1502" i="35" s="1"/>
  <c r="M1524" i="35"/>
  <c r="N1524" i="35" s="1"/>
  <c r="I1502" i="35"/>
  <c r="O1502" i="35" s="1"/>
  <c r="I1524" i="35"/>
  <c r="O1524" i="35" s="1"/>
  <c r="O1522" i="35"/>
  <c r="N1522" i="35"/>
  <c r="I1323" i="35"/>
  <c r="O1323" i="35" s="1"/>
  <c r="I1418" i="35"/>
  <c r="O1418" i="35" s="1"/>
  <c r="I1518" i="35"/>
  <c r="O1518" i="35" s="1"/>
  <c r="M1418" i="35"/>
  <c r="N1418" i="35" s="1"/>
  <c r="M1518" i="35"/>
  <c r="N1518" i="35" s="1"/>
  <c r="I1146" i="35"/>
  <c r="O1146" i="35" s="1"/>
  <c r="H171" i="33" s="1"/>
  <c r="I1515" i="35"/>
  <c r="O1515" i="35" s="1"/>
  <c r="M1146" i="35"/>
  <c r="N1146" i="35" s="1"/>
  <c r="M1515" i="35"/>
  <c r="N1515" i="35" s="1"/>
  <c r="G27" i="34"/>
  <c r="P1398" i="35"/>
  <c r="I581" i="33" s="1"/>
  <c r="M1321" i="35"/>
  <c r="N1321" i="35" s="1"/>
  <c r="P1482" i="35"/>
  <c r="I112" i="33" s="1"/>
  <c r="M1499" i="35"/>
  <c r="N1499" i="35" s="1"/>
  <c r="M1507" i="35"/>
  <c r="N1507" i="35" s="1"/>
  <c r="I1499" i="35"/>
  <c r="O1499" i="35" s="1"/>
  <c r="I1507" i="35"/>
  <c r="O1507" i="35" s="1"/>
  <c r="K112" i="33"/>
  <c r="S112" i="33"/>
  <c r="K581" i="33"/>
  <c r="J581" i="33"/>
  <c r="P1491" i="35"/>
  <c r="P1487" i="35"/>
  <c r="I36" i="33" s="1"/>
  <c r="J36" i="33"/>
  <c r="K36" i="33"/>
  <c r="I1360" i="35"/>
  <c r="O1360" i="35" s="1"/>
  <c r="I1486" i="35"/>
  <c r="O1486" i="35" s="1"/>
  <c r="M1360" i="35"/>
  <c r="N1360" i="35" s="1"/>
  <c r="M1486" i="35"/>
  <c r="N1486" i="35" s="1"/>
  <c r="F90" i="40"/>
  <c r="N67" i="33"/>
  <c r="E55" i="40" s="1"/>
  <c r="F55" i="40" s="1"/>
  <c r="R586" i="33"/>
  <c r="I1173" i="35"/>
  <c r="O1173" i="35" s="1"/>
  <c r="H23" i="33" s="1"/>
  <c r="J23" i="33" s="1"/>
  <c r="P1478" i="35"/>
  <c r="M1174" i="35"/>
  <c r="N1174" i="35" s="1"/>
  <c r="J79" i="33"/>
  <c r="K79" i="33"/>
  <c r="S79" i="33"/>
  <c r="P1463" i="35"/>
  <c r="M1249" i="35"/>
  <c r="N1249" i="35" s="1"/>
  <c r="P1447" i="35"/>
  <c r="P1443" i="35"/>
  <c r="I584" i="33" s="1"/>
  <c r="P1467" i="35"/>
  <c r="P1421" i="35"/>
  <c r="I583" i="33" s="1"/>
  <c r="P1435" i="35"/>
  <c r="I38" i="33" s="1"/>
  <c r="M1173" i="35"/>
  <c r="N1173" i="35" s="1"/>
  <c r="J584" i="33"/>
  <c r="K584" i="33"/>
  <c r="P1469" i="35"/>
  <c r="M1240" i="35"/>
  <c r="N1240" i="35" s="1"/>
  <c r="M1252" i="35"/>
  <c r="N1252" i="35" s="1"/>
  <c r="P1452" i="35"/>
  <c r="P1454" i="35"/>
  <c r="J38" i="33"/>
  <c r="K38" i="33"/>
  <c r="I1174" i="35"/>
  <c r="O1174" i="35" s="1"/>
  <c r="P1384" i="35"/>
  <c r="I580" i="33" s="1"/>
  <c r="M1176" i="35"/>
  <c r="N1176" i="35" s="1"/>
  <c r="P1422" i="35"/>
  <c r="J580" i="33"/>
  <c r="K580" i="33"/>
  <c r="P1460" i="35"/>
  <c r="M1356" i="35"/>
  <c r="N1356" i="35" s="1"/>
  <c r="M1457" i="35"/>
  <c r="N1457" i="35" s="1"/>
  <c r="P1373" i="35"/>
  <c r="I579" i="33" s="1"/>
  <c r="I1356" i="35"/>
  <c r="O1356" i="35" s="1"/>
  <c r="I1457" i="35"/>
  <c r="O1457" i="35" s="1"/>
  <c r="P1455" i="35"/>
  <c r="P1448" i="35"/>
  <c r="M1254" i="35"/>
  <c r="N1254" i="35" s="1"/>
  <c r="K579" i="33"/>
  <c r="K583" i="33"/>
  <c r="I1252" i="35"/>
  <c r="O1252" i="35" s="1"/>
  <c r="I1249" i="35"/>
  <c r="O1249" i="35" s="1"/>
  <c r="I1254" i="35"/>
  <c r="O1254" i="35" s="1"/>
  <c r="I1240" i="35"/>
  <c r="O1240" i="35" s="1"/>
  <c r="H62" i="33" s="1"/>
  <c r="J62" i="33" s="1"/>
  <c r="J579" i="33"/>
  <c r="P1429" i="35"/>
  <c r="M1189" i="35"/>
  <c r="N1189" i="35" s="1"/>
  <c r="J583" i="33"/>
  <c r="I1197" i="35"/>
  <c r="O1197" i="35" s="1"/>
  <c r="H57" i="33" s="1"/>
  <c r="K57" i="33" s="1"/>
  <c r="I1245" i="35"/>
  <c r="O1245" i="35" s="1"/>
  <c r="M1301" i="35"/>
  <c r="N1301" i="35" s="1"/>
  <c r="P1444" i="35"/>
  <c r="M1090" i="35"/>
  <c r="N1090" i="35" s="1"/>
  <c r="F30" i="40"/>
  <c r="P1438" i="35"/>
  <c r="S108" i="33"/>
  <c r="J108" i="33"/>
  <c r="P1432" i="35"/>
  <c r="I108" i="33" s="1"/>
  <c r="I1176" i="35"/>
  <c r="O1176" i="35" s="1"/>
  <c r="H163" i="33" s="1"/>
  <c r="S163" i="33" s="1"/>
  <c r="I1301" i="35"/>
  <c r="O1301" i="35" s="1"/>
  <c r="P1361" i="35"/>
  <c r="I46" i="33" s="1"/>
  <c r="M1266" i="35"/>
  <c r="N1266" i="35" s="1"/>
  <c r="I1187" i="35"/>
  <c r="O1187" i="35" s="1"/>
  <c r="H154" i="33" s="1"/>
  <c r="J154" i="33" s="1"/>
  <c r="I1250" i="35"/>
  <c r="O1250" i="35" s="1"/>
  <c r="O1434" i="35"/>
  <c r="N1434" i="35"/>
  <c r="J46" i="33"/>
  <c r="K46" i="33"/>
  <c r="P1425" i="35"/>
  <c r="P1423" i="35"/>
  <c r="M1187" i="35"/>
  <c r="N1187" i="35" s="1"/>
  <c r="M1245" i="35"/>
  <c r="N1245" i="35" s="1"/>
  <c r="I1365" i="35"/>
  <c r="O1365" i="35" s="1"/>
  <c r="I1424" i="35"/>
  <c r="O1424" i="35" s="1"/>
  <c r="M1365" i="35"/>
  <c r="N1365" i="35" s="1"/>
  <c r="M1424" i="35"/>
  <c r="N1424" i="35" s="1"/>
  <c r="I1189" i="35"/>
  <c r="O1189" i="35" s="1"/>
  <c r="P1404" i="35"/>
  <c r="I582" i="33" s="1"/>
  <c r="P1407" i="35"/>
  <c r="M1280" i="35"/>
  <c r="N1280" i="35" s="1"/>
  <c r="M1279" i="35"/>
  <c r="N1279" i="35" s="1"/>
  <c r="K582" i="33"/>
  <c r="S582" i="33"/>
  <c r="P1408" i="35"/>
  <c r="M1203" i="35"/>
  <c r="N1203" i="35" s="1"/>
  <c r="M1197" i="35"/>
  <c r="N1197" i="35" s="1"/>
  <c r="M1250" i="35"/>
  <c r="N1250" i="35" s="1"/>
  <c r="P1401" i="35"/>
  <c r="I1193" i="35"/>
  <c r="O1193" i="35" s="1"/>
  <c r="H151" i="33" s="1"/>
  <c r="I1410" i="35"/>
  <c r="O1410" i="35" s="1"/>
  <c r="M1193" i="35"/>
  <c r="N1193" i="35" s="1"/>
  <c r="M1410" i="35"/>
  <c r="N1410" i="35" s="1"/>
  <c r="O1405" i="35"/>
  <c r="P1396" i="35"/>
  <c r="N1405" i="35"/>
  <c r="I1379" i="35"/>
  <c r="O1379" i="35" s="1"/>
  <c r="I1403" i="35"/>
  <c r="O1403" i="35" s="1"/>
  <c r="M1379" i="35"/>
  <c r="N1379" i="35" s="1"/>
  <c r="M1403" i="35"/>
  <c r="N1403" i="35" s="1"/>
  <c r="P1355" i="35"/>
  <c r="I577" i="33" s="1"/>
  <c r="I1279" i="35"/>
  <c r="O1279" i="35" s="1"/>
  <c r="H144" i="33" s="1"/>
  <c r="K144" i="33" s="1"/>
  <c r="I1314" i="35"/>
  <c r="O1314" i="35" s="1"/>
  <c r="I1280" i="35"/>
  <c r="O1280" i="35" s="1"/>
  <c r="M1283" i="35"/>
  <c r="N1283" i="35" s="1"/>
  <c r="I1337" i="35"/>
  <c r="O1337" i="35" s="1"/>
  <c r="J577" i="33"/>
  <c r="K577" i="33"/>
  <c r="I1191" i="35"/>
  <c r="O1191" i="35" s="1"/>
  <c r="I1203" i="35"/>
  <c r="O1203" i="35" s="1"/>
  <c r="I1217" i="35"/>
  <c r="O1217" i="35" s="1"/>
  <c r="P1362" i="35"/>
  <c r="I1350" i="35"/>
  <c r="O1350" i="35" s="1"/>
  <c r="H174" i="33" s="1"/>
  <c r="I1385" i="35"/>
  <c r="O1385" i="35" s="1"/>
  <c r="M1350" i="35"/>
  <c r="N1350" i="35" s="1"/>
  <c r="M1385" i="35"/>
  <c r="N1385" i="35" s="1"/>
  <c r="I1305" i="35"/>
  <c r="O1305" i="35" s="1"/>
  <c r="H166" i="33" s="1"/>
  <c r="I1382" i="35"/>
  <c r="O1382" i="35" s="1"/>
  <c r="M1305" i="35"/>
  <c r="N1305" i="35" s="1"/>
  <c r="M1382" i="35"/>
  <c r="N1382" i="35" s="1"/>
  <c r="I1181" i="35"/>
  <c r="O1181" i="35" s="1"/>
  <c r="I1259" i="35"/>
  <c r="O1259" i="35" s="1"/>
  <c r="I1139" i="35"/>
  <c r="O1139" i="35" s="1"/>
  <c r="H105" i="33" s="1"/>
  <c r="J105" i="33" s="1"/>
  <c r="I1325" i="35"/>
  <c r="O1325" i="35" s="1"/>
  <c r="H180" i="33" s="1"/>
  <c r="I1377" i="35"/>
  <c r="O1377" i="35" s="1"/>
  <c r="M1325" i="35"/>
  <c r="N1325" i="35" s="1"/>
  <c r="M1377" i="35"/>
  <c r="N1377" i="35" s="1"/>
  <c r="I1263" i="35"/>
  <c r="O1263" i="35" s="1"/>
  <c r="M1270" i="35"/>
  <c r="N1270" i="35" s="1"/>
  <c r="P1364" i="35"/>
  <c r="I1283" i="35"/>
  <c r="O1283" i="35" s="1"/>
  <c r="I1270" i="35"/>
  <c r="O1270" i="35" s="1"/>
  <c r="H148" i="33" s="1"/>
  <c r="S148" i="33" s="1"/>
  <c r="F87" i="40"/>
  <c r="I1195" i="35"/>
  <c r="O1195" i="35" s="1"/>
  <c r="H168" i="33" s="1"/>
  <c r="I1370" i="35"/>
  <c r="O1370" i="35" s="1"/>
  <c r="M1195" i="35"/>
  <c r="N1195" i="35" s="1"/>
  <c r="M1370" i="35"/>
  <c r="N1370" i="35" s="1"/>
  <c r="I1266" i="35"/>
  <c r="O1266" i="35" s="1"/>
  <c r="I1090" i="35"/>
  <c r="O1090" i="35" s="1"/>
  <c r="H114" i="33" s="1"/>
  <c r="J114" i="33" s="1"/>
  <c r="I1274" i="35"/>
  <c r="O1274" i="35" s="1"/>
  <c r="H574" i="33" s="1"/>
  <c r="S574" i="33" s="1"/>
  <c r="I1340" i="35"/>
  <c r="O1340" i="35" s="1"/>
  <c r="M1340" i="35"/>
  <c r="N1340" i="35" s="1"/>
  <c r="M1259" i="35"/>
  <c r="N1259" i="35" s="1"/>
  <c r="M1263" i="35"/>
  <c r="N1263" i="35" s="1"/>
  <c r="I1344" i="35"/>
  <c r="O1344" i="35" s="1"/>
  <c r="I1167" i="35"/>
  <c r="O1167" i="35" s="1"/>
  <c r="M1191" i="35"/>
  <c r="N1191" i="35" s="1"/>
  <c r="M1139" i="35"/>
  <c r="N1139" i="35" s="1"/>
  <c r="M1217" i="35"/>
  <c r="N1217" i="35" s="1"/>
  <c r="M1181" i="35"/>
  <c r="N1181" i="35" s="1"/>
  <c r="M1314" i="35"/>
  <c r="N1314" i="35" s="1"/>
  <c r="M1278" i="35"/>
  <c r="N1278" i="35" s="1"/>
  <c r="O1357" i="35"/>
  <c r="M1337" i="35"/>
  <c r="N1337" i="35" s="1"/>
  <c r="M1344" i="35"/>
  <c r="N1344" i="35" s="1"/>
  <c r="M1357" i="35"/>
  <c r="N1357" i="35" s="1"/>
  <c r="M1117" i="35"/>
  <c r="N1117" i="35" s="1"/>
  <c r="M1354" i="35"/>
  <c r="N1354" i="35" s="1"/>
  <c r="I1117" i="35"/>
  <c r="O1117" i="35" s="1"/>
  <c r="I1354" i="35"/>
  <c r="O1354" i="35" s="1"/>
  <c r="N1167" i="35"/>
  <c r="AA716" i="31"/>
  <c r="AA715" i="31"/>
  <c r="AA714" i="31"/>
  <c r="AA713" i="31"/>
  <c r="AA712" i="31"/>
  <c r="AA711" i="31"/>
  <c r="AA710" i="31"/>
  <c r="O1060" i="35"/>
  <c r="H155" i="33" s="1"/>
  <c r="S155" i="33" s="1"/>
  <c r="N1060" i="35"/>
  <c r="O1321" i="35"/>
  <c r="H167" i="33" s="1"/>
  <c r="J167" i="33" s="1"/>
  <c r="O1144" i="35"/>
  <c r="H175" i="33" s="1"/>
  <c r="S175" i="33" s="1"/>
  <c r="N1144" i="35"/>
  <c r="N1323" i="35"/>
  <c r="AA746" i="31"/>
  <c r="AA670" i="31"/>
  <c r="AA707" i="31"/>
  <c r="AA706" i="31"/>
  <c r="AA705" i="31"/>
  <c r="AA704" i="31"/>
  <c r="O1307" i="35"/>
  <c r="N1307" i="35"/>
  <c r="N1281" i="35"/>
  <c r="AA703" i="31"/>
  <c r="AA702" i="31"/>
  <c r="AA701" i="31"/>
  <c r="AA700" i="31"/>
  <c r="AA699" i="31"/>
  <c r="O1281" i="35"/>
  <c r="AA698" i="31"/>
  <c r="AA697" i="31"/>
  <c r="AA696" i="31"/>
  <c r="N1274" i="35"/>
  <c r="O1278" i="35"/>
  <c r="N1275" i="35"/>
  <c r="O1275" i="35"/>
  <c r="AA695" i="31"/>
  <c r="N1085" i="35"/>
  <c r="AA694" i="31"/>
  <c r="AA693" i="31"/>
  <c r="AA692" i="31"/>
  <c r="O1085" i="35"/>
  <c r="H160" i="33" s="1"/>
  <c r="S160" i="33" s="1"/>
  <c r="N1268" i="35"/>
  <c r="O1268" i="35"/>
  <c r="R62" i="33"/>
  <c r="AA780" i="31"/>
  <c r="AA783" i="31"/>
  <c r="AA689" i="31"/>
  <c r="AA688" i="31"/>
  <c r="AA687" i="31"/>
  <c r="AA686" i="31"/>
  <c r="AA685" i="31"/>
  <c r="AA684" i="31"/>
  <c r="AA683" i="31"/>
  <c r="AA682" i="31"/>
  <c r="AA679" i="31"/>
  <c r="AA681" i="31"/>
  <c r="AA680" i="31"/>
  <c r="AA560" i="31"/>
  <c r="AA648" i="31"/>
  <c r="AA647" i="31"/>
  <c r="AA646" i="31"/>
  <c r="AA664" i="31"/>
  <c r="AA653" i="31"/>
  <c r="AA639" i="31"/>
  <c r="AA636" i="31"/>
  <c r="AA678" i="31"/>
  <c r="AA677" i="31"/>
  <c r="M59" i="33"/>
  <c r="N1246" i="35"/>
  <c r="O1246" i="35"/>
  <c r="AA652" i="31"/>
  <c r="AA654" i="31"/>
  <c r="AA650" i="31"/>
  <c r="AA649" i="31"/>
  <c r="AA634" i="31"/>
  <c r="AA663" i="31"/>
  <c r="N23" i="33" s="1"/>
  <c r="R23" i="33" s="1"/>
  <c r="AA667" i="31"/>
  <c r="N1224" i="35"/>
  <c r="AA661" i="31"/>
  <c r="O1224" i="35"/>
  <c r="AA660" i="31"/>
  <c r="AA662" i="31"/>
  <c r="O1210" i="35"/>
  <c r="AA658" i="31"/>
  <c r="N1210" i="35"/>
  <c r="N1184" i="35"/>
  <c r="AA657" i="31"/>
  <c r="AA656" i="31"/>
  <c r="AA645" i="31"/>
  <c r="AA640" i="31"/>
  <c r="O1184" i="35"/>
  <c r="AA613" i="31"/>
  <c r="O1205" i="35"/>
  <c r="N1205" i="35"/>
  <c r="R168" i="33"/>
  <c r="AA615" i="31"/>
  <c r="AA651" i="31"/>
  <c r="M566" i="33"/>
  <c r="AA620" i="31"/>
  <c r="AA659" i="31"/>
  <c r="AA668" i="31"/>
  <c r="M565" i="33"/>
  <c r="M570" i="33"/>
  <c r="AA621" i="31"/>
  <c r="AA612" i="31"/>
  <c r="AA778" i="31"/>
  <c r="AA644" i="31"/>
  <c r="AA643" i="31"/>
  <c r="R163" i="33"/>
  <c r="AA606" i="31"/>
  <c r="AA605" i="31"/>
  <c r="AA638" i="31"/>
  <c r="AA633" i="31"/>
  <c r="AA616" i="31"/>
  <c r="K1040" i="35"/>
  <c r="M1555" i="35" s="1"/>
  <c r="N1555" i="35" s="1"/>
  <c r="L1150" i="35"/>
  <c r="G1040" i="35"/>
  <c r="I1555" i="35" s="1"/>
  <c r="O1555" i="35" s="1"/>
  <c r="H1150" i="35"/>
  <c r="S531" i="31"/>
  <c r="T531" i="31" s="1"/>
  <c r="AA637" i="31"/>
  <c r="N571" i="33" s="1"/>
  <c r="R571" i="33" s="1"/>
  <c r="AA607" i="31"/>
  <c r="AA655" i="31"/>
  <c r="AA611" i="31"/>
  <c r="N1127" i="35"/>
  <c r="AA559" i="31"/>
  <c r="N1140" i="35"/>
  <c r="O1127" i="35"/>
  <c r="H52" i="33" s="1"/>
  <c r="S52" i="33" s="1"/>
  <c r="P380" i="6"/>
  <c r="R367" i="6"/>
  <c r="H35" i="36" s="1"/>
  <c r="F35" i="36" s="1"/>
  <c r="O1140" i="35"/>
  <c r="AA632" i="31"/>
  <c r="AA631" i="31"/>
  <c r="AA630" i="31"/>
  <c r="AA629" i="31"/>
  <c r="AA628" i="31"/>
  <c r="AA627" i="31"/>
  <c r="AA626" i="31"/>
  <c r="AA625" i="31"/>
  <c r="AA622" i="31"/>
  <c r="N569" i="33" s="1"/>
  <c r="R569" i="33" s="1"/>
  <c r="AA596" i="31"/>
  <c r="AA595" i="31"/>
  <c r="K1041" i="35"/>
  <c r="M1172" i="35" s="1"/>
  <c r="N1172" i="35" s="1"/>
  <c r="L1120" i="35"/>
  <c r="G1041" i="35"/>
  <c r="I1172" i="35" s="1"/>
  <c r="O1172" i="35" s="1"/>
  <c r="H1120" i="35"/>
  <c r="AA642" i="31"/>
  <c r="AA641" i="31"/>
  <c r="AA619" i="31"/>
  <c r="AA618" i="31"/>
  <c r="AA617" i="31"/>
  <c r="R379" i="6"/>
  <c r="H67" i="36" s="1"/>
  <c r="F67" i="36" s="1"/>
  <c r="Q380" i="6"/>
  <c r="R380" i="6"/>
  <c r="P379" i="6"/>
  <c r="G67" i="36" s="1"/>
  <c r="I67" i="36" s="1"/>
  <c r="L363" i="6"/>
  <c r="P363" i="6" s="1"/>
  <c r="G22" i="36" s="1"/>
  <c r="I22" i="36" s="1"/>
  <c r="M363" i="6"/>
  <c r="Q363" i="6" s="1"/>
  <c r="AA521" i="31"/>
  <c r="AA500" i="31"/>
  <c r="AA609" i="31"/>
  <c r="AA598" i="31"/>
  <c r="AA597" i="31"/>
  <c r="AA624" i="31"/>
  <c r="AA623" i="31"/>
  <c r="AA675" i="31"/>
  <c r="N102" i="33" s="1"/>
  <c r="AA527" i="31"/>
  <c r="AA523" i="31"/>
  <c r="N568" i="33" s="1"/>
  <c r="E84" i="40" s="1"/>
  <c r="F84" i="40" s="1"/>
  <c r="AA496" i="31"/>
  <c r="AA603" i="31"/>
  <c r="AA588" i="31"/>
  <c r="AA635" i="31"/>
  <c r="AA614" i="31"/>
  <c r="AA602" i="31"/>
  <c r="AA601" i="31"/>
  <c r="AA587" i="31"/>
  <c r="AA599" i="31"/>
  <c r="AA666" i="31"/>
  <c r="AA665" i="31"/>
  <c r="AA584" i="31"/>
  <c r="AA579" i="31"/>
  <c r="AA594" i="31"/>
  <c r="AA593" i="31"/>
  <c r="AA610" i="31"/>
  <c r="AA592" i="31"/>
  <c r="AA591" i="31"/>
  <c r="AA590" i="31"/>
  <c r="AA589" i="31"/>
  <c r="AA600" i="31"/>
  <c r="AA586" i="31"/>
  <c r="AA585" i="31"/>
  <c r="AA583" i="31"/>
  <c r="AA582" i="31"/>
  <c r="AA581" i="31"/>
  <c r="AA580" i="31"/>
  <c r="AA608" i="31"/>
  <c r="AA578" i="31"/>
  <c r="AA577" i="31"/>
  <c r="AA576" i="31"/>
  <c r="AA674" i="31"/>
  <c r="AA604" i="31"/>
  <c r="AA573" i="31"/>
  <c r="AA572" i="31"/>
  <c r="AA570" i="31"/>
  <c r="AA571" i="31"/>
  <c r="AA569" i="31"/>
  <c r="AA567" i="31"/>
  <c r="AA568" i="31"/>
  <c r="AA566" i="31"/>
  <c r="AA565" i="31"/>
  <c r="AA564" i="31"/>
  <c r="AA563" i="31"/>
  <c r="AA562" i="31"/>
  <c r="AA561" i="31"/>
  <c r="AA558" i="31"/>
  <c r="AA557" i="31"/>
  <c r="AA556" i="31"/>
  <c r="AA555" i="31"/>
  <c r="AA554" i="31"/>
  <c r="N567" i="33" s="1"/>
  <c r="R567" i="33" s="1"/>
  <c r="AA553" i="31"/>
  <c r="AA552" i="31"/>
  <c r="AA551" i="31"/>
  <c r="L1041" i="35"/>
  <c r="AA550" i="31"/>
  <c r="AA549" i="31"/>
  <c r="AA548" i="31"/>
  <c r="AA547" i="31"/>
  <c r="AA546" i="31"/>
  <c r="AA545" i="31"/>
  <c r="AA544" i="31"/>
  <c r="AA543" i="31"/>
  <c r="AA542" i="31"/>
  <c r="AA541" i="31"/>
  <c r="AA540" i="31"/>
  <c r="AA539" i="31"/>
  <c r="L1040" i="35"/>
  <c r="M1039" i="35"/>
  <c r="H1041" i="35"/>
  <c r="H1040" i="35"/>
  <c r="AA538" i="31"/>
  <c r="AA537" i="31"/>
  <c r="AA536" i="31"/>
  <c r="AA535" i="31"/>
  <c r="AA534" i="31"/>
  <c r="AA533" i="31"/>
  <c r="AA673" i="31"/>
  <c r="S530" i="31"/>
  <c r="T530" i="31" s="1"/>
  <c r="H1039" i="35"/>
  <c r="Q564" i="33"/>
  <c r="R564" i="33" s="1"/>
  <c r="I1039" i="35"/>
  <c r="L1039" i="35"/>
  <c r="Q176" i="33"/>
  <c r="R176" i="33" s="1"/>
  <c r="AD531" i="31"/>
  <c r="X531" i="31"/>
  <c r="Y531" i="31" s="1"/>
  <c r="S529" i="31"/>
  <c r="T529" i="31" s="1"/>
  <c r="Z531" i="31"/>
  <c r="AD530" i="31"/>
  <c r="X530" i="31"/>
  <c r="Y530" i="31" s="1"/>
  <c r="Z530" i="31"/>
  <c r="S528" i="31"/>
  <c r="T528" i="31" s="1"/>
  <c r="AD529" i="31"/>
  <c r="Z529" i="31"/>
  <c r="X529" i="31"/>
  <c r="Y529" i="31" s="1"/>
  <c r="AD528" i="31"/>
  <c r="X528" i="31"/>
  <c r="Y528" i="31" s="1"/>
  <c r="Z528" i="31"/>
  <c r="C1034" i="35" a="1"/>
  <c r="C1034" i="35" s="1"/>
  <c r="F1034" i="35"/>
  <c r="G1034" i="35" s="1"/>
  <c r="J1034" i="35"/>
  <c r="K1034" i="35" s="1"/>
  <c r="Q1034" i="35"/>
  <c r="B563" i="33" a="1"/>
  <c r="B563" i="33" s="1"/>
  <c r="E563" i="33" a="1"/>
  <c r="E563" i="33" s="1"/>
  <c r="F563" i="33" a="1"/>
  <c r="F563" i="33" s="1"/>
  <c r="G563" i="33" a="1"/>
  <c r="G563" i="33" s="1"/>
  <c r="L563" i="33" a="1"/>
  <c r="L563" i="33" s="1"/>
  <c r="M563" i="33"/>
  <c r="N563" i="33"/>
  <c r="P563" i="33"/>
  <c r="C494" i="31" a="1"/>
  <c r="C494" i="31" s="1"/>
  <c r="D494" i="31" a="1"/>
  <c r="D494" i="31" s="1"/>
  <c r="L494" i="31"/>
  <c r="Q494" i="31"/>
  <c r="R494" i="31"/>
  <c r="U494" i="31"/>
  <c r="V494" i="31"/>
  <c r="W494" i="31"/>
  <c r="AB494" i="31"/>
  <c r="AC494" i="31"/>
  <c r="AF494" i="31"/>
  <c r="C526" i="31" a="1"/>
  <c r="C526" i="31" s="1"/>
  <c r="D526" i="31" a="1"/>
  <c r="D526" i="31" s="1"/>
  <c r="L526" i="31"/>
  <c r="Q526" i="31"/>
  <c r="R526" i="31"/>
  <c r="U526" i="31"/>
  <c r="V526" i="31"/>
  <c r="W526" i="31"/>
  <c r="AB526" i="31"/>
  <c r="AC526" i="31"/>
  <c r="AF526" i="31"/>
  <c r="C525" i="31" a="1"/>
  <c r="C525" i="31" s="1"/>
  <c r="D525" i="31" a="1"/>
  <c r="D525" i="31" s="1"/>
  <c r="L525" i="31"/>
  <c r="Q525" i="31"/>
  <c r="R525" i="31"/>
  <c r="U525" i="31"/>
  <c r="V525" i="31"/>
  <c r="W525" i="31"/>
  <c r="AB525" i="31"/>
  <c r="AC525" i="31"/>
  <c r="AF525" i="31"/>
  <c r="C524" i="31" a="1"/>
  <c r="C524" i="31" s="1"/>
  <c r="D524" i="31" a="1"/>
  <c r="D524" i="31" s="1"/>
  <c r="L524" i="31"/>
  <c r="Q524" i="31"/>
  <c r="R524" i="31"/>
  <c r="U524" i="31"/>
  <c r="V524" i="31"/>
  <c r="W524" i="31"/>
  <c r="AB524" i="31"/>
  <c r="AC524" i="31"/>
  <c r="AF524" i="31"/>
  <c r="C1033" i="35" a="1"/>
  <c r="C1033" i="35" s="1"/>
  <c r="F1033" i="35"/>
  <c r="G1033" i="35" s="1"/>
  <c r="J1033" i="35"/>
  <c r="K1033" i="35" s="1"/>
  <c r="Q1033" i="35"/>
  <c r="C493" i="31" a="1"/>
  <c r="C493" i="31" s="1"/>
  <c r="D493" i="31" a="1"/>
  <c r="D493" i="31" s="1"/>
  <c r="L493" i="31"/>
  <c r="Q493" i="31"/>
  <c r="R493" i="31"/>
  <c r="U493" i="31"/>
  <c r="V493" i="31"/>
  <c r="W493" i="31"/>
  <c r="AB493" i="31"/>
  <c r="AC493" i="31"/>
  <c r="AF493" i="31"/>
  <c r="B562" i="33" a="1"/>
  <c r="B562" i="33" s="1"/>
  <c r="E562" i="33" a="1"/>
  <c r="E562" i="33" s="1"/>
  <c r="F562" i="33" a="1"/>
  <c r="F562" i="33" s="1"/>
  <c r="G562" i="33" a="1"/>
  <c r="G562" i="33" s="1"/>
  <c r="H562" i="33"/>
  <c r="I562" i="33"/>
  <c r="L562" i="33" a="1"/>
  <c r="L562" i="33" s="1"/>
  <c r="P562" i="33"/>
  <c r="H359" i="6"/>
  <c r="I359" i="6"/>
  <c r="K359" i="6" s="1"/>
  <c r="U359" i="6"/>
  <c r="C1032" i="35" a="1"/>
  <c r="C1032" i="35" s="1"/>
  <c r="F1032" i="35"/>
  <c r="G1032" i="35" s="1"/>
  <c r="J1032" i="35"/>
  <c r="K1032" i="35" s="1"/>
  <c r="Q1032" i="35"/>
  <c r="H358" i="6"/>
  <c r="J358" i="6" s="1"/>
  <c r="I358" i="6"/>
  <c r="K358" i="6" s="1"/>
  <c r="U358" i="6"/>
  <c r="C497" i="31" a="1"/>
  <c r="C497" i="31" s="1"/>
  <c r="D497" i="31" a="1"/>
  <c r="D497" i="31" s="1"/>
  <c r="L497" i="31"/>
  <c r="Q497" i="31"/>
  <c r="R497" i="31"/>
  <c r="U497" i="31"/>
  <c r="V497" i="31"/>
  <c r="W497" i="31"/>
  <c r="AB497" i="31"/>
  <c r="AC497" i="31"/>
  <c r="AF497" i="31"/>
  <c r="C522" i="31" a="1"/>
  <c r="C522" i="31" s="1"/>
  <c r="D522" i="31" a="1"/>
  <c r="D522" i="31" s="1"/>
  <c r="L522" i="31"/>
  <c r="Q522" i="31"/>
  <c r="R522" i="31"/>
  <c r="U522" i="31"/>
  <c r="V522" i="31"/>
  <c r="W522" i="31"/>
  <c r="AB522" i="31"/>
  <c r="AC522" i="31"/>
  <c r="AF522" i="31"/>
  <c r="B561" i="33" a="1"/>
  <c r="B561" i="33" s="1"/>
  <c r="E561" i="33" a="1"/>
  <c r="E561" i="33" s="1"/>
  <c r="F561" i="33" a="1"/>
  <c r="F561" i="33" s="1"/>
  <c r="G561" i="33" a="1"/>
  <c r="G561" i="33" s="1"/>
  <c r="H561" i="33"/>
  <c r="I561" i="33"/>
  <c r="L561" i="33" a="1"/>
  <c r="L561" i="33" s="1"/>
  <c r="P561" i="33"/>
  <c r="C532" i="31" a="1"/>
  <c r="C532" i="31" s="1"/>
  <c r="D532" i="31" a="1"/>
  <c r="D532" i="31" s="1"/>
  <c r="L532" i="31"/>
  <c r="Q532" i="31"/>
  <c r="R532" i="31"/>
  <c r="U532" i="31"/>
  <c r="V532" i="31"/>
  <c r="W532" i="31"/>
  <c r="AB532" i="31"/>
  <c r="AC532" i="31"/>
  <c r="AF532" i="31"/>
  <c r="C520" i="31" a="1"/>
  <c r="C520" i="31" s="1"/>
  <c r="D520" i="31" a="1"/>
  <c r="D520" i="31" s="1"/>
  <c r="L520" i="31"/>
  <c r="Q520" i="31"/>
  <c r="R520" i="31"/>
  <c r="U520" i="31"/>
  <c r="V520" i="31"/>
  <c r="W520" i="31"/>
  <c r="AB520" i="31"/>
  <c r="AC520" i="31"/>
  <c r="AF520" i="31"/>
  <c r="C1031" i="35" a="1"/>
  <c r="C1031" i="35" s="1"/>
  <c r="F1031" i="35"/>
  <c r="G1031" i="35" s="1"/>
  <c r="J1031" i="35"/>
  <c r="K1031" i="35" s="1"/>
  <c r="Q1031" i="35"/>
  <c r="C1030" i="35" a="1"/>
  <c r="C1030" i="35" s="1"/>
  <c r="F1030" i="35"/>
  <c r="G1030" i="35" s="1"/>
  <c r="J1030" i="35"/>
  <c r="K1030" i="35" s="1"/>
  <c r="Q1030" i="35"/>
  <c r="C1029" i="35" a="1"/>
  <c r="C1029" i="35" s="1"/>
  <c r="F1029" i="35"/>
  <c r="G1029" i="35" s="1"/>
  <c r="J1029" i="35"/>
  <c r="K1029" i="35" s="1"/>
  <c r="Q1029" i="35"/>
  <c r="C1028" i="35" a="1"/>
  <c r="C1028" i="35" s="1"/>
  <c r="F1028" i="35"/>
  <c r="G1028" i="35" s="1"/>
  <c r="J1028" i="35"/>
  <c r="K1028" i="35" s="1"/>
  <c r="Q1028" i="35"/>
  <c r="C1027" i="35" a="1"/>
  <c r="C1027" i="35" s="1"/>
  <c r="F1027" i="35"/>
  <c r="G1027" i="35" s="1"/>
  <c r="J1027" i="35"/>
  <c r="K1027" i="35" s="1"/>
  <c r="Q1027" i="35"/>
  <c r="C1026" i="35" a="1"/>
  <c r="C1026" i="35" s="1"/>
  <c r="F1026" i="35"/>
  <c r="G1026" i="35" s="1"/>
  <c r="J1026" i="35"/>
  <c r="K1026" i="35" s="1"/>
  <c r="Q1026" i="35"/>
  <c r="C1025" i="35" a="1"/>
  <c r="C1025" i="35" s="1"/>
  <c r="F1025" i="35"/>
  <c r="G1025" i="35" s="1"/>
  <c r="J1025" i="35"/>
  <c r="K1025" i="35" s="1"/>
  <c r="Q1025" i="35"/>
  <c r="C1024" i="35" a="1"/>
  <c r="C1024" i="35" s="1"/>
  <c r="F1024" i="35"/>
  <c r="G1024" i="35" s="1"/>
  <c r="J1024" i="35"/>
  <c r="K1024" i="35" s="1"/>
  <c r="Q1024" i="35"/>
  <c r="C519" i="31" a="1"/>
  <c r="C519" i="31" s="1"/>
  <c r="D519" i="31" a="1"/>
  <c r="D519" i="31" s="1"/>
  <c r="L519" i="31"/>
  <c r="Q519" i="31"/>
  <c r="R519" i="31"/>
  <c r="U519" i="31"/>
  <c r="V519" i="31"/>
  <c r="W519" i="31"/>
  <c r="AB519" i="31"/>
  <c r="AC519" i="31"/>
  <c r="AF519" i="31"/>
  <c r="C518" i="31" a="1"/>
  <c r="C518" i="31" s="1"/>
  <c r="D518" i="31" a="1"/>
  <c r="D518" i="31" s="1"/>
  <c r="L518" i="31"/>
  <c r="Q518" i="31"/>
  <c r="R518" i="31"/>
  <c r="U518" i="31"/>
  <c r="V518" i="31"/>
  <c r="W518" i="31"/>
  <c r="AB518" i="31"/>
  <c r="AC518" i="31"/>
  <c r="AF518" i="31"/>
  <c r="C517" i="31" a="1"/>
  <c r="C517" i="31" s="1"/>
  <c r="D517" i="31" a="1"/>
  <c r="D517" i="31" s="1"/>
  <c r="L517" i="31"/>
  <c r="Q517" i="31"/>
  <c r="R517" i="31"/>
  <c r="U517" i="31"/>
  <c r="V517" i="31"/>
  <c r="W517" i="31"/>
  <c r="AB517" i="31"/>
  <c r="AC517" i="31"/>
  <c r="AF517" i="31"/>
  <c r="C516" i="31" a="1"/>
  <c r="C516" i="31" s="1"/>
  <c r="D516" i="31" a="1"/>
  <c r="D516" i="31" s="1"/>
  <c r="L516" i="31"/>
  <c r="Q516" i="31"/>
  <c r="R516" i="31"/>
  <c r="U516" i="31"/>
  <c r="V516" i="31"/>
  <c r="W516" i="31"/>
  <c r="AB516" i="31"/>
  <c r="AC516" i="31"/>
  <c r="AF516" i="31"/>
  <c r="C1023" i="35" a="1"/>
  <c r="C1023" i="35" s="1"/>
  <c r="F1023" i="35"/>
  <c r="G1023" i="35" s="1"/>
  <c r="J1023" i="35"/>
  <c r="K1023" i="35" s="1"/>
  <c r="Q1023" i="35"/>
  <c r="C515" i="31" a="1"/>
  <c r="C515" i="31" s="1"/>
  <c r="D515" i="31" a="1"/>
  <c r="D515" i="31" s="1"/>
  <c r="L515" i="31"/>
  <c r="Q515" i="31"/>
  <c r="R515" i="31"/>
  <c r="U515" i="31"/>
  <c r="V515" i="31"/>
  <c r="W515" i="31"/>
  <c r="AB515" i="31"/>
  <c r="AC515" i="31"/>
  <c r="AF515" i="31"/>
  <c r="H357" i="6"/>
  <c r="J357" i="6" s="1"/>
  <c r="I357" i="6"/>
  <c r="K357" i="6" s="1"/>
  <c r="U357" i="6"/>
  <c r="C514" i="31" a="1"/>
  <c r="C514" i="31" s="1"/>
  <c r="D514" i="31" a="1"/>
  <c r="D514" i="31" s="1"/>
  <c r="L514" i="31"/>
  <c r="Q514" i="31"/>
  <c r="R514" i="31"/>
  <c r="U514" i="31"/>
  <c r="V514" i="31"/>
  <c r="W514" i="31"/>
  <c r="AB514" i="31"/>
  <c r="AC514" i="31"/>
  <c r="AF514" i="31"/>
  <c r="C513" i="31" a="1"/>
  <c r="C513" i="31" s="1"/>
  <c r="D513" i="31" a="1"/>
  <c r="D513" i="31" s="1"/>
  <c r="L513" i="31"/>
  <c r="Q513" i="31"/>
  <c r="R513" i="31"/>
  <c r="U513" i="31"/>
  <c r="V513" i="31"/>
  <c r="AD513" i="31" s="1"/>
  <c r="W513" i="31"/>
  <c r="AB513" i="31"/>
  <c r="AC513" i="31"/>
  <c r="AF513" i="31"/>
  <c r="C512" i="31" a="1"/>
  <c r="C512" i="31" s="1"/>
  <c r="D512" i="31" a="1"/>
  <c r="D512" i="31" s="1"/>
  <c r="L512" i="31"/>
  <c r="Q512" i="31"/>
  <c r="R512" i="31"/>
  <c r="U512" i="31"/>
  <c r="V512" i="31"/>
  <c r="W512" i="31"/>
  <c r="AB512" i="31"/>
  <c r="AC512" i="31"/>
  <c r="AF512" i="31"/>
  <c r="C511" i="31" a="1"/>
  <c r="C511" i="31" s="1"/>
  <c r="D511" i="31" a="1"/>
  <c r="D511" i="31" s="1"/>
  <c r="L511" i="31"/>
  <c r="Q511" i="31"/>
  <c r="R511" i="31"/>
  <c r="U511" i="31"/>
  <c r="V511" i="31"/>
  <c r="W511" i="31"/>
  <c r="AB511" i="31"/>
  <c r="AC511" i="31"/>
  <c r="AF511" i="31"/>
  <c r="C510" i="31" a="1"/>
  <c r="C510" i="31" s="1"/>
  <c r="D510" i="31" a="1"/>
  <c r="D510" i="31" s="1"/>
  <c r="L510" i="31"/>
  <c r="Q510" i="31"/>
  <c r="R510" i="31"/>
  <c r="U510" i="31"/>
  <c r="V510" i="31"/>
  <c r="W510" i="31"/>
  <c r="AB510" i="31"/>
  <c r="AC510" i="31"/>
  <c r="AF510" i="31"/>
  <c r="C509" i="31" a="1"/>
  <c r="C509" i="31" s="1"/>
  <c r="D509" i="31" a="1"/>
  <c r="D509" i="31" s="1"/>
  <c r="L509" i="31"/>
  <c r="Q509" i="31"/>
  <c r="R509" i="31"/>
  <c r="U509" i="31"/>
  <c r="V509" i="31"/>
  <c r="W509" i="31"/>
  <c r="AB509" i="31"/>
  <c r="AC509" i="31"/>
  <c r="AF509" i="31"/>
  <c r="C508" i="31" a="1"/>
  <c r="C508" i="31" s="1"/>
  <c r="D508" i="31" a="1"/>
  <c r="D508" i="31" s="1"/>
  <c r="L508" i="31"/>
  <c r="Q508" i="31"/>
  <c r="R508" i="31"/>
  <c r="U508" i="31"/>
  <c r="V508" i="31"/>
  <c r="W508" i="31"/>
  <c r="AB508" i="31"/>
  <c r="AC508" i="31"/>
  <c r="AF508" i="31"/>
  <c r="C507" i="31" a="1"/>
  <c r="C507" i="31" s="1"/>
  <c r="D507" i="31" a="1"/>
  <c r="D507" i="31" s="1"/>
  <c r="L507" i="31"/>
  <c r="Q507" i="31"/>
  <c r="R507" i="31"/>
  <c r="U507" i="31"/>
  <c r="V507" i="31"/>
  <c r="W507" i="31"/>
  <c r="AB507" i="31"/>
  <c r="AC507" i="31"/>
  <c r="AF507" i="31"/>
  <c r="C1022" i="35" a="1"/>
  <c r="C1022" i="35" s="1"/>
  <c r="F1022" i="35"/>
  <c r="G1022" i="35" s="1"/>
  <c r="J1022" i="35"/>
  <c r="K1022" i="35" s="1"/>
  <c r="Q1022" i="35"/>
  <c r="C1021" i="35" a="1"/>
  <c r="C1021" i="35" s="1"/>
  <c r="F1021" i="35"/>
  <c r="G1021" i="35" s="1"/>
  <c r="J1021" i="35"/>
  <c r="K1021" i="35" s="1"/>
  <c r="Q1021" i="35"/>
  <c r="C506" i="31" a="1"/>
  <c r="C506" i="31" s="1"/>
  <c r="D506" i="31" a="1"/>
  <c r="D506" i="31" s="1"/>
  <c r="L506" i="31"/>
  <c r="Q506" i="31"/>
  <c r="R506" i="31"/>
  <c r="U506" i="31"/>
  <c r="V506" i="31"/>
  <c r="W506" i="31"/>
  <c r="AB506" i="31"/>
  <c r="AC506" i="31"/>
  <c r="AF506" i="31"/>
  <c r="C505" i="31" a="1"/>
  <c r="C505" i="31" s="1"/>
  <c r="D505" i="31" a="1"/>
  <c r="D505" i="31" s="1"/>
  <c r="L505" i="31"/>
  <c r="Q505" i="31"/>
  <c r="R505" i="31"/>
  <c r="U505" i="31"/>
  <c r="V505" i="31"/>
  <c r="W505" i="31"/>
  <c r="AB505" i="31"/>
  <c r="AC505" i="31"/>
  <c r="AF505" i="31"/>
  <c r="C1020" i="35" a="1"/>
  <c r="C1020" i="35" s="1"/>
  <c r="F1020" i="35"/>
  <c r="G1020" i="35" s="1"/>
  <c r="J1020" i="35"/>
  <c r="K1020" i="35" s="1"/>
  <c r="Q1020" i="35"/>
  <c r="C1019" i="35" a="1"/>
  <c r="C1019" i="35" s="1"/>
  <c r="F1019" i="35"/>
  <c r="G1019" i="35" s="1"/>
  <c r="J1019" i="35"/>
  <c r="K1019" i="35" s="1"/>
  <c r="Q1019" i="35"/>
  <c r="C1018" i="35" a="1"/>
  <c r="C1018" i="35" s="1"/>
  <c r="F1018" i="35"/>
  <c r="G1018" i="35" s="1"/>
  <c r="J1018" i="35"/>
  <c r="K1018" i="35" s="1"/>
  <c r="Q1018" i="35"/>
  <c r="C1017" i="35" a="1"/>
  <c r="C1017" i="35" s="1"/>
  <c r="F1017" i="35"/>
  <c r="G1017" i="35" s="1"/>
  <c r="J1017" i="35"/>
  <c r="K1017" i="35" s="1"/>
  <c r="Q1017" i="35"/>
  <c r="C1016" i="35" a="1"/>
  <c r="C1016" i="35" s="1"/>
  <c r="F1016" i="35"/>
  <c r="G1016" i="35" s="1"/>
  <c r="J1016" i="35"/>
  <c r="K1016" i="35" s="1"/>
  <c r="Q1016" i="35"/>
  <c r="C1015" i="35" a="1"/>
  <c r="C1015" i="35" s="1"/>
  <c r="F1015" i="35"/>
  <c r="G1015" i="35" s="1"/>
  <c r="J1015" i="35"/>
  <c r="K1015" i="35" s="1"/>
  <c r="Q1015" i="35"/>
  <c r="C1014" i="35" a="1"/>
  <c r="C1014" i="35" s="1"/>
  <c r="F1014" i="35"/>
  <c r="G1014" i="35" s="1"/>
  <c r="J1014" i="35"/>
  <c r="K1014" i="35" s="1"/>
  <c r="Q1014" i="35"/>
  <c r="C504" i="31" a="1"/>
  <c r="C504" i="31" s="1"/>
  <c r="D504" i="31" a="1"/>
  <c r="D504" i="31" s="1"/>
  <c r="L504" i="31"/>
  <c r="Q504" i="31"/>
  <c r="R504" i="31"/>
  <c r="U504" i="31"/>
  <c r="V504" i="31"/>
  <c r="W504" i="31"/>
  <c r="AB504" i="31"/>
  <c r="AC504" i="31"/>
  <c r="AF504" i="31"/>
  <c r="C1013" i="35" a="1"/>
  <c r="C1013" i="35" s="1"/>
  <c r="F1013" i="35"/>
  <c r="G1013" i="35" s="1"/>
  <c r="J1013" i="35"/>
  <c r="K1013" i="35" s="1"/>
  <c r="Q1013" i="35"/>
  <c r="C1012" i="35" a="1"/>
  <c r="C1012" i="35" s="1"/>
  <c r="F1012" i="35"/>
  <c r="G1012" i="35" s="1"/>
  <c r="J1012" i="35"/>
  <c r="K1012" i="35" s="1"/>
  <c r="Q1012" i="35"/>
  <c r="C1011" i="35" a="1"/>
  <c r="C1011" i="35" s="1"/>
  <c r="F1011" i="35"/>
  <c r="J1011" i="35"/>
  <c r="Q1011" i="35"/>
  <c r="B560" i="33" a="1"/>
  <c r="B560" i="33" s="1"/>
  <c r="E560" i="33" a="1"/>
  <c r="E560" i="33" s="1"/>
  <c r="F560" i="33" a="1"/>
  <c r="F560" i="33" s="1"/>
  <c r="G560" i="33" a="1"/>
  <c r="G560" i="33" s="1"/>
  <c r="L560" i="33" a="1"/>
  <c r="L560" i="33" s="1"/>
  <c r="M560" i="33"/>
  <c r="N560" i="33"/>
  <c r="P560" i="33"/>
  <c r="C1010" i="35" a="1"/>
  <c r="C1010" i="35" s="1"/>
  <c r="F1010" i="35"/>
  <c r="G1010" i="35" s="1"/>
  <c r="J1010" i="35"/>
  <c r="K1010" i="35" s="1"/>
  <c r="Q1010" i="35"/>
  <c r="C503" i="31" a="1"/>
  <c r="C503" i="31" s="1"/>
  <c r="D503" i="31" a="1"/>
  <c r="D503" i="31" s="1"/>
  <c r="L503" i="31"/>
  <c r="Q503" i="31"/>
  <c r="R503" i="31"/>
  <c r="U503" i="31"/>
  <c r="V503" i="31"/>
  <c r="W503" i="31"/>
  <c r="AB503" i="31"/>
  <c r="AC503" i="31"/>
  <c r="AF503" i="31"/>
  <c r="H356" i="6"/>
  <c r="J356" i="6" s="1"/>
  <c r="I356" i="6"/>
  <c r="K356" i="6" s="1"/>
  <c r="U356" i="6"/>
  <c r="C502" i="31" a="1"/>
  <c r="C502" i="31" s="1"/>
  <c r="D502" i="31" a="1"/>
  <c r="D502" i="31" s="1"/>
  <c r="L502" i="31"/>
  <c r="Q502" i="31"/>
  <c r="R502" i="31"/>
  <c r="U502" i="31"/>
  <c r="V502" i="31"/>
  <c r="W502" i="31"/>
  <c r="AB502" i="31"/>
  <c r="AC502" i="31"/>
  <c r="AF502" i="31"/>
  <c r="C501" i="31" a="1"/>
  <c r="C501" i="31" s="1"/>
  <c r="D501" i="31" a="1"/>
  <c r="D501" i="31" s="1"/>
  <c r="L501" i="31"/>
  <c r="Q501" i="31"/>
  <c r="R501" i="31"/>
  <c r="U501" i="31"/>
  <c r="V501" i="31"/>
  <c r="W501" i="31"/>
  <c r="AB501" i="31"/>
  <c r="AC501" i="31"/>
  <c r="AF501" i="31"/>
  <c r="C777" i="31" a="1"/>
  <c r="C777" i="31" s="1"/>
  <c r="D777" i="31" a="1"/>
  <c r="D777" i="31" s="1"/>
  <c r="L777" i="31"/>
  <c r="Q777" i="31"/>
  <c r="R777" i="31"/>
  <c r="U777" i="31"/>
  <c r="V777" i="31"/>
  <c r="W777" i="31"/>
  <c r="AB777" i="31"/>
  <c r="AC777" i="31"/>
  <c r="AF777" i="31"/>
  <c r="C499" i="31" a="1"/>
  <c r="C499" i="31" s="1"/>
  <c r="D499" i="31" a="1"/>
  <c r="D499" i="31" s="1"/>
  <c r="L499" i="31"/>
  <c r="Q499" i="31"/>
  <c r="R499" i="31"/>
  <c r="U499" i="31"/>
  <c r="V499" i="31"/>
  <c r="W499" i="31"/>
  <c r="AB499" i="31"/>
  <c r="AC499" i="31"/>
  <c r="AF499" i="31"/>
  <c r="C479" i="31" a="1"/>
  <c r="C479" i="31" s="1"/>
  <c r="D479" i="31" a="1"/>
  <c r="D479" i="31" s="1"/>
  <c r="L479" i="31"/>
  <c r="Q479" i="31"/>
  <c r="R479" i="31"/>
  <c r="U479" i="31"/>
  <c r="V479" i="31"/>
  <c r="W479" i="31"/>
  <c r="AB479" i="31"/>
  <c r="AC479" i="31"/>
  <c r="AF479" i="31"/>
  <c r="C1009" i="35" a="1"/>
  <c r="C1009" i="35" s="1"/>
  <c r="F1009" i="35"/>
  <c r="G1009" i="35" s="1"/>
  <c r="J1009" i="35"/>
  <c r="K1009" i="35" s="1"/>
  <c r="Q1009" i="35"/>
  <c r="C1008" i="35" a="1"/>
  <c r="C1008" i="35" s="1"/>
  <c r="F1008" i="35"/>
  <c r="G1008" i="35" s="1"/>
  <c r="J1008" i="35"/>
  <c r="K1008" i="35" s="1"/>
  <c r="Q1008" i="35"/>
  <c r="C1007" i="35" a="1"/>
  <c r="C1007" i="35" s="1"/>
  <c r="F1007" i="35"/>
  <c r="G1007" i="35" s="1"/>
  <c r="J1007" i="35"/>
  <c r="K1007" i="35" s="1"/>
  <c r="Q1007" i="35"/>
  <c r="C1006" i="35" a="1"/>
  <c r="C1006" i="35" s="1"/>
  <c r="F1006" i="35"/>
  <c r="G1006" i="35" s="1"/>
  <c r="J1006" i="35"/>
  <c r="K1006" i="35" s="1"/>
  <c r="Q1006" i="35"/>
  <c r="C498" i="31" a="1"/>
  <c r="C498" i="31" s="1"/>
  <c r="D498" i="31" a="1"/>
  <c r="D498" i="31" s="1"/>
  <c r="L498" i="31"/>
  <c r="Q498" i="31"/>
  <c r="R498" i="31"/>
  <c r="U498" i="31"/>
  <c r="V498" i="31"/>
  <c r="W498" i="31"/>
  <c r="AB498" i="31"/>
  <c r="AC498" i="31"/>
  <c r="AF498" i="31"/>
  <c r="B559" i="33" a="1"/>
  <c r="B559" i="33" s="1"/>
  <c r="E559" i="33" a="1"/>
  <c r="E559" i="33" s="1"/>
  <c r="F559" i="33" a="1"/>
  <c r="F559" i="33" s="1"/>
  <c r="G559" i="33" a="1"/>
  <c r="G559" i="33" s="1"/>
  <c r="H559" i="33"/>
  <c r="I559" i="33"/>
  <c r="L559" i="33" a="1"/>
  <c r="L559" i="33" s="1"/>
  <c r="P559" i="33"/>
  <c r="C478" i="31" a="1"/>
  <c r="C478" i="31" s="1"/>
  <c r="D478" i="31" a="1"/>
  <c r="D478" i="31" s="1"/>
  <c r="L478" i="31"/>
  <c r="Q478" i="31"/>
  <c r="R478" i="31"/>
  <c r="U478" i="31"/>
  <c r="V478" i="31"/>
  <c r="W478" i="31"/>
  <c r="AB478" i="31"/>
  <c r="AC478" i="31"/>
  <c r="AF478" i="31"/>
  <c r="H355" i="6"/>
  <c r="J355" i="6" s="1"/>
  <c r="I355" i="6"/>
  <c r="K355" i="6" s="1"/>
  <c r="U355" i="6"/>
  <c r="C480" i="31" a="1"/>
  <c r="C480" i="31" s="1"/>
  <c r="D480" i="31" a="1"/>
  <c r="D480" i="31" s="1"/>
  <c r="L480" i="31"/>
  <c r="Q480" i="31"/>
  <c r="R480" i="31"/>
  <c r="U480" i="31"/>
  <c r="V480" i="31"/>
  <c r="W480" i="31"/>
  <c r="AB480" i="31"/>
  <c r="AC480" i="31"/>
  <c r="AF480" i="31"/>
  <c r="C488" i="31" a="1"/>
  <c r="C488" i="31" s="1"/>
  <c r="D488" i="31" a="1"/>
  <c r="D488" i="31" s="1"/>
  <c r="L488" i="31"/>
  <c r="Q488" i="31"/>
  <c r="R488" i="31"/>
  <c r="U488" i="31"/>
  <c r="V488" i="31"/>
  <c r="W488" i="31"/>
  <c r="AB488" i="31"/>
  <c r="AC488" i="31"/>
  <c r="AF488" i="31"/>
  <c r="C487" i="31" a="1"/>
  <c r="C487" i="31" s="1"/>
  <c r="D487" i="31" a="1"/>
  <c r="D487" i="31" s="1"/>
  <c r="L487" i="31"/>
  <c r="Q487" i="31"/>
  <c r="R487" i="31"/>
  <c r="U487" i="31"/>
  <c r="V487" i="31"/>
  <c r="W487" i="31"/>
  <c r="AB487" i="31"/>
  <c r="AC487" i="31"/>
  <c r="AF487" i="31"/>
  <c r="C1005" i="35" a="1"/>
  <c r="C1005" i="35" s="1"/>
  <c r="F1005" i="35"/>
  <c r="G1005" i="35" s="1"/>
  <c r="J1005" i="35"/>
  <c r="K1005" i="35" s="1"/>
  <c r="Q1005" i="35"/>
  <c r="C486" i="31" a="1"/>
  <c r="C486" i="31" s="1"/>
  <c r="D486" i="31" a="1"/>
  <c r="D486" i="31" s="1"/>
  <c r="L486" i="31"/>
  <c r="Q486" i="31"/>
  <c r="R486" i="31"/>
  <c r="U486" i="31"/>
  <c r="V486" i="31"/>
  <c r="W486" i="31"/>
  <c r="AB486" i="31"/>
  <c r="AC486" i="31"/>
  <c r="AF486" i="31"/>
  <c r="C483" i="31" a="1"/>
  <c r="C483" i="31" s="1"/>
  <c r="D483" i="31" a="1"/>
  <c r="D483" i="31" s="1"/>
  <c r="L483" i="31"/>
  <c r="Q483" i="31"/>
  <c r="R483" i="31"/>
  <c r="U483" i="31"/>
  <c r="V483" i="31"/>
  <c r="W483" i="31"/>
  <c r="AB483" i="31"/>
  <c r="AC483" i="31"/>
  <c r="AF483" i="31"/>
  <c r="C1004" i="35" a="1"/>
  <c r="C1004" i="35" s="1"/>
  <c r="F1004" i="35"/>
  <c r="G1004" i="35" s="1"/>
  <c r="J1004" i="35"/>
  <c r="K1004" i="35" s="1"/>
  <c r="Q1004" i="35"/>
  <c r="C1003" i="35" a="1"/>
  <c r="C1003" i="35" s="1"/>
  <c r="F1003" i="35"/>
  <c r="G1003" i="35" s="1"/>
  <c r="J1003" i="35"/>
  <c r="K1003" i="35" s="1"/>
  <c r="Q1003" i="35"/>
  <c r="C1002" i="35" a="1"/>
  <c r="C1002" i="35" s="1"/>
  <c r="F1002" i="35"/>
  <c r="G1002" i="35" s="1"/>
  <c r="J1002" i="35"/>
  <c r="K1002" i="35" s="1"/>
  <c r="Q1002" i="35"/>
  <c r="C1001" i="35" a="1"/>
  <c r="C1001" i="35" s="1"/>
  <c r="F1001" i="35"/>
  <c r="G1001" i="35" s="1"/>
  <c r="J1001" i="35"/>
  <c r="K1001" i="35" s="1"/>
  <c r="Q1001" i="35"/>
  <c r="C1000" i="35" a="1"/>
  <c r="C1000" i="35" s="1"/>
  <c r="F1000" i="35"/>
  <c r="G1000" i="35" s="1"/>
  <c r="J1000" i="35"/>
  <c r="K1000" i="35" s="1"/>
  <c r="Q1000" i="35"/>
  <c r="C999" i="35" a="1"/>
  <c r="C999" i="35" s="1"/>
  <c r="F999" i="35"/>
  <c r="G999" i="35" s="1"/>
  <c r="J999" i="35"/>
  <c r="K999" i="35" s="1"/>
  <c r="Q999" i="35"/>
  <c r="C998" i="35" a="1"/>
  <c r="C998" i="35" s="1"/>
  <c r="F998" i="35"/>
  <c r="G998" i="35" s="1"/>
  <c r="J998" i="35"/>
  <c r="K998" i="35" s="1"/>
  <c r="Q998" i="35"/>
  <c r="C997" i="35" a="1"/>
  <c r="C997" i="35" s="1"/>
  <c r="F997" i="35"/>
  <c r="G997" i="35" s="1"/>
  <c r="J997" i="35"/>
  <c r="K997" i="35" s="1"/>
  <c r="Q997" i="35"/>
  <c r="C996" i="35" a="1"/>
  <c r="C996" i="35" s="1"/>
  <c r="F996" i="35"/>
  <c r="G996" i="35" s="1"/>
  <c r="J996" i="35"/>
  <c r="K996" i="35" s="1"/>
  <c r="Q996" i="35"/>
  <c r="C995" i="35" a="1"/>
  <c r="C995" i="35" s="1"/>
  <c r="F995" i="35"/>
  <c r="H1909" i="35" s="1"/>
  <c r="J995" i="35"/>
  <c r="L1909" i="35" s="1"/>
  <c r="Q995" i="35"/>
  <c r="C994" i="35" a="1"/>
  <c r="C994" i="35" s="1"/>
  <c r="F994" i="35"/>
  <c r="H1089" i="35" s="1"/>
  <c r="J994" i="35"/>
  <c r="L1089" i="35" s="1"/>
  <c r="Q994" i="35"/>
  <c r="B558" i="33" a="1"/>
  <c r="B558" i="33" s="1"/>
  <c r="E558" i="33" a="1"/>
  <c r="E558" i="33" s="1"/>
  <c r="F558" i="33" a="1"/>
  <c r="F558" i="33" s="1"/>
  <c r="G558" i="33" a="1"/>
  <c r="G558" i="33" s="1"/>
  <c r="L558" i="33" a="1"/>
  <c r="L558" i="33" s="1"/>
  <c r="M558" i="33"/>
  <c r="N558" i="33"/>
  <c r="P558" i="33"/>
  <c r="C993" i="35" a="1"/>
  <c r="C993" i="35" s="1"/>
  <c r="F993" i="35"/>
  <c r="G993" i="35" s="1"/>
  <c r="J993" i="35"/>
  <c r="K993" i="35" s="1"/>
  <c r="Q993" i="35"/>
  <c r="C992" i="35" a="1"/>
  <c r="C992" i="35" s="1"/>
  <c r="F992" i="35"/>
  <c r="G992" i="35" s="1"/>
  <c r="J992" i="35"/>
  <c r="K992" i="35" s="1"/>
  <c r="Q992" i="35"/>
  <c r="C991" i="35" a="1"/>
  <c r="C991" i="35" s="1"/>
  <c r="F991" i="35"/>
  <c r="G991" i="35" s="1"/>
  <c r="J991" i="35"/>
  <c r="K991" i="35" s="1"/>
  <c r="Q991" i="35"/>
  <c r="C990" i="35" a="1"/>
  <c r="C990" i="35" s="1"/>
  <c r="F990" i="35"/>
  <c r="G990" i="35" s="1"/>
  <c r="J990" i="35"/>
  <c r="K990" i="35" s="1"/>
  <c r="Q990" i="35"/>
  <c r="C989" i="35" a="1"/>
  <c r="C989" i="35" s="1"/>
  <c r="F989" i="35"/>
  <c r="G989" i="35" s="1"/>
  <c r="J989" i="35"/>
  <c r="K989" i="35" s="1"/>
  <c r="Q989" i="35"/>
  <c r="C988" i="35" a="1"/>
  <c r="C988" i="35" s="1"/>
  <c r="F988" i="35"/>
  <c r="G988" i="35" s="1"/>
  <c r="J988" i="35"/>
  <c r="K988" i="35" s="1"/>
  <c r="Q988" i="35"/>
  <c r="C491" i="31" a="1"/>
  <c r="C491" i="31" s="1"/>
  <c r="D491" i="31" a="1"/>
  <c r="D491" i="31" s="1"/>
  <c r="L491" i="31"/>
  <c r="Q491" i="31"/>
  <c r="R491" i="31"/>
  <c r="U491" i="31"/>
  <c r="V491" i="31"/>
  <c r="W491" i="31"/>
  <c r="AB491" i="31"/>
  <c r="AC491" i="31"/>
  <c r="AF491" i="31"/>
  <c r="C489" i="31" a="1"/>
  <c r="C489" i="31" s="1"/>
  <c r="D489" i="31" a="1"/>
  <c r="D489" i="31" s="1"/>
  <c r="L489" i="31"/>
  <c r="Q489" i="31"/>
  <c r="R489" i="31"/>
  <c r="U489" i="31"/>
  <c r="V489" i="31"/>
  <c r="W489" i="31"/>
  <c r="AB489" i="31"/>
  <c r="AC489" i="31"/>
  <c r="AF489" i="31"/>
  <c r="C987" i="35" a="1"/>
  <c r="C987" i="35" s="1"/>
  <c r="F987" i="35"/>
  <c r="G987" i="35" s="1"/>
  <c r="J987" i="35"/>
  <c r="K987" i="35" s="1"/>
  <c r="Q987" i="35"/>
  <c r="C477" i="31" a="1"/>
  <c r="C477" i="31" s="1"/>
  <c r="D477" i="31" a="1"/>
  <c r="D477" i="31" s="1"/>
  <c r="L477" i="31"/>
  <c r="Q477" i="31"/>
  <c r="R477" i="31"/>
  <c r="U477" i="31"/>
  <c r="V477" i="31"/>
  <c r="W477" i="31"/>
  <c r="AB477" i="31"/>
  <c r="AC477" i="31"/>
  <c r="AF477" i="31"/>
  <c r="C986" i="35" a="1"/>
  <c r="C986" i="35" s="1"/>
  <c r="F986" i="35"/>
  <c r="G986" i="35" s="1"/>
  <c r="J986" i="35"/>
  <c r="K986" i="35" s="1"/>
  <c r="Q986" i="35"/>
  <c r="C985" i="35" a="1"/>
  <c r="C985" i="35" s="1"/>
  <c r="F985" i="35"/>
  <c r="G985" i="35" s="1"/>
  <c r="J985" i="35"/>
  <c r="K985" i="35" s="1"/>
  <c r="Q985" i="35"/>
  <c r="C984" i="35" a="1"/>
  <c r="C984" i="35" s="1"/>
  <c r="F984" i="35"/>
  <c r="G984" i="35" s="1"/>
  <c r="J984" i="35"/>
  <c r="K984" i="35" s="1"/>
  <c r="Q984" i="35"/>
  <c r="C475" i="31" a="1"/>
  <c r="C475" i="31" s="1"/>
  <c r="D475" i="31" a="1"/>
  <c r="D475" i="31" s="1"/>
  <c r="L475" i="31"/>
  <c r="Q475" i="31"/>
  <c r="R475" i="31"/>
  <c r="U475" i="31"/>
  <c r="V475" i="31"/>
  <c r="W475" i="31"/>
  <c r="AB475" i="31"/>
  <c r="AC475" i="31"/>
  <c r="AF475" i="31"/>
  <c r="C474" i="31" a="1"/>
  <c r="C474" i="31" s="1"/>
  <c r="D474" i="31" a="1"/>
  <c r="D474" i="31" s="1"/>
  <c r="L474" i="31"/>
  <c r="Q474" i="31"/>
  <c r="R474" i="31"/>
  <c r="U474" i="31"/>
  <c r="V474" i="31"/>
  <c r="W474" i="31"/>
  <c r="AB474" i="31"/>
  <c r="AC474" i="31"/>
  <c r="AF474" i="31"/>
  <c r="B557" i="33" a="1"/>
  <c r="B557" i="33" s="1"/>
  <c r="E557" i="33" a="1"/>
  <c r="E557" i="33" s="1"/>
  <c r="F557" i="33" a="1"/>
  <c r="F557" i="33" s="1"/>
  <c r="G557" i="33" a="1"/>
  <c r="G557" i="33" s="1"/>
  <c r="H557" i="33"/>
  <c r="I557" i="33"/>
  <c r="L557" i="33" a="1"/>
  <c r="L557" i="33" s="1"/>
  <c r="P557" i="33"/>
  <c r="C471" i="31" a="1"/>
  <c r="C471" i="31" s="1"/>
  <c r="D471" i="31" a="1"/>
  <c r="D471" i="31" s="1"/>
  <c r="L471" i="31"/>
  <c r="Q471" i="31"/>
  <c r="R471" i="31"/>
  <c r="U471" i="31"/>
  <c r="V471" i="31"/>
  <c r="W471" i="31"/>
  <c r="AB471" i="31"/>
  <c r="AC471" i="31"/>
  <c r="AF471" i="31"/>
  <c r="C983" i="35" a="1"/>
  <c r="C983" i="35" s="1"/>
  <c r="F983" i="35"/>
  <c r="G983" i="35" s="1"/>
  <c r="J983" i="35"/>
  <c r="K983" i="35" s="1"/>
  <c r="Q983" i="35"/>
  <c r="C982" i="35" a="1"/>
  <c r="C982" i="35" s="1"/>
  <c r="F982" i="35"/>
  <c r="G982" i="35" s="1"/>
  <c r="J982" i="35"/>
  <c r="K982" i="35" s="1"/>
  <c r="Q982" i="35"/>
  <c r="C981" i="35" a="1"/>
  <c r="C981" i="35" s="1"/>
  <c r="F981" i="35"/>
  <c r="H2050" i="35" s="1"/>
  <c r="J981" i="35"/>
  <c r="L2050" i="35" s="1"/>
  <c r="Q981" i="35"/>
  <c r="B22" i="33" a="1"/>
  <c r="B22" i="33" s="1"/>
  <c r="E22" i="33" a="1"/>
  <c r="E22" i="33" s="1"/>
  <c r="F22" i="33" a="1"/>
  <c r="F22" i="33" s="1"/>
  <c r="G22" i="33" a="1"/>
  <c r="G22" i="33" s="1"/>
  <c r="L22" i="33" a="1"/>
  <c r="L22" i="33" s="1"/>
  <c r="M22" i="33"/>
  <c r="N22" i="33"/>
  <c r="P22" i="33"/>
  <c r="C485" i="31" a="1"/>
  <c r="C485" i="31" s="1"/>
  <c r="D485" i="31" a="1"/>
  <c r="D485" i="31" s="1"/>
  <c r="L485" i="31"/>
  <c r="Q485" i="31"/>
  <c r="R485" i="31"/>
  <c r="U485" i="31"/>
  <c r="V485" i="31"/>
  <c r="W485" i="31"/>
  <c r="AB485" i="31"/>
  <c r="AC485" i="31"/>
  <c r="AF485" i="31"/>
  <c r="C484" i="31" a="1"/>
  <c r="C484" i="31" s="1"/>
  <c r="D484" i="31" a="1"/>
  <c r="D484" i="31" s="1"/>
  <c r="L484" i="31"/>
  <c r="Q484" i="31"/>
  <c r="R484" i="31"/>
  <c r="U484" i="31"/>
  <c r="V484" i="31"/>
  <c r="W484" i="31"/>
  <c r="AB484" i="31"/>
  <c r="AC484" i="31"/>
  <c r="AF484" i="31"/>
  <c r="C980" i="35" a="1"/>
  <c r="C980" i="35" s="1"/>
  <c r="F980" i="35"/>
  <c r="G980" i="35" s="1"/>
  <c r="J980" i="35"/>
  <c r="K980" i="35" s="1"/>
  <c r="Q980" i="35"/>
  <c r="C979" i="35" a="1"/>
  <c r="C979" i="35" s="1"/>
  <c r="F979" i="35"/>
  <c r="G979" i="35" s="1"/>
  <c r="J979" i="35"/>
  <c r="K979" i="35" s="1"/>
  <c r="Q979" i="35"/>
  <c r="C978" i="35" a="1"/>
  <c r="C978" i="35" s="1"/>
  <c r="F978" i="35"/>
  <c r="G978" i="35" s="1"/>
  <c r="J978" i="35"/>
  <c r="K978" i="35" s="1"/>
  <c r="Q978" i="35"/>
  <c r="C977" i="35" a="1"/>
  <c r="C977" i="35" s="1"/>
  <c r="F977" i="35"/>
  <c r="G977" i="35" s="1"/>
  <c r="J977" i="35"/>
  <c r="K977" i="35" s="1"/>
  <c r="Q977" i="35"/>
  <c r="C976" i="35" a="1"/>
  <c r="C976" i="35" s="1"/>
  <c r="F976" i="35"/>
  <c r="G976" i="35" s="1"/>
  <c r="J976" i="35"/>
  <c r="K976" i="35" s="1"/>
  <c r="Q976" i="35"/>
  <c r="C975" i="35" a="1"/>
  <c r="C975" i="35" s="1"/>
  <c r="F975" i="35"/>
  <c r="G975" i="35" s="1"/>
  <c r="J975" i="35"/>
  <c r="K975" i="35" s="1"/>
  <c r="Q975" i="35"/>
  <c r="C974" i="35" a="1"/>
  <c r="C974" i="35" s="1"/>
  <c r="F974" i="35"/>
  <c r="G974" i="35" s="1"/>
  <c r="J974" i="35"/>
  <c r="K974" i="35" s="1"/>
  <c r="Q974" i="35"/>
  <c r="C973" i="35" a="1"/>
  <c r="C973" i="35" s="1"/>
  <c r="F973" i="35"/>
  <c r="G973" i="35" s="1"/>
  <c r="J973" i="35"/>
  <c r="K973" i="35" s="1"/>
  <c r="Q973" i="35"/>
  <c r="B170" i="33" a="1"/>
  <c r="B170" i="33" s="1"/>
  <c r="E170" i="33" a="1"/>
  <c r="E170" i="33" s="1"/>
  <c r="F170" i="33" a="1"/>
  <c r="F170" i="33" s="1"/>
  <c r="G170" i="33" a="1"/>
  <c r="G170" i="33" s="1"/>
  <c r="L170" i="33" a="1"/>
  <c r="L170" i="33" s="1"/>
  <c r="M170" i="33"/>
  <c r="N170" i="33"/>
  <c r="P170" i="33"/>
  <c r="C972" i="35" a="1"/>
  <c r="C972" i="35" s="1"/>
  <c r="F972" i="35"/>
  <c r="J972" i="35"/>
  <c r="Q972" i="35"/>
  <c r="C492" i="31" a="1"/>
  <c r="C492" i="31" s="1"/>
  <c r="D492" i="31" a="1"/>
  <c r="D492" i="31" s="1"/>
  <c r="L492" i="31"/>
  <c r="Q492" i="31"/>
  <c r="R492" i="31"/>
  <c r="U492" i="31"/>
  <c r="V492" i="31"/>
  <c r="W492" i="31"/>
  <c r="AB492" i="31"/>
  <c r="AC492" i="31"/>
  <c r="AF492" i="31"/>
  <c r="C971" i="35" a="1"/>
  <c r="C971" i="35" s="1"/>
  <c r="F971" i="35"/>
  <c r="G971" i="35" s="1"/>
  <c r="J971" i="35"/>
  <c r="K971" i="35" s="1"/>
  <c r="Q971" i="35"/>
  <c r="C970" i="35" a="1"/>
  <c r="C970" i="35" s="1"/>
  <c r="F970" i="35"/>
  <c r="G970" i="35" s="1"/>
  <c r="J970" i="35"/>
  <c r="K970" i="35" s="1"/>
  <c r="Q970" i="35"/>
  <c r="C490" i="31" a="1"/>
  <c r="C490" i="31" s="1"/>
  <c r="D490" i="31" a="1"/>
  <c r="D490" i="31" s="1"/>
  <c r="L490" i="31"/>
  <c r="Q490" i="31"/>
  <c r="R490" i="31"/>
  <c r="U490" i="31"/>
  <c r="V490" i="31"/>
  <c r="W490" i="31"/>
  <c r="AB490" i="31"/>
  <c r="AC490" i="31"/>
  <c r="AF490" i="31"/>
  <c r="C481" i="31" a="1"/>
  <c r="C481" i="31" s="1"/>
  <c r="D481" i="31" a="1"/>
  <c r="D481" i="31" s="1"/>
  <c r="L481" i="31"/>
  <c r="Q481" i="31"/>
  <c r="R481" i="31"/>
  <c r="U481" i="31"/>
  <c r="V481" i="31"/>
  <c r="W481" i="31"/>
  <c r="AB481" i="31"/>
  <c r="AC481" i="31"/>
  <c r="AF481" i="31"/>
  <c r="C969" i="35" a="1"/>
  <c r="C969" i="35" s="1"/>
  <c r="F969" i="35"/>
  <c r="G969" i="35" s="1"/>
  <c r="J969" i="35"/>
  <c r="K969" i="35" s="1"/>
  <c r="Q969" i="35"/>
  <c r="C968" i="35" a="1"/>
  <c r="C968" i="35" s="1"/>
  <c r="F968" i="35"/>
  <c r="G968" i="35" s="1"/>
  <c r="J968" i="35"/>
  <c r="K968" i="35" s="1"/>
  <c r="Q968" i="35"/>
  <c r="C967" i="35" a="1"/>
  <c r="C967" i="35" s="1"/>
  <c r="F967" i="35"/>
  <c r="J967" i="35"/>
  <c r="Q967" i="35"/>
  <c r="C966" i="35" a="1"/>
  <c r="C966" i="35" s="1"/>
  <c r="F966" i="35"/>
  <c r="G966" i="35" s="1"/>
  <c r="J966" i="35"/>
  <c r="K966" i="35" s="1"/>
  <c r="Q966" i="35"/>
  <c r="C965" i="35" a="1"/>
  <c r="C965" i="35" s="1"/>
  <c r="F965" i="35"/>
  <c r="G965" i="35" s="1"/>
  <c r="J965" i="35"/>
  <c r="K965" i="35" s="1"/>
  <c r="Q965" i="35"/>
  <c r="C465" i="31" a="1"/>
  <c r="C465" i="31" s="1"/>
  <c r="D465" i="31" a="1"/>
  <c r="D465" i="31" s="1"/>
  <c r="L465" i="31"/>
  <c r="Q465" i="31"/>
  <c r="R465" i="31"/>
  <c r="U465" i="31"/>
  <c r="V465" i="31"/>
  <c r="W465" i="31"/>
  <c r="AB465" i="31"/>
  <c r="AC465" i="31"/>
  <c r="AF465" i="31"/>
  <c r="C469" i="31" a="1"/>
  <c r="C469" i="31" s="1"/>
  <c r="D469" i="31" a="1"/>
  <c r="D469" i="31" s="1"/>
  <c r="L469" i="31"/>
  <c r="Q469" i="31"/>
  <c r="R469" i="31"/>
  <c r="U469" i="31"/>
  <c r="V469" i="31"/>
  <c r="W469" i="31"/>
  <c r="AB469" i="31"/>
  <c r="AC469" i="31"/>
  <c r="AF469" i="31"/>
  <c r="C468" i="31" a="1"/>
  <c r="C468" i="31" s="1"/>
  <c r="D468" i="31" a="1"/>
  <c r="D468" i="31" s="1"/>
  <c r="L468" i="31"/>
  <c r="Q468" i="31"/>
  <c r="R468" i="31"/>
  <c r="U468" i="31"/>
  <c r="V468" i="31"/>
  <c r="W468" i="31"/>
  <c r="AB468" i="31"/>
  <c r="AC468" i="31"/>
  <c r="AF468" i="31"/>
  <c r="C964" i="35" a="1"/>
  <c r="C964" i="35" s="1"/>
  <c r="F964" i="35"/>
  <c r="G964" i="35" s="1"/>
  <c r="J964" i="35"/>
  <c r="K964" i="35" s="1"/>
  <c r="Q964" i="35"/>
  <c r="C495" i="31" a="1"/>
  <c r="C495" i="31" s="1"/>
  <c r="D495" i="31" a="1"/>
  <c r="D495" i="31" s="1"/>
  <c r="L495" i="31"/>
  <c r="Q495" i="31"/>
  <c r="R495" i="31"/>
  <c r="U495" i="31"/>
  <c r="V495" i="31"/>
  <c r="W495" i="31"/>
  <c r="AB495" i="31"/>
  <c r="AC495" i="31"/>
  <c r="AF495" i="31"/>
  <c r="C476" i="31" a="1"/>
  <c r="C476" i="31" s="1"/>
  <c r="D476" i="31" a="1"/>
  <c r="D476" i="31" s="1"/>
  <c r="L476" i="31"/>
  <c r="Q476" i="31"/>
  <c r="R476" i="31"/>
  <c r="U476" i="31"/>
  <c r="V476" i="31"/>
  <c r="W476" i="31"/>
  <c r="AB476" i="31"/>
  <c r="AC476" i="31"/>
  <c r="AF476" i="31"/>
  <c r="C464" i="31" a="1"/>
  <c r="C464" i="31" s="1"/>
  <c r="D464" i="31" a="1"/>
  <c r="D464" i="31" s="1"/>
  <c r="L464" i="31"/>
  <c r="Q464" i="31"/>
  <c r="R464" i="31"/>
  <c r="U464" i="31"/>
  <c r="V464" i="31"/>
  <c r="W464" i="31"/>
  <c r="AB464" i="31"/>
  <c r="AC464" i="31"/>
  <c r="AF464" i="31"/>
  <c r="C963" i="35" a="1"/>
  <c r="C963" i="35" s="1"/>
  <c r="F963" i="35"/>
  <c r="G963" i="35" s="1"/>
  <c r="J963" i="35"/>
  <c r="K963" i="35" s="1"/>
  <c r="Q963" i="35"/>
  <c r="C962" i="35" a="1"/>
  <c r="C962" i="35" s="1"/>
  <c r="F962" i="35"/>
  <c r="G962" i="35" s="1"/>
  <c r="J962" i="35"/>
  <c r="K962" i="35" s="1"/>
  <c r="Q962" i="35"/>
  <c r="C961" i="35" a="1"/>
  <c r="C961" i="35" s="1"/>
  <c r="F961" i="35"/>
  <c r="G961" i="35" s="1"/>
  <c r="J961" i="35"/>
  <c r="K961" i="35" s="1"/>
  <c r="Q961" i="35"/>
  <c r="C960" i="35" a="1"/>
  <c r="C960" i="35" s="1"/>
  <c r="F960" i="35"/>
  <c r="G960" i="35" s="1"/>
  <c r="J960" i="35"/>
  <c r="K960" i="35" s="1"/>
  <c r="Q960" i="35"/>
  <c r="C959" i="35" a="1"/>
  <c r="C959" i="35" s="1"/>
  <c r="F959" i="35"/>
  <c r="G959" i="35" s="1"/>
  <c r="J959" i="35"/>
  <c r="K959" i="35" s="1"/>
  <c r="Q959" i="35"/>
  <c r="C958" i="35" a="1"/>
  <c r="C958" i="35" s="1"/>
  <c r="F958" i="35"/>
  <c r="G958" i="35" s="1"/>
  <c r="J958" i="35"/>
  <c r="K958" i="35" s="1"/>
  <c r="Q958" i="35"/>
  <c r="C957" i="35" a="1"/>
  <c r="C957" i="35" s="1"/>
  <c r="F957" i="35"/>
  <c r="G957" i="35" s="1"/>
  <c r="J957" i="35"/>
  <c r="K957" i="35" s="1"/>
  <c r="Q957" i="35"/>
  <c r="C956" i="35" a="1"/>
  <c r="C956" i="35" s="1"/>
  <c r="F956" i="35"/>
  <c r="J956" i="35"/>
  <c r="Q956" i="35"/>
  <c r="C955" i="35" a="1"/>
  <c r="C955" i="35" s="1"/>
  <c r="F955" i="35"/>
  <c r="G955" i="35" s="1"/>
  <c r="J955" i="35"/>
  <c r="K955" i="35" s="1"/>
  <c r="Q955" i="35"/>
  <c r="C954" i="35" a="1"/>
  <c r="C954" i="35" s="1"/>
  <c r="F954" i="35"/>
  <c r="G954" i="35" s="1"/>
  <c r="J954" i="35"/>
  <c r="K954" i="35" s="1"/>
  <c r="Q954" i="35"/>
  <c r="C953" i="35" a="1"/>
  <c r="C953" i="35" s="1"/>
  <c r="F953" i="35"/>
  <c r="G953" i="35" s="1"/>
  <c r="J953" i="35"/>
  <c r="K953" i="35" s="1"/>
  <c r="Q953" i="35"/>
  <c r="C952" i="35" a="1"/>
  <c r="C952" i="35" s="1"/>
  <c r="F952" i="35"/>
  <c r="G952" i="35" s="1"/>
  <c r="J952" i="35"/>
  <c r="K952" i="35" s="1"/>
  <c r="Q952" i="35"/>
  <c r="C951" i="35" a="1"/>
  <c r="C951" i="35" s="1"/>
  <c r="F951" i="35"/>
  <c r="G951" i="35" s="1"/>
  <c r="J951" i="35"/>
  <c r="K951" i="35" s="1"/>
  <c r="Q951" i="35"/>
  <c r="C950" i="35" a="1"/>
  <c r="C950" i="35" s="1"/>
  <c r="F950" i="35"/>
  <c r="G950" i="35" s="1"/>
  <c r="J950" i="35"/>
  <c r="K950" i="35" s="1"/>
  <c r="Q950" i="35"/>
  <c r="C949" i="35" a="1"/>
  <c r="C949" i="35" s="1"/>
  <c r="F949" i="35"/>
  <c r="G949" i="35" s="1"/>
  <c r="J949" i="35"/>
  <c r="K949" i="35" s="1"/>
  <c r="Q949" i="35"/>
  <c r="C948" i="35" a="1"/>
  <c r="C948" i="35" s="1"/>
  <c r="F948" i="35"/>
  <c r="G948" i="35" s="1"/>
  <c r="J948" i="35"/>
  <c r="K948" i="35" s="1"/>
  <c r="Q948" i="35"/>
  <c r="C947" i="35" a="1"/>
  <c r="C947" i="35" s="1"/>
  <c r="F947" i="35"/>
  <c r="G947" i="35" s="1"/>
  <c r="J947" i="35"/>
  <c r="K947" i="35" s="1"/>
  <c r="Q947" i="35"/>
  <c r="C946" i="35" a="1"/>
  <c r="C946" i="35" s="1"/>
  <c r="F946" i="35"/>
  <c r="G946" i="35" s="1"/>
  <c r="J946" i="35"/>
  <c r="K946" i="35" s="1"/>
  <c r="Q946" i="35"/>
  <c r="C945" i="35" a="1"/>
  <c r="C945" i="35" s="1"/>
  <c r="F945" i="35"/>
  <c r="G945" i="35" s="1"/>
  <c r="J945" i="35"/>
  <c r="K945" i="35" s="1"/>
  <c r="Q945" i="35"/>
  <c r="C944" i="35" a="1"/>
  <c r="C944" i="35" s="1"/>
  <c r="F944" i="35"/>
  <c r="G944" i="35" s="1"/>
  <c r="J944" i="35"/>
  <c r="K944" i="35" s="1"/>
  <c r="Q944" i="35"/>
  <c r="C943" i="35" a="1"/>
  <c r="C943" i="35" s="1"/>
  <c r="F943" i="35"/>
  <c r="G943" i="35" s="1"/>
  <c r="J943" i="35"/>
  <c r="K943" i="35" s="1"/>
  <c r="Q943" i="35"/>
  <c r="C942" i="35" a="1"/>
  <c r="C942" i="35" s="1"/>
  <c r="F942" i="35"/>
  <c r="G942" i="35" s="1"/>
  <c r="J942" i="35"/>
  <c r="K942" i="35" s="1"/>
  <c r="Q942" i="35"/>
  <c r="C941" i="35" a="1"/>
  <c r="C941" i="35" s="1"/>
  <c r="F941" i="35"/>
  <c r="G941" i="35" s="1"/>
  <c r="J941" i="35"/>
  <c r="K941" i="35" s="1"/>
  <c r="Q941" i="35"/>
  <c r="C940" i="35" a="1"/>
  <c r="C940" i="35" s="1"/>
  <c r="F940" i="35"/>
  <c r="G940" i="35" s="1"/>
  <c r="J940" i="35"/>
  <c r="K940" i="35" s="1"/>
  <c r="Q940" i="35"/>
  <c r="C939" i="35" a="1"/>
  <c r="C939" i="35" s="1"/>
  <c r="F939" i="35"/>
  <c r="G939" i="35" s="1"/>
  <c r="J939" i="35"/>
  <c r="K939" i="35" s="1"/>
  <c r="Q939" i="35"/>
  <c r="C938" i="35" a="1"/>
  <c r="C938" i="35" s="1"/>
  <c r="F938" i="35"/>
  <c r="G938" i="35" s="1"/>
  <c r="J938" i="35"/>
  <c r="K938" i="35" s="1"/>
  <c r="Q938" i="35"/>
  <c r="C937" i="35" a="1"/>
  <c r="C937" i="35" s="1"/>
  <c r="F937" i="35"/>
  <c r="G937" i="35" s="1"/>
  <c r="J937" i="35"/>
  <c r="K937" i="35" s="1"/>
  <c r="Q937" i="35"/>
  <c r="C936" i="35" a="1"/>
  <c r="C936" i="35" s="1"/>
  <c r="F936" i="35"/>
  <c r="G936" i="35" s="1"/>
  <c r="J936" i="35"/>
  <c r="K936" i="35" s="1"/>
  <c r="Q936" i="35"/>
  <c r="C935" i="35" a="1"/>
  <c r="C935" i="35" s="1"/>
  <c r="F935" i="35"/>
  <c r="G935" i="35" s="1"/>
  <c r="J935" i="35"/>
  <c r="K935" i="35" s="1"/>
  <c r="Q935" i="35"/>
  <c r="C934" i="35" a="1"/>
  <c r="C934" i="35" s="1"/>
  <c r="F934" i="35"/>
  <c r="G934" i="35" s="1"/>
  <c r="J934" i="35"/>
  <c r="K934" i="35" s="1"/>
  <c r="Q934" i="35"/>
  <c r="C933" i="35" a="1"/>
  <c r="C933" i="35" s="1"/>
  <c r="F933" i="35"/>
  <c r="G933" i="35" s="1"/>
  <c r="J933" i="35"/>
  <c r="K933" i="35" s="1"/>
  <c r="Q933" i="35"/>
  <c r="C932" i="35" a="1"/>
  <c r="C932" i="35" s="1"/>
  <c r="F932" i="35"/>
  <c r="G932" i="35" s="1"/>
  <c r="J932" i="35"/>
  <c r="K932" i="35" s="1"/>
  <c r="Q932" i="35"/>
  <c r="C931" i="35" a="1"/>
  <c r="C931" i="35" s="1"/>
  <c r="F931" i="35"/>
  <c r="G931" i="35" s="1"/>
  <c r="J931" i="35"/>
  <c r="K931" i="35" s="1"/>
  <c r="Q931" i="35"/>
  <c r="C930" i="35" a="1"/>
  <c r="C930" i="35" s="1"/>
  <c r="F930" i="35"/>
  <c r="G930" i="35" s="1"/>
  <c r="J930" i="35"/>
  <c r="K930" i="35" s="1"/>
  <c r="Q930" i="35"/>
  <c r="C929" i="35" a="1"/>
  <c r="C929" i="35" s="1"/>
  <c r="F929" i="35"/>
  <c r="G929" i="35" s="1"/>
  <c r="J929" i="35"/>
  <c r="K929" i="35" s="1"/>
  <c r="Q929" i="35"/>
  <c r="C928" i="35" a="1"/>
  <c r="C928" i="35" s="1"/>
  <c r="F928" i="35"/>
  <c r="G928" i="35" s="1"/>
  <c r="J928" i="35"/>
  <c r="K928" i="35" s="1"/>
  <c r="Q928" i="35"/>
  <c r="C927" i="35" a="1"/>
  <c r="C927" i="35" s="1"/>
  <c r="F927" i="35"/>
  <c r="G927" i="35" s="1"/>
  <c r="J927" i="35"/>
  <c r="K927" i="35" s="1"/>
  <c r="Q927" i="35"/>
  <c r="C926" i="35" a="1"/>
  <c r="C926" i="35" s="1"/>
  <c r="F926" i="35"/>
  <c r="G926" i="35" s="1"/>
  <c r="J926" i="35"/>
  <c r="K926" i="35" s="1"/>
  <c r="Q926" i="35"/>
  <c r="C925" i="35" a="1"/>
  <c r="C925" i="35" s="1"/>
  <c r="F925" i="35"/>
  <c r="G925" i="35" s="1"/>
  <c r="J925" i="35"/>
  <c r="K925" i="35" s="1"/>
  <c r="Q925" i="35"/>
  <c r="C924" i="35" a="1"/>
  <c r="C924" i="35" s="1"/>
  <c r="F924" i="35"/>
  <c r="G924" i="35" s="1"/>
  <c r="J924" i="35"/>
  <c r="K924" i="35" s="1"/>
  <c r="Q924" i="35"/>
  <c r="C923" i="35" a="1"/>
  <c r="C923" i="35" s="1"/>
  <c r="F923" i="35"/>
  <c r="G923" i="35" s="1"/>
  <c r="J923" i="35"/>
  <c r="K923" i="35" s="1"/>
  <c r="Q923" i="35"/>
  <c r="C922" i="35" a="1"/>
  <c r="C922" i="35" s="1"/>
  <c r="F922" i="35"/>
  <c r="G922" i="35" s="1"/>
  <c r="J922" i="35"/>
  <c r="K922" i="35" s="1"/>
  <c r="Q922" i="35"/>
  <c r="C921" i="35" a="1"/>
  <c r="C921" i="35" s="1"/>
  <c r="F921" i="35"/>
  <c r="G921" i="35" s="1"/>
  <c r="J921" i="35"/>
  <c r="K921" i="35" s="1"/>
  <c r="Q921" i="35"/>
  <c r="C920" i="35" a="1"/>
  <c r="C920" i="35" s="1"/>
  <c r="F920" i="35"/>
  <c r="G920" i="35" s="1"/>
  <c r="J920" i="35"/>
  <c r="K920" i="35" s="1"/>
  <c r="Q920" i="35"/>
  <c r="C919" i="35" a="1"/>
  <c r="C919" i="35" s="1"/>
  <c r="F919" i="35"/>
  <c r="G919" i="35" s="1"/>
  <c r="J919" i="35"/>
  <c r="K919" i="35" s="1"/>
  <c r="Q919" i="35"/>
  <c r="C918" i="35" a="1"/>
  <c r="C918" i="35" s="1"/>
  <c r="F918" i="35"/>
  <c r="G918" i="35" s="1"/>
  <c r="J918" i="35"/>
  <c r="K918" i="35" s="1"/>
  <c r="Q918" i="35"/>
  <c r="C917" i="35" a="1"/>
  <c r="C917" i="35" s="1"/>
  <c r="F917" i="35"/>
  <c r="G917" i="35" s="1"/>
  <c r="J917" i="35"/>
  <c r="K917" i="35" s="1"/>
  <c r="Q917" i="35"/>
  <c r="C916" i="35" a="1"/>
  <c r="C916" i="35" s="1"/>
  <c r="F916" i="35"/>
  <c r="G916" i="35" s="1"/>
  <c r="J916" i="35"/>
  <c r="K916" i="35" s="1"/>
  <c r="Q916" i="35"/>
  <c r="C915" i="35" a="1"/>
  <c r="C915" i="35" s="1"/>
  <c r="F915" i="35"/>
  <c r="G915" i="35" s="1"/>
  <c r="J915" i="35"/>
  <c r="K915" i="35" s="1"/>
  <c r="Q915" i="35"/>
  <c r="C914" i="35" a="1"/>
  <c r="C914" i="35" s="1"/>
  <c r="F914" i="35"/>
  <c r="G914" i="35" s="1"/>
  <c r="J914" i="35"/>
  <c r="K914" i="35" s="1"/>
  <c r="Q914" i="35"/>
  <c r="C913" i="35" a="1"/>
  <c r="C913" i="35" s="1"/>
  <c r="F913" i="35"/>
  <c r="G913" i="35" s="1"/>
  <c r="J913" i="35"/>
  <c r="K913" i="35" s="1"/>
  <c r="Q913" i="35"/>
  <c r="C912" i="35" a="1"/>
  <c r="C912" i="35" s="1"/>
  <c r="F912" i="35"/>
  <c r="G912" i="35" s="1"/>
  <c r="J912" i="35"/>
  <c r="K912" i="35" s="1"/>
  <c r="Q912" i="35"/>
  <c r="C911" i="35" a="1"/>
  <c r="C911" i="35" s="1"/>
  <c r="F911" i="35"/>
  <c r="G911" i="35" s="1"/>
  <c r="J911" i="35"/>
  <c r="K911" i="35" s="1"/>
  <c r="Q911" i="35"/>
  <c r="C910" i="35" a="1"/>
  <c r="C910" i="35" s="1"/>
  <c r="F910" i="35"/>
  <c r="G910" i="35" s="1"/>
  <c r="J910" i="35"/>
  <c r="K910" i="35" s="1"/>
  <c r="Q910" i="35"/>
  <c r="C909" i="35" a="1"/>
  <c r="C909" i="35" s="1"/>
  <c r="F909" i="35"/>
  <c r="G909" i="35" s="1"/>
  <c r="J909" i="35"/>
  <c r="K909" i="35" s="1"/>
  <c r="Q909" i="35"/>
  <c r="C908" i="35" a="1"/>
  <c r="C908" i="35" s="1"/>
  <c r="F908" i="35"/>
  <c r="G908" i="35" s="1"/>
  <c r="J908" i="35"/>
  <c r="K908" i="35" s="1"/>
  <c r="Q908" i="35"/>
  <c r="C907" i="35" a="1"/>
  <c r="C907" i="35" s="1"/>
  <c r="F907" i="35"/>
  <c r="G907" i="35" s="1"/>
  <c r="J907" i="35"/>
  <c r="K907" i="35" s="1"/>
  <c r="Q907" i="35"/>
  <c r="C906" i="35" a="1"/>
  <c r="C906" i="35" s="1"/>
  <c r="F906" i="35"/>
  <c r="G906" i="35" s="1"/>
  <c r="J906" i="35"/>
  <c r="K906" i="35" s="1"/>
  <c r="Q906" i="35"/>
  <c r="B556" i="33" a="1"/>
  <c r="B556" i="33" s="1"/>
  <c r="E556" i="33" a="1"/>
  <c r="E556" i="33" s="1"/>
  <c r="F556" i="33" a="1"/>
  <c r="F556" i="33" s="1"/>
  <c r="G556" i="33" a="1"/>
  <c r="G556" i="33" s="1"/>
  <c r="H556" i="33"/>
  <c r="I556" i="33"/>
  <c r="L556" i="33" a="1"/>
  <c r="L556" i="33" s="1"/>
  <c r="P556" i="33"/>
  <c r="C482" i="31" a="1"/>
  <c r="C482" i="31" s="1"/>
  <c r="D482" i="31" a="1"/>
  <c r="D482" i="31" s="1"/>
  <c r="L482" i="31"/>
  <c r="Q482" i="31"/>
  <c r="R482" i="31"/>
  <c r="U482" i="31"/>
  <c r="V482" i="31"/>
  <c r="W482" i="31"/>
  <c r="AB482" i="31"/>
  <c r="AC482" i="31"/>
  <c r="AF482" i="31"/>
  <c r="B53" i="33" a="1"/>
  <c r="B53" i="33" s="1"/>
  <c r="E53" i="33" a="1"/>
  <c r="E53" i="33" s="1"/>
  <c r="F53" i="33" a="1"/>
  <c r="F53" i="33" s="1"/>
  <c r="G53" i="33" a="1"/>
  <c r="G53" i="33" s="1"/>
  <c r="L53" i="33" a="1"/>
  <c r="L53" i="33" s="1"/>
  <c r="M53" i="33"/>
  <c r="N53" i="33"/>
  <c r="E31" i="40" s="1"/>
  <c r="P53" i="33"/>
  <c r="C905" i="35" a="1"/>
  <c r="C905" i="35" s="1"/>
  <c r="F905" i="35"/>
  <c r="G905" i="35" s="1"/>
  <c r="J905" i="35"/>
  <c r="K905" i="35" s="1"/>
  <c r="Q905" i="35"/>
  <c r="C904" i="35" a="1"/>
  <c r="C904" i="35" s="1"/>
  <c r="F904" i="35"/>
  <c r="G904" i="35" s="1"/>
  <c r="J904" i="35"/>
  <c r="K904" i="35" s="1"/>
  <c r="Q904" i="35"/>
  <c r="C903" i="35" a="1"/>
  <c r="C903" i="35" s="1"/>
  <c r="F903" i="35"/>
  <c r="G903" i="35" s="1"/>
  <c r="J903" i="35"/>
  <c r="K903" i="35" s="1"/>
  <c r="Q903" i="35"/>
  <c r="C902" i="35" a="1"/>
  <c r="C902" i="35" s="1"/>
  <c r="F902" i="35"/>
  <c r="G902" i="35" s="1"/>
  <c r="J902" i="35"/>
  <c r="K902" i="35" s="1"/>
  <c r="Q902" i="35"/>
  <c r="H354" i="6"/>
  <c r="J354" i="6" s="1"/>
  <c r="I354" i="6"/>
  <c r="K354" i="6" s="1"/>
  <c r="U354" i="6"/>
  <c r="H353" i="6"/>
  <c r="J353" i="6" s="1"/>
  <c r="I353" i="6"/>
  <c r="K353" i="6" s="1"/>
  <c r="U353" i="6"/>
  <c r="C901" i="35" a="1"/>
  <c r="C901" i="35" s="1"/>
  <c r="F901" i="35"/>
  <c r="J901" i="35"/>
  <c r="Q901" i="35"/>
  <c r="C900" i="35" a="1"/>
  <c r="C900" i="35" s="1"/>
  <c r="F900" i="35"/>
  <c r="G900" i="35" s="1"/>
  <c r="J900" i="35"/>
  <c r="K900" i="35" s="1"/>
  <c r="Q900" i="35"/>
  <c r="C899" i="35" a="1"/>
  <c r="C899" i="35" s="1"/>
  <c r="F899" i="35"/>
  <c r="G899" i="35" s="1"/>
  <c r="J899" i="35"/>
  <c r="K899" i="35" s="1"/>
  <c r="Q899" i="35"/>
  <c r="C898" i="35" a="1"/>
  <c r="C898" i="35" s="1"/>
  <c r="F898" i="35"/>
  <c r="G898" i="35" s="1"/>
  <c r="J898" i="35"/>
  <c r="K898" i="35" s="1"/>
  <c r="Q898" i="35"/>
  <c r="C897" i="35" a="1"/>
  <c r="C897" i="35" s="1"/>
  <c r="F897" i="35"/>
  <c r="G897" i="35" s="1"/>
  <c r="J897" i="35"/>
  <c r="K897" i="35" s="1"/>
  <c r="Q897" i="35"/>
  <c r="C896" i="35" a="1"/>
  <c r="C896" i="35" s="1"/>
  <c r="F896" i="35"/>
  <c r="G896" i="35" s="1"/>
  <c r="J896" i="35"/>
  <c r="K896" i="35" s="1"/>
  <c r="Q896" i="35"/>
  <c r="C895" i="35" a="1"/>
  <c r="C895" i="35" s="1"/>
  <c r="F895" i="35"/>
  <c r="G895" i="35" s="1"/>
  <c r="J895" i="35"/>
  <c r="K895" i="35" s="1"/>
  <c r="Q895" i="35"/>
  <c r="C473" i="31" a="1"/>
  <c r="C473" i="31" s="1"/>
  <c r="D473" i="31" a="1"/>
  <c r="D473" i="31" s="1"/>
  <c r="L473" i="31"/>
  <c r="Q473" i="31"/>
  <c r="R473" i="31"/>
  <c r="U473" i="31"/>
  <c r="V473" i="31"/>
  <c r="W473" i="31"/>
  <c r="AB473" i="31"/>
  <c r="AC473" i="31"/>
  <c r="AF473" i="31"/>
  <c r="C894" i="35" a="1"/>
  <c r="C894" i="35" s="1"/>
  <c r="F894" i="35"/>
  <c r="G894" i="35" s="1"/>
  <c r="J894" i="35"/>
  <c r="K894" i="35" s="1"/>
  <c r="Q894" i="35"/>
  <c r="C893" i="35" a="1"/>
  <c r="C893" i="35" s="1"/>
  <c r="F893" i="35"/>
  <c r="G893" i="35" s="1"/>
  <c r="J893" i="35"/>
  <c r="K893" i="35" s="1"/>
  <c r="Q893" i="35"/>
  <c r="C892" i="35" a="1"/>
  <c r="C892" i="35" s="1"/>
  <c r="F892" i="35"/>
  <c r="H2075" i="35" s="1"/>
  <c r="J892" i="35"/>
  <c r="L2075" i="35" s="1"/>
  <c r="Q892" i="35"/>
  <c r="B86" i="33" a="1"/>
  <c r="B86" i="33" s="1"/>
  <c r="E86" i="33" a="1"/>
  <c r="E86" i="33" s="1"/>
  <c r="F86" i="33" a="1"/>
  <c r="F86" i="33" s="1"/>
  <c r="G86" i="33" a="1"/>
  <c r="G86" i="33" s="1"/>
  <c r="L86" i="33" a="1"/>
  <c r="L86" i="33" s="1"/>
  <c r="M86" i="33"/>
  <c r="N86" i="33"/>
  <c r="P86" i="33"/>
  <c r="C891" i="35" a="1"/>
  <c r="C891" i="35" s="1"/>
  <c r="F891" i="35"/>
  <c r="G891" i="35" s="1"/>
  <c r="J891" i="35"/>
  <c r="K891" i="35" s="1"/>
  <c r="Q891" i="35"/>
  <c r="C890" i="35" a="1"/>
  <c r="C890" i="35" s="1"/>
  <c r="F890" i="35"/>
  <c r="G890" i="35" s="1"/>
  <c r="J890" i="35"/>
  <c r="K890" i="35" s="1"/>
  <c r="Q890" i="35"/>
  <c r="C889" i="35" a="1"/>
  <c r="C889" i="35" s="1"/>
  <c r="F889" i="35"/>
  <c r="G889" i="35" s="1"/>
  <c r="J889" i="35"/>
  <c r="K889" i="35" s="1"/>
  <c r="Q889" i="35"/>
  <c r="C888" i="35" a="1"/>
  <c r="C888" i="35" s="1"/>
  <c r="F888" i="35"/>
  <c r="G888" i="35" s="1"/>
  <c r="J888" i="35"/>
  <c r="K888" i="35" s="1"/>
  <c r="Q888" i="35"/>
  <c r="C887" i="35" a="1"/>
  <c r="C887" i="35" s="1"/>
  <c r="F887" i="35"/>
  <c r="G887" i="35" s="1"/>
  <c r="J887" i="35"/>
  <c r="K887" i="35" s="1"/>
  <c r="Q887" i="35"/>
  <c r="C472" i="31" a="1"/>
  <c r="C472" i="31" s="1"/>
  <c r="D472" i="31" a="1"/>
  <c r="D472" i="31" s="1"/>
  <c r="L472" i="31"/>
  <c r="Q472" i="31"/>
  <c r="R472" i="31"/>
  <c r="U472" i="31"/>
  <c r="V472" i="31"/>
  <c r="W472" i="31"/>
  <c r="AB472" i="31"/>
  <c r="AC472" i="31"/>
  <c r="AF472" i="31"/>
  <c r="C886" i="35" a="1"/>
  <c r="C886" i="35" s="1"/>
  <c r="F886" i="35"/>
  <c r="G886" i="35" s="1"/>
  <c r="J886" i="35"/>
  <c r="K886" i="35" s="1"/>
  <c r="Q886" i="35"/>
  <c r="C885" i="35" a="1"/>
  <c r="C885" i="35" s="1"/>
  <c r="F885" i="35"/>
  <c r="G885" i="35" s="1"/>
  <c r="J885" i="35"/>
  <c r="K885" i="35" s="1"/>
  <c r="Q885" i="35"/>
  <c r="C884" i="35" a="1"/>
  <c r="C884" i="35" s="1"/>
  <c r="F884" i="35"/>
  <c r="G884" i="35" s="1"/>
  <c r="J884" i="35"/>
  <c r="K884" i="35" s="1"/>
  <c r="Q884" i="35"/>
  <c r="C883" i="35" a="1"/>
  <c r="C883" i="35" s="1"/>
  <c r="F883" i="35"/>
  <c r="G883" i="35" s="1"/>
  <c r="J883" i="35"/>
  <c r="K883" i="35" s="1"/>
  <c r="Q883" i="35"/>
  <c r="C882" i="35" a="1"/>
  <c r="C882" i="35" s="1"/>
  <c r="F882" i="35"/>
  <c r="G882" i="35" s="1"/>
  <c r="J882" i="35"/>
  <c r="K882" i="35" s="1"/>
  <c r="Q882" i="35"/>
  <c r="C881" i="35" a="1"/>
  <c r="C881" i="35" s="1"/>
  <c r="F881" i="35"/>
  <c r="G881" i="35" s="1"/>
  <c r="J881" i="35"/>
  <c r="K881" i="35" s="1"/>
  <c r="Q881" i="35"/>
  <c r="C880" i="35" a="1"/>
  <c r="C880" i="35" s="1"/>
  <c r="F880" i="35"/>
  <c r="J880" i="35"/>
  <c r="Q880" i="35"/>
  <c r="B555" i="33" a="1"/>
  <c r="B555" i="33" s="1"/>
  <c r="E555" i="33" a="1"/>
  <c r="E555" i="33" s="1"/>
  <c r="F555" i="33" a="1"/>
  <c r="F555" i="33" s="1"/>
  <c r="G555" i="33" a="1"/>
  <c r="G555" i="33" s="1"/>
  <c r="L555" i="33" a="1"/>
  <c r="L555" i="33" s="1"/>
  <c r="M555" i="33"/>
  <c r="N555" i="33"/>
  <c r="P555" i="33"/>
  <c r="C879" i="35" a="1"/>
  <c r="C879" i="35" s="1"/>
  <c r="F879" i="35"/>
  <c r="H1516" i="35" s="1"/>
  <c r="J879" i="35"/>
  <c r="L1516" i="35" s="1"/>
  <c r="Q879" i="35"/>
  <c r="B389" i="33" a="1"/>
  <c r="B389" i="33" s="1"/>
  <c r="E389" i="33" a="1"/>
  <c r="E389" i="33" s="1"/>
  <c r="F389" i="33" a="1"/>
  <c r="F389" i="33" s="1"/>
  <c r="G389" i="33" a="1"/>
  <c r="G389" i="33" s="1"/>
  <c r="L389" i="33" a="1"/>
  <c r="L389" i="33" s="1"/>
  <c r="M389" i="33"/>
  <c r="N389" i="33"/>
  <c r="P389" i="33"/>
  <c r="C671" i="31" a="1"/>
  <c r="C671" i="31" s="1"/>
  <c r="D671" i="31" a="1"/>
  <c r="D671" i="31" s="1"/>
  <c r="L671" i="31"/>
  <c r="Q671" i="31"/>
  <c r="R671" i="31"/>
  <c r="U671" i="31"/>
  <c r="V671" i="31"/>
  <c r="W671" i="31"/>
  <c r="AB671" i="31"/>
  <c r="AC671" i="31"/>
  <c r="AF671" i="31"/>
  <c r="C878" i="35" a="1"/>
  <c r="C878" i="35" s="1"/>
  <c r="F878" i="35"/>
  <c r="G878" i="35" s="1"/>
  <c r="J878" i="35"/>
  <c r="K878" i="35" s="1"/>
  <c r="Q878" i="35"/>
  <c r="C470" i="31" a="1"/>
  <c r="C470" i="31" s="1"/>
  <c r="D470" i="31" a="1"/>
  <c r="D470" i="31" s="1"/>
  <c r="L470" i="31"/>
  <c r="Q470" i="31"/>
  <c r="R470" i="31"/>
  <c r="U470" i="31"/>
  <c r="V470" i="31"/>
  <c r="W470" i="31"/>
  <c r="AB470" i="31"/>
  <c r="AC470" i="31"/>
  <c r="AF470" i="31"/>
  <c r="C877" i="35" a="1"/>
  <c r="C877" i="35" s="1"/>
  <c r="F877" i="35"/>
  <c r="G877" i="35" s="1"/>
  <c r="J877" i="35"/>
  <c r="K877" i="35" s="1"/>
  <c r="Q877" i="35"/>
  <c r="C876" i="35" a="1"/>
  <c r="C876" i="35" s="1"/>
  <c r="F876" i="35"/>
  <c r="G876" i="35" s="1"/>
  <c r="J876" i="35"/>
  <c r="K876" i="35" s="1"/>
  <c r="Q876" i="35"/>
  <c r="C875" i="35" a="1"/>
  <c r="C875" i="35" s="1"/>
  <c r="F875" i="35"/>
  <c r="G875" i="35" s="1"/>
  <c r="J875" i="35"/>
  <c r="K875" i="35" s="1"/>
  <c r="Q875" i="35"/>
  <c r="C776" i="31" a="1"/>
  <c r="C776" i="31" s="1"/>
  <c r="D776" i="31" a="1"/>
  <c r="D776" i="31" s="1"/>
  <c r="L776" i="31"/>
  <c r="Q776" i="31"/>
  <c r="R776" i="31"/>
  <c r="U776" i="31"/>
  <c r="V776" i="31"/>
  <c r="W776" i="31"/>
  <c r="AB776" i="31"/>
  <c r="AC776" i="31"/>
  <c r="AF776" i="31"/>
  <c r="C874" i="35" a="1"/>
  <c r="C874" i="35" s="1"/>
  <c r="F874" i="35"/>
  <c r="J874" i="35"/>
  <c r="Q874" i="35"/>
  <c r="B554" i="33" a="1"/>
  <c r="B554" i="33" s="1"/>
  <c r="E554" i="33" a="1"/>
  <c r="E554" i="33" s="1"/>
  <c r="F554" i="33" a="1"/>
  <c r="F554" i="33" s="1"/>
  <c r="G554" i="33" a="1"/>
  <c r="G554" i="33" s="1"/>
  <c r="L554" i="33" a="1"/>
  <c r="L554" i="33" s="1"/>
  <c r="M554" i="33"/>
  <c r="N554" i="33"/>
  <c r="P554" i="33"/>
  <c r="C460" i="31" a="1"/>
  <c r="C460" i="31" s="1"/>
  <c r="D460" i="31" a="1"/>
  <c r="D460" i="31" s="1"/>
  <c r="L460" i="31"/>
  <c r="Q460" i="31"/>
  <c r="R460" i="31"/>
  <c r="U460" i="31"/>
  <c r="V460" i="31"/>
  <c r="W460" i="31"/>
  <c r="AB460" i="31"/>
  <c r="AC460" i="31"/>
  <c r="AF460" i="31"/>
  <c r="C463" i="31" a="1"/>
  <c r="C463" i="31" s="1"/>
  <c r="D463" i="31" a="1"/>
  <c r="D463" i="31" s="1"/>
  <c r="L463" i="31"/>
  <c r="Q463" i="31"/>
  <c r="R463" i="31"/>
  <c r="U463" i="31"/>
  <c r="V463" i="31"/>
  <c r="W463" i="31"/>
  <c r="AB463" i="31"/>
  <c r="AC463" i="31"/>
  <c r="AF463" i="31"/>
  <c r="C873" i="35" a="1"/>
  <c r="C873" i="35" s="1"/>
  <c r="F873" i="35"/>
  <c r="G873" i="35" s="1"/>
  <c r="J873" i="35"/>
  <c r="K873" i="35" s="1"/>
  <c r="Q873" i="35"/>
  <c r="C427" i="31" a="1"/>
  <c r="C427" i="31" s="1"/>
  <c r="D427" i="31" a="1"/>
  <c r="D427" i="31" s="1"/>
  <c r="L427" i="31"/>
  <c r="Q427" i="31"/>
  <c r="R427" i="31"/>
  <c r="U427" i="31"/>
  <c r="V427" i="31"/>
  <c r="W427" i="31"/>
  <c r="AB427" i="31"/>
  <c r="AC427" i="31"/>
  <c r="AF427" i="31"/>
  <c r="B102" i="33" a="1"/>
  <c r="B102" i="33" s="1"/>
  <c r="E102" i="33" a="1"/>
  <c r="E102" i="33" s="1"/>
  <c r="F102" i="33" a="1"/>
  <c r="F102" i="33" s="1"/>
  <c r="G102" i="33" a="1"/>
  <c r="G102" i="33" s="1"/>
  <c r="L102" i="33" a="1"/>
  <c r="L102" i="33" s="1"/>
  <c r="M102" i="33"/>
  <c r="P102" i="33"/>
  <c r="C872" i="35" a="1"/>
  <c r="C872" i="35" s="1"/>
  <c r="F872" i="35"/>
  <c r="J872" i="35"/>
  <c r="Q872" i="35"/>
  <c r="B553" i="33" a="1"/>
  <c r="B553" i="33" s="1"/>
  <c r="E553" i="33" a="1"/>
  <c r="E553" i="33" s="1"/>
  <c r="F553" i="33" a="1"/>
  <c r="F553" i="33" s="1"/>
  <c r="G553" i="33" a="1"/>
  <c r="G553" i="33" s="1"/>
  <c r="L553" i="33" a="1"/>
  <c r="L553" i="33" s="1"/>
  <c r="M553" i="33"/>
  <c r="N553" i="33"/>
  <c r="P553" i="33"/>
  <c r="C871" i="35" a="1"/>
  <c r="C871" i="35" s="1"/>
  <c r="F871" i="35"/>
  <c r="G871" i="35" s="1"/>
  <c r="J871" i="35"/>
  <c r="K871" i="35" s="1"/>
  <c r="Q871" i="35"/>
  <c r="C870" i="35" a="1"/>
  <c r="C870" i="35" s="1"/>
  <c r="F870" i="35"/>
  <c r="G870" i="35" s="1"/>
  <c r="J870" i="35"/>
  <c r="K870" i="35" s="1"/>
  <c r="Q870" i="35"/>
  <c r="C454" i="31" a="1"/>
  <c r="C454" i="31" s="1"/>
  <c r="D454" i="31" a="1"/>
  <c r="D454" i="31" s="1"/>
  <c r="L454" i="31"/>
  <c r="Q454" i="31"/>
  <c r="R454" i="31"/>
  <c r="U454" i="31"/>
  <c r="V454" i="31"/>
  <c r="W454" i="31"/>
  <c r="AB454" i="31"/>
  <c r="AC454" i="31"/>
  <c r="AF454" i="31"/>
  <c r="C453" i="31" a="1"/>
  <c r="C453" i="31" s="1"/>
  <c r="D453" i="31" a="1"/>
  <c r="D453" i="31" s="1"/>
  <c r="L453" i="31"/>
  <c r="Q453" i="31"/>
  <c r="R453" i="31"/>
  <c r="U453" i="31"/>
  <c r="V453" i="31"/>
  <c r="W453" i="31"/>
  <c r="AB453" i="31"/>
  <c r="AC453" i="31"/>
  <c r="AF453" i="31"/>
  <c r="C869" i="35" a="1"/>
  <c r="C869" i="35" s="1"/>
  <c r="F869" i="35"/>
  <c r="G869" i="35" s="1"/>
  <c r="J869" i="35"/>
  <c r="K869" i="35" s="1"/>
  <c r="Q869" i="35"/>
  <c r="C459" i="31" a="1"/>
  <c r="C459" i="31" s="1"/>
  <c r="D459" i="31" a="1"/>
  <c r="D459" i="31" s="1"/>
  <c r="L459" i="31"/>
  <c r="Q459" i="31"/>
  <c r="R459" i="31"/>
  <c r="U459" i="31"/>
  <c r="V459" i="31"/>
  <c r="W459" i="31"/>
  <c r="AB459" i="31"/>
  <c r="AC459" i="31"/>
  <c r="AF459" i="31"/>
  <c r="C868" i="35" a="1"/>
  <c r="C868" i="35" s="1"/>
  <c r="F868" i="35"/>
  <c r="G868" i="35" s="1"/>
  <c r="J868" i="35"/>
  <c r="K868" i="35" s="1"/>
  <c r="Q868" i="35"/>
  <c r="C867" i="35" a="1"/>
  <c r="C867" i="35" s="1"/>
  <c r="F867" i="35"/>
  <c r="J867" i="35"/>
  <c r="Q867" i="35"/>
  <c r="C866" i="35" a="1"/>
  <c r="C866" i="35" s="1"/>
  <c r="F866" i="35"/>
  <c r="G866" i="35" s="1"/>
  <c r="J866" i="35"/>
  <c r="K866" i="35" s="1"/>
  <c r="Q866" i="35"/>
  <c r="C865" i="35" a="1"/>
  <c r="C865" i="35" s="1"/>
  <c r="F865" i="35"/>
  <c r="G865" i="35" s="1"/>
  <c r="J865" i="35"/>
  <c r="K865" i="35" s="1"/>
  <c r="Q865" i="35"/>
  <c r="C864" i="35" a="1"/>
  <c r="C864" i="35" s="1"/>
  <c r="F864" i="35"/>
  <c r="G864" i="35" s="1"/>
  <c r="J864" i="35"/>
  <c r="K864" i="35" s="1"/>
  <c r="Q864" i="35"/>
  <c r="C863" i="35" a="1"/>
  <c r="C863" i="35" s="1"/>
  <c r="F863" i="35"/>
  <c r="G863" i="35" s="1"/>
  <c r="J863" i="35"/>
  <c r="K863" i="35" s="1"/>
  <c r="Q863" i="35"/>
  <c r="C862" i="35" a="1"/>
  <c r="C862" i="35" s="1"/>
  <c r="F862" i="35"/>
  <c r="G862" i="35" s="1"/>
  <c r="J862" i="35"/>
  <c r="K862" i="35" s="1"/>
  <c r="Q862" i="35"/>
  <c r="C861" i="35" a="1"/>
  <c r="C861" i="35" s="1"/>
  <c r="F861" i="35"/>
  <c r="G861" i="35" s="1"/>
  <c r="J861" i="35"/>
  <c r="K861" i="35" s="1"/>
  <c r="Q861" i="35"/>
  <c r="C860" i="35" a="1"/>
  <c r="C860" i="35" s="1"/>
  <c r="F860" i="35"/>
  <c r="G860" i="35" s="1"/>
  <c r="J860" i="35"/>
  <c r="K860" i="35" s="1"/>
  <c r="Q860" i="35"/>
  <c r="C859" i="35" a="1"/>
  <c r="C859" i="35" s="1"/>
  <c r="F859" i="35"/>
  <c r="G859" i="35" s="1"/>
  <c r="J859" i="35"/>
  <c r="K859" i="35" s="1"/>
  <c r="Q859" i="35"/>
  <c r="C858" i="35" a="1"/>
  <c r="C858" i="35" s="1"/>
  <c r="F858" i="35"/>
  <c r="G858" i="35" s="1"/>
  <c r="J858" i="35"/>
  <c r="K858" i="35" s="1"/>
  <c r="Q858" i="35"/>
  <c r="C857" i="35" a="1"/>
  <c r="C857" i="35" s="1"/>
  <c r="F857" i="35"/>
  <c r="G857" i="35" s="1"/>
  <c r="J857" i="35"/>
  <c r="K857" i="35" s="1"/>
  <c r="Q857" i="35"/>
  <c r="C856" i="35" a="1"/>
  <c r="C856" i="35" s="1"/>
  <c r="F856" i="35"/>
  <c r="G856" i="35" s="1"/>
  <c r="J856" i="35"/>
  <c r="K856" i="35" s="1"/>
  <c r="Q856" i="35"/>
  <c r="C855" i="35" a="1"/>
  <c r="C855" i="35" s="1"/>
  <c r="F855" i="35"/>
  <c r="G855" i="35" s="1"/>
  <c r="J855" i="35"/>
  <c r="K855" i="35" s="1"/>
  <c r="Q855" i="35"/>
  <c r="C854" i="35" a="1"/>
  <c r="C854" i="35" s="1"/>
  <c r="F854" i="35"/>
  <c r="G854" i="35" s="1"/>
  <c r="J854" i="35"/>
  <c r="K854" i="35" s="1"/>
  <c r="Q854" i="35"/>
  <c r="C853" i="35" a="1"/>
  <c r="C853" i="35" s="1"/>
  <c r="F853" i="35"/>
  <c r="G853" i="35" s="1"/>
  <c r="J853" i="35"/>
  <c r="K853" i="35" s="1"/>
  <c r="Q853" i="35"/>
  <c r="C852" i="35" a="1"/>
  <c r="C852" i="35" s="1"/>
  <c r="F852" i="35"/>
  <c r="G852" i="35" s="1"/>
  <c r="J852" i="35"/>
  <c r="K852" i="35" s="1"/>
  <c r="Q852" i="35"/>
  <c r="C851" i="35" a="1"/>
  <c r="C851" i="35" s="1"/>
  <c r="F851" i="35"/>
  <c r="G851" i="35" s="1"/>
  <c r="J851" i="35"/>
  <c r="K851" i="35" s="1"/>
  <c r="Q851" i="35"/>
  <c r="C850" i="35" a="1"/>
  <c r="C850" i="35" s="1"/>
  <c r="F850" i="35"/>
  <c r="J850" i="35"/>
  <c r="Q850" i="35"/>
  <c r="C849" i="35" a="1"/>
  <c r="C849" i="35" s="1"/>
  <c r="F849" i="35"/>
  <c r="G849" i="35" s="1"/>
  <c r="J849" i="35"/>
  <c r="K849" i="35" s="1"/>
  <c r="Q849" i="35"/>
  <c r="C848" i="35" a="1"/>
  <c r="C848" i="35" s="1"/>
  <c r="F848" i="35"/>
  <c r="G848" i="35" s="1"/>
  <c r="J848" i="35"/>
  <c r="K848" i="35" s="1"/>
  <c r="Q848" i="35"/>
  <c r="C847" i="35" a="1"/>
  <c r="C847" i="35" s="1"/>
  <c r="F847" i="35"/>
  <c r="G847" i="35" s="1"/>
  <c r="J847" i="35"/>
  <c r="K847" i="35" s="1"/>
  <c r="Q847" i="35"/>
  <c r="C846" i="35" a="1"/>
  <c r="C846" i="35" s="1"/>
  <c r="F846" i="35"/>
  <c r="G846" i="35" s="1"/>
  <c r="J846" i="35"/>
  <c r="K846" i="35" s="1"/>
  <c r="Q846" i="35"/>
  <c r="C845" i="35" a="1"/>
  <c r="C845" i="35" s="1"/>
  <c r="F845" i="35"/>
  <c r="G845" i="35" s="1"/>
  <c r="J845" i="35"/>
  <c r="K845" i="35" s="1"/>
  <c r="Q845" i="35"/>
  <c r="C844" i="35" a="1"/>
  <c r="C844" i="35" s="1"/>
  <c r="F844" i="35"/>
  <c r="G844" i="35" s="1"/>
  <c r="J844" i="35"/>
  <c r="K844" i="35" s="1"/>
  <c r="Q844" i="35"/>
  <c r="C843" i="35" a="1"/>
  <c r="C843" i="35" s="1"/>
  <c r="F843" i="35"/>
  <c r="G843" i="35" s="1"/>
  <c r="J843" i="35"/>
  <c r="K843" i="35" s="1"/>
  <c r="Q843" i="35"/>
  <c r="C842" i="35" a="1"/>
  <c r="C842" i="35" s="1"/>
  <c r="F842" i="35"/>
  <c r="G842" i="35" s="1"/>
  <c r="J842" i="35"/>
  <c r="K842" i="35" s="1"/>
  <c r="Q842" i="35"/>
  <c r="C841" i="35" a="1"/>
  <c r="C841" i="35" s="1"/>
  <c r="F841" i="35"/>
  <c r="G841" i="35" s="1"/>
  <c r="J841" i="35"/>
  <c r="K841" i="35" s="1"/>
  <c r="Q841" i="35"/>
  <c r="H352" i="6"/>
  <c r="J352" i="6" s="1"/>
  <c r="I352" i="6"/>
  <c r="K352" i="6" s="1"/>
  <c r="U352" i="6"/>
  <c r="C840" i="35" a="1"/>
  <c r="C840" i="35" s="1"/>
  <c r="F840" i="35"/>
  <c r="G840" i="35" s="1"/>
  <c r="J840" i="35"/>
  <c r="K840" i="35" s="1"/>
  <c r="Q840" i="35"/>
  <c r="C839" i="35" a="1"/>
  <c r="C839" i="35" s="1"/>
  <c r="F839" i="35"/>
  <c r="G839" i="35" s="1"/>
  <c r="J839" i="35"/>
  <c r="K839" i="35" s="1"/>
  <c r="Q839" i="35"/>
  <c r="C838" i="35" a="1"/>
  <c r="C838" i="35" s="1"/>
  <c r="F838" i="35"/>
  <c r="G838" i="35" s="1"/>
  <c r="J838" i="35"/>
  <c r="K838" i="35" s="1"/>
  <c r="Q838" i="35"/>
  <c r="C837" i="35" a="1"/>
  <c r="C837" i="35" s="1"/>
  <c r="F837" i="35"/>
  <c r="G837" i="35" s="1"/>
  <c r="J837" i="35"/>
  <c r="K837" i="35" s="1"/>
  <c r="Q837" i="35"/>
  <c r="C836" i="35" a="1"/>
  <c r="C836" i="35" s="1"/>
  <c r="F836" i="35"/>
  <c r="G836" i="35" s="1"/>
  <c r="J836" i="35"/>
  <c r="K836" i="35" s="1"/>
  <c r="Q836" i="35"/>
  <c r="C835" i="35" a="1"/>
  <c r="C835" i="35" s="1"/>
  <c r="F835" i="35"/>
  <c r="G835" i="35" s="1"/>
  <c r="J835" i="35"/>
  <c r="K835" i="35" s="1"/>
  <c r="Q835" i="35"/>
  <c r="C834" i="35" a="1"/>
  <c r="C834" i="35" s="1"/>
  <c r="F834" i="35"/>
  <c r="G834" i="35" s="1"/>
  <c r="J834" i="35"/>
  <c r="K834" i="35" s="1"/>
  <c r="Q834" i="35"/>
  <c r="B552" i="33" a="1"/>
  <c r="B552" i="33" s="1"/>
  <c r="E552" i="33" a="1"/>
  <c r="E552" i="33" s="1"/>
  <c r="F552" i="33" a="1"/>
  <c r="F552" i="33" s="1"/>
  <c r="G552" i="33" a="1"/>
  <c r="G552" i="33" s="1"/>
  <c r="L552" i="33" a="1"/>
  <c r="L552" i="33" s="1"/>
  <c r="M552" i="33"/>
  <c r="N552" i="33"/>
  <c r="P552" i="33"/>
  <c r="C833" i="35" a="1"/>
  <c r="C833" i="35" s="1"/>
  <c r="F833" i="35"/>
  <c r="G833" i="35" s="1"/>
  <c r="J833" i="35"/>
  <c r="K833" i="35" s="1"/>
  <c r="Q833" i="35"/>
  <c r="C458" i="31" a="1"/>
  <c r="C458" i="31" s="1"/>
  <c r="D458" i="31" a="1"/>
  <c r="D458" i="31" s="1"/>
  <c r="L458" i="31"/>
  <c r="Q458" i="31"/>
  <c r="R458" i="31"/>
  <c r="U458" i="31"/>
  <c r="V458" i="31"/>
  <c r="W458" i="31"/>
  <c r="AB458" i="31"/>
  <c r="AC458" i="31"/>
  <c r="AF458" i="31"/>
  <c r="C832" i="35" a="1"/>
  <c r="C832" i="35" s="1"/>
  <c r="F832" i="35"/>
  <c r="G832" i="35" s="1"/>
  <c r="J832" i="35"/>
  <c r="K832" i="35" s="1"/>
  <c r="Q832" i="35"/>
  <c r="C831" i="35" a="1"/>
  <c r="C831" i="35" s="1"/>
  <c r="F831" i="35"/>
  <c r="G831" i="35" s="1"/>
  <c r="J831" i="35"/>
  <c r="K831" i="35" s="1"/>
  <c r="Q831" i="35"/>
  <c r="C830" i="35" a="1"/>
  <c r="C830" i="35" s="1"/>
  <c r="F830" i="35"/>
  <c r="G830" i="35" s="1"/>
  <c r="J830" i="35"/>
  <c r="K830" i="35" s="1"/>
  <c r="Q830" i="35"/>
  <c r="C829" i="35" a="1"/>
  <c r="C829" i="35" s="1"/>
  <c r="F829" i="35"/>
  <c r="G829" i="35" s="1"/>
  <c r="J829" i="35"/>
  <c r="K829" i="35" s="1"/>
  <c r="Q829" i="35"/>
  <c r="C828" i="35" a="1"/>
  <c r="C828" i="35" s="1"/>
  <c r="F828" i="35"/>
  <c r="G828" i="35" s="1"/>
  <c r="J828" i="35"/>
  <c r="K828" i="35" s="1"/>
  <c r="Q828" i="35"/>
  <c r="C827" i="35" a="1"/>
  <c r="C827" i="35" s="1"/>
  <c r="F827" i="35"/>
  <c r="G827" i="35" s="1"/>
  <c r="J827" i="35"/>
  <c r="K827" i="35" s="1"/>
  <c r="Q827" i="35"/>
  <c r="C826" i="35" a="1"/>
  <c r="C826" i="35" s="1"/>
  <c r="F826" i="35"/>
  <c r="G826" i="35" s="1"/>
  <c r="J826" i="35"/>
  <c r="K826" i="35" s="1"/>
  <c r="Q826" i="35"/>
  <c r="C451" i="31" a="1"/>
  <c r="C451" i="31" s="1"/>
  <c r="D451" i="31" a="1"/>
  <c r="D451" i="31" s="1"/>
  <c r="L451" i="31"/>
  <c r="Q451" i="31"/>
  <c r="R451" i="31"/>
  <c r="U451" i="31"/>
  <c r="V451" i="31"/>
  <c r="W451" i="31"/>
  <c r="AB451" i="31"/>
  <c r="AC451" i="31"/>
  <c r="AF451" i="31"/>
  <c r="C446" i="31" a="1"/>
  <c r="C446" i="31" s="1"/>
  <c r="D446" i="31" a="1"/>
  <c r="D446" i="31" s="1"/>
  <c r="L446" i="31"/>
  <c r="Q446" i="31"/>
  <c r="R446" i="31"/>
  <c r="U446" i="31"/>
  <c r="V446" i="31"/>
  <c r="W446" i="31"/>
  <c r="AB446" i="31"/>
  <c r="AC446" i="31"/>
  <c r="AF446" i="31"/>
  <c r="C825" i="35" a="1"/>
  <c r="C825" i="35" s="1"/>
  <c r="F825" i="35"/>
  <c r="G825" i="35" s="1"/>
  <c r="J825" i="35"/>
  <c r="K825" i="35" s="1"/>
  <c r="Q825" i="35"/>
  <c r="C824" i="35" a="1"/>
  <c r="C824" i="35" s="1"/>
  <c r="F824" i="35"/>
  <c r="G824" i="35" s="1"/>
  <c r="J824" i="35"/>
  <c r="K824" i="35" s="1"/>
  <c r="Q824" i="35"/>
  <c r="C445" i="31" a="1"/>
  <c r="C445" i="31" s="1"/>
  <c r="D445" i="31" a="1"/>
  <c r="D445" i="31" s="1"/>
  <c r="L445" i="31"/>
  <c r="Q445" i="31"/>
  <c r="R445" i="31"/>
  <c r="U445" i="31"/>
  <c r="V445" i="31"/>
  <c r="W445" i="31"/>
  <c r="AB445" i="31"/>
  <c r="AC445" i="31"/>
  <c r="AF445" i="31"/>
  <c r="C823" i="35" a="1"/>
  <c r="C823" i="35" s="1"/>
  <c r="F823" i="35"/>
  <c r="G823" i="35" s="1"/>
  <c r="J823" i="35"/>
  <c r="K823" i="35" s="1"/>
  <c r="Q823" i="35"/>
  <c r="C435" i="31" a="1"/>
  <c r="C435" i="31" s="1"/>
  <c r="D435" i="31" a="1"/>
  <c r="D435" i="31" s="1"/>
  <c r="L435" i="31"/>
  <c r="Q435" i="31"/>
  <c r="R435" i="31"/>
  <c r="U435" i="31"/>
  <c r="V435" i="31"/>
  <c r="W435" i="31"/>
  <c r="AB435" i="31"/>
  <c r="AC435" i="31"/>
  <c r="AF435" i="31"/>
  <c r="C822" i="35" a="1"/>
  <c r="C822" i="35" s="1"/>
  <c r="F822" i="35"/>
  <c r="G822" i="35" s="1"/>
  <c r="J822" i="35"/>
  <c r="K822" i="35" s="1"/>
  <c r="Q822" i="35"/>
  <c r="C821" i="35" a="1"/>
  <c r="C821" i="35" s="1"/>
  <c r="F821" i="35"/>
  <c r="G821" i="35" s="1"/>
  <c r="J821" i="35"/>
  <c r="K821" i="35" s="1"/>
  <c r="Q821" i="35"/>
  <c r="B551" i="33" a="1"/>
  <c r="B551" i="33" s="1"/>
  <c r="E551" i="33" a="1"/>
  <c r="E551" i="33" s="1"/>
  <c r="F551" i="33" a="1"/>
  <c r="F551" i="33" s="1"/>
  <c r="G551" i="33" a="1"/>
  <c r="G551" i="33" s="1"/>
  <c r="L551" i="33" a="1"/>
  <c r="L551" i="33" s="1"/>
  <c r="M551" i="33"/>
  <c r="N551" i="33"/>
  <c r="P551" i="33"/>
  <c r="C820" i="35" a="1"/>
  <c r="C820" i="35" s="1"/>
  <c r="F820" i="35"/>
  <c r="G820" i="35" s="1"/>
  <c r="J820" i="35"/>
  <c r="K820" i="35" s="1"/>
  <c r="Q820" i="35"/>
  <c r="B550" i="33" a="1"/>
  <c r="B550" i="33" s="1"/>
  <c r="E550" i="33" a="1"/>
  <c r="E550" i="33" s="1"/>
  <c r="F550" i="33" a="1"/>
  <c r="F550" i="33" s="1"/>
  <c r="G550" i="33" a="1"/>
  <c r="G550" i="33" s="1"/>
  <c r="L550" i="33" a="1"/>
  <c r="L550" i="33" s="1"/>
  <c r="M550" i="33"/>
  <c r="N550" i="33"/>
  <c r="P550" i="33"/>
  <c r="C775" i="31" a="1"/>
  <c r="C775" i="31" s="1"/>
  <c r="D775" i="31" a="1"/>
  <c r="D775" i="31" s="1"/>
  <c r="L775" i="31"/>
  <c r="Q775" i="31"/>
  <c r="R775" i="31"/>
  <c r="U775" i="31"/>
  <c r="V775" i="31"/>
  <c r="W775" i="31"/>
  <c r="AB775" i="31"/>
  <c r="AC775" i="31"/>
  <c r="AF775" i="31"/>
  <c r="C819" i="35" a="1"/>
  <c r="C819" i="35" s="1"/>
  <c r="F819" i="35"/>
  <c r="G819" i="35" s="1"/>
  <c r="J819" i="35"/>
  <c r="K819" i="35" s="1"/>
  <c r="Q819" i="35"/>
  <c r="C818" i="35" a="1"/>
  <c r="C818" i="35" s="1"/>
  <c r="F818" i="35"/>
  <c r="G818" i="35" s="1"/>
  <c r="J818" i="35"/>
  <c r="K818" i="35" s="1"/>
  <c r="Q818" i="35"/>
  <c r="C456" i="31" a="1"/>
  <c r="C456" i="31" s="1"/>
  <c r="D456" i="31" a="1"/>
  <c r="D456" i="31" s="1"/>
  <c r="L456" i="31"/>
  <c r="Q456" i="31"/>
  <c r="R456" i="31"/>
  <c r="U456" i="31"/>
  <c r="V456" i="31"/>
  <c r="W456" i="31"/>
  <c r="AB456" i="31"/>
  <c r="AC456" i="31"/>
  <c r="AF456" i="31"/>
  <c r="C817" i="35" a="1"/>
  <c r="C817" i="35" s="1"/>
  <c r="F817" i="35"/>
  <c r="G817" i="35" s="1"/>
  <c r="J817" i="35"/>
  <c r="K817" i="35" s="1"/>
  <c r="Q817" i="35"/>
  <c r="C816" i="35" a="1"/>
  <c r="C816" i="35" s="1"/>
  <c r="F816" i="35"/>
  <c r="G816" i="35" s="1"/>
  <c r="J816" i="35"/>
  <c r="K816" i="35" s="1"/>
  <c r="Q816" i="35"/>
  <c r="C815" i="35" a="1"/>
  <c r="C815" i="35" s="1"/>
  <c r="F815" i="35"/>
  <c r="J815" i="35"/>
  <c r="Q815" i="35"/>
  <c r="B549" i="33" a="1"/>
  <c r="B549" i="33" s="1"/>
  <c r="E549" i="33" a="1"/>
  <c r="E549" i="33" s="1"/>
  <c r="F549" i="33" a="1"/>
  <c r="F549" i="33" s="1"/>
  <c r="G549" i="33" a="1"/>
  <c r="G549" i="33" s="1"/>
  <c r="L549" i="33" a="1"/>
  <c r="L549" i="33" s="1"/>
  <c r="M549" i="33"/>
  <c r="N549" i="33"/>
  <c r="P549" i="33"/>
  <c r="C814" i="35" a="1"/>
  <c r="C814" i="35" s="1"/>
  <c r="F814" i="35"/>
  <c r="J814" i="35"/>
  <c r="Q814" i="35"/>
  <c r="B548" i="33" a="1"/>
  <c r="B548" i="33" s="1"/>
  <c r="E548" i="33" a="1"/>
  <c r="E548" i="33" s="1"/>
  <c r="F548" i="33" a="1"/>
  <c r="F548" i="33" s="1"/>
  <c r="G548" i="33" a="1"/>
  <c r="G548" i="33" s="1"/>
  <c r="L548" i="33" a="1"/>
  <c r="L548" i="33" s="1"/>
  <c r="M548" i="33"/>
  <c r="N548" i="33"/>
  <c r="P548" i="33"/>
  <c r="C813" i="35" a="1"/>
  <c r="C813" i="35" s="1"/>
  <c r="F813" i="35"/>
  <c r="G813" i="35" s="1"/>
  <c r="J813" i="35"/>
  <c r="K813" i="35" s="1"/>
  <c r="Q813" i="35"/>
  <c r="C812" i="35" a="1"/>
  <c r="C812" i="35" s="1"/>
  <c r="F812" i="35"/>
  <c r="J812" i="35"/>
  <c r="Q812" i="35"/>
  <c r="B547" i="33" a="1"/>
  <c r="B547" i="33" s="1"/>
  <c r="E547" i="33" a="1"/>
  <c r="E547" i="33" s="1"/>
  <c r="F547" i="33" a="1"/>
  <c r="F547" i="33" s="1"/>
  <c r="G547" i="33" a="1"/>
  <c r="G547" i="33" s="1"/>
  <c r="L547" i="33" a="1"/>
  <c r="L547" i="33" s="1"/>
  <c r="M547" i="33"/>
  <c r="N547" i="33"/>
  <c r="P547" i="33"/>
  <c r="C811" i="35" a="1"/>
  <c r="C811" i="35" s="1"/>
  <c r="F811" i="35"/>
  <c r="J811" i="35"/>
  <c r="Q811" i="35"/>
  <c r="B546" i="33" a="1"/>
  <c r="B546" i="33" s="1"/>
  <c r="E546" i="33" a="1"/>
  <c r="E546" i="33" s="1"/>
  <c r="F546" i="33" a="1"/>
  <c r="F546" i="33" s="1"/>
  <c r="G546" i="33" a="1"/>
  <c r="G546" i="33" s="1"/>
  <c r="L546" i="33" a="1"/>
  <c r="L546" i="33" s="1"/>
  <c r="M546" i="33"/>
  <c r="N546" i="33"/>
  <c r="P546" i="33"/>
  <c r="C810" i="35" a="1"/>
  <c r="C810" i="35" s="1"/>
  <c r="F810" i="35"/>
  <c r="G810" i="35" s="1"/>
  <c r="J810" i="35"/>
  <c r="K810" i="35" s="1"/>
  <c r="Q810" i="35"/>
  <c r="B545" i="33" a="1"/>
  <c r="B545" i="33" s="1"/>
  <c r="E545" i="33" a="1"/>
  <c r="E545" i="33" s="1"/>
  <c r="F545" i="33" a="1"/>
  <c r="F545" i="33" s="1"/>
  <c r="G545" i="33" a="1"/>
  <c r="G545" i="33" s="1"/>
  <c r="L545" i="33" a="1"/>
  <c r="L545" i="33" s="1"/>
  <c r="M545" i="33"/>
  <c r="N545" i="33"/>
  <c r="P545" i="33"/>
  <c r="C809" i="35" a="1"/>
  <c r="C809" i="35" s="1"/>
  <c r="F809" i="35"/>
  <c r="G809" i="35" s="1"/>
  <c r="J809" i="35"/>
  <c r="K809" i="35" s="1"/>
  <c r="Q809" i="35"/>
  <c r="C808" i="35" a="1"/>
  <c r="C808" i="35" s="1"/>
  <c r="F808" i="35"/>
  <c r="G808" i="35" s="1"/>
  <c r="J808" i="35"/>
  <c r="K808" i="35" s="1"/>
  <c r="Q808" i="35"/>
  <c r="C807" i="35" a="1"/>
  <c r="C807" i="35" s="1"/>
  <c r="F807" i="35"/>
  <c r="G807" i="35" s="1"/>
  <c r="J807" i="35"/>
  <c r="K807" i="35" s="1"/>
  <c r="Q807" i="35"/>
  <c r="C806" i="35" a="1"/>
  <c r="C806" i="35" s="1"/>
  <c r="F806" i="35"/>
  <c r="G806" i="35" s="1"/>
  <c r="J806" i="35"/>
  <c r="K806" i="35" s="1"/>
  <c r="Q806" i="35"/>
  <c r="C805" i="35" a="1"/>
  <c r="C805" i="35" s="1"/>
  <c r="F805" i="35"/>
  <c r="G805" i="35" s="1"/>
  <c r="J805" i="35"/>
  <c r="K805" i="35" s="1"/>
  <c r="Q805" i="35"/>
  <c r="C804" i="35" a="1"/>
  <c r="C804" i="35" s="1"/>
  <c r="F804" i="35"/>
  <c r="G804" i="35" s="1"/>
  <c r="J804" i="35"/>
  <c r="K804" i="35" s="1"/>
  <c r="Q804" i="35"/>
  <c r="C803" i="35" a="1"/>
  <c r="C803" i="35" s="1"/>
  <c r="F803" i="35"/>
  <c r="G803" i="35" s="1"/>
  <c r="J803" i="35"/>
  <c r="K803" i="35" s="1"/>
  <c r="Q803" i="35"/>
  <c r="C802" i="35" a="1"/>
  <c r="C802" i="35" s="1"/>
  <c r="F802" i="35"/>
  <c r="G802" i="35" s="1"/>
  <c r="J802" i="35"/>
  <c r="K802" i="35" s="1"/>
  <c r="Q802" i="35"/>
  <c r="C801" i="35" a="1"/>
  <c r="C801" i="35" s="1"/>
  <c r="F801" i="35"/>
  <c r="G801" i="35" s="1"/>
  <c r="J801" i="35"/>
  <c r="K801" i="35" s="1"/>
  <c r="Q801" i="35"/>
  <c r="H351" i="6"/>
  <c r="J351" i="6" s="1"/>
  <c r="I351" i="6"/>
  <c r="K351" i="6" s="1"/>
  <c r="U351" i="6"/>
  <c r="H350" i="6"/>
  <c r="J350" i="6" s="1"/>
  <c r="I350" i="6"/>
  <c r="K350" i="6" s="1"/>
  <c r="U350" i="6"/>
  <c r="C800" i="35" a="1"/>
  <c r="C800" i="35" s="1"/>
  <c r="F800" i="35"/>
  <c r="J800" i="35"/>
  <c r="Q800" i="35"/>
  <c r="B164" i="33" a="1"/>
  <c r="B164" i="33" s="1"/>
  <c r="E164" i="33" a="1"/>
  <c r="E164" i="33" s="1"/>
  <c r="F164" i="33" a="1"/>
  <c r="F164" i="33" s="1"/>
  <c r="G164" i="33" a="1"/>
  <c r="G164" i="33" s="1"/>
  <c r="L164" i="33" a="1"/>
  <c r="L164" i="33" s="1"/>
  <c r="M164" i="33"/>
  <c r="N164" i="33"/>
  <c r="P164" i="33"/>
  <c r="C799" i="35" a="1"/>
  <c r="C799" i="35" s="1"/>
  <c r="F799" i="35"/>
  <c r="G799" i="35" s="1"/>
  <c r="J799" i="35"/>
  <c r="K799" i="35" s="1"/>
  <c r="Q799" i="35"/>
  <c r="C798" i="35" a="1"/>
  <c r="C798" i="35" s="1"/>
  <c r="F798" i="35"/>
  <c r="G798" i="35" s="1"/>
  <c r="J798" i="35"/>
  <c r="K798" i="35" s="1"/>
  <c r="Q798" i="35"/>
  <c r="C797" i="35" a="1"/>
  <c r="C797" i="35" s="1"/>
  <c r="F797" i="35"/>
  <c r="G797" i="35" s="1"/>
  <c r="J797" i="35"/>
  <c r="K797" i="35" s="1"/>
  <c r="Q797" i="35"/>
  <c r="H349" i="6"/>
  <c r="J349" i="6" s="1"/>
  <c r="I349" i="6"/>
  <c r="K349" i="6" s="1"/>
  <c r="U349" i="6"/>
  <c r="C796" i="35" a="1"/>
  <c r="C796" i="35" s="1"/>
  <c r="F796" i="35"/>
  <c r="G796" i="35" s="1"/>
  <c r="J796" i="35"/>
  <c r="K796" i="35" s="1"/>
  <c r="Q796" i="35"/>
  <c r="C795" i="35" a="1"/>
  <c r="C795" i="35" s="1"/>
  <c r="F795" i="35"/>
  <c r="G795" i="35" s="1"/>
  <c r="J795" i="35"/>
  <c r="K795" i="35" s="1"/>
  <c r="Q795" i="35"/>
  <c r="C794" i="35" a="1"/>
  <c r="C794" i="35" s="1"/>
  <c r="F794" i="35"/>
  <c r="G794" i="35" s="1"/>
  <c r="J794" i="35"/>
  <c r="K794" i="35" s="1"/>
  <c r="Q794" i="35"/>
  <c r="C793" i="35" a="1"/>
  <c r="C793" i="35" s="1"/>
  <c r="F793" i="35"/>
  <c r="J793" i="35"/>
  <c r="Q793" i="35"/>
  <c r="B65" i="33" a="1"/>
  <c r="B65" i="33" s="1"/>
  <c r="E65" i="33" a="1"/>
  <c r="E65" i="33" s="1"/>
  <c r="F65" i="33" a="1"/>
  <c r="F65" i="33" s="1"/>
  <c r="G65" i="33" a="1"/>
  <c r="G65" i="33" s="1"/>
  <c r="L65" i="33" a="1"/>
  <c r="L65" i="33" s="1"/>
  <c r="M65" i="33"/>
  <c r="N65" i="33"/>
  <c r="P65" i="33"/>
  <c r="C792" i="35" a="1"/>
  <c r="C792" i="35" s="1"/>
  <c r="F792" i="35"/>
  <c r="G792" i="35" s="1"/>
  <c r="J792" i="35"/>
  <c r="K792" i="35" s="1"/>
  <c r="Q792" i="35"/>
  <c r="C791" i="35" a="1"/>
  <c r="C791" i="35" s="1"/>
  <c r="F791" i="35"/>
  <c r="G791" i="35" s="1"/>
  <c r="J791" i="35"/>
  <c r="K791" i="35" s="1"/>
  <c r="Q791" i="35"/>
  <c r="C790" i="35" a="1"/>
  <c r="C790" i="35" s="1"/>
  <c r="F790" i="35"/>
  <c r="G790" i="35" s="1"/>
  <c r="J790" i="35"/>
  <c r="K790" i="35" s="1"/>
  <c r="Q790" i="35"/>
  <c r="C789" i="35" a="1"/>
  <c r="C789" i="35" s="1"/>
  <c r="F789" i="35"/>
  <c r="G789" i="35" s="1"/>
  <c r="J789" i="35"/>
  <c r="K789" i="35" s="1"/>
  <c r="Q789" i="35"/>
  <c r="H348" i="6"/>
  <c r="J348" i="6" s="1"/>
  <c r="I348" i="6"/>
  <c r="K348" i="6" s="1"/>
  <c r="U348" i="6"/>
  <c r="H347" i="6"/>
  <c r="J347" i="6" s="1"/>
  <c r="I347" i="6"/>
  <c r="K347" i="6" s="1"/>
  <c r="U347" i="6"/>
  <c r="H346" i="6"/>
  <c r="I346" i="6"/>
  <c r="K346" i="6" s="1"/>
  <c r="U346" i="6"/>
  <c r="C788" i="35" a="1"/>
  <c r="C788" i="35" s="1"/>
  <c r="F788" i="35"/>
  <c r="J788" i="35"/>
  <c r="Q788" i="35"/>
  <c r="B544" i="33" a="1"/>
  <c r="B544" i="33" s="1"/>
  <c r="E544" i="33" a="1"/>
  <c r="E544" i="33" s="1"/>
  <c r="F544" i="33" a="1"/>
  <c r="F544" i="33" s="1"/>
  <c r="G544" i="33" a="1"/>
  <c r="G544" i="33" s="1"/>
  <c r="L544" i="33" a="1"/>
  <c r="L544" i="33" s="1"/>
  <c r="M544" i="33"/>
  <c r="N544" i="33"/>
  <c r="P544" i="33"/>
  <c r="C787" i="35" a="1"/>
  <c r="C787" i="35" s="1"/>
  <c r="F787" i="35"/>
  <c r="G787" i="35" s="1"/>
  <c r="J787" i="35"/>
  <c r="K787" i="35" s="1"/>
  <c r="Q787" i="35"/>
  <c r="C786" i="35" a="1"/>
  <c r="C786" i="35" s="1"/>
  <c r="F786" i="35"/>
  <c r="J786" i="35"/>
  <c r="Q786" i="35"/>
  <c r="C785" i="35" a="1"/>
  <c r="C785" i="35" s="1"/>
  <c r="F785" i="35"/>
  <c r="G785" i="35" s="1"/>
  <c r="J785" i="35"/>
  <c r="K785" i="35" s="1"/>
  <c r="Q785" i="35"/>
  <c r="C784" i="35" a="1"/>
  <c r="C784" i="35" s="1"/>
  <c r="F784" i="35"/>
  <c r="G784" i="35" s="1"/>
  <c r="J784" i="35"/>
  <c r="K784" i="35" s="1"/>
  <c r="Q784" i="35"/>
  <c r="C783" i="35" a="1"/>
  <c r="C783" i="35" s="1"/>
  <c r="F783" i="35"/>
  <c r="G783" i="35" s="1"/>
  <c r="J783" i="35"/>
  <c r="K783" i="35" s="1"/>
  <c r="Q783" i="35"/>
  <c r="C782" i="35" a="1"/>
  <c r="C782" i="35" s="1"/>
  <c r="F782" i="35"/>
  <c r="G782" i="35" s="1"/>
  <c r="J782" i="35"/>
  <c r="K782" i="35" s="1"/>
  <c r="Q782" i="35"/>
  <c r="C781" i="35" a="1"/>
  <c r="C781" i="35" s="1"/>
  <c r="F781" i="35"/>
  <c r="G781" i="35" s="1"/>
  <c r="J781" i="35"/>
  <c r="K781" i="35" s="1"/>
  <c r="Q781" i="35"/>
  <c r="C780" i="35" a="1"/>
  <c r="C780" i="35" s="1"/>
  <c r="F780" i="35"/>
  <c r="G780" i="35" s="1"/>
  <c r="J780" i="35"/>
  <c r="K780" i="35" s="1"/>
  <c r="Q780" i="35"/>
  <c r="C779" i="35" a="1"/>
  <c r="C779" i="35" s="1"/>
  <c r="F779" i="35"/>
  <c r="G779" i="35" s="1"/>
  <c r="J779" i="35"/>
  <c r="K779" i="35" s="1"/>
  <c r="Q779" i="35"/>
  <c r="C778" i="35" a="1"/>
  <c r="C778" i="35" s="1"/>
  <c r="F778" i="35"/>
  <c r="G778" i="35" s="1"/>
  <c r="J778" i="35"/>
  <c r="K778" i="35" s="1"/>
  <c r="Q778" i="35"/>
  <c r="C777" i="35" a="1"/>
  <c r="C777" i="35" s="1"/>
  <c r="F777" i="35"/>
  <c r="G777" i="35" s="1"/>
  <c r="J777" i="35"/>
  <c r="K777" i="35" s="1"/>
  <c r="Q777" i="35"/>
  <c r="C776" i="35" a="1"/>
  <c r="C776" i="35" s="1"/>
  <c r="F776" i="35"/>
  <c r="G776" i="35" s="1"/>
  <c r="J776" i="35"/>
  <c r="K776" i="35" s="1"/>
  <c r="Q776" i="35"/>
  <c r="B118" i="33" a="1"/>
  <c r="B118" i="33" s="1"/>
  <c r="E118" i="33" a="1"/>
  <c r="E118" i="33" s="1"/>
  <c r="F118" i="33" a="1"/>
  <c r="F118" i="33" s="1"/>
  <c r="G118" i="33" a="1"/>
  <c r="G118" i="33" s="1"/>
  <c r="L118" i="33" a="1"/>
  <c r="L118" i="33" s="1"/>
  <c r="M118" i="33"/>
  <c r="N118" i="33"/>
  <c r="P118" i="33"/>
  <c r="C775" i="35" a="1"/>
  <c r="C775" i="35" s="1"/>
  <c r="F775" i="35"/>
  <c r="G775" i="35" s="1"/>
  <c r="J775" i="35"/>
  <c r="K775" i="35" s="1"/>
  <c r="Q775" i="35"/>
  <c r="C774" i="35" a="1"/>
  <c r="C774" i="35" s="1"/>
  <c r="F774" i="35"/>
  <c r="G774" i="35" s="1"/>
  <c r="J774" i="35"/>
  <c r="K774" i="35" s="1"/>
  <c r="Q774" i="35"/>
  <c r="C773" i="35" a="1"/>
  <c r="C773" i="35" s="1"/>
  <c r="F773" i="35"/>
  <c r="G773" i="35" s="1"/>
  <c r="J773" i="35"/>
  <c r="K773" i="35" s="1"/>
  <c r="Q773" i="35"/>
  <c r="C772" i="35" a="1"/>
  <c r="C772" i="35" s="1"/>
  <c r="F772" i="35"/>
  <c r="G772" i="35" s="1"/>
  <c r="J772" i="35"/>
  <c r="K772" i="35" s="1"/>
  <c r="Q772" i="35"/>
  <c r="B543" i="33" a="1"/>
  <c r="B543" i="33" s="1"/>
  <c r="E543" i="33" a="1"/>
  <c r="E543" i="33" s="1"/>
  <c r="F543" i="33" a="1"/>
  <c r="F543" i="33" s="1"/>
  <c r="G543" i="33" a="1"/>
  <c r="G543" i="33" s="1"/>
  <c r="L543" i="33" a="1"/>
  <c r="L543" i="33" s="1"/>
  <c r="M543" i="33"/>
  <c r="N543" i="33"/>
  <c r="P543" i="33"/>
  <c r="C771" i="35" a="1"/>
  <c r="C771" i="35" s="1"/>
  <c r="F771" i="35"/>
  <c r="J771" i="35"/>
  <c r="Q771" i="35"/>
  <c r="C770" i="35" a="1"/>
  <c r="C770" i="35" s="1"/>
  <c r="F770" i="35"/>
  <c r="G770" i="35" s="1"/>
  <c r="J770" i="35"/>
  <c r="K770" i="35" s="1"/>
  <c r="Q770" i="35"/>
  <c r="C769" i="35" a="1"/>
  <c r="C769" i="35" s="1"/>
  <c r="F769" i="35"/>
  <c r="H1713" i="35" s="1"/>
  <c r="J769" i="35"/>
  <c r="L1713" i="35" s="1"/>
  <c r="Q769" i="35"/>
  <c r="B123" i="33" a="1"/>
  <c r="B123" i="33" s="1"/>
  <c r="E123" i="33" a="1"/>
  <c r="E123" i="33" s="1"/>
  <c r="F123" i="33" a="1"/>
  <c r="F123" i="33" s="1"/>
  <c r="G123" i="33" a="1"/>
  <c r="G123" i="33" s="1"/>
  <c r="L123" i="33" a="1"/>
  <c r="L123" i="33" s="1"/>
  <c r="M123" i="33"/>
  <c r="N123" i="33"/>
  <c r="P123" i="33"/>
  <c r="C767" i="35" a="1"/>
  <c r="C767" i="35" s="1"/>
  <c r="F767" i="35"/>
  <c r="G767" i="35" s="1"/>
  <c r="J767" i="35"/>
  <c r="K767" i="35" s="1"/>
  <c r="Q767" i="35"/>
  <c r="C455" i="31" a="1"/>
  <c r="C455" i="31" s="1"/>
  <c r="D455" i="31" a="1"/>
  <c r="D455" i="31" s="1"/>
  <c r="L455" i="31"/>
  <c r="Q455" i="31"/>
  <c r="R455" i="31"/>
  <c r="U455" i="31"/>
  <c r="V455" i="31"/>
  <c r="W455" i="31"/>
  <c r="AB455" i="31"/>
  <c r="AC455" i="31"/>
  <c r="AF455" i="31"/>
  <c r="C467" i="31" a="1"/>
  <c r="C467" i="31" s="1"/>
  <c r="D467" i="31" a="1"/>
  <c r="D467" i="31" s="1"/>
  <c r="L467" i="31"/>
  <c r="Q467" i="31"/>
  <c r="R467" i="31"/>
  <c r="U467" i="31"/>
  <c r="V467" i="31"/>
  <c r="W467" i="31"/>
  <c r="AB467" i="31"/>
  <c r="AC467" i="31"/>
  <c r="AF467" i="31"/>
  <c r="H345" i="6"/>
  <c r="J345" i="6" s="1"/>
  <c r="I345" i="6"/>
  <c r="K345" i="6" s="1"/>
  <c r="U345" i="6"/>
  <c r="H344" i="6"/>
  <c r="J344" i="6" s="1"/>
  <c r="I344" i="6"/>
  <c r="K344" i="6" s="1"/>
  <c r="U344" i="6"/>
  <c r="C768" i="35" a="1"/>
  <c r="C768" i="35" s="1"/>
  <c r="F768" i="35"/>
  <c r="G768" i="35" s="1"/>
  <c r="J768" i="35"/>
  <c r="K768" i="35" s="1"/>
  <c r="Q768" i="35"/>
  <c r="H343" i="6"/>
  <c r="J343" i="6" s="1"/>
  <c r="I343" i="6"/>
  <c r="K343" i="6" s="1"/>
  <c r="U343" i="6"/>
  <c r="C766" i="35" a="1"/>
  <c r="C766" i="35" s="1"/>
  <c r="F766" i="35"/>
  <c r="G766" i="35" s="1"/>
  <c r="J766" i="35"/>
  <c r="K766" i="35" s="1"/>
  <c r="Q766" i="35"/>
  <c r="C765" i="35" a="1"/>
  <c r="C765" i="35" s="1"/>
  <c r="F765" i="35"/>
  <c r="G765" i="35" s="1"/>
  <c r="J765" i="35"/>
  <c r="K765" i="35" s="1"/>
  <c r="Q765" i="35"/>
  <c r="C429" i="31" a="1"/>
  <c r="C429" i="31" s="1"/>
  <c r="D429" i="31" a="1"/>
  <c r="D429" i="31" s="1"/>
  <c r="L429" i="31"/>
  <c r="Q429" i="31"/>
  <c r="R429" i="31"/>
  <c r="U429" i="31"/>
  <c r="V429" i="31"/>
  <c r="W429" i="31"/>
  <c r="AB429" i="31"/>
  <c r="AC429" i="31"/>
  <c r="AF429" i="31"/>
  <c r="C764" i="35" a="1"/>
  <c r="C764" i="35" s="1"/>
  <c r="F764" i="35"/>
  <c r="J764" i="35"/>
  <c r="Q764" i="35"/>
  <c r="B542" i="33" a="1"/>
  <c r="B542" i="33" s="1"/>
  <c r="E542" i="33" a="1"/>
  <c r="E542" i="33" s="1"/>
  <c r="F542" i="33" a="1"/>
  <c r="F542" i="33" s="1"/>
  <c r="G542" i="33" a="1"/>
  <c r="G542" i="33" s="1"/>
  <c r="L542" i="33" a="1"/>
  <c r="L542" i="33" s="1"/>
  <c r="M542" i="33"/>
  <c r="N542" i="33"/>
  <c r="P542" i="33"/>
  <c r="C763" i="35" a="1"/>
  <c r="C763" i="35" s="1"/>
  <c r="F763" i="35"/>
  <c r="G763" i="35" s="1"/>
  <c r="J763" i="35"/>
  <c r="K763" i="35" s="1"/>
  <c r="Q763" i="35"/>
  <c r="C762" i="35" a="1"/>
  <c r="C762" i="35" s="1"/>
  <c r="F762" i="35"/>
  <c r="G762" i="35" s="1"/>
  <c r="J762" i="35"/>
  <c r="K762" i="35" s="1"/>
  <c r="Q762" i="35"/>
  <c r="C761" i="35" a="1"/>
  <c r="C761" i="35" s="1"/>
  <c r="F761" i="35"/>
  <c r="G761" i="35" s="1"/>
  <c r="J761" i="35"/>
  <c r="K761" i="35" s="1"/>
  <c r="Q761" i="35"/>
  <c r="C760" i="35" a="1"/>
  <c r="C760" i="35" s="1"/>
  <c r="F760" i="35"/>
  <c r="G760" i="35" s="1"/>
  <c r="J760" i="35"/>
  <c r="K760" i="35" s="1"/>
  <c r="Q760" i="35"/>
  <c r="C759" i="35" a="1"/>
  <c r="C759" i="35" s="1"/>
  <c r="F759" i="35"/>
  <c r="G759" i="35" s="1"/>
  <c r="J759" i="35"/>
  <c r="K759" i="35" s="1"/>
  <c r="Q759" i="35"/>
  <c r="C758" i="35" a="1"/>
  <c r="C758" i="35" s="1"/>
  <c r="F758" i="35"/>
  <c r="G758" i="35" s="1"/>
  <c r="J758" i="35"/>
  <c r="K758" i="35" s="1"/>
  <c r="Q758" i="35"/>
  <c r="C757" i="35" a="1"/>
  <c r="C757" i="35" s="1"/>
  <c r="F757" i="35"/>
  <c r="G757" i="35" s="1"/>
  <c r="J757" i="35"/>
  <c r="K757" i="35" s="1"/>
  <c r="Q757" i="35"/>
  <c r="C756" i="35" a="1"/>
  <c r="C756" i="35" s="1"/>
  <c r="F756" i="35"/>
  <c r="G756" i="35" s="1"/>
  <c r="J756" i="35"/>
  <c r="K756" i="35" s="1"/>
  <c r="Q756" i="35"/>
  <c r="C755" i="35" a="1"/>
  <c r="C755" i="35" s="1"/>
  <c r="F755" i="35"/>
  <c r="G755" i="35" s="1"/>
  <c r="J755" i="35"/>
  <c r="K755" i="35" s="1"/>
  <c r="Q755" i="35"/>
  <c r="B541" i="33" a="1"/>
  <c r="B541" i="33" s="1"/>
  <c r="E541" i="33" a="1"/>
  <c r="E541" i="33" s="1"/>
  <c r="F541" i="33" a="1"/>
  <c r="F541" i="33" s="1"/>
  <c r="G541" i="33" a="1"/>
  <c r="G541" i="33" s="1"/>
  <c r="L541" i="33" a="1"/>
  <c r="L541" i="33" s="1"/>
  <c r="M541" i="33"/>
  <c r="N541" i="33"/>
  <c r="P541" i="33"/>
  <c r="B540" i="33" a="1"/>
  <c r="B540" i="33" s="1"/>
  <c r="E540" i="33" a="1"/>
  <c r="E540" i="33" s="1"/>
  <c r="F540" i="33" a="1"/>
  <c r="F540" i="33" s="1"/>
  <c r="G540" i="33" a="1"/>
  <c r="G540" i="33" s="1"/>
  <c r="L540" i="33" a="1"/>
  <c r="L540" i="33" s="1"/>
  <c r="M540" i="33"/>
  <c r="N540" i="33"/>
  <c r="P540" i="33"/>
  <c r="B539" i="33" a="1"/>
  <c r="B539" i="33" s="1"/>
  <c r="E539" i="33" a="1"/>
  <c r="E539" i="33" s="1"/>
  <c r="F539" i="33" a="1"/>
  <c r="F539" i="33" s="1"/>
  <c r="G539" i="33" a="1"/>
  <c r="G539" i="33" s="1"/>
  <c r="L539" i="33" a="1"/>
  <c r="L539" i="33" s="1"/>
  <c r="M539" i="33"/>
  <c r="N539" i="33"/>
  <c r="P539" i="33"/>
  <c r="C754" i="35" a="1"/>
  <c r="C754" i="35" s="1"/>
  <c r="F754" i="35"/>
  <c r="G754" i="35" s="1"/>
  <c r="J754" i="35"/>
  <c r="K754" i="35" s="1"/>
  <c r="Q754" i="35"/>
  <c r="C753" i="35" a="1"/>
  <c r="C753" i="35" s="1"/>
  <c r="F753" i="35"/>
  <c r="G753" i="35" s="1"/>
  <c r="J753" i="35"/>
  <c r="K753" i="35" s="1"/>
  <c r="Q753" i="35"/>
  <c r="B538" i="33" a="1"/>
  <c r="B538" i="33" s="1"/>
  <c r="E538" i="33" a="1"/>
  <c r="E538" i="33" s="1"/>
  <c r="F538" i="33" a="1"/>
  <c r="F538" i="33" s="1"/>
  <c r="G538" i="33" a="1"/>
  <c r="G538" i="33" s="1"/>
  <c r="L538" i="33" a="1"/>
  <c r="L538" i="33" s="1"/>
  <c r="M538" i="33"/>
  <c r="N538" i="33"/>
  <c r="P538" i="33"/>
  <c r="C752" i="35" a="1"/>
  <c r="C752" i="35" s="1"/>
  <c r="F752" i="35"/>
  <c r="G752" i="35" s="1"/>
  <c r="J752" i="35"/>
  <c r="K752" i="35" s="1"/>
  <c r="Q752" i="35"/>
  <c r="B135" i="33" a="1"/>
  <c r="B135" i="33" s="1"/>
  <c r="E135" i="33" a="1"/>
  <c r="E135" i="33" s="1"/>
  <c r="F135" i="33" a="1"/>
  <c r="F135" i="33" s="1"/>
  <c r="G135" i="33" a="1"/>
  <c r="G135" i="33" s="1"/>
  <c r="L135" i="33" a="1"/>
  <c r="L135" i="33" s="1"/>
  <c r="M135" i="33"/>
  <c r="N135" i="33"/>
  <c r="P135" i="33"/>
  <c r="C751" i="35" a="1"/>
  <c r="C751" i="35" s="1"/>
  <c r="F751" i="35"/>
  <c r="G751" i="35" s="1"/>
  <c r="J751" i="35"/>
  <c r="K751" i="35" s="1"/>
  <c r="Q751" i="35"/>
  <c r="C750" i="35" a="1"/>
  <c r="C750" i="35" s="1"/>
  <c r="F750" i="35"/>
  <c r="G750" i="35" s="1"/>
  <c r="J750" i="35"/>
  <c r="K750" i="35" s="1"/>
  <c r="Q750" i="35"/>
  <c r="C749" i="35" a="1"/>
  <c r="C749" i="35" s="1"/>
  <c r="F749" i="35"/>
  <c r="G749" i="35" s="1"/>
  <c r="J749" i="35"/>
  <c r="K749" i="35" s="1"/>
  <c r="Q749" i="35"/>
  <c r="C748" i="35" a="1"/>
  <c r="C748" i="35" s="1"/>
  <c r="F748" i="35"/>
  <c r="G748" i="35" s="1"/>
  <c r="J748" i="35"/>
  <c r="K748" i="35" s="1"/>
  <c r="Q748" i="35"/>
  <c r="C747" i="35" a="1"/>
  <c r="C747" i="35" s="1"/>
  <c r="F747" i="35"/>
  <c r="G747" i="35" s="1"/>
  <c r="J747" i="35"/>
  <c r="K747" i="35" s="1"/>
  <c r="Q747" i="35"/>
  <c r="C746" i="35" a="1"/>
  <c r="C746" i="35" s="1"/>
  <c r="F746" i="35"/>
  <c r="G746" i="35" s="1"/>
  <c r="J746" i="35"/>
  <c r="K746" i="35" s="1"/>
  <c r="Q746" i="35"/>
  <c r="C745" i="35" a="1"/>
  <c r="C745" i="35" s="1"/>
  <c r="F745" i="35"/>
  <c r="G745" i="35" s="1"/>
  <c r="J745" i="35"/>
  <c r="K745" i="35" s="1"/>
  <c r="Q745" i="35"/>
  <c r="H342" i="6"/>
  <c r="I342" i="6"/>
  <c r="K342" i="6" s="1"/>
  <c r="U342" i="6"/>
  <c r="H341" i="6"/>
  <c r="J341" i="6" s="1"/>
  <c r="I341" i="6"/>
  <c r="K341" i="6" s="1"/>
  <c r="U341" i="6"/>
  <c r="H340" i="6"/>
  <c r="J340" i="6" s="1"/>
  <c r="I340" i="6"/>
  <c r="K340" i="6" s="1"/>
  <c r="U340" i="6"/>
  <c r="H339" i="6"/>
  <c r="J339" i="6" s="1"/>
  <c r="I339" i="6"/>
  <c r="K339" i="6" s="1"/>
  <c r="U339" i="6"/>
  <c r="H338" i="6"/>
  <c r="J338" i="6" s="1"/>
  <c r="I338" i="6"/>
  <c r="K338" i="6" s="1"/>
  <c r="U338" i="6"/>
  <c r="H337" i="6"/>
  <c r="J337" i="6" s="1"/>
  <c r="I337" i="6"/>
  <c r="K337" i="6" s="1"/>
  <c r="U337" i="6"/>
  <c r="H336" i="6"/>
  <c r="J336" i="6" s="1"/>
  <c r="I336" i="6"/>
  <c r="K336" i="6" s="1"/>
  <c r="U336" i="6"/>
  <c r="H335" i="6"/>
  <c r="J335" i="6" s="1"/>
  <c r="I335" i="6"/>
  <c r="K335" i="6" s="1"/>
  <c r="U335" i="6"/>
  <c r="H334" i="6"/>
  <c r="J334" i="6" s="1"/>
  <c r="I334" i="6"/>
  <c r="K334" i="6" s="1"/>
  <c r="U334" i="6"/>
  <c r="H333" i="6"/>
  <c r="J333" i="6" s="1"/>
  <c r="I333" i="6"/>
  <c r="K333" i="6" s="1"/>
  <c r="U333" i="6"/>
  <c r="H332" i="6"/>
  <c r="J332" i="6" s="1"/>
  <c r="N332" i="6" s="1"/>
  <c r="I332" i="6"/>
  <c r="M332" i="6" s="1"/>
  <c r="U332" i="6"/>
  <c r="H331" i="6"/>
  <c r="J331" i="6" s="1"/>
  <c r="I331" i="6"/>
  <c r="K331" i="6" s="1"/>
  <c r="U331" i="6"/>
  <c r="G330" i="6"/>
  <c r="H330" i="6" s="1"/>
  <c r="J330" i="6" s="1"/>
  <c r="U330" i="6"/>
  <c r="H329" i="6"/>
  <c r="I329" i="6"/>
  <c r="U329" i="6"/>
  <c r="H328" i="6"/>
  <c r="J328" i="6" s="1"/>
  <c r="I328" i="6"/>
  <c r="K328" i="6" s="1"/>
  <c r="U328" i="6"/>
  <c r="C744" i="35" a="1"/>
  <c r="C744" i="35" s="1"/>
  <c r="F744" i="35"/>
  <c r="G744" i="35" s="1"/>
  <c r="J744" i="35"/>
  <c r="K744" i="35" s="1"/>
  <c r="Q744" i="35"/>
  <c r="C743" i="35" a="1"/>
  <c r="C743" i="35" s="1"/>
  <c r="F743" i="35"/>
  <c r="G743" i="35" s="1"/>
  <c r="J743" i="35"/>
  <c r="K743" i="35" s="1"/>
  <c r="Q743" i="35"/>
  <c r="C742" i="35" a="1"/>
  <c r="C742" i="35" s="1"/>
  <c r="F742" i="35"/>
  <c r="G742" i="35" s="1"/>
  <c r="J742" i="35"/>
  <c r="K742" i="35" s="1"/>
  <c r="Q742" i="35"/>
  <c r="C741" i="35" a="1"/>
  <c r="C741" i="35" s="1"/>
  <c r="F741" i="35"/>
  <c r="J741" i="35"/>
  <c r="Q741" i="35"/>
  <c r="B150" i="33" a="1"/>
  <c r="B150" i="33" s="1"/>
  <c r="E150" i="33" a="1"/>
  <c r="E150" i="33" s="1"/>
  <c r="F150" i="33" a="1"/>
  <c r="F150" i="33" s="1"/>
  <c r="G150" i="33" a="1"/>
  <c r="G150" i="33" s="1"/>
  <c r="L150" i="33" a="1"/>
  <c r="L150" i="33" s="1"/>
  <c r="M150" i="33"/>
  <c r="N150" i="33"/>
  <c r="P150" i="33"/>
  <c r="C740" i="35" a="1"/>
  <c r="C740" i="35" s="1"/>
  <c r="F740" i="35"/>
  <c r="G740" i="35" s="1"/>
  <c r="J740" i="35"/>
  <c r="K740" i="35" s="1"/>
  <c r="Q740" i="35"/>
  <c r="C739" i="35" a="1"/>
  <c r="C739" i="35" s="1"/>
  <c r="F739" i="35"/>
  <c r="G739" i="35" s="1"/>
  <c r="J739" i="35"/>
  <c r="K739" i="35" s="1"/>
  <c r="Q739" i="35"/>
  <c r="C738" i="35" a="1"/>
  <c r="C738" i="35" s="1"/>
  <c r="F738" i="35"/>
  <c r="G738" i="35" s="1"/>
  <c r="J738" i="35"/>
  <c r="K738" i="35" s="1"/>
  <c r="Q738" i="35"/>
  <c r="H327" i="6"/>
  <c r="I327" i="6"/>
  <c r="U327" i="6"/>
  <c r="C737" i="35" a="1"/>
  <c r="C737" i="35" s="1"/>
  <c r="F737" i="35"/>
  <c r="G737" i="35" s="1"/>
  <c r="J737" i="35"/>
  <c r="K737" i="35" s="1"/>
  <c r="Q737" i="35"/>
  <c r="C736" i="35" a="1"/>
  <c r="C736" i="35" s="1"/>
  <c r="F736" i="35"/>
  <c r="G736" i="35" s="1"/>
  <c r="J736" i="35"/>
  <c r="K736" i="35" s="1"/>
  <c r="Q736" i="35"/>
  <c r="B231" i="33" a="1"/>
  <c r="B231" i="33" s="1"/>
  <c r="E231" i="33" a="1"/>
  <c r="E231" i="33" s="1"/>
  <c r="F231" i="33" a="1"/>
  <c r="F231" i="33" s="1"/>
  <c r="G231" i="33" a="1"/>
  <c r="G231" i="33" s="1"/>
  <c r="L231" i="33" a="1"/>
  <c r="L231" i="33" s="1"/>
  <c r="M231" i="33"/>
  <c r="N231" i="33"/>
  <c r="P231" i="33"/>
  <c r="B222" i="33" a="1"/>
  <c r="B222" i="33" s="1"/>
  <c r="E222" i="33" a="1"/>
  <c r="E222" i="33" s="1"/>
  <c r="F222" i="33" a="1"/>
  <c r="F222" i="33" s="1"/>
  <c r="G222" i="33" a="1"/>
  <c r="G222" i="33" s="1"/>
  <c r="L222" i="33" a="1"/>
  <c r="L222" i="33" s="1"/>
  <c r="M222" i="33"/>
  <c r="N222" i="33"/>
  <c r="P222" i="33"/>
  <c r="C735" i="35" a="1"/>
  <c r="C735" i="35" s="1"/>
  <c r="F735" i="35"/>
  <c r="H1576" i="35" s="1"/>
  <c r="J735" i="35"/>
  <c r="L1576" i="35" s="1"/>
  <c r="Q735" i="35"/>
  <c r="C734" i="35" a="1"/>
  <c r="C734" i="35" s="1"/>
  <c r="F734" i="35"/>
  <c r="G734" i="35" s="1"/>
  <c r="J734" i="35"/>
  <c r="K734" i="35" s="1"/>
  <c r="Q734" i="35"/>
  <c r="C733" i="35" a="1"/>
  <c r="C733" i="35" s="1"/>
  <c r="F733" i="35"/>
  <c r="G733" i="35" s="1"/>
  <c r="J733" i="35"/>
  <c r="K733" i="35" s="1"/>
  <c r="Q733" i="35"/>
  <c r="B82" i="33" a="1"/>
  <c r="B82" i="33" s="1"/>
  <c r="E82" i="33" a="1"/>
  <c r="E82" i="33" s="1"/>
  <c r="F82" i="33" a="1"/>
  <c r="F82" i="33" s="1"/>
  <c r="G82" i="33" a="1"/>
  <c r="G82" i="33" s="1"/>
  <c r="L82" i="33" a="1"/>
  <c r="L82" i="33" s="1"/>
  <c r="M82" i="33"/>
  <c r="N82" i="33"/>
  <c r="P82" i="33"/>
  <c r="C732" i="35" a="1"/>
  <c r="C732" i="35" s="1"/>
  <c r="F732" i="35"/>
  <c r="J732" i="35"/>
  <c r="Q732" i="35"/>
  <c r="C731" i="35" a="1"/>
  <c r="C731" i="35" s="1"/>
  <c r="F731" i="35"/>
  <c r="G731" i="35" s="1"/>
  <c r="J731" i="35"/>
  <c r="K731" i="35" s="1"/>
  <c r="Q731" i="35"/>
  <c r="C730" i="35" a="1"/>
  <c r="C730" i="35" s="1"/>
  <c r="F730" i="35"/>
  <c r="G730" i="35" s="1"/>
  <c r="J730" i="35"/>
  <c r="K730" i="35" s="1"/>
  <c r="Q730" i="35"/>
  <c r="B534" i="33" a="1"/>
  <c r="B534" i="33" s="1"/>
  <c r="E534" i="33" a="1"/>
  <c r="E534" i="33" s="1"/>
  <c r="F534" i="33" a="1"/>
  <c r="F534" i="33" s="1"/>
  <c r="G534" i="33" a="1"/>
  <c r="G534" i="33" s="1"/>
  <c r="H534" i="33"/>
  <c r="I534" i="33"/>
  <c r="L534" i="33" a="1"/>
  <c r="L534" i="33" s="1"/>
  <c r="M534" i="33"/>
  <c r="N534" i="33"/>
  <c r="P534" i="33"/>
  <c r="C729" i="35" a="1"/>
  <c r="C729" i="35" s="1"/>
  <c r="F729" i="35"/>
  <c r="G729" i="35" s="1"/>
  <c r="J729" i="35"/>
  <c r="K729" i="35" s="1"/>
  <c r="Q729" i="35"/>
  <c r="C728" i="35" a="1"/>
  <c r="C728" i="35" s="1"/>
  <c r="F728" i="35"/>
  <c r="G728" i="35" s="1"/>
  <c r="J728" i="35"/>
  <c r="K728" i="35" s="1"/>
  <c r="Q728" i="35"/>
  <c r="C727" i="35" a="1"/>
  <c r="C727" i="35" s="1"/>
  <c r="F727" i="35"/>
  <c r="G727" i="35" s="1"/>
  <c r="J727" i="35"/>
  <c r="K727" i="35" s="1"/>
  <c r="Q727" i="35"/>
  <c r="B179" i="33" a="1"/>
  <c r="B179" i="33" s="1"/>
  <c r="E179" i="33" a="1"/>
  <c r="E179" i="33" s="1"/>
  <c r="F179" i="33" a="1"/>
  <c r="F179" i="33" s="1"/>
  <c r="G179" i="33" a="1"/>
  <c r="G179" i="33" s="1"/>
  <c r="L179" i="33" a="1"/>
  <c r="L179" i="33" s="1"/>
  <c r="M179" i="33"/>
  <c r="N179" i="33"/>
  <c r="P179" i="33"/>
  <c r="C726" i="35" a="1"/>
  <c r="C726" i="35" s="1"/>
  <c r="F726" i="35"/>
  <c r="J726" i="35"/>
  <c r="Q726" i="35"/>
  <c r="C725" i="35" a="1"/>
  <c r="C725" i="35" s="1"/>
  <c r="F725" i="35"/>
  <c r="G725" i="35" s="1"/>
  <c r="J725" i="35"/>
  <c r="K725" i="35" s="1"/>
  <c r="Q725" i="35"/>
  <c r="B533" i="33" a="1"/>
  <c r="B533" i="33" s="1"/>
  <c r="E533" i="33" a="1"/>
  <c r="E533" i="33" s="1"/>
  <c r="F533" i="33" a="1"/>
  <c r="F533" i="33" s="1"/>
  <c r="G533" i="33" a="1"/>
  <c r="G533" i="33" s="1"/>
  <c r="L533" i="33" a="1"/>
  <c r="L533" i="33" s="1"/>
  <c r="M533" i="33"/>
  <c r="N533" i="33"/>
  <c r="P533" i="33"/>
  <c r="C724" i="35" a="1"/>
  <c r="C724" i="35" s="1"/>
  <c r="F724" i="35"/>
  <c r="G724" i="35" s="1"/>
  <c r="J724" i="35"/>
  <c r="K724" i="35" s="1"/>
  <c r="Q724" i="35"/>
  <c r="C723" i="35" a="1"/>
  <c r="C723" i="35" s="1"/>
  <c r="F723" i="35"/>
  <c r="J723" i="35"/>
  <c r="Q723" i="35"/>
  <c r="B532" i="33" a="1"/>
  <c r="B532" i="33" s="1"/>
  <c r="E532" i="33" a="1"/>
  <c r="E532" i="33" s="1"/>
  <c r="F532" i="33" a="1"/>
  <c r="F532" i="33" s="1"/>
  <c r="G532" i="33" a="1"/>
  <c r="G532" i="33" s="1"/>
  <c r="L532" i="33" a="1"/>
  <c r="L532" i="33" s="1"/>
  <c r="M532" i="33"/>
  <c r="N532" i="33"/>
  <c r="P532" i="33"/>
  <c r="C722" i="35" a="1"/>
  <c r="C722" i="35" s="1"/>
  <c r="F722" i="35"/>
  <c r="J722" i="35"/>
  <c r="Q722" i="35"/>
  <c r="B531" i="33" a="1"/>
  <c r="B531" i="33" s="1"/>
  <c r="E531" i="33" a="1"/>
  <c r="E531" i="33" s="1"/>
  <c r="F531" i="33" a="1"/>
  <c r="F531" i="33" s="1"/>
  <c r="G531" i="33" a="1"/>
  <c r="G531" i="33" s="1"/>
  <c r="L531" i="33" a="1"/>
  <c r="L531" i="33" s="1"/>
  <c r="M531" i="33"/>
  <c r="N531" i="33"/>
  <c r="P531" i="33"/>
  <c r="C721" i="35" a="1"/>
  <c r="C721" i="35" s="1"/>
  <c r="F721" i="35"/>
  <c r="G721" i="35" s="1"/>
  <c r="J721" i="35"/>
  <c r="K721" i="35" s="1"/>
  <c r="Q721" i="35"/>
  <c r="C720" i="35" a="1"/>
  <c r="C720" i="35" s="1"/>
  <c r="F720" i="35"/>
  <c r="J720" i="35"/>
  <c r="Q720" i="35"/>
  <c r="C719" i="35" a="1"/>
  <c r="C719" i="35" s="1"/>
  <c r="F719" i="35"/>
  <c r="G719" i="35" s="1"/>
  <c r="J719" i="35"/>
  <c r="K719" i="35" s="1"/>
  <c r="Q719" i="35"/>
  <c r="C718" i="35" a="1"/>
  <c r="C718" i="35" s="1"/>
  <c r="F718" i="35"/>
  <c r="G718" i="35" s="1"/>
  <c r="J718" i="35"/>
  <c r="K718" i="35" s="1"/>
  <c r="Q718" i="35"/>
  <c r="C717" i="35" a="1"/>
  <c r="C717" i="35" s="1"/>
  <c r="F717" i="35"/>
  <c r="G717" i="35" s="1"/>
  <c r="J717" i="35"/>
  <c r="K717" i="35" s="1"/>
  <c r="Q717" i="35"/>
  <c r="C716" i="35" a="1"/>
  <c r="C716" i="35" s="1"/>
  <c r="F716" i="35"/>
  <c r="G716" i="35" s="1"/>
  <c r="J716" i="35"/>
  <c r="K716" i="35" s="1"/>
  <c r="Q716" i="35"/>
  <c r="C715" i="35" a="1"/>
  <c r="C715" i="35" s="1"/>
  <c r="F715" i="35"/>
  <c r="G715" i="35" s="1"/>
  <c r="J715" i="35"/>
  <c r="K715" i="35" s="1"/>
  <c r="Q715" i="35"/>
  <c r="C714" i="35" a="1"/>
  <c r="C714" i="35" s="1"/>
  <c r="F714" i="35"/>
  <c r="G714" i="35" s="1"/>
  <c r="J714" i="35"/>
  <c r="K714" i="35" s="1"/>
  <c r="Q714" i="35"/>
  <c r="B173" i="33" a="1"/>
  <c r="B173" i="33" s="1"/>
  <c r="E173" i="33" a="1"/>
  <c r="E173" i="33" s="1"/>
  <c r="F173" i="33" a="1"/>
  <c r="F173" i="33" s="1"/>
  <c r="G173" i="33" a="1"/>
  <c r="G173" i="33" s="1"/>
  <c r="L173" i="33" a="1"/>
  <c r="L173" i="33" s="1"/>
  <c r="M173" i="33"/>
  <c r="N173" i="33"/>
  <c r="P173" i="33"/>
  <c r="B530" i="33" a="1"/>
  <c r="B530" i="33" s="1"/>
  <c r="E530" i="33" a="1"/>
  <c r="E530" i="33" s="1"/>
  <c r="F530" i="33" a="1"/>
  <c r="F530" i="33" s="1"/>
  <c r="G530" i="33" a="1"/>
  <c r="G530" i="33" s="1"/>
  <c r="L530" i="33" a="1"/>
  <c r="L530" i="33" s="1"/>
  <c r="M530" i="33"/>
  <c r="N530" i="33"/>
  <c r="P530" i="33"/>
  <c r="C713" i="35" a="1"/>
  <c r="C713" i="35" s="1"/>
  <c r="F713" i="35"/>
  <c r="G713" i="35" s="1"/>
  <c r="J713" i="35"/>
  <c r="K713" i="35" s="1"/>
  <c r="Q713" i="35"/>
  <c r="C712" i="35" a="1"/>
  <c r="C712" i="35" s="1"/>
  <c r="F712" i="35"/>
  <c r="G712" i="35" s="1"/>
  <c r="J712" i="35"/>
  <c r="K712" i="35" s="1"/>
  <c r="Q712" i="35"/>
  <c r="B529" i="33" a="1"/>
  <c r="B529" i="33" s="1"/>
  <c r="E529" i="33" a="1"/>
  <c r="E529" i="33" s="1"/>
  <c r="F529" i="33" a="1"/>
  <c r="F529" i="33" s="1"/>
  <c r="G529" i="33" a="1"/>
  <c r="G529" i="33" s="1"/>
  <c r="L529" i="33" a="1"/>
  <c r="L529" i="33" s="1"/>
  <c r="M529" i="33"/>
  <c r="N529" i="33"/>
  <c r="P529" i="33"/>
  <c r="B528" i="33" a="1"/>
  <c r="B528" i="33" s="1"/>
  <c r="E528" i="33" a="1"/>
  <c r="E528" i="33" s="1"/>
  <c r="F528" i="33" a="1"/>
  <c r="F528" i="33" s="1"/>
  <c r="G528" i="33" a="1"/>
  <c r="G528" i="33" s="1"/>
  <c r="L528" i="33" a="1"/>
  <c r="L528" i="33" s="1"/>
  <c r="M528" i="33"/>
  <c r="N528" i="33"/>
  <c r="P528" i="33"/>
  <c r="C11" i="31" a="1"/>
  <c r="C11" i="31" s="1"/>
  <c r="D11" i="31" a="1"/>
  <c r="D11" i="31" s="1"/>
  <c r="L11" i="31"/>
  <c r="Q11" i="31"/>
  <c r="R11" i="31"/>
  <c r="U11" i="31"/>
  <c r="V11" i="31"/>
  <c r="W11" i="31"/>
  <c r="AB11" i="31"/>
  <c r="AC11" i="31"/>
  <c r="AF11" i="31"/>
  <c r="C711" i="35" a="1"/>
  <c r="C711" i="35" s="1"/>
  <c r="F711" i="35"/>
  <c r="G711" i="35" s="1"/>
  <c r="J711" i="35"/>
  <c r="K711" i="35" s="1"/>
  <c r="Q711" i="35"/>
  <c r="C710" i="35" a="1"/>
  <c r="C710" i="35" s="1"/>
  <c r="F710" i="35"/>
  <c r="G710" i="35" s="1"/>
  <c r="J710" i="35"/>
  <c r="K710" i="35" s="1"/>
  <c r="Q710" i="35"/>
  <c r="H326" i="6"/>
  <c r="J326" i="6" s="1"/>
  <c r="I326" i="6"/>
  <c r="K326" i="6" s="1"/>
  <c r="U326" i="6"/>
  <c r="H325" i="6"/>
  <c r="I325" i="6"/>
  <c r="K325" i="6" s="1"/>
  <c r="U325" i="6"/>
  <c r="C709" i="35" a="1"/>
  <c r="C709" i="35" s="1"/>
  <c r="F709" i="35"/>
  <c r="G709" i="35" s="1"/>
  <c r="J709" i="35"/>
  <c r="K709" i="35" s="1"/>
  <c r="Q709" i="35"/>
  <c r="C708" i="35" a="1"/>
  <c r="C708" i="35" s="1"/>
  <c r="F708" i="35"/>
  <c r="G708" i="35" s="1"/>
  <c r="J708" i="35"/>
  <c r="K708" i="35" s="1"/>
  <c r="Q708" i="35"/>
  <c r="B527" i="33" a="1"/>
  <c r="B527" i="33" s="1"/>
  <c r="E527" i="33" a="1"/>
  <c r="E527" i="33" s="1"/>
  <c r="F527" i="33" a="1"/>
  <c r="F527" i="33" s="1"/>
  <c r="G527" i="33" a="1"/>
  <c r="G527" i="33" s="1"/>
  <c r="L527" i="33" a="1"/>
  <c r="L527" i="33" s="1"/>
  <c r="M527" i="33"/>
  <c r="N527" i="33"/>
  <c r="P527" i="33"/>
  <c r="B104" i="33" a="1"/>
  <c r="B104" i="33" s="1"/>
  <c r="E104" i="33" a="1"/>
  <c r="E104" i="33" s="1"/>
  <c r="F104" i="33" a="1"/>
  <c r="F104" i="33" s="1"/>
  <c r="G104" i="33" a="1"/>
  <c r="G104" i="33" s="1"/>
  <c r="L104" i="33" a="1"/>
  <c r="L104" i="33" s="1"/>
  <c r="M104" i="33"/>
  <c r="P104" i="33"/>
  <c r="C707" i="35" a="1"/>
  <c r="C707" i="35" s="1"/>
  <c r="F707" i="35"/>
  <c r="J707" i="35"/>
  <c r="Q707" i="35"/>
  <c r="C706" i="35" a="1"/>
  <c r="C706" i="35" s="1"/>
  <c r="F706" i="35"/>
  <c r="G706" i="35" s="1"/>
  <c r="J706" i="35"/>
  <c r="K706" i="35" s="1"/>
  <c r="Q706" i="35"/>
  <c r="C705" i="35" a="1"/>
  <c r="C705" i="35" s="1"/>
  <c r="F705" i="35"/>
  <c r="J705" i="35"/>
  <c r="Q705" i="35"/>
  <c r="B85" i="33" a="1"/>
  <c r="B85" i="33" s="1"/>
  <c r="E85" i="33" a="1"/>
  <c r="E85" i="33" s="1"/>
  <c r="F85" i="33" a="1"/>
  <c r="F85" i="33" s="1"/>
  <c r="G85" i="33" a="1"/>
  <c r="G85" i="33" s="1"/>
  <c r="L85" i="33" a="1"/>
  <c r="L85" i="33" s="1"/>
  <c r="M85" i="33"/>
  <c r="N85" i="33"/>
  <c r="P85" i="33"/>
  <c r="C462" i="31" a="1"/>
  <c r="C462" i="31" s="1"/>
  <c r="D462" i="31" a="1"/>
  <c r="D462" i="31" s="1"/>
  <c r="L462" i="31"/>
  <c r="Q462" i="31"/>
  <c r="R462" i="31"/>
  <c r="U462" i="31"/>
  <c r="V462" i="31"/>
  <c r="W462" i="31"/>
  <c r="AB462" i="31"/>
  <c r="AC462" i="31"/>
  <c r="AF462" i="31"/>
  <c r="C450" i="31" a="1"/>
  <c r="C450" i="31" s="1"/>
  <c r="D450" i="31" a="1"/>
  <c r="D450" i="31" s="1"/>
  <c r="L450" i="31"/>
  <c r="Q450" i="31"/>
  <c r="R450" i="31"/>
  <c r="U450" i="31"/>
  <c r="V450" i="31"/>
  <c r="W450" i="31"/>
  <c r="AB450" i="31"/>
  <c r="AC450" i="31"/>
  <c r="AF450" i="31"/>
  <c r="C449" i="31" a="1"/>
  <c r="C449" i="31" s="1"/>
  <c r="D449" i="31" a="1"/>
  <c r="D449" i="31" s="1"/>
  <c r="L449" i="31"/>
  <c r="Q449" i="31"/>
  <c r="R449" i="31"/>
  <c r="U449" i="31"/>
  <c r="V449" i="31"/>
  <c r="W449" i="31"/>
  <c r="AB449" i="31"/>
  <c r="AC449" i="31"/>
  <c r="AF449" i="31"/>
  <c r="C704" i="35" a="1"/>
  <c r="C704" i="35" s="1"/>
  <c r="F704" i="35"/>
  <c r="G704" i="35" s="1"/>
  <c r="J704" i="35"/>
  <c r="K704" i="35" s="1"/>
  <c r="Q704" i="35"/>
  <c r="C703" i="35" a="1"/>
  <c r="C703" i="35" s="1"/>
  <c r="F703" i="35"/>
  <c r="G703" i="35" s="1"/>
  <c r="J703" i="35"/>
  <c r="K703" i="35" s="1"/>
  <c r="Q703" i="35"/>
  <c r="C702" i="35" a="1"/>
  <c r="C702" i="35" s="1"/>
  <c r="F702" i="35"/>
  <c r="G702" i="35" s="1"/>
  <c r="J702" i="35"/>
  <c r="K702" i="35" s="1"/>
  <c r="Q702" i="35"/>
  <c r="C701" i="35" a="1"/>
  <c r="C701" i="35" s="1"/>
  <c r="F701" i="35"/>
  <c r="J701" i="35"/>
  <c r="Q701" i="35"/>
  <c r="C700" i="35" a="1"/>
  <c r="C700" i="35" s="1"/>
  <c r="F700" i="35"/>
  <c r="G700" i="35" s="1"/>
  <c r="J700" i="35"/>
  <c r="K700" i="35" s="1"/>
  <c r="Q700" i="35"/>
  <c r="C699" i="35" a="1"/>
  <c r="C699" i="35" s="1"/>
  <c r="F699" i="35"/>
  <c r="G699" i="35" s="1"/>
  <c r="J699" i="35"/>
  <c r="K699" i="35" s="1"/>
  <c r="Q699" i="35"/>
  <c r="C698" i="35" a="1"/>
  <c r="C698" i="35" s="1"/>
  <c r="F698" i="35"/>
  <c r="G698" i="35" s="1"/>
  <c r="J698" i="35"/>
  <c r="K698" i="35" s="1"/>
  <c r="Q698" i="35"/>
  <c r="C697" i="35" a="1"/>
  <c r="C697" i="35" s="1"/>
  <c r="F697" i="35"/>
  <c r="G697" i="35" s="1"/>
  <c r="J697" i="35"/>
  <c r="K697" i="35" s="1"/>
  <c r="Q697" i="35"/>
  <c r="C696" i="35" a="1"/>
  <c r="C696" i="35" s="1"/>
  <c r="F696" i="35"/>
  <c r="G696" i="35" s="1"/>
  <c r="J696" i="35"/>
  <c r="K696" i="35" s="1"/>
  <c r="Q696" i="35"/>
  <c r="C695" i="35" a="1"/>
  <c r="C695" i="35" s="1"/>
  <c r="F695" i="35"/>
  <c r="G695" i="35" s="1"/>
  <c r="J695" i="35"/>
  <c r="K695" i="35" s="1"/>
  <c r="Q695" i="35"/>
  <c r="C694" i="35" a="1"/>
  <c r="C694" i="35" s="1"/>
  <c r="F694" i="35"/>
  <c r="J694" i="35"/>
  <c r="Q694" i="35"/>
  <c r="B27" i="33" a="1"/>
  <c r="B27" i="33" s="1"/>
  <c r="E27" i="33" a="1"/>
  <c r="E27" i="33" s="1"/>
  <c r="F27" i="33" a="1"/>
  <c r="F27" i="33" s="1"/>
  <c r="G27" i="33" a="1"/>
  <c r="G27" i="33" s="1"/>
  <c r="L27" i="33" a="1"/>
  <c r="L27" i="33" s="1"/>
  <c r="M27" i="33"/>
  <c r="N27" i="33"/>
  <c r="P27" i="33"/>
  <c r="C693" i="35" a="1"/>
  <c r="C693" i="35" s="1"/>
  <c r="F693" i="35"/>
  <c r="J693" i="35"/>
  <c r="Q693" i="35"/>
  <c r="B205" i="33" a="1"/>
  <c r="B205" i="33" s="1"/>
  <c r="E205" i="33" a="1"/>
  <c r="E205" i="33" s="1"/>
  <c r="F205" i="33" a="1"/>
  <c r="F205" i="33" s="1"/>
  <c r="G205" i="33" a="1"/>
  <c r="G205" i="33" s="1"/>
  <c r="L205" i="33" a="1"/>
  <c r="L205" i="33" s="1"/>
  <c r="M205" i="33"/>
  <c r="N205" i="33"/>
  <c r="P205" i="33"/>
  <c r="B514" i="33" a="1"/>
  <c r="B514" i="33" s="1"/>
  <c r="E514" i="33" a="1"/>
  <c r="E514" i="33" s="1"/>
  <c r="F514" i="33" a="1"/>
  <c r="F514" i="33" s="1"/>
  <c r="G514" i="33" a="1"/>
  <c r="G514" i="33" s="1"/>
  <c r="L514" i="33" a="1"/>
  <c r="L514" i="33" s="1"/>
  <c r="M514" i="33"/>
  <c r="N514" i="33"/>
  <c r="P514" i="33"/>
  <c r="C692" i="35" a="1"/>
  <c r="C692" i="35" s="1"/>
  <c r="F692" i="35"/>
  <c r="J692" i="35"/>
  <c r="Q692" i="35"/>
  <c r="C691" i="35" a="1"/>
  <c r="C691" i="35" s="1"/>
  <c r="F691" i="35"/>
  <c r="J691" i="35"/>
  <c r="Q691" i="35"/>
  <c r="C690" i="35" a="1"/>
  <c r="C690" i="35" s="1"/>
  <c r="F690" i="35"/>
  <c r="J690" i="35"/>
  <c r="Q690" i="35"/>
  <c r="C689" i="35" a="1"/>
  <c r="C689" i="35" s="1"/>
  <c r="F689" i="35"/>
  <c r="G689" i="35" s="1"/>
  <c r="J689" i="35"/>
  <c r="K689" i="35" s="1"/>
  <c r="Q689" i="35"/>
  <c r="H324" i="6"/>
  <c r="L402" i="6" s="1"/>
  <c r="I324" i="6"/>
  <c r="M402" i="6" s="1"/>
  <c r="U324" i="6"/>
  <c r="H323" i="6"/>
  <c r="J323" i="6" s="1"/>
  <c r="I323" i="6"/>
  <c r="K323" i="6" s="1"/>
  <c r="U323" i="6"/>
  <c r="C688" i="35" a="1"/>
  <c r="C688" i="35" s="1"/>
  <c r="F688" i="35"/>
  <c r="G688" i="35" s="1"/>
  <c r="J688" i="35"/>
  <c r="K688" i="35" s="1"/>
  <c r="Q688" i="35"/>
  <c r="C687" i="35" a="1"/>
  <c r="C687" i="35" s="1"/>
  <c r="F687" i="35"/>
  <c r="G687" i="35" s="1"/>
  <c r="J687" i="35"/>
  <c r="K687" i="35" s="1"/>
  <c r="Q687" i="35"/>
  <c r="C686" i="35" a="1"/>
  <c r="C686" i="35" s="1"/>
  <c r="F686" i="35"/>
  <c r="G686" i="35" s="1"/>
  <c r="J686" i="35"/>
  <c r="K686" i="35" s="1"/>
  <c r="Q686" i="35"/>
  <c r="C685" i="35" a="1"/>
  <c r="C685" i="35" s="1"/>
  <c r="F685" i="35"/>
  <c r="J685" i="35"/>
  <c r="Q685" i="35"/>
  <c r="B48" i="33" a="1"/>
  <c r="B48" i="33" s="1"/>
  <c r="E48" i="33" a="1"/>
  <c r="E48" i="33" s="1"/>
  <c r="F48" i="33" a="1"/>
  <c r="F48" i="33" s="1"/>
  <c r="G48" i="33" a="1"/>
  <c r="G48" i="33" s="1"/>
  <c r="L48" i="33" a="1"/>
  <c r="L48" i="33" s="1"/>
  <c r="M48" i="33"/>
  <c r="N48" i="33"/>
  <c r="P48" i="33"/>
  <c r="C684" i="35" a="1"/>
  <c r="C684" i="35" s="1"/>
  <c r="F684" i="35"/>
  <c r="J684" i="35"/>
  <c r="Q684" i="35"/>
  <c r="B133" i="33" a="1"/>
  <c r="B133" i="33" s="1"/>
  <c r="E133" i="33" a="1"/>
  <c r="E133" i="33" s="1"/>
  <c r="F133" i="33" a="1"/>
  <c r="F133" i="33" s="1"/>
  <c r="G133" i="33" a="1"/>
  <c r="G133" i="33" s="1"/>
  <c r="L133" i="33" a="1"/>
  <c r="L133" i="33" s="1"/>
  <c r="M133" i="33"/>
  <c r="N133" i="33"/>
  <c r="P133" i="33"/>
  <c r="H322" i="6"/>
  <c r="J322" i="6" s="1"/>
  <c r="I322" i="6"/>
  <c r="K322" i="6" s="1"/>
  <c r="U322" i="6"/>
  <c r="C683" i="35" a="1"/>
  <c r="C683" i="35" s="1"/>
  <c r="F683" i="35"/>
  <c r="H2033" i="35" s="1"/>
  <c r="J683" i="35"/>
  <c r="L2033" i="35" s="1"/>
  <c r="Q683" i="35"/>
  <c r="C682" i="35" a="1"/>
  <c r="C682" i="35" s="1"/>
  <c r="F682" i="35"/>
  <c r="G682" i="35" s="1"/>
  <c r="J682" i="35"/>
  <c r="K682" i="35" s="1"/>
  <c r="Q682" i="35"/>
  <c r="H321" i="6"/>
  <c r="J321" i="6" s="1"/>
  <c r="I321" i="6"/>
  <c r="K321" i="6" s="1"/>
  <c r="U321" i="6"/>
  <c r="H320" i="6"/>
  <c r="J320" i="6" s="1"/>
  <c r="I320" i="6"/>
  <c r="K320" i="6" s="1"/>
  <c r="U320" i="6"/>
  <c r="H319" i="6"/>
  <c r="J319" i="6" s="1"/>
  <c r="I319" i="6"/>
  <c r="K319" i="6" s="1"/>
  <c r="U319" i="6"/>
  <c r="H318" i="6"/>
  <c r="J318" i="6" s="1"/>
  <c r="I318" i="6"/>
  <c r="K318" i="6" s="1"/>
  <c r="U318" i="6"/>
  <c r="H317" i="6"/>
  <c r="I317" i="6"/>
  <c r="U317" i="6"/>
  <c r="H316" i="6"/>
  <c r="J316" i="6" s="1"/>
  <c r="I316" i="6"/>
  <c r="K316" i="6" s="1"/>
  <c r="U316" i="6"/>
  <c r="H315" i="6"/>
  <c r="J315" i="6" s="1"/>
  <c r="I315" i="6"/>
  <c r="K315" i="6" s="1"/>
  <c r="U315" i="6"/>
  <c r="H314" i="6"/>
  <c r="J314" i="6" s="1"/>
  <c r="I314" i="6"/>
  <c r="K314" i="6" s="1"/>
  <c r="U314" i="6"/>
  <c r="H313" i="6"/>
  <c r="I313" i="6"/>
  <c r="K313" i="6" s="1"/>
  <c r="U313" i="6"/>
  <c r="H312" i="6"/>
  <c r="J312" i="6" s="1"/>
  <c r="I312" i="6"/>
  <c r="K312" i="6" s="1"/>
  <c r="U312" i="6"/>
  <c r="H311" i="6"/>
  <c r="I311" i="6"/>
  <c r="U311" i="6"/>
  <c r="H310" i="6"/>
  <c r="I310" i="6"/>
  <c r="U310" i="6"/>
  <c r="H309" i="6"/>
  <c r="J309" i="6" s="1"/>
  <c r="I309" i="6"/>
  <c r="K309" i="6" s="1"/>
  <c r="U309" i="6"/>
  <c r="C681" i="35" a="1"/>
  <c r="C681" i="35" s="1"/>
  <c r="F681" i="35"/>
  <c r="G681" i="35" s="1"/>
  <c r="J681" i="35"/>
  <c r="K681" i="35" s="1"/>
  <c r="Q681" i="35"/>
  <c r="B200" i="33" a="1"/>
  <c r="B200" i="33" s="1"/>
  <c r="E200" i="33" a="1"/>
  <c r="E200" i="33" s="1"/>
  <c r="F200" i="33" a="1"/>
  <c r="F200" i="33" s="1"/>
  <c r="G200" i="33" a="1"/>
  <c r="G200" i="33" s="1"/>
  <c r="L200" i="33" a="1"/>
  <c r="L200" i="33" s="1"/>
  <c r="M200" i="33"/>
  <c r="N200" i="33"/>
  <c r="P200" i="33"/>
  <c r="C680" i="35" a="1"/>
  <c r="C680" i="35" s="1"/>
  <c r="F680" i="35"/>
  <c r="J680" i="35"/>
  <c r="Q680" i="35"/>
  <c r="B149" i="33" a="1"/>
  <c r="B149" i="33" s="1"/>
  <c r="E149" i="33" a="1"/>
  <c r="E149" i="33" s="1"/>
  <c r="F149" i="33" a="1"/>
  <c r="F149" i="33" s="1"/>
  <c r="G149" i="33" a="1"/>
  <c r="G149" i="33" s="1"/>
  <c r="L149" i="33" a="1"/>
  <c r="L149" i="33" s="1"/>
  <c r="M149" i="33"/>
  <c r="N149" i="33"/>
  <c r="P149" i="33"/>
  <c r="C679" i="35" a="1"/>
  <c r="C679" i="35" s="1"/>
  <c r="F679" i="35"/>
  <c r="J679" i="35"/>
  <c r="Q679" i="35"/>
  <c r="B75" i="33" a="1"/>
  <c r="B75" i="33" s="1"/>
  <c r="E75" i="33" a="1"/>
  <c r="E75" i="33" s="1"/>
  <c r="F75" i="33" a="1"/>
  <c r="F75" i="33" s="1"/>
  <c r="G75" i="33" a="1"/>
  <c r="G75" i="33" s="1"/>
  <c r="L75" i="33" a="1"/>
  <c r="L75" i="33" s="1"/>
  <c r="M75" i="33"/>
  <c r="N75" i="33"/>
  <c r="P75" i="33"/>
  <c r="C678" i="35" a="1"/>
  <c r="C678" i="35" s="1"/>
  <c r="F678" i="35"/>
  <c r="G678" i="35" s="1"/>
  <c r="J678" i="35"/>
  <c r="K678" i="35" s="1"/>
  <c r="Q678" i="35"/>
  <c r="C677" i="35" a="1"/>
  <c r="C677" i="35" s="1"/>
  <c r="F677" i="35"/>
  <c r="G677" i="35" s="1"/>
  <c r="J677" i="35"/>
  <c r="K677" i="35" s="1"/>
  <c r="Q677" i="35"/>
  <c r="C448" i="31" a="1"/>
  <c r="C448" i="31" s="1"/>
  <c r="D448" i="31" a="1"/>
  <c r="D448" i="31" s="1"/>
  <c r="L448" i="31"/>
  <c r="Q448" i="31"/>
  <c r="R448" i="31"/>
  <c r="U448" i="31"/>
  <c r="V448" i="31"/>
  <c r="W448" i="31"/>
  <c r="AB448" i="31"/>
  <c r="AC448" i="31"/>
  <c r="AF448" i="31"/>
  <c r="C676" i="35" a="1"/>
  <c r="C676" i="35" s="1"/>
  <c r="F676" i="35"/>
  <c r="G676" i="35" s="1"/>
  <c r="J676" i="35"/>
  <c r="K676" i="35" s="1"/>
  <c r="Q676" i="35"/>
  <c r="C675" i="35" a="1"/>
  <c r="C675" i="35" s="1"/>
  <c r="F675" i="35"/>
  <c r="G675" i="35" s="1"/>
  <c r="J675" i="35"/>
  <c r="K675" i="35" s="1"/>
  <c r="Q675" i="35"/>
  <c r="B506" i="33" a="1"/>
  <c r="B506" i="33" s="1"/>
  <c r="E506" i="33" a="1"/>
  <c r="E506" i="33" s="1"/>
  <c r="F506" i="33" a="1"/>
  <c r="F506" i="33" s="1"/>
  <c r="G506" i="33" a="1"/>
  <c r="G506" i="33" s="1"/>
  <c r="L506" i="33" a="1"/>
  <c r="L506" i="33" s="1"/>
  <c r="M506" i="33"/>
  <c r="N506" i="33"/>
  <c r="P506" i="33"/>
  <c r="C674" i="35" a="1"/>
  <c r="C674" i="35" s="1"/>
  <c r="F674" i="35"/>
  <c r="G674" i="35" s="1"/>
  <c r="J674" i="35"/>
  <c r="K674" i="35" s="1"/>
  <c r="Q674" i="35"/>
  <c r="B181" i="33" a="1"/>
  <c r="B181" i="33" s="1"/>
  <c r="E181" i="33" a="1"/>
  <c r="E181" i="33" s="1"/>
  <c r="F181" i="33" a="1"/>
  <c r="F181" i="33" s="1"/>
  <c r="G181" i="33" a="1"/>
  <c r="G181" i="33" s="1"/>
  <c r="L181" i="33" a="1"/>
  <c r="L181" i="33" s="1"/>
  <c r="M181" i="33"/>
  <c r="N181" i="33"/>
  <c r="P181" i="33"/>
  <c r="H308" i="6"/>
  <c r="I308" i="6"/>
  <c r="U308" i="6"/>
  <c r="H307" i="6"/>
  <c r="I307" i="6"/>
  <c r="K307" i="6" s="1"/>
  <c r="U307" i="6"/>
  <c r="H306" i="6"/>
  <c r="J306" i="6" s="1"/>
  <c r="I306" i="6"/>
  <c r="K306" i="6" s="1"/>
  <c r="U306" i="6"/>
  <c r="H305" i="6"/>
  <c r="J305" i="6" s="1"/>
  <c r="I305" i="6"/>
  <c r="K305" i="6" s="1"/>
  <c r="U305" i="6"/>
  <c r="H304" i="6"/>
  <c r="J304" i="6" s="1"/>
  <c r="I304" i="6"/>
  <c r="K304" i="6" s="1"/>
  <c r="U304" i="6"/>
  <c r="H303" i="6"/>
  <c r="J303" i="6" s="1"/>
  <c r="I303" i="6"/>
  <c r="K303" i="6" s="1"/>
  <c r="U303" i="6"/>
  <c r="H302" i="6"/>
  <c r="J302" i="6" s="1"/>
  <c r="I302" i="6"/>
  <c r="K302" i="6" s="1"/>
  <c r="U302" i="6"/>
  <c r="H301" i="6"/>
  <c r="J301" i="6" s="1"/>
  <c r="I301" i="6"/>
  <c r="U301" i="6"/>
  <c r="C673" i="35" a="1"/>
  <c r="C673" i="35" s="1"/>
  <c r="F673" i="35"/>
  <c r="G673" i="35" s="1"/>
  <c r="J673" i="35"/>
  <c r="K673" i="35" s="1"/>
  <c r="Q673" i="35"/>
  <c r="C672" i="35" a="1"/>
  <c r="C672" i="35" s="1"/>
  <c r="F672" i="35"/>
  <c r="G672" i="35" s="1"/>
  <c r="J672" i="35"/>
  <c r="K672" i="35" s="1"/>
  <c r="Q672" i="35"/>
  <c r="C671" i="35" a="1"/>
  <c r="C671" i="35" s="1"/>
  <c r="F671" i="35"/>
  <c r="G671" i="35" s="1"/>
  <c r="J671" i="35"/>
  <c r="K671" i="35" s="1"/>
  <c r="Q671" i="35"/>
  <c r="C84" i="31" a="1"/>
  <c r="C84" i="31" s="1"/>
  <c r="D84" i="31" a="1"/>
  <c r="D84" i="31" s="1"/>
  <c r="L84" i="31"/>
  <c r="Q84" i="31"/>
  <c r="R84" i="31"/>
  <c r="U84" i="31"/>
  <c r="V84" i="31"/>
  <c r="W84" i="31"/>
  <c r="AB84" i="31"/>
  <c r="AC84" i="31"/>
  <c r="AF84" i="31"/>
  <c r="C670" i="35" a="1"/>
  <c r="C670" i="35" s="1"/>
  <c r="F670" i="35"/>
  <c r="G670" i="35" s="1"/>
  <c r="J670" i="35"/>
  <c r="K670" i="35" s="1"/>
  <c r="Q670" i="35"/>
  <c r="C669" i="35" a="1"/>
  <c r="C669" i="35" s="1"/>
  <c r="F669" i="35"/>
  <c r="J669" i="35"/>
  <c r="Q669" i="35"/>
  <c r="C668" i="35" a="1"/>
  <c r="C668" i="35" s="1"/>
  <c r="F668" i="35"/>
  <c r="G668" i="35" s="1"/>
  <c r="J668" i="35"/>
  <c r="K668" i="35" s="1"/>
  <c r="Q668" i="35"/>
  <c r="C667" i="35" a="1"/>
  <c r="C667" i="35" s="1"/>
  <c r="F667" i="35"/>
  <c r="G667" i="35" s="1"/>
  <c r="J667" i="35"/>
  <c r="K667" i="35" s="1"/>
  <c r="Q667" i="35"/>
  <c r="C666" i="35" a="1"/>
  <c r="C666" i="35" s="1"/>
  <c r="F666" i="35"/>
  <c r="G666" i="35" s="1"/>
  <c r="J666" i="35"/>
  <c r="K666" i="35" s="1"/>
  <c r="Q666" i="35"/>
  <c r="B142" i="33" a="1"/>
  <c r="B142" i="33" s="1"/>
  <c r="E142" i="33" a="1"/>
  <c r="E142" i="33" s="1"/>
  <c r="F142" i="33" a="1"/>
  <c r="F142" i="33" s="1"/>
  <c r="G142" i="33" a="1"/>
  <c r="G142" i="33" s="1"/>
  <c r="L142" i="33" a="1"/>
  <c r="L142" i="33" s="1"/>
  <c r="M142" i="33"/>
  <c r="N142" i="33"/>
  <c r="P142" i="33"/>
  <c r="C665" i="35" a="1"/>
  <c r="C665" i="35" s="1"/>
  <c r="F665" i="35"/>
  <c r="G665" i="35" s="1"/>
  <c r="J665" i="35"/>
  <c r="K665" i="35" s="1"/>
  <c r="Q665" i="35"/>
  <c r="C664" i="35" a="1"/>
  <c r="C664" i="35" s="1"/>
  <c r="F664" i="35"/>
  <c r="G664" i="35" s="1"/>
  <c r="J664" i="35"/>
  <c r="K664" i="35" s="1"/>
  <c r="Q664" i="35"/>
  <c r="H300" i="6"/>
  <c r="J300" i="6" s="1"/>
  <c r="I300" i="6"/>
  <c r="U300" i="6"/>
  <c r="H299" i="6"/>
  <c r="J299" i="6" s="1"/>
  <c r="I299" i="6"/>
  <c r="K299" i="6" s="1"/>
  <c r="U299" i="6"/>
  <c r="H298" i="6"/>
  <c r="I298" i="6"/>
  <c r="K298" i="6" s="1"/>
  <c r="U298" i="6"/>
  <c r="B498" i="33" a="1"/>
  <c r="B498" i="33" s="1"/>
  <c r="E498" i="33" a="1"/>
  <c r="E498" i="33" s="1"/>
  <c r="F498" i="33" a="1"/>
  <c r="F498" i="33" s="1"/>
  <c r="G498" i="33" a="1"/>
  <c r="G498" i="33" s="1"/>
  <c r="L498" i="33" a="1"/>
  <c r="L498" i="33" s="1"/>
  <c r="M498" i="33"/>
  <c r="N498" i="33"/>
  <c r="P498" i="33"/>
  <c r="C663" i="35" a="1"/>
  <c r="C663" i="35" s="1"/>
  <c r="F663" i="35"/>
  <c r="J663" i="35"/>
  <c r="Q663" i="35"/>
  <c r="B103" i="33" a="1"/>
  <c r="B103" i="33" s="1"/>
  <c r="E103" i="33" a="1"/>
  <c r="E103" i="33" s="1"/>
  <c r="F103" i="33" a="1"/>
  <c r="F103" i="33" s="1"/>
  <c r="G103" i="33" a="1"/>
  <c r="G103" i="33" s="1"/>
  <c r="L103" i="33" a="1"/>
  <c r="L103" i="33" s="1"/>
  <c r="M103" i="33"/>
  <c r="N103" i="33"/>
  <c r="P103" i="33"/>
  <c r="H297" i="6"/>
  <c r="L400" i="6" s="1"/>
  <c r="I297" i="6"/>
  <c r="M400" i="6" s="1"/>
  <c r="U297" i="6"/>
  <c r="H296" i="6"/>
  <c r="J296" i="6" s="1"/>
  <c r="I296" i="6"/>
  <c r="K296" i="6" s="1"/>
  <c r="U296" i="6"/>
  <c r="H295" i="6"/>
  <c r="J295" i="6" s="1"/>
  <c r="I295" i="6"/>
  <c r="K295" i="6" s="1"/>
  <c r="U295" i="6"/>
  <c r="H294" i="6"/>
  <c r="J294" i="6" s="1"/>
  <c r="I294" i="6"/>
  <c r="K294" i="6" s="1"/>
  <c r="U294" i="6"/>
  <c r="H293" i="6"/>
  <c r="J293" i="6" s="1"/>
  <c r="I293" i="6"/>
  <c r="K293" i="6" s="1"/>
  <c r="U293" i="6"/>
  <c r="H292" i="6"/>
  <c r="J292" i="6" s="1"/>
  <c r="I292" i="6"/>
  <c r="K292" i="6" s="1"/>
  <c r="U292" i="6"/>
  <c r="H291" i="6"/>
  <c r="J291" i="6" s="1"/>
  <c r="I291" i="6"/>
  <c r="K291" i="6" s="1"/>
  <c r="U291" i="6"/>
  <c r="H290" i="6"/>
  <c r="J290" i="6" s="1"/>
  <c r="I290" i="6"/>
  <c r="K290" i="6" s="1"/>
  <c r="U290" i="6"/>
  <c r="H289" i="6"/>
  <c r="J289" i="6" s="1"/>
  <c r="I289" i="6"/>
  <c r="K289" i="6" s="1"/>
  <c r="U289" i="6"/>
  <c r="H288" i="6"/>
  <c r="J288" i="6" s="1"/>
  <c r="I288" i="6"/>
  <c r="K288" i="6" s="1"/>
  <c r="U288" i="6"/>
  <c r="H287" i="6"/>
  <c r="J287" i="6" s="1"/>
  <c r="I287" i="6"/>
  <c r="K287" i="6" s="1"/>
  <c r="U287" i="6"/>
  <c r="H286" i="6"/>
  <c r="I286" i="6"/>
  <c r="U286" i="6"/>
  <c r="H285" i="6"/>
  <c r="J285" i="6" s="1"/>
  <c r="I285" i="6"/>
  <c r="K285" i="6" s="1"/>
  <c r="U285" i="6"/>
  <c r="H284" i="6"/>
  <c r="J284" i="6" s="1"/>
  <c r="I284" i="6"/>
  <c r="K284" i="6" s="1"/>
  <c r="U284" i="6"/>
  <c r="H283" i="6"/>
  <c r="J283" i="6" s="1"/>
  <c r="I283" i="6"/>
  <c r="K283" i="6" s="1"/>
  <c r="U283" i="6"/>
  <c r="H282" i="6"/>
  <c r="J282" i="6" s="1"/>
  <c r="I282" i="6"/>
  <c r="K282" i="6" s="1"/>
  <c r="U282" i="6"/>
  <c r="H281" i="6"/>
  <c r="J281" i="6" s="1"/>
  <c r="I281" i="6"/>
  <c r="K281" i="6" s="1"/>
  <c r="U281" i="6"/>
  <c r="H280" i="6"/>
  <c r="J280" i="6" s="1"/>
  <c r="I280" i="6"/>
  <c r="K280" i="6" s="1"/>
  <c r="U280" i="6"/>
  <c r="H279" i="6"/>
  <c r="J279" i="6" s="1"/>
  <c r="I279" i="6"/>
  <c r="K279" i="6" s="1"/>
  <c r="U279" i="6"/>
  <c r="H278" i="6"/>
  <c r="J278" i="6" s="1"/>
  <c r="I278" i="6"/>
  <c r="K278" i="6" s="1"/>
  <c r="U278" i="6"/>
  <c r="H277" i="6"/>
  <c r="J277" i="6" s="1"/>
  <c r="I277" i="6"/>
  <c r="K277" i="6" s="1"/>
  <c r="U277" i="6"/>
  <c r="H276" i="6"/>
  <c r="I276" i="6"/>
  <c r="K276" i="6" s="1"/>
  <c r="U276" i="6"/>
  <c r="H275" i="6"/>
  <c r="J275" i="6" s="1"/>
  <c r="I275" i="6"/>
  <c r="K275" i="6" s="1"/>
  <c r="U275" i="6"/>
  <c r="C106" i="31" a="1"/>
  <c r="C106" i="31" s="1"/>
  <c r="D106" i="31" a="1"/>
  <c r="D106" i="31" s="1"/>
  <c r="L106" i="31"/>
  <c r="Q106" i="31"/>
  <c r="R106" i="31"/>
  <c r="U106" i="31"/>
  <c r="V106" i="31"/>
  <c r="W106" i="31"/>
  <c r="AB106" i="31"/>
  <c r="AC106" i="31"/>
  <c r="AF106" i="31"/>
  <c r="C90" i="31" a="1"/>
  <c r="C90" i="31" s="1"/>
  <c r="D90" i="31" a="1"/>
  <c r="D90" i="31" s="1"/>
  <c r="L90" i="31"/>
  <c r="Q90" i="31"/>
  <c r="R90" i="31"/>
  <c r="U90" i="31"/>
  <c r="V90" i="31"/>
  <c r="W90" i="31"/>
  <c r="AB90" i="31"/>
  <c r="AC90" i="31"/>
  <c r="AF90" i="31"/>
  <c r="C85" i="31" a="1"/>
  <c r="C85" i="31" s="1"/>
  <c r="D85" i="31" a="1"/>
  <c r="D85" i="31" s="1"/>
  <c r="L85" i="31"/>
  <c r="Q85" i="31"/>
  <c r="R85" i="31"/>
  <c r="U85" i="31"/>
  <c r="V85" i="31"/>
  <c r="W85" i="31"/>
  <c r="AB85" i="31"/>
  <c r="AC85" i="31"/>
  <c r="AF85" i="31"/>
  <c r="C442" i="31" a="1"/>
  <c r="C442" i="31" s="1"/>
  <c r="D442" i="31" a="1"/>
  <c r="D442" i="31" s="1"/>
  <c r="L442" i="31"/>
  <c r="Q442" i="31"/>
  <c r="R442" i="31"/>
  <c r="U442" i="31"/>
  <c r="V442" i="31"/>
  <c r="W442" i="31"/>
  <c r="AB442" i="31"/>
  <c r="AC442" i="31"/>
  <c r="AF442" i="31"/>
  <c r="C662" i="35" a="1"/>
  <c r="C662" i="35" s="1"/>
  <c r="F662" i="35"/>
  <c r="G662" i="35" s="1"/>
  <c r="J662" i="35"/>
  <c r="K662" i="35" s="1"/>
  <c r="Q662" i="35"/>
  <c r="H274" i="6"/>
  <c r="J274" i="6" s="1"/>
  <c r="I274" i="6"/>
  <c r="K274" i="6" s="1"/>
  <c r="U274" i="6"/>
  <c r="H273" i="6"/>
  <c r="J273" i="6" s="1"/>
  <c r="I273" i="6"/>
  <c r="K273" i="6" s="1"/>
  <c r="U273" i="6"/>
  <c r="H272" i="6"/>
  <c r="J272" i="6" s="1"/>
  <c r="I272" i="6"/>
  <c r="K272" i="6" s="1"/>
  <c r="U272" i="6"/>
  <c r="H271" i="6"/>
  <c r="J271" i="6" s="1"/>
  <c r="I271" i="6"/>
  <c r="K271" i="6" s="1"/>
  <c r="U271" i="6"/>
  <c r="H270" i="6"/>
  <c r="J270" i="6" s="1"/>
  <c r="I270" i="6"/>
  <c r="K270" i="6" s="1"/>
  <c r="U270" i="6"/>
  <c r="H269" i="6"/>
  <c r="J269" i="6" s="1"/>
  <c r="I269" i="6"/>
  <c r="K269" i="6" s="1"/>
  <c r="U269" i="6"/>
  <c r="H268" i="6"/>
  <c r="J268" i="6" s="1"/>
  <c r="I268" i="6"/>
  <c r="K268" i="6" s="1"/>
  <c r="U268" i="6"/>
  <c r="H267" i="6"/>
  <c r="J267" i="6" s="1"/>
  <c r="I267" i="6"/>
  <c r="K267" i="6" s="1"/>
  <c r="U267" i="6"/>
  <c r="H266" i="6"/>
  <c r="J266" i="6" s="1"/>
  <c r="I266" i="6"/>
  <c r="K266" i="6" s="1"/>
  <c r="U266" i="6"/>
  <c r="H265" i="6"/>
  <c r="J265" i="6" s="1"/>
  <c r="I265" i="6"/>
  <c r="K265" i="6" s="1"/>
  <c r="U265" i="6"/>
  <c r="H264" i="6"/>
  <c r="J264" i="6" s="1"/>
  <c r="I264" i="6"/>
  <c r="K264" i="6" s="1"/>
  <c r="U264" i="6"/>
  <c r="C661" i="35" a="1"/>
  <c r="C661" i="35" s="1"/>
  <c r="F661" i="35"/>
  <c r="G661" i="35" s="1"/>
  <c r="J661" i="35"/>
  <c r="K661" i="35" s="1"/>
  <c r="Q661" i="35"/>
  <c r="H263" i="6"/>
  <c r="J263" i="6" s="1"/>
  <c r="I263" i="6"/>
  <c r="K263" i="6" s="1"/>
  <c r="U263" i="6"/>
  <c r="H262" i="6"/>
  <c r="J262" i="6" s="1"/>
  <c r="I262" i="6"/>
  <c r="K262" i="6" s="1"/>
  <c r="U262" i="6"/>
  <c r="C660" i="35" a="1"/>
  <c r="C660" i="35" s="1"/>
  <c r="F660" i="35"/>
  <c r="G660" i="35" s="1"/>
  <c r="J660" i="35"/>
  <c r="K660" i="35" s="1"/>
  <c r="Q660" i="35"/>
  <c r="C659" i="35" a="1"/>
  <c r="C659" i="35" s="1"/>
  <c r="F659" i="35"/>
  <c r="G659" i="35" s="1"/>
  <c r="J659" i="35"/>
  <c r="K659" i="35" s="1"/>
  <c r="Q659" i="35"/>
  <c r="C658" i="35" a="1"/>
  <c r="C658" i="35" s="1"/>
  <c r="F658" i="35"/>
  <c r="G658" i="35" s="1"/>
  <c r="J658" i="35"/>
  <c r="K658" i="35" s="1"/>
  <c r="Q658" i="35"/>
  <c r="C657" i="35" a="1"/>
  <c r="C657" i="35" s="1"/>
  <c r="F657" i="35"/>
  <c r="G657" i="35" s="1"/>
  <c r="J657" i="35"/>
  <c r="K657" i="35" s="1"/>
  <c r="Q657" i="35"/>
  <c r="C441" i="31" a="1"/>
  <c r="C441" i="31" s="1"/>
  <c r="D441" i="31" a="1"/>
  <c r="D441" i="31" s="1"/>
  <c r="L441" i="31"/>
  <c r="Q441" i="31"/>
  <c r="R441" i="31"/>
  <c r="U441" i="31"/>
  <c r="V441" i="31"/>
  <c r="W441" i="31"/>
  <c r="AB441" i="31"/>
  <c r="AC441" i="31"/>
  <c r="AF441" i="31"/>
  <c r="C71" i="31" a="1"/>
  <c r="C71" i="31" s="1"/>
  <c r="D71" i="31" a="1"/>
  <c r="D71" i="31" s="1"/>
  <c r="L71" i="31"/>
  <c r="Q71" i="31"/>
  <c r="R71" i="31"/>
  <c r="U71" i="31"/>
  <c r="V71" i="31"/>
  <c r="W71" i="31"/>
  <c r="AB71" i="31"/>
  <c r="AC71" i="31"/>
  <c r="AF71" i="31"/>
  <c r="C107" i="31" a="1"/>
  <c r="C107" i="31" s="1"/>
  <c r="D107" i="31" a="1"/>
  <c r="D107" i="31" s="1"/>
  <c r="L107" i="31"/>
  <c r="Q107" i="31"/>
  <c r="R107" i="31"/>
  <c r="U107" i="31"/>
  <c r="V107" i="31"/>
  <c r="W107" i="31"/>
  <c r="AB107" i="31"/>
  <c r="AC107" i="31"/>
  <c r="AF107" i="31"/>
  <c r="C656" i="35" a="1"/>
  <c r="C656" i="35" s="1"/>
  <c r="F656" i="35"/>
  <c r="G656" i="35" s="1"/>
  <c r="J656" i="35"/>
  <c r="K656" i="35" s="1"/>
  <c r="Q656" i="35"/>
  <c r="C655" i="35" a="1"/>
  <c r="C655" i="35" s="1"/>
  <c r="F655" i="35"/>
  <c r="G655" i="35" s="1"/>
  <c r="J655" i="35"/>
  <c r="K655" i="35" s="1"/>
  <c r="Q655" i="35"/>
  <c r="C654" i="35" a="1"/>
  <c r="C654" i="35" s="1"/>
  <c r="F654" i="35"/>
  <c r="G654" i="35" s="1"/>
  <c r="J654" i="35"/>
  <c r="K654" i="35" s="1"/>
  <c r="Q654" i="35"/>
  <c r="C438" i="31" a="1"/>
  <c r="C438" i="31" s="1"/>
  <c r="D438" i="31" a="1"/>
  <c r="D438" i="31" s="1"/>
  <c r="L438" i="31"/>
  <c r="Q438" i="31"/>
  <c r="R438" i="31"/>
  <c r="U438" i="31"/>
  <c r="V438" i="31"/>
  <c r="W438" i="31"/>
  <c r="AB438" i="31"/>
  <c r="AC438" i="31"/>
  <c r="AF438" i="31"/>
  <c r="C437" i="31" a="1"/>
  <c r="C437" i="31" s="1"/>
  <c r="D437" i="31" a="1"/>
  <c r="D437" i="31" s="1"/>
  <c r="L437" i="31"/>
  <c r="Q437" i="31"/>
  <c r="R437" i="31"/>
  <c r="U437" i="31"/>
  <c r="V437" i="31"/>
  <c r="W437" i="31"/>
  <c r="AB437" i="31"/>
  <c r="AC437" i="31"/>
  <c r="AF437" i="31"/>
  <c r="C436" i="31" a="1"/>
  <c r="C436" i="31" s="1"/>
  <c r="D436" i="31" a="1"/>
  <c r="D436" i="31" s="1"/>
  <c r="L436" i="31"/>
  <c r="Q436" i="31"/>
  <c r="R436" i="31"/>
  <c r="U436" i="31"/>
  <c r="V436" i="31"/>
  <c r="W436" i="31"/>
  <c r="AB436" i="31"/>
  <c r="AC436" i="31"/>
  <c r="AF436" i="31"/>
  <c r="C417" i="31" a="1"/>
  <c r="C417" i="31" s="1"/>
  <c r="D417" i="31" a="1"/>
  <c r="D417" i="31" s="1"/>
  <c r="L417" i="31"/>
  <c r="Q417" i="31"/>
  <c r="R417" i="31"/>
  <c r="U417" i="31"/>
  <c r="V417" i="31"/>
  <c r="W417" i="31"/>
  <c r="AB417" i="31"/>
  <c r="AC417" i="31"/>
  <c r="AF417" i="31"/>
  <c r="C653" i="35" a="1"/>
  <c r="C653" i="35" s="1"/>
  <c r="F653" i="35"/>
  <c r="G653" i="35" s="1"/>
  <c r="J653" i="35"/>
  <c r="K653" i="35" s="1"/>
  <c r="Q653" i="35"/>
  <c r="H261" i="6"/>
  <c r="J261" i="6" s="1"/>
  <c r="I261" i="6"/>
  <c r="K261" i="6" s="1"/>
  <c r="U261" i="6"/>
  <c r="H260" i="6"/>
  <c r="J260" i="6" s="1"/>
  <c r="I260" i="6"/>
  <c r="K260" i="6" s="1"/>
  <c r="U260" i="6"/>
  <c r="H259" i="6"/>
  <c r="J259" i="6" s="1"/>
  <c r="N259" i="6" s="1"/>
  <c r="I259" i="6"/>
  <c r="K259" i="6" s="1"/>
  <c r="O259" i="6" s="1"/>
  <c r="U259" i="6"/>
  <c r="H258" i="6"/>
  <c r="J258" i="6" s="1"/>
  <c r="I258" i="6"/>
  <c r="K258" i="6" s="1"/>
  <c r="U258" i="6"/>
  <c r="H257" i="6"/>
  <c r="J257" i="6" s="1"/>
  <c r="I257" i="6"/>
  <c r="K257" i="6" s="1"/>
  <c r="U257" i="6"/>
  <c r="H256" i="6"/>
  <c r="J256" i="6" s="1"/>
  <c r="I256" i="6"/>
  <c r="K256" i="6" s="1"/>
  <c r="U256" i="6"/>
  <c r="H255" i="6"/>
  <c r="I255" i="6"/>
  <c r="K255" i="6" s="1"/>
  <c r="U255" i="6"/>
  <c r="H254" i="6"/>
  <c r="J254" i="6" s="1"/>
  <c r="I254" i="6"/>
  <c r="K254" i="6" s="1"/>
  <c r="U254" i="6"/>
  <c r="H253" i="6"/>
  <c r="I253" i="6"/>
  <c r="U253" i="6"/>
  <c r="H252" i="6"/>
  <c r="J252" i="6" s="1"/>
  <c r="I252" i="6"/>
  <c r="K252" i="6" s="1"/>
  <c r="U252" i="6"/>
  <c r="H2034" i="35" l="1"/>
  <c r="L2034" i="35"/>
  <c r="P1962" i="35"/>
  <c r="H2022" i="35"/>
  <c r="L2025" i="35"/>
  <c r="H2025" i="35"/>
  <c r="L2022" i="35"/>
  <c r="L2005" i="35"/>
  <c r="H2005" i="35"/>
  <c r="K867" i="35"/>
  <c r="M867" i="35" s="1"/>
  <c r="L2004" i="35"/>
  <c r="G867" i="35"/>
  <c r="H2004" i="35"/>
  <c r="L1481" i="35"/>
  <c r="L1989" i="35"/>
  <c r="H1481" i="35"/>
  <c r="H1989" i="35"/>
  <c r="L1975" i="35"/>
  <c r="H1975" i="35"/>
  <c r="L1972" i="35"/>
  <c r="H1957" i="35"/>
  <c r="H1972" i="35"/>
  <c r="L1968" i="35"/>
  <c r="H1968" i="35"/>
  <c r="L1957" i="35"/>
  <c r="L1934" i="35"/>
  <c r="H1934" i="35"/>
  <c r="L1931" i="35"/>
  <c r="H1931" i="35"/>
  <c r="L1930" i="35"/>
  <c r="H1930" i="35"/>
  <c r="L1923" i="35"/>
  <c r="H1923" i="35"/>
  <c r="L1889" i="35"/>
  <c r="L1908" i="35"/>
  <c r="H1889" i="35"/>
  <c r="H1908" i="35"/>
  <c r="L1906" i="35"/>
  <c r="H1906" i="35"/>
  <c r="P1871" i="35"/>
  <c r="L1885" i="35"/>
  <c r="H1885" i="35"/>
  <c r="L1883" i="35"/>
  <c r="H1883" i="35"/>
  <c r="L1882" i="35"/>
  <c r="H1882" i="35"/>
  <c r="L1874" i="35"/>
  <c r="H1874" i="35"/>
  <c r="L1870" i="35"/>
  <c r="H1870" i="35"/>
  <c r="P1812" i="35"/>
  <c r="L1846" i="35"/>
  <c r="H1846" i="35"/>
  <c r="P1834" i="35"/>
  <c r="P1804" i="35"/>
  <c r="H1770" i="35"/>
  <c r="H1819" i="35"/>
  <c r="L1770" i="35"/>
  <c r="L1819" i="35"/>
  <c r="H1816" i="35"/>
  <c r="L1816" i="35"/>
  <c r="L1813" i="35"/>
  <c r="H1813" i="35"/>
  <c r="L1809" i="35"/>
  <c r="H1809" i="35"/>
  <c r="P1777" i="35"/>
  <c r="H1797" i="35"/>
  <c r="L1799" i="35"/>
  <c r="H1799" i="35"/>
  <c r="K308" i="6"/>
  <c r="O443" i="6" s="1"/>
  <c r="M443" i="6"/>
  <c r="J327" i="6"/>
  <c r="L441" i="6"/>
  <c r="K327" i="6"/>
  <c r="J308" i="6"/>
  <c r="N443" i="6" s="1"/>
  <c r="L443" i="6"/>
  <c r="L1797" i="35"/>
  <c r="L1793" i="35"/>
  <c r="H1793" i="35"/>
  <c r="H1784" i="35"/>
  <c r="L1784" i="35"/>
  <c r="P1763" i="35"/>
  <c r="P1778" i="35"/>
  <c r="P1101" i="35"/>
  <c r="P1762" i="35"/>
  <c r="P1758" i="35"/>
  <c r="L1750" i="35"/>
  <c r="H1750" i="35"/>
  <c r="L1749" i="35"/>
  <c r="H1749" i="35"/>
  <c r="H1746" i="35"/>
  <c r="L1746" i="35"/>
  <c r="P1745" i="35"/>
  <c r="H1739" i="35"/>
  <c r="L1739" i="35"/>
  <c r="L1738" i="35"/>
  <c r="H1738" i="35"/>
  <c r="L1733" i="35"/>
  <c r="H1733" i="35"/>
  <c r="L1726" i="35"/>
  <c r="H1725" i="35"/>
  <c r="H1726" i="35"/>
  <c r="L1725" i="35"/>
  <c r="P1693" i="35"/>
  <c r="P1721" i="35"/>
  <c r="L1286" i="35"/>
  <c r="L1720" i="35"/>
  <c r="H1286" i="35"/>
  <c r="H1720" i="35"/>
  <c r="K694" i="35"/>
  <c r="M694" i="35" s="1"/>
  <c r="L1710" i="35"/>
  <c r="G694" i="35"/>
  <c r="I991" i="35" s="1"/>
  <c r="H1710" i="35"/>
  <c r="P1709" i="35"/>
  <c r="H1699" i="35"/>
  <c r="P1653" i="35"/>
  <c r="L1699" i="35"/>
  <c r="L1694" i="35"/>
  <c r="H1694" i="35"/>
  <c r="L1609" i="35"/>
  <c r="L1688" i="35"/>
  <c r="H1609" i="35"/>
  <c r="H1688" i="35"/>
  <c r="L1672" i="35"/>
  <c r="L1671" i="35"/>
  <c r="P1646" i="35"/>
  <c r="H1672" i="35"/>
  <c r="H1640" i="35"/>
  <c r="H1671" i="35"/>
  <c r="P1611" i="35"/>
  <c r="H1643" i="35"/>
  <c r="L1640" i="35"/>
  <c r="L1643" i="35"/>
  <c r="H1638" i="35"/>
  <c r="L1638" i="35"/>
  <c r="P1629" i="35"/>
  <c r="L1627" i="35"/>
  <c r="H1627" i="35"/>
  <c r="P1618" i="35"/>
  <c r="T409" i="6"/>
  <c r="S409" i="6"/>
  <c r="T397" i="6"/>
  <c r="S397" i="6"/>
  <c r="L1260" i="35"/>
  <c r="L1497" i="35"/>
  <c r="H1497" i="35"/>
  <c r="T416" i="6"/>
  <c r="L1599" i="35"/>
  <c r="P1601" i="35"/>
  <c r="P1590" i="35"/>
  <c r="H1599" i="35"/>
  <c r="H1593" i="35"/>
  <c r="L1593" i="35"/>
  <c r="P1591" i="35"/>
  <c r="K892" i="35"/>
  <c r="L1587" i="35"/>
  <c r="G892" i="35"/>
  <c r="H1587" i="35"/>
  <c r="K253" i="6"/>
  <c r="M412" i="6"/>
  <c r="M398" i="6"/>
  <c r="R402" i="6"/>
  <c r="J317" i="6"/>
  <c r="N422" i="6" s="1"/>
  <c r="L422" i="6"/>
  <c r="R400" i="6"/>
  <c r="M423" i="6"/>
  <c r="M424" i="6"/>
  <c r="M406" i="6"/>
  <c r="M404" i="6"/>
  <c r="M411" i="6"/>
  <c r="J253" i="6"/>
  <c r="L412" i="6"/>
  <c r="L398" i="6"/>
  <c r="L423" i="6"/>
  <c r="L424" i="6"/>
  <c r="L404" i="6"/>
  <c r="L411" i="6"/>
  <c r="L406" i="6"/>
  <c r="R406" i="6" s="1"/>
  <c r="K317" i="6"/>
  <c r="O422" i="6" s="1"/>
  <c r="M422" i="6"/>
  <c r="S416" i="6"/>
  <c r="H1571" i="35"/>
  <c r="L1571" i="35"/>
  <c r="H1548" i="35"/>
  <c r="H1567" i="35"/>
  <c r="P1536" i="35"/>
  <c r="L1567" i="35"/>
  <c r="P1565" i="35"/>
  <c r="P1555" i="35"/>
  <c r="L1554" i="35"/>
  <c r="H1554" i="35"/>
  <c r="H1552" i="35"/>
  <c r="L1552" i="35"/>
  <c r="L1548" i="35"/>
  <c r="P1546" i="35"/>
  <c r="P1539" i="35"/>
  <c r="P1535" i="35"/>
  <c r="P1531" i="35"/>
  <c r="P1526" i="35"/>
  <c r="P1530" i="35"/>
  <c r="P1528" i="35"/>
  <c r="P1527" i="35"/>
  <c r="P1502" i="35"/>
  <c r="P1522" i="35"/>
  <c r="P1524" i="35"/>
  <c r="J171" i="33"/>
  <c r="S171" i="33"/>
  <c r="K171" i="33"/>
  <c r="P1518" i="35"/>
  <c r="P1146" i="35"/>
  <c r="I171" i="33" s="1"/>
  <c r="P1515" i="35"/>
  <c r="L1509" i="35"/>
  <c r="H1509" i="35"/>
  <c r="P1507" i="35"/>
  <c r="H1505" i="35"/>
  <c r="L1505" i="35"/>
  <c r="L1504" i="35"/>
  <c r="H1479" i="35"/>
  <c r="H1504" i="35"/>
  <c r="P1499" i="35"/>
  <c r="P1490" i="35"/>
  <c r="H1493" i="35"/>
  <c r="L1493" i="35"/>
  <c r="L1492" i="35"/>
  <c r="H1492" i="35"/>
  <c r="L1489" i="35"/>
  <c r="H1489" i="35"/>
  <c r="P1486" i="35"/>
  <c r="L1485" i="35"/>
  <c r="H1485" i="35"/>
  <c r="L1484" i="35"/>
  <c r="H1484" i="35"/>
  <c r="R67" i="33"/>
  <c r="L1479" i="35"/>
  <c r="H1466" i="35"/>
  <c r="L1466" i="35"/>
  <c r="L1464" i="35"/>
  <c r="L1465" i="35"/>
  <c r="H1464" i="35"/>
  <c r="H1465" i="35"/>
  <c r="P1462" i="35"/>
  <c r="P1457" i="35"/>
  <c r="L1446" i="35"/>
  <c r="H1446" i="35"/>
  <c r="L1445" i="35"/>
  <c r="H1445" i="35"/>
  <c r="P1428" i="35"/>
  <c r="H1439" i="35"/>
  <c r="L1439" i="35"/>
  <c r="P1431" i="35"/>
  <c r="P1434" i="35"/>
  <c r="P1418" i="35"/>
  <c r="P1424" i="35"/>
  <c r="L1420" i="35"/>
  <c r="H1420" i="35"/>
  <c r="L1415" i="35"/>
  <c r="H1415" i="35"/>
  <c r="P1193" i="35"/>
  <c r="I151" i="33" s="1"/>
  <c r="H1411" i="35"/>
  <c r="L1411" i="35"/>
  <c r="P1410" i="35"/>
  <c r="S151" i="33"/>
  <c r="K151" i="33"/>
  <c r="J151" i="33"/>
  <c r="P1405" i="35"/>
  <c r="P1403" i="35"/>
  <c r="L1395" i="35"/>
  <c r="H1395" i="35"/>
  <c r="P1391" i="35"/>
  <c r="K701" i="35"/>
  <c r="M1688" i="35" s="1"/>
  <c r="L1392" i="35"/>
  <c r="G701" i="35"/>
  <c r="I1688" i="35" s="1"/>
  <c r="H1392" i="35"/>
  <c r="P1350" i="35"/>
  <c r="I174" i="33" s="1"/>
  <c r="P1102" i="35"/>
  <c r="J174" i="33"/>
  <c r="S174" i="33"/>
  <c r="K174" i="33"/>
  <c r="P1385" i="35"/>
  <c r="P1382" i="35"/>
  <c r="P1305" i="35"/>
  <c r="I166" i="33" s="1"/>
  <c r="J166" i="33"/>
  <c r="K166" i="33"/>
  <c r="S166" i="33"/>
  <c r="P1379" i="35"/>
  <c r="P1325" i="35"/>
  <c r="I180" i="33" s="1"/>
  <c r="L1378" i="35"/>
  <c r="H1378" i="35"/>
  <c r="P1377" i="35"/>
  <c r="S180" i="33"/>
  <c r="K180" i="33"/>
  <c r="J180" i="33"/>
  <c r="L1371" i="35"/>
  <c r="H1371" i="35"/>
  <c r="P1370" i="35"/>
  <c r="P1195" i="35"/>
  <c r="I168" i="33" s="1"/>
  <c r="J168" i="33"/>
  <c r="S168" i="33"/>
  <c r="K168" i="33"/>
  <c r="L1369" i="35"/>
  <c r="H1369" i="35"/>
  <c r="G669" i="35"/>
  <c r="H1367" i="35"/>
  <c r="K669" i="35"/>
  <c r="L1367" i="35"/>
  <c r="P1365" i="35"/>
  <c r="P1280" i="35"/>
  <c r="P1360" i="35"/>
  <c r="L1358" i="35"/>
  <c r="H1358" i="35"/>
  <c r="P1357" i="35"/>
  <c r="P1344" i="35"/>
  <c r="P1356" i="35"/>
  <c r="P1354" i="35"/>
  <c r="P1117" i="35"/>
  <c r="P1331" i="35"/>
  <c r="P1144" i="35"/>
  <c r="I175" i="33" s="1"/>
  <c r="P1167" i="35"/>
  <c r="P1340" i="35"/>
  <c r="P1214" i="35"/>
  <c r="I202" i="33" s="1"/>
  <c r="L1343" i="35"/>
  <c r="H1343" i="35"/>
  <c r="K972" i="35"/>
  <c r="L1342" i="35"/>
  <c r="G972" i="35"/>
  <c r="H1342" i="35"/>
  <c r="K691" i="35"/>
  <c r="L1341" i="35"/>
  <c r="G691" i="35"/>
  <c r="H1341" i="35"/>
  <c r="P1060" i="35"/>
  <c r="I155" i="33" s="1"/>
  <c r="P1337" i="35"/>
  <c r="K175" i="33"/>
  <c r="K726" i="35"/>
  <c r="M1336" i="35" s="1"/>
  <c r="L1336" i="35"/>
  <c r="G726" i="35"/>
  <c r="I1336" i="35" s="1"/>
  <c r="H1336" i="35"/>
  <c r="L1296" i="35"/>
  <c r="K155" i="33"/>
  <c r="N104" i="33"/>
  <c r="K680" i="35"/>
  <c r="M1445" i="35" s="1"/>
  <c r="L1333" i="35"/>
  <c r="G680" i="35"/>
  <c r="I680" i="35" s="1"/>
  <c r="H1333" i="35"/>
  <c r="H1296" i="35"/>
  <c r="S202" i="33"/>
  <c r="L1328" i="35"/>
  <c r="J155" i="33"/>
  <c r="H1329" i="35"/>
  <c r="H1328" i="35"/>
  <c r="L1326" i="35"/>
  <c r="L1329" i="35"/>
  <c r="P1321" i="35"/>
  <c r="I167" i="33" s="1"/>
  <c r="J175" i="33"/>
  <c r="P1085" i="35"/>
  <c r="I160" i="33" s="1"/>
  <c r="K202" i="33"/>
  <c r="K167" i="33"/>
  <c r="S167" i="33"/>
  <c r="H1309" i="35"/>
  <c r="H1326" i="35"/>
  <c r="P1323" i="35"/>
  <c r="L1315" i="35"/>
  <c r="P1314" i="35"/>
  <c r="P1316" i="35"/>
  <c r="L1312" i="35"/>
  <c r="H1315" i="35"/>
  <c r="H1312" i="35"/>
  <c r="L1309" i="35"/>
  <c r="H1306" i="35"/>
  <c r="H1308" i="35"/>
  <c r="L1308" i="35"/>
  <c r="P1211" i="35"/>
  <c r="P1307" i="35"/>
  <c r="L1306" i="35"/>
  <c r="P1301" i="35"/>
  <c r="H1304" i="35"/>
  <c r="L1304" i="35"/>
  <c r="H1292" i="35"/>
  <c r="L1298" i="35"/>
  <c r="H1298" i="35"/>
  <c r="L1292" i="35"/>
  <c r="P1281" i="35"/>
  <c r="P1294" i="35"/>
  <c r="L1180" i="35"/>
  <c r="L1299" i="35"/>
  <c r="H1180" i="35"/>
  <c r="H1299" i="35"/>
  <c r="L1293" i="35"/>
  <c r="H1293" i="35"/>
  <c r="H1289" i="35"/>
  <c r="K679" i="35"/>
  <c r="L1290" i="35"/>
  <c r="G679" i="35"/>
  <c r="H1290" i="35"/>
  <c r="L1289" i="35"/>
  <c r="P1270" i="35"/>
  <c r="I148" i="33" s="1"/>
  <c r="P1283" i="35"/>
  <c r="J148" i="33"/>
  <c r="K148" i="33"/>
  <c r="K684" i="35"/>
  <c r="M1285" i="35" s="1"/>
  <c r="L1285" i="35"/>
  <c r="G684" i="35"/>
  <c r="I1285" i="35" s="1"/>
  <c r="H1285" i="35"/>
  <c r="P1279" i="35"/>
  <c r="I144" i="33" s="1"/>
  <c r="J574" i="33"/>
  <c r="P1278" i="35"/>
  <c r="P1176" i="35"/>
  <c r="I163" i="33" s="1"/>
  <c r="S144" i="33"/>
  <c r="J144" i="33"/>
  <c r="P1274" i="35"/>
  <c r="I574" i="33" s="1"/>
  <c r="K574" i="33"/>
  <c r="J160" i="33"/>
  <c r="K160" i="33"/>
  <c r="P1275" i="35"/>
  <c r="P1268" i="35"/>
  <c r="L1265" i="35"/>
  <c r="K690" i="35"/>
  <c r="L1273" i="35"/>
  <c r="G690" i="35"/>
  <c r="I1638" i="35" s="1"/>
  <c r="H1273" i="35"/>
  <c r="L1267" i="35"/>
  <c r="P1266" i="35"/>
  <c r="P1263" i="35"/>
  <c r="H1267" i="35"/>
  <c r="K163" i="33"/>
  <c r="H1265" i="35"/>
  <c r="J163" i="33"/>
  <c r="K872" i="35"/>
  <c r="L1262" i="35"/>
  <c r="G872" i="35"/>
  <c r="H1262" i="35"/>
  <c r="P1259" i="35"/>
  <c r="H1260" i="35"/>
  <c r="P1254" i="35"/>
  <c r="P1252" i="35"/>
  <c r="P1249" i="35"/>
  <c r="P1245" i="35"/>
  <c r="P1240" i="35"/>
  <c r="I62" i="33" s="1"/>
  <c r="K62" i="33"/>
  <c r="S62" i="33"/>
  <c r="P1197" i="35"/>
  <c r="I57" i="33" s="1"/>
  <c r="S57" i="33"/>
  <c r="J57" i="33"/>
  <c r="P1250" i="35"/>
  <c r="P1246" i="35"/>
  <c r="G769" i="35"/>
  <c r="I1713" i="35" s="1"/>
  <c r="O1713" i="35" s="1"/>
  <c r="H1247" i="35"/>
  <c r="K769" i="35"/>
  <c r="M1713" i="35" s="1"/>
  <c r="N1713" i="35" s="1"/>
  <c r="L1247" i="35"/>
  <c r="H1242" i="35"/>
  <c r="L1241" i="35"/>
  <c r="L1242" i="35"/>
  <c r="H1241" i="35"/>
  <c r="N59" i="33"/>
  <c r="R59" i="33" s="1"/>
  <c r="K707" i="35"/>
  <c r="M1874" i="35" s="1"/>
  <c r="L1237" i="35"/>
  <c r="G707" i="35"/>
  <c r="I1874" i="35" s="1"/>
  <c r="H1237" i="35"/>
  <c r="L1235" i="35"/>
  <c r="H1235" i="35"/>
  <c r="L1230" i="35"/>
  <c r="P1222" i="35"/>
  <c r="H1216" i="35"/>
  <c r="H1230" i="35"/>
  <c r="P1225" i="35"/>
  <c r="L1226" i="35"/>
  <c r="L1227" i="35"/>
  <c r="H1227" i="35"/>
  <c r="P1224" i="35"/>
  <c r="H1226" i="35"/>
  <c r="G800" i="35"/>
  <c r="H1223" i="35"/>
  <c r="K800" i="35"/>
  <c r="L1223" i="35"/>
  <c r="P1217" i="35"/>
  <c r="K683" i="35"/>
  <c r="L1220" i="35"/>
  <c r="G683" i="35"/>
  <c r="H1220" i="35"/>
  <c r="L1216" i="35"/>
  <c r="P1189" i="35"/>
  <c r="P1210" i="35"/>
  <c r="P1184" i="35"/>
  <c r="P1090" i="35"/>
  <c r="I114" i="33" s="1"/>
  <c r="K685" i="35"/>
  <c r="M1749" i="35" s="1"/>
  <c r="L1209" i="35"/>
  <c r="G685" i="35"/>
  <c r="I1749" i="35" s="1"/>
  <c r="H1209" i="35"/>
  <c r="K114" i="33"/>
  <c r="S114" i="33"/>
  <c r="K732" i="35"/>
  <c r="M1739" i="35" s="1"/>
  <c r="L1206" i="35"/>
  <c r="G732" i="35"/>
  <c r="I1739" i="35" s="1"/>
  <c r="H1206" i="35"/>
  <c r="P1203" i="35"/>
  <c r="P1205" i="35"/>
  <c r="P1191" i="35"/>
  <c r="K815" i="35"/>
  <c r="M1199" i="35" s="1"/>
  <c r="L1199" i="35"/>
  <c r="G815" i="35"/>
  <c r="I1199" i="35" s="1"/>
  <c r="H1199" i="35"/>
  <c r="G720" i="35"/>
  <c r="H1198" i="35"/>
  <c r="K720" i="35"/>
  <c r="L1198" i="35"/>
  <c r="P1181" i="35"/>
  <c r="P1139" i="35"/>
  <c r="I105" i="33" s="1"/>
  <c r="K154" i="33"/>
  <c r="P1187" i="35"/>
  <c r="I154" i="33" s="1"/>
  <c r="S154" i="33"/>
  <c r="H1188" i="35"/>
  <c r="K105" i="33"/>
  <c r="L1188" i="35"/>
  <c r="S105" i="33"/>
  <c r="P1173" i="35"/>
  <c r="I23" i="33" s="1"/>
  <c r="K23" i="33"/>
  <c r="S23" i="33"/>
  <c r="P1140" i="35"/>
  <c r="P1174" i="35"/>
  <c r="H1171" i="35"/>
  <c r="L1078" i="35"/>
  <c r="L1179" i="35"/>
  <c r="H1078" i="35"/>
  <c r="H1179" i="35"/>
  <c r="N570" i="33"/>
  <c r="R570" i="33" s="1"/>
  <c r="P1172" i="35"/>
  <c r="H1170" i="35"/>
  <c r="L1171" i="35"/>
  <c r="L1163" i="35"/>
  <c r="L1166" i="35"/>
  <c r="L1170" i="35"/>
  <c r="K693" i="35"/>
  <c r="M1169" i="35" s="1"/>
  <c r="L1169" i="35"/>
  <c r="G693" i="35"/>
  <c r="I1169" i="35" s="1"/>
  <c r="H1169" i="35"/>
  <c r="H1166" i="35"/>
  <c r="G1011" i="35"/>
  <c r="I1599" i="35" s="1"/>
  <c r="H1165" i="35"/>
  <c r="K1011" i="35"/>
  <c r="M1599" i="35" s="1"/>
  <c r="L1165" i="35"/>
  <c r="K901" i="35"/>
  <c r="L1164" i="35"/>
  <c r="G901" i="35"/>
  <c r="H1164" i="35"/>
  <c r="H1163" i="35"/>
  <c r="K814" i="35"/>
  <c r="L1162" i="35"/>
  <c r="G814" i="35"/>
  <c r="H1162" i="35"/>
  <c r="K811" i="35"/>
  <c r="L1161" i="35"/>
  <c r="G811" i="35"/>
  <c r="H1161" i="35"/>
  <c r="L1160" i="35"/>
  <c r="H1160" i="35"/>
  <c r="G788" i="35"/>
  <c r="I1227" i="35" s="1"/>
  <c r="H1159" i="35"/>
  <c r="K788" i="35"/>
  <c r="M1227" i="35" s="1"/>
  <c r="L1159" i="35"/>
  <c r="K764" i="35"/>
  <c r="L1158" i="35"/>
  <c r="L1157" i="35"/>
  <c r="G764" i="35"/>
  <c r="H1158" i="35"/>
  <c r="H1157" i="35"/>
  <c r="L1151" i="35"/>
  <c r="L1149" i="35"/>
  <c r="H1151" i="35"/>
  <c r="I1040" i="35"/>
  <c r="O1040" i="35" s="1"/>
  <c r="I1150" i="35"/>
  <c r="O1150" i="35" s="1"/>
  <c r="M1040" i="35"/>
  <c r="N1040" i="35" s="1"/>
  <c r="M1150" i="35"/>
  <c r="N1150" i="35" s="1"/>
  <c r="H1149" i="35"/>
  <c r="N565" i="33"/>
  <c r="R565" i="33" s="1"/>
  <c r="P1093" i="35"/>
  <c r="I115" i="33" s="1"/>
  <c r="M391" i="6"/>
  <c r="L391" i="6"/>
  <c r="P1141" i="35"/>
  <c r="S115" i="33"/>
  <c r="K115" i="33"/>
  <c r="J52" i="33"/>
  <c r="K52" i="33"/>
  <c r="P1127" i="35"/>
  <c r="I52" i="33" s="1"/>
  <c r="T380" i="6"/>
  <c r="S380" i="6"/>
  <c r="G879" i="35"/>
  <c r="I1516" i="35" s="1"/>
  <c r="O1516" i="35" s="1"/>
  <c r="K879" i="35"/>
  <c r="M1516" i="35" s="1"/>
  <c r="N1516" i="35" s="1"/>
  <c r="K723" i="35"/>
  <c r="L1135" i="35"/>
  <c r="G723" i="35"/>
  <c r="H1135" i="35"/>
  <c r="K850" i="35"/>
  <c r="L1133" i="35"/>
  <c r="G850" i="35"/>
  <c r="H1133" i="35"/>
  <c r="G741" i="35"/>
  <c r="I1930" i="35" s="1"/>
  <c r="H1131" i="35"/>
  <c r="K741" i="35"/>
  <c r="M1930" i="35" s="1"/>
  <c r="L1131" i="35"/>
  <c r="K692" i="35"/>
  <c r="M1125" i="35" s="1"/>
  <c r="L1125" i="35"/>
  <c r="G663" i="35"/>
  <c r="H1126" i="35"/>
  <c r="K663" i="35"/>
  <c r="M1816" i="35" s="1"/>
  <c r="L1126" i="35"/>
  <c r="G692" i="35"/>
  <c r="I1125" i="35" s="1"/>
  <c r="H1125" i="35"/>
  <c r="I1041" i="35"/>
  <c r="O1041" i="35" s="1"/>
  <c r="H564" i="33" s="1"/>
  <c r="I1120" i="35"/>
  <c r="O1120" i="35" s="1"/>
  <c r="M1041" i="35"/>
  <c r="N1041" i="35" s="1"/>
  <c r="M1120" i="35"/>
  <c r="N1120" i="35" s="1"/>
  <c r="G771" i="35"/>
  <c r="I1813" i="35" s="1"/>
  <c r="H1118" i="35"/>
  <c r="K771" i="35"/>
  <c r="M1813" i="35" s="1"/>
  <c r="L1118" i="35"/>
  <c r="R363" i="6"/>
  <c r="H22" i="36" s="1"/>
  <c r="F22" i="36" s="1"/>
  <c r="S379" i="6"/>
  <c r="C67" i="36" s="1"/>
  <c r="T379" i="6"/>
  <c r="D67" i="36" s="1"/>
  <c r="M259" i="6"/>
  <c r="Q259" i="6" s="1"/>
  <c r="M297" i="6"/>
  <c r="O340" i="6"/>
  <c r="L337" i="6"/>
  <c r="K324" i="6"/>
  <c r="O402" i="6" s="1"/>
  <c r="Q402" i="6" s="1"/>
  <c r="M360" i="6"/>
  <c r="J297" i="6"/>
  <c r="L375" i="6"/>
  <c r="L373" i="6"/>
  <c r="L382" i="6"/>
  <c r="K297" i="6"/>
  <c r="M382" i="6"/>
  <c r="M375" i="6"/>
  <c r="M373" i="6"/>
  <c r="J324" i="6"/>
  <c r="N402" i="6" s="1"/>
  <c r="P402" i="6" s="1"/>
  <c r="L360" i="6"/>
  <c r="J311" i="6"/>
  <c r="N374" i="6" s="1"/>
  <c r="L374" i="6"/>
  <c r="K286" i="6"/>
  <c r="M381" i="6"/>
  <c r="L342" i="6"/>
  <c r="K311" i="6"/>
  <c r="O374" i="6" s="1"/>
  <c r="M374" i="6"/>
  <c r="J286" i="6"/>
  <c r="L381" i="6"/>
  <c r="L353" i="6"/>
  <c r="K880" i="35"/>
  <c r="M880" i="35" s="1"/>
  <c r="G880" i="35"/>
  <c r="I946" i="35" s="1"/>
  <c r="G967" i="35"/>
  <c r="H1110" i="35"/>
  <c r="K967" i="35"/>
  <c r="L1110" i="35"/>
  <c r="K956" i="35"/>
  <c r="L1109" i="35"/>
  <c r="G956" i="35"/>
  <c r="H1109" i="35"/>
  <c r="R568" i="33"/>
  <c r="N566" i="33"/>
  <c r="R566" i="33" s="1"/>
  <c r="K735" i="35"/>
  <c r="M1576" i="35" s="1"/>
  <c r="N1576" i="35" s="1"/>
  <c r="L1097" i="35"/>
  <c r="G735" i="35"/>
  <c r="I1576" i="35" s="1"/>
  <c r="O1576" i="35" s="1"/>
  <c r="H1097" i="35"/>
  <c r="L1095" i="35"/>
  <c r="H1095" i="35"/>
  <c r="G793" i="35"/>
  <c r="I2034" i="35" s="1"/>
  <c r="O2034" i="35" s="1"/>
  <c r="H1091" i="35"/>
  <c r="K793" i="35"/>
  <c r="M2034" i="35" s="1"/>
  <c r="L1091" i="35"/>
  <c r="L1087" i="35"/>
  <c r="H1087" i="35"/>
  <c r="L1086" i="35"/>
  <c r="H1086" i="35"/>
  <c r="K995" i="35"/>
  <c r="M1909" i="35" s="1"/>
  <c r="N1909" i="35" s="1"/>
  <c r="L1072" i="35"/>
  <c r="G995" i="35"/>
  <c r="I1909" i="35" s="1"/>
  <c r="O1909" i="35" s="1"/>
  <c r="H1072" i="35"/>
  <c r="G786" i="35"/>
  <c r="I1627" i="35" s="1"/>
  <c r="H1065" i="35"/>
  <c r="K786" i="35"/>
  <c r="L1065" i="35"/>
  <c r="K722" i="35"/>
  <c r="M722" i="35" s="1"/>
  <c r="L1064" i="35"/>
  <c r="G722" i="35"/>
  <c r="I722" i="35" s="1"/>
  <c r="H1064" i="35"/>
  <c r="S363" i="6"/>
  <c r="C22" i="36" s="1"/>
  <c r="G35" i="36"/>
  <c r="I35" i="36" s="1"/>
  <c r="T367" i="6"/>
  <c r="D35" i="36" s="1"/>
  <c r="S367" i="6"/>
  <c r="C35" i="36" s="1"/>
  <c r="K812" i="35"/>
  <c r="M1059" i="35" s="1"/>
  <c r="L1059" i="35"/>
  <c r="G812" i="35"/>
  <c r="I1059" i="35" s="1"/>
  <c r="H1059" i="35"/>
  <c r="K981" i="35"/>
  <c r="M2050" i="35" s="1"/>
  <c r="N2050" i="35" s="1"/>
  <c r="L1057" i="35"/>
  <c r="G981" i="35"/>
  <c r="I2050" i="35" s="1"/>
  <c r="O2050" i="35" s="1"/>
  <c r="H1057" i="35"/>
  <c r="N1039" i="35"/>
  <c r="K874" i="35"/>
  <c r="L1051" i="35"/>
  <c r="H1051" i="35"/>
  <c r="K994" i="35"/>
  <c r="M1089" i="35" s="1"/>
  <c r="N1089" i="35" s="1"/>
  <c r="L1050" i="35"/>
  <c r="G994" i="35"/>
  <c r="I1089" i="35" s="1"/>
  <c r="O1089" i="35" s="1"/>
  <c r="H1050" i="35"/>
  <c r="S493" i="31"/>
  <c r="T493" i="31" s="1"/>
  <c r="M562" i="33" s="1"/>
  <c r="O1039" i="35"/>
  <c r="AA531" i="31"/>
  <c r="AA530" i="31"/>
  <c r="AA529" i="31"/>
  <c r="S494" i="31"/>
  <c r="T494" i="31" s="1"/>
  <c r="AA528" i="31"/>
  <c r="K705" i="35"/>
  <c r="M1694" i="35" s="1"/>
  <c r="L1037" i="35"/>
  <c r="G705" i="35"/>
  <c r="I1694" i="35" s="1"/>
  <c r="H1037" i="35"/>
  <c r="Q563" i="33"/>
  <c r="R563" i="33" s="1"/>
  <c r="AD494" i="31"/>
  <c r="X494" i="31"/>
  <c r="Y494" i="31" s="1"/>
  <c r="Z494" i="31"/>
  <c r="AD526" i="31"/>
  <c r="S526" i="31"/>
  <c r="T526" i="31" s="1"/>
  <c r="X526" i="31"/>
  <c r="Y526" i="31" s="1"/>
  <c r="Z526" i="31"/>
  <c r="S525" i="31"/>
  <c r="T525" i="31" s="1"/>
  <c r="AD525" i="31"/>
  <c r="X525" i="31"/>
  <c r="Y525" i="31" s="1"/>
  <c r="Z525" i="31"/>
  <c r="S524" i="31"/>
  <c r="T524" i="31" s="1"/>
  <c r="AD524" i="31"/>
  <c r="X524" i="31"/>
  <c r="Y524" i="31" s="1"/>
  <c r="Z524" i="31"/>
  <c r="X493" i="31"/>
  <c r="Y493" i="31" s="1"/>
  <c r="Z493" i="31"/>
  <c r="AD493" i="31"/>
  <c r="S497" i="31"/>
  <c r="T497" i="31" s="1"/>
  <c r="J562" i="33"/>
  <c r="K562" i="33"/>
  <c r="Q562" i="33"/>
  <c r="S562" i="33"/>
  <c r="Q561" i="33"/>
  <c r="J359" i="6"/>
  <c r="L1032" i="35"/>
  <c r="H1032" i="35"/>
  <c r="S522" i="31"/>
  <c r="T522" i="31" s="1"/>
  <c r="M561" i="33" s="1"/>
  <c r="AD497" i="31"/>
  <c r="X497" i="31"/>
  <c r="Y497" i="31" s="1"/>
  <c r="Z497" i="31"/>
  <c r="AD522" i="31"/>
  <c r="X522" i="31"/>
  <c r="Y522" i="31" s="1"/>
  <c r="Z522" i="31"/>
  <c r="J561" i="33"/>
  <c r="K561" i="33"/>
  <c r="S561" i="33"/>
  <c r="Z520" i="31"/>
  <c r="S532" i="31"/>
  <c r="T532" i="31" s="1"/>
  <c r="AD532" i="31"/>
  <c r="X532" i="31"/>
  <c r="Y532" i="31" s="1"/>
  <c r="Z532" i="31"/>
  <c r="S520" i="31"/>
  <c r="T520" i="31" s="1"/>
  <c r="X520" i="31"/>
  <c r="Y520" i="31" s="1"/>
  <c r="AD520" i="31"/>
  <c r="L1028" i="35"/>
  <c r="H1028" i="35"/>
  <c r="S519" i="31"/>
  <c r="T519" i="31" s="1"/>
  <c r="S518" i="31"/>
  <c r="T518" i="31" s="1"/>
  <c r="S517" i="31"/>
  <c r="T517" i="31" s="1"/>
  <c r="AD519" i="31"/>
  <c r="X519" i="31"/>
  <c r="Y519" i="31" s="1"/>
  <c r="Z519" i="31"/>
  <c r="AD518" i="31"/>
  <c r="X518" i="31"/>
  <c r="Y518" i="31" s="1"/>
  <c r="Z518" i="31"/>
  <c r="Z517" i="31"/>
  <c r="X517" i="31"/>
  <c r="Y517" i="31" s="1"/>
  <c r="AD517" i="31"/>
  <c r="S516" i="31"/>
  <c r="T516" i="31" s="1"/>
  <c r="AD516" i="31"/>
  <c r="X516" i="31"/>
  <c r="Y516" i="31" s="1"/>
  <c r="Z516" i="31"/>
  <c r="S515" i="31"/>
  <c r="T515" i="31" s="1"/>
  <c r="AD515" i="31"/>
  <c r="Z515" i="31"/>
  <c r="X515" i="31"/>
  <c r="Y515" i="31" s="1"/>
  <c r="S511" i="31"/>
  <c r="T511" i="31" s="1"/>
  <c r="S514" i="31"/>
  <c r="T514" i="31" s="1"/>
  <c r="AD514" i="31"/>
  <c r="X513" i="31"/>
  <c r="Y513" i="31" s="1"/>
  <c r="X514" i="31"/>
  <c r="Y514" i="31" s="1"/>
  <c r="Z514" i="31"/>
  <c r="S513" i="31"/>
  <c r="T513" i="31" s="1"/>
  <c r="S512" i="31"/>
  <c r="T512" i="31" s="1"/>
  <c r="Z513" i="31"/>
  <c r="AD512" i="31"/>
  <c r="AD511" i="31"/>
  <c r="Z510" i="31"/>
  <c r="X511" i="31"/>
  <c r="Y511" i="31" s="1"/>
  <c r="X512" i="31"/>
  <c r="Y512" i="31" s="1"/>
  <c r="Z512" i="31"/>
  <c r="S507" i="31"/>
  <c r="T507" i="31" s="1"/>
  <c r="S510" i="31"/>
  <c r="T510" i="31" s="1"/>
  <c r="Z511" i="31"/>
  <c r="X510" i="31"/>
  <c r="Y510" i="31" s="1"/>
  <c r="AD510" i="31"/>
  <c r="S509" i="31"/>
  <c r="T509" i="31" s="1"/>
  <c r="AD509" i="31"/>
  <c r="X509" i="31"/>
  <c r="Y509" i="31" s="1"/>
  <c r="Z509" i="31"/>
  <c r="S508" i="31"/>
  <c r="T508" i="31" s="1"/>
  <c r="AD508" i="31"/>
  <c r="X508" i="31"/>
  <c r="Y508" i="31" s="1"/>
  <c r="Z508" i="31"/>
  <c r="S506" i="31"/>
  <c r="T506" i="31" s="1"/>
  <c r="X507" i="31"/>
  <c r="Y507" i="31" s="1"/>
  <c r="Z507" i="31"/>
  <c r="AD507" i="31"/>
  <c r="S505" i="31"/>
  <c r="T505" i="31" s="1"/>
  <c r="L1011" i="35"/>
  <c r="AD506" i="31"/>
  <c r="AD505" i="31"/>
  <c r="X505" i="31"/>
  <c r="Y505" i="31" s="1"/>
  <c r="X506" i="31"/>
  <c r="Y506" i="31" s="1"/>
  <c r="Z506" i="31"/>
  <c r="Z505" i="31"/>
  <c r="S504" i="31"/>
  <c r="T504" i="31" s="1"/>
  <c r="S503" i="31"/>
  <c r="T503" i="31" s="1"/>
  <c r="Z504" i="31"/>
  <c r="L1020" i="35"/>
  <c r="H1020" i="35"/>
  <c r="L1019" i="35"/>
  <c r="H1019" i="35"/>
  <c r="L1017" i="35"/>
  <c r="H1017" i="35"/>
  <c r="H1011" i="35"/>
  <c r="AD504" i="31"/>
  <c r="X504" i="31"/>
  <c r="Y504" i="31" s="1"/>
  <c r="Q560" i="33"/>
  <c r="R560" i="33" s="1"/>
  <c r="L1010" i="35"/>
  <c r="H1010" i="35"/>
  <c r="Z502" i="31"/>
  <c r="AD503" i="31"/>
  <c r="X503" i="31"/>
  <c r="Y503" i="31" s="1"/>
  <c r="Z503" i="31"/>
  <c r="S502" i="31"/>
  <c r="T502" i="31" s="1"/>
  <c r="X502" i="31"/>
  <c r="Y502" i="31" s="1"/>
  <c r="AD502" i="31"/>
  <c r="S499" i="31"/>
  <c r="T499" i="31" s="1"/>
  <c r="S501" i="31"/>
  <c r="T501" i="31" s="1"/>
  <c r="AD501" i="31"/>
  <c r="X501" i="31"/>
  <c r="Y501" i="31" s="1"/>
  <c r="Z501" i="31"/>
  <c r="S777" i="31"/>
  <c r="T777" i="31" s="1"/>
  <c r="AD777" i="31"/>
  <c r="X777" i="31"/>
  <c r="Y777" i="31" s="1"/>
  <c r="Z777" i="31"/>
  <c r="AD499" i="31"/>
  <c r="X499" i="31"/>
  <c r="Y499" i="31" s="1"/>
  <c r="Z499" i="31"/>
  <c r="S478" i="31"/>
  <c r="T478" i="31" s="1"/>
  <c r="M559" i="33" s="1"/>
  <c r="S479" i="31"/>
  <c r="T479" i="31" s="1"/>
  <c r="AD479" i="31"/>
  <c r="X479" i="31"/>
  <c r="Y479" i="31" s="1"/>
  <c r="Z479" i="31"/>
  <c r="Z498" i="31"/>
  <c r="L1009" i="35"/>
  <c r="H1009" i="35"/>
  <c r="L1008" i="35"/>
  <c r="H1008" i="35"/>
  <c r="S498" i="31"/>
  <c r="T498" i="31" s="1"/>
  <c r="X498" i="31"/>
  <c r="Y498" i="31" s="1"/>
  <c r="AD498" i="31"/>
  <c r="Z478" i="31"/>
  <c r="J559" i="33"/>
  <c r="K559" i="33"/>
  <c r="Q559" i="33"/>
  <c r="S559" i="33"/>
  <c r="X478" i="31"/>
  <c r="Y478" i="31" s="1"/>
  <c r="AD478" i="31"/>
  <c r="S480" i="31"/>
  <c r="T480" i="31" s="1"/>
  <c r="S487" i="31"/>
  <c r="T487" i="31" s="1"/>
  <c r="AD480" i="31"/>
  <c r="S488" i="31"/>
  <c r="T488" i="31" s="1"/>
  <c r="X480" i="31"/>
  <c r="Y480" i="31" s="1"/>
  <c r="Z480" i="31"/>
  <c r="AD488" i="31"/>
  <c r="Z488" i="31"/>
  <c r="AD487" i="31"/>
  <c r="X488" i="31"/>
  <c r="Y488" i="31" s="1"/>
  <c r="X487" i="31"/>
  <c r="Y487" i="31" s="1"/>
  <c r="Z487" i="31"/>
  <c r="M996" i="35"/>
  <c r="S491" i="31"/>
  <c r="T491" i="31" s="1"/>
  <c r="AD486" i="31"/>
  <c r="S486" i="31"/>
  <c r="T486" i="31" s="1"/>
  <c r="S483" i="31"/>
  <c r="T483" i="31" s="1"/>
  <c r="X486" i="31"/>
  <c r="Y486" i="31" s="1"/>
  <c r="Z486" i="31"/>
  <c r="AD483" i="31"/>
  <c r="X483" i="31"/>
  <c r="Y483" i="31" s="1"/>
  <c r="Z483" i="31"/>
  <c r="L995" i="35"/>
  <c r="L1002" i="35"/>
  <c r="H1002" i="35"/>
  <c r="L994" i="35"/>
  <c r="L1001" i="35"/>
  <c r="H1001" i="35"/>
  <c r="I996" i="35"/>
  <c r="L996" i="35"/>
  <c r="H995" i="35"/>
  <c r="H996" i="35"/>
  <c r="I947" i="35"/>
  <c r="M947" i="35"/>
  <c r="M993" i="35"/>
  <c r="I940" i="35"/>
  <c r="H994" i="35"/>
  <c r="H981" i="35"/>
  <c r="Q558" i="33"/>
  <c r="R558" i="33" s="1"/>
  <c r="L993" i="35"/>
  <c r="M940" i="35"/>
  <c r="I993" i="35"/>
  <c r="H993" i="35"/>
  <c r="L992" i="35"/>
  <c r="H992" i="35"/>
  <c r="L991" i="35"/>
  <c r="H991" i="35"/>
  <c r="L990" i="35"/>
  <c r="H990" i="35"/>
  <c r="L981" i="35"/>
  <c r="S489" i="31"/>
  <c r="T489" i="31" s="1"/>
  <c r="Z491" i="31"/>
  <c r="AD491" i="31"/>
  <c r="X491" i="31"/>
  <c r="Y491" i="31" s="1"/>
  <c r="AD489" i="31"/>
  <c r="S477" i="31"/>
  <c r="T477" i="31" s="1"/>
  <c r="X489" i="31"/>
  <c r="Y489" i="31" s="1"/>
  <c r="Z489" i="31"/>
  <c r="S471" i="31"/>
  <c r="T471" i="31" s="1"/>
  <c r="M557" i="33" s="1"/>
  <c r="S475" i="31"/>
  <c r="T475" i="31" s="1"/>
  <c r="AD477" i="31"/>
  <c r="X477" i="31"/>
  <c r="Y477" i="31" s="1"/>
  <c r="Z477" i="31"/>
  <c r="Z475" i="31"/>
  <c r="AD471" i="31"/>
  <c r="S474" i="31"/>
  <c r="T474" i="31" s="1"/>
  <c r="X475" i="31"/>
  <c r="Y475" i="31" s="1"/>
  <c r="AD475" i="31"/>
  <c r="S557" i="33"/>
  <c r="AD474" i="31"/>
  <c r="Z474" i="31"/>
  <c r="X474" i="31"/>
  <c r="Y474" i="31" s="1"/>
  <c r="J557" i="33"/>
  <c r="K557" i="33"/>
  <c r="Q557" i="33"/>
  <c r="Q170" i="33"/>
  <c r="R170" i="33" s="1"/>
  <c r="X471" i="31"/>
  <c r="Y471" i="31" s="1"/>
  <c r="Z471" i="31"/>
  <c r="S484" i="31"/>
  <c r="T484" i="31" s="1"/>
  <c r="AD485" i="31"/>
  <c r="S485" i="31"/>
  <c r="T485" i="31" s="1"/>
  <c r="Q22" i="33"/>
  <c r="Z485" i="31"/>
  <c r="X485" i="31"/>
  <c r="Y485" i="31" s="1"/>
  <c r="AD484" i="31"/>
  <c r="X484" i="31"/>
  <c r="Y484" i="31" s="1"/>
  <c r="Z484" i="31"/>
  <c r="H967" i="35"/>
  <c r="H974" i="35"/>
  <c r="L975" i="35"/>
  <c r="H972" i="35"/>
  <c r="H975" i="35"/>
  <c r="L974" i="35"/>
  <c r="L973" i="35"/>
  <c r="H973" i="35"/>
  <c r="L972" i="35"/>
  <c r="S492" i="31"/>
  <c r="T492" i="31" s="1"/>
  <c r="AD492" i="31"/>
  <c r="X492" i="31"/>
  <c r="Y492" i="31" s="1"/>
  <c r="Z492" i="31"/>
  <c r="S490" i="31"/>
  <c r="T490" i="31" s="1"/>
  <c r="L967" i="35"/>
  <c r="AD490" i="31"/>
  <c r="X490" i="31"/>
  <c r="Y490" i="31" s="1"/>
  <c r="Z490" i="31"/>
  <c r="S469" i="31"/>
  <c r="T469" i="31" s="1"/>
  <c r="S481" i="31"/>
  <c r="T481" i="31" s="1"/>
  <c r="AD465" i="31"/>
  <c r="AD481" i="31"/>
  <c r="X481" i="31"/>
  <c r="Y481" i="31" s="1"/>
  <c r="Z481" i="31"/>
  <c r="S465" i="31"/>
  <c r="T465" i="31" s="1"/>
  <c r="L346" i="6"/>
  <c r="L297" i="6"/>
  <c r="L350" i="6"/>
  <c r="M337" i="6"/>
  <c r="M353" i="6"/>
  <c r="L259" i="6"/>
  <c r="P259" i="6" s="1"/>
  <c r="O353" i="6"/>
  <c r="Z465" i="31"/>
  <c r="X465" i="31"/>
  <c r="Y465" i="31" s="1"/>
  <c r="AD469" i="31"/>
  <c r="X469" i="31"/>
  <c r="Y469" i="31" s="1"/>
  <c r="Z469" i="31"/>
  <c r="S468" i="31"/>
  <c r="T468" i="31" s="1"/>
  <c r="AD468" i="31"/>
  <c r="X468" i="31"/>
  <c r="Y468" i="31" s="1"/>
  <c r="Z468" i="31"/>
  <c r="Z495" i="31"/>
  <c r="S495" i="31"/>
  <c r="T495" i="31" s="1"/>
  <c r="X495" i="31"/>
  <c r="Y495" i="31" s="1"/>
  <c r="AD495" i="31"/>
  <c r="S476" i="31"/>
  <c r="T476" i="31" s="1"/>
  <c r="X476" i="31"/>
  <c r="Y476" i="31" s="1"/>
  <c r="Z476" i="31"/>
  <c r="AD476" i="31"/>
  <c r="S464" i="31"/>
  <c r="T464" i="31" s="1"/>
  <c r="S482" i="31"/>
  <c r="T482" i="31" s="1"/>
  <c r="Z464" i="31"/>
  <c r="X464" i="31"/>
  <c r="Y464" i="31" s="1"/>
  <c r="S473" i="31"/>
  <c r="T473" i="31" s="1"/>
  <c r="AD464" i="31"/>
  <c r="L962" i="35"/>
  <c r="H962" i="35"/>
  <c r="L956" i="35"/>
  <c r="L947" i="35"/>
  <c r="L958" i="35"/>
  <c r="H958" i="35"/>
  <c r="M871" i="35"/>
  <c r="M957" i="35"/>
  <c r="L957" i="35"/>
  <c r="H956" i="35"/>
  <c r="I871" i="35"/>
  <c r="I957" i="35"/>
  <c r="H957" i="35"/>
  <c r="I955" i="35"/>
  <c r="M955" i="35"/>
  <c r="L955" i="35"/>
  <c r="H954" i="35"/>
  <c r="H947" i="35"/>
  <c r="H955" i="35"/>
  <c r="I820" i="35"/>
  <c r="M820" i="35"/>
  <c r="M954" i="35"/>
  <c r="L954" i="35"/>
  <c r="I954" i="35"/>
  <c r="L951" i="35"/>
  <c r="H951" i="35"/>
  <c r="L950" i="35"/>
  <c r="H950" i="35"/>
  <c r="L949" i="35"/>
  <c r="H949" i="35"/>
  <c r="L948" i="35"/>
  <c r="H948" i="35"/>
  <c r="L946" i="35"/>
  <c r="H946" i="35"/>
  <c r="L940" i="35"/>
  <c r="M941" i="35"/>
  <c r="L942" i="35"/>
  <c r="H942" i="35"/>
  <c r="I941" i="35"/>
  <c r="L941" i="35"/>
  <c r="H940" i="35"/>
  <c r="H941" i="35"/>
  <c r="L939" i="35"/>
  <c r="H939" i="35"/>
  <c r="I867" i="35"/>
  <c r="L938" i="35"/>
  <c r="I938" i="35"/>
  <c r="H938" i="35"/>
  <c r="L937" i="35"/>
  <c r="M755" i="35"/>
  <c r="H937" i="35"/>
  <c r="I810" i="35"/>
  <c r="M810" i="35"/>
  <c r="M936" i="35"/>
  <c r="L936" i="35"/>
  <c r="I936" i="35"/>
  <c r="H936" i="35"/>
  <c r="M915" i="35"/>
  <c r="L935" i="35"/>
  <c r="I755" i="35"/>
  <c r="H935" i="35"/>
  <c r="M934" i="35"/>
  <c r="L934" i="35"/>
  <c r="I934" i="35"/>
  <c r="H934" i="35"/>
  <c r="M930" i="35"/>
  <c r="L930" i="35"/>
  <c r="I930" i="35"/>
  <c r="H930" i="35"/>
  <c r="I915" i="35"/>
  <c r="L915" i="35"/>
  <c r="H915" i="35"/>
  <c r="I708" i="35"/>
  <c r="M708" i="35"/>
  <c r="L914" i="35"/>
  <c r="H914" i="35"/>
  <c r="L892" i="35"/>
  <c r="L908" i="35"/>
  <c r="H908" i="35"/>
  <c r="I907" i="35"/>
  <c r="M907" i="35"/>
  <c r="L907" i="35"/>
  <c r="H907" i="35"/>
  <c r="Q556" i="33"/>
  <c r="J556" i="33"/>
  <c r="K556" i="33"/>
  <c r="S556" i="33"/>
  <c r="X482" i="31"/>
  <c r="Y482" i="31" s="1"/>
  <c r="Z482" i="31"/>
  <c r="AD482" i="31"/>
  <c r="Q53" i="33"/>
  <c r="Z473" i="31"/>
  <c r="L897" i="35"/>
  <c r="H897" i="35"/>
  <c r="H892" i="35"/>
  <c r="X473" i="31"/>
  <c r="Y473" i="31" s="1"/>
  <c r="AD473" i="31"/>
  <c r="S472" i="31"/>
  <c r="T472" i="31" s="1"/>
  <c r="H891" i="35"/>
  <c r="Q86" i="33"/>
  <c r="R86" i="33" s="1"/>
  <c r="L891" i="35"/>
  <c r="H874" i="35"/>
  <c r="AD472" i="31"/>
  <c r="X472" i="31"/>
  <c r="Y472" i="31" s="1"/>
  <c r="Z472" i="31"/>
  <c r="Q102" i="33"/>
  <c r="R102" i="33" s="1"/>
  <c r="S671" i="31"/>
  <c r="T671" i="31" s="1"/>
  <c r="H879" i="35"/>
  <c r="L884" i="35"/>
  <c r="H884" i="35"/>
  <c r="L882" i="35"/>
  <c r="L880" i="35"/>
  <c r="H872" i="35"/>
  <c r="H880" i="35"/>
  <c r="H882" i="35"/>
  <c r="L879" i="35"/>
  <c r="H875" i="35"/>
  <c r="Q389" i="33"/>
  <c r="R389" i="33" s="1"/>
  <c r="Q555" i="33"/>
  <c r="R555" i="33" s="1"/>
  <c r="AD671" i="31"/>
  <c r="X671" i="31"/>
  <c r="Y671" i="31" s="1"/>
  <c r="Z671" i="31"/>
  <c r="S451" i="31"/>
  <c r="T451" i="31" s="1"/>
  <c r="L872" i="35"/>
  <c r="L875" i="35"/>
  <c r="L874" i="35"/>
  <c r="G874" i="35"/>
  <c r="S470" i="31"/>
  <c r="T470" i="31" s="1"/>
  <c r="X470" i="31"/>
  <c r="Y470" i="31" s="1"/>
  <c r="Z470" i="31"/>
  <c r="S776" i="31"/>
  <c r="T776" i="31" s="1"/>
  <c r="AD470" i="31"/>
  <c r="AD776" i="31"/>
  <c r="L877" i="35"/>
  <c r="H877" i="35"/>
  <c r="I834" i="35"/>
  <c r="M876" i="35"/>
  <c r="L876" i="35"/>
  <c r="M834" i="35"/>
  <c r="I876" i="35"/>
  <c r="H876" i="35"/>
  <c r="L867" i="35"/>
  <c r="L871" i="35"/>
  <c r="X776" i="31"/>
  <c r="Y776" i="31" s="1"/>
  <c r="Z776" i="31"/>
  <c r="S460" i="31"/>
  <c r="T460" i="31" s="1"/>
  <c r="S435" i="31"/>
  <c r="T435" i="31" s="1"/>
  <c r="Q554" i="33"/>
  <c r="R554" i="33" s="1"/>
  <c r="AD460" i="31"/>
  <c r="X460" i="31"/>
  <c r="Y460" i="31" s="1"/>
  <c r="Z460" i="31"/>
  <c r="S454" i="31"/>
  <c r="T454" i="31" s="1"/>
  <c r="S427" i="31"/>
  <c r="T427" i="31" s="1"/>
  <c r="AD463" i="31"/>
  <c r="S463" i="31"/>
  <c r="T463" i="31" s="1"/>
  <c r="X463" i="31"/>
  <c r="Y463" i="31" s="1"/>
  <c r="Z463" i="31"/>
  <c r="Z459" i="31"/>
  <c r="H871" i="35"/>
  <c r="AD427" i="31"/>
  <c r="X427" i="31"/>
  <c r="Y427" i="31" s="1"/>
  <c r="Z427" i="31"/>
  <c r="H867" i="35"/>
  <c r="Q553" i="33"/>
  <c r="I821" i="35"/>
  <c r="I870" i="35"/>
  <c r="M821" i="35"/>
  <c r="M870" i="35"/>
  <c r="L870" i="35"/>
  <c r="H870" i="35"/>
  <c r="AD454" i="31"/>
  <c r="X454" i="31"/>
  <c r="Y454" i="31" s="1"/>
  <c r="Z453" i="31"/>
  <c r="S453" i="31"/>
  <c r="T453" i="31" s="1"/>
  <c r="Z454" i="31"/>
  <c r="AD453" i="31"/>
  <c r="X453" i="31"/>
  <c r="Y453" i="31" s="1"/>
  <c r="AD459" i="31"/>
  <c r="S459" i="31"/>
  <c r="T459" i="31" s="1"/>
  <c r="M787" i="35"/>
  <c r="L850" i="35"/>
  <c r="X459" i="31"/>
  <c r="Y459" i="31" s="1"/>
  <c r="S458" i="31"/>
  <c r="T458" i="31" s="1"/>
  <c r="I787" i="35"/>
  <c r="L860" i="35"/>
  <c r="H860" i="35"/>
  <c r="I855" i="35"/>
  <c r="H850" i="35"/>
  <c r="L855" i="35"/>
  <c r="M855" i="35"/>
  <c r="H855" i="35"/>
  <c r="L852" i="35"/>
  <c r="H852" i="35"/>
  <c r="L846" i="35"/>
  <c r="H846" i="35"/>
  <c r="L834" i="35"/>
  <c r="J346" i="6"/>
  <c r="N333" i="6" s="1"/>
  <c r="K332" i="6"/>
  <c r="O332" i="6" s="1"/>
  <c r="Q332" i="6" s="1"/>
  <c r="M336" i="6"/>
  <c r="L338" i="6"/>
  <c r="L349" i="6"/>
  <c r="L301" i="6"/>
  <c r="L310" i="6"/>
  <c r="L313" i="6"/>
  <c r="N308" i="6"/>
  <c r="L333" i="6"/>
  <c r="O349" i="6"/>
  <c r="O317" i="6"/>
  <c r="L336" i="6"/>
  <c r="O262" i="6"/>
  <c r="O303" i="6"/>
  <c r="L340" i="6"/>
  <c r="N301" i="6"/>
  <c r="N296" i="6"/>
  <c r="M343" i="6"/>
  <c r="L345" i="6"/>
  <c r="O352" i="6"/>
  <c r="M345" i="6"/>
  <c r="L253" i="6"/>
  <c r="L296" i="6"/>
  <c r="L277" i="6"/>
  <c r="M333" i="6"/>
  <c r="M342" i="6"/>
  <c r="L343" i="6"/>
  <c r="O343" i="6"/>
  <c r="M346" i="6"/>
  <c r="M349" i="6"/>
  <c r="O333" i="6"/>
  <c r="M321" i="6"/>
  <c r="O342" i="6"/>
  <c r="M310" i="6"/>
  <c r="J342" i="6"/>
  <c r="N343" i="6" s="1"/>
  <c r="K310" i="6"/>
  <c r="O336" i="6" s="1"/>
  <c r="L316" i="6"/>
  <c r="L332" i="6"/>
  <c r="R332" i="6" s="1"/>
  <c r="H40" i="36" s="1"/>
  <c r="L325" i="6"/>
  <c r="L287" i="6"/>
  <c r="M335" i="6"/>
  <c r="M264" i="6"/>
  <c r="L335" i="6"/>
  <c r="M322" i="6"/>
  <c r="J325" i="6"/>
  <c r="M338" i="6"/>
  <c r="M340" i="6"/>
  <c r="L262" i="6"/>
  <c r="L264" i="6"/>
  <c r="M286" i="6"/>
  <c r="M352" i="6"/>
  <c r="L352" i="6"/>
  <c r="M712" i="35"/>
  <c r="I712" i="35"/>
  <c r="M839" i="35"/>
  <c r="L839" i="35"/>
  <c r="I839" i="35"/>
  <c r="H839" i="35"/>
  <c r="L837" i="35"/>
  <c r="H837" i="35"/>
  <c r="Q552" i="33"/>
  <c r="R552" i="33" s="1"/>
  <c r="L835" i="35"/>
  <c r="H834" i="35"/>
  <c r="H835" i="35"/>
  <c r="L821" i="35"/>
  <c r="AD458" i="31"/>
  <c r="X458" i="31"/>
  <c r="Y458" i="31" s="1"/>
  <c r="Z458" i="31"/>
  <c r="L831" i="35"/>
  <c r="H831" i="35"/>
  <c r="L830" i="35"/>
  <c r="H830" i="35"/>
  <c r="L828" i="35"/>
  <c r="H821" i="35"/>
  <c r="H828" i="35"/>
  <c r="H820" i="35"/>
  <c r="L814" i="35"/>
  <c r="L826" i="35"/>
  <c r="H826" i="35"/>
  <c r="Q550" i="33"/>
  <c r="R550" i="33" s="1"/>
  <c r="Q551" i="33"/>
  <c r="R551" i="33" s="1"/>
  <c r="Z451" i="31"/>
  <c r="X451" i="31"/>
  <c r="Y451" i="31" s="1"/>
  <c r="Z446" i="31"/>
  <c r="AD451" i="31"/>
  <c r="S446" i="31"/>
  <c r="T446" i="31" s="1"/>
  <c r="X446" i="31"/>
  <c r="Y446" i="31" s="1"/>
  <c r="AD446" i="31"/>
  <c r="S445" i="31"/>
  <c r="T445" i="31" s="1"/>
  <c r="L824" i="35"/>
  <c r="H824" i="35"/>
  <c r="AD445" i="31"/>
  <c r="X445" i="31"/>
  <c r="Y445" i="31" s="1"/>
  <c r="Z445" i="31"/>
  <c r="M737" i="35"/>
  <c r="Z435" i="31"/>
  <c r="X435" i="31"/>
  <c r="Y435" i="31" s="1"/>
  <c r="AD435" i="31"/>
  <c r="S775" i="31"/>
  <c r="T775" i="31" s="1"/>
  <c r="L818" i="35"/>
  <c r="L820" i="35"/>
  <c r="L822" i="35"/>
  <c r="H822" i="35"/>
  <c r="I737" i="35"/>
  <c r="H814" i="35"/>
  <c r="L815" i="35"/>
  <c r="L811" i="35"/>
  <c r="L819" i="35"/>
  <c r="M819" i="35"/>
  <c r="H815" i="35"/>
  <c r="I819" i="35"/>
  <c r="H819" i="35"/>
  <c r="AD775" i="31"/>
  <c r="X775" i="31"/>
  <c r="Y775" i="31" s="1"/>
  <c r="Z775" i="31"/>
  <c r="S456" i="31"/>
  <c r="T456" i="31" s="1"/>
  <c r="H818" i="35"/>
  <c r="X456" i="31"/>
  <c r="Y456" i="31" s="1"/>
  <c r="Z456" i="31"/>
  <c r="AD456" i="31"/>
  <c r="H787" i="35"/>
  <c r="L812" i="35"/>
  <c r="H812" i="35"/>
  <c r="H811" i="35"/>
  <c r="Q549" i="33"/>
  <c r="R549" i="33" s="1"/>
  <c r="Q548" i="33"/>
  <c r="R548" i="33" s="1"/>
  <c r="H810" i="35"/>
  <c r="Q547" i="33"/>
  <c r="R547" i="33" s="1"/>
  <c r="L810" i="35"/>
  <c r="Q546" i="33"/>
  <c r="R546" i="33" s="1"/>
  <c r="Q545" i="33"/>
  <c r="R545" i="33" s="1"/>
  <c r="H800" i="35"/>
  <c r="L803" i="35"/>
  <c r="H803" i="35"/>
  <c r="L800" i="35"/>
  <c r="Q164" i="33"/>
  <c r="R164" i="33" s="1"/>
  <c r="AD429" i="31"/>
  <c r="O346" i="6"/>
  <c r="L794" i="35"/>
  <c r="H794" i="35"/>
  <c r="L793" i="35"/>
  <c r="L788" i="35"/>
  <c r="H793" i="35"/>
  <c r="Q65" i="33"/>
  <c r="R65" i="33" s="1"/>
  <c r="M719" i="35"/>
  <c r="H788" i="35"/>
  <c r="L787" i="35"/>
  <c r="L790" i="35"/>
  <c r="H790" i="35"/>
  <c r="L786" i="35"/>
  <c r="E33" i="40"/>
  <c r="Q544" i="33"/>
  <c r="R544" i="33" s="1"/>
  <c r="H786" i="35"/>
  <c r="H538" i="33"/>
  <c r="S538" i="33" s="1"/>
  <c r="I719" i="35"/>
  <c r="Q118" i="33"/>
  <c r="L769" i="35"/>
  <c r="H771" i="35"/>
  <c r="M774" i="35"/>
  <c r="I774" i="35"/>
  <c r="L774" i="35"/>
  <c r="H774" i="35"/>
  <c r="L771" i="35"/>
  <c r="Q543" i="33"/>
  <c r="R543" i="33" s="1"/>
  <c r="H769" i="35"/>
  <c r="H540" i="33"/>
  <c r="Q123" i="33"/>
  <c r="R123" i="33" s="1"/>
  <c r="Z455" i="31"/>
  <c r="S455" i="31"/>
  <c r="T455" i="31" s="1"/>
  <c r="E91" i="40"/>
  <c r="X455" i="31"/>
  <c r="Y455" i="31" s="1"/>
  <c r="AD455" i="31"/>
  <c r="S467" i="31"/>
  <c r="T467" i="31" s="1"/>
  <c r="S429" i="31"/>
  <c r="T429" i="31" s="1"/>
  <c r="AD467" i="31"/>
  <c r="X467" i="31"/>
  <c r="Y467" i="31" s="1"/>
  <c r="Z467" i="31"/>
  <c r="Q542" i="33"/>
  <c r="R542" i="33" s="1"/>
  <c r="H764" i="35"/>
  <c r="L764" i="35"/>
  <c r="X429" i="31"/>
  <c r="Y429" i="31" s="1"/>
  <c r="Z429" i="31"/>
  <c r="L755" i="35"/>
  <c r="H755" i="35"/>
  <c r="AD11" i="31"/>
  <c r="S11" i="31"/>
  <c r="T11" i="31" s="1"/>
  <c r="Q541" i="33"/>
  <c r="R541" i="33" s="1"/>
  <c r="Q540" i="33"/>
  <c r="R540" i="33" s="1"/>
  <c r="Q539" i="33"/>
  <c r="R539" i="33" s="1"/>
  <c r="L741" i="35"/>
  <c r="I538" i="33"/>
  <c r="L750" i="35"/>
  <c r="Q538" i="33"/>
  <c r="R538" i="33" s="1"/>
  <c r="I743" i="35"/>
  <c r="L745" i="35"/>
  <c r="Q135" i="33"/>
  <c r="L751" i="35"/>
  <c r="H751" i="35"/>
  <c r="H750" i="35"/>
  <c r="M745" i="35"/>
  <c r="H741" i="35"/>
  <c r="M743" i="35"/>
  <c r="I718" i="35"/>
  <c r="I745" i="35"/>
  <c r="H745" i="35"/>
  <c r="M718" i="35"/>
  <c r="O338" i="6"/>
  <c r="O325" i="6"/>
  <c r="O295" i="6"/>
  <c r="O334" i="6"/>
  <c r="N295" i="6"/>
  <c r="N334" i="6"/>
  <c r="N303" i="6"/>
  <c r="O320" i="6"/>
  <c r="L329" i="6"/>
  <c r="O316" i="6"/>
  <c r="J276" i="6"/>
  <c r="N306" i="6" s="1"/>
  <c r="J313" i="6"/>
  <c r="K329" i="6"/>
  <c r="I330" i="6"/>
  <c r="K330" i="6" s="1"/>
  <c r="M316" i="6"/>
  <c r="L322" i="6"/>
  <c r="M325" i="6"/>
  <c r="J329" i="6"/>
  <c r="N329" i="6" s="1"/>
  <c r="M262" i="6"/>
  <c r="O322" i="6"/>
  <c r="M296" i="6"/>
  <c r="L321" i="6"/>
  <c r="M277" i="6"/>
  <c r="M303" i="6"/>
  <c r="N316" i="6"/>
  <c r="M334" i="6"/>
  <c r="M295" i="6"/>
  <c r="L303" i="6"/>
  <c r="L306" i="6"/>
  <c r="M320" i="6"/>
  <c r="L334" i="6"/>
  <c r="L295" i="6"/>
  <c r="M302" i="6"/>
  <c r="M308" i="6"/>
  <c r="M311" i="6"/>
  <c r="L320" i="6"/>
  <c r="M324" i="6"/>
  <c r="L302" i="6"/>
  <c r="O306" i="6"/>
  <c r="L308" i="6"/>
  <c r="L311" i="6"/>
  <c r="M313" i="6"/>
  <c r="L324" i="6"/>
  <c r="L327" i="6"/>
  <c r="L330" i="6"/>
  <c r="L276" i="6"/>
  <c r="M319" i="6"/>
  <c r="L319" i="6"/>
  <c r="L735" i="35"/>
  <c r="L743" i="35"/>
  <c r="H743" i="35"/>
  <c r="H737" i="35"/>
  <c r="Q150" i="33"/>
  <c r="R150" i="33" s="1"/>
  <c r="L737" i="35"/>
  <c r="H735" i="35"/>
  <c r="L733" i="35"/>
  <c r="Q231" i="33"/>
  <c r="R231" i="33" s="1"/>
  <c r="Q222" i="33"/>
  <c r="R222" i="33" s="1"/>
  <c r="L734" i="35"/>
  <c r="H734" i="35"/>
  <c r="M733" i="35"/>
  <c r="I733" i="35"/>
  <c r="H733" i="35"/>
  <c r="H719" i="35"/>
  <c r="Q82" i="33"/>
  <c r="R82" i="33" s="1"/>
  <c r="S534" i="33"/>
  <c r="Q179" i="33"/>
  <c r="R179" i="33" s="1"/>
  <c r="Q534" i="33"/>
  <c r="R534" i="33" s="1"/>
  <c r="J534" i="33"/>
  <c r="K534" i="33"/>
  <c r="L712" i="35"/>
  <c r="L720" i="35"/>
  <c r="H720" i="35"/>
  <c r="Q533" i="33"/>
  <c r="R533" i="33" s="1"/>
  <c r="H723" i="35"/>
  <c r="L723" i="35"/>
  <c r="Q532" i="33"/>
  <c r="R532" i="33" s="1"/>
  <c r="I675" i="35"/>
  <c r="L718" i="35"/>
  <c r="M675" i="35"/>
  <c r="L722" i="35"/>
  <c r="H722" i="35"/>
  <c r="L719" i="35"/>
  <c r="Q531" i="33"/>
  <c r="R531" i="33" s="1"/>
  <c r="H718" i="35"/>
  <c r="L708" i="35"/>
  <c r="H712" i="35"/>
  <c r="Q173" i="33"/>
  <c r="R173" i="33" s="1"/>
  <c r="Q528" i="33"/>
  <c r="R528" i="33" s="1"/>
  <c r="Q530" i="33"/>
  <c r="R530" i="33" s="1"/>
  <c r="M697" i="35"/>
  <c r="L701" i="35"/>
  <c r="Q529" i="33"/>
  <c r="R529" i="33" s="1"/>
  <c r="X11" i="31"/>
  <c r="Y11" i="31" s="1"/>
  <c r="Z11" i="31"/>
  <c r="S462" i="31"/>
  <c r="T462" i="31" s="1"/>
  <c r="Q527" i="33"/>
  <c r="R527" i="33" s="1"/>
  <c r="H708" i="35"/>
  <c r="H705" i="35"/>
  <c r="L705" i="35"/>
  <c r="H701" i="35"/>
  <c r="Q104" i="33"/>
  <c r="Q85" i="33"/>
  <c r="R85" i="33" s="1"/>
  <c r="AD462" i="31"/>
  <c r="Z462" i="31"/>
  <c r="X462" i="31"/>
  <c r="Y462" i="31" s="1"/>
  <c r="AD449" i="31"/>
  <c r="AD450" i="31"/>
  <c r="S450" i="31"/>
  <c r="T450" i="31" s="1"/>
  <c r="X450" i="31"/>
  <c r="Y450" i="31" s="1"/>
  <c r="Z449" i="31"/>
  <c r="S449" i="31"/>
  <c r="T449" i="31" s="1"/>
  <c r="Z450" i="31"/>
  <c r="X449" i="31"/>
  <c r="Y449" i="31" s="1"/>
  <c r="L699" i="35"/>
  <c r="L691" i="35"/>
  <c r="H699" i="35"/>
  <c r="I681" i="35"/>
  <c r="L697" i="35"/>
  <c r="H696" i="35"/>
  <c r="H690" i="35"/>
  <c r="I697" i="35"/>
  <c r="H697" i="35"/>
  <c r="M681" i="35"/>
  <c r="H693" i="35"/>
  <c r="L696" i="35"/>
  <c r="L690" i="35"/>
  <c r="L695" i="35"/>
  <c r="H694" i="35"/>
  <c r="H691" i="35"/>
  <c r="H695" i="35"/>
  <c r="L692" i="35"/>
  <c r="L694" i="35"/>
  <c r="H692" i="35"/>
  <c r="H680" i="35"/>
  <c r="H684" i="35"/>
  <c r="L693" i="35"/>
  <c r="Q27" i="33"/>
  <c r="R27" i="33" s="1"/>
  <c r="Q205" i="33"/>
  <c r="R205" i="33" s="1"/>
  <c r="H685" i="35"/>
  <c r="Q514" i="33"/>
  <c r="R514" i="33" s="1"/>
  <c r="Q506" i="33"/>
  <c r="R506" i="33" s="1"/>
  <c r="H681" i="35"/>
  <c r="L681" i="35"/>
  <c r="L685" i="35"/>
  <c r="L688" i="35"/>
  <c r="H688" i="35"/>
  <c r="L684" i="35"/>
  <c r="H679" i="35"/>
  <c r="Q48" i="33"/>
  <c r="R48" i="33" s="1"/>
  <c r="L679" i="35"/>
  <c r="L675" i="35"/>
  <c r="Q133" i="33"/>
  <c r="R133" i="33" s="1"/>
  <c r="O313" i="6"/>
  <c r="L680" i="35"/>
  <c r="M317" i="6"/>
  <c r="L317" i="6"/>
  <c r="N311" i="6"/>
  <c r="O308" i="6"/>
  <c r="J310" i="6"/>
  <c r="Q200" i="33"/>
  <c r="R200" i="33" s="1"/>
  <c r="E24" i="40"/>
  <c r="Q75" i="33"/>
  <c r="R75" i="33" s="1"/>
  <c r="Q149" i="33"/>
  <c r="R149" i="33" s="1"/>
  <c r="H675" i="35"/>
  <c r="L669" i="35"/>
  <c r="S448" i="31"/>
  <c r="T448" i="31" s="1"/>
  <c r="X448" i="31"/>
  <c r="Y448" i="31" s="1"/>
  <c r="Z448" i="31"/>
  <c r="AD448" i="31"/>
  <c r="S84" i="31"/>
  <c r="T84" i="31" s="1"/>
  <c r="Q181" i="33"/>
  <c r="R181" i="33" s="1"/>
  <c r="J307" i="6"/>
  <c r="O302" i="6"/>
  <c r="M287" i="6"/>
  <c r="M306" i="6"/>
  <c r="O287" i="6"/>
  <c r="M301" i="6"/>
  <c r="K301" i="6"/>
  <c r="X84" i="31"/>
  <c r="Y84" i="31" s="1"/>
  <c r="Z84" i="31"/>
  <c r="AD84" i="31"/>
  <c r="S106" i="31"/>
  <c r="T106" i="31" s="1"/>
  <c r="H669" i="35"/>
  <c r="Q103" i="33"/>
  <c r="R103" i="33" s="1"/>
  <c r="Q142" i="33"/>
  <c r="R142" i="33" s="1"/>
  <c r="H663" i="35"/>
  <c r="L663" i="35"/>
  <c r="K300" i="6"/>
  <c r="J298" i="6"/>
  <c r="Q498" i="33"/>
  <c r="R498" i="33" s="1"/>
  <c r="L286" i="6"/>
  <c r="O277" i="6"/>
  <c r="M276" i="6"/>
  <c r="O276" i="6"/>
  <c r="O264" i="6"/>
  <c r="Z106" i="31"/>
  <c r="X106" i="31"/>
  <c r="Y106" i="31" s="1"/>
  <c r="AD106" i="31"/>
  <c r="S90" i="31"/>
  <c r="T90" i="31" s="1"/>
  <c r="S85" i="31"/>
  <c r="T85" i="31" s="1"/>
  <c r="AD90" i="31"/>
  <c r="X90" i="31"/>
  <c r="Y90" i="31" s="1"/>
  <c r="Z90" i="31"/>
  <c r="Z85" i="31"/>
  <c r="X85" i="31"/>
  <c r="Y85" i="31" s="1"/>
  <c r="AD85" i="31"/>
  <c r="AD442" i="31"/>
  <c r="S442" i="31"/>
  <c r="T442" i="31" s="1"/>
  <c r="Z442" i="31"/>
  <c r="X442" i="31"/>
  <c r="Y442" i="31" s="1"/>
  <c r="O253" i="6"/>
  <c r="S441" i="31"/>
  <c r="T441" i="31" s="1"/>
  <c r="O256" i="6"/>
  <c r="AD441" i="31"/>
  <c r="X441" i="31"/>
  <c r="Y441" i="31" s="1"/>
  <c r="S71" i="31"/>
  <c r="T71" i="31" s="1"/>
  <c r="Z441" i="31"/>
  <c r="AD71" i="31"/>
  <c r="X71" i="31"/>
  <c r="Y71" i="31" s="1"/>
  <c r="Z71" i="31"/>
  <c r="S438" i="31"/>
  <c r="T438" i="31" s="1"/>
  <c r="Z107" i="31"/>
  <c r="S436" i="31"/>
  <c r="T436" i="31" s="1"/>
  <c r="S107" i="31"/>
  <c r="T107" i="31" s="1"/>
  <c r="X107" i="31"/>
  <c r="Y107" i="31" s="1"/>
  <c r="AD107" i="31"/>
  <c r="Z438" i="31"/>
  <c r="AD437" i="31"/>
  <c r="AD438" i="31"/>
  <c r="X438" i="31"/>
  <c r="Y438" i="31" s="1"/>
  <c r="S417" i="31"/>
  <c r="T417" i="31" s="1"/>
  <c r="S437" i="31"/>
  <c r="T437" i="31" s="1"/>
  <c r="X437" i="31"/>
  <c r="Y437" i="31" s="1"/>
  <c r="Z437" i="31"/>
  <c r="AD436" i="31"/>
  <c r="Z436" i="31"/>
  <c r="X436" i="31"/>
  <c r="Y436" i="31" s="1"/>
  <c r="AD417" i="31"/>
  <c r="X417" i="31"/>
  <c r="Y417" i="31" s="1"/>
  <c r="Z417" i="31"/>
  <c r="L256" i="6"/>
  <c r="M253" i="6"/>
  <c r="J255" i="6"/>
  <c r="N353" i="6" s="1"/>
  <c r="L255" i="6"/>
  <c r="M256" i="6"/>
  <c r="M255" i="6"/>
  <c r="O255" i="6"/>
  <c r="I2022" i="35" l="1"/>
  <c r="O2022" i="35" s="1"/>
  <c r="I2075" i="35"/>
  <c r="O2075" i="35" s="1"/>
  <c r="M2022" i="35"/>
  <c r="N2022" i="35" s="1"/>
  <c r="P2022" i="35" s="1"/>
  <c r="M2075" i="35"/>
  <c r="N2075" i="35" s="1"/>
  <c r="M938" i="35"/>
  <c r="N2034" i="35"/>
  <c r="P2034" i="35" s="1"/>
  <c r="P2050" i="35"/>
  <c r="I1720" i="35"/>
  <c r="O1720" i="35" s="1"/>
  <c r="I2033" i="35"/>
  <c r="O2033" i="35" s="1"/>
  <c r="M1720" i="35"/>
  <c r="N1720" i="35" s="1"/>
  <c r="M2033" i="35"/>
  <c r="N2033" i="35" s="1"/>
  <c r="I1975" i="35"/>
  <c r="O1975" i="35" s="1"/>
  <c r="I2025" i="35"/>
  <c r="O2025" i="35" s="1"/>
  <c r="M1975" i="35"/>
  <c r="N1975" i="35" s="1"/>
  <c r="M2025" i="35"/>
  <c r="N2025" i="35" s="1"/>
  <c r="I2004" i="35"/>
  <c r="O2004" i="35" s="1"/>
  <c r="I2005" i="35"/>
  <c r="O2005" i="35" s="1"/>
  <c r="M2004" i="35"/>
  <c r="N2004" i="35" s="1"/>
  <c r="M2005" i="35"/>
  <c r="N2005" i="35" s="1"/>
  <c r="N352" i="6"/>
  <c r="N317" i="6"/>
  <c r="O311" i="6"/>
  <c r="I1481" i="35"/>
  <c r="O1481" i="35" s="1"/>
  <c r="I1989" i="35"/>
  <c r="O1989" i="35" s="1"/>
  <c r="M1481" i="35"/>
  <c r="N1481" i="35" s="1"/>
  <c r="M1989" i="35"/>
  <c r="N1989" i="35" s="1"/>
  <c r="I1957" i="35"/>
  <c r="O1957" i="35" s="1"/>
  <c r="I1972" i="35"/>
  <c r="O1972" i="35" s="1"/>
  <c r="M1957" i="35"/>
  <c r="N1957" i="35" s="1"/>
  <c r="M1972" i="35"/>
  <c r="N1972" i="35" s="1"/>
  <c r="M1870" i="35"/>
  <c r="N1870" i="35" s="1"/>
  <c r="M1968" i="35"/>
  <c r="N1968" i="35" s="1"/>
  <c r="I1870" i="35"/>
  <c r="O1870" i="35" s="1"/>
  <c r="I1968" i="35"/>
  <c r="O1968" i="35" s="1"/>
  <c r="O1930" i="35"/>
  <c r="N1930" i="35"/>
  <c r="I958" i="35"/>
  <c r="O958" i="35" s="1"/>
  <c r="I1934" i="35"/>
  <c r="O1934" i="35" s="1"/>
  <c r="M679" i="35"/>
  <c r="N679" i="35" s="1"/>
  <c r="M1934" i="35"/>
  <c r="N1934" i="35" s="1"/>
  <c r="I1906" i="35"/>
  <c r="O1906" i="35" s="1"/>
  <c r="I1931" i="35"/>
  <c r="O1931" i="35" s="1"/>
  <c r="M1906" i="35"/>
  <c r="N1906" i="35" s="1"/>
  <c r="M1931" i="35"/>
  <c r="N1931" i="35" s="1"/>
  <c r="M1883" i="35"/>
  <c r="N1883" i="35" s="1"/>
  <c r="M1923" i="35"/>
  <c r="N1923" i="35" s="1"/>
  <c r="I1883" i="35"/>
  <c r="O1883" i="35" s="1"/>
  <c r="I1923" i="35"/>
  <c r="O1923" i="35" s="1"/>
  <c r="P1909" i="35"/>
  <c r="I1889" i="35"/>
  <c r="O1889" i="35" s="1"/>
  <c r="I1908" i="35"/>
  <c r="O1908" i="35" s="1"/>
  <c r="M1889" i="35"/>
  <c r="N1889" i="35" s="1"/>
  <c r="M1908" i="35"/>
  <c r="N1908" i="35" s="1"/>
  <c r="N1874" i="35"/>
  <c r="O1874" i="35"/>
  <c r="I1587" i="35"/>
  <c r="O1587" i="35" s="1"/>
  <c r="I1885" i="35"/>
  <c r="O1885" i="35" s="1"/>
  <c r="M1587" i="35"/>
  <c r="N1587" i="35" s="1"/>
  <c r="M1885" i="35"/>
  <c r="N1885" i="35" s="1"/>
  <c r="M1784" i="35"/>
  <c r="N1784" i="35" s="1"/>
  <c r="M1882" i="35"/>
  <c r="N1882" i="35" s="1"/>
  <c r="I1784" i="35"/>
  <c r="O1784" i="35" s="1"/>
  <c r="I1882" i="35"/>
  <c r="O1882" i="35" s="1"/>
  <c r="I831" i="35"/>
  <c r="O831" i="35" s="1"/>
  <c r="I1797" i="35"/>
  <c r="O1797" i="35" s="1"/>
  <c r="I1846" i="35"/>
  <c r="O1846" i="35" s="1"/>
  <c r="M1797" i="35"/>
  <c r="N1797" i="35" s="1"/>
  <c r="M1846" i="35"/>
  <c r="N1846" i="35" s="1"/>
  <c r="I694" i="35"/>
  <c r="O694" i="35" s="1"/>
  <c r="H27" i="33" s="1"/>
  <c r="K27" i="33" s="1"/>
  <c r="O1813" i="35"/>
  <c r="N1816" i="35"/>
  <c r="N1813" i="35"/>
  <c r="I1770" i="35"/>
  <c r="O1770" i="35" s="1"/>
  <c r="I1819" i="35"/>
  <c r="O1819" i="35" s="1"/>
  <c r="M1770" i="35"/>
  <c r="N1770" i="35" s="1"/>
  <c r="M1819" i="35"/>
  <c r="N1819" i="35" s="1"/>
  <c r="I1809" i="35"/>
  <c r="O1809" i="35" s="1"/>
  <c r="I1816" i="35"/>
  <c r="O1816" i="35" s="1"/>
  <c r="R443" i="6"/>
  <c r="M1725" i="35"/>
  <c r="N1725" i="35" s="1"/>
  <c r="M1809" i="35"/>
  <c r="N1809" i="35" s="1"/>
  <c r="M1793" i="35"/>
  <c r="N1793" i="35" s="1"/>
  <c r="M1799" i="35"/>
  <c r="N1799" i="35" s="1"/>
  <c r="I1793" i="35"/>
  <c r="O1793" i="35" s="1"/>
  <c r="I1799" i="35"/>
  <c r="O1799" i="35" s="1"/>
  <c r="P443" i="6"/>
  <c r="M441" i="6"/>
  <c r="R441" i="6" s="1"/>
  <c r="O441" i="6"/>
  <c r="N441" i="6"/>
  <c r="P441" i="6" s="1"/>
  <c r="Q443" i="6"/>
  <c r="M831" i="35"/>
  <c r="N831" i="35" s="1"/>
  <c r="N1749" i="35"/>
  <c r="O1749" i="35"/>
  <c r="O1739" i="35"/>
  <c r="I1710" i="35"/>
  <c r="O1710" i="35" s="1"/>
  <c r="I1750" i="35"/>
  <c r="O1750" i="35" s="1"/>
  <c r="N1739" i="35"/>
  <c r="M1710" i="35"/>
  <c r="N1710" i="35" s="1"/>
  <c r="M1750" i="35"/>
  <c r="N1750" i="35" s="1"/>
  <c r="I1733" i="35"/>
  <c r="O1733" i="35" s="1"/>
  <c r="I1746" i="35"/>
  <c r="O1746" i="35" s="1"/>
  <c r="M1733" i="35"/>
  <c r="N1733" i="35" s="1"/>
  <c r="M1746" i="35"/>
  <c r="N1746" i="35" s="1"/>
  <c r="M991" i="35"/>
  <c r="N991" i="35" s="1"/>
  <c r="I1672" i="35"/>
  <c r="O1672" i="35" s="1"/>
  <c r="I1738" i="35"/>
  <c r="O1738" i="35" s="1"/>
  <c r="M1672" i="35"/>
  <c r="N1672" i="35" s="1"/>
  <c r="M1738" i="35"/>
  <c r="N1738" i="35" s="1"/>
  <c r="M1643" i="35"/>
  <c r="N1643" i="35" s="1"/>
  <c r="M1726" i="35"/>
  <c r="N1726" i="35" s="1"/>
  <c r="I1643" i="35"/>
  <c r="O1643" i="35" s="1"/>
  <c r="I1726" i="35"/>
  <c r="O1726" i="35" s="1"/>
  <c r="I1509" i="35"/>
  <c r="O1509" i="35" s="1"/>
  <c r="I1725" i="35"/>
  <c r="O1725" i="35" s="1"/>
  <c r="P1713" i="35"/>
  <c r="N1688" i="35"/>
  <c r="N1694" i="35"/>
  <c r="I1493" i="35"/>
  <c r="O1493" i="35" s="1"/>
  <c r="I1699" i="35"/>
  <c r="O1699" i="35" s="1"/>
  <c r="M1493" i="35"/>
  <c r="N1493" i="35" s="1"/>
  <c r="M1699" i="35"/>
  <c r="N1699" i="35" s="1"/>
  <c r="O1694" i="35"/>
  <c r="O1688" i="35"/>
  <c r="I1640" i="35"/>
  <c r="O1640" i="35" s="1"/>
  <c r="I1671" i="35"/>
  <c r="O1671" i="35" s="1"/>
  <c r="M1640" i="35"/>
  <c r="N1640" i="35" s="1"/>
  <c r="M1671" i="35"/>
  <c r="N1671" i="35" s="1"/>
  <c r="O1627" i="35"/>
  <c r="M892" i="35"/>
  <c r="N892" i="35" s="1"/>
  <c r="O1638" i="35"/>
  <c r="M1554" i="35"/>
  <c r="N1554" i="35" s="1"/>
  <c r="M1638" i="35"/>
  <c r="N1638" i="35" s="1"/>
  <c r="I696" i="35"/>
  <c r="O696" i="35" s="1"/>
  <c r="I892" i="35"/>
  <c r="O892" i="35" s="1"/>
  <c r="H86" i="33" s="1"/>
  <c r="S86" i="33" s="1"/>
  <c r="I962" i="35"/>
  <c r="O962" i="35" s="1"/>
  <c r="M1571" i="35"/>
  <c r="N1571" i="35" s="1"/>
  <c r="M1627" i="35"/>
  <c r="N1627" i="35" s="1"/>
  <c r="M962" i="35"/>
  <c r="N962" i="35" s="1"/>
  <c r="O1599" i="35"/>
  <c r="I950" i="35"/>
  <c r="O950" i="35" s="1"/>
  <c r="I1609" i="35"/>
  <c r="O1609" i="35" s="1"/>
  <c r="M950" i="35"/>
  <c r="N950" i="35" s="1"/>
  <c r="M1609" i="35"/>
  <c r="N1609" i="35" s="1"/>
  <c r="O319" i="6"/>
  <c r="Q319" i="6" s="1"/>
  <c r="R404" i="6"/>
  <c r="T402" i="6"/>
  <c r="R398" i="6"/>
  <c r="M1260" i="35"/>
  <c r="N1260" i="35" s="1"/>
  <c r="M1497" i="35"/>
  <c r="N1497" i="35" s="1"/>
  <c r="I1260" i="35"/>
  <c r="O1260" i="35" s="1"/>
  <c r="I1497" i="35"/>
  <c r="O1497" i="35" s="1"/>
  <c r="N1599" i="35"/>
  <c r="M1371" i="35"/>
  <c r="N1371" i="35" s="1"/>
  <c r="M1593" i="35"/>
  <c r="N1593" i="35" s="1"/>
  <c r="I1371" i="35"/>
  <c r="O1371" i="35" s="1"/>
  <c r="I1593" i="35"/>
  <c r="O1593" i="35" s="1"/>
  <c r="P1576" i="35"/>
  <c r="R411" i="6"/>
  <c r="R423" i="6"/>
  <c r="R412" i="6"/>
  <c r="R424" i="6"/>
  <c r="N335" i="6"/>
  <c r="P335" i="6" s="1"/>
  <c r="N400" i="6"/>
  <c r="P400" i="6" s="1"/>
  <c r="T400" i="6" s="1"/>
  <c r="S402" i="6"/>
  <c r="R422" i="6"/>
  <c r="N319" i="6"/>
  <c r="P319" i="6" s="1"/>
  <c r="P422" i="6"/>
  <c r="N398" i="6"/>
  <c r="P398" i="6" s="1"/>
  <c r="N412" i="6"/>
  <c r="P412" i="6" s="1"/>
  <c r="N411" i="6"/>
  <c r="P411" i="6" s="1"/>
  <c r="N424" i="6"/>
  <c r="P424" i="6" s="1"/>
  <c r="T424" i="6" s="1"/>
  <c r="N423" i="6"/>
  <c r="P423" i="6" s="1"/>
  <c r="N406" i="6"/>
  <c r="P406" i="6" s="1"/>
  <c r="T406" i="6" s="1"/>
  <c r="O423" i="6"/>
  <c r="Q423" i="6" s="1"/>
  <c r="O424" i="6"/>
  <c r="Q424" i="6" s="1"/>
  <c r="O411" i="6"/>
  <c r="Q411" i="6" s="1"/>
  <c r="O406" i="6"/>
  <c r="Q406" i="6" s="1"/>
  <c r="O335" i="6"/>
  <c r="Q335" i="6" s="1"/>
  <c r="O400" i="6"/>
  <c r="Q400" i="6" s="1"/>
  <c r="Q422" i="6"/>
  <c r="O398" i="6"/>
  <c r="Q398" i="6" s="1"/>
  <c r="O412" i="6"/>
  <c r="Q412" i="6" s="1"/>
  <c r="I1485" i="35"/>
  <c r="O1485" i="35" s="1"/>
  <c r="I1571" i="35"/>
  <c r="O1571" i="35" s="1"/>
  <c r="M1552" i="35"/>
  <c r="N1552" i="35" s="1"/>
  <c r="M1567" i="35"/>
  <c r="N1567" i="35" s="1"/>
  <c r="I1552" i="35"/>
  <c r="O1552" i="35" s="1"/>
  <c r="I1567" i="35"/>
  <c r="O1567" i="35" s="1"/>
  <c r="I1420" i="35"/>
  <c r="O1420" i="35" s="1"/>
  <c r="I1554" i="35"/>
  <c r="O1554" i="35" s="1"/>
  <c r="I1011" i="35"/>
  <c r="O1011" i="35" s="1"/>
  <c r="H560" i="33" s="1"/>
  <c r="J560" i="33" s="1"/>
  <c r="I1548" i="35"/>
  <c r="O1548" i="35" s="1"/>
  <c r="M1011" i="35"/>
  <c r="N1011" i="35" s="1"/>
  <c r="M1548" i="35"/>
  <c r="N1548" i="35" s="1"/>
  <c r="I701" i="35"/>
  <c r="O701" i="35" s="1"/>
  <c r="P1516" i="35"/>
  <c r="M1505" i="35"/>
  <c r="N1505" i="35" s="1"/>
  <c r="M1509" i="35"/>
  <c r="N1509" i="35" s="1"/>
  <c r="I688" i="35"/>
  <c r="O688" i="35" s="1"/>
  <c r="I1505" i="35"/>
  <c r="O1505" i="35" s="1"/>
  <c r="M1479" i="35"/>
  <c r="N1479" i="35" s="1"/>
  <c r="M1504" i="35"/>
  <c r="N1504" i="35" s="1"/>
  <c r="I1479" i="35"/>
  <c r="O1479" i="35" s="1"/>
  <c r="I1504" i="35"/>
  <c r="O1504" i="35" s="1"/>
  <c r="I1484" i="35"/>
  <c r="O1484" i="35" s="1"/>
  <c r="I1492" i="35"/>
  <c r="O1492" i="35" s="1"/>
  <c r="H92" i="33" s="1"/>
  <c r="M1484" i="35"/>
  <c r="N1484" i="35" s="1"/>
  <c r="M1492" i="35"/>
  <c r="N1492" i="35" s="1"/>
  <c r="M1466" i="35"/>
  <c r="N1466" i="35" s="1"/>
  <c r="M1489" i="35"/>
  <c r="N1489" i="35" s="1"/>
  <c r="I1466" i="35"/>
  <c r="O1466" i="35" s="1"/>
  <c r="I1489" i="35"/>
  <c r="O1489" i="35" s="1"/>
  <c r="M824" i="35"/>
  <c r="N824" i="35" s="1"/>
  <c r="M1485" i="35"/>
  <c r="N1485" i="35" s="1"/>
  <c r="N1445" i="35"/>
  <c r="R22" i="33"/>
  <c r="I1464" i="35"/>
  <c r="O1464" i="35" s="1"/>
  <c r="I1465" i="35"/>
  <c r="O1465" i="35" s="1"/>
  <c r="M1464" i="35"/>
  <c r="N1464" i="35" s="1"/>
  <c r="M1465" i="35"/>
  <c r="N1465" i="35" s="1"/>
  <c r="M701" i="35"/>
  <c r="N701" i="35" s="1"/>
  <c r="M1378" i="35"/>
  <c r="N1378" i="35" s="1"/>
  <c r="M1446" i="35"/>
  <c r="N1446" i="35" s="1"/>
  <c r="I1378" i="35"/>
  <c r="O1378" i="35" s="1"/>
  <c r="I1446" i="35"/>
  <c r="O1446" i="35" s="1"/>
  <c r="I1369" i="35"/>
  <c r="O1369" i="35" s="1"/>
  <c r="I1445" i="35"/>
  <c r="O1445" i="35" s="1"/>
  <c r="I1209" i="35"/>
  <c r="O1209" i="35" s="1"/>
  <c r="I1439" i="35"/>
  <c r="O1439" i="35" s="1"/>
  <c r="M1209" i="35"/>
  <c r="N1209" i="35" s="1"/>
  <c r="M1439" i="35"/>
  <c r="N1439" i="35" s="1"/>
  <c r="I690" i="35"/>
  <c r="O690" i="35" s="1"/>
  <c r="M1411" i="35"/>
  <c r="N1411" i="35" s="1"/>
  <c r="M1420" i="35"/>
  <c r="N1420" i="35" s="1"/>
  <c r="I1262" i="35"/>
  <c r="O1262" i="35" s="1"/>
  <c r="I1415" i="35"/>
  <c r="O1415" i="35" s="1"/>
  <c r="M1262" i="35"/>
  <c r="N1262" i="35" s="1"/>
  <c r="M1415" i="35"/>
  <c r="N1415" i="35" s="1"/>
  <c r="I897" i="35"/>
  <c r="O897" i="35" s="1"/>
  <c r="I1411" i="35"/>
  <c r="O1411" i="35" s="1"/>
  <c r="M942" i="35"/>
  <c r="N942" i="35" s="1"/>
  <c r="I1392" i="35"/>
  <c r="O1392" i="35" s="1"/>
  <c r="I1395" i="35"/>
  <c r="O1395" i="35" s="1"/>
  <c r="M1392" i="35"/>
  <c r="N1392" i="35" s="1"/>
  <c r="M1395" i="35"/>
  <c r="N1395" i="35" s="1"/>
  <c r="I942" i="35"/>
  <c r="O942" i="35" s="1"/>
  <c r="I734" i="35"/>
  <c r="O734" i="35" s="1"/>
  <c r="M696" i="35"/>
  <c r="N696" i="35" s="1"/>
  <c r="M1369" i="35"/>
  <c r="N1369" i="35" s="1"/>
  <c r="M669" i="35"/>
  <c r="N669" i="35" s="1"/>
  <c r="M1367" i="35"/>
  <c r="N1367" i="35" s="1"/>
  <c r="I669" i="35"/>
  <c r="O669" i="35" s="1"/>
  <c r="I1367" i="35"/>
  <c r="O1367" i="35" s="1"/>
  <c r="I1289" i="35"/>
  <c r="O1289" i="35" s="1"/>
  <c r="I1358" i="35"/>
  <c r="O1358" i="35" s="1"/>
  <c r="M1289" i="35"/>
  <c r="N1289" i="35" s="1"/>
  <c r="M1358" i="35"/>
  <c r="N1358" i="35" s="1"/>
  <c r="M680" i="35"/>
  <c r="N680" i="35" s="1"/>
  <c r="M734" i="35"/>
  <c r="N734" i="35" s="1"/>
  <c r="I1333" i="35"/>
  <c r="O1333" i="35" s="1"/>
  <c r="I1343" i="35"/>
  <c r="O1343" i="35" s="1"/>
  <c r="M1333" i="35"/>
  <c r="N1333" i="35" s="1"/>
  <c r="M1343" i="35"/>
  <c r="N1343" i="35" s="1"/>
  <c r="I972" i="35"/>
  <c r="O972" i="35" s="1"/>
  <c r="H170" i="33" s="1"/>
  <c r="I1342" i="35"/>
  <c r="O1342" i="35" s="1"/>
  <c r="M972" i="35"/>
  <c r="N972" i="35" s="1"/>
  <c r="M1342" i="35"/>
  <c r="N1342" i="35" s="1"/>
  <c r="M958" i="35"/>
  <c r="N958" i="35" s="1"/>
  <c r="I691" i="35"/>
  <c r="O691" i="35" s="1"/>
  <c r="H181" i="33" s="1"/>
  <c r="I1341" i="35"/>
  <c r="O1341" i="35" s="1"/>
  <c r="M691" i="35"/>
  <c r="N691" i="35" s="1"/>
  <c r="M1341" i="35"/>
  <c r="N1341" i="35" s="1"/>
  <c r="M684" i="35"/>
  <c r="N684" i="35" s="1"/>
  <c r="O1336" i="35"/>
  <c r="N1336" i="35"/>
  <c r="R104" i="33"/>
  <c r="M1326" i="35"/>
  <c r="N1326" i="35" s="1"/>
  <c r="M1329" i="35"/>
  <c r="N1329" i="35" s="1"/>
  <c r="I1326" i="35"/>
  <c r="O1326" i="35" s="1"/>
  <c r="I1329" i="35"/>
  <c r="O1329" i="35" s="1"/>
  <c r="I1298" i="35"/>
  <c r="O1298" i="35" s="1"/>
  <c r="I1328" i="35"/>
  <c r="O1328" i="35" s="1"/>
  <c r="M1298" i="35"/>
  <c r="N1298" i="35" s="1"/>
  <c r="M1328" i="35"/>
  <c r="N1328" i="35" s="1"/>
  <c r="M872" i="35"/>
  <c r="N872" i="35" s="1"/>
  <c r="I684" i="35"/>
  <c r="O684" i="35" s="1"/>
  <c r="I679" i="35"/>
  <c r="O679" i="35" s="1"/>
  <c r="H75" i="33" s="1"/>
  <c r="J75" i="33" s="1"/>
  <c r="M699" i="35"/>
  <c r="N699" i="35" s="1"/>
  <c r="M974" i="35"/>
  <c r="N974" i="35" s="1"/>
  <c r="M973" i="35"/>
  <c r="N973" i="35" s="1"/>
  <c r="M975" i="35"/>
  <c r="N975" i="35" s="1"/>
  <c r="I699" i="35"/>
  <c r="O699" i="35" s="1"/>
  <c r="I1242" i="35"/>
  <c r="O1242" i="35" s="1"/>
  <c r="I1315" i="35"/>
  <c r="O1315" i="35" s="1"/>
  <c r="M1242" i="35"/>
  <c r="N1242" i="35" s="1"/>
  <c r="M1315" i="35"/>
  <c r="N1315" i="35" s="1"/>
  <c r="M1273" i="35"/>
  <c r="N1273" i="35" s="1"/>
  <c r="M1312" i="35"/>
  <c r="N1312" i="35" s="1"/>
  <c r="I1273" i="35"/>
  <c r="O1273" i="35" s="1"/>
  <c r="I1312" i="35"/>
  <c r="O1312" i="35" s="1"/>
  <c r="M1308" i="35"/>
  <c r="N1308" i="35" s="1"/>
  <c r="M1309" i="35"/>
  <c r="N1309" i="35" s="1"/>
  <c r="I1308" i="35"/>
  <c r="O1308" i="35" s="1"/>
  <c r="I1309" i="35"/>
  <c r="O1309" i="35" s="1"/>
  <c r="M1230" i="35"/>
  <c r="N1230" i="35" s="1"/>
  <c r="M1306" i="35"/>
  <c r="N1306" i="35" s="1"/>
  <c r="I1230" i="35"/>
  <c r="O1230" i="35" s="1"/>
  <c r="I1306" i="35"/>
  <c r="O1306" i="35" s="1"/>
  <c r="M1223" i="35"/>
  <c r="N1223" i="35" s="1"/>
  <c r="M1304" i="35"/>
  <c r="N1304" i="35" s="1"/>
  <c r="I1223" i="35"/>
  <c r="O1223" i="35" s="1"/>
  <c r="I1304" i="35"/>
  <c r="O1304" i="35" s="1"/>
  <c r="I1180" i="35"/>
  <c r="O1180" i="35" s="1"/>
  <c r="I1299" i="35"/>
  <c r="O1299" i="35" s="1"/>
  <c r="M1180" i="35"/>
  <c r="N1180" i="35" s="1"/>
  <c r="M1299" i="35"/>
  <c r="N1299" i="35" s="1"/>
  <c r="I1290" i="35"/>
  <c r="O1290" i="35" s="1"/>
  <c r="I1296" i="35"/>
  <c r="O1296" i="35" s="1"/>
  <c r="M1290" i="35"/>
  <c r="N1290" i="35" s="1"/>
  <c r="M1296" i="35"/>
  <c r="N1296" i="35" s="1"/>
  <c r="M690" i="35"/>
  <c r="N690" i="35" s="1"/>
  <c r="M663" i="35"/>
  <c r="N663" i="35" s="1"/>
  <c r="M1293" i="35"/>
  <c r="N1293" i="35" s="1"/>
  <c r="I663" i="35"/>
  <c r="O663" i="35" s="1"/>
  <c r="H103" i="33" s="1"/>
  <c r="S103" i="33" s="1"/>
  <c r="I1293" i="35"/>
  <c r="O1293" i="35" s="1"/>
  <c r="M1198" i="35"/>
  <c r="N1198" i="35" s="1"/>
  <c r="M1292" i="35"/>
  <c r="N1292" i="35" s="1"/>
  <c r="I1198" i="35"/>
  <c r="O1198" i="35" s="1"/>
  <c r="I1292" i="35"/>
  <c r="O1292" i="35" s="1"/>
  <c r="I1220" i="35"/>
  <c r="O1220" i="35" s="1"/>
  <c r="I1286" i="35"/>
  <c r="O1286" i="35" s="1"/>
  <c r="M1220" i="35"/>
  <c r="N1220" i="35" s="1"/>
  <c r="M1286" i="35"/>
  <c r="N1286" i="35" s="1"/>
  <c r="O1285" i="35"/>
  <c r="N1285" i="35"/>
  <c r="M897" i="35"/>
  <c r="N897" i="35" s="1"/>
  <c r="I973" i="35"/>
  <c r="O973" i="35" s="1"/>
  <c r="I975" i="35"/>
  <c r="O975" i="35" s="1"/>
  <c r="I1206" i="35"/>
  <c r="O1206" i="35" s="1"/>
  <c r="I1267" i="35"/>
  <c r="O1267" i="35" s="1"/>
  <c r="M1206" i="35"/>
  <c r="N1206" i="35" s="1"/>
  <c r="M1267" i="35"/>
  <c r="N1267" i="35" s="1"/>
  <c r="I974" i="35"/>
  <c r="O974" i="35" s="1"/>
  <c r="I872" i="35"/>
  <c r="O872" i="35" s="1"/>
  <c r="H102" i="33" s="1"/>
  <c r="S102" i="33" s="1"/>
  <c r="M1118" i="35"/>
  <c r="N1118" i="35" s="1"/>
  <c r="M1265" i="35"/>
  <c r="N1265" i="35" s="1"/>
  <c r="I1118" i="35"/>
  <c r="O1118" i="35" s="1"/>
  <c r="I1265" i="35"/>
  <c r="O1265" i="35" s="1"/>
  <c r="M951" i="35"/>
  <c r="N951" i="35" s="1"/>
  <c r="M914" i="35"/>
  <c r="N914" i="35" s="1"/>
  <c r="M685" i="35"/>
  <c r="N685" i="35" s="1"/>
  <c r="M695" i="35"/>
  <c r="N695" i="35" s="1"/>
  <c r="I790" i="35"/>
  <c r="O790" i="35" s="1"/>
  <c r="M990" i="35"/>
  <c r="N990" i="35" s="1"/>
  <c r="M948" i="35"/>
  <c r="N948" i="35" s="1"/>
  <c r="I751" i="35"/>
  <c r="O751" i="35" s="1"/>
  <c r="M751" i="35"/>
  <c r="N751" i="35" s="1"/>
  <c r="I949" i="35"/>
  <c r="O949" i="35" s="1"/>
  <c r="M1032" i="35"/>
  <c r="N1032" i="35" s="1"/>
  <c r="I695" i="35"/>
  <c r="O695" i="35" s="1"/>
  <c r="M693" i="35"/>
  <c r="N693" i="35" s="1"/>
  <c r="M769" i="35"/>
  <c r="N769" i="35" s="1"/>
  <c r="M1247" i="35"/>
  <c r="N1247" i="35" s="1"/>
  <c r="I769" i="35"/>
  <c r="O769" i="35" s="1"/>
  <c r="H123" i="33" s="1"/>
  <c r="I1247" i="35"/>
  <c r="O1247" i="35" s="1"/>
  <c r="I914" i="35"/>
  <c r="O914" i="35" s="1"/>
  <c r="I685" i="35"/>
  <c r="O685" i="35" s="1"/>
  <c r="H48" i="33" s="1"/>
  <c r="S48" i="33" s="1"/>
  <c r="I990" i="35"/>
  <c r="O990" i="35" s="1"/>
  <c r="I830" i="35"/>
  <c r="O830" i="35" s="1"/>
  <c r="M822" i="35"/>
  <c r="N822" i="35" s="1"/>
  <c r="M835" i="35"/>
  <c r="N835" i="35" s="1"/>
  <c r="I720" i="35"/>
  <c r="O720" i="35" s="1"/>
  <c r="H173" i="33" s="1"/>
  <c r="J173" i="33" s="1"/>
  <c r="I1237" i="35"/>
  <c r="O1237" i="35" s="1"/>
  <c r="I1241" i="35"/>
  <c r="O1241" i="35" s="1"/>
  <c r="M1237" i="35"/>
  <c r="N1237" i="35" s="1"/>
  <c r="M1241" i="35"/>
  <c r="N1241" i="35" s="1"/>
  <c r="M800" i="35"/>
  <c r="N800" i="35" s="1"/>
  <c r="M1017" i="35"/>
  <c r="N1017" i="35" s="1"/>
  <c r="M852" i="35"/>
  <c r="N852" i="35" s="1"/>
  <c r="M1010" i="35"/>
  <c r="N1010" i="35" s="1"/>
  <c r="M860" i="35"/>
  <c r="N860" i="35" s="1"/>
  <c r="I908" i="35"/>
  <c r="O908" i="35" s="1"/>
  <c r="I1164" i="35"/>
  <c r="O1164" i="35" s="1"/>
  <c r="I1235" i="35"/>
  <c r="O1235" i="35" s="1"/>
  <c r="M1164" i="35"/>
  <c r="N1164" i="35" s="1"/>
  <c r="M1235" i="35"/>
  <c r="N1235" i="35" s="1"/>
  <c r="N1227" i="35"/>
  <c r="I1008" i="35"/>
  <c r="O1008" i="35" s="1"/>
  <c r="I860" i="35"/>
  <c r="O860" i="35" s="1"/>
  <c r="I1010" i="35"/>
  <c r="O1010" i="35" s="1"/>
  <c r="I835" i="35"/>
  <c r="O835" i="35" s="1"/>
  <c r="I852" i="35"/>
  <c r="O852" i="35" s="1"/>
  <c r="O1227" i="35"/>
  <c r="M830" i="35"/>
  <c r="N830" i="35" s="1"/>
  <c r="M720" i="35"/>
  <c r="N720" i="35" s="1"/>
  <c r="M1159" i="35"/>
  <c r="N1159" i="35" s="1"/>
  <c r="M1226" i="35"/>
  <c r="N1226" i="35" s="1"/>
  <c r="I1159" i="35"/>
  <c r="O1159" i="35" s="1"/>
  <c r="I1226" i="35"/>
  <c r="O1226" i="35" s="1"/>
  <c r="M818" i="35"/>
  <c r="N818" i="35" s="1"/>
  <c r="M992" i="35"/>
  <c r="N992" i="35" s="1"/>
  <c r="I1032" i="35"/>
  <c r="O1032" i="35" s="1"/>
  <c r="I822" i="35"/>
  <c r="O822" i="35" s="1"/>
  <c r="I800" i="35"/>
  <c r="O800" i="35" s="1"/>
  <c r="H164" i="33" s="1"/>
  <c r="J164" i="33" s="1"/>
  <c r="I1017" i="35"/>
  <c r="O1017" i="35" s="1"/>
  <c r="M815" i="35"/>
  <c r="N815" i="35" s="1"/>
  <c r="I1131" i="35"/>
  <c r="O1131" i="35" s="1"/>
  <c r="I1216" i="35"/>
  <c r="O1216" i="35" s="1"/>
  <c r="M1131" i="35"/>
  <c r="N1131" i="35" s="1"/>
  <c r="M1216" i="35"/>
  <c r="N1216" i="35" s="1"/>
  <c r="M750" i="35"/>
  <c r="N750" i="35" s="1"/>
  <c r="I815" i="35"/>
  <c r="O815" i="35" s="1"/>
  <c r="H549" i="33" s="1"/>
  <c r="J549" i="33" s="1"/>
  <c r="M949" i="35"/>
  <c r="N949" i="35" s="1"/>
  <c r="I818" i="35"/>
  <c r="O818" i="35" s="1"/>
  <c r="I771" i="35"/>
  <c r="O771" i="35" s="1"/>
  <c r="I948" i="35"/>
  <c r="O948" i="35" s="1"/>
  <c r="I992" i="35"/>
  <c r="O992" i="35" s="1"/>
  <c r="M828" i="35"/>
  <c r="N828" i="35" s="1"/>
  <c r="I1009" i="35"/>
  <c r="O1009" i="35" s="1"/>
  <c r="I750" i="35"/>
  <c r="O750" i="35" s="1"/>
  <c r="I826" i="35"/>
  <c r="O826" i="35" s="1"/>
  <c r="I741" i="35"/>
  <c r="O741" i="35" s="1"/>
  <c r="H150" i="33" s="1"/>
  <c r="J150" i="33" s="1"/>
  <c r="I788" i="35"/>
  <c r="O788" i="35" s="1"/>
  <c r="H544" i="33" s="1"/>
  <c r="J544" i="33" s="1"/>
  <c r="M788" i="35"/>
  <c r="N788" i="35" s="1"/>
  <c r="I1020" i="35"/>
  <c r="O1020" i="35" s="1"/>
  <c r="M1008" i="35"/>
  <c r="N1008" i="35" s="1"/>
  <c r="I692" i="35"/>
  <c r="O692" i="35" s="1"/>
  <c r="H514" i="33" s="1"/>
  <c r="R360" i="6"/>
  <c r="O1199" i="35"/>
  <c r="N1199" i="35"/>
  <c r="I828" i="35"/>
  <c r="O828" i="35" s="1"/>
  <c r="M826" i="35"/>
  <c r="N826" i="35" s="1"/>
  <c r="M741" i="35"/>
  <c r="N741" i="35" s="1"/>
  <c r="I846" i="35"/>
  <c r="O846" i="35" s="1"/>
  <c r="I882" i="35"/>
  <c r="O882" i="35" s="1"/>
  <c r="M935" i="35"/>
  <c r="N935" i="35" s="1"/>
  <c r="M1028" i="35"/>
  <c r="N1028" i="35" s="1"/>
  <c r="M1188" i="35"/>
  <c r="N1188" i="35" s="1"/>
  <c r="I1028" i="35"/>
  <c r="O1028" i="35" s="1"/>
  <c r="I1188" i="35"/>
  <c r="O1188" i="35" s="1"/>
  <c r="I1001" i="35"/>
  <c r="O1001" i="35" s="1"/>
  <c r="I939" i="35"/>
  <c r="O939" i="35" s="1"/>
  <c r="I880" i="35"/>
  <c r="O880" i="35" s="1"/>
  <c r="H555" i="33" s="1"/>
  <c r="I935" i="35"/>
  <c r="O935" i="35" s="1"/>
  <c r="M786" i="35"/>
  <c r="N786" i="35" s="1"/>
  <c r="M794" i="35"/>
  <c r="N794" i="35" s="1"/>
  <c r="R391" i="6"/>
  <c r="I1078" i="35"/>
  <c r="O1078" i="35" s="1"/>
  <c r="I1179" i="35"/>
  <c r="O1179" i="35" s="1"/>
  <c r="I951" i="35"/>
  <c r="O951" i="35" s="1"/>
  <c r="M1078" i="35"/>
  <c r="N1078" i="35" s="1"/>
  <c r="M1179" i="35"/>
  <c r="N1179" i="35" s="1"/>
  <c r="I693" i="35"/>
  <c r="O693" i="35" s="1"/>
  <c r="H205" i="33" s="1"/>
  <c r="J205" i="33" s="1"/>
  <c r="M1165" i="35"/>
  <c r="N1165" i="35" s="1"/>
  <c r="M1171" i="35"/>
  <c r="N1171" i="35" s="1"/>
  <c r="I1165" i="35"/>
  <c r="O1165" i="35" s="1"/>
  <c r="I1171" i="35"/>
  <c r="O1171" i="35" s="1"/>
  <c r="I1166" i="35"/>
  <c r="O1166" i="35" s="1"/>
  <c r="I1170" i="35"/>
  <c r="O1170" i="35" s="1"/>
  <c r="M1166" i="35"/>
  <c r="N1166" i="35" s="1"/>
  <c r="M1170" i="35"/>
  <c r="N1170" i="35" s="1"/>
  <c r="O1169" i="35"/>
  <c r="M1009" i="35"/>
  <c r="N1009" i="35" s="1"/>
  <c r="M692" i="35"/>
  <c r="N692" i="35" s="1"/>
  <c r="N1169" i="35"/>
  <c r="M1001" i="35"/>
  <c r="N1001" i="35" s="1"/>
  <c r="I1051" i="35"/>
  <c r="O1051" i="35" s="1"/>
  <c r="I1163" i="35"/>
  <c r="O1163" i="35" s="1"/>
  <c r="M1051" i="35"/>
  <c r="N1051" i="35" s="1"/>
  <c r="M1163" i="35"/>
  <c r="N1163" i="35" s="1"/>
  <c r="I814" i="35"/>
  <c r="O814" i="35" s="1"/>
  <c r="I1162" i="35"/>
  <c r="O1162" i="35" s="1"/>
  <c r="M814" i="35"/>
  <c r="N814" i="35" s="1"/>
  <c r="M1162" i="35"/>
  <c r="N1162" i="35" s="1"/>
  <c r="I811" i="35"/>
  <c r="O811" i="35" s="1"/>
  <c r="I1161" i="35"/>
  <c r="O1161" i="35" s="1"/>
  <c r="M811" i="35"/>
  <c r="N811" i="35" s="1"/>
  <c r="M1161" i="35"/>
  <c r="N1161" i="35" s="1"/>
  <c r="M1065" i="35"/>
  <c r="N1065" i="35" s="1"/>
  <c r="M1160" i="35"/>
  <c r="N1160" i="35" s="1"/>
  <c r="I1065" i="35"/>
  <c r="O1065" i="35" s="1"/>
  <c r="I1160" i="35"/>
  <c r="O1160" i="35" s="1"/>
  <c r="I812" i="35"/>
  <c r="O812" i="35" s="1"/>
  <c r="H547" i="33" s="1"/>
  <c r="S547" i="33" s="1"/>
  <c r="M1020" i="35"/>
  <c r="N1020" i="35" s="1"/>
  <c r="I764" i="35"/>
  <c r="O764" i="35" s="1"/>
  <c r="H542" i="33" s="1"/>
  <c r="I1158" i="35"/>
  <c r="O1158" i="35" s="1"/>
  <c r="M764" i="35"/>
  <c r="N764" i="35" s="1"/>
  <c r="M1158" i="35"/>
  <c r="N1158" i="35" s="1"/>
  <c r="I1064" i="35"/>
  <c r="O1064" i="35" s="1"/>
  <c r="I1157" i="35"/>
  <c r="O1157" i="35" s="1"/>
  <c r="M1064" i="35"/>
  <c r="N1064" i="35" s="1"/>
  <c r="M1157" i="35"/>
  <c r="N1157" i="35" s="1"/>
  <c r="M882" i="35"/>
  <c r="N882" i="35" s="1"/>
  <c r="M688" i="35"/>
  <c r="N688" i="35" s="1"/>
  <c r="M939" i="35"/>
  <c r="N939" i="35" s="1"/>
  <c r="M937" i="35"/>
  <c r="N937" i="35" s="1"/>
  <c r="M946" i="35"/>
  <c r="N946" i="35" s="1"/>
  <c r="I1087" i="35"/>
  <c r="O1087" i="35" s="1"/>
  <c r="I1151" i="35"/>
  <c r="O1151" i="35" s="1"/>
  <c r="M1087" i="35"/>
  <c r="N1087" i="35" s="1"/>
  <c r="M1151" i="35"/>
  <c r="N1151" i="35" s="1"/>
  <c r="H176" i="33"/>
  <c r="P1040" i="35"/>
  <c r="I176" i="33" s="1"/>
  <c r="P1150" i="35"/>
  <c r="I1126" i="35"/>
  <c r="O1126" i="35" s="1"/>
  <c r="I1149" i="35"/>
  <c r="O1149" i="35" s="1"/>
  <c r="M1126" i="35"/>
  <c r="N1126" i="35" s="1"/>
  <c r="M1149" i="35"/>
  <c r="N1149" i="35" s="1"/>
  <c r="N310" i="6"/>
  <c r="P310" i="6" s="1"/>
  <c r="G29" i="36" s="1"/>
  <c r="I29" i="36" s="1"/>
  <c r="N391" i="6"/>
  <c r="P391" i="6" s="1"/>
  <c r="O345" i="6"/>
  <c r="Q345" i="6" s="1"/>
  <c r="O391" i="6"/>
  <c r="Q391" i="6" s="1"/>
  <c r="Q340" i="6"/>
  <c r="T363" i="6"/>
  <c r="D22" i="36" s="1"/>
  <c r="M1019" i="35"/>
  <c r="N1019" i="35" s="1"/>
  <c r="M846" i="35"/>
  <c r="N846" i="35" s="1"/>
  <c r="I1019" i="35"/>
  <c r="O1019" i="35" s="1"/>
  <c r="I937" i="35"/>
  <c r="O937" i="35" s="1"/>
  <c r="M879" i="35"/>
  <c r="N879" i="35" s="1"/>
  <c r="I879" i="35"/>
  <c r="O879" i="35" s="1"/>
  <c r="I705" i="35"/>
  <c r="O705" i="35" s="1"/>
  <c r="H85" i="33" s="1"/>
  <c r="S85" i="33" s="1"/>
  <c r="I723" i="35"/>
  <c r="O723" i="35" s="1"/>
  <c r="H531" i="33" s="1"/>
  <c r="I1135" i="35"/>
  <c r="O1135" i="35" s="1"/>
  <c r="M723" i="35"/>
  <c r="N723" i="35" s="1"/>
  <c r="M1135" i="35"/>
  <c r="N1135" i="35" s="1"/>
  <c r="I850" i="35"/>
  <c r="O850" i="35" s="1"/>
  <c r="I1133" i="35"/>
  <c r="O1133" i="35" s="1"/>
  <c r="M850" i="35"/>
  <c r="N850" i="35" s="1"/>
  <c r="M1133" i="35"/>
  <c r="N1133" i="35" s="1"/>
  <c r="M812" i="35"/>
  <c r="N812" i="35" s="1"/>
  <c r="M877" i="35"/>
  <c r="N877" i="35" s="1"/>
  <c r="O1125" i="35"/>
  <c r="N1125" i="35"/>
  <c r="P1041" i="35"/>
  <c r="I564" i="33" s="1"/>
  <c r="P1120" i="35"/>
  <c r="J564" i="33"/>
  <c r="K564" i="33"/>
  <c r="S564" i="33"/>
  <c r="M790" i="35"/>
  <c r="N790" i="35" s="1"/>
  <c r="M908" i="35"/>
  <c r="N908" i="35" s="1"/>
  <c r="M771" i="35"/>
  <c r="N771" i="35" s="1"/>
  <c r="O297" i="6"/>
  <c r="Q297" i="6" s="1"/>
  <c r="R342" i="6"/>
  <c r="R337" i="6"/>
  <c r="P353" i="6"/>
  <c r="R382" i="6"/>
  <c r="R373" i="6"/>
  <c r="F40" i="36"/>
  <c r="R374" i="6"/>
  <c r="Q374" i="6"/>
  <c r="R353" i="6"/>
  <c r="M327" i="6"/>
  <c r="R327" i="6" s="1"/>
  <c r="P374" i="6"/>
  <c r="O350" i="6"/>
  <c r="R381" i="6"/>
  <c r="N255" i="6"/>
  <c r="P255" i="6" s="1"/>
  <c r="G108" i="36" s="1"/>
  <c r="I108" i="36" s="1"/>
  <c r="O310" i="6"/>
  <c r="Q310" i="6" s="1"/>
  <c r="O382" i="6"/>
  <c r="Q382" i="6" s="1"/>
  <c r="O375" i="6"/>
  <c r="Q375" i="6" s="1"/>
  <c r="O373" i="6"/>
  <c r="Q373" i="6" s="1"/>
  <c r="O321" i="6"/>
  <c r="Q321" i="6" s="1"/>
  <c r="O286" i="6"/>
  <c r="Q286" i="6" s="1"/>
  <c r="O381" i="6"/>
  <c r="Q381" i="6" s="1"/>
  <c r="R375" i="6"/>
  <c r="N297" i="6"/>
  <c r="P297" i="6" s="1"/>
  <c r="N375" i="6"/>
  <c r="P375" i="6" s="1"/>
  <c r="N382" i="6"/>
  <c r="P382" i="6" s="1"/>
  <c r="N373" i="6"/>
  <c r="P373" i="6" s="1"/>
  <c r="N286" i="6"/>
  <c r="P286" i="6" s="1"/>
  <c r="N381" i="6"/>
  <c r="P381" i="6" s="1"/>
  <c r="N324" i="6"/>
  <c r="P324" i="6" s="1"/>
  <c r="G65" i="36" s="1"/>
  <c r="I65" i="36" s="1"/>
  <c r="N360" i="6"/>
  <c r="P360" i="6" s="1"/>
  <c r="O324" i="6"/>
  <c r="Q324" i="6" s="1"/>
  <c r="O360" i="6"/>
  <c r="Q360" i="6" s="1"/>
  <c r="M967" i="35"/>
  <c r="N967" i="35" s="1"/>
  <c r="M1110" i="35"/>
  <c r="N1110" i="35" s="1"/>
  <c r="I967" i="35"/>
  <c r="O967" i="35" s="1"/>
  <c r="I1110" i="35"/>
  <c r="O1110" i="35" s="1"/>
  <c r="I956" i="35"/>
  <c r="O956" i="35" s="1"/>
  <c r="I1109" i="35"/>
  <c r="O1109" i="35" s="1"/>
  <c r="M956" i="35"/>
  <c r="N956" i="35" s="1"/>
  <c r="M1109" i="35"/>
  <c r="N1109" i="35" s="1"/>
  <c r="I793" i="35"/>
  <c r="O793" i="35" s="1"/>
  <c r="H65" i="33" s="1"/>
  <c r="S65" i="33" s="1"/>
  <c r="I803" i="35"/>
  <c r="O803" i="35" s="1"/>
  <c r="M793" i="35"/>
  <c r="N793" i="35" s="1"/>
  <c r="I1002" i="35"/>
  <c r="O1002" i="35" s="1"/>
  <c r="I824" i="35"/>
  <c r="O824" i="35" s="1"/>
  <c r="M884" i="35"/>
  <c r="N884" i="35" s="1"/>
  <c r="M803" i="35"/>
  <c r="N803" i="35" s="1"/>
  <c r="M1002" i="35"/>
  <c r="N1002" i="35" s="1"/>
  <c r="I837" i="35"/>
  <c r="O837" i="35" s="1"/>
  <c r="I884" i="35"/>
  <c r="O884" i="35" s="1"/>
  <c r="I877" i="35"/>
  <c r="O877" i="35" s="1"/>
  <c r="I735" i="35"/>
  <c r="O735" i="35" s="1"/>
  <c r="I1097" i="35"/>
  <c r="O1097" i="35" s="1"/>
  <c r="M735" i="35"/>
  <c r="N735" i="35" s="1"/>
  <c r="M1097" i="35"/>
  <c r="N1097" i="35" s="1"/>
  <c r="M1091" i="35"/>
  <c r="N1091" i="35" s="1"/>
  <c r="M1095" i="35"/>
  <c r="N1095" i="35" s="1"/>
  <c r="I1091" i="35"/>
  <c r="O1091" i="35" s="1"/>
  <c r="I1095" i="35"/>
  <c r="O1095" i="35" s="1"/>
  <c r="I874" i="35"/>
  <c r="O874" i="35" s="1"/>
  <c r="H554" i="33" s="1"/>
  <c r="J554" i="33" s="1"/>
  <c r="M875" i="35"/>
  <c r="N875" i="35" s="1"/>
  <c r="I794" i="35"/>
  <c r="O794" i="35" s="1"/>
  <c r="M891" i="35"/>
  <c r="N891" i="35" s="1"/>
  <c r="P1089" i="35"/>
  <c r="I786" i="35"/>
  <c r="O786" i="35" s="1"/>
  <c r="H118" i="33" s="1"/>
  <c r="I1037" i="35"/>
  <c r="O1037" i="35" s="1"/>
  <c r="H563" i="33" s="1"/>
  <c r="I1086" i="35"/>
  <c r="O1086" i="35" s="1"/>
  <c r="M1037" i="35"/>
  <c r="N1037" i="35" s="1"/>
  <c r="M1086" i="35"/>
  <c r="N1086" i="35" s="1"/>
  <c r="M837" i="35"/>
  <c r="N837" i="35" s="1"/>
  <c r="I995" i="35"/>
  <c r="O995" i="35" s="1"/>
  <c r="I1072" i="35"/>
  <c r="O1072" i="35" s="1"/>
  <c r="M995" i="35"/>
  <c r="N995" i="35" s="1"/>
  <c r="M1072" i="35"/>
  <c r="N1072" i="35" s="1"/>
  <c r="R336" i="6"/>
  <c r="M874" i="35"/>
  <c r="N874" i="35" s="1"/>
  <c r="O1059" i="35"/>
  <c r="N1059" i="35"/>
  <c r="P1039" i="35"/>
  <c r="I981" i="35"/>
  <c r="O981" i="35" s="1"/>
  <c r="H22" i="33" s="1"/>
  <c r="I1057" i="35"/>
  <c r="O1057" i="35" s="1"/>
  <c r="M981" i="35"/>
  <c r="N981" i="35" s="1"/>
  <c r="M1057" i="35"/>
  <c r="N1057" i="35" s="1"/>
  <c r="I994" i="35"/>
  <c r="O994" i="35" s="1"/>
  <c r="H558" i="33" s="1"/>
  <c r="I1050" i="35"/>
  <c r="O1050" i="35" s="1"/>
  <c r="M994" i="35"/>
  <c r="N994" i="35" s="1"/>
  <c r="M1050" i="35"/>
  <c r="N1050" i="35" s="1"/>
  <c r="M705" i="35"/>
  <c r="N705" i="35" s="1"/>
  <c r="R346" i="6"/>
  <c r="AA494" i="31"/>
  <c r="AA526" i="31"/>
  <c r="AA525" i="31"/>
  <c r="AA524" i="31"/>
  <c r="AA493" i="31"/>
  <c r="N562" i="33" s="1"/>
  <c r="R562" i="33" s="1"/>
  <c r="R259" i="6"/>
  <c r="H13" i="36" s="1"/>
  <c r="R296" i="6"/>
  <c r="H99" i="36" s="1"/>
  <c r="P332" i="6"/>
  <c r="G40" i="36" s="1"/>
  <c r="I40" i="36" s="1"/>
  <c r="R297" i="6"/>
  <c r="H105" i="36" s="1"/>
  <c r="R313" i="6"/>
  <c r="H101" i="36" s="1"/>
  <c r="AA522" i="31"/>
  <c r="N561" i="33" s="1"/>
  <c r="R561" i="33" s="1"/>
  <c r="AA497" i="31"/>
  <c r="AA520" i="31"/>
  <c r="AA532" i="31"/>
  <c r="AA519" i="31"/>
  <c r="AA518" i="31"/>
  <c r="AA517" i="31"/>
  <c r="AA516" i="31"/>
  <c r="M556" i="33"/>
  <c r="AA515" i="31"/>
  <c r="R333" i="6"/>
  <c r="H62" i="36" s="1"/>
  <c r="P333" i="6"/>
  <c r="G62" i="36" s="1"/>
  <c r="I62" i="36" s="1"/>
  <c r="Q343" i="6"/>
  <c r="P296" i="6"/>
  <c r="G99" i="36" s="1"/>
  <c r="I99" i="36" s="1"/>
  <c r="AA514" i="31"/>
  <c r="AA513" i="31"/>
  <c r="AA510" i="31"/>
  <c r="AA511" i="31"/>
  <c r="AA512" i="31"/>
  <c r="AA509" i="31"/>
  <c r="AA508" i="31"/>
  <c r="AA507" i="31"/>
  <c r="AA506" i="31"/>
  <c r="AA505" i="31"/>
  <c r="AA504" i="31"/>
  <c r="AA502" i="31"/>
  <c r="AA503" i="31"/>
  <c r="Q353" i="6"/>
  <c r="P317" i="6"/>
  <c r="G25" i="36" s="1"/>
  <c r="I25" i="36" s="1"/>
  <c r="AA501" i="31"/>
  <c r="AA777" i="31"/>
  <c r="AA499" i="31"/>
  <c r="AA498" i="31"/>
  <c r="AA479" i="31"/>
  <c r="AA478" i="31"/>
  <c r="N559" i="33" s="1"/>
  <c r="R559" i="33" s="1"/>
  <c r="AA488" i="31"/>
  <c r="Q303" i="6"/>
  <c r="P301" i="6"/>
  <c r="R277" i="6"/>
  <c r="R301" i="6"/>
  <c r="Q349" i="6"/>
  <c r="AA480" i="31"/>
  <c r="AA487" i="31"/>
  <c r="N996" i="35"/>
  <c r="AA486" i="31"/>
  <c r="AA483" i="31"/>
  <c r="O947" i="35"/>
  <c r="O940" i="35"/>
  <c r="O996" i="35"/>
  <c r="N940" i="35"/>
  <c r="N947" i="35"/>
  <c r="N993" i="35"/>
  <c r="O993" i="35"/>
  <c r="O991" i="35"/>
  <c r="AA491" i="31"/>
  <c r="AA489" i="31"/>
  <c r="AA475" i="31"/>
  <c r="AA477" i="31"/>
  <c r="AA485" i="31"/>
  <c r="AA474" i="31"/>
  <c r="AA471" i="31"/>
  <c r="N557" i="33" s="1"/>
  <c r="R557" i="33" s="1"/>
  <c r="AA484" i="31"/>
  <c r="O755" i="35"/>
  <c r="H541" i="33" s="1"/>
  <c r="S541" i="33" s="1"/>
  <c r="N867" i="35"/>
  <c r="AA492" i="31"/>
  <c r="AA490" i="31"/>
  <c r="AA481" i="31"/>
  <c r="N871" i="35"/>
  <c r="O708" i="35"/>
  <c r="H527" i="33" s="1"/>
  <c r="S527" i="33" s="1"/>
  <c r="O871" i="35"/>
  <c r="H553" i="33" s="1"/>
  <c r="S553" i="33" s="1"/>
  <c r="P343" i="6"/>
  <c r="P316" i="6"/>
  <c r="Q338" i="6"/>
  <c r="R310" i="6"/>
  <c r="H29" i="36" s="1"/>
  <c r="Q342" i="6"/>
  <c r="N277" i="6"/>
  <c r="P277" i="6" s="1"/>
  <c r="Q333" i="6"/>
  <c r="N253" i="6"/>
  <c r="P253" i="6" s="1"/>
  <c r="G107" i="36" s="1"/>
  <c r="I107" i="36" s="1"/>
  <c r="N264" i="6"/>
  <c r="P264" i="6" s="1"/>
  <c r="AA465" i="31"/>
  <c r="AA469" i="31"/>
  <c r="AA468" i="31"/>
  <c r="AA495" i="31"/>
  <c r="AA476" i="31"/>
  <c r="AA464" i="31"/>
  <c r="O820" i="35"/>
  <c r="H550" i="33" s="1"/>
  <c r="S550" i="33" s="1"/>
  <c r="O957" i="35"/>
  <c r="O955" i="35"/>
  <c r="N957" i="35"/>
  <c r="N820" i="35"/>
  <c r="N954" i="35"/>
  <c r="O954" i="35"/>
  <c r="N955" i="35"/>
  <c r="N755" i="35"/>
  <c r="N810" i="35"/>
  <c r="O810" i="35"/>
  <c r="H545" i="33" s="1"/>
  <c r="J545" i="33" s="1"/>
  <c r="O867" i="35"/>
  <c r="O946" i="35"/>
  <c r="N941" i="35"/>
  <c r="O941" i="35"/>
  <c r="O938" i="35"/>
  <c r="N938" i="35"/>
  <c r="O936" i="35"/>
  <c r="N936" i="35"/>
  <c r="O934" i="35"/>
  <c r="N915" i="35"/>
  <c r="N934" i="35"/>
  <c r="N930" i="35"/>
  <c r="O930" i="35"/>
  <c r="N708" i="35"/>
  <c r="O915" i="35"/>
  <c r="O907" i="35"/>
  <c r="N907" i="35"/>
  <c r="AA482" i="31"/>
  <c r="R53" i="33"/>
  <c r="B31" i="40"/>
  <c r="AA473" i="31"/>
  <c r="Q346" i="6"/>
  <c r="R287" i="6"/>
  <c r="Q317" i="6"/>
  <c r="R349" i="6"/>
  <c r="R264" i="6"/>
  <c r="R338" i="6"/>
  <c r="H103" i="36" s="1"/>
  <c r="R325" i="6"/>
  <c r="H102" i="36" s="1"/>
  <c r="R340" i="6"/>
  <c r="Q336" i="6"/>
  <c r="R335" i="6"/>
  <c r="R343" i="6"/>
  <c r="R321" i="6"/>
  <c r="I875" i="35"/>
  <c r="O875" i="35" s="1"/>
  <c r="I891" i="35"/>
  <c r="O891" i="35" s="1"/>
  <c r="AA472" i="31"/>
  <c r="N880" i="35"/>
  <c r="N834" i="35"/>
  <c r="AA671" i="31"/>
  <c r="O834" i="35"/>
  <c r="H552" i="33" s="1"/>
  <c r="J552" i="33" s="1"/>
  <c r="AA470" i="31"/>
  <c r="O876" i="35"/>
  <c r="N876" i="35"/>
  <c r="AA776" i="31"/>
  <c r="N787" i="35"/>
  <c r="AA460" i="31"/>
  <c r="AA459" i="31"/>
  <c r="AA463" i="31"/>
  <c r="O712" i="35"/>
  <c r="H529" i="33" s="1"/>
  <c r="S529" i="33" s="1"/>
  <c r="AA427" i="31"/>
  <c r="N821" i="35"/>
  <c r="O787" i="35"/>
  <c r="O821" i="35"/>
  <c r="H551" i="33" s="1"/>
  <c r="J551" i="33" s="1"/>
  <c r="R553" i="33"/>
  <c r="O870" i="35"/>
  <c r="N870" i="35"/>
  <c r="AA454" i="31"/>
  <c r="AA453" i="31"/>
  <c r="AA446" i="31"/>
  <c r="O855" i="35"/>
  <c r="H135" i="33" s="1"/>
  <c r="J135" i="33" s="1"/>
  <c r="N855" i="35"/>
  <c r="N712" i="35"/>
  <c r="N694" i="35"/>
  <c r="N342" i="6"/>
  <c r="P342" i="6" s="1"/>
  <c r="O327" i="6"/>
  <c r="N337" i="6"/>
  <c r="P337" i="6" s="1"/>
  <c r="N302" i="6"/>
  <c r="P302" i="6" s="1"/>
  <c r="O330" i="6"/>
  <c r="N336" i="6"/>
  <c r="P336" i="6" s="1"/>
  <c r="R322" i="6"/>
  <c r="N287" i="6"/>
  <c r="P287" i="6" s="1"/>
  <c r="N276" i="6"/>
  <c r="P276" i="6" s="1"/>
  <c r="P308" i="6"/>
  <c r="G14" i="36" s="1"/>
  <c r="I14" i="36" s="1"/>
  <c r="O329" i="6"/>
  <c r="N345" i="6"/>
  <c r="P345" i="6" s="1"/>
  <c r="R345" i="6"/>
  <c r="N346" i="6"/>
  <c r="P346" i="6" s="1"/>
  <c r="N349" i="6"/>
  <c r="P349" i="6" s="1"/>
  <c r="N330" i="6"/>
  <c r="P330" i="6" s="1"/>
  <c r="N338" i="6"/>
  <c r="P338" i="6" s="1"/>
  <c r="G103" i="36" s="1"/>
  <c r="I103" i="36" s="1"/>
  <c r="O337" i="6"/>
  <c r="Q337" i="6" s="1"/>
  <c r="R286" i="6"/>
  <c r="H98" i="36" s="1"/>
  <c r="R316" i="6"/>
  <c r="M329" i="6"/>
  <c r="R329" i="6" s="1"/>
  <c r="P352" i="6"/>
  <c r="M350" i="6"/>
  <c r="R350" i="6" s="1"/>
  <c r="N350" i="6"/>
  <c r="P350" i="6" s="1"/>
  <c r="Q322" i="6"/>
  <c r="Q264" i="6"/>
  <c r="M330" i="6"/>
  <c r="N327" i="6"/>
  <c r="P327" i="6" s="1"/>
  <c r="G39" i="36" s="1"/>
  <c r="I39" i="36" s="1"/>
  <c r="R262" i="6"/>
  <c r="N325" i="6"/>
  <c r="P325" i="6" s="1"/>
  <c r="G102" i="36" s="1"/>
  <c r="I102" i="36" s="1"/>
  <c r="N340" i="6"/>
  <c r="P340" i="6" s="1"/>
  <c r="R352" i="6"/>
  <c r="Q352" i="6"/>
  <c r="O839" i="35"/>
  <c r="N839" i="35"/>
  <c r="AA458" i="31"/>
  <c r="N819" i="35"/>
  <c r="N737" i="35"/>
  <c r="AA451" i="31"/>
  <c r="AA445" i="31"/>
  <c r="N719" i="35"/>
  <c r="O737" i="35"/>
  <c r="H222" i="33" s="1"/>
  <c r="J222" i="33" s="1"/>
  <c r="AA435" i="31"/>
  <c r="O819" i="35"/>
  <c r="AA775" i="31"/>
  <c r="AA456" i="31"/>
  <c r="AA455" i="31"/>
  <c r="K538" i="33"/>
  <c r="J538" i="33"/>
  <c r="O719" i="35"/>
  <c r="H530" i="33" s="1"/>
  <c r="J530" i="33" s="1"/>
  <c r="R118" i="33"/>
  <c r="B33" i="40"/>
  <c r="O774" i="35"/>
  <c r="N774" i="35"/>
  <c r="AA467" i="31"/>
  <c r="Q262" i="6"/>
  <c r="AA429" i="31"/>
  <c r="N718" i="35"/>
  <c r="J540" i="33"/>
  <c r="K540" i="33"/>
  <c r="S540" i="33"/>
  <c r="I540" i="33"/>
  <c r="O743" i="35"/>
  <c r="N745" i="35"/>
  <c r="R135" i="33"/>
  <c r="B91" i="40"/>
  <c r="O718" i="35"/>
  <c r="H528" i="33" s="1"/>
  <c r="J528" i="33" s="1"/>
  <c r="N743" i="35"/>
  <c r="O745" i="35"/>
  <c r="P329" i="6"/>
  <c r="Q277" i="6"/>
  <c r="R295" i="6"/>
  <c r="H64" i="36" s="1"/>
  <c r="P295" i="6"/>
  <c r="G64" i="36" s="1"/>
  <c r="I64" i="36" s="1"/>
  <c r="Q311" i="6"/>
  <c r="R334" i="6"/>
  <c r="Q295" i="6"/>
  <c r="Q316" i="6"/>
  <c r="Q308" i="6"/>
  <c r="Q325" i="6"/>
  <c r="R320" i="6"/>
  <c r="R276" i="6"/>
  <c r="P303" i="6"/>
  <c r="R319" i="6"/>
  <c r="R324" i="6"/>
  <c r="H65" i="36" s="1"/>
  <c r="Q320" i="6"/>
  <c r="R311" i="6"/>
  <c r="H100" i="36" s="1"/>
  <c r="R308" i="6"/>
  <c r="H14" i="36" s="1"/>
  <c r="R302" i="6"/>
  <c r="P334" i="6"/>
  <c r="R303" i="6"/>
  <c r="P311" i="6"/>
  <c r="G100" i="36" s="1"/>
  <c r="I100" i="36" s="1"/>
  <c r="P306" i="6"/>
  <c r="R306" i="6"/>
  <c r="Q334" i="6"/>
  <c r="N321" i="6"/>
  <c r="P321" i="6" s="1"/>
  <c r="Q313" i="6"/>
  <c r="Q302" i="6"/>
  <c r="N256" i="6"/>
  <c r="P256" i="6" s="1"/>
  <c r="N262" i="6"/>
  <c r="P262" i="6" s="1"/>
  <c r="N322" i="6"/>
  <c r="P322" i="6" s="1"/>
  <c r="N313" i="6"/>
  <c r="P313" i="6" s="1"/>
  <c r="G101" i="36" s="1"/>
  <c r="I101" i="36" s="1"/>
  <c r="N320" i="6"/>
  <c r="P320" i="6" s="1"/>
  <c r="N733" i="35"/>
  <c r="O733" i="35"/>
  <c r="N675" i="35"/>
  <c r="O675" i="35"/>
  <c r="H506" i="33" s="1"/>
  <c r="S506" i="33" s="1"/>
  <c r="O722" i="35"/>
  <c r="H533" i="33" s="1"/>
  <c r="N722" i="35"/>
  <c r="N697" i="35"/>
  <c r="AA11" i="31"/>
  <c r="AA462" i="31"/>
  <c r="AA450" i="31"/>
  <c r="AA449" i="31"/>
  <c r="O681" i="35"/>
  <c r="H200" i="33" s="1"/>
  <c r="J200" i="33" s="1"/>
  <c r="O680" i="35"/>
  <c r="H149" i="33" s="1"/>
  <c r="S149" i="33" s="1"/>
  <c r="N681" i="35"/>
  <c r="O697" i="35"/>
  <c r="R317" i="6"/>
  <c r="H25" i="36" s="1"/>
  <c r="B24" i="40"/>
  <c r="F24" i="40" s="1"/>
  <c r="AA448" i="31"/>
  <c r="Q287" i="6"/>
  <c r="Q306" i="6"/>
  <c r="O296" i="6"/>
  <c r="Q296" i="6" s="1"/>
  <c r="O301" i="6"/>
  <c r="Q301" i="6" s="1"/>
  <c r="AA84" i="31"/>
  <c r="Q276" i="6"/>
  <c r="AA106" i="31"/>
  <c r="AA90" i="31"/>
  <c r="AA85" i="31"/>
  <c r="AA442" i="31"/>
  <c r="AA438" i="31"/>
  <c r="Q253" i="6"/>
  <c r="Q256" i="6"/>
  <c r="AA441" i="31"/>
  <c r="AA107" i="31"/>
  <c r="AA71" i="31"/>
  <c r="AA437" i="31"/>
  <c r="AA436" i="31"/>
  <c r="AA417" i="31"/>
  <c r="S259" i="6"/>
  <c r="C13" i="36" s="1"/>
  <c r="G13" i="36"/>
  <c r="I13" i="36" s="1"/>
  <c r="R255" i="6"/>
  <c r="H108" i="36" s="1"/>
  <c r="R253" i="6"/>
  <c r="H107" i="36" s="1"/>
  <c r="Q255" i="6"/>
  <c r="R256" i="6"/>
  <c r="P2075" i="35" l="1"/>
  <c r="P2033" i="35"/>
  <c r="P2025" i="35"/>
  <c r="P1975" i="35"/>
  <c r="P1481" i="35"/>
  <c r="P2004" i="35"/>
  <c r="P2005" i="35"/>
  <c r="P1989" i="35"/>
  <c r="P1957" i="35"/>
  <c r="P1972" i="35"/>
  <c r="P1968" i="35"/>
  <c r="P1930" i="35"/>
  <c r="P1934" i="35"/>
  <c r="P1906" i="35"/>
  <c r="P1931" i="35"/>
  <c r="P1923" i="35"/>
  <c r="P1883" i="35"/>
  <c r="P1889" i="35"/>
  <c r="P1908" i="35"/>
  <c r="P1874" i="35"/>
  <c r="P1870" i="35"/>
  <c r="P1885" i="35"/>
  <c r="P1882" i="35"/>
  <c r="T443" i="6"/>
  <c r="P1797" i="35"/>
  <c r="P1846" i="35"/>
  <c r="P1784" i="35"/>
  <c r="P1816" i="35"/>
  <c r="P1813" i="35"/>
  <c r="P1770" i="35"/>
  <c r="P1819" i="35"/>
  <c r="P1809" i="35"/>
  <c r="Q441" i="6"/>
  <c r="S441" i="6" s="1"/>
  <c r="S443" i="6"/>
  <c r="P1799" i="35"/>
  <c r="P1793" i="35"/>
  <c r="P1725" i="35"/>
  <c r="T441" i="6"/>
  <c r="P1749" i="35"/>
  <c r="P1739" i="35"/>
  <c r="P1750" i="35"/>
  <c r="P1746" i="35"/>
  <c r="P1733" i="35"/>
  <c r="P1720" i="35"/>
  <c r="P1738" i="35"/>
  <c r="P1672" i="35"/>
  <c r="P1726" i="35"/>
  <c r="P1710" i="35"/>
  <c r="P1688" i="35"/>
  <c r="P1694" i="35"/>
  <c r="P1699" i="35"/>
  <c r="P1643" i="35"/>
  <c r="P1627" i="35"/>
  <c r="P1640" i="35"/>
  <c r="P1671" i="35"/>
  <c r="P1638" i="35"/>
  <c r="P1571" i="35"/>
  <c r="P1599" i="35"/>
  <c r="P1260" i="35"/>
  <c r="T398" i="6"/>
  <c r="P1609" i="35"/>
  <c r="T423" i="6"/>
  <c r="S424" i="6"/>
  <c r="P1497" i="35"/>
  <c r="S406" i="6"/>
  <c r="T422" i="6"/>
  <c r="T411" i="6"/>
  <c r="T412" i="6"/>
  <c r="P1554" i="35"/>
  <c r="P1371" i="35"/>
  <c r="P1593" i="35"/>
  <c r="P1587" i="35"/>
  <c r="S422" i="6"/>
  <c r="S400" i="6"/>
  <c r="S411" i="6"/>
  <c r="S423" i="6"/>
  <c r="S412" i="6"/>
  <c r="S398" i="6"/>
  <c r="P1567" i="35"/>
  <c r="P1552" i="35"/>
  <c r="P1485" i="35"/>
  <c r="P1548" i="35"/>
  <c r="P1493" i="35"/>
  <c r="P1509" i="35"/>
  <c r="P1505" i="35"/>
  <c r="P1479" i="35"/>
  <c r="P1504" i="35"/>
  <c r="P1466" i="35"/>
  <c r="P1484" i="35"/>
  <c r="S92" i="33"/>
  <c r="J92" i="33"/>
  <c r="K92" i="33"/>
  <c r="P1492" i="35"/>
  <c r="I92" i="33" s="1"/>
  <c r="P1445" i="35"/>
  <c r="P1489" i="35"/>
  <c r="P1464" i="35"/>
  <c r="P1465" i="35"/>
  <c r="P1446" i="35"/>
  <c r="P1439" i="35"/>
  <c r="P1420" i="35"/>
  <c r="P1411" i="35"/>
  <c r="P1378" i="35"/>
  <c r="P1415" i="35"/>
  <c r="P1395" i="35"/>
  <c r="P1392" i="35"/>
  <c r="P1369" i="35"/>
  <c r="T342" i="6"/>
  <c r="H142" i="33"/>
  <c r="P669" i="35"/>
  <c r="I142" i="33" s="1"/>
  <c r="P1367" i="35"/>
  <c r="P1358" i="35"/>
  <c r="P972" i="35"/>
  <c r="I170" i="33" s="1"/>
  <c r="P1342" i="35"/>
  <c r="P1343" i="35"/>
  <c r="S170" i="33"/>
  <c r="K170" i="33"/>
  <c r="J170" i="33"/>
  <c r="P691" i="35"/>
  <c r="I181" i="33" s="1"/>
  <c r="J181" i="33"/>
  <c r="K181" i="33"/>
  <c r="S181" i="33"/>
  <c r="P1341" i="35"/>
  <c r="P1336" i="35"/>
  <c r="P1333" i="35"/>
  <c r="P1326" i="35"/>
  <c r="P1329" i="35"/>
  <c r="P1298" i="35"/>
  <c r="P1328" i="35"/>
  <c r="P1315" i="35"/>
  <c r="P1312" i="35"/>
  <c r="P1308" i="35"/>
  <c r="P1309" i="35"/>
  <c r="P1180" i="35"/>
  <c r="P1306" i="35"/>
  <c r="P1304" i="35"/>
  <c r="P1299" i="35"/>
  <c r="P1289" i="35"/>
  <c r="P1296" i="35"/>
  <c r="P1293" i="35"/>
  <c r="P1292" i="35"/>
  <c r="P1290" i="35"/>
  <c r="P1285" i="35"/>
  <c r="P1286" i="35"/>
  <c r="P1273" i="35"/>
  <c r="P1267" i="35"/>
  <c r="P1262" i="35"/>
  <c r="P1265" i="35"/>
  <c r="T336" i="6"/>
  <c r="P1242" i="35"/>
  <c r="J123" i="33"/>
  <c r="K123" i="33"/>
  <c r="S123" i="33"/>
  <c r="P769" i="35"/>
  <c r="I123" i="33" s="1"/>
  <c r="P1230" i="35"/>
  <c r="P1247" i="35"/>
  <c r="P1241" i="35"/>
  <c r="P1237" i="35"/>
  <c r="P1235" i="35"/>
  <c r="P1227" i="35"/>
  <c r="P1223" i="35"/>
  <c r="P1226" i="35"/>
  <c r="P1220" i="35"/>
  <c r="P1216" i="35"/>
  <c r="P1209" i="35"/>
  <c r="T360" i="6"/>
  <c r="P1206" i="35"/>
  <c r="T337" i="6"/>
  <c r="S353" i="6"/>
  <c r="P1199" i="35"/>
  <c r="P1198" i="35"/>
  <c r="P1188" i="35"/>
  <c r="P1078" i="35"/>
  <c r="P1179" i="35"/>
  <c r="P1166" i="35"/>
  <c r="P1171" i="35"/>
  <c r="P1170" i="35"/>
  <c r="P1169" i="35"/>
  <c r="P1164" i="35"/>
  <c r="P1165" i="35"/>
  <c r="P1163" i="35"/>
  <c r="H548" i="33"/>
  <c r="P814" i="35"/>
  <c r="I548" i="33" s="1"/>
  <c r="P1162" i="35"/>
  <c r="P1161" i="35"/>
  <c r="P1159" i="35"/>
  <c r="H546" i="33"/>
  <c r="P811" i="35"/>
  <c r="I546" i="33" s="1"/>
  <c r="P1160" i="35"/>
  <c r="P1158" i="35"/>
  <c r="P764" i="35"/>
  <c r="I542" i="33" s="1"/>
  <c r="S542" i="33"/>
  <c r="J542" i="33"/>
  <c r="K542" i="33"/>
  <c r="P1157" i="35"/>
  <c r="P1151" i="35"/>
  <c r="J176" i="33"/>
  <c r="S176" i="33"/>
  <c r="K176" i="33"/>
  <c r="P1149" i="35"/>
  <c r="S391" i="6"/>
  <c r="T391" i="6"/>
  <c r="Q327" i="6"/>
  <c r="S327" i="6" s="1"/>
  <c r="C39" i="36" s="1"/>
  <c r="T381" i="6"/>
  <c r="T382" i="6"/>
  <c r="T353" i="6"/>
  <c r="H389" i="33"/>
  <c r="P879" i="35"/>
  <c r="I389" i="33" s="1"/>
  <c r="P850" i="35"/>
  <c r="P723" i="35"/>
  <c r="I531" i="33" s="1"/>
  <c r="P1135" i="35"/>
  <c r="S531" i="33"/>
  <c r="J531" i="33"/>
  <c r="K531" i="33"/>
  <c r="P1087" i="35"/>
  <c r="P1131" i="35"/>
  <c r="P1133" i="35"/>
  <c r="P1125" i="35"/>
  <c r="P1126" i="35"/>
  <c r="P1118" i="35"/>
  <c r="P892" i="35"/>
  <c r="I86" i="33" s="1"/>
  <c r="T373" i="6"/>
  <c r="T374" i="6"/>
  <c r="F108" i="36"/>
  <c r="F101" i="36"/>
  <c r="F14" i="36"/>
  <c r="F102" i="36"/>
  <c r="F65" i="36"/>
  <c r="F105" i="36"/>
  <c r="F98" i="36"/>
  <c r="F64" i="36"/>
  <c r="F25" i="36"/>
  <c r="F29" i="36"/>
  <c r="F107" i="36"/>
  <c r="F99" i="36"/>
  <c r="F62" i="36"/>
  <c r="F13" i="36"/>
  <c r="F100" i="36"/>
  <c r="F103" i="36"/>
  <c r="S373" i="6"/>
  <c r="S374" i="6"/>
  <c r="G105" i="36"/>
  <c r="I105" i="36" s="1"/>
  <c r="T297" i="6"/>
  <c r="D105" i="36" s="1"/>
  <c r="S297" i="6"/>
  <c r="C105" i="36" s="1"/>
  <c r="S381" i="6"/>
  <c r="S375" i="6"/>
  <c r="S382" i="6"/>
  <c r="S360" i="6"/>
  <c r="T375" i="6"/>
  <c r="P1110" i="35"/>
  <c r="P967" i="35"/>
  <c r="P956" i="35"/>
  <c r="P1109" i="35"/>
  <c r="H231" i="33"/>
  <c r="S231" i="33" s="1"/>
  <c r="P1011" i="35"/>
  <c r="I560" i="33" s="1"/>
  <c r="T301" i="6"/>
  <c r="T333" i="6"/>
  <c r="D62" i="36" s="1"/>
  <c r="T259" i="6"/>
  <c r="P1051" i="35"/>
  <c r="P1097" i="35"/>
  <c r="P735" i="35"/>
  <c r="P1091" i="35"/>
  <c r="P1095" i="35"/>
  <c r="P1086" i="35"/>
  <c r="S333" i="6"/>
  <c r="C62" i="36" s="1"/>
  <c r="P995" i="35"/>
  <c r="P1072" i="35"/>
  <c r="P1065" i="35"/>
  <c r="P1064" i="35"/>
  <c r="P1059" i="35"/>
  <c r="S343" i="6"/>
  <c r="S332" i="6"/>
  <c r="C40" i="36" s="1"/>
  <c r="T332" i="6"/>
  <c r="D40" i="36" s="1"/>
  <c r="S310" i="6"/>
  <c r="C29" i="36" s="1"/>
  <c r="S317" i="6"/>
  <c r="C25" i="36" s="1"/>
  <c r="S303" i="6"/>
  <c r="T310" i="6"/>
  <c r="D29" i="36" s="1"/>
  <c r="P1057" i="35"/>
  <c r="P981" i="35"/>
  <c r="I22" i="33" s="1"/>
  <c r="K22" i="33"/>
  <c r="J22" i="33"/>
  <c r="S22" i="33"/>
  <c r="P994" i="35"/>
  <c r="I558" i="33" s="1"/>
  <c r="P1050" i="35"/>
  <c r="S301" i="6"/>
  <c r="P1037" i="35"/>
  <c r="I563" i="33" s="1"/>
  <c r="S563" i="33"/>
  <c r="J563" i="33"/>
  <c r="K563" i="33"/>
  <c r="P1032" i="35"/>
  <c r="T316" i="6"/>
  <c r="S349" i="6"/>
  <c r="S264" i="6"/>
  <c r="S560" i="33"/>
  <c r="K560" i="33"/>
  <c r="T277" i="6"/>
  <c r="P1009" i="35"/>
  <c r="S316" i="6"/>
  <c r="S296" i="6"/>
  <c r="C99" i="36" s="1"/>
  <c r="T296" i="6"/>
  <c r="D99" i="36" s="1"/>
  <c r="P1028" i="35"/>
  <c r="P1020" i="35"/>
  <c r="T325" i="6"/>
  <c r="D102" i="36" s="1"/>
  <c r="T264" i="6"/>
  <c r="S277" i="6"/>
  <c r="P1019" i="35"/>
  <c r="P1017" i="35"/>
  <c r="P940" i="35"/>
  <c r="P1001" i="35"/>
  <c r="P1010" i="35"/>
  <c r="P1008" i="35"/>
  <c r="T343" i="6"/>
  <c r="T287" i="6"/>
  <c r="T321" i="6"/>
  <c r="T340" i="6"/>
  <c r="P996" i="35"/>
  <c r="Q330" i="6"/>
  <c r="S330" i="6" s="1"/>
  <c r="S346" i="6"/>
  <c r="T335" i="6"/>
  <c r="T346" i="6"/>
  <c r="S322" i="6"/>
  <c r="P947" i="35"/>
  <c r="P1002" i="35"/>
  <c r="P993" i="35"/>
  <c r="P992" i="35"/>
  <c r="S558" i="33"/>
  <c r="J558" i="33"/>
  <c r="K558" i="33"/>
  <c r="P991" i="35"/>
  <c r="P990" i="35"/>
  <c r="P958" i="35"/>
  <c r="P755" i="35"/>
  <c r="I541" i="33" s="1"/>
  <c r="J102" i="33"/>
  <c r="K102" i="33"/>
  <c r="P872" i="35"/>
  <c r="I102" i="33" s="1"/>
  <c r="P701" i="35"/>
  <c r="P679" i="35"/>
  <c r="I75" i="33" s="1"/>
  <c r="P975" i="35"/>
  <c r="J541" i="33"/>
  <c r="K541" i="33"/>
  <c r="P973" i="35"/>
  <c r="P974" i="35"/>
  <c r="P867" i="35"/>
  <c r="P720" i="35"/>
  <c r="I173" i="33" s="1"/>
  <c r="P708" i="35"/>
  <c r="I527" i="33" s="1"/>
  <c r="P871" i="35"/>
  <c r="I553" i="33" s="1"/>
  <c r="J553" i="33"/>
  <c r="K205" i="33"/>
  <c r="P962" i="35"/>
  <c r="S205" i="33"/>
  <c r="P693" i="35"/>
  <c r="I205" i="33" s="1"/>
  <c r="S75" i="33"/>
  <c r="J86" i="33"/>
  <c r="K86" i="33"/>
  <c r="K553" i="33"/>
  <c r="P942" i="35"/>
  <c r="J527" i="33"/>
  <c r="K75" i="33"/>
  <c r="K527" i="33"/>
  <c r="T345" i="6"/>
  <c r="T349" i="6"/>
  <c r="S336" i="6"/>
  <c r="S173" i="33"/>
  <c r="P820" i="35"/>
  <c r="I550" i="33" s="1"/>
  <c r="K173" i="33"/>
  <c r="K550" i="33"/>
  <c r="J550" i="33"/>
  <c r="P949" i="35"/>
  <c r="P955" i="35"/>
  <c r="P954" i="35"/>
  <c r="P957" i="35"/>
  <c r="P951" i="35"/>
  <c r="P950" i="35"/>
  <c r="P810" i="35"/>
  <c r="I545" i="33" s="1"/>
  <c r="S545" i="33"/>
  <c r="P948" i="35"/>
  <c r="K545" i="33"/>
  <c r="P941" i="35"/>
  <c r="P946" i="35"/>
  <c r="P937" i="35"/>
  <c r="P939" i="35"/>
  <c r="P938" i="35"/>
  <c r="P935" i="35"/>
  <c r="P936" i="35"/>
  <c r="P915" i="35"/>
  <c r="P934" i="35"/>
  <c r="P930" i="35"/>
  <c r="P914" i="35"/>
  <c r="P908" i="35"/>
  <c r="P907" i="35"/>
  <c r="P812" i="35"/>
  <c r="I547" i="33" s="1"/>
  <c r="P891" i="35"/>
  <c r="F31" i="40"/>
  <c r="F91" i="40"/>
  <c r="P692" i="35"/>
  <c r="I514" i="33" s="1"/>
  <c r="P897" i="35"/>
  <c r="T262" i="6"/>
  <c r="S340" i="6"/>
  <c r="S345" i="6"/>
  <c r="T350" i="6"/>
  <c r="S337" i="6"/>
  <c r="S338" i="6"/>
  <c r="C103" i="36" s="1"/>
  <c r="S342" i="6"/>
  <c r="S308" i="6"/>
  <c r="C14" i="36" s="1"/>
  <c r="S253" i="6"/>
  <c r="C107" i="36" s="1"/>
  <c r="Q329" i="6"/>
  <c r="S329" i="6" s="1"/>
  <c r="P874" i="35"/>
  <c r="I554" i="33" s="1"/>
  <c r="S554" i="33"/>
  <c r="K554" i="33"/>
  <c r="P835" i="35"/>
  <c r="P882" i="35"/>
  <c r="P884" i="35"/>
  <c r="P787" i="35"/>
  <c r="P875" i="35"/>
  <c r="P880" i="35"/>
  <c r="I555" i="33" s="1"/>
  <c r="S555" i="33"/>
  <c r="J555" i="33"/>
  <c r="K555" i="33"/>
  <c r="S552" i="33"/>
  <c r="J547" i="33"/>
  <c r="K547" i="33"/>
  <c r="P877" i="35"/>
  <c r="P834" i="35"/>
  <c r="I552" i="33" s="1"/>
  <c r="K552" i="33"/>
  <c r="P876" i="35"/>
  <c r="P712" i="35"/>
  <c r="I529" i="33" s="1"/>
  <c r="K529" i="33"/>
  <c r="J529" i="33"/>
  <c r="P821" i="35"/>
  <c r="I551" i="33" s="1"/>
  <c r="P818" i="35"/>
  <c r="K551" i="33"/>
  <c r="S551" i="33"/>
  <c r="P870" i="35"/>
  <c r="P860" i="35"/>
  <c r="P855" i="35"/>
  <c r="I135" i="33" s="1"/>
  <c r="S135" i="33"/>
  <c r="K135" i="33"/>
  <c r="P852" i="35"/>
  <c r="P822" i="35"/>
  <c r="P846" i="35"/>
  <c r="P694" i="35"/>
  <c r="I27" i="33" s="1"/>
  <c r="S27" i="33"/>
  <c r="J27" i="33"/>
  <c r="S335" i="6"/>
  <c r="R330" i="6"/>
  <c r="T330" i="6" s="1"/>
  <c r="S287" i="6"/>
  <c r="S319" i="6"/>
  <c r="T352" i="6"/>
  <c r="S325" i="6"/>
  <c r="C102" i="36" s="1"/>
  <c r="T338" i="6"/>
  <c r="D103" i="36" s="1"/>
  <c r="S352" i="6"/>
  <c r="Q350" i="6"/>
  <c r="S350" i="6" s="1"/>
  <c r="P837" i="35"/>
  <c r="P839" i="35"/>
  <c r="P737" i="35"/>
  <c r="I222" i="33" s="1"/>
  <c r="P788" i="35"/>
  <c r="I544" i="33" s="1"/>
  <c r="S544" i="33"/>
  <c r="P830" i="35"/>
  <c r="K544" i="33"/>
  <c r="P831" i="35"/>
  <c r="P826" i="35"/>
  <c r="P828" i="35"/>
  <c r="P824" i="35"/>
  <c r="P819" i="35"/>
  <c r="K222" i="33"/>
  <c r="P800" i="35"/>
  <c r="I164" i="33" s="1"/>
  <c r="K164" i="33"/>
  <c r="S222" i="33"/>
  <c r="S164" i="33"/>
  <c r="P815" i="35"/>
  <c r="I549" i="33" s="1"/>
  <c r="K549" i="33"/>
  <c r="S549" i="33"/>
  <c r="P803" i="35"/>
  <c r="P790" i="35"/>
  <c r="P793" i="35"/>
  <c r="I65" i="33" s="1"/>
  <c r="K65" i="33"/>
  <c r="P794" i="35"/>
  <c r="J65" i="33"/>
  <c r="P771" i="35"/>
  <c r="P786" i="35"/>
  <c r="I118" i="33" s="1"/>
  <c r="P750" i="35"/>
  <c r="S118" i="33"/>
  <c r="J118" i="33"/>
  <c r="K118" i="33"/>
  <c r="K530" i="33"/>
  <c r="S530" i="33"/>
  <c r="P719" i="35"/>
  <c r="I530" i="33" s="1"/>
  <c r="F33" i="40"/>
  <c r="P774" i="35"/>
  <c r="S302" i="6"/>
  <c r="P743" i="35"/>
  <c r="T329" i="6"/>
  <c r="P675" i="35"/>
  <c r="I506" i="33" s="1"/>
  <c r="P751" i="35"/>
  <c r="P741" i="35"/>
  <c r="I150" i="33" s="1"/>
  <c r="P718" i="35"/>
  <c r="I528" i="33" s="1"/>
  <c r="P745" i="35"/>
  <c r="S150" i="33"/>
  <c r="K150" i="33"/>
  <c r="S528" i="33"/>
  <c r="K528" i="33"/>
  <c r="S295" i="6"/>
  <c r="C64" i="36" s="1"/>
  <c r="T276" i="6"/>
  <c r="T295" i="6"/>
  <c r="D64" i="36" s="1"/>
  <c r="T334" i="6"/>
  <c r="T308" i="6"/>
  <c r="D14" i="36" s="1"/>
  <c r="S324" i="6"/>
  <c r="C65" i="36" s="1"/>
  <c r="T319" i="6"/>
  <c r="S276" i="6"/>
  <c r="T320" i="6"/>
  <c r="T306" i="6"/>
  <c r="T302" i="6"/>
  <c r="T303" i="6"/>
  <c r="T311" i="6"/>
  <c r="D100" i="36" s="1"/>
  <c r="S311" i="6"/>
  <c r="C100" i="36" s="1"/>
  <c r="S334" i="6"/>
  <c r="S321" i="6"/>
  <c r="S320" i="6"/>
  <c r="S313" i="6"/>
  <c r="C101" i="36" s="1"/>
  <c r="S262" i="6"/>
  <c r="T324" i="6"/>
  <c r="D65" i="36" s="1"/>
  <c r="S306" i="6"/>
  <c r="T313" i="6"/>
  <c r="D101" i="36" s="1"/>
  <c r="T322" i="6"/>
  <c r="P733" i="35"/>
  <c r="H39" i="36"/>
  <c r="T327" i="6"/>
  <c r="D39" i="36" s="1"/>
  <c r="P705" i="35"/>
  <c r="I85" i="33" s="1"/>
  <c r="P734" i="35"/>
  <c r="J85" i="33"/>
  <c r="K85" i="33"/>
  <c r="J506" i="33"/>
  <c r="K506" i="33"/>
  <c r="S533" i="33"/>
  <c r="J533" i="33"/>
  <c r="K533" i="33"/>
  <c r="P722" i="35"/>
  <c r="I533" i="33" s="1"/>
  <c r="P697" i="35"/>
  <c r="P696" i="35"/>
  <c r="P690" i="35"/>
  <c r="P680" i="35"/>
  <c r="I149" i="33" s="1"/>
  <c r="P684" i="35"/>
  <c r="P685" i="35"/>
  <c r="I48" i="33" s="1"/>
  <c r="P699" i="35"/>
  <c r="J48" i="33"/>
  <c r="K48" i="33"/>
  <c r="P695" i="35"/>
  <c r="P681" i="35"/>
  <c r="I200" i="33" s="1"/>
  <c r="K200" i="33"/>
  <c r="S200" i="33"/>
  <c r="J149" i="33"/>
  <c r="K149" i="33"/>
  <c r="P688" i="35"/>
  <c r="S514" i="33"/>
  <c r="J514" i="33"/>
  <c r="K514" i="33"/>
  <c r="P663" i="35"/>
  <c r="I103" i="33" s="1"/>
  <c r="K103" i="33"/>
  <c r="J103" i="33"/>
  <c r="T317" i="6"/>
  <c r="D25" i="36" s="1"/>
  <c r="G98" i="36"/>
  <c r="I98" i="36" s="1"/>
  <c r="T286" i="6"/>
  <c r="D98" i="36" s="1"/>
  <c r="S286" i="6"/>
  <c r="C98" i="36" s="1"/>
  <c r="S256" i="6"/>
  <c r="T255" i="6"/>
  <c r="D108" i="36" s="1"/>
  <c r="T256" i="6"/>
  <c r="T253" i="6"/>
  <c r="D107" i="36" s="1"/>
  <c r="S255" i="6"/>
  <c r="C108" i="36" s="1"/>
  <c r="C652" i="35" a="1"/>
  <c r="C652" i="35" s="1"/>
  <c r="F652" i="35"/>
  <c r="G652" i="35" s="1"/>
  <c r="J652" i="35"/>
  <c r="K652" i="35" s="1"/>
  <c r="Q652" i="35"/>
  <c r="C651" i="35" a="1"/>
  <c r="C651" i="35" s="1"/>
  <c r="F651" i="35"/>
  <c r="G651" i="35" s="1"/>
  <c r="J651" i="35"/>
  <c r="K651" i="35" s="1"/>
  <c r="Q651" i="35"/>
  <c r="C650" i="35" a="1"/>
  <c r="C650" i="35" s="1"/>
  <c r="F650" i="35"/>
  <c r="G650" i="35" s="1"/>
  <c r="J650" i="35"/>
  <c r="K650" i="35" s="1"/>
  <c r="C434" i="31" a="1"/>
  <c r="C434" i="31" s="1"/>
  <c r="D434" i="31" a="1"/>
  <c r="D434" i="31" s="1"/>
  <c r="L434" i="31"/>
  <c r="Q434" i="31"/>
  <c r="R434" i="31"/>
  <c r="U434" i="31"/>
  <c r="V434" i="31"/>
  <c r="W434" i="31"/>
  <c r="AB434" i="31"/>
  <c r="AC434" i="31"/>
  <c r="AF434" i="31"/>
  <c r="C433" i="31" a="1"/>
  <c r="C433" i="31" s="1"/>
  <c r="D433" i="31" a="1"/>
  <c r="D433" i="31" s="1"/>
  <c r="L433" i="31"/>
  <c r="Q433" i="31"/>
  <c r="R433" i="31"/>
  <c r="U433" i="31"/>
  <c r="V433" i="31"/>
  <c r="W433" i="31"/>
  <c r="AB433" i="31"/>
  <c r="AC433" i="31"/>
  <c r="AF433" i="31"/>
  <c r="C432" i="31" a="1"/>
  <c r="C432" i="31" s="1"/>
  <c r="D432" i="31" a="1"/>
  <c r="D432" i="31" s="1"/>
  <c r="L432" i="31"/>
  <c r="Q432" i="31"/>
  <c r="R432" i="31"/>
  <c r="U432" i="31"/>
  <c r="V432" i="31"/>
  <c r="W432" i="31"/>
  <c r="AB432" i="31"/>
  <c r="AC432" i="31"/>
  <c r="AF432" i="31"/>
  <c r="C416" i="31" a="1"/>
  <c r="C416" i="31" s="1"/>
  <c r="D416" i="31" a="1"/>
  <c r="D416" i="31" s="1"/>
  <c r="L416" i="31"/>
  <c r="Q416" i="31"/>
  <c r="R416" i="31"/>
  <c r="U416" i="31"/>
  <c r="V416" i="31"/>
  <c r="W416" i="31"/>
  <c r="AB416" i="31"/>
  <c r="AC416" i="31"/>
  <c r="AF416" i="31"/>
  <c r="C649" i="35" a="1"/>
  <c r="C649" i="35" s="1"/>
  <c r="F649" i="35"/>
  <c r="G649" i="35" s="1"/>
  <c r="J649" i="35"/>
  <c r="K649" i="35" s="1"/>
  <c r="Q649" i="35"/>
  <c r="C648" i="35" a="1"/>
  <c r="C648" i="35" s="1"/>
  <c r="F648" i="35"/>
  <c r="J648" i="35"/>
  <c r="Q648" i="35"/>
  <c r="B513" i="33" a="1"/>
  <c r="B513" i="33" s="1"/>
  <c r="E513" i="33" a="1"/>
  <c r="E513" i="33" s="1"/>
  <c r="F513" i="33" a="1"/>
  <c r="F513" i="33" s="1"/>
  <c r="G513" i="33" a="1"/>
  <c r="G513" i="33" s="1"/>
  <c r="L513" i="33" a="1"/>
  <c r="L513" i="33" s="1"/>
  <c r="M513" i="33"/>
  <c r="N513" i="33"/>
  <c r="P513" i="33"/>
  <c r="C647" i="35" a="1"/>
  <c r="C647" i="35" s="1"/>
  <c r="F647" i="35"/>
  <c r="G647" i="35" s="1"/>
  <c r="J647" i="35"/>
  <c r="K647" i="35" s="1"/>
  <c r="Q647" i="35"/>
  <c r="C646" i="35" a="1"/>
  <c r="C646" i="35" s="1"/>
  <c r="F646" i="35"/>
  <c r="J646" i="35"/>
  <c r="Q646" i="35"/>
  <c r="B517" i="33" a="1"/>
  <c r="B517" i="33" s="1"/>
  <c r="E517" i="33" a="1"/>
  <c r="E517" i="33" s="1"/>
  <c r="F517" i="33" a="1"/>
  <c r="F517" i="33" s="1"/>
  <c r="G517" i="33" a="1"/>
  <c r="G517" i="33" s="1"/>
  <c r="L517" i="33" a="1"/>
  <c r="L517" i="33" s="1"/>
  <c r="M517" i="33"/>
  <c r="N517" i="33"/>
  <c r="P517" i="33"/>
  <c r="C645" i="35" a="1"/>
  <c r="C645" i="35" s="1"/>
  <c r="F645" i="35"/>
  <c r="J645" i="35"/>
  <c r="Q645" i="35"/>
  <c r="C644" i="35" a="1"/>
  <c r="C644" i="35" s="1"/>
  <c r="F644" i="35"/>
  <c r="J644" i="35"/>
  <c r="Q644" i="35"/>
  <c r="C643" i="35" a="1"/>
  <c r="C643" i="35" s="1"/>
  <c r="F643" i="35"/>
  <c r="J643" i="35"/>
  <c r="Q643" i="35"/>
  <c r="C642" i="35" a="1"/>
  <c r="C642" i="35" s="1"/>
  <c r="F642" i="35"/>
  <c r="G642" i="35" s="1"/>
  <c r="J642" i="35"/>
  <c r="K642" i="35" s="1"/>
  <c r="Q642" i="35"/>
  <c r="C641" i="35" a="1"/>
  <c r="C641" i="35" s="1"/>
  <c r="F641" i="35"/>
  <c r="G641" i="35" s="1"/>
  <c r="J641" i="35"/>
  <c r="K641" i="35" s="1"/>
  <c r="Q641" i="35"/>
  <c r="C640" i="35" a="1"/>
  <c r="C640" i="35" s="1"/>
  <c r="F640" i="35"/>
  <c r="G640" i="35" s="1"/>
  <c r="J640" i="35"/>
  <c r="K640" i="35" s="1"/>
  <c r="Q640" i="35"/>
  <c r="C639" i="35" a="1"/>
  <c r="C639" i="35" s="1"/>
  <c r="F639" i="35"/>
  <c r="G639" i="35" s="1"/>
  <c r="J639" i="35"/>
  <c r="K639" i="35" s="1"/>
  <c r="C638" i="35" a="1"/>
  <c r="C638" i="35" s="1"/>
  <c r="F638" i="35"/>
  <c r="G638" i="35" s="1"/>
  <c r="J638" i="35"/>
  <c r="K638" i="35" s="1"/>
  <c r="C637" i="35" a="1"/>
  <c r="C637" i="35" s="1"/>
  <c r="F637" i="35"/>
  <c r="G637" i="35" s="1"/>
  <c r="J637" i="35"/>
  <c r="K637" i="35" s="1"/>
  <c r="Q637" i="35"/>
  <c r="C636" i="35" a="1"/>
  <c r="C636" i="35" s="1"/>
  <c r="F636" i="35"/>
  <c r="G636" i="35" s="1"/>
  <c r="J636" i="35"/>
  <c r="K636" i="35" s="1"/>
  <c r="Q636" i="35"/>
  <c r="C635" i="35" a="1"/>
  <c r="C635" i="35" s="1"/>
  <c r="F635" i="35"/>
  <c r="G635" i="35" s="1"/>
  <c r="J635" i="35"/>
  <c r="K635" i="35" s="1"/>
  <c r="Q635" i="35"/>
  <c r="C634" i="35" a="1"/>
  <c r="C634" i="35" s="1"/>
  <c r="F634" i="35"/>
  <c r="G634" i="35" s="1"/>
  <c r="J634" i="35"/>
  <c r="K634" i="35" s="1"/>
  <c r="Q634" i="35"/>
  <c r="C633" i="35" a="1"/>
  <c r="C633" i="35" s="1"/>
  <c r="F633" i="35"/>
  <c r="H1730" i="35" s="1"/>
  <c r="J633" i="35"/>
  <c r="L1730" i="35" s="1"/>
  <c r="Q633" i="35"/>
  <c r="B111" i="33" a="1"/>
  <c r="B111" i="33" s="1"/>
  <c r="E111" i="33" a="1"/>
  <c r="E111" i="33" s="1"/>
  <c r="F111" i="33" a="1"/>
  <c r="F111" i="33" s="1"/>
  <c r="G111" i="33" a="1"/>
  <c r="G111" i="33" s="1"/>
  <c r="L111" i="33" a="1"/>
  <c r="L111" i="33" s="1"/>
  <c r="M111" i="33"/>
  <c r="N111" i="33"/>
  <c r="P111" i="33"/>
  <c r="C632" i="35" a="1"/>
  <c r="C632" i="35" s="1"/>
  <c r="F632" i="35"/>
  <c r="J632" i="35"/>
  <c r="Q632" i="35"/>
  <c r="B99" i="33" a="1"/>
  <c r="B99" i="33" s="1"/>
  <c r="E99" i="33" a="1"/>
  <c r="E99" i="33" s="1"/>
  <c r="F99" i="33" a="1"/>
  <c r="F99" i="33" s="1"/>
  <c r="G99" i="33" a="1"/>
  <c r="G99" i="33" s="1"/>
  <c r="L99" i="33" a="1"/>
  <c r="L99" i="33" s="1"/>
  <c r="M99" i="33"/>
  <c r="N99" i="33"/>
  <c r="P99" i="33"/>
  <c r="H251" i="6"/>
  <c r="I251" i="6"/>
  <c r="K251" i="6" s="1"/>
  <c r="U251" i="6"/>
  <c r="H250" i="6"/>
  <c r="I250" i="6"/>
  <c r="U250" i="6"/>
  <c r="H249" i="6"/>
  <c r="I249" i="6"/>
  <c r="U249" i="6"/>
  <c r="H248" i="6"/>
  <c r="L445" i="6" s="1"/>
  <c r="I248" i="6"/>
  <c r="M445" i="6" s="1"/>
  <c r="U248" i="6"/>
  <c r="R445" i="6" l="1"/>
  <c r="L414" i="6"/>
  <c r="L408" i="6"/>
  <c r="L407" i="6"/>
  <c r="M414" i="6"/>
  <c r="M408" i="6"/>
  <c r="M407" i="6"/>
  <c r="H1394" i="35"/>
  <c r="H1563" i="35"/>
  <c r="L1394" i="35"/>
  <c r="L1563" i="35"/>
  <c r="K142" i="33"/>
  <c r="J142" i="33"/>
  <c r="S142" i="33"/>
  <c r="H998" i="35"/>
  <c r="H1236" i="35"/>
  <c r="L998" i="35"/>
  <c r="L1236" i="35"/>
  <c r="S548" i="33"/>
  <c r="K548" i="33"/>
  <c r="J548" i="33"/>
  <c r="S546" i="33"/>
  <c r="K546" i="33"/>
  <c r="J546" i="33"/>
  <c r="K648" i="35"/>
  <c r="L1152" i="35"/>
  <c r="G648" i="35"/>
  <c r="H1152" i="35"/>
  <c r="M387" i="6"/>
  <c r="M388" i="6"/>
  <c r="L387" i="6"/>
  <c r="L388" i="6"/>
  <c r="I231" i="33"/>
  <c r="J389" i="33"/>
  <c r="S389" i="33"/>
  <c r="K389" i="33"/>
  <c r="F39" i="36"/>
  <c r="K249" i="6"/>
  <c r="M378" i="6"/>
  <c r="J249" i="6"/>
  <c r="L378" i="6"/>
  <c r="K231" i="33"/>
  <c r="J231" i="33"/>
  <c r="K643" i="35"/>
  <c r="L1055" i="35"/>
  <c r="G643" i="35"/>
  <c r="H1055" i="35"/>
  <c r="K645" i="35"/>
  <c r="L1016" i="35"/>
  <c r="G645" i="35"/>
  <c r="H1016" i="35"/>
  <c r="L904" i="35"/>
  <c r="L997" i="35"/>
  <c r="H904" i="35"/>
  <c r="H997" i="35"/>
  <c r="K644" i="35"/>
  <c r="L921" i="35"/>
  <c r="G644" i="35"/>
  <c r="H921" i="35"/>
  <c r="H823" i="35"/>
  <c r="H829" i="35"/>
  <c r="L823" i="35"/>
  <c r="L829" i="35"/>
  <c r="K646" i="35"/>
  <c r="L772" i="35"/>
  <c r="G646" i="35"/>
  <c r="H772" i="35"/>
  <c r="K633" i="35"/>
  <c r="M1730" i="35" s="1"/>
  <c r="N1730" i="35" s="1"/>
  <c r="L768" i="35"/>
  <c r="G633" i="35"/>
  <c r="I1730" i="35" s="1"/>
  <c r="O1730" i="35" s="1"/>
  <c r="H768" i="35"/>
  <c r="G632" i="35"/>
  <c r="H767" i="35"/>
  <c r="K632" i="35"/>
  <c r="L767" i="35"/>
  <c r="M248" i="6"/>
  <c r="M284" i="6"/>
  <c r="M315" i="6"/>
  <c r="L250" i="6"/>
  <c r="J248" i="6"/>
  <c r="N445" i="6" s="1"/>
  <c r="P445" i="6" s="1"/>
  <c r="T445" i="6" s="1"/>
  <c r="L284" i="6"/>
  <c r="L315" i="6"/>
  <c r="K250" i="6"/>
  <c r="O314" i="6" s="1"/>
  <c r="M314" i="6"/>
  <c r="J250" i="6"/>
  <c r="L314" i="6"/>
  <c r="L648" i="35"/>
  <c r="H648" i="35"/>
  <c r="AD434" i="31"/>
  <c r="S434" i="31"/>
  <c r="T434" i="31" s="1"/>
  <c r="L248" i="6"/>
  <c r="K248" i="6"/>
  <c r="O445" i="6" s="1"/>
  <c r="Q445" i="6" s="1"/>
  <c r="L251" i="6"/>
  <c r="J251" i="6"/>
  <c r="L643" i="35"/>
  <c r="H645" i="35"/>
  <c r="H632" i="35"/>
  <c r="AD433" i="31"/>
  <c r="X434" i="31"/>
  <c r="Y434" i="31" s="1"/>
  <c r="Z434" i="31"/>
  <c r="S433" i="31"/>
  <c r="T433" i="31" s="1"/>
  <c r="X433" i="31"/>
  <c r="Y433" i="31" s="1"/>
  <c r="Z433" i="31"/>
  <c r="S432" i="31"/>
  <c r="T432" i="31" s="1"/>
  <c r="AD432" i="31"/>
  <c r="X432" i="31"/>
  <c r="Y432" i="31" s="1"/>
  <c r="Z432" i="31"/>
  <c r="S416" i="31"/>
  <c r="T416" i="31" s="1"/>
  <c r="AD416" i="31"/>
  <c r="Z416" i="31"/>
  <c r="X416" i="31"/>
  <c r="Y416" i="31" s="1"/>
  <c r="H646" i="35"/>
  <c r="L644" i="35"/>
  <c r="L646" i="35"/>
  <c r="Q513" i="33"/>
  <c r="R513" i="33" s="1"/>
  <c r="L645" i="35"/>
  <c r="L632" i="35"/>
  <c r="H643" i="35"/>
  <c r="Q517" i="33"/>
  <c r="R517" i="33" s="1"/>
  <c r="H644" i="35"/>
  <c r="H633" i="35"/>
  <c r="L633" i="35"/>
  <c r="Q111" i="33"/>
  <c r="R111" i="33" s="1"/>
  <c r="Q99" i="33"/>
  <c r="R99" i="33" s="1"/>
  <c r="M251" i="6"/>
  <c r="M250" i="6"/>
  <c r="M249" i="6"/>
  <c r="L249" i="6"/>
  <c r="S445" i="6" l="1"/>
  <c r="P1730" i="35"/>
  <c r="N414" i="6"/>
  <c r="P414" i="6" s="1"/>
  <c r="N407" i="6"/>
  <c r="P407" i="6" s="1"/>
  <c r="N408" i="6"/>
  <c r="P408" i="6" s="1"/>
  <c r="R407" i="6"/>
  <c r="R408" i="6"/>
  <c r="O414" i="6"/>
  <c r="Q414" i="6" s="1"/>
  <c r="O408" i="6"/>
  <c r="Q408" i="6" s="1"/>
  <c r="O407" i="6"/>
  <c r="Q407" i="6" s="1"/>
  <c r="R414" i="6"/>
  <c r="M1394" i="35"/>
  <c r="N1394" i="35" s="1"/>
  <c r="M1563" i="35"/>
  <c r="N1563" i="35" s="1"/>
  <c r="I1394" i="35"/>
  <c r="O1394" i="35" s="1"/>
  <c r="I1563" i="35"/>
  <c r="O1563" i="35" s="1"/>
  <c r="I998" i="35"/>
  <c r="O998" i="35" s="1"/>
  <c r="I1236" i="35"/>
  <c r="O1236" i="35" s="1"/>
  <c r="M998" i="35"/>
  <c r="N998" i="35" s="1"/>
  <c r="M1236" i="35"/>
  <c r="N1236" i="35" s="1"/>
  <c r="I648" i="35"/>
  <c r="O648" i="35" s="1"/>
  <c r="H513" i="33" s="1"/>
  <c r="I1152" i="35"/>
  <c r="O1152" i="35" s="1"/>
  <c r="M648" i="35"/>
  <c r="N648" i="35" s="1"/>
  <c r="M1152" i="35"/>
  <c r="N1152" i="35" s="1"/>
  <c r="R387" i="6"/>
  <c r="O388" i="6"/>
  <c r="Q388" i="6" s="1"/>
  <c r="O387" i="6"/>
  <c r="Q387" i="6" s="1"/>
  <c r="R388" i="6"/>
  <c r="N388" i="6"/>
  <c r="P388" i="6" s="1"/>
  <c r="N387" i="6"/>
  <c r="P387" i="6" s="1"/>
  <c r="R378" i="6"/>
  <c r="N249" i="6"/>
  <c r="P249" i="6" s="1"/>
  <c r="N378" i="6"/>
  <c r="P378" i="6" s="1"/>
  <c r="O249" i="6"/>
  <c r="Q249" i="6" s="1"/>
  <c r="O378" i="6"/>
  <c r="Q378" i="6" s="1"/>
  <c r="I643" i="35"/>
  <c r="O643" i="35" s="1"/>
  <c r="I1055" i="35"/>
  <c r="O1055" i="35" s="1"/>
  <c r="M643" i="35"/>
  <c r="N643" i="35" s="1"/>
  <c r="M1055" i="35"/>
  <c r="N1055" i="35" s="1"/>
  <c r="I645" i="35"/>
  <c r="O645" i="35" s="1"/>
  <c r="I1016" i="35"/>
  <c r="O1016" i="35" s="1"/>
  <c r="M645" i="35"/>
  <c r="N645" i="35" s="1"/>
  <c r="M1016" i="35"/>
  <c r="N1016" i="35" s="1"/>
  <c r="I904" i="35"/>
  <c r="O904" i="35" s="1"/>
  <c r="I997" i="35"/>
  <c r="O997" i="35" s="1"/>
  <c r="M904" i="35"/>
  <c r="N904" i="35" s="1"/>
  <c r="M997" i="35"/>
  <c r="N997" i="35" s="1"/>
  <c r="I644" i="35"/>
  <c r="O644" i="35" s="1"/>
  <c r="I921" i="35"/>
  <c r="O921" i="35" s="1"/>
  <c r="M644" i="35"/>
  <c r="N644" i="35" s="1"/>
  <c r="M921" i="35"/>
  <c r="N921" i="35" s="1"/>
  <c r="M823" i="35"/>
  <c r="N823" i="35" s="1"/>
  <c r="M829" i="35"/>
  <c r="N829" i="35" s="1"/>
  <c r="I823" i="35"/>
  <c r="O823" i="35" s="1"/>
  <c r="I829" i="35"/>
  <c r="O829" i="35" s="1"/>
  <c r="R250" i="6"/>
  <c r="H97" i="36" s="1"/>
  <c r="I646" i="35"/>
  <c r="O646" i="35" s="1"/>
  <c r="H517" i="33" s="1"/>
  <c r="I772" i="35"/>
  <c r="O772" i="35" s="1"/>
  <c r="H543" i="33" s="1"/>
  <c r="M646" i="35"/>
  <c r="N646" i="35" s="1"/>
  <c r="M772" i="35"/>
  <c r="N772" i="35" s="1"/>
  <c r="I633" i="35"/>
  <c r="O633" i="35" s="1"/>
  <c r="H111" i="33" s="1"/>
  <c r="I768" i="35"/>
  <c r="O768" i="35" s="1"/>
  <c r="M633" i="35"/>
  <c r="N633" i="35" s="1"/>
  <c r="M768" i="35"/>
  <c r="N768" i="35" s="1"/>
  <c r="M632" i="35"/>
  <c r="N632" i="35" s="1"/>
  <c r="M767" i="35"/>
  <c r="N767" i="35" s="1"/>
  <c r="I632" i="35"/>
  <c r="O632" i="35" s="1"/>
  <c r="H99" i="33" s="1"/>
  <c r="K99" i="33" s="1"/>
  <c r="I767" i="35"/>
  <c r="O767" i="35" s="1"/>
  <c r="R315" i="6"/>
  <c r="R248" i="6"/>
  <c r="R284" i="6"/>
  <c r="O248" i="6"/>
  <c r="Q248" i="6" s="1"/>
  <c r="O315" i="6"/>
  <c r="Q315" i="6" s="1"/>
  <c r="O284" i="6"/>
  <c r="Q284" i="6" s="1"/>
  <c r="N248" i="6"/>
  <c r="P248" i="6" s="1"/>
  <c r="N315" i="6"/>
  <c r="P315" i="6" s="1"/>
  <c r="N284" i="6"/>
  <c r="P284" i="6" s="1"/>
  <c r="Q314" i="6"/>
  <c r="R314" i="6"/>
  <c r="O250" i="6"/>
  <c r="Q250" i="6" s="1"/>
  <c r="N314" i="6"/>
  <c r="P314" i="6" s="1"/>
  <c r="O251" i="6"/>
  <c r="Q251" i="6" s="1"/>
  <c r="R251" i="6"/>
  <c r="N250" i="6"/>
  <c r="P250" i="6" s="1"/>
  <c r="N251" i="6"/>
  <c r="P251" i="6" s="1"/>
  <c r="AA434" i="31"/>
  <c r="AA433" i="31"/>
  <c r="AA432" i="31"/>
  <c r="AA416" i="31"/>
  <c r="R249" i="6"/>
  <c r="H96" i="36" s="1"/>
  <c r="S407" i="6" l="1"/>
  <c r="T408" i="6"/>
  <c r="T407" i="6"/>
  <c r="S414" i="6"/>
  <c r="S408" i="6"/>
  <c r="T414" i="6"/>
  <c r="P1563" i="35"/>
  <c r="P1394" i="35"/>
  <c r="T387" i="6"/>
  <c r="P998" i="35"/>
  <c r="P1236" i="35"/>
  <c r="T388" i="6"/>
  <c r="T378" i="6"/>
  <c r="P648" i="35"/>
  <c r="I513" i="33" s="1"/>
  <c r="P1152" i="35"/>
  <c r="S513" i="33"/>
  <c r="K513" i="33"/>
  <c r="J513" i="33"/>
  <c r="S387" i="6"/>
  <c r="S388" i="6"/>
  <c r="F97" i="36"/>
  <c r="F96" i="36"/>
  <c r="S378" i="6"/>
  <c r="P643" i="35"/>
  <c r="P1055" i="35"/>
  <c r="P1016" i="35"/>
  <c r="P645" i="35"/>
  <c r="P904" i="35"/>
  <c r="P997" i="35"/>
  <c r="P644" i="35"/>
  <c r="P921" i="35"/>
  <c r="P823" i="35"/>
  <c r="T315" i="6"/>
  <c r="P829" i="35"/>
  <c r="T284" i="6"/>
  <c r="P646" i="35"/>
  <c r="I517" i="33" s="1"/>
  <c r="S517" i="33"/>
  <c r="K517" i="33"/>
  <c r="J517" i="33"/>
  <c r="P772" i="35"/>
  <c r="I543" i="33" s="1"/>
  <c r="J543" i="33"/>
  <c r="K543" i="33"/>
  <c r="S543" i="33"/>
  <c r="P768" i="35"/>
  <c r="P633" i="35"/>
  <c r="I111" i="33" s="1"/>
  <c r="J111" i="33"/>
  <c r="K111" i="33"/>
  <c r="S111" i="33"/>
  <c r="P767" i="35"/>
  <c r="P632" i="35"/>
  <c r="I99" i="33" s="1"/>
  <c r="S99" i="33"/>
  <c r="J99" i="33"/>
  <c r="T248" i="6"/>
  <c r="D13" i="36" s="1"/>
  <c r="T314" i="6"/>
  <c r="S314" i="6"/>
  <c r="S284" i="6"/>
  <c r="S315" i="6"/>
  <c r="S248" i="6"/>
  <c r="T251" i="6"/>
  <c r="S251" i="6"/>
  <c r="G97" i="36"/>
  <c r="I97" i="36" s="1"/>
  <c r="T250" i="6"/>
  <c r="D97" i="36" s="1"/>
  <c r="S250" i="6"/>
  <c r="C97" i="36" s="1"/>
  <c r="G96" i="36"/>
  <c r="I96" i="36" s="1"/>
  <c r="T249" i="6"/>
  <c r="D96" i="36" s="1"/>
  <c r="S249" i="6"/>
  <c r="C96" i="36" s="1"/>
  <c r="H247" i="6" l="1"/>
  <c r="I247" i="6"/>
  <c r="K247" i="6" s="1"/>
  <c r="U247" i="6"/>
  <c r="H246" i="6"/>
  <c r="J246" i="6" s="1"/>
  <c r="I246" i="6"/>
  <c r="U246" i="6"/>
  <c r="H245" i="6"/>
  <c r="J245" i="6" s="1"/>
  <c r="I245" i="6"/>
  <c r="K245" i="6" s="1"/>
  <c r="U245" i="6"/>
  <c r="H244" i="6"/>
  <c r="J244" i="6" s="1"/>
  <c r="I244" i="6"/>
  <c r="K244" i="6" s="1"/>
  <c r="U244" i="6"/>
  <c r="H243" i="6"/>
  <c r="J243" i="6" s="1"/>
  <c r="I243" i="6"/>
  <c r="K243" i="6" s="1"/>
  <c r="U243" i="6"/>
  <c r="H242" i="6"/>
  <c r="J242" i="6" s="1"/>
  <c r="I242" i="6"/>
  <c r="K242" i="6" s="1"/>
  <c r="U242" i="6"/>
  <c r="H241" i="6"/>
  <c r="J241" i="6" s="1"/>
  <c r="I241" i="6"/>
  <c r="K241" i="6" s="1"/>
  <c r="U241" i="6"/>
  <c r="J247" i="6" l="1"/>
  <c r="K246" i="6"/>
  <c r="C95" i="36"/>
  <c r="D95" i="36"/>
  <c r="G95" i="36"/>
  <c r="I95" i="36" s="1"/>
  <c r="H95" i="36"/>
  <c r="H240" i="6"/>
  <c r="J240" i="6" s="1"/>
  <c r="I240" i="6"/>
  <c r="K240" i="6" s="1"/>
  <c r="U240" i="6"/>
  <c r="H239" i="6"/>
  <c r="I239" i="6"/>
  <c r="U239" i="6"/>
  <c r="H238" i="6"/>
  <c r="J238" i="6" s="1"/>
  <c r="I238" i="6"/>
  <c r="K238" i="6" s="1"/>
  <c r="U238" i="6"/>
  <c r="C631" i="35" a="1"/>
  <c r="C631" i="35" s="1"/>
  <c r="F631" i="35"/>
  <c r="G631" i="35" s="1"/>
  <c r="J631" i="35"/>
  <c r="K631" i="35" s="1"/>
  <c r="Q631" i="35"/>
  <c r="C630" i="35" a="1"/>
  <c r="C630" i="35" s="1"/>
  <c r="F630" i="35"/>
  <c r="J630" i="35"/>
  <c r="Q630" i="35"/>
  <c r="C629" i="35" a="1"/>
  <c r="C629" i="35" s="1"/>
  <c r="F629" i="35"/>
  <c r="J629" i="35"/>
  <c r="Q629" i="35"/>
  <c r="C628" i="35" a="1"/>
  <c r="C628" i="35" s="1"/>
  <c r="F628" i="35"/>
  <c r="G628" i="35" s="1"/>
  <c r="J628" i="35"/>
  <c r="K628" i="35" s="1"/>
  <c r="Q628" i="35"/>
  <c r="C627" i="35" a="1"/>
  <c r="C627" i="35" s="1"/>
  <c r="F627" i="35"/>
  <c r="G627" i="35" s="1"/>
  <c r="J627" i="35"/>
  <c r="K627" i="35" s="1"/>
  <c r="Q627" i="35"/>
  <c r="C466" i="31" a="1"/>
  <c r="C466" i="31" s="1"/>
  <c r="D466" i="31" a="1"/>
  <c r="D466" i="31" s="1"/>
  <c r="L466" i="31"/>
  <c r="Q466" i="31"/>
  <c r="R466" i="31"/>
  <c r="U466" i="31"/>
  <c r="V466" i="31"/>
  <c r="W466" i="31"/>
  <c r="AB466" i="31"/>
  <c r="AC466" i="31"/>
  <c r="AF466" i="31"/>
  <c r="C625" i="35" a="1"/>
  <c r="C625" i="35" s="1"/>
  <c r="C626" i="35" a="1"/>
  <c r="C626" i="35" s="1"/>
  <c r="F625" i="35"/>
  <c r="F626" i="35"/>
  <c r="G626" i="35" s="1"/>
  <c r="J625" i="35"/>
  <c r="J626" i="35"/>
  <c r="K626" i="35" s="1"/>
  <c r="Q625" i="35"/>
  <c r="Q626" i="35"/>
  <c r="C623" i="35" a="1"/>
  <c r="C623" i="35" s="1"/>
  <c r="C624" i="35" a="1"/>
  <c r="C624" i="35" s="1"/>
  <c r="F623" i="35"/>
  <c r="G623" i="35" s="1"/>
  <c r="F624" i="35"/>
  <c r="G624" i="35" s="1"/>
  <c r="J623" i="35"/>
  <c r="K623" i="35" s="1"/>
  <c r="J624" i="35"/>
  <c r="K624" i="35" s="1"/>
  <c r="Q623" i="35"/>
  <c r="Q624" i="35"/>
  <c r="C622" i="35" a="1"/>
  <c r="C622" i="35" s="1"/>
  <c r="F622" i="35"/>
  <c r="G622" i="35" s="1"/>
  <c r="J622" i="35"/>
  <c r="K622" i="35" s="1"/>
  <c r="Q622" i="35"/>
  <c r="C457" i="31" a="1"/>
  <c r="C457" i="31" s="1"/>
  <c r="D457" i="31" a="1"/>
  <c r="D457" i="31" s="1"/>
  <c r="L457" i="31"/>
  <c r="Q457" i="31"/>
  <c r="R457" i="31"/>
  <c r="U457" i="31"/>
  <c r="V457" i="31"/>
  <c r="W457" i="31"/>
  <c r="AB457" i="31"/>
  <c r="AC457" i="31"/>
  <c r="AF457" i="31"/>
  <c r="B510" i="33" a="1"/>
  <c r="B510" i="33" s="1"/>
  <c r="E510" i="33" a="1"/>
  <c r="E510" i="33" s="1"/>
  <c r="F510" i="33" a="1"/>
  <c r="F510" i="33" s="1"/>
  <c r="G510" i="33" a="1"/>
  <c r="G510" i="33" s="1"/>
  <c r="L510" i="33" a="1"/>
  <c r="L510" i="33" s="1"/>
  <c r="M510" i="33"/>
  <c r="N510" i="33"/>
  <c r="P510" i="33"/>
  <c r="B145" i="33" a="1"/>
  <c r="B145" i="33" s="1"/>
  <c r="E145" i="33" a="1"/>
  <c r="E145" i="33" s="1"/>
  <c r="F145" i="33" a="1"/>
  <c r="F145" i="33" s="1"/>
  <c r="G145" i="33" a="1"/>
  <c r="G145" i="33" s="1"/>
  <c r="H145" i="33"/>
  <c r="I145" i="33"/>
  <c r="L145" i="33" a="1"/>
  <c r="L145" i="33" s="1"/>
  <c r="M145" i="33"/>
  <c r="N145" i="33"/>
  <c r="E63" i="40" s="1"/>
  <c r="P145" i="33"/>
  <c r="B195" i="33" a="1"/>
  <c r="B195" i="33" s="1"/>
  <c r="E195" i="33" a="1"/>
  <c r="E195" i="33" s="1"/>
  <c r="F195" i="33" a="1"/>
  <c r="F195" i="33" s="1"/>
  <c r="G195" i="33" a="1"/>
  <c r="G195" i="33" s="1"/>
  <c r="L195" i="33" a="1"/>
  <c r="L195" i="33" s="1"/>
  <c r="M195" i="33"/>
  <c r="N195" i="33"/>
  <c r="P195" i="33"/>
  <c r="B1024" i="31" a="1"/>
  <c r="B1024" i="31" s="1"/>
  <c r="G1024" i="31"/>
  <c r="I1024" i="31"/>
  <c r="J1024" i="31"/>
  <c r="K1024" i="31"/>
  <c r="O1024" i="31" a="1"/>
  <c r="O1024" i="31" s="1"/>
  <c r="Y1024" i="31" s="1"/>
  <c r="T1024" i="31" a="1"/>
  <c r="T1024" i="31" s="1"/>
  <c r="V1024" i="31"/>
  <c r="X1024" i="31"/>
  <c r="B1023" i="31" a="1"/>
  <c r="B1023" i="31" s="1"/>
  <c r="H1023" i="31"/>
  <c r="I1023" i="31"/>
  <c r="J1023" i="31"/>
  <c r="K1023" i="31"/>
  <c r="O1023" i="31" a="1"/>
  <c r="O1023" i="31" s="1"/>
  <c r="T1023" i="31" a="1"/>
  <c r="T1023" i="31" s="1"/>
  <c r="V1023" i="31"/>
  <c r="X1023" i="31"/>
  <c r="C621" i="35" a="1"/>
  <c r="C621" i="35" s="1"/>
  <c r="F621" i="35"/>
  <c r="H1433" i="35" s="1"/>
  <c r="J621" i="35"/>
  <c r="L1433" i="35" s="1"/>
  <c r="Q621" i="35"/>
  <c r="B152" i="33" a="1"/>
  <c r="B152" i="33" s="1"/>
  <c r="E152" i="33" a="1"/>
  <c r="E152" i="33" s="1"/>
  <c r="F152" i="33" a="1"/>
  <c r="F152" i="33" s="1"/>
  <c r="G152" i="33" a="1"/>
  <c r="G152" i="33" s="1"/>
  <c r="L152" i="33" a="1"/>
  <c r="L152" i="33" s="1"/>
  <c r="M152" i="33"/>
  <c r="N152" i="33"/>
  <c r="P152" i="33"/>
  <c r="C620" i="35" a="1"/>
  <c r="C620" i="35" s="1"/>
  <c r="F620" i="35"/>
  <c r="G620" i="35" s="1"/>
  <c r="J620" i="35"/>
  <c r="K620" i="35" s="1"/>
  <c r="Q620" i="35"/>
  <c r="C619" i="35" a="1"/>
  <c r="C619" i="35" s="1"/>
  <c r="F619" i="35"/>
  <c r="G619" i="35" s="1"/>
  <c r="J619" i="35"/>
  <c r="K619" i="35" s="1"/>
  <c r="Q619" i="35"/>
  <c r="C392" i="31" a="1"/>
  <c r="C392" i="31" s="1"/>
  <c r="D392" i="31" a="1"/>
  <c r="D392" i="31" s="1"/>
  <c r="L392" i="31"/>
  <c r="Q392" i="31"/>
  <c r="R392" i="31"/>
  <c r="U392" i="31"/>
  <c r="V392" i="31"/>
  <c r="W392" i="31"/>
  <c r="AB392" i="31"/>
  <c r="AC392" i="31"/>
  <c r="AF392" i="31"/>
  <c r="C618" i="35" a="1"/>
  <c r="C618" i="35" s="1"/>
  <c r="F618" i="35"/>
  <c r="G618" i="35" s="1"/>
  <c r="J618" i="35"/>
  <c r="K618" i="35" s="1"/>
  <c r="Q618" i="35"/>
  <c r="C617" i="35" a="1"/>
  <c r="C617" i="35" s="1"/>
  <c r="F617" i="35"/>
  <c r="G617" i="35" s="1"/>
  <c r="J617" i="35"/>
  <c r="K617" i="35" s="1"/>
  <c r="Q617" i="35"/>
  <c r="C616" i="35" a="1"/>
  <c r="C616" i="35" s="1"/>
  <c r="F616" i="35"/>
  <c r="G616" i="35" s="1"/>
  <c r="J616" i="35"/>
  <c r="K616" i="35" s="1"/>
  <c r="Q616" i="35"/>
  <c r="C615" i="35" a="1"/>
  <c r="C615" i="35" s="1"/>
  <c r="F615" i="35"/>
  <c r="H1156" i="35" s="1"/>
  <c r="J615" i="35"/>
  <c r="L1156" i="35" s="1"/>
  <c r="Q615" i="35"/>
  <c r="B508" i="33" a="1"/>
  <c r="B508" i="33" s="1"/>
  <c r="E508" i="33" a="1"/>
  <c r="E508" i="33" s="1"/>
  <c r="F508" i="33" a="1"/>
  <c r="F508" i="33" s="1"/>
  <c r="G508" i="33" a="1"/>
  <c r="G508" i="33" s="1"/>
  <c r="L508" i="33" a="1"/>
  <c r="L508" i="33" s="1"/>
  <c r="M508" i="33"/>
  <c r="N508" i="33"/>
  <c r="P508" i="33"/>
  <c r="C614" i="35" a="1"/>
  <c r="C614" i="35" s="1"/>
  <c r="F614" i="35"/>
  <c r="J614" i="35"/>
  <c r="Q614" i="35"/>
  <c r="B192" i="33" a="1"/>
  <c r="B192" i="33" s="1"/>
  <c r="E192" i="33" a="1"/>
  <c r="E192" i="33" s="1"/>
  <c r="F192" i="33" a="1"/>
  <c r="F192" i="33" s="1"/>
  <c r="G192" i="33" a="1"/>
  <c r="G192" i="33" s="1"/>
  <c r="L192" i="33" a="1"/>
  <c r="L192" i="33" s="1"/>
  <c r="M192" i="33"/>
  <c r="N192" i="33"/>
  <c r="P192" i="33"/>
  <c r="C613" i="35" a="1"/>
  <c r="C613" i="35" s="1"/>
  <c r="F613" i="35"/>
  <c r="J613" i="35"/>
  <c r="Q613" i="35"/>
  <c r="B215" i="33" a="1"/>
  <c r="B215" i="33" s="1"/>
  <c r="E215" i="33" a="1"/>
  <c r="E215" i="33" s="1"/>
  <c r="F215" i="33" a="1"/>
  <c r="F215" i="33" s="1"/>
  <c r="G215" i="33" a="1"/>
  <c r="G215" i="33" s="1"/>
  <c r="L215" i="33" a="1"/>
  <c r="L215" i="33" s="1"/>
  <c r="M215" i="33"/>
  <c r="N215" i="33"/>
  <c r="P215" i="33"/>
  <c r="C612" i="35" a="1"/>
  <c r="C612" i="35" s="1"/>
  <c r="F612" i="35"/>
  <c r="J612" i="35"/>
  <c r="Q612" i="35"/>
  <c r="B80" i="33" a="1"/>
  <c r="B80" i="33" s="1"/>
  <c r="E80" i="33" a="1"/>
  <c r="E80" i="33" s="1"/>
  <c r="F80" i="33" a="1"/>
  <c r="F80" i="33" s="1"/>
  <c r="G80" i="33" a="1"/>
  <c r="G80" i="33" s="1"/>
  <c r="L80" i="33" a="1"/>
  <c r="L80" i="33" s="1"/>
  <c r="M80" i="33"/>
  <c r="N80" i="33"/>
  <c r="P80" i="33"/>
  <c r="C611" i="35" a="1"/>
  <c r="C611" i="35" s="1"/>
  <c r="F611" i="35"/>
  <c r="G611" i="35" s="1"/>
  <c r="J611" i="35"/>
  <c r="K611" i="35" s="1"/>
  <c r="Q611" i="35"/>
  <c r="C404" i="31" a="1"/>
  <c r="C404" i="31" s="1"/>
  <c r="D404" i="31" a="1"/>
  <c r="D404" i="31" s="1"/>
  <c r="L404" i="31"/>
  <c r="Q404" i="31"/>
  <c r="R404" i="31"/>
  <c r="U404" i="31"/>
  <c r="V404" i="31"/>
  <c r="W404" i="31"/>
  <c r="AB404" i="31"/>
  <c r="AC404" i="31"/>
  <c r="AF404" i="31"/>
  <c r="C399" i="31" a="1"/>
  <c r="C399" i="31" s="1"/>
  <c r="D399" i="31" a="1"/>
  <c r="D399" i="31" s="1"/>
  <c r="L399" i="31"/>
  <c r="Q399" i="31"/>
  <c r="R399" i="31"/>
  <c r="U399" i="31"/>
  <c r="V399" i="31"/>
  <c r="W399" i="31"/>
  <c r="AB399" i="31"/>
  <c r="AC399" i="31"/>
  <c r="AF399" i="31"/>
  <c r="C610" i="35" a="1"/>
  <c r="C610" i="35" s="1"/>
  <c r="F610" i="35"/>
  <c r="G610" i="35" s="1"/>
  <c r="J610" i="35"/>
  <c r="K610" i="35" s="1"/>
  <c r="Q610" i="35"/>
  <c r="C609" i="35" a="1"/>
  <c r="C609" i="35" s="1"/>
  <c r="F609" i="35"/>
  <c r="G609" i="35" s="1"/>
  <c r="J609" i="35"/>
  <c r="K609" i="35" s="1"/>
  <c r="Q609" i="35"/>
  <c r="C409" i="31" a="1"/>
  <c r="C409" i="31" s="1"/>
  <c r="D409" i="31" a="1"/>
  <c r="D409" i="31" s="1"/>
  <c r="L409" i="31"/>
  <c r="Q409" i="31"/>
  <c r="R409" i="31"/>
  <c r="U409" i="31"/>
  <c r="V409" i="31"/>
  <c r="W409" i="31"/>
  <c r="AB409" i="31"/>
  <c r="AC409" i="31"/>
  <c r="AF409" i="31"/>
  <c r="C408" i="31" a="1"/>
  <c r="C408" i="31" s="1"/>
  <c r="D408" i="31" a="1"/>
  <c r="D408" i="31" s="1"/>
  <c r="L408" i="31"/>
  <c r="Q408" i="31"/>
  <c r="R408" i="31"/>
  <c r="U408" i="31"/>
  <c r="V408" i="31"/>
  <c r="W408" i="31"/>
  <c r="AB408" i="31"/>
  <c r="AC408" i="31"/>
  <c r="AF408" i="31"/>
  <c r="C424" i="31" a="1"/>
  <c r="C424" i="31" s="1"/>
  <c r="D424" i="31" a="1"/>
  <c r="D424" i="31" s="1"/>
  <c r="L424" i="31"/>
  <c r="Q424" i="31"/>
  <c r="R424" i="31"/>
  <c r="U424" i="31"/>
  <c r="V424" i="31"/>
  <c r="W424" i="31"/>
  <c r="AB424" i="31"/>
  <c r="AC424" i="31"/>
  <c r="AF424" i="31"/>
  <c r="C115" i="31" a="1"/>
  <c r="C115" i="31" s="1"/>
  <c r="D115" i="31" a="1"/>
  <c r="D115" i="31" s="1"/>
  <c r="L115" i="31"/>
  <c r="Q115" i="31"/>
  <c r="R115" i="31"/>
  <c r="U115" i="31"/>
  <c r="V115" i="31"/>
  <c r="W115" i="31"/>
  <c r="AB115" i="31"/>
  <c r="AC115" i="31"/>
  <c r="AF115" i="31"/>
  <c r="C133" i="31" a="1"/>
  <c r="C133" i="31" s="1"/>
  <c r="D133" i="31" a="1"/>
  <c r="D133" i="31" s="1"/>
  <c r="L133" i="31"/>
  <c r="Q133" i="31"/>
  <c r="R133" i="31"/>
  <c r="U133" i="31"/>
  <c r="V133" i="31"/>
  <c r="W133" i="31"/>
  <c r="AB133" i="31"/>
  <c r="AC133" i="31"/>
  <c r="AF133" i="31"/>
  <c r="C100" i="31" a="1"/>
  <c r="C100" i="31" s="1"/>
  <c r="D100" i="31" a="1"/>
  <c r="D100" i="31" s="1"/>
  <c r="L100" i="31"/>
  <c r="Q100" i="31"/>
  <c r="R100" i="31"/>
  <c r="U100" i="31"/>
  <c r="V100" i="31"/>
  <c r="W100" i="31"/>
  <c r="AB100" i="31"/>
  <c r="AC100" i="31"/>
  <c r="AF100" i="31"/>
  <c r="C130" i="31" a="1"/>
  <c r="C130" i="31" s="1"/>
  <c r="D130" i="31" a="1"/>
  <c r="D130" i="31" s="1"/>
  <c r="L130" i="31"/>
  <c r="Q130" i="31"/>
  <c r="R130" i="31"/>
  <c r="U130" i="31"/>
  <c r="V130" i="31"/>
  <c r="W130" i="31"/>
  <c r="AB130" i="31"/>
  <c r="AC130" i="31"/>
  <c r="AF130" i="31"/>
  <c r="C92" i="31" a="1"/>
  <c r="C92" i="31" s="1"/>
  <c r="D92" i="31" a="1"/>
  <c r="D92" i="31" s="1"/>
  <c r="L92" i="31"/>
  <c r="Q92" i="31"/>
  <c r="R92" i="31"/>
  <c r="U92" i="31"/>
  <c r="V92" i="31"/>
  <c r="W92" i="31"/>
  <c r="AB92" i="31"/>
  <c r="AC92" i="31"/>
  <c r="AF92" i="31"/>
  <c r="C120" i="31" a="1"/>
  <c r="C120" i="31" s="1"/>
  <c r="D120" i="31" a="1"/>
  <c r="D120" i="31" s="1"/>
  <c r="L120" i="31"/>
  <c r="Q120" i="31"/>
  <c r="R120" i="31"/>
  <c r="U120" i="31"/>
  <c r="V120" i="31"/>
  <c r="W120" i="31"/>
  <c r="AB120" i="31"/>
  <c r="AC120" i="31"/>
  <c r="AF120" i="31"/>
  <c r="C608" i="35" a="1"/>
  <c r="C608" i="35" s="1"/>
  <c r="F608" i="35"/>
  <c r="G608" i="35" s="1"/>
  <c r="J608" i="35"/>
  <c r="K608" i="35" s="1"/>
  <c r="Q608" i="35"/>
  <c r="C607" i="35" a="1"/>
  <c r="C607" i="35" s="1"/>
  <c r="F607" i="35"/>
  <c r="G607" i="35" s="1"/>
  <c r="J607" i="35"/>
  <c r="K607" i="35" s="1"/>
  <c r="Q607" i="35"/>
  <c r="H237" i="6"/>
  <c r="J237" i="6" s="1"/>
  <c r="I237" i="6"/>
  <c r="K237" i="6" s="1"/>
  <c r="U237" i="6"/>
  <c r="L1808" i="35" l="1"/>
  <c r="L1893" i="35"/>
  <c r="H1808" i="35"/>
  <c r="H1893" i="35"/>
  <c r="L1510" i="35"/>
  <c r="H1510" i="35"/>
  <c r="H1459" i="35"/>
  <c r="L1459" i="35"/>
  <c r="H1386" i="35"/>
  <c r="L1383" i="35"/>
  <c r="L1386" i="35"/>
  <c r="H1383" i="35"/>
  <c r="H1253" i="35"/>
  <c r="L1253" i="35"/>
  <c r="H1317" i="35"/>
  <c r="L1317" i="35"/>
  <c r="L1295" i="35"/>
  <c r="L1297" i="35"/>
  <c r="H1295" i="35"/>
  <c r="H1297" i="35"/>
  <c r="L1284" i="35"/>
  <c r="H1284" i="35"/>
  <c r="H1257" i="35"/>
  <c r="L1257" i="35"/>
  <c r="L1251" i="35"/>
  <c r="H1208" i="35"/>
  <c r="H1251" i="35"/>
  <c r="L1148" i="35"/>
  <c r="L1218" i="35"/>
  <c r="H1148" i="35"/>
  <c r="H1218" i="35"/>
  <c r="L1208" i="35"/>
  <c r="L1183" i="35"/>
  <c r="H1134" i="35"/>
  <c r="H1183" i="35"/>
  <c r="L1134" i="35"/>
  <c r="G621" i="35"/>
  <c r="I1433" i="35" s="1"/>
  <c r="O1433" i="35" s="1"/>
  <c r="H1136" i="35"/>
  <c r="K621" i="35"/>
  <c r="M1433" i="35" s="1"/>
  <c r="N1433" i="35" s="1"/>
  <c r="L1136" i="35"/>
  <c r="F95" i="36"/>
  <c r="H1070" i="35"/>
  <c r="K613" i="35"/>
  <c r="L1079" i="35"/>
  <c r="G613" i="35"/>
  <c r="H1079" i="35"/>
  <c r="L1070" i="35"/>
  <c r="H969" i="35"/>
  <c r="L999" i="35"/>
  <c r="L1000" i="35"/>
  <c r="H999" i="35"/>
  <c r="H1000" i="35"/>
  <c r="L969" i="35"/>
  <c r="H868" i="35"/>
  <c r="L868" i="35"/>
  <c r="G625" i="35"/>
  <c r="I888" i="35" s="1"/>
  <c r="H888" i="35"/>
  <c r="K625" i="35"/>
  <c r="M888" i="35" s="1"/>
  <c r="L888" i="35"/>
  <c r="K612" i="35"/>
  <c r="L833" i="35"/>
  <c r="G612" i="35"/>
  <c r="H833" i="35"/>
  <c r="K614" i="35"/>
  <c r="L785" i="35"/>
  <c r="G614" i="35"/>
  <c r="H785" i="35"/>
  <c r="J239" i="6"/>
  <c r="L275" i="6"/>
  <c r="K239" i="6"/>
  <c r="M275" i="6"/>
  <c r="K630" i="35"/>
  <c r="L716" i="35"/>
  <c r="G630" i="35"/>
  <c r="H716" i="35"/>
  <c r="K615" i="35"/>
  <c r="M1156" i="35" s="1"/>
  <c r="N1156" i="35" s="1"/>
  <c r="G615" i="35"/>
  <c r="I1156" i="35" s="1"/>
  <c r="O1156" i="35" s="1"/>
  <c r="K629" i="35"/>
  <c r="L682" i="35"/>
  <c r="G629" i="35"/>
  <c r="H682" i="35"/>
  <c r="M239" i="6"/>
  <c r="L630" i="35"/>
  <c r="S457" i="31"/>
  <c r="T457" i="31" s="1"/>
  <c r="S466" i="31"/>
  <c r="T466" i="31" s="1"/>
  <c r="AD466" i="31"/>
  <c r="H629" i="35"/>
  <c r="L625" i="35"/>
  <c r="L621" i="35"/>
  <c r="H615" i="35"/>
  <c r="L629" i="35"/>
  <c r="L239" i="6"/>
  <c r="Q195" i="33"/>
  <c r="R195" i="33" s="1"/>
  <c r="L631" i="35"/>
  <c r="H630" i="35"/>
  <c r="H631" i="35"/>
  <c r="H625" i="35"/>
  <c r="H612" i="35"/>
  <c r="X466" i="31"/>
  <c r="Y466" i="31" s="1"/>
  <c r="Z466" i="31"/>
  <c r="L623" i="35"/>
  <c r="H623" i="35"/>
  <c r="L614" i="35"/>
  <c r="S145" i="33"/>
  <c r="H621" i="35"/>
  <c r="AD457" i="31"/>
  <c r="X457" i="31"/>
  <c r="Y457" i="31" s="1"/>
  <c r="Z457" i="31"/>
  <c r="Q510" i="33"/>
  <c r="R510" i="33" s="1"/>
  <c r="J145" i="33"/>
  <c r="K145" i="33"/>
  <c r="Q145" i="33"/>
  <c r="Q508" i="33"/>
  <c r="R508" i="33" s="1"/>
  <c r="S392" i="31"/>
  <c r="T392" i="31" s="1"/>
  <c r="G1023" i="31" s="1"/>
  <c r="S399" i="31"/>
  <c r="T399" i="31" s="1"/>
  <c r="S404" i="31"/>
  <c r="T404" i="31" s="1"/>
  <c r="R1024" i="31"/>
  <c r="Q1024" i="31"/>
  <c r="AA1024" i="31"/>
  <c r="Q1023" i="31"/>
  <c r="R1023" i="31"/>
  <c r="Y1023" i="31"/>
  <c r="AA1023" i="31"/>
  <c r="H614" i="35"/>
  <c r="Q152" i="33"/>
  <c r="R152" i="33" s="1"/>
  <c r="AD392" i="31"/>
  <c r="X392" i="31"/>
  <c r="Y392" i="31" s="1"/>
  <c r="Z392" i="31"/>
  <c r="Z399" i="31"/>
  <c r="Z404" i="31"/>
  <c r="L615" i="35"/>
  <c r="H613" i="35"/>
  <c r="L612" i="35"/>
  <c r="L613" i="35"/>
  <c r="Q192" i="33"/>
  <c r="R192" i="33" s="1"/>
  <c r="Q80" i="33"/>
  <c r="R80" i="33" s="1"/>
  <c r="Q215" i="33"/>
  <c r="R215" i="33" s="1"/>
  <c r="X404" i="31"/>
  <c r="Y404" i="31" s="1"/>
  <c r="AD404" i="31"/>
  <c r="X399" i="31"/>
  <c r="Y399" i="31" s="1"/>
  <c r="AD399" i="31"/>
  <c r="S409" i="31"/>
  <c r="T409" i="31" s="1"/>
  <c r="AD409" i="31"/>
  <c r="AD408" i="31"/>
  <c r="X409" i="31"/>
  <c r="Y409" i="31" s="1"/>
  <c r="Z409" i="31"/>
  <c r="S408" i="31"/>
  <c r="T408" i="31" s="1"/>
  <c r="X408" i="31"/>
  <c r="Y408" i="31" s="1"/>
  <c r="Z408" i="31"/>
  <c r="S424" i="31"/>
  <c r="T424" i="31" s="1"/>
  <c r="AD424" i="31"/>
  <c r="Z424" i="31"/>
  <c r="X424" i="31"/>
  <c r="Y424" i="31" s="1"/>
  <c r="S115" i="31"/>
  <c r="T115" i="31" s="1"/>
  <c r="AD115" i="31"/>
  <c r="Z115" i="31"/>
  <c r="X115" i="31"/>
  <c r="Y115" i="31" s="1"/>
  <c r="S133" i="31"/>
  <c r="T133" i="31" s="1"/>
  <c r="S130" i="31"/>
  <c r="T130" i="31" s="1"/>
  <c r="AD133" i="31"/>
  <c r="X133" i="31"/>
  <c r="Y133" i="31" s="1"/>
  <c r="Z133" i="31"/>
  <c r="S100" i="31"/>
  <c r="T100" i="31" s="1"/>
  <c r="AD130" i="31"/>
  <c r="Z130" i="31"/>
  <c r="X100" i="31"/>
  <c r="Y100" i="31" s="1"/>
  <c r="Z100" i="31"/>
  <c r="AD100" i="31"/>
  <c r="X130" i="31"/>
  <c r="Y130" i="31" s="1"/>
  <c r="S120" i="31"/>
  <c r="T120" i="31" s="1"/>
  <c r="S92" i="31"/>
  <c r="T92" i="31" s="1"/>
  <c r="AD92" i="31"/>
  <c r="X92" i="31"/>
  <c r="Y92" i="31" s="1"/>
  <c r="Z120" i="31"/>
  <c r="Z92" i="31"/>
  <c r="AD120" i="31"/>
  <c r="X120" i="31"/>
  <c r="Y120" i="31" s="1"/>
  <c r="C606" i="35" a="1"/>
  <c r="C606" i="35" s="1"/>
  <c r="F606" i="35"/>
  <c r="H1879" i="35" s="1"/>
  <c r="J606" i="35"/>
  <c r="L1879" i="35" s="1"/>
  <c r="Q606" i="35"/>
  <c r="C605" i="35" a="1"/>
  <c r="C605" i="35" s="1"/>
  <c r="F605" i="35"/>
  <c r="J605" i="35"/>
  <c r="Q605" i="35"/>
  <c r="B146" i="33" a="1"/>
  <c r="B146" i="33" s="1"/>
  <c r="E146" i="33" a="1"/>
  <c r="E146" i="33" s="1"/>
  <c r="F146" i="33" a="1"/>
  <c r="F146" i="33" s="1"/>
  <c r="G146" i="33" a="1"/>
  <c r="G146" i="33" s="1"/>
  <c r="L146" i="33" a="1"/>
  <c r="L146" i="33" s="1"/>
  <c r="M146" i="33"/>
  <c r="N146" i="33"/>
  <c r="P146" i="33"/>
  <c r="B130" i="33" a="1"/>
  <c r="B130" i="33" s="1"/>
  <c r="E130" i="33" a="1"/>
  <c r="E130" i="33" s="1"/>
  <c r="F130" i="33" a="1"/>
  <c r="F130" i="33" s="1"/>
  <c r="G130" i="33" a="1"/>
  <c r="G130" i="33" s="1"/>
  <c r="H130" i="33"/>
  <c r="I130" i="33"/>
  <c r="L130" i="33" a="1"/>
  <c r="L130" i="33" s="1"/>
  <c r="P130" i="33"/>
  <c r="C425" i="31" a="1"/>
  <c r="C425" i="31" s="1"/>
  <c r="D425" i="31" a="1"/>
  <c r="D425" i="31" s="1"/>
  <c r="L425" i="31"/>
  <c r="Q425" i="31"/>
  <c r="R425" i="31"/>
  <c r="U425" i="31"/>
  <c r="V425" i="31"/>
  <c r="W425" i="31"/>
  <c r="AB425" i="31"/>
  <c r="AC425" i="31"/>
  <c r="AF425" i="31"/>
  <c r="C604" i="35" a="1"/>
  <c r="C604" i="35" s="1"/>
  <c r="F604" i="35"/>
  <c r="J604" i="35"/>
  <c r="Q604" i="35"/>
  <c r="B187" i="33" a="1"/>
  <c r="B187" i="33" s="1"/>
  <c r="E187" i="33" a="1"/>
  <c r="E187" i="33" s="1"/>
  <c r="F187" i="33" a="1"/>
  <c r="F187" i="33" s="1"/>
  <c r="G187" i="33" a="1"/>
  <c r="G187" i="33" s="1"/>
  <c r="L187" i="33" a="1"/>
  <c r="L187" i="33" s="1"/>
  <c r="M187" i="33"/>
  <c r="N187" i="33"/>
  <c r="P187" i="33"/>
  <c r="C603" i="35" a="1"/>
  <c r="C603" i="35" s="1"/>
  <c r="F603" i="35"/>
  <c r="G603" i="35" s="1"/>
  <c r="J603" i="35"/>
  <c r="K603" i="35" s="1"/>
  <c r="Q603" i="35"/>
  <c r="C602" i="35" a="1"/>
  <c r="C602" i="35" s="1"/>
  <c r="F602" i="35"/>
  <c r="G602" i="35" s="1"/>
  <c r="J602" i="35"/>
  <c r="K602" i="35" s="1"/>
  <c r="Q602" i="35"/>
  <c r="C415" i="31" a="1"/>
  <c r="C415" i="31" s="1"/>
  <c r="D415" i="31" a="1"/>
  <c r="D415" i="31" s="1"/>
  <c r="L415" i="31"/>
  <c r="Q415" i="31"/>
  <c r="R415" i="31"/>
  <c r="U415" i="31"/>
  <c r="V415" i="31"/>
  <c r="W415" i="31"/>
  <c r="AB415" i="31"/>
  <c r="AC415" i="31"/>
  <c r="AF415" i="31"/>
  <c r="C414" i="31" a="1"/>
  <c r="C414" i="31" s="1"/>
  <c r="D414" i="31" a="1"/>
  <c r="D414" i="31" s="1"/>
  <c r="L414" i="31"/>
  <c r="Q414" i="31"/>
  <c r="R414" i="31"/>
  <c r="U414" i="31"/>
  <c r="V414" i="31"/>
  <c r="W414" i="31"/>
  <c r="AB414" i="31"/>
  <c r="AC414" i="31"/>
  <c r="AF414" i="31"/>
  <c r="C380" i="31" a="1"/>
  <c r="C380" i="31" s="1"/>
  <c r="D380" i="31" a="1"/>
  <c r="D380" i="31" s="1"/>
  <c r="L380" i="31"/>
  <c r="Q380" i="31"/>
  <c r="R380" i="31"/>
  <c r="U380" i="31"/>
  <c r="V380" i="31"/>
  <c r="W380" i="31"/>
  <c r="AB380" i="31"/>
  <c r="AC380" i="31"/>
  <c r="AF380" i="31"/>
  <c r="C369" i="31" a="1"/>
  <c r="C369" i="31" s="1"/>
  <c r="D369" i="31" a="1"/>
  <c r="D369" i="31" s="1"/>
  <c r="L369" i="31"/>
  <c r="Q369" i="31"/>
  <c r="R369" i="31"/>
  <c r="U369" i="31"/>
  <c r="V369" i="31"/>
  <c r="W369" i="31"/>
  <c r="AB369" i="31"/>
  <c r="AC369" i="31"/>
  <c r="AF369" i="31"/>
  <c r="C10" i="31" a="1"/>
  <c r="C10" i="31" s="1"/>
  <c r="D10" i="31" a="1"/>
  <c r="D10" i="31" s="1"/>
  <c r="L10" i="31"/>
  <c r="Q10" i="31"/>
  <c r="R10" i="31"/>
  <c r="U10" i="31"/>
  <c r="V10" i="31"/>
  <c r="W10" i="31"/>
  <c r="AB10" i="31"/>
  <c r="AC10" i="31"/>
  <c r="AF10" i="31"/>
  <c r="C9" i="31" a="1"/>
  <c r="C9" i="31" s="1"/>
  <c r="D9" i="31" a="1"/>
  <c r="D9" i="31" s="1"/>
  <c r="L9" i="31"/>
  <c r="Q9" i="31"/>
  <c r="R9" i="31"/>
  <c r="U9" i="31"/>
  <c r="V9" i="31"/>
  <c r="W9" i="31"/>
  <c r="AB9" i="31"/>
  <c r="AC9" i="31"/>
  <c r="AF9" i="31"/>
  <c r="C601" i="35" a="1"/>
  <c r="C601" i="35" s="1"/>
  <c r="F601" i="35"/>
  <c r="G601" i="35" s="1"/>
  <c r="J601" i="35"/>
  <c r="K601" i="35" s="1"/>
  <c r="Q601" i="35"/>
  <c r="C600" i="35" a="1"/>
  <c r="C600" i="35" s="1"/>
  <c r="F600" i="35"/>
  <c r="G600" i="35" s="1"/>
  <c r="J600" i="35"/>
  <c r="K600" i="35" s="1"/>
  <c r="Q600" i="35"/>
  <c r="C599" i="35" a="1"/>
  <c r="C599" i="35" s="1"/>
  <c r="F599" i="35"/>
  <c r="G599" i="35" s="1"/>
  <c r="J599" i="35"/>
  <c r="K599" i="35" s="1"/>
  <c r="Q599" i="35"/>
  <c r="C598" i="35" a="1"/>
  <c r="C598" i="35" s="1"/>
  <c r="F598" i="35"/>
  <c r="G598" i="35" s="1"/>
  <c r="J598" i="35"/>
  <c r="K598" i="35" s="1"/>
  <c r="C597" i="35" a="1"/>
  <c r="C597" i="35" s="1"/>
  <c r="F597" i="35"/>
  <c r="G597" i="35" s="1"/>
  <c r="J597" i="35"/>
  <c r="K597" i="35" s="1"/>
  <c r="Q597" i="35"/>
  <c r="C596" i="35" a="1"/>
  <c r="C596" i="35" s="1"/>
  <c r="F596" i="35"/>
  <c r="G596" i="35" s="1"/>
  <c r="J596" i="35"/>
  <c r="K596" i="35" s="1"/>
  <c r="Q596" i="35"/>
  <c r="C595" i="35" a="1"/>
  <c r="C595" i="35" s="1"/>
  <c r="F595" i="35"/>
  <c r="G595" i="35" s="1"/>
  <c r="J595" i="35"/>
  <c r="K595" i="35" s="1"/>
  <c r="Q595" i="35"/>
  <c r="C594" i="35" a="1"/>
  <c r="C594" i="35" s="1"/>
  <c r="F594" i="35"/>
  <c r="G594" i="35" s="1"/>
  <c r="J594" i="35"/>
  <c r="K594" i="35" s="1"/>
  <c r="Q594" i="35"/>
  <c r="C593" i="35" a="1"/>
  <c r="C593" i="35" s="1"/>
  <c r="F593" i="35"/>
  <c r="G593" i="35" s="1"/>
  <c r="J593" i="35"/>
  <c r="K593" i="35" s="1"/>
  <c r="Q593" i="35"/>
  <c r="C592" i="35" a="1"/>
  <c r="C592" i="35" s="1"/>
  <c r="F592" i="35"/>
  <c r="G592" i="35" s="1"/>
  <c r="J592" i="35"/>
  <c r="K592" i="35" s="1"/>
  <c r="Q592" i="35"/>
  <c r="C396" i="31" a="1"/>
  <c r="C396" i="31" s="1"/>
  <c r="D396" i="31" a="1"/>
  <c r="D396" i="31" s="1"/>
  <c r="L396" i="31"/>
  <c r="Q396" i="31"/>
  <c r="R396" i="31"/>
  <c r="U396" i="31"/>
  <c r="V396" i="31"/>
  <c r="W396" i="31"/>
  <c r="AB396" i="31"/>
  <c r="AC396" i="31"/>
  <c r="AF396" i="31"/>
  <c r="C461" i="31" a="1"/>
  <c r="C461" i="31" s="1"/>
  <c r="D461" i="31" a="1"/>
  <c r="D461" i="31" s="1"/>
  <c r="L461" i="31"/>
  <c r="Q461" i="31"/>
  <c r="R461" i="31"/>
  <c r="U461" i="31"/>
  <c r="V461" i="31"/>
  <c r="W461" i="31"/>
  <c r="AB461" i="31"/>
  <c r="AC461" i="31"/>
  <c r="AF461" i="31"/>
  <c r="C119" i="31" a="1"/>
  <c r="C119" i="31" s="1"/>
  <c r="D119" i="31" a="1"/>
  <c r="D119" i="31" s="1"/>
  <c r="L119" i="31"/>
  <c r="Q119" i="31"/>
  <c r="R119" i="31"/>
  <c r="U119" i="31"/>
  <c r="V119" i="31"/>
  <c r="W119" i="31"/>
  <c r="AB119" i="31"/>
  <c r="AC119" i="31"/>
  <c r="AF119" i="31"/>
  <c r="C142" i="31" a="1"/>
  <c r="C142" i="31" s="1"/>
  <c r="D142" i="31" a="1"/>
  <c r="D142" i="31" s="1"/>
  <c r="L142" i="31"/>
  <c r="Q142" i="31"/>
  <c r="R142" i="31"/>
  <c r="U142" i="31"/>
  <c r="V142" i="31"/>
  <c r="W142" i="31"/>
  <c r="AB142" i="31"/>
  <c r="AC142" i="31"/>
  <c r="AF142" i="31"/>
  <c r="C591" i="35" a="1"/>
  <c r="C591" i="35" s="1"/>
  <c r="F591" i="35"/>
  <c r="G591" i="35" s="1"/>
  <c r="J591" i="35"/>
  <c r="K591" i="35" s="1"/>
  <c r="Q591" i="35"/>
  <c r="C590" i="35" a="1"/>
  <c r="C590" i="35" s="1"/>
  <c r="F590" i="35"/>
  <c r="G590" i="35" s="1"/>
  <c r="J590" i="35"/>
  <c r="K590" i="35" s="1"/>
  <c r="Q590" i="35"/>
  <c r="C589" i="35" a="1"/>
  <c r="C589" i="35" s="1"/>
  <c r="F589" i="35"/>
  <c r="G589" i="35" s="1"/>
  <c r="J589" i="35"/>
  <c r="K589" i="35" s="1"/>
  <c r="Q589" i="35"/>
  <c r="C588" i="35" a="1"/>
  <c r="C588" i="35" s="1"/>
  <c r="F588" i="35"/>
  <c r="G588" i="35" s="1"/>
  <c r="J588" i="35"/>
  <c r="K588" i="35" s="1"/>
  <c r="Q588" i="35"/>
  <c r="C587" i="35" a="1"/>
  <c r="C587" i="35" s="1"/>
  <c r="F587" i="35"/>
  <c r="G587" i="35" s="1"/>
  <c r="J587" i="35"/>
  <c r="K587" i="35" s="1"/>
  <c r="Q587" i="35"/>
  <c r="C586" i="35" a="1"/>
  <c r="C586" i="35" s="1"/>
  <c r="F586" i="35"/>
  <c r="J586" i="35"/>
  <c r="Q586" i="35"/>
  <c r="C584" i="35" a="1"/>
  <c r="C584" i="35" s="1"/>
  <c r="C585" i="35" a="1"/>
  <c r="C585" i="35" s="1"/>
  <c r="F585" i="35"/>
  <c r="G585" i="35" s="1"/>
  <c r="J585" i="35"/>
  <c r="K585" i="35" s="1"/>
  <c r="Q585" i="35"/>
  <c r="B227" i="33" a="1"/>
  <c r="B227" i="33" s="1"/>
  <c r="E227" i="33" a="1"/>
  <c r="E227" i="33" s="1"/>
  <c r="F227" i="33" a="1"/>
  <c r="F227" i="33" s="1"/>
  <c r="G227" i="33" a="1"/>
  <c r="G227" i="33" s="1"/>
  <c r="L227" i="33" a="1"/>
  <c r="L227" i="33" s="1"/>
  <c r="M227" i="33"/>
  <c r="N227" i="33"/>
  <c r="P227" i="33"/>
  <c r="H236" i="6"/>
  <c r="J236" i="6" s="1"/>
  <c r="I236" i="6"/>
  <c r="K236" i="6" s="1"/>
  <c r="U236" i="6"/>
  <c r="F584" i="35"/>
  <c r="G584" i="35" s="1"/>
  <c r="J584" i="35"/>
  <c r="K584" i="35" s="1"/>
  <c r="Q584" i="35"/>
  <c r="C407" i="31" a="1"/>
  <c r="C407" i="31" s="1"/>
  <c r="D407" i="31" a="1"/>
  <c r="D407" i="31" s="1"/>
  <c r="L407" i="31"/>
  <c r="Q407" i="31"/>
  <c r="R407" i="31"/>
  <c r="U407" i="31"/>
  <c r="V407" i="31"/>
  <c r="W407" i="31"/>
  <c r="AB407" i="31"/>
  <c r="AC407" i="31"/>
  <c r="AF407" i="31"/>
  <c r="C406" i="31" a="1"/>
  <c r="C406" i="31" s="1"/>
  <c r="D406" i="31" a="1"/>
  <c r="D406" i="31" s="1"/>
  <c r="L406" i="31"/>
  <c r="Q406" i="31"/>
  <c r="R406" i="31"/>
  <c r="U406" i="31"/>
  <c r="V406" i="31"/>
  <c r="AD406" i="31" s="1"/>
  <c r="W406" i="31"/>
  <c r="AB406" i="31"/>
  <c r="AC406" i="31"/>
  <c r="AF406" i="31"/>
  <c r="C583" i="35" a="1"/>
  <c r="C583" i="35" s="1"/>
  <c r="F583" i="35"/>
  <c r="G583" i="35" s="1"/>
  <c r="J583" i="35"/>
  <c r="K583" i="35" s="1"/>
  <c r="Q583" i="35"/>
  <c r="C582" i="35" a="1"/>
  <c r="C582" i="35" s="1"/>
  <c r="F582" i="35"/>
  <c r="G582" i="35" s="1"/>
  <c r="J582" i="35"/>
  <c r="K582" i="35" s="1"/>
  <c r="Q582" i="35"/>
  <c r="H235" i="6"/>
  <c r="J235" i="6" s="1"/>
  <c r="I235" i="6"/>
  <c r="K235" i="6" s="1"/>
  <c r="U235" i="6"/>
  <c r="C581" i="35" a="1"/>
  <c r="C581" i="35" s="1"/>
  <c r="F581" i="35"/>
  <c r="G581" i="35" s="1"/>
  <c r="J581" i="35"/>
  <c r="K581" i="35" s="1"/>
  <c r="Q581" i="35"/>
  <c r="C580" i="35" a="1"/>
  <c r="C580" i="35" s="1"/>
  <c r="F580" i="35"/>
  <c r="G580" i="35" s="1"/>
  <c r="J580" i="35"/>
  <c r="K580" i="35" s="1"/>
  <c r="Q580" i="35"/>
  <c r="C134" i="31" a="1"/>
  <c r="C134" i="31" s="1"/>
  <c r="D134" i="31" a="1"/>
  <c r="D134" i="31" s="1"/>
  <c r="L134" i="31"/>
  <c r="Q134" i="31"/>
  <c r="R134" i="31"/>
  <c r="U134" i="31"/>
  <c r="V134" i="31"/>
  <c r="W134" i="31"/>
  <c r="AB134" i="31"/>
  <c r="AC134" i="31"/>
  <c r="AF134" i="31"/>
  <c r="C138" i="31" a="1"/>
  <c r="C138" i="31" s="1"/>
  <c r="D138" i="31" a="1"/>
  <c r="D138" i="31" s="1"/>
  <c r="L138" i="31"/>
  <c r="Q138" i="31"/>
  <c r="R138" i="31"/>
  <c r="U138" i="31"/>
  <c r="V138" i="31"/>
  <c r="W138" i="31"/>
  <c r="AB138" i="31"/>
  <c r="AC138" i="31"/>
  <c r="AF138" i="31"/>
  <c r="C579" i="35" a="1"/>
  <c r="C579" i="35" s="1"/>
  <c r="F579" i="35"/>
  <c r="H2071" i="35" s="1"/>
  <c r="J579" i="35"/>
  <c r="L2071" i="35" s="1"/>
  <c r="Q579" i="35"/>
  <c r="E41" i="33" a="1"/>
  <c r="E41" i="33" s="1"/>
  <c r="F41" i="33" a="1"/>
  <c r="F41" i="33" s="1"/>
  <c r="G41" i="33" a="1"/>
  <c r="G41" i="33" s="1"/>
  <c r="L41" i="33" a="1"/>
  <c r="L41" i="33" s="1"/>
  <c r="M41" i="33"/>
  <c r="N41" i="33"/>
  <c r="P41" i="33"/>
  <c r="B18" i="33" a="1"/>
  <c r="B18" i="33" s="1"/>
  <c r="E18" i="33" a="1"/>
  <c r="E18" i="33" s="1"/>
  <c r="F18" i="33" a="1"/>
  <c r="F18" i="33" s="1"/>
  <c r="G18" i="33" a="1"/>
  <c r="G18" i="33" s="1"/>
  <c r="L18" i="33" a="1"/>
  <c r="L18" i="33" s="1"/>
  <c r="P18" i="33"/>
  <c r="C578" i="35" a="1"/>
  <c r="C578" i="35" s="1"/>
  <c r="F578" i="35"/>
  <c r="G578" i="35" s="1"/>
  <c r="J578" i="35"/>
  <c r="K578" i="35" s="1"/>
  <c r="Q578" i="35"/>
  <c r="C411" i="31" a="1"/>
  <c r="C411" i="31" s="1"/>
  <c r="D411" i="31" a="1"/>
  <c r="D411" i="31" s="1"/>
  <c r="L411" i="31"/>
  <c r="Q411" i="31"/>
  <c r="R411" i="31"/>
  <c r="U411" i="31"/>
  <c r="V411" i="31"/>
  <c r="W411" i="31"/>
  <c r="AB411" i="31"/>
  <c r="AC411" i="31"/>
  <c r="AF411" i="31"/>
  <c r="C391" i="31" a="1"/>
  <c r="C391" i="31" s="1"/>
  <c r="D391" i="31" a="1"/>
  <c r="D391" i="31" s="1"/>
  <c r="L391" i="31"/>
  <c r="Q391" i="31"/>
  <c r="R391" i="31"/>
  <c r="U391" i="31"/>
  <c r="V391" i="31"/>
  <c r="W391" i="31"/>
  <c r="AB391" i="31"/>
  <c r="AC391" i="31"/>
  <c r="AF391" i="31"/>
  <c r="C402" i="31" a="1"/>
  <c r="C402" i="31" s="1"/>
  <c r="D402" i="31" a="1"/>
  <c r="D402" i="31" s="1"/>
  <c r="L402" i="31"/>
  <c r="Q402" i="31"/>
  <c r="R402" i="31"/>
  <c r="U402" i="31"/>
  <c r="V402" i="31"/>
  <c r="W402" i="31"/>
  <c r="AB402" i="31"/>
  <c r="AC402" i="31"/>
  <c r="AF402" i="31"/>
  <c r="C413" i="31" a="1"/>
  <c r="C413" i="31" s="1"/>
  <c r="D413" i="31" a="1"/>
  <c r="D413" i="31" s="1"/>
  <c r="L413" i="31"/>
  <c r="Q413" i="31"/>
  <c r="R413" i="31"/>
  <c r="U413" i="31"/>
  <c r="V413" i="31"/>
  <c r="W413" i="31"/>
  <c r="AB413" i="31"/>
  <c r="AC413" i="31"/>
  <c r="AF413" i="31"/>
  <c r="C412" i="31" a="1"/>
  <c r="C412" i="31" s="1"/>
  <c r="D412" i="31" a="1"/>
  <c r="D412" i="31" s="1"/>
  <c r="L412" i="31"/>
  <c r="Q412" i="31"/>
  <c r="R412" i="31"/>
  <c r="U412" i="31"/>
  <c r="V412" i="31"/>
  <c r="W412" i="31"/>
  <c r="AB412" i="31"/>
  <c r="AC412" i="31"/>
  <c r="AF412" i="31"/>
  <c r="C577" i="35" a="1"/>
  <c r="C577" i="35" s="1"/>
  <c r="F577" i="35"/>
  <c r="G577" i="35" s="1"/>
  <c r="J577" i="35"/>
  <c r="K577" i="35" s="1"/>
  <c r="Q577" i="35"/>
  <c r="C576" i="35" a="1"/>
  <c r="C576" i="35" s="1"/>
  <c r="F576" i="35"/>
  <c r="G576" i="35" s="1"/>
  <c r="J576" i="35"/>
  <c r="K576" i="35" s="1"/>
  <c r="Q576" i="35"/>
  <c r="C575" i="35" a="1"/>
  <c r="C575" i="35" s="1"/>
  <c r="F575" i="35"/>
  <c r="G575" i="35" s="1"/>
  <c r="J575" i="35"/>
  <c r="K575" i="35" s="1"/>
  <c r="Q575" i="35"/>
  <c r="C575" i="31" a="1"/>
  <c r="C575" i="31" s="1"/>
  <c r="D575" i="31" a="1"/>
  <c r="D575" i="31" s="1"/>
  <c r="L575" i="31"/>
  <c r="Q575" i="31"/>
  <c r="R575" i="31"/>
  <c r="U575" i="31"/>
  <c r="V575" i="31"/>
  <c r="W575" i="31"/>
  <c r="AB575" i="31"/>
  <c r="AC575" i="31"/>
  <c r="AF575" i="31"/>
  <c r="C574" i="35" a="1"/>
  <c r="C574" i="35" s="1"/>
  <c r="F574" i="35"/>
  <c r="G574" i="35" s="1"/>
  <c r="J574" i="35"/>
  <c r="K574" i="35" s="1"/>
  <c r="Q574" i="35"/>
  <c r="C573" i="35" a="1"/>
  <c r="C573" i="35" s="1"/>
  <c r="F573" i="35"/>
  <c r="G573" i="35" s="1"/>
  <c r="J573" i="35"/>
  <c r="K573" i="35" s="1"/>
  <c r="Q573" i="35"/>
  <c r="B178" i="33" a="1"/>
  <c r="B178" i="33" s="1"/>
  <c r="E178" i="33" a="1"/>
  <c r="E178" i="33" s="1"/>
  <c r="F178" i="33" a="1"/>
  <c r="F178" i="33" s="1"/>
  <c r="G178" i="33" a="1"/>
  <c r="G178" i="33" s="1"/>
  <c r="L178" i="33" a="1"/>
  <c r="L178" i="33" s="1"/>
  <c r="M178" i="33"/>
  <c r="N178" i="33"/>
  <c r="P178" i="33"/>
  <c r="C572" i="35" a="1"/>
  <c r="C572" i="35" s="1"/>
  <c r="F572" i="35"/>
  <c r="J572" i="35"/>
  <c r="Q572" i="35"/>
  <c r="B235" i="33" a="1"/>
  <c r="B235" i="33" s="1"/>
  <c r="E235" i="33" a="1"/>
  <c r="E235" i="33" s="1"/>
  <c r="F235" i="33" a="1"/>
  <c r="F235" i="33" s="1"/>
  <c r="G235" i="33" a="1"/>
  <c r="G235" i="33" s="1"/>
  <c r="L235" i="33" a="1"/>
  <c r="L235" i="33" s="1"/>
  <c r="M235" i="33"/>
  <c r="N235" i="33"/>
  <c r="P235" i="33"/>
  <c r="C571" i="35" a="1"/>
  <c r="C571" i="35" s="1"/>
  <c r="F571" i="35"/>
  <c r="J571" i="35"/>
  <c r="Q571" i="35"/>
  <c r="C398" i="31" a="1"/>
  <c r="C398" i="31" s="1"/>
  <c r="D398" i="31" a="1"/>
  <c r="D398" i="31" s="1"/>
  <c r="L398" i="31"/>
  <c r="Q398" i="31"/>
  <c r="R398" i="31"/>
  <c r="U398" i="31"/>
  <c r="V398" i="31"/>
  <c r="AD398" i="31" s="1"/>
  <c r="W398" i="31"/>
  <c r="AB398" i="31"/>
  <c r="AC398" i="31"/>
  <c r="AF398" i="31"/>
  <c r="H234" i="6"/>
  <c r="J234" i="6" s="1"/>
  <c r="I234" i="6"/>
  <c r="K234" i="6" s="1"/>
  <c r="U234" i="6"/>
  <c r="H233" i="6"/>
  <c r="J233" i="6" s="1"/>
  <c r="I233" i="6"/>
  <c r="K233" i="6" s="1"/>
  <c r="U233" i="6"/>
  <c r="H232" i="6"/>
  <c r="J232" i="6" s="1"/>
  <c r="I232" i="6"/>
  <c r="K232" i="6" s="1"/>
  <c r="U232" i="6"/>
  <c r="H231" i="6"/>
  <c r="J231" i="6" s="1"/>
  <c r="I231" i="6"/>
  <c r="U231" i="6"/>
  <c r="H230" i="6"/>
  <c r="J230" i="6" s="1"/>
  <c r="I230" i="6"/>
  <c r="K230" i="6" s="1"/>
  <c r="U230" i="6"/>
  <c r="H229" i="6"/>
  <c r="J229" i="6" s="1"/>
  <c r="I229" i="6"/>
  <c r="K229" i="6" s="1"/>
  <c r="U229" i="6"/>
  <c r="H228" i="6"/>
  <c r="I228" i="6"/>
  <c r="K228" i="6" s="1"/>
  <c r="U228" i="6"/>
  <c r="H227" i="6"/>
  <c r="J227" i="6" s="1"/>
  <c r="I227" i="6"/>
  <c r="K227" i="6" s="1"/>
  <c r="U227" i="6"/>
  <c r="H226" i="6"/>
  <c r="J226" i="6" s="1"/>
  <c r="I226" i="6"/>
  <c r="K226" i="6" s="1"/>
  <c r="U226" i="6"/>
  <c r="C570" i="35" a="1"/>
  <c r="C570" i="35" s="1"/>
  <c r="F570" i="35"/>
  <c r="J570" i="35"/>
  <c r="Q570" i="35"/>
  <c r="B521" i="33" a="1"/>
  <c r="B521" i="33" s="1"/>
  <c r="E521" i="33" a="1"/>
  <c r="E521" i="33" s="1"/>
  <c r="F521" i="33" a="1"/>
  <c r="F521" i="33" s="1"/>
  <c r="G521" i="33" a="1"/>
  <c r="G521" i="33" s="1"/>
  <c r="L521" i="33" a="1"/>
  <c r="L521" i="33" s="1"/>
  <c r="M521" i="33"/>
  <c r="N521" i="33"/>
  <c r="P521" i="33"/>
  <c r="H225" i="6"/>
  <c r="J225" i="6" s="1"/>
  <c r="I225" i="6"/>
  <c r="K225" i="6" s="1"/>
  <c r="U225" i="6"/>
  <c r="H224" i="6"/>
  <c r="J224" i="6" s="1"/>
  <c r="I224" i="6"/>
  <c r="K224" i="6" s="1"/>
  <c r="U224" i="6"/>
  <c r="H223" i="6"/>
  <c r="J223" i="6" s="1"/>
  <c r="I223" i="6"/>
  <c r="K223" i="6" s="1"/>
  <c r="U223" i="6"/>
  <c r="H222" i="6"/>
  <c r="J222" i="6" s="1"/>
  <c r="I222" i="6"/>
  <c r="K222" i="6" s="1"/>
  <c r="U222" i="6"/>
  <c r="H221" i="6"/>
  <c r="J221" i="6" s="1"/>
  <c r="I221" i="6"/>
  <c r="K221" i="6" s="1"/>
  <c r="U221" i="6"/>
  <c r="H220" i="6"/>
  <c r="J220" i="6" s="1"/>
  <c r="I220" i="6"/>
  <c r="K220" i="6" s="1"/>
  <c r="U220" i="6"/>
  <c r="H219" i="6"/>
  <c r="J219" i="6" s="1"/>
  <c r="I219" i="6"/>
  <c r="K219" i="6" s="1"/>
  <c r="U219" i="6"/>
  <c r="H218" i="6"/>
  <c r="J218" i="6" s="1"/>
  <c r="I218" i="6"/>
  <c r="K218" i="6" s="1"/>
  <c r="U218" i="6"/>
  <c r="H217" i="6"/>
  <c r="J217" i="6" s="1"/>
  <c r="I217" i="6"/>
  <c r="K217" i="6" s="1"/>
  <c r="U217" i="6"/>
  <c r="H215" i="6"/>
  <c r="J215" i="6" s="1"/>
  <c r="H216" i="6"/>
  <c r="J216" i="6" s="1"/>
  <c r="I215" i="6"/>
  <c r="K215" i="6" s="1"/>
  <c r="I216" i="6"/>
  <c r="K216" i="6" s="1"/>
  <c r="U215" i="6"/>
  <c r="U216" i="6"/>
  <c r="H213" i="6"/>
  <c r="H214" i="6"/>
  <c r="J214" i="6" s="1"/>
  <c r="I213" i="6"/>
  <c r="K213" i="6" s="1"/>
  <c r="I214" i="6"/>
  <c r="U213" i="6"/>
  <c r="U214" i="6"/>
  <c r="H212" i="6"/>
  <c r="J212" i="6" s="1"/>
  <c r="I212" i="6"/>
  <c r="U212" i="6"/>
  <c r="H211" i="6"/>
  <c r="J211" i="6" s="1"/>
  <c r="I211" i="6"/>
  <c r="K211" i="6" s="1"/>
  <c r="U211" i="6"/>
  <c r="H210" i="6"/>
  <c r="J210" i="6" s="1"/>
  <c r="I210" i="6"/>
  <c r="K210" i="6" s="1"/>
  <c r="U210" i="6"/>
  <c r="H209" i="6"/>
  <c r="J209" i="6" s="1"/>
  <c r="I209" i="6"/>
  <c r="U209" i="6"/>
  <c r="H208" i="6"/>
  <c r="J208" i="6" s="1"/>
  <c r="I208" i="6"/>
  <c r="K208" i="6" s="1"/>
  <c r="U208" i="6"/>
  <c r="H207" i="6"/>
  <c r="J207" i="6" s="1"/>
  <c r="I207" i="6"/>
  <c r="K207" i="6" s="1"/>
  <c r="U207" i="6"/>
  <c r="H206" i="6"/>
  <c r="J206" i="6" s="1"/>
  <c r="I206" i="6"/>
  <c r="K206" i="6" s="1"/>
  <c r="U206" i="6"/>
  <c r="C364" i="31" a="1"/>
  <c r="C364" i="31" s="1"/>
  <c r="D364" i="31" a="1"/>
  <c r="D364" i="31" s="1"/>
  <c r="L364" i="31"/>
  <c r="Q364" i="31"/>
  <c r="R364" i="31"/>
  <c r="U364" i="31"/>
  <c r="L937" i="31" s="1"/>
  <c r="V364" i="31"/>
  <c r="W364" i="31"/>
  <c r="AB364" i="31"/>
  <c r="AC364" i="31"/>
  <c r="AF364" i="31"/>
  <c r="E937" i="31" s="1"/>
  <c r="C569" i="35" a="1"/>
  <c r="C569" i="35" s="1"/>
  <c r="F569" i="35"/>
  <c r="G569" i="35" s="1"/>
  <c r="J569" i="35"/>
  <c r="K569" i="35" s="1"/>
  <c r="Q569" i="35"/>
  <c r="C568" i="35" a="1"/>
  <c r="C568" i="35" s="1"/>
  <c r="F568" i="35"/>
  <c r="J568" i="35"/>
  <c r="Q568" i="35"/>
  <c r="C148" i="31" a="1"/>
  <c r="C148" i="31" s="1"/>
  <c r="D148" i="31" a="1"/>
  <c r="D148" i="31" s="1"/>
  <c r="L148" i="31"/>
  <c r="Q148" i="31"/>
  <c r="R148" i="31"/>
  <c r="U148" i="31"/>
  <c r="V148" i="31"/>
  <c r="W148" i="31"/>
  <c r="AB148" i="31"/>
  <c r="AC148" i="31"/>
  <c r="AF148" i="31"/>
  <c r="C151" i="31" a="1"/>
  <c r="C151" i="31" s="1"/>
  <c r="D151" i="31" a="1"/>
  <c r="D151" i="31" s="1"/>
  <c r="L151" i="31"/>
  <c r="Q151" i="31"/>
  <c r="R151" i="31"/>
  <c r="U151" i="31"/>
  <c r="V151" i="31"/>
  <c r="W151" i="31"/>
  <c r="AB151" i="31"/>
  <c r="AC151" i="31"/>
  <c r="AF151" i="31"/>
  <c r="B937" i="31" a="1"/>
  <c r="B937" i="31" s="1"/>
  <c r="G937" i="31"/>
  <c r="I937" i="31"/>
  <c r="J937" i="31"/>
  <c r="K937" i="31"/>
  <c r="O937" i="31" a="1"/>
  <c r="O937" i="31" s="1"/>
  <c r="T937" i="31" a="1"/>
  <c r="T937" i="31" s="1"/>
  <c r="V937" i="31"/>
  <c r="X937" i="31"/>
  <c r="B474" i="33" a="1"/>
  <c r="B474" i="33" s="1"/>
  <c r="E474" i="33" a="1"/>
  <c r="E474" i="33" s="1"/>
  <c r="F474" i="33" a="1"/>
  <c r="F474" i="33" s="1"/>
  <c r="G474" i="33" a="1"/>
  <c r="G474" i="33" s="1"/>
  <c r="H474" i="33"/>
  <c r="I474" i="33"/>
  <c r="L474" i="33" a="1"/>
  <c r="L474" i="33" s="1"/>
  <c r="P474" i="33"/>
  <c r="C356" i="31" a="1"/>
  <c r="C356" i="31" s="1"/>
  <c r="D356" i="31" a="1"/>
  <c r="D356" i="31" s="1"/>
  <c r="L356" i="31"/>
  <c r="Q356" i="31"/>
  <c r="R356" i="31"/>
  <c r="U356" i="31"/>
  <c r="V356" i="31"/>
  <c r="W356" i="31"/>
  <c r="AB356" i="31"/>
  <c r="AC356" i="31"/>
  <c r="AF356" i="31"/>
  <c r="C353" i="31" a="1"/>
  <c r="C353" i="31" s="1"/>
  <c r="D353" i="31" a="1"/>
  <c r="D353" i="31" s="1"/>
  <c r="L353" i="31"/>
  <c r="Q353" i="31"/>
  <c r="R353" i="31"/>
  <c r="U353" i="31"/>
  <c r="V353" i="31"/>
  <c r="W353" i="31"/>
  <c r="AB353" i="31"/>
  <c r="AC353" i="31"/>
  <c r="AF353" i="31"/>
  <c r="C373" i="31" a="1"/>
  <c r="C373" i="31" s="1"/>
  <c r="D373" i="31" a="1"/>
  <c r="D373" i="31" s="1"/>
  <c r="L373" i="31"/>
  <c r="Q373" i="31"/>
  <c r="R373" i="31"/>
  <c r="U373" i="31"/>
  <c r="V373" i="31"/>
  <c r="W373" i="31"/>
  <c r="AB373" i="31"/>
  <c r="AC373" i="31"/>
  <c r="AF373" i="31"/>
  <c r="C372" i="31" a="1"/>
  <c r="C372" i="31" s="1"/>
  <c r="D372" i="31" a="1"/>
  <c r="D372" i="31" s="1"/>
  <c r="L372" i="31"/>
  <c r="Q372" i="31"/>
  <c r="R372" i="31"/>
  <c r="U372" i="31"/>
  <c r="V372" i="31"/>
  <c r="W372" i="31"/>
  <c r="AB372" i="31"/>
  <c r="AC372" i="31"/>
  <c r="AF372" i="31"/>
  <c r="C567" i="35" a="1"/>
  <c r="C567" i="35" s="1"/>
  <c r="F567" i="35"/>
  <c r="G567" i="35" s="1"/>
  <c r="J567" i="35"/>
  <c r="K567" i="35" s="1"/>
  <c r="Q567" i="35"/>
  <c r="C566" i="35" a="1"/>
  <c r="C566" i="35" s="1"/>
  <c r="F566" i="35"/>
  <c r="G566" i="35" s="1"/>
  <c r="J566" i="35"/>
  <c r="K566" i="35" s="1"/>
  <c r="Q566" i="35"/>
  <c r="H202" i="6"/>
  <c r="J202" i="6" s="1"/>
  <c r="H205" i="6"/>
  <c r="J205" i="6" s="1"/>
  <c r="I205" i="6"/>
  <c r="K205" i="6" s="1"/>
  <c r="U205" i="6"/>
  <c r="H204" i="6"/>
  <c r="J204" i="6" s="1"/>
  <c r="I204" i="6"/>
  <c r="K204" i="6" s="1"/>
  <c r="U204" i="6"/>
  <c r="H203" i="6"/>
  <c r="J203" i="6" s="1"/>
  <c r="I203" i="6"/>
  <c r="K203" i="6" s="1"/>
  <c r="U203" i="6"/>
  <c r="C565" i="35" a="1"/>
  <c r="C565" i="35" s="1"/>
  <c r="F565" i="35"/>
  <c r="G565" i="35" s="1"/>
  <c r="J565" i="35"/>
  <c r="K565" i="35" s="1"/>
  <c r="Q565" i="35"/>
  <c r="B210" i="33" a="1"/>
  <c r="B210" i="33" s="1"/>
  <c r="E210" i="33" a="1"/>
  <c r="E210" i="33" s="1"/>
  <c r="F210" i="33" a="1"/>
  <c r="F210" i="33" s="1"/>
  <c r="G210" i="33" a="1"/>
  <c r="G210" i="33" s="1"/>
  <c r="L210" i="33" a="1"/>
  <c r="L210" i="33" s="1"/>
  <c r="M210" i="33"/>
  <c r="N210" i="33"/>
  <c r="P210" i="33"/>
  <c r="C564" i="35" a="1"/>
  <c r="C564" i="35" s="1"/>
  <c r="F564" i="35"/>
  <c r="J564" i="35"/>
  <c r="Q564" i="35"/>
  <c r="B66" i="33" a="1"/>
  <c r="B66" i="33" s="1"/>
  <c r="E66" i="33" a="1"/>
  <c r="E66" i="33" s="1"/>
  <c r="F66" i="33" a="1"/>
  <c r="F66" i="33" s="1"/>
  <c r="G66" i="33" a="1"/>
  <c r="G66" i="33" s="1"/>
  <c r="L66" i="33" a="1"/>
  <c r="L66" i="33" s="1"/>
  <c r="M66" i="33"/>
  <c r="N66" i="33"/>
  <c r="P66" i="33"/>
  <c r="I202" i="6"/>
  <c r="K202" i="6" s="1"/>
  <c r="U202" i="6"/>
  <c r="H201" i="6"/>
  <c r="J201" i="6" s="1"/>
  <c r="I201" i="6"/>
  <c r="K201" i="6" s="1"/>
  <c r="U201" i="6"/>
  <c r="H200" i="6"/>
  <c r="J200" i="6" s="1"/>
  <c r="I200" i="6"/>
  <c r="K200" i="6" s="1"/>
  <c r="U200" i="6"/>
  <c r="H199" i="6"/>
  <c r="J199" i="6" s="1"/>
  <c r="I199" i="6"/>
  <c r="K199" i="6" s="1"/>
  <c r="U199" i="6"/>
  <c r="H198" i="6"/>
  <c r="J198" i="6" s="1"/>
  <c r="I198" i="6"/>
  <c r="K198" i="6" s="1"/>
  <c r="U198" i="6"/>
  <c r="H197" i="6"/>
  <c r="J197" i="6" s="1"/>
  <c r="I197" i="6"/>
  <c r="K197" i="6" s="1"/>
  <c r="U197" i="6"/>
  <c r="C352" i="31" a="1"/>
  <c r="C352" i="31" s="1"/>
  <c r="D352" i="31" a="1"/>
  <c r="D352" i="31" s="1"/>
  <c r="L352" i="31"/>
  <c r="Q352" i="31"/>
  <c r="R352" i="31"/>
  <c r="U352" i="31"/>
  <c r="V352" i="31"/>
  <c r="W352" i="31"/>
  <c r="AB352" i="31"/>
  <c r="AC352" i="31"/>
  <c r="AF352" i="31"/>
  <c r="C348" i="31" a="1"/>
  <c r="C348" i="31" s="1"/>
  <c r="D348" i="31" a="1"/>
  <c r="D348" i="31" s="1"/>
  <c r="L348" i="31"/>
  <c r="Q348" i="31"/>
  <c r="R348" i="31"/>
  <c r="U348" i="31"/>
  <c r="V348" i="31"/>
  <c r="W348" i="31"/>
  <c r="AB348" i="31"/>
  <c r="AC348" i="31"/>
  <c r="AF348" i="31"/>
  <c r="C563" i="35" a="1"/>
  <c r="C563" i="35" s="1"/>
  <c r="F563" i="35"/>
  <c r="G563" i="35" s="1"/>
  <c r="J563" i="35"/>
  <c r="K563" i="35" s="1"/>
  <c r="Q563" i="35"/>
  <c r="C562" i="35" a="1"/>
  <c r="C562" i="35" s="1"/>
  <c r="F562" i="35"/>
  <c r="G562" i="35" s="1"/>
  <c r="J562" i="35"/>
  <c r="K562" i="35" s="1"/>
  <c r="Q562" i="35"/>
  <c r="F454" i="35"/>
  <c r="C561" i="35" a="1"/>
  <c r="C561" i="35" s="1"/>
  <c r="F561" i="35"/>
  <c r="G561" i="35" s="1"/>
  <c r="J561" i="35"/>
  <c r="K561" i="35" s="1"/>
  <c r="Q561" i="35"/>
  <c r="C560" i="35" a="1"/>
  <c r="C560" i="35" s="1"/>
  <c r="F560" i="35"/>
  <c r="G560" i="35" s="1"/>
  <c r="J560" i="35"/>
  <c r="K560" i="35" s="1"/>
  <c r="Q560" i="35"/>
  <c r="C388" i="31" a="1"/>
  <c r="C388" i="31" s="1"/>
  <c r="D388" i="31" a="1"/>
  <c r="D388" i="31" s="1"/>
  <c r="L388" i="31"/>
  <c r="Y388" i="31" s="1"/>
  <c r="Q388" i="31"/>
  <c r="R388" i="31"/>
  <c r="U388" i="31"/>
  <c r="V388" i="31"/>
  <c r="W388" i="31"/>
  <c r="AB388" i="31"/>
  <c r="AC388" i="31"/>
  <c r="AF388" i="31"/>
  <c r="C559" i="35" a="1"/>
  <c r="C559" i="35" s="1"/>
  <c r="F559" i="35"/>
  <c r="G559" i="35" s="1"/>
  <c r="J559" i="35"/>
  <c r="K559" i="35" s="1"/>
  <c r="Q559" i="35"/>
  <c r="C557" i="35" a="1"/>
  <c r="C557" i="35" s="1"/>
  <c r="F557" i="35"/>
  <c r="G557" i="35" s="1"/>
  <c r="J557" i="35"/>
  <c r="K557" i="35" s="1"/>
  <c r="Q557" i="35"/>
  <c r="C556" i="35" a="1"/>
  <c r="C556" i="35" s="1"/>
  <c r="F556" i="35"/>
  <c r="G556" i="35" s="1"/>
  <c r="J556" i="35"/>
  <c r="K556" i="35" s="1"/>
  <c r="Q556" i="35"/>
  <c r="C555" i="35" a="1"/>
  <c r="C555" i="35" s="1"/>
  <c r="F555" i="35"/>
  <c r="G555" i="35" s="1"/>
  <c r="J555" i="35"/>
  <c r="K555" i="35" s="1"/>
  <c r="Q555" i="35"/>
  <c r="C362" i="31" a="1"/>
  <c r="C362" i="31" s="1"/>
  <c r="D362" i="31" a="1"/>
  <c r="D362" i="31" s="1"/>
  <c r="L362" i="31"/>
  <c r="Q362" i="31"/>
  <c r="R362" i="31"/>
  <c r="U362" i="31"/>
  <c r="V362" i="31"/>
  <c r="W362" i="31"/>
  <c r="AB362" i="31"/>
  <c r="AC362" i="31"/>
  <c r="AF362" i="31"/>
  <c r="C381" i="31" a="1"/>
  <c r="C381" i="31" s="1"/>
  <c r="D381" i="31" a="1"/>
  <c r="D381" i="31" s="1"/>
  <c r="L381" i="31"/>
  <c r="Q381" i="31"/>
  <c r="R381" i="31"/>
  <c r="U381" i="31"/>
  <c r="V381" i="31"/>
  <c r="W381" i="31"/>
  <c r="AB381" i="31"/>
  <c r="AC381" i="31"/>
  <c r="AF381" i="31"/>
  <c r="C361" i="31" a="1"/>
  <c r="C361" i="31" s="1"/>
  <c r="D361" i="31" a="1"/>
  <c r="D361" i="31" s="1"/>
  <c r="L361" i="31"/>
  <c r="Q361" i="31"/>
  <c r="R361" i="31"/>
  <c r="U361" i="31"/>
  <c r="V361" i="31"/>
  <c r="W361" i="31"/>
  <c r="AB361" i="31"/>
  <c r="AC361" i="31"/>
  <c r="AF361" i="31"/>
  <c r="C553" i="35" a="1"/>
  <c r="C553" i="35" s="1"/>
  <c r="C554" i="35" a="1"/>
  <c r="C554" i="35" s="1"/>
  <c r="F554" i="35"/>
  <c r="G554" i="35" s="1"/>
  <c r="J554" i="35"/>
  <c r="K554" i="35" s="1"/>
  <c r="Q554" i="35"/>
  <c r="F553" i="35"/>
  <c r="G553" i="35" s="1"/>
  <c r="J553" i="35"/>
  <c r="K553" i="35" s="1"/>
  <c r="Q553" i="35"/>
  <c r="C552" i="35" a="1"/>
  <c r="C552" i="35" s="1"/>
  <c r="F552" i="35"/>
  <c r="G552" i="35" s="1"/>
  <c r="J552" i="35"/>
  <c r="K552" i="35" s="1"/>
  <c r="Q552" i="35"/>
  <c r="C551" i="35" a="1"/>
  <c r="C551" i="35" s="1"/>
  <c r="F551" i="35"/>
  <c r="G551" i="35" s="1"/>
  <c r="J551" i="35"/>
  <c r="K551" i="35" s="1"/>
  <c r="Q551" i="35"/>
  <c r="C550" i="35" a="1"/>
  <c r="C550" i="35" s="1"/>
  <c r="F550" i="35"/>
  <c r="G550" i="35" s="1"/>
  <c r="J550" i="35"/>
  <c r="K550" i="35" s="1"/>
  <c r="Q550" i="35"/>
  <c r="C549" i="35" a="1"/>
  <c r="C549" i="35" s="1"/>
  <c r="F549" i="35"/>
  <c r="G549" i="35" s="1"/>
  <c r="J549" i="35"/>
  <c r="K549" i="35" s="1"/>
  <c r="Q549" i="35"/>
  <c r="C548" i="35" a="1"/>
  <c r="C548" i="35" s="1"/>
  <c r="F548" i="35"/>
  <c r="G548" i="35" s="1"/>
  <c r="J548" i="35"/>
  <c r="K548" i="35" s="1"/>
  <c r="Q548" i="35"/>
  <c r="C547" i="35" a="1"/>
  <c r="C547" i="35" s="1"/>
  <c r="F547" i="35"/>
  <c r="G547" i="35" s="1"/>
  <c r="J547" i="35"/>
  <c r="K547" i="35" s="1"/>
  <c r="Q547" i="35"/>
  <c r="C546" i="35" a="1"/>
  <c r="C546" i="35" s="1"/>
  <c r="F546" i="35"/>
  <c r="G546" i="35" s="1"/>
  <c r="J546" i="35"/>
  <c r="K546" i="35" s="1"/>
  <c r="Q546" i="35"/>
  <c r="C545" i="35" a="1"/>
  <c r="C545" i="35" s="1"/>
  <c r="F545" i="35"/>
  <c r="G545" i="35" s="1"/>
  <c r="J545" i="35"/>
  <c r="K545" i="35" s="1"/>
  <c r="Q545" i="35"/>
  <c r="C544" i="35" a="1"/>
  <c r="C544" i="35" s="1"/>
  <c r="F544" i="35"/>
  <c r="G544" i="35" s="1"/>
  <c r="J544" i="35"/>
  <c r="K544" i="35" s="1"/>
  <c r="Q544" i="35"/>
  <c r="C543" i="35" a="1"/>
  <c r="C543" i="35" s="1"/>
  <c r="F543" i="35"/>
  <c r="G543" i="35" s="1"/>
  <c r="J543" i="35"/>
  <c r="K543" i="35" s="1"/>
  <c r="Q543" i="35"/>
  <c r="C542" i="35" a="1"/>
  <c r="C542" i="35" s="1"/>
  <c r="F542" i="35"/>
  <c r="G542" i="35" s="1"/>
  <c r="J542" i="35"/>
  <c r="K542" i="35" s="1"/>
  <c r="Q542" i="35"/>
  <c r="C541" i="35" a="1"/>
  <c r="C541" i="35" s="1"/>
  <c r="F541" i="35"/>
  <c r="G541" i="35" s="1"/>
  <c r="J541" i="35"/>
  <c r="K541" i="35" s="1"/>
  <c r="Q541" i="35"/>
  <c r="C540" i="35" a="1"/>
  <c r="C540" i="35" s="1"/>
  <c r="F540" i="35"/>
  <c r="G540" i="35" s="1"/>
  <c r="J540" i="35"/>
  <c r="K540" i="35" s="1"/>
  <c r="Q540" i="35"/>
  <c r="C539" i="35" a="1"/>
  <c r="C539" i="35" s="1"/>
  <c r="F539" i="35"/>
  <c r="G539" i="35" s="1"/>
  <c r="J539" i="35"/>
  <c r="K539" i="35" s="1"/>
  <c r="Q539" i="35"/>
  <c r="C538" i="35" a="1"/>
  <c r="C538" i="35" s="1"/>
  <c r="F538" i="35"/>
  <c r="G538" i="35" s="1"/>
  <c r="J538" i="35"/>
  <c r="K538" i="35" s="1"/>
  <c r="Q538" i="35"/>
  <c r="C537" i="35" a="1"/>
  <c r="C537" i="35" s="1"/>
  <c r="F537" i="35"/>
  <c r="G537" i="35" s="1"/>
  <c r="J537" i="35"/>
  <c r="K537" i="35" s="1"/>
  <c r="Q537" i="35"/>
  <c r="C536" i="35" a="1"/>
  <c r="C536" i="35" s="1"/>
  <c r="F536" i="35"/>
  <c r="G536" i="35" s="1"/>
  <c r="J536" i="35"/>
  <c r="K536" i="35" s="1"/>
  <c r="Q536" i="35"/>
  <c r="C535" i="35" a="1"/>
  <c r="C535" i="35" s="1"/>
  <c r="F535" i="35"/>
  <c r="G535" i="35" s="1"/>
  <c r="J535" i="35"/>
  <c r="K535" i="35" s="1"/>
  <c r="Q535" i="35"/>
  <c r="C534" i="35" a="1"/>
  <c r="C534" i="35" s="1"/>
  <c r="F534" i="35"/>
  <c r="G534" i="35" s="1"/>
  <c r="J534" i="35"/>
  <c r="K534" i="35" s="1"/>
  <c r="Q534" i="35"/>
  <c r="C533" i="35" a="1"/>
  <c r="C533" i="35" s="1"/>
  <c r="F533" i="35"/>
  <c r="G533" i="35" s="1"/>
  <c r="J533" i="35"/>
  <c r="K533" i="35" s="1"/>
  <c r="Q533" i="35"/>
  <c r="C532" i="35" a="1"/>
  <c r="C532" i="35" s="1"/>
  <c r="F532" i="35"/>
  <c r="G532" i="35" s="1"/>
  <c r="J532" i="35"/>
  <c r="K532" i="35" s="1"/>
  <c r="Q532" i="35"/>
  <c r="C371" i="31" a="1"/>
  <c r="C371" i="31" s="1"/>
  <c r="D371" i="31" a="1"/>
  <c r="D371" i="31" s="1"/>
  <c r="L371" i="31"/>
  <c r="Q371" i="31"/>
  <c r="R371" i="31"/>
  <c r="U371" i="31"/>
  <c r="V371" i="31"/>
  <c r="W371" i="31"/>
  <c r="AB371" i="31"/>
  <c r="AC371" i="31"/>
  <c r="AF371" i="31"/>
  <c r="C351" i="31" a="1"/>
  <c r="C351" i="31" s="1"/>
  <c r="D351" i="31" a="1"/>
  <c r="D351" i="31" s="1"/>
  <c r="L351" i="31"/>
  <c r="Q351" i="31"/>
  <c r="R351" i="31"/>
  <c r="U351" i="31"/>
  <c r="V351" i="31"/>
  <c r="W351" i="31"/>
  <c r="AB351" i="31"/>
  <c r="AC351" i="31"/>
  <c r="AF351" i="31"/>
  <c r="C394" i="31" a="1"/>
  <c r="C394" i="31" s="1"/>
  <c r="D394" i="31" a="1"/>
  <c r="D394" i="31" s="1"/>
  <c r="L394" i="31"/>
  <c r="Q394" i="31"/>
  <c r="R394" i="31"/>
  <c r="U394" i="31"/>
  <c r="V394" i="31"/>
  <c r="W394" i="31"/>
  <c r="AB394" i="31"/>
  <c r="AC394" i="31"/>
  <c r="AF394" i="31"/>
  <c r="C370" i="31" a="1"/>
  <c r="C370" i="31" s="1"/>
  <c r="D370" i="31" a="1"/>
  <c r="D370" i="31" s="1"/>
  <c r="L370" i="31"/>
  <c r="Q370" i="31"/>
  <c r="R370" i="31"/>
  <c r="U370" i="31"/>
  <c r="V370" i="31"/>
  <c r="W370" i="31"/>
  <c r="AB370" i="31"/>
  <c r="AC370" i="31"/>
  <c r="AF370" i="31"/>
  <c r="C155" i="31" a="1"/>
  <c r="C155" i="31" s="1"/>
  <c r="D155" i="31" a="1"/>
  <c r="D155" i="31" s="1"/>
  <c r="L155" i="31"/>
  <c r="Q155" i="31"/>
  <c r="R155" i="31"/>
  <c r="U155" i="31"/>
  <c r="V155" i="31"/>
  <c r="W155" i="31"/>
  <c r="AB155" i="31"/>
  <c r="AC155" i="31"/>
  <c r="AF155" i="31"/>
  <c r="H196" i="6"/>
  <c r="J196" i="6" s="1"/>
  <c r="I196" i="6"/>
  <c r="K196" i="6" s="1"/>
  <c r="U196" i="6"/>
  <c r="H195" i="6"/>
  <c r="J195" i="6" s="1"/>
  <c r="I195" i="6"/>
  <c r="K195" i="6" s="1"/>
  <c r="U195" i="6"/>
  <c r="B985" i="31" a="1"/>
  <c r="B985" i="31" s="1"/>
  <c r="C985" i="31"/>
  <c r="D985" i="31"/>
  <c r="E985" i="31"/>
  <c r="F985" i="31"/>
  <c r="G985" i="31"/>
  <c r="H985" i="31"/>
  <c r="I985" i="31"/>
  <c r="J985" i="31"/>
  <c r="K985" i="31"/>
  <c r="L985" i="31"/>
  <c r="O985" i="31" a="1"/>
  <c r="O985" i="31" s="1"/>
  <c r="S985" i="31"/>
  <c r="T985" i="31" a="1"/>
  <c r="T985" i="31" s="1"/>
  <c r="V985" i="31"/>
  <c r="X985" i="31"/>
  <c r="C410" i="31" a="1"/>
  <c r="C410" i="31" s="1"/>
  <c r="D410" i="31" a="1"/>
  <c r="D410" i="31" s="1"/>
  <c r="L410" i="31"/>
  <c r="Q410" i="31"/>
  <c r="R410" i="31"/>
  <c r="U410" i="31"/>
  <c r="V410" i="31"/>
  <c r="W410" i="31"/>
  <c r="AB410" i="31"/>
  <c r="AC410" i="31"/>
  <c r="AF410" i="31"/>
  <c r="C531" i="35" a="1"/>
  <c r="C531" i="35" s="1"/>
  <c r="F531" i="35"/>
  <c r="G531" i="35" s="1"/>
  <c r="J531" i="35"/>
  <c r="K531" i="35" s="1"/>
  <c r="Q531" i="35"/>
  <c r="C530" i="35" a="1"/>
  <c r="C530" i="35" s="1"/>
  <c r="F530" i="35"/>
  <c r="G530" i="35" s="1"/>
  <c r="J530" i="35"/>
  <c r="K530" i="35" s="1"/>
  <c r="Q530" i="35"/>
  <c r="C529" i="35" a="1"/>
  <c r="C529" i="35" s="1"/>
  <c r="F529" i="35"/>
  <c r="G529" i="35" s="1"/>
  <c r="J529" i="35"/>
  <c r="K529" i="35" s="1"/>
  <c r="Q529" i="35"/>
  <c r="B305" i="33" a="1"/>
  <c r="B305" i="33" s="1"/>
  <c r="E305" i="33" a="1"/>
  <c r="E305" i="33" s="1"/>
  <c r="F305" i="33" a="1"/>
  <c r="F305" i="33" s="1"/>
  <c r="G305" i="33" a="1"/>
  <c r="G305" i="33" s="1"/>
  <c r="L305" i="33" a="1"/>
  <c r="L305" i="33" s="1"/>
  <c r="M305" i="33"/>
  <c r="N305" i="33"/>
  <c r="P305" i="33"/>
  <c r="C528" i="35" a="1"/>
  <c r="C528" i="35" s="1"/>
  <c r="F528" i="35"/>
  <c r="J528" i="35"/>
  <c r="Q528" i="35"/>
  <c r="C360" i="31" a="1"/>
  <c r="C360" i="31" s="1"/>
  <c r="D360" i="31" a="1"/>
  <c r="D360" i="31" s="1"/>
  <c r="L360" i="31"/>
  <c r="Q360" i="31"/>
  <c r="R360" i="31"/>
  <c r="U360" i="31"/>
  <c r="V360" i="31"/>
  <c r="W360" i="31"/>
  <c r="AB360" i="31"/>
  <c r="AC360" i="31"/>
  <c r="AF360" i="31"/>
  <c r="C347" i="31" a="1"/>
  <c r="C347" i="31" s="1"/>
  <c r="D347" i="31" a="1"/>
  <c r="D347" i="31" s="1"/>
  <c r="L347" i="31"/>
  <c r="Q347" i="31"/>
  <c r="R347" i="31"/>
  <c r="U347" i="31"/>
  <c r="V347" i="31"/>
  <c r="W347" i="31"/>
  <c r="AB347" i="31"/>
  <c r="AC347" i="31"/>
  <c r="AF347" i="31"/>
  <c r="C397" i="31" a="1"/>
  <c r="C397" i="31" s="1"/>
  <c r="D397" i="31" a="1"/>
  <c r="D397" i="31" s="1"/>
  <c r="L397" i="31"/>
  <c r="Q397" i="31"/>
  <c r="R397" i="31"/>
  <c r="U397" i="31"/>
  <c r="V397" i="31"/>
  <c r="W397" i="31"/>
  <c r="AB397" i="31"/>
  <c r="AC397" i="31"/>
  <c r="AF397" i="31"/>
  <c r="C358" i="31" a="1"/>
  <c r="C358" i="31" s="1"/>
  <c r="D358" i="31" a="1"/>
  <c r="D358" i="31" s="1"/>
  <c r="L358" i="31"/>
  <c r="Q358" i="31"/>
  <c r="R358" i="31"/>
  <c r="U358" i="31"/>
  <c r="V358" i="31"/>
  <c r="W358" i="31"/>
  <c r="AB358" i="31"/>
  <c r="AC358" i="31"/>
  <c r="AF358" i="31"/>
  <c r="C375" i="31" a="1"/>
  <c r="C375" i="31" s="1"/>
  <c r="D375" i="31" a="1"/>
  <c r="D375" i="31" s="1"/>
  <c r="L375" i="31"/>
  <c r="Q375" i="31"/>
  <c r="R375" i="31"/>
  <c r="U375" i="31"/>
  <c r="V375" i="31"/>
  <c r="W375" i="31"/>
  <c r="AB375" i="31"/>
  <c r="AC375" i="31"/>
  <c r="AF375" i="31"/>
  <c r="C374" i="31" a="1"/>
  <c r="C374" i="31" s="1"/>
  <c r="D374" i="31" a="1"/>
  <c r="D374" i="31" s="1"/>
  <c r="L374" i="31"/>
  <c r="Q374" i="31"/>
  <c r="R374" i="31"/>
  <c r="U374" i="31"/>
  <c r="V374" i="31"/>
  <c r="W374" i="31"/>
  <c r="AB374" i="31"/>
  <c r="AC374" i="31"/>
  <c r="AF374" i="31"/>
  <c r="C346" i="31" a="1"/>
  <c r="C346" i="31" s="1"/>
  <c r="D346" i="31" a="1"/>
  <c r="D346" i="31" s="1"/>
  <c r="L346" i="31"/>
  <c r="Q346" i="31"/>
  <c r="R346" i="31"/>
  <c r="U346" i="31"/>
  <c r="V346" i="31"/>
  <c r="W346" i="31"/>
  <c r="AB346" i="31"/>
  <c r="AC346" i="31"/>
  <c r="AF346" i="31"/>
  <c r="B300" i="33" a="1"/>
  <c r="B300" i="33" s="1"/>
  <c r="E300" i="33" a="1"/>
  <c r="E300" i="33" s="1"/>
  <c r="F300" i="33" a="1"/>
  <c r="F300" i="33" s="1"/>
  <c r="G300" i="33" a="1"/>
  <c r="G300" i="33" s="1"/>
  <c r="H300" i="33"/>
  <c r="I300" i="33"/>
  <c r="L300" i="33" a="1"/>
  <c r="L300" i="33" s="1"/>
  <c r="M300" i="33"/>
  <c r="N300" i="33"/>
  <c r="P300" i="33"/>
  <c r="B932" i="31" a="1"/>
  <c r="B932" i="31" s="1"/>
  <c r="C932" i="31"/>
  <c r="D932" i="31"/>
  <c r="E932" i="31"/>
  <c r="F932" i="31"/>
  <c r="G932" i="31"/>
  <c r="H932" i="31"/>
  <c r="I932" i="31"/>
  <c r="J932" i="31"/>
  <c r="K932" i="31"/>
  <c r="L932" i="31"/>
  <c r="O932" i="31" a="1"/>
  <c r="O932" i="31" s="1"/>
  <c r="S932" i="31"/>
  <c r="T932" i="31" a="1"/>
  <c r="T932" i="31" s="1"/>
  <c r="V932" i="31"/>
  <c r="X932" i="31"/>
  <c r="B207" i="33" a="1"/>
  <c r="B207" i="33" s="1"/>
  <c r="E207" i="33" a="1"/>
  <c r="E207" i="33" s="1"/>
  <c r="F207" i="33" a="1"/>
  <c r="F207" i="33" s="1"/>
  <c r="G207" i="33" a="1"/>
  <c r="G207" i="33" s="1"/>
  <c r="L207" i="33" a="1"/>
  <c r="L207" i="33" s="1"/>
  <c r="M207" i="33"/>
  <c r="N207" i="33"/>
  <c r="E77" i="40" s="1"/>
  <c r="P207" i="33"/>
  <c r="C527" i="35" a="1"/>
  <c r="C527" i="35" s="1"/>
  <c r="F527" i="35"/>
  <c r="J527" i="35"/>
  <c r="Q527" i="35"/>
  <c r="C526" i="35" a="1"/>
  <c r="C526" i="35" s="1"/>
  <c r="F526" i="35"/>
  <c r="G526" i="35" s="1"/>
  <c r="J526" i="35"/>
  <c r="K526" i="35" s="1"/>
  <c r="Q526" i="35"/>
  <c r="B1006" i="31" a="1"/>
  <c r="B1006" i="31" s="1"/>
  <c r="C1006" i="31"/>
  <c r="D1006" i="31"/>
  <c r="E1006" i="31"/>
  <c r="F1006" i="31"/>
  <c r="G1006" i="31"/>
  <c r="H1006" i="31"/>
  <c r="I1006" i="31"/>
  <c r="J1006" i="31"/>
  <c r="K1006" i="31"/>
  <c r="L1006" i="31"/>
  <c r="O1006" i="31" a="1"/>
  <c r="O1006" i="31" s="1"/>
  <c r="S1006" i="31"/>
  <c r="T1006" i="31" a="1"/>
  <c r="T1006" i="31" s="1"/>
  <c r="V1006" i="31"/>
  <c r="X1006" i="31"/>
  <c r="B252" i="33" a="1"/>
  <c r="B252" i="33" s="1"/>
  <c r="E252" i="33" a="1"/>
  <c r="E252" i="33" s="1"/>
  <c r="F252" i="33" a="1"/>
  <c r="F252" i="33" s="1"/>
  <c r="G252" i="33" a="1"/>
  <c r="G252" i="33" s="1"/>
  <c r="H252" i="33"/>
  <c r="I252" i="33"/>
  <c r="L252" i="33" a="1"/>
  <c r="L252" i="33" s="1"/>
  <c r="M252" i="33"/>
  <c r="N252" i="33"/>
  <c r="P252" i="33"/>
  <c r="B973" i="31" a="1"/>
  <c r="B973" i="31" s="1"/>
  <c r="C973" i="31"/>
  <c r="D973" i="31"/>
  <c r="E973" i="31"/>
  <c r="F973" i="31"/>
  <c r="G973" i="31"/>
  <c r="H973" i="31"/>
  <c r="I973" i="31"/>
  <c r="J973" i="31"/>
  <c r="K973" i="31"/>
  <c r="L973" i="31"/>
  <c r="O973" i="31" a="1"/>
  <c r="O973" i="31" s="1"/>
  <c r="S973" i="31"/>
  <c r="T973" i="31" a="1"/>
  <c r="T973" i="31" s="1"/>
  <c r="V973" i="31"/>
  <c r="X973" i="31"/>
  <c r="B311" i="33" a="1"/>
  <c r="B311" i="33" s="1"/>
  <c r="E311" i="33" a="1"/>
  <c r="E311" i="33" s="1"/>
  <c r="F311" i="33" a="1"/>
  <c r="F311" i="33" s="1"/>
  <c r="G311" i="33" a="1"/>
  <c r="G311" i="33" s="1"/>
  <c r="H311" i="33"/>
  <c r="I311" i="33"/>
  <c r="L311" i="33" a="1"/>
  <c r="L311" i="33" s="1"/>
  <c r="M311" i="33"/>
  <c r="N311" i="33"/>
  <c r="P311" i="33"/>
  <c r="B968" i="31" a="1"/>
  <c r="B968" i="31" s="1"/>
  <c r="C968" i="31"/>
  <c r="D968" i="31"/>
  <c r="E968" i="31"/>
  <c r="F968" i="31"/>
  <c r="G968" i="31"/>
  <c r="H968" i="31"/>
  <c r="I968" i="31"/>
  <c r="J968" i="31"/>
  <c r="K968" i="31"/>
  <c r="L968" i="31"/>
  <c r="O968" i="31" a="1"/>
  <c r="O968" i="31" s="1"/>
  <c r="S968" i="31"/>
  <c r="T968" i="31" a="1"/>
  <c r="T968" i="31" s="1"/>
  <c r="V968" i="31"/>
  <c r="X968" i="31"/>
  <c r="B1016" i="31" a="1"/>
  <c r="B1016" i="31" s="1"/>
  <c r="C1016" i="31"/>
  <c r="D1016" i="31"/>
  <c r="E1016" i="31"/>
  <c r="F1016" i="31"/>
  <c r="G1016" i="31"/>
  <c r="H1016" i="31"/>
  <c r="I1016" i="31"/>
  <c r="J1016" i="31"/>
  <c r="K1016" i="31"/>
  <c r="L1016" i="31"/>
  <c r="O1016" i="31" a="1"/>
  <c r="O1016" i="31" s="1"/>
  <c r="T1016" i="31" a="1"/>
  <c r="T1016" i="31" s="1"/>
  <c r="V1016" i="31"/>
  <c r="X1016" i="31"/>
  <c r="C345" i="31" a="1"/>
  <c r="C345" i="31" s="1"/>
  <c r="D345" i="31" a="1"/>
  <c r="D345" i="31" s="1"/>
  <c r="L345" i="31"/>
  <c r="Q345" i="31"/>
  <c r="R345" i="31"/>
  <c r="U345" i="31"/>
  <c r="V345" i="31"/>
  <c r="W345" i="31"/>
  <c r="AB345" i="31"/>
  <c r="AC345" i="31"/>
  <c r="AF345" i="31"/>
  <c r="C344" i="31" a="1"/>
  <c r="C344" i="31" s="1"/>
  <c r="D344" i="31" a="1"/>
  <c r="D344" i="31" s="1"/>
  <c r="L344" i="31"/>
  <c r="Q344" i="31"/>
  <c r="R344" i="31"/>
  <c r="U344" i="31"/>
  <c r="V344" i="31"/>
  <c r="W344" i="31"/>
  <c r="AB344" i="31"/>
  <c r="AC344" i="31"/>
  <c r="AF344" i="31"/>
  <c r="C405" i="31" a="1"/>
  <c r="C405" i="31" s="1"/>
  <c r="D405" i="31" a="1"/>
  <c r="D405" i="31" s="1"/>
  <c r="L405" i="31"/>
  <c r="Q405" i="31"/>
  <c r="R405" i="31"/>
  <c r="U405" i="31"/>
  <c r="V405" i="31"/>
  <c r="W405" i="31"/>
  <c r="AB405" i="31"/>
  <c r="AC405" i="31"/>
  <c r="AF405" i="31"/>
  <c r="B1014" i="31" a="1"/>
  <c r="B1014" i="31" s="1"/>
  <c r="C1014" i="31"/>
  <c r="D1014" i="31"/>
  <c r="E1014" i="31"/>
  <c r="F1014" i="31"/>
  <c r="G1014" i="31"/>
  <c r="H1014" i="31"/>
  <c r="I1014" i="31"/>
  <c r="J1014" i="31"/>
  <c r="K1014" i="31"/>
  <c r="L1014" i="31"/>
  <c r="O1014" i="31" a="1"/>
  <c r="O1014" i="31" s="1"/>
  <c r="S1014" i="31"/>
  <c r="T1014" i="31" a="1"/>
  <c r="T1014" i="31" s="1"/>
  <c r="V1014" i="31"/>
  <c r="X1014" i="31"/>
  <c r="B962" i="31" a="1"/>
  <c r="B962" i="31" s="1"/>
  <c r="C962" i="31"/>
  <c r="D962" i="31"/>
  <c r="E962" i="31"/>
  <c r="F962" i="31"/>
  <c r="G962" i="31"/>
  <c r="H962" i="31"/>
  <c r="I962" i="31"/>
  <c r="J962" i="31"/>
  <c r="K962" i="31"/>
  <c r="L962" i="31"/>
  <c r="O962" i="31" a="1"/>
  <c r="O962" i="31" s="1"/>
  <c r="S962" i="31"/>
  <c r="T962" i="31" a="1"/>
  <c r="T962" i="31" s="1"/>
  <c r="V962" i="31"/>
  <c r="X962" i="31"/>
  <c r="B918" i="31" a="1"/>
  <c r="B918" i="31" s="1"/>
  <c r="C918" i="31"/>
  <c r="D918" i="31"/>
  <c r="E918" i="31"/>
  <c r="F918" i="31"/>
  <c r="G918" i="31"/>
  <c r="H918" i="31"/>
  <c r="I918" i="31"/>
  <c r="J918" i="31"/>
  <c r="K918" i="31"/>
  <c r="L918" i="31"/>
  <c r="O918" i="31" a="1"/>
  <c r="O918" i="31" s="1"/>
  <c r="S918" i="31"/>
  <c r="T918" i="31" a="1"/>
  <c r="T918" i="31" s="1"/>
  <c r="V918" i="31"/>
  <c r="X918" i="31"/>
  <c r="B368" i="33" a="1"/>
  <c r="B368" i="33" s="1"/>
  <c r="E368" i="33" a="1"/>
  <c r="E368" i="33" s="1"/>
  <c r="F368" i="33" a="1"/>
  <c r="F368" i="33" s="1"/>
  <c r="G368" i="33" a="1"/>
  <c r="G368" i="33" s="1"/>
  <c r="H368" i="33"/>
  <c r="I368" i="33"/>
  <c r="L368" i="33" a="1"/>
  <c r="L368" i="33" s="1"/>
  <c r="M368" i="33"/>
  <c r="N368" i="33"/>
  <c r="P368" i="33"/>
  <c r="B975" i="31" a="1"/>
  <c r="B975" i="31" s="1"/>
  <c r="C975" i="31"/>
  <c r="D975" i="31"/>
  <c r="E975" i="31"/>
  <c r="F975" i="31"/>
  <c r="G975" i="31"/>
  <c r="H975" i="31"/>
  <c r="I975" i="31"/>
  <c r="J975" i="31"/>
  <c r="K975" i="31"/>
  <c r="L975" i="31"/>
  <c r="O975" i="31" a="1"/>
  <c r="O975" i="31" s="1"/>
  <c r="S975" i="31"/>
  <c r="T975" i="31" a="1"/>
  <c r="T975" i="31" s="1"/>
  <c r="V975" i="31"/>
  <c r="X975" i="31"/>
  <c r="C343" i="31" a="1"/>
  <c r="C343" i="31" s="1"/>
  <c r="D343" i="31" a="1"/>
  <c r="D343" i="31" s="1"/>
  <c r="L343" i="31"/>
  <c r="Q343" i="31"/>
  <c r="R343" i="31"/>
  <c r="U343" i="31"/>
  <c r="V343" i="31"/>
  <c r="W343" i="31"/>
  <c r="AB343" i="31"/>
  <c r="AC343" i="31"/>
  <c r="AF343" i="31"/>
  <c r="C359" i="31" a="1"/>
  <c r="C359" i="31" s="1"/>
  <c r="D359" i="31" a="1"/>
  <c r="D359" i="31" s="1"/>
  <c r="L359" i="31"/>
  <c r="Q359" i="31"/>
  <c r="R359" i="31"/>
  <c r="U359" i="31"/>
  <c r="V359" i="31"/>
  <c r="W359" i="31"/>
  <c r="AB359" i="31"/>
  <c r="AC359" i="31"/>
  <c r="AF359" i="31"/>
  <c r="C525" i="35" a="1"/>
  <c r="C525" i="35" s="1"/>
  <c r="F525" i="35"/>
  <c r="G525" i="35" s="1"/>
  <c r="J525" i="35"/>
  <c r="K525" i="35" s="1"/>
  <c r="Q525" i="35"/>
  <c r="C524" i="35" a="1"/>
  <c r="C524" i="35" s="1"/>
  <c r="F524" i="35"/>
  <c r="G524" i="35" s="1"/>
  <c r="J524" i="35"/>
  <c r="K524" i="35" s="1"/>
  <c r="Q524" i="35"/>
  <c r="B946" i="31" a="1"/>
  <c r="B946" i="31" s="1"/>
  <c r="C946" i="31"/>
  <c r="D946" i="31"/>
  <c r="E946" i="31"/>
  <c r="F946" i="31"/>
  <c r="G946" i="31"/>
  <c r="H946" i="31"/>
  <c r="I946" i="31"/>
  <c r="J946" i="31"/>
  <c r="K946" i="31"/>
  <c r="L946" i="31"/>
  <c r="O946" i="31" a="1"/>
  <c r="O946" i="31" s="1"/>
  <c r="S946" i="31"/>
  <c r="T946" i="31" a="1"/>
  <c r="T946" i="31" s="1"/>
  <c r="V946" i="31"/>
  <c r="X946" i="31"/>
  <c r="B915" i="31" a="1"/>
  <c r="B915" i="31" s="1"/>
  <c r="C915" i="31"/>
  <c r="D915" i="31"/>
  <c r="E915" i="31"/>
  <c r="F915" i="31"/>
  <c r="G915" i="31"/>
  <c r="H915" i="31"/>
  <c r="I915" i="31"/>
  <c r="J915" i="31"/>
  <c r="K915" i="31"/>
  <c r="L915" i="31"/>
  <c r="O915" i="31" a="1"/>
  <c r="O915" i="31" s="1"/>
  <c r="S915" i="31"/>
  <c r="T915" i="31" a="1"/>
  <c r="T915" i="31" s="1"/>
  <c r="V915" i="31"/>
  <c r="X915" i="31"/>
  <c r="B509" i="33" a="1"/>
  <c r="B509" i="33" s="1"/>
  <c r="E509" i="33" a="1"/>
  <c r="E509" i="33" s="1"/>
  <c r="F509" i="33" a="1"/>
  <c r="F509" i="33" s="1"/>
  <c r="G509" i="33" a="1"/>
  <c r="G509" i="33" s="1"/>
  <c r="L509" i="33" a="1"/>
  <c r="L509" i="33" s="1"/>
  <c r="M509" i="33"/>
  <c r="N509" i="33"/>
  <c r="P509" i="33"/>
  <c r="C523" i="35" a="1"/>
  <c r="C523" i="35" s="1"/>
  <c r="F523" i="35"/>
  <c r="G523" i="35" s="1"/>
  <c r="J523" i="35"/>
  <c r="K523" i="35" s="1"/>
  <c r="Q523" i="35"/>
  <c r="C522" i="35" a="1"/>
  <c r="C522" i="35" s="1"/>
  <c r="F522" i="35"/>
  <c r="G522" i="35" s="1"/>
  <c r="J522" i="35"/>
  <c r="K522" i="35" s="1"/>
  <c r="Q522" i="35"/>
  <c r="H194" i="6"/>
  <c r="J194" i="6" s="1"/>
  <c r="I194" i="6"/>
  <c r="K194" i="6" s="1"/>
  <c r="U194" i="6"/>
  <c r="H193" i="6"/>
  <c r="J193" i="6" s="1"/>
  <c r="I193" i="6"/>
  <c r="K193" i="6" s="1"/>
  <c r="U193" i="6"/>
  <c r="H192" i="6"/>
  <c r="J192" i="6" s="1"/>
  <c r="I192" i="6"/>
  <c r="K192" i="6" s="1"/>
  <c r="U192" i="6"/>
  <c r="H191" i="6"/>
  <c r="J191" i="6" s="1"/>
  <c r="I191" i="6"/>
  <c r="K191" i="6" s="1"/>
  <c r="U191" i="6"/>
  <c r="H190" i="6"/>
  <c r="J190" i="6" s="1"/>
  <c r="I190" i="6"/>
  <c r="K190" i="6" s="1"/>
  <c r="U190" i="6"/>
  <c r="H189" i="6"/>
  <c r="J189" i="6" s="1"/>
  <c r="I189" i="6"/>
  <c r="K189" i="6" s="1"/>
  <c r="U189" i="6"/>
  <c r="H188" i="6"/>
  <c r="J188" i="6" s="1"/>
  <c r="I188" i="6"/>
  <c r="K188" i="6" s="1"/>
  <c r="U188" i="6"/>
  <c r="C521" i="35" a="1"/>
  <c r="C521" i="35" s="1"/>
  <c r="F521" i="35"/>
  <c r="J521" i="35"/>
  <c r="Q521" i="35"/>
  <c r="B524" i="33" a="1"/>
  <c r="B524" i="33" s="1"/>
  <c r="E524" i="33" a="1"/>
  <c r="E524" i="33" s="1"/>
  <c r="F524" i="33" a="1"/>
  <c r="F524" i="33" s="1"/>
  <c r="G524" i="33" a="1"/>
  <c r="G524" i="33" s="1"/>
  <c r="L524" i="33" a="1"/>
  <c r="L524" i="33" s="1"/>
  <c r="M524" i="33"/>
  <c r="N524" i="33"/>
  <c r="P524" i="33"/>
  <c r="C520" i="35" a="1"/>
  <c r="C520" i="35" s="1"/>
  <c r="F520" i="35"/>
  <c r="G520" i="35" s="1"/>
  <c r="J520" i="35"/>
  <c r="K520" i="35" s="1"/>
  <c r="Q520" i="35"/>
  <c r="C519" i="35" a="1"/>
  <c r="C519" i="35" s="1"/>
  <c r="F519" i="35"/>
  <c r="G519" i="35" s="1"/>
  <c r="J519" i="35"/>
  <c r="K519" i="35" s="1"/>
  <c r="Q519" i="35"/>
  <c r="C518" i="35" a="1"/>
  <c r="C518" i="35" s="1"/>
  <c r="F518" i="35"/>
  <c r="G518" i="35" s="1"/>
  <c r="J518" i="35"/>
  <c r="K518" i="35" s="1"/>
  <c r="Q518" i="35"/>
  <c r="C517" i="35" a="1"/>
  <c r="C517" i="35" s="1"/>
  <c r="F517" i="35"/>
  <c r="G517" i="35" s="1"/>
  <c r="J517" i="35"/>
  <c r="K517" i="35" s="1"/>
  <c r="Q517" i="35"/>
  <c r="C516" i="35" a="1"/>
  <c r="C516" i="35" s="1"/>
  <c r="F516" i="35"/>
  <c r="G516" i="35" s="1"/>
  <c r="J516" i="35"/>
  <c r="K516" i="35" s="1"/>
  <c r="Q516" i="35"/>
  <c r="C515" i="35" a="1"/>
  <c r="C515" i="35" s="1"/>
  <c r="F515" i="35"/>
  <c r="G515" i="35" s="1"/>
  <c r="J515" i="35"/>
  <c r="K515" i="35" s="1"/>
  <c r="Q515" i="35"/>
  <c r="C514" i="35" a="1"/>
  <c r="C514" i="35" s="1"/>
  <c r="F514" i="35"/>
  <c r="J514" i="35"/>
  <c r="Q514" i="35"/>
  <c r="B159" i="33" a="1"/>
  <c r="B159" i="33" s="1"/>
  <c r="E159" i="33" a="1"/>
  <c r="E159" i="33" s="1"/>
  <c r="F159" i="33" a="1"/>
  <c r="F159" i="33" s="1"/>
  <c r="G159" i="33" a="1"/>
  <c r="G159" i="33" s="1"/>
  <c r="L159" i="33" a="1"/>
  <c r="L159" i="33" s="1"/>
  <c r="M159" i="33"/>
  <c r="N159" i="33"/>
  <c r="P159" i="33"/>
  <c r="C368" i="31" a="1"/>
  <c r="C368" i="31" s="1"/>
  <c r="D368" i="31" a="1"/>
  <c r="D368" i="31" s="1"/>
  <c r="L368" i="31"/>
  <c r="Q368" i="31"/>
  <c r="R368" i="31"/>
  <c r="U368" i="31"/>
  <c r="L1024" i="31" s="1"/>
  <c r="V368" i="31"/>
  <c r="W368" i="31"/>
  <c r="AB368" i="31"/>
  <c r="AC368" i="31"/>
  <c r="AF368" i="31"/>
  <c r="B342" i="33" a="1"/>
  <c r="B342" i="33" s="1"/>
  <c r="E342" i="33" a="1"/>
  <c r="E342" i="33" s="1"/>
  <c r="F342" i="33" a="1"/>
  <c r="F342" i="33" s="1"/>
  <c r="G342" i="33" a="1"/>
  <c r="G342" i="33" s="1"/>
  <c r="L342" i="33" a="1"/>
  <c r="L342" i="33" s="1"/>
  <c r="P342" i="33"/>
  <c r="C513" i="35" a="1"/>
  <c r="C513" i="35" s="1"/>
  <c r="F513" i="35"/>
  <c r="G513" i="35" s="1"/>
  <c r="J513" i="35"/>
  <c r="K513" i="35" s="1"/>
  <c r="Q513" i="35"/>
  <c r="C512" i="35" a="1"/>
  <c r="C512" i="35" s="1"/>
  <c r="F512" i="35"/>
  <c r="G512" i="35" s="1"/>
  <c r="J512" i="35"/>
  <c r="K512" i="35" s="1"/>
  <c r="Q512" i="35"/>
  <c r="C511" i="35" a="1"/>
  <c r="C511" i="35" s="1"/>
  <c r="F511" i="35"/>
  <c r="G511" i="35" s="1"/>
  <c r="J511" i="35"/>
  <c r="K511" i="35" s="1"/>
  <c r="Q511" i="35"/>
  <c r="C510" i="35" a="1"/>
  <c r="C510" i="35" s="1"/>
  <c r="F510" i="35"/>
  <c r="G510" i="35" s="1"/>
  <c r="J510" i="35"/>
  <c r="K510" i="35" s="1"/>
  <c r="Q510" i="35"/>
  <c r="C342" i="31" a="1"/>
  <c r="C342" i="31" s="1"/>
  <c r="D342" i="31" a="1"/>
  <c r="D342" i="31" s="1"/>
  <c r="L342" i="31"/>
  <c r="Q342" i="31"/>
  <c r="R342" i="31"/>
  <c r="U342" i="31"/>
  <c r="V342" i="31"/>
  <c r="W342" i="31"/>
  <c r="AB342" i="31"/>
  <c r="AC342" i="31"/>
  <c r="AF342" i="31"/>
  <c r="C339" i="31" a="1"/>
  <c r="C339" i="31" s="1"/>
  <c r="D339" i="31" a="1"/>
  <c r="D339" i="31" s="1"/>
  <c r="L339" i="31"/>
  <c r="Q339" i="31"/>
  <c r="R339" i="31"/>
  <c r="U339" i="31"/>
  <c r="V339" i="31"/>
  <c r="W339" i="31"/>
  <c r="AB339" i="31"/>
  <c r="AC339" i="31"/>
  <c r="AF339" i="31"/>
  <c r="C509" i="35" a="1"/>
  <c r="C509" i="35" s="1"/>
  <c r="F509" i="35"/>
  <c r="G509" i="35" s="1"/>
  <c r="J509" i="35"/>
  <c r="K509" i="35" s="1"/>
  <c r="Q509" i="35"/>
  <c r="C508" i="35" a="1"/>
  <c r="C508" i="35" s="1"/>
  <c r="F508" i="35"/>
  <c r="G508" i="35" s="1"/>
  <c r="J508" i="35"/>
  <c r="K508" i="35" s="1"/>
  <c r="Q508" i="35"/>
  <c r="C507" i="35" a="1"/>
  <c r="C507" i="35" s="1"/>
  <c r="F507" i="35"/>
  <c r="G507" i="35" s="1"/>
  <c r="J507" i="35"/>
  <c r="K507" i="35" s="1"/>
  <c r="Q507" i="35"/>
  <c r="C506" i="35" a="1"/>
  <c r="C506" i="35" s="1"/>
  <c r="F506" i="35"/>
  <c r="G506" i="35" s="1"/>
  <c r="J506" i="35"/>
  <c r="K506" i="35" s="1"/>
  <c r="Q506" i="35"/>
  <c r="C505" i="35" a="1"/>
  <c r="C505" i="35" s="1"/>
  <c r="F505" i="35"/>
  <c r="G505" i="35" s="1"/>
  <c r="J505" i="35"/>
  <c r="K505" i="35" s="1"/>
  <c r="Q505" i="35"/>
  <c r="C504" i="35" a="1"/>
  <c r="C504" i="35" s="1"/>
  <c r="F504" i="35"/>
  <c r="G504" i="35" s="1"/>
  <c r="J504" i="35"/>
  <c r="K504" i="35" s="1"/>
  <c r="Q504" i="35"/>
  <c r="C400" i="31" a="1"/>
  <c r="C400" i="31" s="1"/>
  <c r="D400" i="31" a="1"/>
  <c r="D400" i="31" s="1"/>
  <c r="L400" i="31"/>
  <c r="Q400" i="31"/>
  <c r="R400" i="31"/>
  <c r="U400" i="31"/>
  <c r="V400" i="31"/>
  <c r="W400" i="31"/>
  <c r="AB400" i="31"/>
  <c r="AC400" i="31"/>
  <c r="AF400" i="31"/>
  <c r="C403" i="31" a="1"/>
  <c r="C403" i="31" s="1"/>
  <c r="D403" i="31" a="1"/>
  <c r="D403" i="31" s="1"/>
  <c r="L403" i="31"/>
  <c r="Q403" i="31"/>
  <c r="R403" i="31"/>
  <c r="U403" i="31"/>
  <c r="V403" i="31"/>
  <c r="W403" i="31"/>
  <c r="AB403" i="31"/>
  <c r="AC403" i="31"/>
  <c r="AF403" i="31"/>
  <c r="C503" i="35" a="1"/>
  <c r="C503" i="35" s="1"/>
  <c r="F503" i="35"/>
  <c r="G503" i="35" s="1"/>
  <c r="J503" i="35"/>
  <c r="K503" i="35" s="1"/>
  <c r="Q503" i="35"/>
  <c r="C502" i="35" a="1"/>
  <c r="C502" i="35" s="1"/>
  <c r="F502" i="35"/>
  <c r="G502" i="35" s="1"/>
  <c r="J502" i="35"/>
  <c r="K502" i="35" s="1"/>
  <c r="Q502" i="35"/>
  <c r="C499" i="35" a="1"/>
  <c r="C499" i="35" s="1"/>
  <c r="C500" i="35" a="1"/>
  <c r="C500" i="35" s="1"/>
  <c r="C501" i="35" a="1"/>
  <c r="C501" i="35" s="1"/>
  <c r="F499" i="35"/>
  <c r="G499" i="35" s="1"/>
  <c r="F500" i="35"/>
  <c r="G500" i="35" s="1"/>
  <c r="F501" i="35"/>
  <c r="G501" i="35" s="1"/>
  <c r="J499" i="35"/>
  <c r="K499" i="35" s="1"/>
  <c r="J500" i="35"/>
  <c r="K500" i="35" s="1"/>
  <c r="J501" i="35"/>
  <c r="K501" i="35" s="1"/>
  <c r="Q499" i="35"/>
  <c r="Q500" i="35"/>
  <c r="Q501" i="35"/>
  <c r="C498" i="35" a="1"/>
  <c r="C498" i="35" s="1"/>
  <c r="F498" i="35"/>
  <c r="G498" i="35" s="1"/>
  <c r="J498" i="35"/>
  <c r="K498" i="35" s="1"/>
  <c r="Q498" i="35"/>
  <c r="C497" i="35" a="1"/>
  <c r="C497" i="35" s="1"/>
  <c r="F497" i="35"/>
  <c r="G497" i="35" s="1"/>
  <c r="J497" i="35"/>
  <c r="K497" i="35" s="1"/>
  <c r="Q497" i="35"/>
  <c r="C496" i="35" a="1"/>
  <c r="C496" i="35" s="1"/>
  <c r="F496" i="35"/>
  <c r="G496" i="35" s="1"/>
  <c r="J496" i="35"/>
  <c r="K496" i="35" s="1"/>
  <c r="Q496" i="35"/>
  <c r="C495" i="35" a="1"/>
  <c r="C495" i="35" s="1"/>
  <c r="F495" i="35"/>
  <c r="G495" i="35" s="1"/>
  <c r="J495" i="35"/>
  <c r="K495" i="35" s="1"/>
  <c r="Q495" i="35"/>
  <c r="C494" i="35" a="1"/>
  <c r="C494" i="35" s="1"/>
  <c r="F494" i="35"/>
  <c r="G494" i="35" s="1"/>
  <c r="J494" i="35"/>
  <c r="K494" i="35" s="1"/>
  <c r="Q494" i="35"/>
  <c r="C493" i="35" a="1"/>
  <c r="C493" i="35" s="1"/>
  <c r="F493" i="35"/>
  <c r="G493" i="35" s="1"/>
  <c r="J493" i="35"/>
  <c r="K493" i="35" s="1"/>
  <c r="Q493" i="35"/>
  <c r="C338" i="31" a="1"/>
  <c r="C338" i="31" s="1"/>
  <c r="D338" i="31" a="1"/>
  <c r="D338" i="31" s="1"/>
  <c r="L338" i="31"/>
  <c r="Q338" i="31"/>
  <c r="R338" i="31"/>
  <c r="U338" i="31"/>
  <c r="V338" i="31"/>
  <c r="W338" i="31"/>
  <c r="AB338" i="31"/>
  <c r="AC338" i="31"/>
  <c r="AF338" i="31"/>
  <c r="C337" i="31" a="1"/>
  <c r="C337" i="31" s="1"/>
  <c r="D337" i="31" a="1"/>
  <c r="D337" i="31" s="1"/>
  <c r="L337" i="31"/>
  <c r="Q337" i="31"/>
  <c r="R337" i="31"/>
  <c r="U337" i="31"/>
  <c r="V337" i="31"/>
  <c r="W337" i="31"/>
  <c r="AB337" i="31"/>
  <c r="AC337" i="31"/>
  <c r="AF337" i="31"/>
  <c r="C492" i="35" a="1"/>
  <c r="C492" i="35" s="1"/>
  <c r="F492" i="35"/>
  <c r="G492" i="35" s="1"/>
  <c r="J492" i="35"/>
  <c r="K492" i="35" s="1"/>
  <c r="Q492" i="35"/>
  <c r="C491" i="35" a="1"/>
  <c r="C491" i="35" s="1"/>
  <c r="F491" i="35"/>
  <c r="G491" i="35" s="1"/>
  <c r="J491" i="35"/>
  <c r="K491" i="35" s="1"/>
  <c r="Q491" i="35"/>
  <c r="C490" i="35" a="1"/>
  <c r="C490" i="35" s="1"/>
  <c r="F490" i="35"/>
  <c r="G490" i="35" s="1"/>
  <c r="J490" i="35"/>
  <c r="K490" i="35" s="1"/>
  <c r="Q490" i="35"/>
  <c r="C489" i="35" a="1"/>
  <c r="C489" i="35" s="1"/>
  <c r="F489" i="35"/>
  <c r="J489" i="35"/>
  <c r="Q489" i="35"/>
  <c r="C488" i="35" a="1"/>
  <c r="C488" i="35" s="1"/>
  <c r="F488" i="35"/>
  <c r="G488" i="35" s="1"/>
  <c r="J488" i="35"/>
  <c r="K488" i="35" s="1"/>
  <c r="Q488" i="35"/>
  <c r="C487" i="35" a="1"/>
  <c r="C487" i="35" s="1"/>
  <c r="F487" i="35"/>
  <c r="G487" i="35" s="1"/>
  <c r="J487" i="35"/>
  <c r="K487" i="35" s="1"/>
  <c r="Q487" i="35"/>
  <c r="C486" i="35" a="1"/>
  <c r="C486" i="35" s="1"/>
  <c r="F486" i="35"/>
  <c r="G486" i="35" s="1"/>
  <c r="J486" i="35"/>
  <c r="K486" i="35" s="1"/>
  <c r="Q486" i="35"/>
  <c r="C485" i="35" a="1"/>
  <c r="C485" i="35" s="1"/>
  <c r="F485" i="35"/>
  <c r="G485" i="35" s="1"/>
  <c r="J485" i="35"/>
  <c r="K485" i="35" s="1"/>
  <c r="Q485" i="35"/>
  <c r="C484" i="35" a="1"/>
  <c r="C484" i="35" s="1"/>
  <c r="F484" i="35"/>
  <c r="G484" i="35" s="1"/>
  <c r="J484" i="35"/>
  <c r="K484" i="35" s="1"/>
  <c r="Q484" i="35"/>
  <c r="C483" i="35" a="1"/>
  <c r="C483" i="35" s="1"/>
  <c r="F483" i="35"/>
  <c r="G483" i="35" s="1"/>
  <c r="J483" i="35"/>
  <c r="K483" i="35" s="1"/>
  <c r="Q483" i="35"/>
  <c r="C482" i="35" a="1"/>
  <c r="C482" i="35" s="1"/>
  <c r="F482" i="35"/>
  <c r="G482" i="35" s="1"/>
  <c r="J482" i="35"/>
  <c r="K482" i="35" s="1"/>
  <c r="Q482" i="35"/>
  <c r="C481" i="35" a="1"/>
  <c r="C481" i="35" s="1"/>
  <c r="F481" i="35"/>
  <c r="G481" i="35" s="1"/>
  <c r="J481" i="35"/>
  <c r="K481" i="35" s="1"/>
  <c r="Q481" i="35"/>
  <c r="C480" i="35" a="1"/>
  <c r="C480" i="35" s="1"/>
  <c r="F480" i="35"/>
  <c r="G480" i="35" s="1"/>
  <c r="J480" i="35"/>
  <c r="K480" i="35" s="1"/>
  <c r="Q480" i="35"/>
  <c r="C479" i="35" a="1"/>
  <c r="C479" i="35" s="1"/>
  <c r="F479" i="35"/>
  <c r="G479" i="35" s="1"/>
  <c r="J479" i="35"/>
  <c r="K479" i="35" s="1"/>
  <c r="Q479" i="35"/>
  <c r="C478" i="35" a="1"/>
  <c r="C478" i="35" s="1"/>
  <c r="F478" i="35"/>
  <c r="G478" i="35" s="1"/>
  <c r="J478" i="35"/>
  <c r="K478" i="35" s="1"/>
  <c r="Q478" i="35"/>
  <c r="C477" i="35" a="1"/>
  <c r="C477" i="35" s="1"/>
  <c r="F477" i="35"/>
  <c r="G477" i="35" s="1"/>
  <c r="J477" i="35"/>
  <c r="K477" i="35" s="1"/>
  <c r="Q477" i="35"/>
  <c r="H187" i="6"/>
  <c r="J187" i="6" s="1"/>
  <c r="I187" i="6"/>
  <c r="K187" i="6" s="1"/>
  <c r="U187" i="6"/>
  <c r="H186" i="6"/>
  <c r="J186" i="6" s="1"/>
  <c r="I186" i="6"/>
  <c r="K186" i="6" s="1"/>
  <c r="U186" i="6"/>
  <c r="L2066" i="35" l="1"/>
  <c r="L2069" i="35"/>
  <c r="H2066" i="35"/>
  <c r="H2069" i="35"/>
  <c r="L2042" i="35"/>
  <c r="L2046" i="35"/>
  <c r="H2042" i="35"/>
  <c r="H2046" i="35"/>
  <c r="L2019" i="35"/>
  <c r="L2028" i="35"/>
  <c r="H2019" i="35"/>
  <c r="H2028" i="35"/>
  <c r="L869" i="35"/>
  <c r="L2011" i="35"/>
  <c r="H869" i="35"/>
  <c r="H2011" i="35"/>
  <c r="I1808" i="35"/>
  <c r="O1808" i="35" s="1"/>
  <c r="I1893" i="35"/>
  <c r="O1893" i="35" s="1"/>
  <c r="M1808" i="35"/>
  <c r="N1808" i="35" s="1"/>
  <c r="M1893" i="35"/>
  <c r="N1893" i="35" s="1"/>
  <c r="L1773" i="35"/>
  <c r="L1865" i="35"/>
  <c r="H1773" i="35"/>
  <c r="H1865" i="35"/>
  <c r="H1852" i="35"/>
  <c r="L1852" i="35"/>
  <c r="L1549" i="35"/>
  <c r="L1849" i="35"/>
  <c r="H1549" i="35"/>
  <c r="H1849" i="35"/>
  <c r="L1686" i="35"/>
  <c r="L1704" i="35"/>
  <c r="H1686" i="35"/>
  <c r="H1704" i="35"/>
  <c r="L1616" i="35"/>
  <c r="L1675" i="35"/>
  <c r="H1616" i="35"/>
  <c r="H1675" i="35"/>
  <c r="H932" i="35"/>
  <c r="H1639" i="35"/>
  <c r="L932" i="35"/>
  <c r="L1639" i="35"/>
  <c r="L1625" i="35"/>
  <c r="H1625" i="35"/>
  <c r="L1604" i="35"/>
  <c r="L1605" i="35"/>
  <c r="H1604" i="35"/>
  <c r="H1605" i="35"/>
  <c r="L1580" i="35"/>
  <c r="H1580" i="35"/>
  <c r="L1545" i="35"/>
  <c r="H1545" i="35"/>
  <c r="L1474" i="35"/>
  <c r="L1543" i="35"/>
  <c r="H1474" i="35"/>
  <c r="H1543" i="35"/>
  <c r="L1503" i="35"/>
  <c r="L1512" i="35"/>
  <c r="H1503" i="35"/>
  <c r="H1512" i="35"/>
  <c r="I1459" i="35"/>
  <c r="O1459" i="35" s="1"/>
  <c r="I1510" i="35"/>
  <c r="O1510" i="35" s="1"/>
  <c r="M1459" i="35"/>
  <c r="N1459" i="35" s="1"/>
  <c r="M1510" i="35"/>
  <c r="N1510" i="35" s="1"/>
  <c r="L1475" i="35"/>
  <c r="L1501" i="35"/>
  <c r="H1475" i="35"/>
  <c r="H1501" i="35"/>
  <c r="K572" i="35"/>
  <c r="L1480" i="35"/>
  <c r="G572" i="35"/>
  <c r="H1480" i="35"/>
  <c r="L1310" i="35"/>
  <c r="L1440" i="35"/>
  <c r="H1310" i="35"/>
  <c r="H1440" i="35"/>
  <c r="P1433" i="35"/>
  <c r="H1138" i="35"/>
  <c r="H1387" i="35"/>
  <c r="L1138" i="35"/>
  <c r="L1387" i="35"/>
  <c r="I1383" i="35"/>
  <c r="O1383" i="35" s="1"/>
  <c r="I1386" i="35"/>
  <c r="O1386" i="35" s="1"/>
  <c r="M1383" i="35"/>
  <c r="N1383" i="35" s="1"/>
  <c r="M1386" i="35"/>
  <c r="N1386" i="35" s="1"/>
  <c r="L1366" i="35"/>
  <c r="H1366" i="35"/>
  <c r="L1363" i="35"/>
  <c r="H1363" i="35"/>
  <c r="M1253" i="35"/>
  <c r="N1253" i="35" s="1"/>
  <c r="I1253" i="35"/>
  <c r="O1253" i="35" s="1"/>
  <c r="L1351" i="35"/>
  <c r="H1351" i="35"/>
  <c r="L1319" i="35"/>
  <c r="H1319" i="35"/>
  <c r="I1297" i="35"/>
  <c r="O1297" i="35" s="1"/>
  <c r="I1317" i="35"/>
  <c r="O1317" i="35" s="1"/>
  <c r="M1297" i="35"/>
  <c r="N1297" i="35" s="1"/>
  <c r="M1317" i="35"/>
  <c r="N1317" i="35" s="1"/>
  <c r="L1300" i="35"/>
  <c r="L1302" i="35"/>
  <c r="H1300" i="35"/>
  <c r="H1302" i="35"/>
  <c r="M1284" i="35"/>
  <c r="N1284" i="35" s="1"/>
  <c r="M1295" i="35"/>
  <c r="N1295" i="35" s="1"/>
  <c r="I1284" i="35"/>
  <c r="O1284" i="35" s="1"/>
  <c r="I1295" i="35"/>
  <c r="O1295" i="35" s="1"/>
  <c r="H1276" i="35"/>
  <c r="L1276" i="35"/>
  <c r="I1251" i="35"/>
  <c r="O1251" i="35" s="1"/>
  <c r="I1257" i="35"/>
  <c r="O1257" i="35" s="1"/>
  <c r="M1251" i="35"/>
  <c r="N1251" i="35" s="1"/>
  <c r="M1257" i="35"/>
  <c r="N1257" i="35" s="1"/>
  <c r="L1229" i="35"/>
  <c r="L1231" i="35"/>
  <c r="H1215" i="35"/>
  <c r="H1229" i="35"/>
  <c r="H1231" i="35"/>
  <c r="I1148" i="35"/>
  <c r="O1148" i="35" s="1"/>
  <c r="I1218" i="35"/>
  <c r="O1218" i="35" s="1"/>
  <c r="M1148" i="35"/>
  <c r="N1148" i="35" s="1"/>
  <c r="M1218" i="35"/>
  <c r="N1218" i="35" s="1"/>
  <c r="L1215" i="35"/>
  <c r="I1183" i="35"/>
  <c r="O1183" i="35" s="1"/>
  <c r="I1208" i="35"/>
  <c r="O1208" i="35" s="1"/>
  <c r="M1183" i="35"/>
  <c r="N1183" i="35" s="1"/>
  <c r="M1208" i="35"/>
  <c r="N1208" i="35" s="1"/>
  <c r="H1137" i="35"/>
  <c r="H1182" i="35"/>
  <c r="L1182" i="35"/>
  <c r="P1156" i="35"/>
  <c r="K570" i="35"/>
  <c r="L1154" i="35"/>
  <c r="G570" i="35"/>
  <c r="H1154" i="35"/>
  <c r="L1137" i="35"/>
  <c r="M621" i="35"/>
  <c r="N621" i="35" s="1"/>
  <c r="M1136" i="35"/>
  <c r="N1136" i="35" s="1"/>
  <c r="I621" i="35"/>
  <c r="O621" i="35" s="1"/>
  <c r="H152" i="33" s="1"/>
  <c r="S152" i="33" s="1"/>
  <c r="I1136" i="35"/>
  <c r="O1136" i="35" s="1"/>
  <c r="M1070" i="35"/>
  <c r="N1070" i="35" s="1"/>
  <c r="M1134" i="35"/>
  <c r="N1134" i="35" s="1"/>
  <c r="I1070" i="35"/>
  <c r="O1070" i="35" s="1"/>
  <c r="I1134" i="35"/>
  <c r="O1134" i="35" s="1"/>
  <c r="L1069" i="35"/>
  <c r="L1132" i="35"/>
  <c r="H1069" i="35"/>
  <c r="H1132" i="35"/>
  <c r="L1084" i="35"/>
  <c r="H1084" i="35"/>
  <c r="I613" i="35"/>
  <c r="O613" i="35" s="1"/>
  <c r="H215" i="33" s="1"/>
  <c r="I1079" i="35"/>
  <c r="O1079" i="35" s="1"/>
  <c r="M613" i="35"/>
  <c r="N613" i="35" s="1"/>
  <c r="M1079" i="35"/>
  <c r="N1079" i="35" s="1"/>
  <c r="L1047" i="35"/>
  <c r="H1047" i="35"/>
  <c r="L1034" i="35"/>
  <c r="H1034" i="35"/>
  <c r="G528" i="35"/>
  <c r="I1605" i="35" s="1"/>
  <c r="K528" i="35"/>
  <c r="M1605" i="35" s="1"/>
  <c r="L1013" i="35"/>
  <c r="H1013" i="35"/>
  <c r="H1007" i="35"/>
  <c r="L1007" i="35"/>
  <c r="M999" i="35"/>
  <c r="N999" i="35" s="1"/>
  <c r="M1000" i="35"/>
  <c r="N1000" i="35" s="1"/>
  <c r="I999" i="35"/>
  <c r="O999" i="35" s="1"/>
  <c r="I1000" i="35"/>
  <c r="O1000" i="35" s="1"/>
  <c r="L989" i="35"/>
  <c r="H989" i="35"/>
  <c r="L887" i="35"/>
  <c r="L986" i="35"/>
  <c r="H887" i="35"/>
  <c r="H986" i="35"/>
  <c r="L983" i="35"/>
  <c r="H983" i="35"/>
  <c r="M625" i="35"/>
  <c r="N625" i="35" s="1"/>
  <c r="K527" i="35"/>
  <c r="L978" i="35"/>
  <c r="G527" i="35"/>
  <c r="H978" i="35"/>
  <c r="I612" i="35"/>
  <c r="O612" i="35" s="1"/>
  <c r="H80" i="33" s="1"/>
  <c r="J80" i="33" s="1"/>
  <c r="I969" i="35"/>
  <c r="O969" i="35" s="1"/>
  <c r="M623" i="35"/>
  <c r="N623" i="35" s="1"/>
  <c r="M969" i="35"/>
  <c r="N969" i="35" s="1"/>
  <c r="I631" i="35"/>
  <c r="O631" i="35" s="1"/>
  <c r="I625" i="35"/>
  <c r="O625" i="35" s="1"/>
  <c r="M631" i="35"/>
  <c r="N631" i="35" s="1"/>
  <c r="K568" i="35"/>
  <c r="L933" i="35"/>
  <c r="G568" i="35"/>
  <c r="H933" i="35"/>
  <c r="L853" i="35"/>
  <c r="L931" i="35"/>
  <c r="H853" i="35"/>
  <c r="H931" i="35"/>
  <c r="M612" i="35"/>
  <c r="N612" i="35" s="1"/>
  <c r="H890" i="35"/>
  <c r="K606" i="35"/>
  <c r="M1879" i="35" s="1"/>
  <c r="N1879" i="35" s="1"/>
  <c r="L895" i="35"/>
  <c r="G606" i="35"/>
  <c r="I1879" i="35" s="1"/>
  <c r="O1879" i="35" s="1"/>
  <c r="H895" i="35"/>
  <c r="O888" i="35"/>
  <c r="L890" i="35"/>
  <c r="N888" i="35"/>
  <c r="L715" i="35"/>
  <c r="L886" i="35"/>
  <c r="H715" i="35"/>
  <c r="H886" i="35"/>
  <c r="I833" i="35"/>
  <c r="O833" i="35" s="1"/>
  <c r="I868" i="35"/>
  <c r="O868" i="35" s="1"/>
  <c r="M833" i="35"/>
  <c r="N833" i="35" s="1"/>
  <c r="M868" i="35"/>
  <c r="N868" i="35" s="1"/>
  <c r="I623" i="35"/>
  <c r="O623" i="35" s="1"/>
  <c r="L843" i="35"/>
  <c r="L844" i="35"/>
  <c r="H843" i="35"/>
  <c r="H844" i="35"/>
  <c r="K604" i="35"/>
  <c r="L825" i="35"/>
  <c r="G604" i="35"/>
  <c r="H825" i="35"/>
  <c r="H804" i="35"/>
  <c r="L804" i="35"/>
  <c r="L798" i="35"/>
  <c r="L797" i="35"/>
  <c r="H798" i="35"/>
  <c r="H797" i="35"/>
  <c r="I614" i="35"/>
  <c r="O614" i="35" s="1"/>
  <c r="H192" i="33" s="1"/>
  <c r="I785" i="35"/>
  <c r="O785" i="35" s="1"/>
  <c r="M614" i="35"/>
  <c r="N614" i="35" s="1"/>
  <c r="M785" i="35"/>
  <c r="N785" i="35" s="1"/>
  <c r="K521" i="35"/>
  <c r="L778" i="35"/>
  <c r="G521" i="35"/>
  <c r="H778" i="35"/>
  <c r="L742" i="35"/>
  <c r="L770" i="35"/>
  <c r="H742" i="35"/>
  <c r="H770" i="35"/>
  <c r="R275" i="6"/>
  <c r="O239" i="6"/>
  <c r="Q239" i="6" s="1"/>
  <c r="O275" i="6"/>
  <c r="Q275" i="6" s="1"/>
  <c r="N239" i="6"/>
  <c r="P239" i="6" s="1"/>
  <c r="G94" i="36" s="1"/>
  <c r="I94" i="36" s="1"/>
  <c r="N275" i="6"/>
  <c r="P275" i="6" s="1"/>
  <c r="H736" i="35"/>
  <c r="L736" i="35"/>
  <c r="I630" i="35"/>
  <c r="O630" i="35" s="1"/>
  <c r="I716" i="35"/>
  <c r="O716" i="35" s="1"/>
  <c r="M630" i="35"/>
  <c r="N630" i="35" s="1"/>
  <c r="M716" i="35"/>
  <c r="N716" i="35" s="1"/>
  <c r="H706" i="35"/>
  <c r="G514" i="35"/>
  <c r="H711" i="35"/>
  <c r="K514" i="35"/>
  <c r="L711" i="35"/>
  <c r="I615" i="35"/>
  <c r="O615" i="35" s="1"/>
  <c r="H508" i="33" s="1"/>
  <c r="M615" i="35"/>
  <c r="N615" i="35" s="1"/>
  <c r="L706" i="35"/>
  <c r="I629" i="35"/>
  <c r="O629" i="35" s="1"/>
  <c r="I682" i="35"/>
  <c r="O682" i="35" s="1"/>
  <c r="M629" i="35"/>
  <c r="N629" i="35" s="1"/>
  <c r="M682" i="35"/>
  <c r="N682" i="35" s="1"/>
  <c r="L671" i="35"/>
  <c r="L672" i="35"/>
  <c r="H671" i="35"/>
  <c r="H672" i="35"/>
  <c r="L662" i="35"/>
  <c r="L670" i="35"/>
  <c r="H662" i="35"/>
  <c r="H670" i="35"/>
  <c r="L668" i="35"/>
  <c r="H658" i="35"/>
  <c r="H668" i="35"/>
  <c r="K564" i="35"/>
  <c r="M1625" i="35" s="1"/>
  <c r="L658" i="35"/>
  <c r="K571" i="35"/>
  <c r="M656" i="35" s="1"/>
  <c r="L656" i="35"/>
  <c r="G571" i="35"/>
  <c r="I656" i="35" s="1"/>
  <c r="H656" i="35"/>
  <c r="R239" i="6"/>
  <c r="H94" i="36" s="1"/>
  <c r="K579" i="35"/>
  <c r="M2071" i="35" s="1"/>
  <c r="N2071" i="35" s="1"/>
  <c r="L640" i="35"/>
  <c r="G579" i="35"/>
  <c r="I2071" i="35" s="1"/>
  <c r="O2071" i="35" s="1"/>
  <c r="H640" i="35"/>
  <c r="L626" i="35"/>
  <c r="L628" i="35"/>
  <c r="H626" i="35"/>
  <c r="H628" i="35"/>
  <c r="AA466" i="31"/>
  <c r="AA457" i="31"/>
  <c r="AA404" i="31"/>
  <c r="R145" i="33"/>
  <c r="B63" i="40"/>
  <c r="L1023" i="31"/>
  <c r="F1023" i="31"/>
  <c r="E1024" i="31"/>
  <c r="AA399" i="31"/>
  <c r="AA392" i="31"/>
  <c r="K586" i="35"/>
  <c r="L617" i="35"/>
  <c r="G586" i="35"/>
  <c r="H617" i="35"/>
  <c r="L604" i="35"/>
  <c r="L606" i="35"/>
  <c r="H606" i="35"/>
  <c r="K605" i="35"/>
  <c r="L611" i="35"/>
  <c r="G605" i="35"/>
  <c r="H611" i="35"/>
  <c r="K489" i="35"/>
  <c r="M931" i="35" s="1"/>
  <c r="L609" i="35"/>
  <c r="L610" i="35"/>
  <c r="G489" i="35"/>
  <c r="I931" i="35" s="1"/>
  <c r="H610" i="35"/>
  <c r="H609" i="35"/>
  <c r="L605" i="35"/>
  <c r="AA409" i="31"/>
  <c r="AA408" i="31"/>
  <c r="AA424" i="31"/>
  <c r="AA115" i="31"/>
  <c r="AA133" i="31"/>
  <c r="AA100" i="31"/>
  <c r="AA130" i="31"/>
  <c r="AA92" i="31"/>
  <c r="AA120" i="31"/>
  <c r="S425" i="31"/>
  <c r="T425" i="31" s="1"/>
  <c r="M130" i="33" s="1"/>
  <c r="H605" i="35"/>
  <c r="H579" i="35"/>
  <c r="L584" i="35"/>
  <c r="H604" i="35"/>
  <c r="Q146" i="33"/>
  <c r="R146" i="33" s="1"/>
  <c r="AD425" i="31"/>
  <c r="S130" i="33"/>
  <c r="J130" i="33"/>
  <c r="K130" i="33"/>
  <c r="Q130" i="33"/>
  <c r="X425" i="31"/>
  <c r="Y425" i="31" s="1"/>
  <c r="Z425" i="31"/>
  <c r="Q187" i="33"/>
  <c r="R187" i="33" s="1"/>
  <c r="S415" i="31"/>
  <c r="T415" i="31" s="1"/>
  <c r="S380" i="31"/>
  <c r="T380" i="31" s="1"/>
  <c r="AD414" i="31"/>
  <c r="Z415" i="31"/>
  <c r="S414" i="31"/>
  <c r="T414" i="31" s="1"/>
  <c r="AD415" i="31"/>
  <c r="Z414" i="31"/>
  <c r="X415" i="31"/>
  <c r="Y415" i="31" s="1"/>
  <c r="X414" i="31"/>
  <c r="Y414" i="31" s="1"/>
  <c r="S369" i="31"/>
  <c r="T369" i="31" s="1"/>
  <c r="AD369" i="31"/>
  <c r="X380" i="31"/>
  <c r="Y380" i="31" s="1"/>
  <c r="Z380" i="31"/>
  <c r="X369" i="31"/>
  <c r="Y369" i="31" s="1"/>
  <c r="Z369" i="31"/>
  <c r="AD380" i="31"/>
  <c r="S9" i="31"/>
  <c r="T9" i="31" s="1"/>
  <c r="AD9" i="31"/>
  <c r="S10" i="31"/>
  <c r="T10" i="31" s="1"/>
  <c r="AD10" i="31"/>
  <c r="X10" i="31"/>
  <c r="Y10" i="31" s="1"/>
  <c r="Z10" i="31"/>
  <c r="Z9" i="31"/>
  <c r="X9" i="31"/>
  <c r="Y9" i="31" s="1"/>
  <c r="S461" i="31"/>
  <c r="T461" i="31" s="1"/>
  <c r="S396" i="31"/>
  <c r="T396" i="31" s="1"/>
  <c r="H594" i="35"/>
  <c r="Z396" i="31"/>
  <c r="L594" i="35"/>
  <c r="X396" i="31"/>
  <c r="Y396" i="31" s="1"/>
  <c r="AD396" i="31"/>
  <c r="X461" i="31"/>
  <c r="Y461" i="31" s="1"/>
  <c r="Z461" i="31"/>
  <c r="AD461" i="31"/>
  <c r="S119" i="31"/>
  <c r="T119" i="31" s="1"/>
  <c r="AD119" i="31"/>
  <c r="AD142" i="31"/>
  <c r="X119" i="31"/>
  <c r="Y119" i="31" s="1"/>
  <c r="Z119" i="31"/>
  <c r="S142" i="31"/>
  <c r="T142" i="31" s="1"/>
  <c r="X142" i="31"/>
  <c r="Y142" i="31" s="1"/>
  <c r="Z142" i="31"/>
  <c r="M584" i="35"/>
  <c r="H588" i="35"/>
  <c r="L589" i="35"/>
  <c r="H589" i="35"/>
  <c r="L588" i="35"/>
  <c r="L587" i="35"/>
  <c r="H587" i="35"/>
  <c r="H584" i="35"/>
  <c r="H585" i="35"/>
  <c r="I584" i="35"/>
  <c r="I585" i="35"/>
  <c r="M585" i="35"/>
  <c r="L585" i="35"/>
  <c r="Q227" i="33"/>
  <c r="R227" i="33" s="1"/>
  <c r="S138" i="31"/>
  <c r="T138" i="31" s="1"/>
  <c r="S407" i="31"/>
  <c r="T407" i="31" s="1"/>
  <c r="AD407" i="31"/>
  <c r="Z407" i="31"/>
  <c r="X407" i="31"/>
  <c r="Y407" i="31" s="1"/>
  <c r="S406" i="31"/>
  <c r="T406" i="31" s="1"/>
  <c r="X406" i="31"/>
  <c r="Y406" i="31" s="1"/>
  <c r="Z406" i="31"/>
  <c r="AD134" i="31"/>
  <c r="AD138" i="31"/>
  <c r="S134" i="31"/>
  <c r="T134" i="31" s="1"/>
  <c r="L579" i="35"/>
  <c r="X134" i="31"/>
  <c r="Y134" i="31" s="1"/>
  <c r="Z134" i="31"/>
  <c r="X138" i="31"/>
  <c r="Y138" i="31" s="1"/>
  <c r="Z138" i="31"/>
  <c r="L572" i="35"/>
  <c r="H571" i="35"/>
  <c r="L571" i="35"/>
  <c r="Q41" i="33"/>
  <c r="R41" i="33" s="1"/>
  <c r="Q18" i="33"/>
  <c r="H572" i="35"/>
  <c r="S412" i="31"/>
  <c r="T412" i="31" s="1"/>
  <c r="S391" i="31"/>
  <c r="T391" i="31" s="1"/>
  <c r="S411" i="31"/>
  <c r="T411" i="31" s="1"/>
  <c r="X411" i="31"/>
  <c r="Y411" i="31" s="1"/>
  <c r="Z391" i="31"/>
  <c r="Z411" i="31"/>
  <c r="S413" i="31"/>
  <c r="T413" i="31" s="1"/>
  <c r="AD411" i="31"/>
  <c r="X391" i="31"/>
  <c r="Y391" i="31" s="1"/>
  <c r="AD391" i="31"/>
  <c r="Z402" i="31"/>
  <c r="S402" i="31"/>
  <c r="T402" i="31" s="1"/>
  <c r="X402" i="31"/>
  <c r="Y402" i="31" s="1"/>
  <c r="AD402" i="31"/>
  <c r="AD413" i="31"/>
  <c r="X413" i="31"/>
  <c r="Y413" i="31" s="1"/>
  <c r="Z413" i="31"/>
  <c r="X412" i="31"/>
  <c r="Y412" i="31" s="1"/>
  <c r="Z412" i="31"/>
  <c r="AD412" i="31"/>
  <c r="H568" i="35"/>
  <c r="AD575" i="31"/>
  <c r="S575" i="31"/>
  <c r="T575" i="31" s="1"/>
  <c r="X575" i="31"/>
  <c r="Y575" i="31" s="1"/>
  <c r="Z575" i="31"/>
  <c r="H570" i="35"/>
  <c r="Q178" i="33"/>
  <c r="R178" i="33" s="1"/>
  <c r="L570" i="35"/>
  <c r="Q235" i="33"/>
  <c r="R235" i="33" s="1"/>
  <c r="L568" i="35"/>
  <c r="H564" i="35"/>
  <c r="S398" i="31"/>
  <c r="T398" i="31" s="1"/>
  <c r="X398" i="31"/>
  <c r="Y398" i="31" s="1"/>
  <c r="Z398" i="31"/>
  <c r="K231" i="6"/>
  <c r="J228" i="6"/>
  <c r="Q521" i="33"/>
  <c r="R521" i="33" s="1"/>
  <c r="K214" i="6"/>
  <c r="K212" i="6"/>
  <c r="J213" i="6"/>
  <c r="Q474" i="33"/>
  <c r="B56" i="40" s="1"/>
  <c r="K209" i="6"/>
  <c r="Z364" i="31"/>
  <c r="S364" i="31"/>
  <c r="T364" i="31" s="1"/>
  <c r="X364" i="31"/>
  <c r="Y364" i="31" s="1"/>
  <c r="AD364" i="31"/>
  <c r="S356" i="31"/>
  <c r="T356" i="31" s="1"/>
  <c r="S148" i="31"/>
  <c r="T148" i="31" s="1"/>
  <c r="S151" i="31"/>
  <c r="T151" i="31" s="1"/>
  <c r="X148" i="31"/>
  <c r="Y148" i="31" s="1"/>
  <c r="Z151" i="31"/>
  <c r="Z148" i="31"/>
  <c r="AD148" i="31"/>
  <c r="X151" i="31"/>
  <c r="Y151" i="31" s="1"/>
  <c r="AD151" i="31"/>
  <c r="S353" i="31"/>
  <c r="T353" i="31" s="1"/>
  <c r="Y937" i="31"/>
  <c r="AA937" i="31"/>
  <c r="Q937" i="31"/>
  <c r="R937" i="31"/>
  <c r="S474" i="33"/>
  <c r="J474" i="33"/>
  <c r="K474" i="33"/>
  <c r="AD356" i="31"/>
  <c r="X356" i="31"/>
  <c r="Y356" i="31" s="1"/>
  <c r="Z356" i="31"/>
  <c r="AD353" i="31"/>
  <c r="X353" i="31"/>
  <c r="Y353" i="31" s="1"/>
  <c r="Z353" i="31"/>
  <c r="AD373" i="31"/>
  <c r="S372" i="31"/>
  <c r="T372" i="31" s="1"/>
  <c r="S373" i="31"/>
  <c r="T373" i="31" s="1"/>
  <c r="X372" i="31"/>
  <c r="Y372" i="31" s="1"/>
  <c r="X373" i="31"/>
  <c r="Y373" i="31" s="1"/>
  <c r="Z373" i="31"/>
  <c r="Z372" i="31"/>
  <c r="AD372" i="31"/>
  <c r="M524" i="35"/>
  <c r="H565" i="35"/>
  <c r="L564" i="35"/>
  <c r="L565" i="35"/>
  <c r="Q66" i="33"/>
  <c r="R66" i="33" s="1"/>
  <c r="G564" i="35"/>
  <c r="I1625" i="35" s="1"/>
  <c r="Q210" i="33"/>
  <c r="R210" i="33" s="1"/>
  <c r="S388" i="31"/>
  <c r="T388" i="31" s="1"/>
  <c r="S348" i="31"/>
  <c r="T348" i="31" s="1"/>
  <c r="AD348" i="31"/>
  <c r="S352" i="31"/>
  <c r="T352" i="31" s="1"/>
  <c r="AD352" i="31"/>
  <c r="X352" i="31"/>
  <c r="Y352" i="31" s="1"/>
  <c r="Z352" i="31"/>
  <c r="Z388" i="31"/>
  <c r="AA388" i="31" s="1"/>
  <c r="X348" i="31"/>
  <c r="Y348" i="31" s="1"/>
  <c r="Z348" i="31"/>
  <c r="AD388" i="31"/>
  <c r="X388" i="31"/>
  <c r="S362" i="31"/>
  <c r="T362" i="31" s="1"/>
  <c r="AD362" i="31"/>
  <c r="I524" i="35"/>
  <c r="X362" i="31"/>
  <c r="Y362" i="31" s="1"/>
  <c r="Z362" i="31"/>
  <c r="AD361" i="31"/>
  <c r="S361" i="31"/>
  <c r="T361" i="31" s="1"/>
  <c r="S381" i="31"/>
  <c r="T381" i="31" s="1"/>
  <c r="X381" i="31"/>
  <c r="Y381" i="31" s="1"/>
  <c r="X361" i="31"/>
  <c r="Y361" i="31" s="1"/>
  <c r="Z361" i="31"/>
  <c r="Z381" i="31"/>
  <c r="AD381" i="31"/>
  <c r="S351" i="31"/>
  <c r="T351" i="31" s="1"/>
  <c r="S371" i="31"/>
  <c r="T371" i="31" s="1"/>
  <c r="S370" i="31"/>
  <c r="T370" i="31" s="1"/>
  <c r="H540" i="35"/>
  <c r="L540" i="35"/>
  <c r="H527" i="35"/>
  <c r="L528" i="35"/>
  <c r="L534" i="35"/>
  <c r="L514" i="35"/>
  <c r="L521" i="35"/>
  <c r="L524" i="35"/>
  <c r="H521" i="35"/>
  <c r="H524" i="35"/>
  <c r="H534" i="35"/>
  <c r="H528" i="35"/>
  <c r="X371" i="31"/>
  <c r="Y371" i="31" s="1"/>
  <c r="Z371" i="31"/>
  <c r="AD371" i="31"/>
  <c r="AD351" i="31"/>
  <c r="X351" i="31"/>
  <c r="Y351" i="31" s="1"/>
  <c r="Z351" i="31"/>
  <c r="S394" i="31"/>
  <c r="T394" i="31" s="1"/>
  <c r="AD394" i="31"/>
  <c r="AD370" i="31"/>
  <c r="Z394" i="31"/>
  <c r="Z370" i="31"/>
  <c r="X394" i="31"/>
  <c r="Y394" i="31" s="1"/>
  <c r="X370" i="31"/>
  <c r="Y370" i="31" s="1"/>
  <c r="Z155" i="31"/>
  <c r="S155" i="31"/>
  <c r="T155" i="31" s="1"/>
  <c r="X155" i="31"/>
  <c r="Y155" i="31" s="1"/>
  <c r="AD155" i="31"/>
  <c r="M985" i="31"/>
  <c r="Y985" i="31"/>
  <c r="AA985" i="31"/>
  <c r="Q985" i="31"/>
  <c r="R985" i="31"/>
  <c r="AD410" i="31"/>
  <c r="S410" i="31"/>
  <c r="T410" i="31" s="1"/>
  <c r="X410" i="31"/>
  <c r="Y410" i="31" s="1"/>
  <c r="Z410" i="31"/>
  <c r="L527" i="35"/>
  <c r="Q305" i="33"/>
  <c r="R305" i="33" s="1"/>
  <c r="Z360" i="31"/>
  <c r="S347" i="31"/>
  <c r="T347" i="31" s="1"/>
  <c r="S360" i="31"/>
  <c r="T360" i="31" s="1"/>
  <c r="AD360" i="31"/>
  <c r="X360" i="31"/>
  <c r="Y360" i="31" s="1"/>
  <c r="AD347" i="31"/>
  <c r="X347" i="31"/>
  <c r="Y347" i="31" s="1"/>
  <c r="Z347" i="31"/>
  <c r="S397" i="31"/>
  <c r="T397" i="31" s="1"/>
  <c r="AD358" i="31"/>
  <c r="X397" i="31"/>
  <c r="Y397" i="31" s="1"/>
  <c r="Z397" i="31"/>
  <c r="AD397" i="31"/>
  <c r="S358" i="31"/>
  <c r="T358" i="31" s="1"/>
  <c r="X358" i="31"/>
  <c r="Y358" i="31" s="1"/>
  <c r="Z358" i="31"/>
  <c r="S374" i="31"/>
  <c r="T374" i="31" s="1"/>
  <c r="S375" i="31"/>
  <c r="T375" i="31" s="1"/>
  <c r="AD374" i="31"/>
  <c r="AD375" i="31"/>
  <c r="X375" i="31"/>
  <c r="Y375" i="31" s="1"/>
  <c r="Z375" i="31"/>
  <c r="X374" i="31"/>
  <c r="Y374" i="31" s="1"/>
  <c r="Z374" i="31"/>
  <c r="S346" i="31"/>
  <c r="T346" i="31" s="1"/>
  <c r="AD346" i="31"/>
  <c r="X346" i="31"/>
  <c r="Y346" i="31" s="1"/>
  <c r="Z346" i="31"/>
  <c r="J300" i="33"/>
  <c r="K300" i="33"/>
  <c r="Q300" i="33"/>
  <c r="R300" i="33" s="1"/>
  <c r="S300" i="33"/>
  <c r="M932" i="31"/>
  <c r="Y932" i="31"/>
  <c r="AA932" i="31"/>
  <c r="Q932" i="31"/>
  <c r="R932" i="31"/>
  <c r="M1006" i="31"/>
  <c r="S345" i="31"/>
  <c r="T345" i="31" s="1"/>
  <c r="Q207" i="33"/>
  <c r="S368" i="33"/>
  <c r="S252" i="33"/>
  <c r="Y1006" i="31"/>
  <c r="AA1006" i="31"/>
  <c r="Q1006" i="31"/>
  <c r="R1006" i="31"/>
  <c r="M973" i="31"/>
  <c r="J252" i="33"/>
  <c r="K252" i="33"/>
  <c r="Q252" i="33"/>
  <c r="R252" i="33" s="1"/>
  <c r="Y973" i="31"/>
  <c r="AA973" i="31"/>
  <c r="Q973" i="31"/>
  <c r="R973" i="31"/>
  <c r="S311" i="33"/>
  <c r="J311" i="33"/>
  <c r="K311" i="33"/>
  <c r="Q311" i="33"/>
  <c r="R311" i="33" s="1"/>
  <c r="M968" i="31"/>
  <c r="Y968" i="31"/>
  <c r="AA968" i="31"/>
  <c r="Q968" i="31"/>
  <c r="R968" i="31"/>
  <c r="AD345" i="31"/>
  <c r="M1016" i="31"/>
  <c r="Y1016" i="31"/>
  <c r="AA1016" i="31"/>
  <c r="Q1016" i="31"/>
  <c r="R1016" i="31"/>
  <c r="AD344" i="31"/>
  <c r="X344" i="31"/>
  <c r="Y344" i="31" s="1"/>
  <c r="X345" i="31"/>
  <c r="Y345" i="31" s="1"/>
  <c r="Z345" i="31"/>
  <c r="S344" i="31"/>
  <c r="T344" i="31" s="1"/>
  <c r="AD405" i="31"/>
  <c r="S405" i="31"/>
  <c r="T405" i="31" s="1"/>
  <c r="Z344" i="31"/>
  <c r="M962" i="31"/>
  <c r="X405" i="31"/>
  <c r="Y405" i="31" s="1"/>
  <c r="Z405" i="31"/>
  <c r="S343" i="31"/>
  <c r="T343" i="31" s="1"/>
  <c r="M1014" i="31"/>
  <c r="Y1014" i="31"/>
  <c r="AA1014" i="31"/>
  <c r="Q1014" i="31"/>
  <c r="R1014" i="31"/>
  <c r="Y962" i="31"/>
  <c r="AA962" i="31"/>
  <c r="Q962" i="31"/>
  <c r="R962" i="31"/>
  <c r="M918" i="31"/>
  <c r="Y918" i="31"/>
  <c r="AA918" i="31"/>
  <c r="Q918" i="31"/>
  <c r="R918" i="31"/>
  <c r="J368" i="33"/>
  <c r="K368" i="33"/>
  <c r="Q368" i="33"/>
  <c r="R368" i="33" s="1"/>
  <c r="M975" i="31"/>
  <c r="Y975" i="31"/>
  <c r="AA975" i="31"/>
  <c r="Q975" i="31"/>
  <c r="R975" i="31"/>
  <c r="Z343" i="31"/>
  <c r="S359" i="31"/>
  <c r="T359" i="31" s="1"/>
  <c r="AD343" i="31"/>
  <c r="X343" i="31"/>
  <c r="Y343" i="31" s="1"/>
  <c r="AD359" i="31"/>
  <c r="X359" i="31"/>
  <c r="Y359" i="31" s="1"/>
  <c r="Z359" i="31"/>
  <c r="S368" i="31"/>
  <c r="T368" i="31" s="1"/>
  <c r="F1024" i="31" s="1"/>
  <c r="M946" i="31"/>
  <c r="Y946" i="31"/>
  <c r="AA946" i="31"/>
  <c r="Q946" i="31"/>
  <c r="R946" i="31"/>
  <c r="AA915" i="31"/>
  <c r="Q915" i="31"/>
  <c r="R915" i="31"/>
  <c r="M915" i="31"/>
  <c r="Y915" i="31"/>
  <c r="Q509" i="33"/>
  <c r="R509" i="33" s="1"/>
  <c r="Q524" i="33"/>
  <c r="R524" i="33" s="1"/>
  <c r="H514" i="35"/>
  <c r="L489" i="35"/>
  <c r="S342" i="31"/>
  <c r="T342" i="31" s="1"/>
  <c r="AD403" i="31"/>
  <c r="Q159" i="33"/>
  <c r="R159" i="33" s="1"/>
  <c r="AD368" i="31"/>
  <c r="X368" i="31"/>
  <c r="Y368" i="31" s="1"/>
  <c r="Z368" i="31"/>
  <c r="S403" i="31"/>
  <c r="T403" i="31" s="1"/>
  <c r="AD342" i="31"/>
  <c r="Q342" i="33"/>
  <c r="AD339" i="31"/>
  <c r="X342" i="31"/>
  <c r="Y342" i="31" s="1"/>
  <c r="S400" i="31"/>
  <c r="T400" i="31" s="1"/>
  <c r="S339" i="31"/>
  <c r="T339" i="31" s="1"/>
  <c r="Z342" i="31"/>
  <c r="X339" i="31"/>
  <c r="Y339" i="31" s="1"/>
  <c r="Z339" i="31"/>
  <c r="H489" i="35"/>
  <c r="Z400" i="31"/>
  <c r="AD400" i="31"/>
  <c r="X400" i="31"/>
  <c r="Y400" i="31" s="1"/>
  <c r="S337" i="31"/>
  <c r="T337" i="31" s="1"/>
  <c r="X403" i="31"/>
  <c r="Y403" i="31" s="1"/>
  <c r="Z403" i="31"/>
  <c r="S338" i="31"/>
  <c r="T338" i="31" s="1"/>
  <c r="X338" i="31"/>
  <c r="Y338" i="31" s="1"/>
  <c r="Z338" i="31"/>
  <c r="AD338" i="31"/>
  <c r="X337" i="31"/>
  <c r="Y337" i="31" s="1"/>
  <c r="Z337" i="31"/>
  <c r="AD337" i="31"/>
  <c r="P2071" i="35" l="1"/>
  <c r="I2066" i="35"/>
  <c r="O2066" i="35" s="1"/>
  <c r="I2069" i="35"/>
  <c r="O2069" i="35" s="1"/>
  <c r="M2066" i="35"/>
  <c r="N2066" i="35" s="1"/>
  <c r="M2069" i="35"/>
  <c r="N2069" i="35" s="1"/>
  <c r="I2042" i="35"/>
  <c r="O2042" i="35" s="1"/>
  <c r="I2046" i="35"/>
  <c r="O2046" i="35" s="1"/>
  <c r="M2042" i="35"/>
  <c r="N2042" i="35" s="1"/>
  <c r="M2046" i="35"/>
  <c r="N2046" i="35" s="1"/>
  <c r="I2019" i="35"/>
  <c r="O2019" i="35" s="1"/>
  <c r="I2028" i="35"/>
  <c r="O2028" i="35" s="1"/>
  <c r="M2019" i="35"/>
  <c r="N2019" i="35" s="1"/>
  <c r="M2028" i="35"/>
  <c r="N2028" i="35" s="1"/>
  <c r="I869" i="35"/>
  <c r="O869" i="35" s="1"/>
  <c r="I2011" i="35"/>
  <c r="O2011" i="35" s="1"/>
  <c r="M869" i="35"/>
  <c r="N869" i="35" s="1"/>
  <c r="M2011" i="35"/>
  <c r="N2011" i="35" s="1"/>
  <c r="P1808" i="35"/>
  <c r="P1893" i="35"/>
  <c r="P1879" i="35"/>
  <c r="M1773" i="35"/>
  <c r="N1773" i="35" s="1"/>
  <c r="M1865" i="35"/>
  <c r="N1865" i="35" s="1"/>
  <c r="I1773" i="35"/>
  <c r="O1773" i="35" s="1"/>
  <c r="I1865" i="35"/>
  <c r="O1865" i="35" s="1"/>
  <c r="I1849" i="35"/>
  <c r="O1849" i="35" s="1"/>
  <c r="I1852" i="35"/>
  <c r="O1852" i="35" s="1"/>
  <c r="M1849" i="35"/>
  <c r="N1849" i="35" s="1"/>
  <c r="M1852" i="35"/>
  <c r="N1852" i="35" s="1"/>
  <c r="M1686" i="35"/>
  <c r="N1686" i="35" s="1"/>
  <c r="M1704" i="35"/>
  <c r="N1704" i="35" s="1"/>
  <c r="I1686" i="35"/>
  <c r="O1686" i="35" s="1"/>
  <c r="I1704" i="35"/>
  <c r="O1704" i="35" s="1"/>
  <c r="N1625" i="35"/>
  <c r="I1616" i="35"/>
  <c r="O1616" i="35" s="1"/>
  <c r="I1675" i="35"/>
  <c r="O1675" i="35" s="1"/>
  <c r="M1616" i="35"/>
  <c r="N1616" i="35" s="1"/>
  <c r="M1675" i="35"/>
  <c r="N1675" i="35" s="1"/>
  <c r="O1625" i="35"/>
  <c r="I932" i="35"/>
  <c r="O932" i="35" s="1"/>
  <c r="I1639" i="35"/>
  <c r="O1639" i="35" s="1"/>
  <c r="H31" i="33" s="1"/>
  <c r="M932" i="35"/>
  <c r="N932" i="35" s="1"/>
  <c r="M1639" i="35"/>
  <c r="N1639" i="35" s="1"/>
  <c r="N1605" i="35"/>
  <c r="O1605" i="35"/>
  <c r="H35" i="33" s="1"/>
  <c r="S35" i="33" s="1"/>
  <c r="M528" i="35"/>
  <c r="N528" i="35" s="1"/>
  <c r="M1604" i="35"/>
  <c r="N1604" i="35" s="1"/>
  <c r="I528" i="35"/>
  <c r="O528" i="35" s="1"/>
  <c r="H305" i="33" s="1"/>
  <c r="S305" i="33" s="1"/>
  <c r="I1604" i="35"/>
  <c r="O1604" i="35" s="1"/>
  <c r="H132" i="33" s="1"/>
  <c r="M1545" i="35"/>
  <c r="N1545" i="35" s="1"/>
  <c r="M1580" i="35"/>
  <c r="N1580" i="35" s="1"/>
  <c r="I1545" i="35"/>
  <c r="O1545" i="35" s="1"/>
  <c r="I1580" i="35"/>
  <c r="O1580" i="35" s="1"/>
  <c r="I1351" i="35"/>
  <c r="O1351" i="35" s="1"/>
  <c r="I1549" i="35"/>
  <c r="O1549" i="35" s="1"/>
  <c r="H56" i="33" s="1"/>
  <c r="M1351" i="35"/>
  <c r="N1351" i="35" s="1"/>
  <c r="M1549" i="35"/>
  <c r="N1549" i="35" s="1"/>
  <c r="M1474" i="35"/>
  <c r="N1474" i="35" s="1"/>
  <c r="M1543" i="35"/>
  <c r="N1543" i="35" s="1"/>
  <c r="I1474" i="35"/>
  <c r="O1474" i="35" s="1"/>
  <c r="I1543" i="35"/>
  <c r="O1543" i="35" s="1"/>
  <c r="P1459" i="35"/>
  <c r="I1503" i="35"/>
  <c r="O1503" i="35" s="1"/>
  <c r="I1512" i="35"/>
  <c r="O1512" i="35" s="1"/>
  <c r="M1503" i="35"/>
  <c r="N1503" i="35" s="1"/>
  <c r="M1512" i="35"/>
  <c r="N1512" i="35" s="1"/>
  <c r="P1510" i="35"/>
  <c r="M1475" i="35"/>
  <c r="N1475" i="35" s="1"/>
  <c r="M1501" i="35"/>
  <c r="N1501" i="35" s="1"/>
  <c r="I1475" i="35"/>
  <c r="O1475" i="35" s="1"/>
  <c r="I1501" i="35"/>
  <c r="O1501" i="35" s="1"/>
  <c r="I572" i="35"/>
  <c r="O572" i="35" s="1"/>
  <c r="H178" i="33" s="1"/>
  <c r="I1480" i="35"/>
  <c r="O1480" i="35" s="1"/>
  <c r="M572" i="35"/>
  <c r="N572" i="35" s="1"/>
  <c r="M1480" i="35"/>
  <c r="N1480" i="35" s="1"/>
  <c r="M1310" i="35"/>
  <c r="N1310" i="35" s="1"/>
  <c r="M1440" i="35"/>
  <c r="N1440" i="35" s="1"/>
  <c r="I1310" i="35"/>
  <c r="O1310" i="35" s="1"/>
  <c r="I1440" i="35"/>
  <c r="O1440" i="35" s="1"/>
  <c r="P1383" i="35"/>
  <c r="I1138" i="35"/>
  <c r="O1138" i="35" s="1"/>
  <c r="I1387" i="35"/>
  <c r="O1387" i="35" s="1"/>
  <c r="M1138" i="35"/>
  <c r="N1138" i="35" s="1"/>
  <c r="M1387" i="35"/>
  <c r="N1387" i="35" s="1"/>
  <c r="P1386" i="35"/>
  <c r="M1363" i="35"/>
  <c r="N1363" i="35" s="1"/>
  <c r="M1366" i="35"/>
  <c r="N1366" i="35" s="1"/>
  <c r="I1363" i="35"/>
  <c r="O1363" i="35" s="1"/>
  <c r="I1366" i="35"/>
  <c r="O1366" i="35" s="1"/>
  <c r="P1253" i="35"/>
  <c r="M1034" i="35"/>
  <c r="N1034" i="35" s="1"/>
  <c r="M1319" i="35"/>
  <c r="N1319" i="35" s="1"/>
  <c r="I1034" i="35"/>
  <c r="O1034" i="35" s="1"/>
  <c r="I1319" i="35"/>
  <c r="O1319" i="35" s="1"/>
  <c r="P1317" i="35"/>
  <c r="P1297" i="35"/>
  <c r="I1300" i="35"/>
  <c r="O1300" i="35" s="1"/>
  <c r="I1302" i="35"/>
  <c r="O1302" i="35" s="1"/>
  <c r="M1300" i="35"/>
  <c r="N1300" i="35" s="1"/>
  <c r="M1302" i="35"/>
  <c r="N1302" i="35" s="1"/>
  <c r="P1284" i="35"/>
  <c r="P1295" i="35"/>
  <c r="M1215" i="35"/>
  <c r="N1215" i="35" s="1"/>
  <c r="M1276" i="35"/>
  <c r="N1276" i="35" s="1"/>
  <c r="I1215" i="35"/>
  <c r="O1215" i="35" s="1"/>
  <c r="I1276" i="35"/>
  <c r="O1276" i="35" s="1"/>
  <c r="P1257" i="35"/>
  <c r="P1251" i="35"/>
  <c r="I1229" i="35"/>
  <c r="O1229" i="35" s="1"/>
  <c r="I1231" i="35"/>
  <c r="O1231" i="35" s="1"/>
  <c r="M1229" i="35"/>
  <c r="N1229" i="35" s="1"/>
  <c r="M1231" i="35"/>
  <c r="N1231" i="35" s="1"/>
  <c r="P1148" i="35"/>
  <c r="P1218" i="35"/>
  <c r="P1208" i="35"/>
  <c r="P1183" i="35"/>
  <c r="M1137" i="35"/>
  <c r="N1137" i="35" s="1"/>
  <c r="M1182" i="35"/>
  <c r="N1182" i="35" s="1"/>
  <c r="I1137" i="35"/>
  <c r="O1137" i="35" s="1"/>
  <c r="I1182" i="35"/>
  <c r="O1182" i="35" s="1"/>
  <c r="I534" i="35"/>
  <c r="O534" i="35" s="1"/>
  <c r="I570" i="35"/>
  <c r="O570" i="35" s="1"/>
  <c r="H521" i="33" s="1"/>
  <c r="I1154" i="35"/>
  <c r="O1154" i="35" s="1"/>
  <c r="M570" i="35"/>
  <c r="N570" i="35" s="1"/>
  <c r="M1154" i="35"/>
  <c r="N1154" i="35" s="1"/>
  <c r="P1136" i="35"/>
  <c r="P621" i="35"/>
  <c r="I152" i="33" s="1"/>
  <c r="P1070" i="35"/>
  <c r="P1134" i="35"/>
  <c r="M1069" i="35"/>
  <c r="N1069" i="35" s="1"/>
  <c r="M1132" i="35"/>
  <c r="N1132" i="35" s="1"/>
  <c r="I1069" i="35"/>
  <c r="O1069" i="35" s="1"/>
  <c r="I1132" i="35"/>
  <c r="O1132" i="35" s="1"/>
  <c r="F94" i="36"/>
  <c r="M534" i="35"/>
  <c r="N534" i="35" s="1"/>
  <c r="M1047" i="35"/>
  <c r="N1047" i="35" s="1"/>
  <c r="M1084" i="35"/>
  <c r="N1084" i="35" s="1"/>
  <c r="I1047" i="35"/>
  <c r="O1047" i="35" s="1"/>
  <c r="I1084" i="35"/>
  <c r="O1084" i="35" s="1"/>
  <c r="P613" i="35"/>
  <c r="I215" i="33" s="1"/>
  <c r="P1079" i="35"/>
  <c r="J215" i="33"/>
  <c r="K215" i="33"/>
  <c r="S215" i="33"/>
  <c r="M18" i="33"/>
  <c r="E1023" i="31"/>
  <c r="M983" i="35"/>
  <c r="N983" i="35" s="1"/>
  <c r="M1013" i="35"/>
  <c r="N1013" i="35" s="1"/>
  <c r="I983" i="35"/>
  <c r="O983" i="35" s="1"/>
  <c r="I1013" i="35"/>
  <c r="O1013" i="35" s="1"/>
  <c r="I706" i="35"/>
  <c r="O706" i="35" s="1"/>
  <c r="I1007" i="35"/>
  <c r="O1007" i="35" s="1"/>
  <c r="M564" i="35"/>
  <c r="N564" i="35" s="1"/>
  <c r="M1007" i="35"/>
  <c r="N1007" i="35" s="1"/>
  <c r="P999" i="35"/>
  <c r="N931" i="35"/>
  <c r="P1000" i="35"/>
  <c r="I804" i="35"/>
  <c r="O804" i="35" s="1"/>
  <c r="I989" i="35"/>
  <c r="O989" i="35" s="1"/>
  <c r="M804" i="35"/>
  <c r="N804" i="35" s="1"/>
  <c r="M989" i="35"/>
  <c r="N989" i="35" s="1"/>
  <c r="I887" i="35"/>
  <c r="O887" i="35" s="1"/>
  <c r="I986" i="35"/>
  <c r="O986" i="35" s="1"/>
  <c r="M887" i="35"/>
  <c r="N887" i="35" s="1"/>
  <c r="M986" i="35"/>
  <c r="N986" i="35" s="1"/>
  <c r="I527" i="35"/>
  <c r="O527" i="35" s="1"/>
  <c r="H207" i="33" s="1"/>
  <c r="I978" i="35"/>
  <c r="O978" i="35" s="1"/>
  <c r="M527" i="35"/>
  <c r="N527" i="35" s="1"/>
  <c r="M978" i="35"/>
  <c r="N978" i="35" s="1"/>
  <c r="P969" i="35"/>
  <c r="O931" i="35"/>
  <c r="I568" i="35"/>
  <c r="O568" i="35" s="1"/>
  <c r="H210" i="33" s="1"/>
  <c r="I933" i="35"/>
  <c r="O933" i="35" s="1"/>
  <c r="M568" i="35"/>
  <c r="N568" i="35" s="1"/>
  <c r="M933" i="35"/>
  <c r="N933" i="35" s="1"/>
  <c r="I606" i="35"/>
  <c r="O606" i="35" s="1"/>
  <c r="I895" i="35"/>
  <c r="O895" i="35" s="1"/>
  <c r="M606" i="35"/>
  <c r="N606" i="35" s="1"/>
  <c r="M895" i="35"/>
  <c r="N895" i="35" s="1"/>
  <c r="P888" i="35"/>
  <c r="I711" i="35"/>
  <c r="O711" i="35" s="1"/>
  <c r="I890" i="35"/>
  <c r="O890" i="35" s="1"/>
  <c r="M711" i="35"/>
  <c r="N711" i="35" s="1"/>
  <c r="M890" i="35"/>
  <c r="N890" i="35" s="1"/>
  <c r="I715" i="35"/>
  <c r="O715" i="35" s="1"/>
  <c r="I886" i="35"/>
  <c r="O886" i="35" s="1"/>
  <c r="M715" i="35"/>
  <c r="N715" i="35" s="1"/>
  <c r="M886" i="35"/>
  <c r="N886" i="35" s="1"/>
  <c r="P868" i="35"/>
  <c r="I610" i="35"/>
  <c r="O610" i="35" s="1"/>
  <c r="I853" i="35"/>
  <c r="O853" i="35" s="1"/>
  <c r="M610" i="35"/>
  <c r="N610" i="35" s="1"/>
  <c r="M853" i="35"/>
  <c r="N853" i="35" s="1"/>
  <c r="I843" i="35"/>
  <c r="O843" i="35" s="1"/>
  <c r="I844" i="35"/>
  <c r="O844" i="35" s="1"/>
  <c r="M843" i="35"/>
  <c r="N843" i="35" s="1"/>
  <c r="M844" i="35"/>
  <c r="N844" i="35" s="1"/>
  <c r="P833" i="35"/>
  <c r="I604" i="35"/>
  <c r="O604" i="35" s="1"/>
  <c r="H187" i="33" s="1"/>
  <c r="I825" i="35"/>
  <c r="O825" i="35" s="1"/>
  <c r="M604" i="35"/>
  <c r="N604" i="35" s="1"/>
  <c r="M825" i="35"/>
  <c r="N825" i="35" s="1"/>
  <c r="M798" i="35"/>
  <c r="N798" i="35" s="1"/>
  <c r="M797" i="35"/>
  <c r="N797" i="35" s="1"/>
  <c r="I798" i="35"/>
  <c r="O798" i="35" s="1"/>
  <c r="I797" i="35"/>
  <c r="O797" i="35" s="1"/>
  <c r="P614" i="35"/>
  <c r="I192" i="33" s="1"/>
  <c r="T275" i="6"/>
  <c r="P785" i="35"/>
  <c r="K192" i="33"/>
  <c r="J192" i="33"/>
  <c r="S192" i="33"/>
  <c r="I521" i="35"/>
  <c r="O521" i="35" s="1"/>
  <c r="H524" i="33" s="1"/>
  <c r="I778" i="35"/>
  <c r="O778" i="35" s="1"/>
  <c r="M521" i="35"/>
  <c r="N521" i="35" s="1"/>
  <c r="M778" i="35"/>
  <c r="N778" i="35" s="1"/>
  <c r="I742" i="35"/>
  <c r="O742" i="35" s="1"/>
  <c r="I770" i="35"/>
  <c r="O770" i="35" s="1"/>
  <c r="M742" i="35"/>
  <c r="N742" i="35" s="1"/>
  <c r="M770" i="35"/>
  <c r="N770" i="35" s="1"/>
  <c r="I540" i="35"/>
  <c r="O540" i="35" s="1"/>
  <c r="I514" i="35"/>
  <c r="O514" i="35" s="1"/>
  <c r="H159" i="33" s="1"/>
  <c r="S159" i="33" s="1"/>
  <c r="S275" i="6"/>
  <c r="M514" i="35"/>
  <c r="N514" i="35" s="1"/>
  <c r="I617" i="35"/>
  <c r="O617" i="35" s="1"/>
  <c r="I736" i="35"/>
  <c r="O736" i="35" s="1"/>
  <c r="M617" i="35"/>
  <c r="N617" i="35" s="1"/>
  <c r="M736" i="35"/>
  <c r="N736" i="35" s="1"/>
  <c r="H510" i="33"/>
  <c r="P630" i="35"/>
  <c r="I510" i="33" s="1"/>
  <c r="P716" i="35"/>
  <c r="M540" i="35"/>
  <c r="N540" i="35" s="1"/>
  <c r="P615" i="35"/>
  <c r="I508" i="33" s="1"/>
  <c r="J508" i="33"/>
  <c r="S508" i="33"/>
  <c r="K508" i="33"/>
  <c r="M565" i="35"/>
  <c r="N565" i="35" s="1"/>
  <c r="M706" i="35"/>
  <c r="N706" i="35" s="1"/>
  <c r="P682" i="35"/>
  <c r="H195" i="33"/>
  <c r="P629" i="35"/>
  <c r="I195" i="33" s="1"/>
  <c r="M671" i="35"/>
  <c r="N671" i="35" s="1"/>
  <c r="M672" i="35"/>
  <c r="N672" i="35" s="1"/>
  <c r="I671" i="35"/>
  <c r="O671" i="35" s="1"/>
  <c r="I672" i="35"/>
  <c r="O672" i="35" s="1"/>
  <c r="M571" i="35"/>
  <c r="N571" i="35" s="1"/>
  <c r="I662" i="35"/>
  <c r="O662" i="35" s="1"/>
  <c r="I670" i="35"/>
  <c r="O670" i="35" s="1"/>
  <c r="M662" i="35"/>
  <c r="N662" i="35" s="1"/>
  <c r="M670" i="35"/>
  <c r="N670" i="35" s="1"/>
  <c r="M658" i="35"/>
  <c r="N658" i="35" s="1"/>
  <c r="M668" i="35"/>
  <c r="N668" i="35" s="1"/>
  <c r="I658" i="35"/>
  <c r="O658" i="35" s="1"/>
  <c r="I668" i="35"/>
  <c r="O668" i="35" s="1"/>
  <c r="I594" i="35"/>
  <c r="O594" i="35" s="1"/>
  <c r="I587" i="35"/>
  <c r="O587" i="35" s="1"/>
  <c r="M594" i="35"/>
  <c r="N594" i="35" s="1"/>
  <c r="O656" i="35"/>
  <c r="I571" i="35"/>
  <c r="O571" i="35" s="1"/>
  <c r="H235" i="33" s="1"/>
  <c r="S235" i="33" s="1"/>
  <c r="N656" i="35"/>
  <c r="P625" i="35"/>
  <c r="P612" i="35"/>
  <c r="I80" i="33" s="1"/>
  <c r="I579" i="35"/>
  <c r="O579" i="35" s="1"/>
  <c r="H41" i="33" s="1"/>
  <c r="I640" i="35"/>
  <c r="O640" i="35" s="1"/>
  <c r="M579" i="35"/>
  <c r="N579" i="35" s="1"/>
  <c r="M640" i="35"/>
  <c r="N640" i="35" s="1"/>
  <c r="P631" i="35"/>
  <c r="M589" i="35"/>
  <c r="N589" i="35" s="1"/>
  <c r="I589" i="35"/>
  <c r="O589" i="35" s="1"/>
  <c r="T239" i="6"/>
  <c r="D94" i="36" s="1"/>
  <c r="S239" i="6"/>
  <c r="C94" i="36" s="1"/>
  <c r="M587" i="35"/>
  <c r="N587" i="35" s="1"/>
  <c r="I588" i="35"/>
  <c r="O588" i="35" s="1"/>
  <c r="M588" i="35"/>
  <c r="N588" i="35" s="1"/>
  <c r="S80" i="33"/>
  <c r="K80" i="33"/>
  <c r="M626" i="35"/>
  <c r="N626" i="35" s="1"/>
  <c r="M628" i="35"/>
  <c r="N628" i="35" s="1"/>
  <c r="I626" i="35"/>
  <c r="O626" i="35" s="1"/>
  <c r="I628" i="35"/>
  <c r="O628" i="35" s="1"/>
  <c r="P623" i="35"/>
  <c r="K152" i="33"/>
  <c r="J152" i="33"/>
  <c r="F63" i="40"/>
  <c r="C1023" i="31"/>
  <c r="D1023" i="31"/>
  <c r="M1023" i="31" s="1"/>
  <c r="M342" i="33"/>
  <c r="C1024" i="31"/>
  <c r="D1024" i="31"/>
  <c r="M1024" i="31" s="1"/>
  <c r="H1024" i="31"/>
  <c r="I609" i="35"/>
  <c r="O609" i="35" s="1"/>
  <c r="M609" i="35"/>
  <c r="N609" i="35" s="1"/>
  <c r="M489" i="35"/>
  <c r="N489" i="35" s="1"/>
  <c r="I489" i="35"/>
  <c r="O489" i="35" s="1"/>
  <c r="I605" i="35"/>
  <c r="O605" i="35" s="1"/>
  <c r="H146" i="33" s="1"/>
  <c r="I611" i="35"/>
  <c r="O611" i="35" s="1"/>
  <c r="M605" i="35"/>
  <c r="N605" i="35" s="1"/>
  <c r="M611" i="35"/>
  <c r="N611" i="35" s="1"/>
  <c r="AA414" i="31"/>
  <c r="N584" i="35"/>
  <c r="AA425" i="31"/>
  <c r="AA415" i="31"/>
  <c r="AA380" i="31"/>
  <c r="AA369" i="31"/>
  <c r="AA10" i="31"/>
  <c r="AA9" i="31"/>
  <c r="AA396" i="31"/>
  <c r="AA461" i="31"/>
  <c r="AA119" i="31"/>
  <c r="AA142" i="31"/>
  <c r="O584" i="35"/>
  <c r="N585" i="35"/>
  <c r="O585" i="35"/>
  <c r="AA407" i="31"/>
  <c r="AA406" i="31"/>
  <c r="AA134" i="31"/>
  <c r="AA138" i="31"/>
  <c r="AA391" i="31"/>
  <c r="AA411" i="31"/>
  <c r="AA402" i="31"/>
  <c r="AA413" i="31"/>
  <c r="AA412" i="31"/>
  <c r="AA575" i="31"/>
  <c r="AA398" i="31"/>
  <c r="AA364" i="31"/>
  <c r="C937" i="31"/>
  <c r="D937" i="31"/>
  <c r="M937" i="31" s="1"/>
  <c r="F937" i="31"/>
  <c r="M474" i="33"/>
  <c r="H937" i="31"/>
  <c r="AA148" i="31"/>
  <c r="AA151" i="31"/>
  <c r="N524" i="35"/>
  <c r="AA356" i="31"/>
  <c r="AA353" i="31"/>
  <c r="AA373" i="31"/>
  <c r="AA372" i="31"/>
  <c r="I564" i="35"/>
  <c r="O564" i="35" s="1"/>
  <c r="H66" i="33" s="1"/>
  <c r="J66" i="33" s="1"/>
  <c r="I565" i="35"/>
  <c r="O565" i="35" s="1"/>
  <c r="AA352" i="31"/>
  <c r="AA348" i="31"/>
  <c r="O524" i="35"/>
  <c r="H509" i="33" s="1"/>
  <c r="J509" i="33" s="1"/>
  <c r="AA362" i="31"/>
  <c r="AA381" i="31"/>
  <c r="AA361" i="31"/>
  <c r="AA371" i="31"/>
  <c r="AA351" i="31"/>
  <c r="AA155" i="31"/>
  <c r="AA394" i="31"/>
  <c r="AA370" i="31"/>
  <c r="AA410" i="31"/>
  <c r="AA360" i="31"/>
  <c r="AA347" i="31"/>
  <c r="AA397" i="31"/>
  <c r="AA358" i="31"/>
  <c r="AA375" i="31"/>
  <c r="AA374" i="31"/>
  <c r="AA346" i="31"/>
  <c r="R207" i="33"/>
  <c r="B77" i="40"/>
  <c r="AA344" i="31"/>
  <c r="AA345" i="31"/>
  <c r="AA405" i="31"/>
  <c r="AA343" i="31"/>
  <c r="AA359" i="31"/>
  <c r="AA368" i="31"/>
  <c r="AA342" i="31"/>
  <c r="AA339" i="31"/>
  <c r="AA400" i="31"/>
  <c r="AA403" i="31"/>
  <c r="AA338" i="31"/>
  <c r="AA337" i="31"/>
  <c r="P2066" i="35" l="1"/>
  <c r="P2069" i="35"/>
  <c r="P2042" i="35"/>
  <c r="P2046" i="35"/>
  <c r="P869" i="35"/>
  <c r="P2019" i="35"/>
  <c r="P2028" i="35"/>
  <c r="P2011" i="35"/>
  <c r="P1773" i="35"/>
  <c r="P1865" i="35"/>
  <c r="P1849" i="35"/>
  <c r="P1852" i="35"/>
  <c r="P1686" i="35"/>
  <c r="P1704" i="35"/>
  <c r="P1616" i="35"/>
  <c r="P1625" i="35"/>
  <c r="P1675" i="35"/>
  <c r="P932" i="35"/>
  <c r="S31" i="33"/>
  <c r="J31" i="33"/>
  <c r="K31" i="33"/>
  <c r="P1639" i="35"/>
  <c r="I31" i="33" s="1"/>
  <c r="K35" i="33"/>
  <c r="P1605" i="35"/>
  <c r="I35" i="33" s="1"/>
  <c r="J35" i="33"/>
  <c r="S132" i="33"/>
  <c r="J132" i="33"/>
  <c r="K132" i="33"/>
  <c r="P1604" i="35"/>
  <c r="I132" i="33" s="1"/>
  <c r="P1580" i="35"/>
  <c r="P1549" i="35"/>
  <c r="I56" i="33" s="1"/>
  <c r="P1545" i="35"/>
  <c r="P1474" i="35"/>
  <c r="S56" i="33"/>
  <c r="J56" i="33"/>
  <c r="K56" i="33"/>
  <c r="P1543" i="35"/>
  <c r="P1503" i="35"/>
  <c r="P1512" i="35"/>
  <c r="P1501" i="35"/>
  <c r="P1475" i="35"/>
  <c r="P572" i="35"/>
  <c r="I178" i="33" s="1"/>
  <c r="P1480" i="35"/>
  <c r="S178" i="33"/>
  <c r="K178" i="33"/>
  <c r="J178" i="33"/>
  <c r="P1310" i="35"/>
  <c r="P1440" i="35"/>
  <c r="P1138" i="35"/>
  <c r="P1387" i="35"/>
  <c r="P1351" i="35"/>
  <c r="P1366" i="35"/>
  <c r="P1363" i="35"/>
  <c r="P1319" i="35"/>
  <c r="P1300" i="35"/>
  <c r="P1302" i="35"/>
  <c r="P1276" i="35"/>
  <c r="P1215" i="35"/>
  <c r="P1229" i="35"/>
  <c r="P1231" i="35"/>
  <c r="P1182" i="35"/>
  <c r="P1137" i="35"/>
  <c r="P570" i="35"/>
  <c r="I521" i="33" s="1"/>
  <c r="P1154" i="35"/>
  <c r="J521" i="33"/>
  <c r="K521" i="33"/>
  <c r="S521" i="33"/>
  <c r="P1069" i="35"/>
  <c r="P1132" i="35"/>
  <c r="P1047" i="35"/>
  <c r="P1084" i="35"/>
  <c r="P1034" i="35"/>
  <c r="P983" i="35"/>
  <c r="P1013" i="35"/>
  <c r="P1007" i="35"/>
  <c r="P931" i="35"/>
  <c r="P887" i="35"/>
  <c r="P989" i="35"/>
  <c r="P986" i="35"/>
  <c r="P527" i="35"/>
  <c r="I207" i="33" s="1"/>
  <c r="P978" i="35"/>
  <c r="S207" i="33"/>
  <c r="J207" i="33"/>
  <c r="K207" i="33"/>
  <c r="P568" i="35"/>
  <c r="I210" i="33" s="1"/>
  <c r="S210" i="33"/>
  <c r="K210" i="33"/>
  <c r="J210" i="33"/>
  <c r="P933" i="35"/>
  <c r="P606" i="35"/>
  <c r="P895" i="35"/>
  <c r="P715" i="35"/>
  <c r="P890" i="35"/>
  <c r="P886" i="35"/>
  <c r="P853" i="35"/>
  <c r="P843" i="35"/>
  <c r="P844" i="35"/>
  <c r="P804" i="35"/>
  <c r="P604" i="35"/>
  <c r="I187" i="33" s="1"/>
  <c r="P825" i="35"/>
  <c r="P798" i="35"/>
  <c r="P797" i="35"/>
  <c r="P521" i="35"/>
  <c r="I524" i="33" s="1"/>
  <c r="P778" i="35"/>
  <c r="K524" i="33"/>
  <c r="S524" i="33"/>
  <c r="J524" i="33"/>
  <c r="P742" i="35"/>
  <c r="P770" i="35"/>
  <c r="P706" i="35"/>
  <c r="P736" i="35"/>
  <c r="J510" i="33"/>
  <c r="K510" i="33"/>
  <c r="S510" i="33"/>
  <c r="P711" i="35"/>
  <c r="J195" i="33"/>
  <c r="S195" i="33"/>
  <c r="K195" i="33"/>
  <c r="P671" i="35"/>
  <c r="P672" i="35"/>
  <c r="P670" i="35"/>
  <c r="P662" i="35"/>
  <c r="P658" i="35"/>
  <c r="P668" i="35"/>
  <c r="P656" i="35"/>
  <c r="P579" i="35"/>
  <c r="I41" i="33" s="1"/>
  <c r="P640" i="35"/>
  <c r="S41" i="33"/>
  <c r="K41" i="33"/>
  <c r="J41" i="33"/>
  <c r="P584" i="35"/>
  <c r="I227" i="33" s="1"/>
  <c r="P626" i="35"/>
  <c r="P628" i="35"/>
  <c r="P609" i="35"/>
  <c r="P617" i="35"/>
  <c r="P489" i="35"/>
  <c r="I522" i="33" s="1"/>
  <c r="P610" i="35"/>
  <c r="P611" i="35"/>
  <c r="P605" i="35"/>
  <c r="I146" i="33" s="1"/>
  <c r="K146" i="33"/>
  <c r="S146" i="33"/>
  <c r="J146" i="33"/>
  <c r="P594" i="35"/>
  <c r="J187" i="33"/>
  <c r="K187" i="33"/>
  <c r="S187" i="33"/>
  <c r="K235" i="33"/>
  <c r="J235" i="33"/>
  <c r="P571" i="35"/>
  <c r="I235" i="33" s="1"/>
  <c r="P588" i="35"/>
  <c r="H227" i="33"/>
  <c r="S227" i="33" s="1"/>
  <c r="P589" i="35"/>
  <c r="P587" i="35"/>
  <c r="P585" i="35"/>
  <c r="P565" i="35"/>
  <c r="P540" i="35"/>
  <c r="P524" i="35"/>
  <c r="I509" i="33" s="1"/>
  <c r="K66" i="33"/>
  <c r="S66" i="33"/>
  <c r="P564" i="35"/>
  <c r="I66" i="33" s="1"/>
  <c r="K509" i="33"/>
  <c r="S509" i="33"/>
  <c r="P514" i="35"/>
  <c r="I159" i="33" s="1"/>
  <c r="J159" i="33"/>
  <c r="K159" i="33"/>
  <c r="P534" i="35"/>
  <c r="P528" i="35"/>
  <c r="I305" i="33" s="1"/>
  <c r="K305" i="33"/>
  <c r="J305" i="33"/>
  <c r="F77" i="40"/>
  <c r="H185" i="6"/>
  <c r="J185" i="6" s="1"/>
  <c r="I185" i="6"/>
  <c r="K185" i="6" s="1"/>
  <c r="U185" i="6"/>
  <c r="H184" i="6"/>
  <c r="J184" i="6" s="1"/>
  <c r="I184" i="6"/>
  <c r="K184" i="6" s="1"/>
  <c r="U184" i="6"/>
  <c r="C476" i="35" a="1"/>
  <c r="C476" i="35" s="1"/>
  <c r="F476" i="35"/>
  <c r="G476" i="35" s="1"/>
  <c r="J476" i="35"/>
  <c r="K476" i="35" s="1"/>
  <c r="Q476" i="35"/>
  <c r="B522" i="33" a="1"/>
  <c r="B522" i="33" s="1"/>
  <c r="E522" i="33" a="1"/>
  <c r="E522" i="33" s="1"/>
  <c r="F522" i="33" a="1"/>
  <c r="F522" i="33" s="1"/>
  <c r="G522" i="33" a="1"/>
  <c r="G522" i="33" s="1"/>
  <c r="H522" i="33"/>
  <c r="L522" i="33" a="1"/>
  <c r="L522" i="33" s="1"/>
  <c r="M522" i="33"/>
  <c r="N522" i="33"/>
  <c r="E76" i="40" s="1"/>
  <c r="P522" i="33"/>
  <c r="B456" i="33" a="1"/>
  <c r="B456" i="33" s="1"/>
  <c r="E456" i="33" a="1"/>
  <c r="E456" i="33" s="1"/>
  <c r="F456" i="33" a="1"/>
  <c r="F456" i="33" s="1"/>
  <c r="G456" i="33" a="1"/>
  <c r="G456" i="33" s="1"/>
  <c r="H456" i="33"/>
  <c r="I456" i="33"/>
  <c r="L456" i="33" a="1"/>
  <c r="L456" i="33" s="1"/>
  <c r="M456" i="33"/>
  <c r="N456" i="33"/>
  <c r="P456" i="33"/>
  <c r="K227" i="33" l="1"/>
  <c r="J227" i="33"/>
  <c r="S522" i="33"/>
  <c r="K522" i="33"/>
  <c r="Q522" i="33"/>
  <c r="J522" i="33"/>
  <c r="Q456" i="33"/>
  <c r="R456" i="33" s="1"/>
  <c r="J456" i="33"/>
  <c r="K456" i="33"/>
  <c r="S456" i="33"/>
  <c r="C475" i="35" a="1"/>
  <c r="C475" i="35" s="1"/>
  <c r="F475" i="35"/>
  <c r="G475" i="35" s="1"/>
  <c r="J475" i="35"/>
  <c r="K475" i="35" s="1"/>
  <c r="Q475" i="35"/>
  <c r="C474" i="35" a="1"/>
  <c r="C474" i="35" s="1"/>
  <c r="F474" i="35"/>
  <c r="G474" i="35" s="1"/>
  <c r="J474" i="35"/>
  <c r="K474" i="35" s="1"/>
  <c r="Q474" i="35"/>
  <c r="C473" i="35" a="1"/>
  <c r="C473" i="35" s="1"/>
  <c r="F473" i="35"/>
  <c r="G473" i="35" s="1"/>
  <c r="J473" i="35"/>
  <c r="K473" i="35" s="1"/>
  <c r="Q473" i="35"/>
  <c r="H183" i="6"/>
  <c r="J183" i="6" s="1"/>
  <c r="I183" i="6"/>
  <c r="K183" i="6" s="1"/>
  <c r="U183" i="6"/>
  <c r="C472" i="35" a="1"/>
  <c r="C472" i="35" s="1"/>
  <c r="F472" i="35"/>
  <c r="J472" i="35"/>
  <c r="Q472" i="35"/>
  <c r="B172" i="33" a="1"/>
  <c r="B172" i="33" s="1"/>
  <c r="E172" i="33" a="1"/>
  <c r="E172" i="33" s="1"/>
  <c r="F172" i="33" a="1"/>
  <c r="F172" i="33" s="1"/>
  <c r="G172" i="33" a="1"/>
  <c r="G172" i="33" s="1"/>
  <c r="L172" i="33" a="1"/>
  <c r="L172" i="33" s="1"/>
  <c r="M172" i="33"/>
  <c r="N172" i="33"/>
  <c r="P172" i="33"/>
  <c r="C471" i="35" a="1"/>
  <c r="C471" i="35" s="1"/>
  <c r="F471" i="35"/>
  <c r="J471" i="35"/>
  <c r="Q471" i="35"/>
  <c r="C470" i="35" a="1"/>
  <c r="C470" i="35" s="1"/>
  <c r="F470" i="35"/>
  <c r="G470" i="35" s="1"/>
  <c r="J470" i="35"/>
  <c r="K470" i="35" s="1"/>
  <c r="Q470" i="35"/>
  <c r="H182" i="6"/>
  <c r="J182" i="6" s="1"/>
  <c r="I182" i="6"/>
  <c r="K182" i="6" s="1"/>
  <c r="U182" i="6"/>
  <c r="C376" i="31" a="1"/>
  <c r="C376" i="31" s="1"/>
  <c r="D376" i="31" a="1"/>
  <c r="D376" i="31" s="1"/>
  <c r="L376" i="31"/>
  <c r="Q376" i="31"/>
  <c r="R376" i="31"/>
  <c r="U376" i="31"/>
  <c r="V376" i="31"/>
  <c r="W376" i="31"/>
  <c r="AB376" i="31"/>
  <c r="AC376" i="31"/>
  <c r="AF376" i="31"/>
  <c r="C378" i="31" a="1"/>
  <c r="C378" i="31" s="1"/>
  <c r="D378" i="31" a="1"/>
  <c r="D378" i="31" s="1"/>
  <c r="L378" i="31"/>
  <c r="Q378" i="31"/>
  <c r="R378" i="31"/>
  <c r="U378" i="31"/>
  <c r="V378" i="31"/>
  <c r="W378" i="31"/>
  <c r="AB378" i="31"/>
  <c r="AC378" i="31"/>
  <c r="AF378" i="31"/>
  <c r="C469" i="35" a="1"/>
  <c r="C469" i="35" s="1"/>
  <c r="F469" i="35"/>
  <c r="G469" i="35" s="1"/>
  <c r="J469" i="35"/>
  <c r="K469" i="35" s="1"/>
  <c r="Q469" i="35"/>
  <c r="B504" i="33" a="1"/>
  <c r="B504" i="33" s="1"/>
  <c r="E504" i="33" a="1"/>
  <c r="E504" i="33" s="1"/>
  <c r="F504" i="33" a="1"/>
  <c r="F504" i="33" s="1"/>
  <c r="G504" i="33" a="1"/>
  <c r="G504" i="33" s="1"/>
  <c r="H504" i="33"/>
  <c r="I504" i="33"/>
  <c r="L504" i="33" a="1"/>
  <c r="L504" i="33" s="1"/>
  <c r="M504" i="33"/>
  <c r="N504" i="33"/>
  <c r="P504" i="33"/>
  <c r="B1021" i="31" a="1"/>
  <c r="B1021" i="31" s="1"/>
  <c r="C1021" i="31"/>
  <c r="D1021" i="31"/>
  <c r="E1021" i="31"/>
  <c r="F1021" i="31"/>
  <c r="G1021" i="31"/>
  <c r="H1021" i="31"/>
  <c r="I1021" i="31"/>
  <c r="J1021" i="31"/>
  <c r="K1021" i="31"/>
  <c r="L1021" i="31"/>
  <c r="O1021" i="31" a="1"/>
  <c r="O1021" i="31" s="1"/>
  <c r="S1021" i="31"/>
  <c r="T1021" i="31" a="1"/>
  <c r="T1021" i="31" s="1"/>
  <c r="V1021" i="31"/>
  <c r="X1021" i="31"/>
  <c r="B974" i="31" a="1"/>
  <c r="B974" i="31" s="1"/>
  <c r="C974" i="31"/>
  <c r="D974" i="31"/>
  <c r="E974" i="31"/>
  <c r="F974" i="31"/>
  <c r="G974" i="31"/>
  <c r="H974" i="31"/>
  <c r="I974" i="31"/>
  <c r="J974" i="31"/>
  <c r="K974" i="31"/>
  <c r="L974" i="31"/>
  <c r="O974" i="31" a="1"/>
  <c r="O974" i="31" s="1"/>
  <c r="S974" i="31"/>
  <c r="T974" i="31" a="1"/>
  <c r="T974" i="31" s="1"/>
  <c r="V974" i="31"/>
  <c r="X974" i="31"/>
  <c r="B988" i="31" a="1"/>
  <c r="B988" i="31" s="1"/>
  <c r="C988" i="31"/>
  <c r="D988" i="31"/>
  <c r="E988" i="31"/>
  <c r="F988" i="31"/>
  <c r="G988" i="31"/>
  <c r="H988" i="31"/>
  <c r="I988" i="31"/>
  <c r="J988" i="31"/>
  <c r="K988" i="31"/>
  <c r="L988" i="31"/>
  <c r="O988" i="31" a="1"/>
  <c r="O988" i="31" s="1"/>
  <c r="S988" i="31"/>
  <c r="T988" i="31" a="1"/>
  <c r="T988" i="31" s="1"/>
  <c r="V988" i="31"/>
  <c r="X988" i="31"/>
  <c r="B935" i="31" a="1"/>
  <c r="B935" i="31" s="1"/>
  <c r="C935" i="31"/>
  <c r="D935" i="31"/>
  <c r="E935" i="31"/>
  <c r="F935" i="31"/>
  <c r="G935" i="31"/>
  <c r="H935" i="31"/>
  <c r="I935" i="31"/>
  <c r="J935" i="31"/>
  <c r="K935" i="31"/>
  <c r="L935" i="31"/>
  <c r="O935" i="31" a="1"/>
  <c r="O935" i="31" s="1"/>
  <c r="S935" i="31"/>
  <c r="T935" i="31" a="1"/>
  <c r="T935" i="31" s="1"/>
  <c r="V935" i="31"/>
  <c r="X935" i="31"/>
  <c r="B487" i="33" a="1"/>
  <c r="B487" i="33" s="1"/>
  <c r="E487" i="33" a="1"/>
  <c r="E487" i="33" s="1"/>
  <c r="F487" i="33" a="1"/>
  <c r="F487" i="33" s="1"/>
  <c r="G487" i="33" a="1"/>
  <c r="G487" i="33" s="1"/>
  <c r="H487" i="33"/>
  <c r="I487" i="33"/>
  <c r="L487" i="33" a="1"/>
  <c r="L487" i="33" s="1"/>
  <c r="M487" i="33"/>
  <c r="N487" i="33"/>
  <c r="P487" i="33"/>
  <c r="B1017" i="31" a="1"/>
  <c r="B1017" i="31" s="1"/>
  <c r="C1017" i="31"/>
  <c r="D1017" i="31"/>
  <c r="E1017" i="31"/>
  <c r="F1017" i="31"/>
  <c r="G1017" i="31"/>
  <c r="H1017" i="31"/>
  <c r="I1017" i="31"/>
  <c r="J1017" i="31"/>
  <c r="K1017" i="31"/>
  <c r="L1017" i="31"/>
  <c r="O1017" i="31" a="1"/>
  <c r="O1017" i="31" s="1"/>
  <c r="S1017" i="31"/>
  <c r="T1017" i="31" a="1"/>
  <c r="T1017" i="31" s="1"/>
  <c r="V1017" i="31"/>
  <c r="X1017" i="31"/>
  <c r="B245" i="33" a="1"/>
  <c r="B245" i="33" s="1"/>
  <c r="E245" i="33" a="1"/>
  <c r="E245" i="33" s="1"/>
  <c r="F245" i="33" a="1"/>
  <c r="F245" i="33" s="1"/>
  <c r="G245" i="33" a="1"/>
  <c r="G245" i="33" s="1"/>
  <c r="H245" i="33"/>
  <c r="I245" i="33"/>
  <c r="L245" i="33" a="1"/>
  <c r="L245" i="33" s="1"/>
  <c r="M245" i="33"/>
  <c r="N245" i="33"/>
  <c r="P245" i="33"/>
  <c r="H971" i="35" l="1"/>
  <c r="H1335" i="35"/>
  <c r="L971" i="35"/>
  <c r="L1335" i="35"/>
  <c r="L471" i="35"/>
  <c r="H471" i="35"/>
  <c r="H654" i="35"/>
  <c r="L654" i="35"/>
  <c r="K472" i="35"/>
  <c r="M475" i="35" s="1"/>
  <c r="L620" i="35"/>
  <c r="H620" i="35"/>
  <c r="H475" i="35"/>
  <c r="H472" i="35"/>
  <c r="G472" i="35"/>
  <c r="I654" i="35" s="1"/>
  <c r="K471" i="35"/>
  <c r="L508" i="35"/>
  <c r="G471" i="35"/>
  <c r="H508" i="35"/>
  <c r="S376" i="31"/>
  <c r="T376" i="31" s="1"/>
  <c r="M536" i="33" s="1"/>
  <c r="AD376" i="31"/>
  <c r="S378" i="31"/>
  <c r="T378" i="31" s="1"/>
  <c r="L472" i="35"/>
  <c r="L475" i="35"/>
  <c r="R522" i="33"/>
  <c r="B76" i="40"/>
  <c r="Q172" i="33"/>
  <c r="R172" i="33" s="1"/>
  <c r="X378" i="31"/>
  <c r="Y378" i="31" s="1"/>
  <c r="X376" i="31"/>
  <c r="Y376" i="31" s="1"/>
  <c r="Z376" i="31"/>
  <c r="Z378" i="31"/>
  <c r="AD378" i="31"/>
  <c r="S504" i="33"/>
  <c r="M974" i="31"/>
  <c r="M1021" i="31"/>
  <c r="J504" i="33"/>
  <c r="K504" i="33"/>
  <c r="Q504" i="33"/>
  <c r="R504" i="33" s="1"/>
  <c r="Y1021" i="31"/>
  <c r="AA1021" i="31"/>
  <c r="Q1021" i="31"/>
  <c r="R1021" i="31"/>
  <c r="Y974" i="31"/>
  <c r="AA974" i="31"/>
  <c r="Q974" i="31"/>
  <c r="R974" i="31"/>
  <c r="M935" i="31"/>
  <c r="S487" i="33"/>
  <c r="M988" i="31"/>
  <c r="Y988" i="31"/>
  <c r="AA988" i="31"/>
  <c r="Q988" i="31"/>
  <c r="R988" i="31"/>
  <c r="Y935" i="31"/>
  <c r="AA935" i="31"/>
  <c r="Q935" i="31"/>
  <c r="R935" i="31"/>
  <c r="J487" i="33"/>
  <c r="K487" i="33"/>
  <c r="Q487" i="33"/>
  <c r="R487" i="33" s="1"/>
  <c r="Y1017" i="31"/>
  <c r="R1017" i="31"/>
  <c r="Q1017" i="31"/>
  <c r="M1017" i="31"/>
  <c r="AA1017" i="31"/>
  <c r="Q245" i="33"/>
  <c r="R245" i="33" s="1"/>
  <c r="J245" i="33"/>
  <c r="K245" i="33"/>
  <c r="S245" i="33"/>
  <c r="C355" i="31" a="1"/>
  <c r="C355" i="31" s="1"/>
  <c r="D355" i="31" a="1"/>
  <c r="D355" i="31" s="1"/>
  <c r="L355" i="31"/>
  <c r="Q355" i="31"/>
  <c r="R355" i="31"/>
  <c r="U355" i="31"/>
  <c r="V355" i="31"/>
  <c r="W355" i="31"/>
  <c r="AB355" i="31"/>
  <c r="AC355" i="31"/>
  <c r="AF355" i="31"/>
  <c r="C354" i="31" a="1"/>
  <c r="C354" i="31" s="1"/>
  <c r="D354" i="31" a="1"/>
  <c r="D354" i="31" s="1"/>
  <c r="L354" i="31"/>
  <c r="Q354" i="31"/>
  <c r="R354" i="31"/>
  <c r="U354" i="31"/>
  <c r="V354" i="31"/>
  <c r="W354" i="31"/>
  <c r="AB354" i="31"/>
  <c r="AC354" i="31"/>
  <c r="AF354" i="31"/>
  <c r="B441" i="33" a="1"/>
  <c r="B441" i="33" s="1"/>
  <c r="E441" i="33" a="1"/>
  <c r="E441" i="33" s="1"/>
  <c r="F441" i="33" a="1"/>
  <c r="F441" i="33" s="1"/>
  <c r="G441" i="33" a="1"/>
  <c r="G441" i="33" s="1"/>
  <c r="L441" i="33" a="1"/>
  <c r="L441" i="33" s="1"/>
  <c r="M441" i="33"/>
  <c r="N441" i="33"/>
  <c r="E80" i="40" s="1"/>
  <c r="P441" i="33"/>
  <c r="B990" i="31" a="1"/>
  <c r="B990" i="31" s="1"/>
  <c r="C990" i="31"/>
  <c r="D990" i="31"/>
  <c r="E990" i="31"/>
  <c r="F990" i="31"/>
  <c r="G990" i="31"/>
  <c r="H990" i="31"/>
  <c r="I990" i="31"/>
  <c r="J990" i="31"/>
  <c r="K990" i="31"/>
  <c r="L990" i="31"/>
  <c r="O990" i="31" a="1"/>
  <c r="O990" i="31" s="1"/>
  <c r="S990" i="31"/>
  <c r="T990" i="31" a="1"/>
  <c r="T990" i="31" s="1"/>
  <c r="V990" i="31"/>
  <c r="X990" i="31"/>
  <c r="B46" i="34"/>
  <c r="C46" i="34"/>
  <c r="F46" i="34"/>
  <c r="I46" i="34"/>
  <c r="J46" i="34"/>
  <c r="B910" i="31" a="1"/>
  <c r="B910" i="31" s="1"/>
  <c r="C910" i="31"/>
  <c r="D910" i="31"/>
  <c r="E910" i="31"/>
  <c r="F910" i="31"/>
  <c r="G910" i="31"/>
  <c r="H910" i="31"/>
  <c r="I910" i="31"/>
  <c r="J910" i="31"/>
  <c r="K910" i="31"/>
  <c r="L910" i="31"/>
  <c r="O910" i="31" a="1"/>
  <c r="O910" i="31" s="1"/>
  <c r="S910" i="31"/>
  <c r="T910" i="31" a="1"/>
  <c r="T910" i="31" s="1"/>
  <c r="V910" i="31"/>
  <c r="X910" i="31"/>
  <c r="C468" i="35" a="1"/>
  <c r="C468" i="35" s="1"/>
  <c r="F468" i="35"/>
  <c r="G468" i="35" s="1"/>
  <c r="J468" i="35"/>
  <c r="K468" i="35" s="1"/>
  <c r="Q468" i="35"/>
  <c r="C467" i="35" a="1"/>
  <c r="C467" i="35" s="1"/>
  <c r="F467" i="35"/>
  <c r="G467" i="35" s="1"/>
  <c r="J467" i="35"/>
  <c r="K467" i="35" s="1"/>
  <c r="Q467" i="35"/>
  <c r="C319" i="31" a="1"/>
  <c r="C319" i="31" s="1"/>
  <c r="D319" i="31" a="1"/>
  <c r="D319" i="31" s="1"/>
  <c r="L319" i="31"/>
  <c r="Q319" i="31"/>
  <c r="R319" i="31"/>
  <c r="U319" i="31"/>
  <c r="V319" i="31"/>
  <c r="W319" i="31"/>
  <c r="AB319" i="31"/>
  <c r="AC319" i="31"/>
  <c r="AF319" i="31"/>
  <c r="C310" i="31" a="1"/>
  <c r="C310" i="31" s="1"/>
  <c r="D310" i="31" a="1"/>
  <c r="D310" i="31" s="1"/>
  <c r="L310" i="31"/>
  <c r="Q310" i="31"/>
  <c r="R310" i="31"/>
  <c r="U310" i="31"/>
  <c r="V310" i="31"/>
  <c r="W310" i="31"/>
  <c r="AB310" i="31"/>
  <c r="AC310" i="31"/>
  <c r="AF310" i="31"/>
  <c r="C336" i="31" a="1"/>
  <c r="C336" i="31" s="1"/>
  <c r="D336" i="31" a="1"/>
  <c r="D336" i="31" s="1"/>
  <c r="L336" i="31"/>
  <c r="Q336" i="31"/>
  <c r="R336" i="31"/>
  <c r="U336" i="31"/>
  <c r="V336" i="31"/>
  <c r="W336" i="31"/>
  <c r="AB336" i="31"/>
  <c r="AC336" i="31"/>
  <c r="AF336" i="31"/>
  <c r="C350" i="31" a="1"/>
  <c r="C350" i="31" s="1"/>
  <c r="D350" i="31" a="1"/>
  <c r="D350" i="31" s="1"/>
  <c r="L350" i="31"/>
  <c r="Q350" i="31"/>
  <c r="R350" i="31"/>
  <c r="U350" i="31"/>
  <c r="V350" i="31"/>
  <c r="W350" i="31"/>
  <c r="AB350" i="31"/>
  <c r="AC350" i="31"/>
  <c r="AF350" i="31"/>
  <c r="C349" i="31" a="1"/>
  <c r="C349" i="31" s="1"/>
  <c r="D349" i="31" a="1"/>
  <c r="D349" i="31" s="1"/>
  <c r="L349" i="31"/>
  <c r="Q349" i="31"/>
  <c r="R349" i="31"/>
  <c r="U349" i="31"/>
  <c r="V349" i="31"/>
  <c r="W349" i="31"/>
  <c r="AB349" i="31"/>
  <c r="AC349" i="31"/>
  <c r="AF349" i="31"/>
  <c r="C118" i="31" a="1"/>
  <c r="C118" i="31" s="1"/>
  <c r="D118" i="31" a="1"/>
  <c r="D118" i="31" s="1"/>
  <c r="L118" i="31"/>
  <c r="Q118" i="31"/>
  <c r="R118" i="31"/>
  <c r="U118" i="31"/>
  <c r="V118" i="31"/>
  <c r="W118" i="31"/>
  <c r="AB118" i="31"/>
  <c r="AC118" i="31"/>
  <c r="AF118" i="31"/>
  <c r="C149" i="31" a="1"/>
  <c r="C149" i="31" s="1"/>
  <c r="D149" i="31" a="1"/>
  <c r="D149" i="31" s="1"/>
  <c r="L149" i="31"/>
  <c r="Q149" i="31"/>
  <c r="R149" i="31"/>
  <c r="U149" i="31"/>
  <c r="V149" i="31"/>
  <c r="W149" i="31"/>
  <c r="AB149" i="31"/>
  <c r="AC149" i="31"/>
  <c r="AF149" i="31"/>
  <c r="C466" i="35" a="1"/>
  <c r="C466" i="35" s="1"/>
  <c r="F466" i="35"/>
  <c r="G466" i="35" s="1"/>
  <c r="J466" i="35"/>
  <c r="K466" i="35" s="1"/>
  <c r="Q466" i="35"/>
  <c r="C465" i="35" a="1"/>
  <c r="C465" i="35" s="1"/>
  <c r="F465" i="35"/>
  <c r="G465" i="35" s="1"/>
  <c r="J465" i="35"/>
  <c r="K465" i="35" s="1"/>
  <c r="Q465" i="35"/>
  <c r="B905" i="31" a="1"/>
  <c r="B905" i="31" s="1"/>
  <c r="C905" i="31"/>
  <c r="D905" i="31"/>
  <c r="E905" i="31"/>
  <c r="F905" i="31"/>
  <c r="G905" i="31"/>
  <c r="H905" i="31"/>
  <c r="I905" i="31"/>
  <c r="J905" i="31"/>
  <c r="K905" i="31"/>
  <c r="L905" i="31"/>
  <c r="O905" i="31" a="1"/>
  <c r="O905" i="31" s="1"/>
  <c r="S905" i="31"/>
  <c r="T905" i="31" a="1"/>
  <c r="T905" i="31" s="1"/>
  <c r="V905" i="31"/>
  <c r="X905" i="31"/>
  <c r="C464" i="35" a="1"/>
  <c r="C464" i="35" s="1"/>
  <c r="F464" i="35"/>
  <c r="G464" i="35" s="1"/>
  <c r="J464" i="35"/>
  <c r="K464" i="35" s="1"/>
  <c r="Q464" i="35"/>
  <c r="C331" i="31" a="1"/>
  <c r="C331" i="31" s="1"/>
  <c r="D331" i="31" a="1"/>
  <c r="D331" i="31" s="1"/>
  <c r="L331" i="31"/>
  <c r="Q331" i="31"/>
  <c r="R331" i="31"/>
  <c r="U331" i="31"/>
  <c r="V331" i="31"/>
  <c r="W331" i="31"/>
  <c r="AB331" i="31"/>
  <c r="AC331" i="31"/>
  <c r="AF331" i="31"/>
  <c r="C330" i="31" a="1"/>
  <c r="C330" i="31" s="1"/>
  <c r="D330" i="31" a="1"/>
  <c r="D330" i="31" s="1"/>
  <c r="L330" i="31"/>
  <c r="Q330" i="31"/>
  <c r="R330" i="31"/>
  <c r="U330" i="31"/>
  <c r="V330" i="31"/>
  <c r="W330" i="31"/>
  <c r="AB330" i="31"/>
  <c r="AC330" i="31"/>
  <c r="AF330" i="31"/>
  <c r="C309" i="31" a="1"/>
  <c r="C309" i="31" s="1"/>
  <c r="D309" i="31" a="1"/>
  <c r="D309" i="31" s="1"/>
  <c r="L309" i="31"/>
  <c r="Q309" i="31"/>
  <c r="R309" i="31"/>
  <c r="U309" i="31"/>
  <c r="V309" i="31"/>
  <c r="W309" i="31"/>
  <c r="AB309" i="31"/>
  <c r="AC309" i="31"/>
  <c r="AF309" i="31"/>
  <c r="C308" i="31" a="1"/>
  <c r="C308" i="31" s="1"/>
  <c r="D308" i="31" a="1"/>
  <c r="D308" i="31" s="1"/>
  <c r="L308" i="31"/>
  <c r="Q308" i="31"/>
  <c r="R308" i="31"/>
  <c r="U308" i="31"/>
  <c r="V308" i="31"/>
  <c r="W308" i="31"/>
  <c r="AB308" i="31"/>
  <c r="AC308" i="31"/>
  <c r="AF308" i="31"/>
  <c r="C463" i="35" a="1"/>
  <c r="C463" i="35" s="1"/>
  <c r="F463" i="35"/>
  <c r="G463" i="35" s="1"/>
  <c r="J463" i="35"/>
  <c r="K463" i="35" s="1"/>
  <c r="Q463" i="35"/>
  <c r="C462" i="35" a="1"/>
  <c r="C462" i="35" s="1"/>
  <c r="F462" i="35"/>
  <c r="G462" i="35" s="1"/>
  <c r="J462" i="35"/>
  <c r="K462" i="35" s="1"/>
  <c r="Q462" i="35"/>
  <c r="C461" i="35" a="1"/>
  <c r="C461" i="35" s="1"/>
  <c r="F461" i="35"/>
  <c r="G461" i="35" s="1"/>
  <c r="J461" i="35"/>
  <c r="K461" i="35" s="1"/>
  <c r="Q461" i="35"/>
  <c r="C460" i="35" a="1"/>
  <c r="C460" i="35" s="1"/>
  <c r="F460" i="35"/>
  <c r="G460" i="35" s="1"/>
  <c r="J460" i="35"/>
  <c r="K460" i="35" s="1"/>
  <c r="C459" i="35" a="1"/>
  <c r="C459" i="35" s="1"/>
  <c r="F459" i="35"/>
  <c r="G459" i="35" s="1"/>
  <c r="J459" i="35"/>
  <c r="K459" i="35" s="1"/>
  <c r="Q459" i="35"/>
  <c r="C458" i="35" a="1"/>
  <c r="C458" i="35" s="1"/>
  <c r="F458" i="35"/>
  <c r="G458" i="35" s="1"/>
  <c r="J458" i="35"/>
  <c r="K458" i="35" s="1"/>
  <c r="Q458" i="35"/>
  <c r="C213" i="31" a="1"/>
  <c r="C213" i="31" s="1"/>
  <c r="D213" i="31" a="1"/>
  <c r="D213" i="31" s="1"/>
  <c r="L213" i="31"/>
  <c r="Q213" i="31"/>
  <c r="R213" i="31"/>
  <c r="U213" i="31"/>
  <c r="V213" i="31"/>
  <c r="W213" i="31"/>
  <c r="AB213" i="31"/>
  <c r="AC213" i="31"/>
  <c r="AF213" i="31"/>
  <c r="B347" i="33" a="1"/>
  <c r="B347" i="33" s="1"/>
  <c r="E347" i="33" a="1"/>
  <c r="E347" i="33" s="1"/>
  <c r="F347" i="33" a="1"/>
  <c r="F347" i="33" s="1"/>
  <c r="G347" i="33" a="1"/>
  <c r="G347" i="33" s="1"/>
  <c r="H347" i="33"/>
  <c r="I347" i="33"/>
  <c r="L347" i="33" a="1"/>
  <c r="L347" i="33" s="1"/>
  <c r="M347" i="33"/>
  <c r="N347" i="33"/>
  <c r="P347" i="33"/>
  <c r="B931" i="31" a="1"/>
  <c r="B931" i="31" s="1"/>
  <c r="C931" i="31"/>
  <c r="D931" i="31"/>
  <c r="E931" i="31"/>
  <c r="F931" i="31"/>
  <c r="G931" i="31"/>
  <c r="H931" i="31"/>
  <c r="I931" i="31"/>
  <c r="J931" i="31"/>
  <c r="K931" i="31"/>
  <c r="L931" i="31"/>
  <c r="O931" i="31" a="1"/>
  <c r="O931" i="31" s="1"/>
  <c r="Y931" i="31" s="1"/>
  <c r="S931" i="31"/>
  <c r="T931" i="31" a="1"/>
  <c r="T931" i="31" s="1"/>
  <c r="V931" i="31"/>
  <c r="X931" i="31"/>
  <c r="H181" i="6"/>
  <c r="J181" i="6" s="1"/>
  <c r="I181" i="6"/>
  <c r="K181" i="6" s="1"/>
  <c r="U181" i="6"/>
  <c r="H180" i="6"/>
  <c r="J180" i="6" s="1"/>
  <c r="I180" i="6"/>
  <c r="K180" i="6" s="1"/>
  <c r="U180" i="6"/>
  <c r="B218" i="33" a="1"/>
  <c r="B218" i="33" s="1"/>
  <c r="E218" i="33" a="1"/>
  <c r="E218" i="33" s="1"/>
  <c r="F218" i="33" a="1"/>
  <c r="F218" i="33" s="1"/>
  <c r="G218" i="33" a="1"/>
  <c r="G218" i="33" s="1"/>
  <c r="H218" i="33"/>
  <c r="I218" i="33"/>
  <c r="L218" i="33" a="1"/>
  <c r="L218" i="33" s="1"/>
  <c r="M218" i="33"/>
  <c r="N218" i="33"/>
  <c r="P218" i="33"/>
  <c r="B1008" i="31" a="1"/>
  <c r="B1008" i="31" s="1"/>
  <c r="C1008" i="31"/>
  <c r="D1008" i="31"/>
  <c r="E1008" i="31"/>
  <c r="F1008" i="31"/>
  <c r="G1008" i="31"/>
  <c r="H1008" i="31"/>
  <c r="I1008" i="31"/>
  <c r="J1008" i="31"/>
  <c r="K1008" i="31"/>
  <c r="L1008" i="31"/>
  <c r="O1008" i="31" a="1"/>
  <c r="O1008" i="31" s="1"/>
  <c r="S1008" i="31"/>
  <c r="T1008" i="31" a="1"/>
  <c r="T1008" i="31" s="1"/>
  <c r="V1008" i="31"/>
  <c r="X1008" i="31"/>
  <c r="C457" i="35" a="1"/>
  <c r="C457" i="35" s="1"/>
  <c r="F457" i="35"/>
  <c r="J457" i="35"/>
  <c r="K457" i="35" s="1"/>
  <c r="Q457" i="35"/>
  <c r="C456" i="35" a="1"/>
  <c r="C456" i="35" s="1"/>
  <c r="F456" i="35"/>
  <c r="G456" i="35" s="1"/>
  <c r="J456" i="35"/>
  <c r="K456" i="35" s="1"/>
  <c r="Q456" i="35"/>
  <c r="B467" i="33" a="1"/>
  <c r="B467" i="33" s="1"/>
  <c r="E467" i="33" a="1"/>
  <c r="E467" i="33" s="1"/>
  <c r="F467" i="33" a="1"/>
  <c r="F467" i="33" s="1"/>
  <c r="G467" i="33" a="1"/>
  <c r="G467" i="33" s="1"/>
  <c r="H467" i="33"/>
  <c r="I467" i="33"/>
  <c r="L467" i="33" a="1"/>
  <c r="L467" i="33" s="1"/>
  <c r="M467" i="33"/>
  <c r="N467" i="33"/>
  <c r="P467" i="33"/>
  <c r="B998" i="31" a="1"/>
  <c r="B998" i="31" s="1"/>
  <c r="C998" i="31"/>
  <c r="D998" i="31"/>
  <c r="E998" i="31"/>
  <c r="F998" i="31"/>
  <c r="G998" i="31"/>
  <c r="H998" i="31"/>
  <c r="I998" i="31"/>
  <c r="J998" i="31"/>
  <c r="K998" i="31"/>
  <c r="L998" i="31"/>
  <c r="O998" i="31" a="1"/>
  <c r="O998" i="31" s="1"/>
  <c r="Y998" i="31" s="1"/>
  <c r="S998" i="31"/>
  <c r="T998" i="31" a="1"/>
  <c r="T998" i="31" s="1"/>
  <c r="V998" i="31"/>
  <c r="X998" i="31"/>
  <c r="C455" i="35" a="1"/>
  <c r="C455" i="35" s="1"/>
  <c r="F455" i="35"/>
  <c r="G455" i="35" s="1"/>
  <c r="J455" i="35"/>
  <c r="K455" i="35" s="1"/>
  <c r="C454" i="35" a="1"/>
  <c r="C454" i="35" s="1"/>
  <c r="J454" i="35"/>
  <c r="Q454" i="35"/>
  <c r="C453" i="35" a="1"/>
  <c r="C453" i="35" s="1"/>
  <c r="F453" i="35"/>
  <c r="G453" i="35" s="1"/>
  <c r="J453" i="35"/>
  <c r="K453" i="35" s="1"/>
  <c r="Q453" i="35"/>
  <c r="C452" i="35" a="1"/>
  <c r="C452" i="35" s="1"/>
  <c r="F452" i="35"/>
  <c r="G452" i="35" s="1"/>
  <c r="J452" i="35"/>
  <c r="K452" i="35" s="1"/>
  <c r="Q452" i="35"/>
  <c r="C451" i="35" a="1"/>
  <c r="C451" i="35" s="1"/>
  <c r="F451" i="35"/>
  <c r="G451" i="35" s="1"/>
  <c r="J451" i="35"/>
  <c r="K451" i="35" s="1"/>
  <c r="Q451" i="35"/>
  <c r="C450" i="35" a="1"/>
  <c r="C450" i="35" s="1"/>
  <c r="F450" i="35"/>
  <c r="J450" i="35"/>
  <c r="Q450" i="35"/>
  <c r="B421" i="33" a="1"/>
  <c r="B421" i="33" s="1"/>
  <c r="E421" i="33" a="1"/>
  <c r="E421" i="33" s="1"/>
  <c r="F421" i="33" a="1"/>
  <c r="F421" i="33" s="1"/>
  <c r="G421" i="33" a="1"/>
  <c r="G421" i="33" s="1"/>
  <c r="L421" i="33" a="1"/>
  <c r="L421" i="33" s="1"/>
  <c r="M421" i="33"/>
  <c r="N421" i="33"/>
  <c r="P421" i="33"/>
  <c r="C153" i="31" a="1"/>
  <c r="C153" i="31" s="1"/>
  <c r="D153" i="31" a="1"/>
  <c r="D153" i="31" s="1"/>
  <c r="L153" i="31"/>
  <c r="Q153" i="31"/>
  <c r="R153" i="31"/>
  <c r="U153" i="31"/>
  <c r="V153" i="31"/>
  <c r="W153" i="31"/>
  <c r="AB153" i="31"/>
  <c r="AC153" i="31"/>
  <c r="AF153" i="31"/>
  <c r="C168" i="31" a="1"/>
  <c r="C168" i="31" s="1"/>
  <c r="D168" i="31" a="1"/>
  <c r="D168" i="31" s="1"/>
  <c r="L168" i="31"/>
  <c r="Q168" i="31"/>
  <c r="R168" i="31"/>
  <c r="U168" i="31"/>
  <c r="V168" i="31"/>
  <c r="W168" i="31"/>
  <c r="AB168" i="31"/>
  <c r="AC168" i="31"/>
  <c r="AF168" i="31"/>
  <c r="C329" i="31" a="1"/>
  <c r="C329" i="31" s="1"/>
  <c r="D329" i="31" a="1"/>
  <c r="D329" i="31" s="1"/>
  <c r="L329" i="31"/>
  <c r="Q329" i="31"/>
  <c r="R329" i="31"/>
  <c r="U329" i="31"/>
  <c r="V329" i="31"/>
  <c r="W329" i="31"/>
  <c r="AB329" i="31"/>
  <c r="AC329" i="31"/>
  <c r="AF329" i="31"/>
  <c r="C328" i="31" a="1"/>
  <c r="C328" i="31" s="1"/>
  <c r="D328" i="31" a="1"/>
  <c r="D328" i="31" s="1"/>
  <c r="L328" i="31"/>
  <c r="Q328" i="31"/>
  <c r="R328" i="31"/>
  <c r="U328" i="31"/>
  <c r="V328" i="31"/>
  <c r="W328" i="31"/>
  <c r="AB328" i="31"/>
  <c r="AC328" i="31"/>
  <c r="AF328" i="31"/>
  <c r="C325" i="31" a="1"/>
  <c r="C325" i="31" s="1"/>
  <c r="D325" i="31" a="1"/>
  <c r="D325" i="31" s="1"/>
  <c r="L325" i="31"/>
  <c r="Q325" i="31"/>
  <c r="R325" i="31"/>
  <c r="U325" i="31"/>
  <c r="V325" i="31"/>
  <c r="W325" i="31"/>
  <c r="AB325" i="31"/>
  <c r="AC325" i="31"/>
  <c r="AF325" i="31"/>
  <c r="C324" i="31" a="1"/>
  <c r="C324" i="31" s="1"/>
  <c r="D324" i="31" a="1"/>
  <c r="D324" i="31" s="1"/>
  <c r="L324" i="31"/>
  <c r="Q324" i="31"/>
  <c r="R324" i="31"/>
  <c r="U324" i="31"/>
  <c r="V324" i="31"/>
  <c r="W324" i="31"/>
  <c r="AB324" i="31"/>
  <c r="AC324" i="31"/>
  <c r="AF324" i="31"/>
  <c r="C167" i="31" a="1"/>
  <c r="C167" i="31" s="1"/>
  <c r="D167" i="31" a="1"/>
  <c r="D167" i="31" s="1"/>
  <c r="L167" i="31"/>
  <c r="Q167" i="31"/>
  <c r="R167" i="31"/>
  <c r="U167" i="31"/>
  <c r="V167" i="31"/>
  <c r="W167" i="31"/>
  <c r="AB167" i="31"/>
  <c r="AC167" i="31"/>
  <c r="AF167" i="31"/>
  <c r="C166" i="31" a="1"/>
  <c r="C166" i="31" s="1"/>
  <c r="D166" i="31" a="1"/>
  <c r="D166" i="31" s="1"/>
  <c r="L166" i="31"/>
  <c r="Q166" i="31"/>
  <c r="R166" i="31"/>
  <c r="U166" i="31"/>
  <c r="V166" i="31"/>
  <c r="AD166" i="31" s="1"/>
  <c r="W166" i="31"/>
  <c r="AB166" i="31"/>
  <c r="AC166" i="31"/>
  <c r="AF166" i="31"/>
  <c r="B247" i="33" a="1"/>
  <c r="B247" i="33" s="1"/>
  <c r="E247" i="33" a="1"/>
  <c r="E247" i="33" s="1"/>
  <c r="F247" i="33" a="1"/>
  <c r="F247" i="33" s="1"/>
  <c r="G247" i="33" a="1"/>
  <c r="G247" i="33" s="1"/>
  <c r="H247" i="33"/>
  <c r="I247" i="33"/>
  <c r="L247" i="33" a="1"/>
  <c r="L247" i="33" s="1"/>
  <c r="M247" i="33"/>
  <c r="N247" i="33"/>
  <c r="P247" i="33"/>
  <c r="C449" i="35" a="1"/>
  <c r="C449" i="35" s="1"/>
  <c r="F449" i="35"/>
  <c r="G449" i="35" s="1"/>
  <c r="J449" i="35"/>
  <c r="K449" i="35" s="1"/>
  <c r="Q449" i="35"/>
  <c r="C448" i="35" a="1"/>
  <c r="C448" i="35" s="1"/>
  <c r="F448" i="35"/>
  <c r="G448" i="35" s="1"/>
  <c r="J448" i="35"/>
  <c r="K448" i="35" s="1"/>
  <c r="Q448" i="35"/>
  <c r="C447" i="35" a="1"/>
  <c r="C447" i="35" s="1"/>
  <c r="F447" i="35"/>
  <c r="G447" i="35" s="1"/>
  <c r="J447" i="35"/>
  <c r="K447" i="35" s="1"/>
  <c r="Q447" i="35"/>
  <c r="C446" i="35" a="1"/>
  <c r="C446" i="35" s="1"/>
  <c r="F446" i="35"/>
  <c r="G446" i="35" s="1"/>
  <c r="J446" i="35"/>
  <c r="K446" i="35" s="1"/>
  <c r="Q446" i="35"/>
  <c r="C445" i="35" a="1"/>
  <c r="C445" i="35" s="1"/>
  <c r="F445" i="35"/>
  <c r="G445" i="35" s="1"/>
  <c r="J445" i="35"/>
  <c r="K445" i="35" s="1"/>
  <c r="Q445" i="35"/>
  <c r="C444" i="35" a="1"/>
  <c r="C444" i="35" s="1"/>
  <c r="F444" i="35"/>
  <c r="G444" i="35" s="1"/>
  <c r="J444" i="35"/>
  <c r="K444" i="35" s="1"/>
  <c r="Q444" i="35"/>
  <c r="C443" i="35" a="1"/>
  <c r="C443" i="35" s="1"/>
  <c r="F443" i="35"/>
  <c r="G443" i="35" s="1"/>
  <c r="J443" i="35"/>
  <c r="K443" i="35" s="1"/>
  <c r="Q443" i="35"/>
  <c r="C442" i="35" a="1"/>
  <c r="C442" i="35" s="1"/>
  <c r="F442" i="35"/>
  <c r="G442" i="35" s="1"/>
  <c r="J442" i="35"/>
  <c r="K442" i="35" s="1"/>
  <c r="Q442" i="35"/>
  <c r="C441" i="35" a="1"/>
  <c r="C441" i="35" s="1"/>
  <c r="F441" i="35"/>
  <c r="G441" i="35" s="1"/>
  <c r="J441" i="35"/>
  <c r="K441" i="35" s="1"/>
  <c r="Q441" i="35"/>
  <c r="C440" i="35" a="1"/>
  <c r="C440" i="35" s="1"/>
  <c r="F440" i="35"/>
  <c r="G440" i="35" s="1"/>
  <c r="J440" i="35"/>
  <c r="K440" i="35" s="1"/>
  <c r="Q440" i="35"/>
  <c r="C439" i="35" a="1"/>
  <c r="C439" i="35" s="1"/>
  <c r="F439" i="35"/>
  <c r="G439" i="35" s="1"/>
  <c r="J439" i="35"/>
  <c r="K439" i="35" s="1"/>
  <c r="Q439" i="35"/>
  <c r="C438" i="35" a="1"/>
  <c r="C438" i="35" s="1"/>
  <c r="F438" i="35"/>
  <c r="G438" i="35" s="1"/>
  <c r="J438" i="35"/>
  <c r="K438" i="35" s="1"/>
  <c r="Q438" i="35"/>
  <c r="C437" i="35" a="1"/>
  <c r="C437" i="35" s="1"/>
  <c r="F437" i="35"/>
  <c r="G437" i="35" s="1"/>
  <c r="J437" i="35"/>
  <c r="K437" i="35" s="1"/>
  <c r="Q437" i="35"/>
  <c r="C333" i="31" a="1"/>
  <c r="C333" i="31" s="1"/>
  <c r="D333" i="31" a="1"/>
  <c r="D333" i="31" s="1"/>
  <c r="L333" i="31"/>
  <c r="Q333" i="31"/>
  <c r="R333" i="31"/>
  <c r="U333" i="31"/>
  <c r="V333" i="31"/>
  <c r="W333" i="31"/>
  <c r="AB333" i="31"/>
  <c r="AC333" i="31"/>
  <c r="AF333" i="31"/>
  <c r="C332" i="31" a="1"/>
  <c r="C332" i="31" s="1"/>
  <c r="D332" i="31" a="1"/>
  <c r="D332" i="31" s="1"/>
  <c r="L332" i="31"/>
  <c r="Q332" i="31"/>
  <c r="R332" i="31"/>
  <c r="U332" i="31"/>
  <c r="V332" i="31"/>
  <c r="W332" i="31"/>
  <c r="AB332" i="31"/>
  <c r="AC332" i="31"/>
  <c r="AF332" i="31"/>
  <c r="C436" i="35" a="1"/>
  <c r="C436" i="35" s="1"/>
  <c r="F436" i="35"/>
  <c r="G436" i="35" s="1"/>
  <c r="J436" i="35"/>
  <c r="K436" i="35" s="1"/>
  <c r="Q436" i="35"/>
  <c r="C435" i="35" a="1"/>
  <c r="C435" i="35" s="1"/>
  <c r="F435" i="35"/>
  <c r="G435" i="35" s="1"/>
  <c r="J435" i="35"/>
  <c r="K435" i="35" s="1"/>
  <c r="Q435" i="35"/>
  <c r="H179" i="6"/>
  <c r="J179" i="6" s="1"/>
  <c r="N179" i="6" s="1"/>
  <c r="I179" i="6"/>
  <c r="K179" i="6" s="1"/>
  <c r="O179" i="6" s="1"/>
  <c r="U179" i="6"/>
  <c r="H178" i="6"/>
  <c r="J178" i="6" s="1"/>
  <c r="I178" i="6"/>
  <c r="K178" i="6" s="1"/>
  <c r="U178" i="6"/>
  <c r="H177" i="6"/>
  <c r="J177" i="6" s="1"/>
  <c r="I177" i="6"/>
  <c r="K177" i="6" s="1"/>
  <c r="U177" i="6"/>
  <c r="C434" i="35" a="1"/>
  <c r="C434" i="35" s="1"/>
  <c r="F434" i="35"/>
  <c r="G434" i="35" s="1"/>
  <c r="J434" i="35"/>
  <c r="K434" i="35" s="1"/>
  <c r="Q434" i="35"/>
  <c r="C433" i="35" a="1"/>
  <c r="C433" i="35" s="1"/>
  <c r="F433" i="35"/>
  <c r="J433" i="35"/>
  <c r="Q433" i="35"/>
  <c r="C152" i="31" a="1"/>
  <c r="C152" i="31" s="1"/>
  <c r="D152" i="31" a="1"/>
  <c r="D152" i="31" s="1"/>
  <c r="L152" i="31"/>
  <c r="Q152" i="31"/>
  <c r="R152" i="31"/>
  <c r="U152" i="31"/>
  <c r="V152" i="31"/>
  <c r="W152" i="31"/>
  <c r="AB152" i="31"/>
  <c r="AC152" i="31"/>
  <c r="AF152" i="31"/>
  <c r="C187" i="31" a="1"/>
  <c r="C187" i="31" s="1"/>
  <c r="D187" i="31" a="1"/>
  <c r="D187" i="31" s="1"/>
  <c r="L187" i="31"/>
  <c r="Q187" i="31"/>
  <c r="R187" i="31"/>
  <c r="U187" i="31"/>
  <c r="V187" i="31"/>
  <c r="W187" i="31"/>
  <c r="AB187" i="31"/>
  <c r="AC187" i="31"/>
  <c r="AF187" i="31"/>
  <c r="C165" i="31" a="1"/>
  <c r="C165" i="31" s="1"/>
  <c r="D165" i="31" a="1"/>
  <c r="D165" i="31" s="1"/>
  <c r="L165" i="31"/>
  <c r="Q165" i="31"/>
  <c r="R165" i="31"/>
  <c r="U165" i="31"/>
  <c r="V165" i="31"/>
  <c r="W165" i="31"/>
  <c r="AB165" i="31"/>
  <c r="AC165" i="31"/>
  <c r="AF165" i="31"/>
  <c r="C212" i="31" a="1"/>
  <c r="C212" i="31" s="1"/>
  <c r="D212" i="31" a="1"/>
  <c r="D212" i="31" s="1"/>
  <c r="L212" i="31"/>
  <c r="Q212" i="31"/>
  <c r="R212" i="31"/>
  <c r="U212" i="31"/>
  <c r="V212" i="31"/>
  <c r="W212" i="31"/>
  <c r="AB212" i="31"/>
  <c r="AC212" i="31"/>
  <c r="AF212" i="31"/>
  <c r="C327" i="31" a="1"/>
  <c r="C327" i="31" s="1"/>
  <c r="D327" i="31" a="1"/>
  <c r="D327" i="31" s="1"/>
  <c r="L327" i="31"/>
  <c r="Q327" i="31"/>
  <c r="R327" i="31"/>
  <c r="U327" i="31"/>
  <c r="V327" i="31"/>
  <c r="W327" i="31"/>
  <c r="AB327" i="31"/>
  <c r="AC327" i="31"/>
  <c r="AF327" i="31"/>
  <c r="C326" i="31" a="1"/>
  <c r="C326" i="31" s="1"/>
  <c r="D326" i="31" a="1"/>
  <c r="D326" i="31" s="1"/>
  <c r="L326" i="31"/>
  <c r="Q326" i="31"/>
  <c r="R326" i="31"/>
  <c r="U326" i="31"/>
  <c r="V326" i="31"/>
  <c r="W326" i="31"/>
  <c r="AB326" i="31"/>
  <c r="AC326" i="31"/>
  <c r="AF326" i="31"/>
  <c r="C432" i="35" a="1"/>
  <c r="C432" i="35" s="1"/>
  <c r="F432" i="35"/>
  <c r="G432" i="35" s="1"/>
  <c r="J432" i="35"/>
  <c r="K432" i="35" s="1"/>
  <c r="Q432" i="35"/>
  <c r="C431" i="35" a="1"/>
  <c r="C431" i="35" s="1"/>
  <c r="F431" i="35"/>
  <c r="G431" i="35" s="1"/>
  <c r="J431" i="35"/>
  <c r="K431" i="35" s="1"/>
  <c r="B921" i="31" a="1"/>
  <c r="B921" i="31" s="1"/>
  <c r="C921" i="31"/>
  <c r="D921" i="31"/>
  <c r="E921" i="31"/>
  <c r="F921" i="31"/>
  <c r="G921" i="31"/>
  <c r="H921" i="31"/>
  <c r="I921" i="31"/>
  <c r="J921" i="31"/>
  <c r="K921" i="31"/>
  <c r="L921" i="31"/>
  <c r="O921" i="31" a="1"/>
  <c r="O921" i="31" s="1"/>
  <c r="Z921" i="31" s="1"/>
  <c r="S921" i="31"/>
  <c r="T921" i="31" a="1"/>
  <c r="T921" i="31" s="1"/>
  <c r="V921" i="31"/>
  <c r="X921" i="31"/>
  <c r="B954" i="31" a="1"/>
  <c r="B954" i="31" s="1"/>
  <c r="C954" i="31"/>
  <c r="D954" i="31"/>
  <c r="E954" i="31"/>
  <c r="F954" i="31"/>
  <c r="G954" i="31"/>
  <c r="H954" i="31"/>
  <c r="I954" i="31"/>
  <c r="J954" i="31"/>
  <c r="K954" i="31"/>
  <c r="L954" i="31"/>
  <c r="O954" i="31" a="1"/>
  <c r="O954" i="31" s="1"/>
  <c r="Z954" i="31" s="1"/>
  <c r="S954" i="31"/>
  <c r="T954" i="31" a="1"/>
  <c r="T954" i="31" s="1"/>
  <c r="V954" i="31"/>
  <c r="X954" i="31"/>
  <c r="B442" i="33" a="1"/>
  <c r="B442" i="33" s="1"/>
  <c r="E442" i="33" a="1"/>
  <c r="E442" i="33" s="1"/>
  <c r="F442" i="33" a="1"/>
  <c r="F442" i="33" s="1"/>
  <c r="G442" i="33" a="1"/>
  <c r="G442" i="33" s="1"/>
  <c r="H442" i="33"/>
  <c r="I442" i="33"/>
  <c r="L442" i="33" a="1"/>
  <c r="L442" i="33" s="1"/>
  <c r="M442" i="33"/>
  <c r="N442" i="33"/>
  <c r="P442" i="33"/>
  <c r="B284" i="33" a="1"/>
  <c r="B284" i="33" s="1"/>
  <c r="E284" i="33" a="1"/>
  <c r="E284" i="33" s="1"/>
  <c r="F284" i="33" a="1"/>
  <c r="F284" i="33" s="1"/>
  <c r="G284" i="33" a="1"/>
  <c r="G284" i="33" s="1"/>
  <c r="H284" i="33"/>
  <c r="I284" i="33"/>
  <c r="L284" i="33" a="1"/>
  <c r="L284" i="33" s="1"/>
  <c r="M284" i="33"/>
  <c r="N284" i="33"/>
  <c r="P284" i="33"/>
  <c r="B223" i="33" a="1"/>
  <c r="B223" i="33" s="1"/>
  <c r="E223" i="33" a="1"/>
  <c r="E223" i="33" s="1"/>
  <c r="F223" i="33" a="1"/>
  <c r="F223" i="33" s="1"/>
  <c r="G223" i="33" a="1"/>
  <c r="G223" i="33" s="1"/>
  <c r="H223" i="33"/>
  <c r="I223" i="33"/>
  <c r="L223" i="33" a="1"/>
  <c r="L223" i="33" s="1"/>
  <c r="M223" i="33"/>
  <c r="N223" i="33"/>
  <c r="P223" i="33"/>
  <c r="B234" i="33" a="1"/>
  <c r="B234" i="33" s="1"/>
  <c r="E234" i="33" a="1"/>
  <c r="E234" i="33" s="1"/>
  <c r="F234" i="33" a="1"/>
  <c r="F234" i="33" s="1"/>
  <c r="G234" i="33" a="1"/>
  <c r="G234" i="33" s="1"/>
  <c r="H234" i="33"/>
  <c r="I234" i="33"/>
  <c r="L234" i="33" a="1"/>
  <c r="L234" i="33" s="1"/>
  <c r="M234" i="33"/>
  <c r="N234" i="33"/>
  <c r="P234" i="33"/>
  <c r="B427" i="33" a="1"/>
  <c r="B427" i="33" s="1"/>
  <c r="E427" i="33" a="1"/>
  <c r="E427" i="33" s="1"/>
  <c r="F427" i="33" a="1"/>
  <c r="F427" i="33" s="1"/>
  <c r="G427" i="33" a="1"/>
  <c r="G427" i="33" s="1"/>
  <c r="H427" i="33"/>
  <c r="I427" i="33"/>
  <c r="L427" i="33" a="1"/>
  <c r="L427" i="33" s="1"/>
  <c r="M427" i="33"/>
  <c r="N427" i="33"/>
  <c r="P427" i="33"/>
  <c r="B240" i="33" a="1"/>
  <c r="B240" i="33" s="1"/>
  <c r="E240" i="33" a="1"/>
  <c r="E240" i="33" s="1"/>
  <c r="F240" i="33" a="1"/>
  <c r="F240" i="33" s="1"/>
  <c r="G240" i="33" a="1"/>
  <c r="G240" i="33" s="1"/>
  <c r="H240" i="33"/>
  <c r="I240" i="33"/>
  <c r="L240" i="33" a="1"/>
  <c r="L240" i="33" s="1"/>
  <c r="M240" i="33"/>
  <c r="N240" i="33"/>
  <c r="P240" i="33"/>
  <c r="B390" i="33" a="1"/>
  <c r="B390" i="33" s="1"/>
  <c r="E390" i="33" a="1"/>
  <c r="E390" i="33" s="1"/>
  <c r="F390" i="33" a="1"/>
  <c r="F390" i="33" s="1"/>
  <c r="G390" i="33" a="1"/>
  <c r="G390" i="33" s="1"/>
  <c r="H390" i="33"/>
  <c r="I390" i="33"/>
  <c r="L390" i="33" a="1"/>
  <c r="L390" i="33" s="1"/>
  <c r="M390" i="33"/>
  <c r="N390" i="33"/>
  <c r="P390" i="33"/>
  <c r="B325" i="33" a="1"/>
  <c r="B325" i="33" s="1"/>
  <c r="E325" i="33" a="1"/>
  <c r="E325" i="33" s="1"/>
  <c r="F325" i="33" a="1"/>
  <c r="F325" i="33" s="1"/>
  <c r="G325" i="33" a="1"/>
  <c r="G325" i="33" s="1"/>
  <c r="H325" i="33"/>
  <c r="I325" i="33"/>
  <c r="L325" i="33" a="1"/>
  <c r="L325" i="33" s="1"/>
  <c r="M325" i="33"/>
  <c r="P325" i="33"/>
  <c r="B468" i="33" a="1"/>
  <c r="B468" i="33" s="1"/>
  <c r="E468" i="33" a="1"/>
  <c r="E468" i="33" s="1"/>
  <c r="F468" i="33" a="1"/>
  <c r="F468" i="33" s="1"/>
  <c r="G468" i="33" a="1"/>
  <c r="G468" i="33" s="1"/>
  <c r="H468" i="33"/>
  <c r="I468" i="33"/>
  <c r="L468" i="33" a="1"/>
  <c r="L468" i="33" s="1"/>
  <c r="M468" i="33"/>
  <c r="N468" i="33"/>
  <c r="P468" i="33"/>
  <c r="B212" i="33" a="1"/>
  <c r="B212" i="33" s="1"/>
  <c r="E212" i="33" a="1"/>
  <c r="E212" i="33" s="1"/>
  <c r="F212" i="33" a="1"/>
  <c r="F212" i="33" s="1"/>
  <c r="G212" i="33" a="1"/>
  <c r="G212" i="33" s="1"/>
  <c r="L212" i="33" a="1"/>
  <c r="L212" i="33" s="1"/>
  <c r="M212" i="33"/>
  <c r="N212" i="33"/>
  <c r="P212" i="33"/>
  <c r="B273" i="33" a="1"/>
  <c r="B273" i="33" s="1"/>
  <c r="E273" i="33" a="1"/>
  <c r="E273" i="33" s="1"/>
  <c r="F273" i="33" a="1"/>
  <c r="F273" i="33" s="1"/>
  <c r="G273" i="33" a="1"/>
  <c r="G273" i="33" s="1"/>
  <c r="H273" i="33"/>
  <c r="I273" i="33"/>
  <c r="L273" i="33" a="1"/>
  <c r="L273" i="33" s="1"/>
  <c r="M273" i="33"/>
  <c r="N273" i="33"/>
  <c r="P273" i="33"/>
  <c r="B450" i="33" a="1"/>
  <c r="B450" i="33" s="1"/>
  <c r="E450" i="33" a="1"/>
  <c r="E450" i="33" s="1"/>
  <c r="F450" i="33" a="1"/>
  <c r="F450" i="33" s="1"/>
  <c r="G450" i="33" a="1"/>
  <c r="G450" i="33" s="1"/>
  <c r="H450" i="33"/>
  <c r="I450" i="33"/>
  <c r="L450" i="33" a="1"/>
  <c r="L450" i="33" s="1"/>
  <c r="M450" i="33"/>
  <c r="N450" i="33"/>
  <c r="P450" i="33"/>
  <c r="B350" i="33" a="1"/>
  <c r="B350" i="33" s="1"/>
  <c r="E350" i="33" a="1"/>
  <c r="E350" i="33" s="1"/>
  <c r="F350" i="33" a="1"/>
  <c r="F350" i="33" s="1"/>
  <c r="G350" i="33" a="1"/>
  <c r="G350" i="33" s="1"/>
  <c r="H350" i="33"/>
  <c r="I350" i="33"/>
  <c r="L350" i="33" a="1"/>
  <c r="L350" i="33" s="1"/>
  <c r="M350" i="33"/>
  <c r="N350" i="33"/>
  <c r="P350" i="33"/>
  <c r="B106" i="33" a="1"/>
  <c r="B106" i="33" s="1"/>
  <c r="E106" i="33" a="1"/>
  <c r="E106" i="33" s="1"/>
  <c r="F106" i="33" a="1"/>
  <c r="F106" i="33" s="1"/>
  <c r="G106" i="33" a="1"/>
  <c r="G106" i="33" s="1"/>
  <c r="H106" i="33"/>
  <c r="I106" i="33"/>
  <c r="L106" i="33" a="1"/>
  <c r="L106" i="33" s="1"/>
  <c r="M106" i="33"/>
  <c r="N106" i="33"/>
  <c r="P106" i="33"/>
  <c r="B415" i="33" a="1"/>
  <c r="B415" i="33" s="1"/>
  <c r="E415" i="33" a="1"/>
  <c r="E415" i="33" s="1"/>
  <c r="F415" i="33" a="1"/>
  <c r="F415" i="33" s="1"/>
  <c r="G415" i="33" a="1"/>
  <c r="G415" i="33" s="1"/>
  <c r="H415" i="33"/>
  <c r="I415" i="33"/>
  <c r="L415" i="33" a="1"/>
  <c r="L415" i="33" s="1"/>
  <c r="M415" i="33"/>
  <c r="N415" i="33"/>
  <c r="P415" i="33"/>
  <c r="B473" i="33" a="1"/>
  <c r="B473" i="33" s="1"/>
  <c r="E473" i="33" a="1"/>
  <c r="E473" i="33" s="1"/>
  <c r="F473" i="33" a="1"/>
  <c r="F473" i="33" s="1"/>
  <c r="G473" i="33" a="1"/>
  <c r="G473" i="33" s="1"/>
  <c r="H473" i="33"/>
  <c r="I473" i="33"/>
  <c r="L473" i="33" a="1"/>
  <c r="L473" i="33" s="1"/>
  <c r="M473" i="33"/>
  <c r="N473" i="33"/>
  <c r="P473" i="33"/>
  <c r="B107" i="33" a="1"/>
  <c r="B107" i="33" s="1"/>
  <c r="E107" i="33" a="1"/>
  <c r="E107" i="33" s="1"/>
  <c r="F107" i="33" a="1"/>
  <c r="F107" i="33" s="1"/>
  <c r="G107" i="33" a="1"/>
  <c r="G107" i="33" s="1"/>
  <c r="L107" i="33" a="1"/>
  <c r="L107" i="33" s="1"/>
  <c r="M107" i="33"/>
  <c r="N107" i="33"/>
  <c r="P107" i="33"/>
  <c r="B417" i="33" a="1"/>
  <c r="B417" i="33" s="1"/>
  <c r="E417" i="33" a="1"/>
  <c r="E417" i="33" s="1"/>
  <c r="F417" i="33" a="1"/>
  <c r="F417" i="33" s="1"/>
  <c r="G417" i="33" a="1"/>
  <c r="G417" i="33" s="1"/>
  <c r="H417" i="33"/>
  <c r="I417" i="33"/>
  <c r="L417" i="33" a="1"/>
  <c r="L417" i="33" s="1"/>
  <c r="M417" i="33"/>
  <c r="N417" i="33"/>
  <c r="P417" i="33"/>
  <c r="B269" i="33" a="1"/>
  <c r="B269" i="33" s="1"/>
  <c r="E269" i="33" a="1"/>
  <c r="E269" i="33" s="1"/>
  <c r="F269" i="33" a="1"/>
  <c r="F269" i="33" s="1"/>
  <c r="G269" i="33" a="1"/>
  <c r="G269" i="33" s="1"/>
  <c r="H269" i="33"/>
  <c r="I269" i="33"/>
  <c r="L269" i="33" a="1"/>
  <c r="L269" i="33" s="1"/>
  <c r="M269" i="33"/>
  <c r="N269" i="33"/>
  <c r="P269" i="33"/>
  <c r="B964" i="31" a="1"/>
  <c r="B964" i="31" s="1"/>
  <c r="C964" i="31"/>
  <c r="D964" i="31"/>
  <c r="E964" i="31"/>
  <c r="F964" i="31"/>
  <c r="G964" i="31"/>
  <c r="H964" i="31"/>
  <c r="I964" i="31"/>
  <c r="J964" i="31"/>
  <c r="K964" i="31"/>
  <c r="L964" i="31"/>
  <c r="O964" i="31" a="1"/>
  <c r="O964" i="31" s="1"/>
  <c r="Z964" i="31" s="1"/>
  <c r="S964" i="31"/>
  <c r="T964" i="31" a="1"/>
  <c r="T964" i="31" s="1"/>
  <c r="V964" i="31"/>
  <c r="X964" i="31"/>
  <c r="B1010" i="31" a="1"/>
  <c r="B1010" i="31" s="1"/>
  <c r="C1010" i="31"/>
  <c r="D1010" i="31"/>
  <c r="E1010" i="31"/>
  <c r="F1010" i="31"/>
  <c r="G1010" i="31"/>
  <c r="H1010" i="31"/>
  <c r="I1010" i="31"/>
  <c r="J1010" i="31"/>
  <c r="K1010" i="31"/>
  <c r="L1010" i="31"/>
  <c r="O1010" i="31" a="1"/>
  <c r="O1010" i="31" s="1"/>
  <c r="Z1010" i="31" s="1"/>
  <c r="T1010" i="31" a="1"/>
  <c r="T1010" i="31" s="1"/>
  <c r="V1010" i="31"/>
  <c r="X1010" i="31"/>
  <c r="B989" i="31" a="1"/>
  <c r="B989" i="31" s="1"/>
  <c r="B961" i="31" a="1"/>
  <c r="B961" i="31" s="1"/>
  <c r="D989" i="31"/>
  <c r="D961" i="31"/>
  <c r="G989" i="31"/>
  <c r="G961" i="31"/>
  <c r="H989" i="31"/>
  <c r="H961" i="31"/>
  <c r="I989" i="31"/>
  <c r="I961" i="31"/>
  <c r="J989" i="31"/>
  <c r="J961" i="31"/>
  <c r="K989" i="31"/>
  <c r="K961" i="31"/>
  <c r="L989" i="31"/>
  <c r="L961" i="31"/>
  <c r="O989" i="31" a="1"/>
  <c r="O989" i="31" s="1"/>
  <c r="Q989" i="31" s="1"/>
  <c r="O961" i="31" a="1"/>
  <c r="O961" i="31" s="1"/>
  <c r="Z961" i="31" s="1"/>
  <c r="T989" i="31" a="1"/>
  <c r="T989" i="31" s="1"/>
  <c r="T961" i="31" a="1"/>
  <c r="T961" i="31" s="1"/>
  <c r="V989" i="31"/>
  <c r="V961" i="31"/>
  <c r="X989" i="31"/>
  <c r="X961" i="31"/>
  <c r="B948" i="31" a="1"/>
  <c r="B948" i="31" s="1"/>
  <c r="B1007" i="31" a="1"/>
  <c r="B1007" i="31" s="1"/>
  <c r="B945" i="31" a="1"/>
  <c r="B945" i="31" s="1"/>
  <c r="C948" i="31"/>
  <c r="D948" i="31"/>
  <c r="D945" i="31"/>
  <c r="E948" i="31"/>
  <c r="F948" i="31"/>
  <c r="G948" i="31"/>
  <c r="G1007" i="31"/>
  <c r="G945" i="31"/>
  <c r="H948" i="31"/>
  <c r="H1007" i="31"/>
  <c r="H945" i="31"/>
  <c r="I948" i="31"/>
  <c r="I1007" i="31"/>
  <c r="I945" i="31"/>
  <c r="J948" i="31"/>
  <c r="J1007" i="31"/>
  <c r="J945" i="31"/>
  <c r="K948" i="31"/>
  <c r="K945" i="31"/>
  <c r="L948" i="31"/>
  <c r="L945" i="31"/>
  <c r="O948" i="31" a="1"/>
  <c r="O948" i="31" s="1"/>
  <c r="Z948" i="31" s="1"/>
  <c r="O1007" i="31" a="1"/>
  <c r="O1007" i="31" s="1"/>
  <c r="Z1007" i="31" s="1"/>
  <c r="O945" i="31" a="1"/>
  <c r="O945" i="31" s="1"/>
  <c r="Z945" i="31" s="1"/>
  <c r="T948" i="31" a="1"/>
  <c r="T948" i="31" s="1"/>
  <c r="T1007" i="31" a="1"/>
  <c r="T1007" i="31" s="1"/>
  <c r="T945" i="31" a="1"/>
  <c r="T945" i="31" s="1"/>
  <c r="V948" i="31"/>
  <c r="V1007" i="31"/>
  <c r="V945" i="31"/>
  <c r="X948" i="31"/>
  <c r="X1007" i="31"/>
  <c r="X945" i="31"/>
  <c r="B906" i="31" a="1"/>
  <c r="B906" i="31" s="1"/>
  <c r="C906" i="31"/>
  <c r="D906" i="31"/>
  <c r="E906" i="31"/>
  <c r="F906" i="31"/>
  <c r="G906" i="31"/>
  <c r="H906" i="31"/>
  <c r="I906" i="31"/>
  <c r="J906" i="31"/>
  <c r="K906" i="31"/>
  <c r="L906" i="31"/>
  <c r="O906" i="31" a="1"/>
  <c r="O906" i="31" s="1"/>
  <c r="Z906" i="31" s="1"/>
  <c r="S906" i="31"/>
  <c r="T906" i="31" a="1"/>
  <c r="T906" i="31" s="1"/>
  <c r="V906" i="31"/>
  <c r="X906" i="31"/>
  <c r="B993" i="31" a="1"/>
  <c r="B993" i="31" s="1"/>
  <c r="D993" i="31"/>
  <c r="G993" i="31"/>
  <c r="H993" i="31"/>
  <c r="I993" i="31"/>
  <c r="J993" i="31"/>
  <c r="K993" i="31"/>
  <c r="L993" i="31"/>
  <c r="O993" i="31" a="1"/>
  <c r="O993" i="31" s="1"/>
  <c r="Z993" i="31" s="1"/>
  <c r="T993" i="31" a="1"/>
  <c r="T993" i="31" s="1"/>
  <c r="V993" i="31"/>
  <c r="X993" i="31"/>
  <c r="B1019" i="31" a="1"/>
  <c r="B1019" i="31" s="1"/>
  <c r="D1019" i="31"/>
  <c r="G1019" i="31"/>
  <c r="H1019" i="31"/>
  <c r="I1019" i="31"/>
  <c r="J1019" i="31"/>
  <c r="K1019" i="31"/>
  <c r="L1019" i="31"/>
  <c r="O1019" i="31" a="1"/>
  <c r="O1019" i="31" s="1"/>
  <c r="Z1019" i="31" s="1"/>
  <c r="T1019" i="31" a="1"/>
  <c r="T1019" i="31" s="1"/>
  <c r="V1019" i="31"/>
  <c r="X1019" i="31"/>
  <c r="C430" i="35" a="1"/>
  <c r="C430" i="35" s="1"/>
  <c r="F430" i="35"/>
  <c r="G430" i="35" s="1"/>
  <c r="J430" i="35"/>
  <c r="K430" i="35" s="1"/>
  <c r="C429" i="35" a="1"/>
  <c r="C429" i="35" s="1"/>
  <c r="F429" i="35"/>
  <c r="G429" i="35" s="1"/>
  <c r="J429" i="35"/>
  <c r="K429" i="35" s="1"/>
  <c r="C428" i="35" a="1"/>
  <c r="C428" i="35" s="1"/>
  <c r="F428" i="35"/>
  <c r="G428" i="35" s="1"/>
  <c r="J428" i="35"/>
  <c r="K428" i="35" s="1"/>
  <c r="Q428" i="35"/>
  <c r="C427" i="35" a="1"/>
  <c r="C427" i="35" s="1"/>
  <c r="F427" i="35"/>
  <c r="G427" i="35" s="1"/>
  <c r="J427" i="35"/>
  <c r="K427" i="35" s="1"/>
  <c r="Q427" i="35"/>
  <c r="C426" i="35" a="1"/>
  <c r="C426" i="35" s="1"/>
  <c r="F426" i="35"/>
  <c r="G426" i="35" s="1"/>
  <c r="J426" i="35"/>
  <c r="K426" i="35" s="1"/>
  <c r="Q426" i="35"/>
  <c r="C425" i="35" a="1"/>
  <c r="C425" i="35" s="1"/>
  <c r="F425" i="35"/>
  <c r="G425" i="35" s="1"/>
  <c r="J425" i="35"/>
  <c r="K425" i="35" s="1"/>
  <c r="Q425" i="35"/>
  <c r="C424" i="35" a="1"/>
  <c r="C424" i="35" s="1"/>
  <c r="F424" i="35"/>
  <c r="G424" i="35" s="1"/>
  <c r="J424" i="35"/>
  <c r="K424" i="35" s="1"/>
  <c r="Q424" i="35"/>
  <c r="C423" i="35" a="1"/>
  <c r="C423" i="35" s="1"/>
  <c r="F423" i="35"/>
  <c r="G423" i="35" s="1"/>
  <c r="J423" i="35"/>
  <c r="K423" i="35" s="1"/>
  <c r="Q423" i="35"/>
  <c r="C422" i="35" a="1"/>
  <c r="C422" i="35" s="1"/>
  <c r="F422" i="35"/>
  <c r="G422" i="35" s="1"/>
  <c r="J422" i="35"/>
  <c r="K422" i="35" s="1"/>
  <c r="Q422" i="35"/>
  <c r="B963" i="31" a="1"/>
  <c r="B963" i="31" s="1"/>
  <c r="G963" i="31"/>
  <c r="H963" i="31"/>
  <c r="I963" i="31"/>
  <c r="J963" i="31"/>
  <c r="K963" i="31"/>
  <c r="O963" i="31" a="1"/>
  <c r="O963" i="31" s="1"/>
  <c r="Z963" i="31" s="1"/>
  <c r="T963" i="31" a="1"/>
  <c r="T963" i="31" s="1"/>
  <c r="V963" i="31"/>
  <c r="X963" i="31"/>
  <c r="B520" i="33" a="1"/>
  <c r="B520" i="33" s="1"/>
  <c r="E520" i="33" a="1"/>
  <c r="E520" i="33" s="1"/>
  <c r="F520" i="33" a="1"/>
  <c r="F520" i="33" s="1"/>
  <c r="G520" i="33" a="1"/>
  <c r="G520" i="33" s="1"/>
  <c r="L520" i="33" a="1"/>
  <c r="L520" i="33" s="1"/>
  <c r="P520" i="33"/>
  <c r="O967" i="31" a="1"/>
  <c r="O967" i="31" s="1"/>
  <c r="R967" i="31" s="1"/>
  <c r="C421" i="35" a="1"/>
  <c r="C421" i="35" s="1"/>
  <c r="F421" i="35"/>
  <c r="G421" i="35" s="1"/>
  <c r="J421" i="35"/>
  <c r="K421" i="35" s="1"/>
  <c r="Q421" i="35"/>
  <c r="C420" i="35" a="1"/>
  <c r="C420" i="35" s="1"/>
  <c r="F420" i="35"/>
  <c r="G420" i="35" s="1"/>
  <c r="J420" i="35"/>
  <c r="K420" i="35" s="1"/>
  <c r="Q420" i="35"/>
  <c r="F364" i="35"/>
  <c r="G364" i="35" s="1"/>
  <c r="C419" i="35" a="1"/>
  <c r="C419" i="35" s="1"/>
  <c r="F419" i="35"/>
  <c r="G419" i="35" s="1"/>
  <c r="J419" i="35"/>
  <c r="K419" i="35" s="1"/>
  <c r="Q419" i="35"/>
  <c r="H176" i="6"/>
  <c r="J176" i="6" s="1"/>
  <c r="I176" i="6"/>
  <c r="K176" i="6" s="1"/>
  <c r="U176" i="6"/>
  <c r="B217" i="33" a="1"/>
  <c r="B217" i="33" s="1"/>
  <c r="E217" i="33" a="1"/>
  <c r="E217" i="33" s="1"/>
  <c r="F217" i="33" a="1"/>
  <c r="F217" i="33" s="1"/>
  <c r="G217" i="33" a="1"/>
  <c r="G217" i="33" s="1"/>
  <c r="H217" i="33"/>
  <c r="I217" i="33"/>
  <c r="L217" i="33" a="1"/>
  <c r="L217" i="33" s="1"/>
  <c r="M217" i="33"/>
  <c r="P217" i="33"/>
  <c r="B110" i="33" a="1"/>
  <c r="B110" i="33" s="1"/>
  <c r="E110" i="33" a="1"/>
  <c r="E110" i="33" s="1"/>
  <c r="F110" i="33" a="1"/>
  <c r="F110" i="33" s="1"/>
  <c r="G110" i="33" a="1"/>
  <c r="G110" i="33" s="1"/>
  <c r="H110" i="33"/>
  <c r="I110" i="33"/>
  <c r="L110" i="33" a="1"/>
  <c r="L110" i="33" s="1"/>
  <c r="M110" i="33"/>
  <c r="N110" i="33"/>
  <c r="P110" i="33"/>
  <c r="B1012" i="31" a="1"/>
  <c r="B1012" i="31" s="1"/>
  <c r="C1012" i="31"/>
  <c r="D1012" i="31"/>
  <c r="E1012" i="31"/>
  <c r="F1012" i="31"/>
  <c r="G1012" i="31"/>
  <c r="H1012" i="31"/>
  <c r="I1012" i="31"/>
  <c r="J1012" i="31"/>
  <c r="K1012" i="31"/>
  <c r="L1012" i="31"/>
  <c r="O1012" i="31" a="1"/>
  <c r="O1012" i="31" s="1"/>
  <c r="Z1012" i="31" s="1"/>
  <c r="T1012" i="31" a="1"/>
  <c r="T1012" i="31" s="1"/>
  <c r="V1012" i="31"/>
  <c r="X1012" i="31"/>
  <c r="B271" i="33" a="1"/>
  <c r="B271" i="33" s="1"/>
  <c r="E271" i="33" a="1"/>
  <c r="E271" i="33" s="1"/>
  <c r="F271" i="33" a="1"/>
  <c r="F271" i="33" s="1"/>
  <c r="G271" i="33" a="1"/>
  <c r="G271" i="33" s="1"/>
  <c r="H271" i="33"/>
  <c r="I271" i="33"/>
  <c r="L271" i="33" a="1"/>
  <c r="L271" i="33" s="1"/>
  <c r="P271" i="33"/>
  <c r="C418" i="35" a="1"/>
  <c r="C418" i="35" s="1"/>
  <c r="F418" i="35"/>
  <c r="G418" i="35" s="1"/>
  <c r="J418" i="35"/>
  <c r="K418" i="35" s="1"/>
  <c r="Q418" i="35"/>
  <c r="C417" i="35" a="1"/>
  <c r="C417" i="35" s="1"/>
  <c r="F417" i="35"/>
  <c r="G417" i="35" s="1"/>
  <c r="J417" i="35"/>
  <c r="K417" i="35" s="1"/>
  <c r="Q417" i="35"/>
  <c r="B469" i="33" a="1"/>
  <c r="B469" i="33" s="1"/>
  <c r="E469" i="33" a="1"/>
  <c r="E469" i="33" s="1"/>
  <c r="F469" i="33" a="1"/>
  <c r="F469" i="33" s="1"/>
  <c r="G469" i="33" a="1"/>
  <c r="G469" i="33" s="1"/>
  <c r="H469" i="33"/>
  <c r="I469" i="33"/>
  <c r="L469" i="33" a="1"/>
  <c r="L469" i="33" s="1"/>
  <c r="M469" i="33"/>
  <c r="N469" i="33"/>
  <c r="P469" i="33"/>
  <c r="B960" i="31" a="1"/>
  <c r="B960" i="31" s="1"/>
  <c r="C960" i="31"/>
  <c r="D960" i="31"/>
  <c r="E960" i="31"/>
  <c r="F960" i="31"/>
  <c r="G960" i="31"/>
  <c r="H960" i="31"/>
  <c r="I960" i="31"/>
  <c r="J960" i="31"/>
  <c r="K960" i="31"/>
  <c r="L960" i="31"/>
  <c r="O960" i="31" a="1"/>
  <c r="O960" i="31" s="1"/>
  <c r="Y960" i="31" s="1"/>
  <c r="S960" i="31"/>
  <c r="T960" i="31" a="1"/>
  <c r="T960" i="31" s="1"/>
  <c r="V960" i="31"/>
  <c r="X960" i="31"/>
  <c r="B272" i="33" a="1"/>
  <c r="B272" i="33" s="1"/>
  <c r="E272" i="33" a="1"/>
  <c r="E272" i="33" s="1"/>
  <c r="F272" i="33" a="1"/>
  <c r="F272" i="33" s="1"/>
  <c r="G272" i="33" a="1"/>
  <c r="G272" i="33" s="1"/>
  <c r="H272" i="33"/>
  <c r="I272" i="33"/>
  <c r="L272" i="33" a="1"/>
  <c r="L272" i="33" s="1"/>
  <c r="M272" i="33"/>
  <c r="N272" i="33"/>
  <c r="P272" i="33"/>
  <c r="B994" i="31" a="1"/>
  <c r="B994" i="31" s="1"/>
  <c r="C994" i="31"/>
  <c r="D994" i="31"/>
  <c r="E994" i="31"/>
  <c r="F994" i="31"/>
  <c r="G994" i="31"/>
  <c r="H994" i="31"/>
  <c r="I994" i="31"/>
  <c r="J994" i="31"/>
  <c r="K994" i="31"/>
  <c r="L994" i="31"/>
  <c r="O994" i="31" a="1"/>
  <c r="O994" i="31" s="1"/>
  <c r="R994" i="31" s="1"/>
  <c r="S994" i="31"/>
  <c r="T994" i="31" a="1"/>
  <c r="T994" i="31" s="1"/>
  <c r="V994" i="31"/>
  <c r="X994" i="31"/>
  <c r="B984" i="31" a="1"/>
  <c r="B984" i="31" s="1"/>
  <c r="C984" i="31"/>
  <c r="D984" i="31"/>
  <c r="E984" i="31"/>
  <c r="F984" i="31"/>
  <c r="G984" i="31"/>
  <c r="H984" i="31"/>
  <c r="I984" i="31"/>
  <c r="J984" i="31"/>
  <c r="K984" i="31"/>
  <c r="L984" i="31"/>
  <c r="O984" i="31" a="1"/>
  <c r="O984" i="31" s="1"/>
  <c r="Y984" i="31" s="1"/>
  <c r="S984" i="31"/>
  <c r="T984" i="31" a="1"/>
  <c r="T984" i="31" s="1"/>
  <c r="V984" i="31"/>
  <c r="X984" i="31"/>
  <c r="B914" i="31" a="1"/>
  <c r="B914" i="31" s="1"/>
  <c r="C914" i="31"/>
  <c r="D914" i="31"/>
  <c r="E914" i="31"/>
  <c r="F914" i="31"/>
  <c r="G914" i="31"/>
  <c r="H914" i="31"/>
  <c r="I914" i="31"/>
  <c r="J914" i="31"/>
  <c r="K914" i="31"/>
  <c r="L914" i="31"/>
  <c r="O914" i="31" a="1"/>
  <c r="O914" i="31" s="1"/>
  <c r="Y914" i="31" s="1"/>
  <c r="S914" i="31"/>
  <c r="T914" i="31" a="1"/>
  <c r="T914" i="31" s="1"/>
  <c r="V914" i="31"/>
  <c r="X914" i="31"/>
  <c r="B965" i="31" a="1"/>
  <c r="B965" i="31" s="1"/>
  <c r="C965" i="31"/>
  <c r="D965" i="31"/>
  <c r="E965" i="31"/>
  <c r="F965" i="31"/>
  <c r="G965" i="31"/>
  <c r="H965" i="31"/>
  <c r="I965" i="31"/>
  <c r="J965" i="31"/>
  <c r="K965" i="31"/>
  <c r="L965" i="31"/>
  <c r="O965" i="31" a="1"/>
  <c r="O965" i="31" s="1"/>
  <c r="Y965" i="31" s="1"/>
  <c r="T965" i="31" a="1"/>
  <c r="T965" i="31" s="1"/>
  <c r="V965" i="31"/>
  <c r="X965" i="31"/>
  <c r="B339" i="33" a="1"/>
  <c r="B339" i="33" s="1"/>
  <c r="E339" i="33" a="1"/>
  <c r="E339" i="33" s="1"/>
  <c r="F339" i="33" a="1"/>
  <c r="F339" i="33" s="1"/>
  <c r="G339" i="33" a="1"/>
  <c r="G339" i="33" s="1"/>
  <c r="H339" i="33"/>
  <c r="I339" i="33"/>
  <c r="L339" i="33" a="1"/>
  <c r="L339" i="33" s="1"/>
  <c r="M339" i="33"/>
  <c r="P339" i="33"/>
  <c r="B425" i="33" a="1"/>
  <c r="B425" i="33" s="1"/>
  <c r="E425" i="33" a="1"/>
  <c r="E425" i="33" s="1"/>
  <c r="F425" i="33" a="1"/>
  <c r="F425" i="33" s="1"/>
  <c r="G425" i="33" a="1"/>
  <c r="G425" i="33" s="1"/>
  <c r="H425" i="33"/>
  <c r="I425" i="33"/>
  <c r="L425" i="33" a="1"/>
  <c r="L425" i="33" s="1"/>
  <c r="M425" i="33"/>
  <c r="N425" i="33"/>
  <c r="P425" i="33"/>
  <c r="B971" i="31" a="1"/>
  <c r="B971" i="31" s="1"/>
  <c r="C971" i="31"/>
  <c r="D971" i="31"/>
  <c r="E971" i="31"/>
  <c r="F971" i="31"/>
  <c r="G971" i="31"/>
  <c r="H971" i="31"/>
  <c r="I971" i="31"/>
  <c r="J971" i="31"/>
  <c r="K971" i="31"/>
  <c r="L971" i="31"/>
  <c r="O971" i="31" a="1"/>
  <c r="O971" i="31" s="1"/>
  <c r="R971" i="31" s="1"/>
  <c r="S971" i="31"/>
  <c r="T971" i="31" a="1"/>
  <c r="T971" i="31" s="1"/>
  <c r="V971" i="31"/>
  <c r="X971" i="31"/>
  <c r="B978" i="31" a="1"/>
  <c r="B978" i="31" s="1"/>
  <c r="C978" i="31"/>
  <c r="D978" i="31"/>
  <c r="E978" i="31"/>
  <c r="F978" i="31"/>
  <c r="G978" i="31"/>
  <c r="H978" i="31"/>
  <c r="I978" i="31"/>
  <c r="J978" i="31"/>
  <c r="K978" i="31"/>
  <c r="L978" i="31"/>
  <c r="O978" i="31" a="1"/>
  <c r="O978" i="31" s="1"/>
  <c r="Y978" i="31" s="1"/>
  <c r="S978" i="31"/>
  <c r="T978" i="31" a="1"/>
  <c r="T978" i="31" s="1"/>
  <c r="V978" i="31"/>
  <c r="X978" i="31"/>
  <c r="B942" i="31" a="1"/>
  <c r="B942" i="31" s="1"/>
  <c r="C942" i="31"/>
  <c r="D942" i="31"/>
  <c r="E942" i="31"/>
  <c r="F942" i="31"/>
  <c r="G942" i="31"/>
  <c r="H942" i="31"/>
  <c r="I942" i="31"/>
  <c r="J942" i="31"/>
  <c r="K942" i="31"/>
  <c r="L942" i="31"/>
  <c r="O942" i="31" a="1"/>
  <c r="O942" i="31" s="1"/>
  <c r="Y942" i="31" s="1"/>
  <c r="S942" i="31"/>
  <c r="T942" i="31" a="1"/>
  <c r="T942" i="31" s="1"/>
  <c r="V942" i="31"/>
  <c r="X942" i="31"/>
  <c r="B959" i="31" a="1"/>
  <c r="B959" i="31" s="1"/>
  <c r="C959" i="31"/>
  <c r="D959" i="31"/>
  <c r="E959" i="31"/>
  <c r="F959" i="31"/>
  <c r="G959" i="31"/>
  <c r="H959" i="31"/>
  <c r="I959" i="31"/>
  <c r="J959" i="31"/>
  <c r="K959" i="31"/>
  <c r="L959" i="31"/>
  <c r="O959" i="31" a="1"/>
  <c r="O959" i="31" s="1"/>
  <c r="Y959" i="31" s="1"/>
  <c r="S959" i="31"/>
  <c r="T959" i="31" a="1"/>
  <c r="T959" i="31" s="1"/>
  <c r="V959" i="31"/>
  <c r="X959" i="31"/>
  <c r="B996" i="31" a="1"/>
  <c r="B996" i="31" s="1"/>
  <c r="C996" i="31"/>
  <c r="D996" i="31"/>
  <c r="E996" i="31"/>
  <c r="F996" i="31"/>
  <c r="G996" i="31"/>
  <c r="H996" i="31"/>
  <c r="I996" i="31"/>
  <c r="J996" i="31"/>
  <c r="K996" i="31"/>
  <c r="L996" i="31"/>
  <c r="O996" i="31" a="1"/>
  <c r="O996" i="31" s="1"/>
  <c r="Y996" i="31" s="1"/>
  <c r="S996" i="31"/>
  <c r="T996" i="31" a="1"/>
  <c r="T996" i="31" s="1"/>
  <c r="V996" i="31"/>
  <c r="X996" i="31"/>
  <c r="B999" i="31" a="1"/>
  <c r="B999" i="31" s="1"/>
  <c r="C999" i="31"/>
  <c r="D999" i="31"/>
  <c r="E999" i="31"/>
  <c r="F999" i="31"/>
  <c r="G999" i="31"/>
  <c r="H999" i="31"/>
  <c r="I999" i="31"/>
  <c r="J999" i="31"/>
  <c r="K999" i="31"/>
  <c r="L999" i="31"/>
  <c r="O999" i="31" a="1"/>
  <c r="O999" i="31" s="1"/>
  <c r="Q999" i="31" s="1"/>
  <c r="S999" i="31"/>
  <c r="T999" i="31" a="1"/>
  <c r="T999" i="31" s="1"/>
  <c r="V999" i="31"/>
  <c r="X999" i="31"/>
  <c r="B1004" i="31" a="1"/>
  <c r="B1004" i="31" s="1"/>
  <c r="C1004" i="31"/>
  <c r="D1004" i="31"/>
  <c r="E1004" i="31"/>
  <c r="F1004" i="31"/>
  <c r="G1004" i="31"/>
  <c r="H1004" i="31"/>
  <c r="I1004" i="31"/>
  <c r="J1004" i="31"/>
  <c r="K1004" i="31"/>
  <c r="L1004" i="31"/>
  <c r="O1004" i="31" a="1"/>
  <c r="O1004" i="31" s="1"/>
  <c r="Y1004" i="31" s="1"/>
  <c r="S1004" i="31"/>
  <c r="T1004" i="31" a="1"/>
  <c r="T1004" i="31" s="1"/>
  <c r="V1004" i="31"/>
  <c r="X1004" i="31"/>
  <c r="B938" i="31" a="1"/>
  <c r="B938" i="31" s="1"/>
  <c r="C938" i="31"/>
  <c r="D938" i="31"/>
  <c r="E938" i="31"/>
  <c r="F938" i="31"/>
  <c r="G938" i="31"/>
  <c r="H938" i="31"/>
  <c r="I938" i="31"/>
  <c r="J938" i="31"/>
  <c r="K938" i="31"/>
  <c r="L938" i="31"/>
  <c r="O938" i="31" a="1"/>
  <c r="O938" i="31" s="1"/>
  <c r="R938" i="31" s="1"/>
  <c r="S938" i="31"/>
  <c r="T938" i="31" a="1"/>
  <c r="T938" i="31" s="1"/>
  <c r="V938" i="31"/>
  <c r="X938" i="31"/>
  <c r="B930" i="31" a="1"/>
  <c r="B930" i="31" s="1"/>
  <c r="C930" i="31"/>
  <c r="D930" i="31"/>
  <c r="E930" i="31"/>
  <c r="F930" i="31"/>
  <c r="G930" i="31"/>
  <c r="H930" i="31"/>
  <c r="I930" i="31"/>
  <c r="J930" i="31"/>
  <c r="K930" i="31"/>
  <c r="L930" i="31"/>
  <c r="O930" i="31" a="1"/>
  <c r="O930" i="31" s="1"/>
  <c r="Y930" i="31" s="1"/>
  <c r="S930" i="31"/>
  <c r="T930" i="31" a="1"/>
  <c r="T930" i="31" s="1"/>
  <c r="V930" i="31"/>
  <c r="X930" i="31"/>
  <c r="B1020" i="31" a="1"/>
  <c r="B1020" i="31" s="1"/>
  <c r="C1020" i="31"/>
  <c r="D1020" i="31"/>
  <c r="E1020" i="31"/>
  <c r="F1020" i="31"/>
  <c r="G1020" i="31"/>
  <c r="H1020" i="31"/>
  <c r="I1020" i="31"/>
  <c r="J1020" i="31"/>
  <c r="K1020" i="31"/>
  <c r="L1020" i="31"/>
  <c r="O1020" i="31" a="1"/>
  <c r="O1020" i="31" s="1"/>
  <c r="Y1020" i="31" s="1"/>
  <c r="S1020" i="31"/>
  <c r="T1020" i="31" a="1"/>
  <c r="T1020" i="31" s="1"/>
  <c r="V1020" i="31"/>
  <c r="X1020" i="31"/>
  <c r="B995" i="31" a="1"/>
  <c r="B995" i="31" s="1"/>
  <c r="C995" i="31"/>
  <c r="D995" i="31"/>
  <c r="E995" i="31"/>
  <c r="F995" i="31"/>
  <c r="G995" i="31"/>
  <c r="H995" i="31"/>
  <c r="I995" i="31"/>
  <c r="J995" i="31"/>
  <c r="K995" i="31"/>
  <c r="L995" i="31"/>
  <c r="O995" i="31" a="1"/>
  <c r="O995" i="31" s="1"/>
  <c r="Y995" i="31" s="1"/>
  <c r="S995" i="31"/>
  <c r="T995" i="31" a="1"/>
  <c r="T995" i="31" s="1"/>
  <c r="V995" i="31"/>
  <c r="X995" i="31"/>
  <c r="C416" i="35" a="1"/>
  <c r="C416" i="35" s="1"/>
  <c r="F416" i="35"/>
  <c r="G416" i="35" s="1"/>
  <c r="J416" i="35"/>
  <c r="K416" i="35" s="1"/>
  <c r="Q416" i="35"/>
  <c r="C415" i="35" a="1"/>
  <c r="C415" i="35" s="1"/>
  <c r="F415" i="35"/>
  <c r="G415" i="35" s="1"/>
  <c r="J415" i="35"/>
  <c r="K415" i="35" s="1"/>
  <c r="Q415" i="35"/>
  <c r="C414" i="35" a="1"/>
  <c r="C414" i="35" s="1"/>
  <c r="F414" i="35"/>
  <c r="G414" i="35" s="1"/>
  <c r="J414" i="35"/>
  <c r="K414" i="35" s="1"/>
  <c r="Q414" i="35"/>
  <c r="C413" i="35" a="1"/>
  <c r="C413" i="35" s="1"/>
  <c r="F413" i="35"/>
  <c r="G413" i="35" s="1"/>
  <c r="J413" i="35"/>
  <c r="K413" i="35" s="1"/>
  <c r="Q413" i="35"/>
  <c r="B916" i="31" a="1"/>
  <c r="B916" i="31" s="1"/>
  <c r="C916" i="31"/>
  <c r="D916" i="31"/>
  <c r="E916" i="31"/>
  <c r="F916" i="31"/>
  <c r="G916" i="31"/>
  <c r="H916" i="31"/>
  <c r="I916" i="31"/>
  <c r="J916" i="31"/>
  <c r="K916" i="31"/>
  <c r="L916" i="31"/>
  <c r="O916" i="31" a="1"/>
  <c r="O916" i="31" s="1"/>
  <c r="Y916" i="31" s="1"/>
  <c r="S916" i="31"/>
  <c r="T916" i="31" a="1"/>
  <c r="T916" i="31" s="1"/>
  <c r="V916" i="31"/>
  <c r="X916" i="31"/>
  <c r="B904" i="31" a="1"/>
  <c r="B904" i="31" s="1"/>
  <c r="C904" i="31"/>
  <c r="D904" i="31"/>
  <c r="E904" i="31"/>
  <c r="F904" i="31"/>
  <c r="G904" i="31"/>
  <c r="H904" i="31"/>
  <c r="I904" i="31"/>
  <c r="J904" i="31"/>
  <c r="K904" i="31"/>
  <c r="L904" i="31"/>
  <c r="O904" i="31" a="1"/>
  <c r="O904" i="31" s="1"/>
  <c r="Y904" i="31" s="1"/>
  <c r="S904" i="31"/>
  <c r="T904" i="31" a="1"/>
  <c r="T904" i="31" s="1"/>
  <c r="V904" i="31"/>
  <c r="X904" i="31"/>
  <c r="B1003" i="31" a="1"/>
  <c r="B1003" i="31" s="1"/>
  <c r="D1003" i="31"/>
  <c r="G1003" i="31"/>
  <c r="H1003" i="31"/>
  <c r="I1003" i="31"/>
  <c r="J1003" i="31"/>
  <c r="K1003" i="31"/>
  <c r="L1003" i="31"/>
  <c r="O1003" i="31" a="1"/>
  <c r="O1003" i="31" s="1"/>
  <c r="Y1003" i="31" s="1"/>
  <c r="T1003" i="31" a="1"/>
  <c r="T1003" i="31" s="1"/>
  <c r="V1003" i="31"/>
  <c r="X1003" i="31"/>
  <c r="B909" i="31" a="1"/>
  <c r="B909" i="31" s="1"/>
  <c r="C909" i="31"/>
  <c r="D909" i="31"/>
  <c r="E909" i="31"/>
  <c r="F909" i="31"/>
  <c r="G909" i="31"/>
  <c r="H909" i="31"/>
  <c r="I909" i="31"/>
  <c r="J909" i="31"/>
  <c r="K909" i="31"/>
  <c r="L909" i="31"/>
  <c r="O909" i="31" a="1"/>
  <c r="O909" i="31" s="1"/>
  <c r="Y909" i="31" s="1"/>
  <c r="S909" i="31"/>
  <c r="T909" i="31" a="1"/>
  <c r="T909" i="31" s="1"/>
  <c r="V909" i="31"/>
  <c r="X909" i="31"/>
  <c r="B969" i="31" a="1"/>
  <c r="B969" i="31" s="1"/>
  <c r="C969" i="31"/>
  <c r="D969" i="31"/>
  <c r="E969" i="31"/>
  <c r="F969" i="31"/>
  <c r="G969" i="31"/>
  <c r="H969" i="31"/>
  <c r="I969" i="31"/>
  <c r="J969" i="31"/>
  <c r="K969" i="31"/>
  <c r="L969" i="31"/>
  <c r="O969" i="31" a="1"/>
  <c r="O969" i="31" s="1"/>
  <c r="Y969" i="31" s="1"/>
  <c r="S969" i="31"/>
  <c r="T969" i="31" a="1"/>
  <c r="T969" i="31" s="1"/>
  <c r="V969" i="31"/>
  <c r="X969" i="31"/>
  <c r="B912" i="31" a="1"/>
  <c r="B912" i="31" s="1"/>
  <c r="C912" i="31"/>
  <c r="D912" i="31"/>
  <c r="E912" i="31"/>
  <c r="F912" i="31"/>
  <c r="G912" i="31"/>
  <c r="H912" i="31"/>
  <c r="I912" i="31"/>
  <c r="J912" i="31"/>
  <c r="K912" i="31"/>
  <c r="L912" i="31"/>
  <c r="O912" i="31" a="1"/>
  <c r="O912" i="31" s="1"/>
  <c r="Y912" i="31" s="1"/>
  <c r="S912" i="31"/>
  <c r="T912" i="31" a="1"/>
  <c r="T912" i="31" s="1"/>
  <c r="V912" i="31"/>
  <c r="X912" i="31"/>
  <c r="B922" i="31" a="1"/>
  <c r="B922" i="31" s="1"/>
  <c r="C922" i="31"/>
  <c r="D922" i="31"/>
  <c r="E922" i="31"/>
  <c r="F922" i="31"/>
  <c r="G922" i="31"/>
  <c r="H922" i="31"/>
  <c r="I922" i="31"/>
  <c r="J922" i="31"/>
  <c r="K922" i="31"/>
  <c r="L922" i="31"/>
  <c r="O922" i="31" a="1"/>
  <c r="O922" i="31" s="1"/>
  <c r="Y922" i="31" s="1"/>
  <c r="S922" i="31"/>
  <c r="T922" i="31" a="1"/>
  <c r="T922" i="31" s="1"/>
  <c r="V922" i="31"/>
  <c r="X922" i="31"/>
  <c r="H175" i="6"/>
  <c r="J175" i="6" s="1"/>
  <c r="I175" i="6"/>
  <c r="K175" i="6" s="1"/>
  <c r="U175" i="6"/>
  <c r="H174" i="6"/>
  <c r="J174" i="6" s="1"/>
  <c r="I174" i="6"/>
  <c r="K174" i="6" s="1"/>
  <c r="U174" i="6"/>
  <c r="H173" i="6"/>
  <c r="J173" i="6" s="1"/>
  <c r="I173" i="6"/>
  <c r="K173" i="6" s="1"/>
  <c r="U173" i="6"/>
  <c r="H172" i="6"/>
  <c r="J172" i="6" s="1"/>
  <c r="I172" i="6"/>
  <c r="K172" i="6" s="1"/>
  <c r="U172" i="6"/>
  <c r="H171" i="6"/>
  <c r="J171" i="6" s="1"/>
  <c r="I171" i="6"/>
  <c r="K171" i="6" s="1"/>
  <c r="U171" i="6"/>
  <c r="H170" i="6"/>
  <c r="J170" i="6" s="1"/>
  <c r="I170" i="6"/>
  <c r="K170" i="6" s="1"/>
  <c r="U170" i="6"/>
  <c r="H169" i="6"/>
  <c r="J169" i="6" s="1"/>
  <c r="I169" i="6"/>
  <c r="K169" i="6" s="1"/>
  <c r="U169" i="6"/>
  <c r="B536" i="33" a="1"/>
  <c r="B536" i="33" s="1"/>
  <c r="E536" i="33" a="1"/>
  <c r="E536" i="33" s="1"/>
  <c r="F536" i="33" a="1"/>
  <c r="F536" i="33" s="1"/>
  <c r="G536" i="33" a="1"/>
  <c r="G536" i="33" s="1"/>
  <c r="H536" i="33"/>
  <c r="I536" i="33"/>
  <c r="L536" i="33" a="1"/>
  <c r="L536" i="33" s="1"/>
  <c r="P536" i="33"/>
  <c r="B977" i="31" a="1"/>
  <c r="B977" i="31" s="1"/>
  <c r="C977" i="31"/>
  <c r="D977" i="31"/>
  <c r="E977" i="31"/>
  <c r="F977" i="31"/>
  <c r="G977" i="31"/>
  <c r="H977" i="31"/>
  <c r="I977" i="31"/>
  <c r="J977" i="31"/>
  <c r="K977" i="31"/>
  <c r="L977" i="31"/>
  <c r="O977" i="31" a="1"/>
  <c r="O977" i="31" s="1"/>
  <c r="Y977" i="31" s="1"/>
  <c r="T977" i="31" a="1"/>
  <c r="T977" i="31" s="1"/>
  <c r="V977" i="31"/>
  <c r="X977" i="31"/>
  <c r="C206" i="31" a="1"/>
  <c r="C206" i="31" s="1"/>
  <c r="D206" i="31" a="1"/>
  <c r="D206" i="31" s="1"/>
  <c r="L206" i="31"/>
  <c r="Q206" i="31"/>
  <c r="R206" i="31"/>
  <c r="U206" i="31"/>
  <c r="V206" i="31"/>
  <c r="W206" i="31"/>
  <c r="AB206" i="31"/>
  <c r="AC206" i="31"/>
  <c r="AF206" i="31"/>
  <c r="C197" i="31" a="1"/>
  <c r="C197" i="31" s="1"/>
  <c r="D197" i="31" a="1"/>
  <c r="D197" i="31" s="1"/>
  <c r="L197" i="31"/>
  <c r="Q197" i="31"/>
  <c r="R197" i="31"/>
  <c r="U197" i="31"/>
  <c r="V197" i="31"/>
  <c r="W197" i="31"/>
  <c r="AB197" i="31"/>
  <c r="AC197" i="31"/>
  <c r="AF197" i="31"/>
  <c r="C412" i="35" a="1"/>
  <c r="C412" i="35" s="1"/>
  <c r="F412" i="35"/>
  <c r="G412" i="35" s="1"/>
  <c r="J412" i="35"/>
  <c r="K412" i="35" s="1"/>
  <c r="C411" i="35" a="1"/>
  <c r="C411" i="35" s="1"/>
  <c r="F411" i="35"/>
  <c r="G411" i="35" s="1"/>
  <c r="J411" i="35"/>
  <c r="K411" i="35" s="1"/>
  <c r="Q411" i="35"/>
  <c r="C237" i="31" a="1"/>
  <c r="C237" i="31" s="1"/>
  <c r="D237" i="31" a="1"/>
  <c r="D237" i="31" s="1"/>
  <c r="L237" i="31"/>
  <c r="Q237" i="31"/>
  <c r="R237" i="31"/>
  <c r="U237" i="31"/>
  <c r="V237" i="31"/>
  <c r="W237" i="31"/>
  <c r="AB237" i="31"/>
  <c r="AC237" i="31"/>
  <c r="AF237" i="31"/>
  <c r="C322" i="31" a="1"/>
  <c r="C322" i="31" s="1"/>
  <c r="D322" i="31" a="1"/>
  <c r="D322" i="31" s="1"/>
  <c r="L322" i="31"/>
  <c r="Q322" i="31"/>
  <c r="R322" i="31"/>
  <c r="U322" i="31"/>
  <c r="V322" i="31"/>
  <c r="W322" i="31"/>
  <c r="AB322" i="31"/>
  <c r="AC322" i="31"/>
  <c r="AF322" i="31"/>
  <c r="C321" i="31" a="1"/>
  <c r="C321" i="31" s="1"/>
  <c r="D321" i="31" a="1"/>
  <c r="D321" i="31" s="1"/>
  <c r="L321" i="31"/>
  <c r="Q321" i="31"/>
  <c r="R321" i="31"/>
  <c r="U321" i="31"/>
  <c r="V321" i="31"/>
  <c r="W321" i="31"/>
  <c r="AB321" i="31"/>
  <c r="AC321" i="31"/>
  <c r="AF321" i="31"/>
  <c r="C367" i="31" a="1"/>
  <c r="C367" i="31" s="1"/>
  <c r="D367" i="31" a="1"/>
  <c r="D367" i="31" s="1"/>
  <c r="L367" i="31"/>
  <c r="Q367" i="31"/>
  <c r="R367" i="31"/>
  <c r="U367" i="31"/>
  <c r="V367" i="31"/>
  <c r="W367" i="31"/>
  <c r="AB367" i="31"/>
  <c r="AC367" i="31"/>
  <c r="AF367" i="31"/>
  <c r="C366" i="31" a="1"/>
  <c r="C366" i="31" s="1"/>
  <c r="D366" i="31" a="1"/>
  <c r="D366" i="31" s="1"/>
  <c r="L366" i="31"/>
  <c r="Q366" i="31"/>
  <c r="R366" i="31"/>
  <c r="U366" i="31"/>
  <c r="V366" i="31"/>
  <c r="W366" i="31"/>
  <c r="AB366" i="31"/>
  <c r="AC366" i="31"/>
  <c r="AF366" i="31"/>
  <c r="C318" i="31" a="1"/>
  <c r="C318" i="31" s="1"/>
  <c r="D318" i="31" a="1"/>
  <c r="D318" i="31" s="1"/>
  <c r="L318" i="31"/>
  <c r="Q318" i="31"/>
  <c r="R318" i="31"/>
  <c r="U318" i="31"/>
  <c r="V318" i="31"/>
  <c r="W318" i="31"/>
  <c r="AB318" i="31"/>
  <c r="AC318" i="31"/>
  <c r="AF318" i="31"/>
  <c r="C317" i="31" a="1"/>
  <c r="C317" i="31" s="1"/>
  <c r="D317" i="31" a="1"/>
  <c r="D317" i="31" s="1"/>
  <c r="L317" i="31"/>
  <c r="Q317" i="31"/>
  <c r="R317" i="31"/>
  <c r="U317" i="31"/>
  <c r="V317" i="31"/>
  <c r="W317" i="31"/>
  <c r="AB317" i="31"/>
  <c r="AC317" i="31"/>
  <c r="AF317" i="31"/>
  <c r="B1018" i="31" a="1"/>
  <c r="B1018" i="31" s="1"/>
  <c r="C1018" i="31"/>
  <c r="D1018" i="31"/>
  <c r="E1018" i="31"/>
  <c r="F1018" i="31"/>
  <c r="G1018" i="31"/>
  <c r="H1018" i="31"/>
  <c r="I1018" i="31"/>
  <c r="J1018" i="31"/>
  <c r="K1018" i="31"/>
  <c r="L1018" i="31"/>
  <c r="O1018" i="31" a="1"/>
  <c r="O1018" i="31" s="1"/>
  <c r="Y1018" i="31" s="1"/>
  <c r="S1018" i="31"/>
  <c r="T1018" i="31" a="1"/>
  <c r="T1018" i="31" s="1"/>
  <c r="V1018" i="31"/>
  <c r="X1018" i="31"/>
  <c r="B940" i="31" a="1"/>
  <c r="B940" i="31" s="1"/>
  <c r="C940" i="31"/>
  <c r="D940" i="31"/>
  <c r="E940" i="31"/>
  <c r="F940" i="31"/>
  <c r="G940" i="31"/>
  <c r="H940" i="31"/>
  <c r="I940" i="31"/>
  <c r="J940" i="31"/>
  <c r="K940" i="31"/>
  <c r="L940" i="31"/>
  <c r="O940" i="31" a="1"/>
  <c r="O940" i="31" s="1"/>
  <c r="Y940" i="31" s="1"/>
  <c r="S940" i="31"/>
  <c r="T940" i="31" a="1"/>
  <c r="T940" i="31" s="1"/>
  <c r="V940" i="31"/>
  <c r="X940" i="31"/>
  <c r="C410" i="35" a="1"/>
  <c r="C410" i="35" s="1"/>
  <c r="F410" i="35"/>
  <c r="G410" i="35" s="1"/>
  <c r="J410" i="35"/>
  <c r="K410" i="35" s="1"/>
  <c r="Q410" i="35"/>
  <c r="B1011" i="31" a="1"/>
  <c r="B1011" i="31" s="1"/>
  <c r="D1011" i="31"/>
  <c r="G1011" i="31"/>
  <c r="H1011" i="31"/>
  <c r="I1011" i="31"/>
  <c r="J1011" i="31"/>
  <c r="K1011" i="31"/>
  <c r="L1011" i="31"/>
  <c r="O1011" i="31" a="1"/>
  <c r="O1011" i="31" s="1"/>
  <c r="Y1011" i="31" s="1"/>
  <c r="T1011" i="31" a="1"/>
  <c r="T1011" i="31" s="1"/>
  <c r="V1011" i="31"/>
  <c r="X1011" i="31"/>
  <c r="C316" i="31" a="1"/>
  <c r="C316" i="31" s="1"/>
  <c r="D316" i="31" a="1"/>
  <c r="D316" i="31" s="1"/>
  <c r="L316" i="31"/>
  <c r="Q316" i="31"/>
  <c r="R316" i="31"/>
  <c r="U316" i="31"/>
  <c r="V316" i="31"/>
  <c r="W316" i="31"/>
  <c r="AB316" i="31"/>
  <c r="AC316" i="31"/>
  <c r="AF316" i="31"/>
  <c r="B1015" i="31" a="1"/>
  <c r="B1015" i="31" s="1"/>
  <c r="C1015" i="31"/>
  <c r="D1015" i="31"/>
  <c r="E1015" i="31"/>
  <c r="F1015" i="31"/>
  <c r="G1015" i="31"/>
  <c r="H1015" i="31"/>
  <c r="I1015" i="31"/>
  <c r="J1015" i="31"/>
  <c r="K1015" i="31"/>
  <c r="L1015" i="31"/>
  <c r="O1015" i="31" a="1"/>
  <c r="O1015" i="31" s="1"/>
  <c r="Y1015" i="31" s="1"/>
  <c r="T1015" i="31" a="1"/>
  <c r="T1015" i="31" s="1"/>
  <c r="V1015" i="31"/>
  <c r="X1015" i="31"/>
  <c r="X925" i="31"/>
  <c r="X947" i="31"/>
  <c r="X911" i="31"/>
  <c r="X986" i="31"/>
  <c r="X941" i="31"/>
  <c r="X958" i="31"/>
  <c r="X952" i="31"/>
  <c r="X987" i="31"/>
  <c r="X939" i="31"/>
  <c r="X1013" i="31"/>
  <c r="X926" i="31"/>
  <c r="X1022" i="31"/>
  <c r="X979" i="31"/>
  <c r="X992" i="31"/>
  <c r="X982" i="31"/>
  <c r="X1005" i="31"/>
  <c r="X943" i="31"/>
  <c r="X933" i="31"/>
  <c r="X972" i="31"/>
  <c r="X997" i="31"/>
  <c r="X970" i="31"/>
  <c r="X1000" i="31"/>
  <c r="X919" i="31"/>
  <c r="X981" i="31"/>
  <c r="X983" i="31"/>
  <c r="X957" i="31"/>
  <c r="X927" i="31"/>
  <c r="X928" i="31"/>
  <c r="X929" i="31"/>
  <c r="X956" i="31"/>
  <c r="X923" i="31"/>
  <c r="X907" i="31"/>
  <c r="X1001" i="31"/>
  <c r="X924" i="31"/>
  <c r="X917" i="31"/>
  <c r="X949" i="31"/>
  <c r="X980" i="31"/>
  <c r="X944" i="31"/>
  <c r="X953" i="31"/>
  <c r="X951" i="31"/>
  <c r="X976" i="31"/>
  <c r="X934" i="31"/>
  <c r="X1009" i="31"/>
  <c r="X955" i="31"/>
  <c r="X920" i="31"/>
  <c r="X950" i="31"/>
  <c r="X936" i="31"/>
  <c r="X908" i="31"/>
  <c r="X967" i="31"/>
  <c r="X913" i="31"/>
  <c r="X991" i="31"/>
  <c r="X966" i="31"/>
  <c r="X1002" i="31"/>
  <c r="B358" i="33" a="1"/>
  <c r="B358" i="33" s="1"/>
  <c r="E358" i="33" a="1"/>
  <c r="E358" i="33" s="1"/>
  <c r="F358" i="33" a="1"/>
  <c r="F358" i="33" s="1"/>
  <c r="G358" i="33" a="1"/>
  <c r="G358" i="33" s="1"/>
  <c r="H358" i="33"/>
  <c r="I358" i="33"/>
  <c r="L358" i="33" a="1"/>
  <c r="L358" i="33" s="1"/>
  <c r="M358" i="33"/>
  <c r="N358" i="33"/>
  <c r="P358" i="33"/>
  <c r="B1002" i="31" a="1"/>
  <c r="B1002" i="31" s="1"/>
  <c r="C1002" i="31"/>
  <c r="D1002" i="31"/>
  <c r="E1002" i="31"/>
  <c r="F1002" i="31"/>
  <c r="G1002" i="31"/>
  <c r="H1002" i="31"/>
  <c r="I1002" i="31"/>
  <c r="J1002" i="31"/>
  <c r="K1002" i="31"/>
  <c r="L1002" i="31"/>
  <c r="O1002" i="31" a="1"/>
  <c r="O1002" i="31" s="1"/>
  <c r="Y1002" i="31" s="1"/>
  <c r="S1002" i="31"/>
  <c r="T1002" i="31" a="1"/>
  <c r="T1002" i="31" s="1"/>
  <c r="V1002" i="31"/>
  <c r="B966" i="31" a="1"/>
  <c r="B966" i="31" s="1"/>
  <c r="C966" i="31"/>
  <c r="D966" i="31"/>
  <c r="E966" i="31"/>
  <c r="F966" i="31"/>
  <c r="G966" i="31"/>
  <c r="H966" i="31"/>
  <c r="I966" i="31"/>
  <c r="J966" i="31"/>
  <c r="K966" i="31"/>
  <c r="L966" i="31"/>
  <c r="O966" i="31" a="1"/>
  <c r="O966" i="31" s="1"/>
  <c r="Y966" i="31" s="1"/>
  <c r="S966" i="31"/>
  <c r="T966" i="31" a="1"/>
  <c r="T966" i="31" s="1"/>
  <c r="V966" i="31"/>
  <c r="B991" i="31" a="1"/>
  <c r="B991" i="31" s="1"/>
  <c r="C991" i="31"/>
  <c r="D991" i="31"/>
  <c r="E991" i="31"/>
  <c r="F991" i="31"/>
  <c r="G991" i="31"/>
  <c r="H991" i="31"/>
  <c r="I991" i="31"/>
  <c r="J991" i="31"/>
  <c r="K991" i="31"/>
  <c r="L991" i="31"/>
  <c r="O991" i="31" a="1"/>
  <c r="O991" i="31" s="1"/>
  <c r="Y991" i="31" s="1"/>
  <c r="S991" i="31"/>
  <c r="T991" i="31" a="1"/>
  <c r="T991" i="31" s="1"/>
  <c r="V991" i="31"/>
  <c r="B455" i="33" a="1"/>
  <c r="B455" i="33" s="1"/>
  <c r="E455" i="33" a="1"/>
  <c r="E455" i="33" s="1"/>
  <c r="F455" i="33" a="1"/>
  <c r="F455" i="33" s="1"/>
  <c r="G455" i="33" a="1"/>
  <c r="G455" i="33" s="1"/>
  <c r="H455" i="33"/>
  <c r="I455" i="33"/>
  <c r="L455" i="33" a="1"/>
  <c r="L455" i="33" s="1"/>
  <c r="M455" i="33"/>
  <c r="N455" i="33"/>
  <c r="P455" i="33"/>
  <c r="B370" i="33" a="1"/>
  <c r="B370" i="33" s="1"/>
  <c r="E370" i="33" a="1"/>
  <c r="E370" i="33" s="1"/>
  <c r="F370" i="33" a="1"/>
  <c r="F370" i="33" s="1"/>
  <c r="G370" i="33" a="1"/>
  <c r="G370" i="33" s="1"/>
  <c r="H370" i="33"/>
  <c r="I370" i="33"/>
  <c r="L370" i="33" a="1"/>
  <c r="L370" i="33" s="1"/>
  <c r="M370" i="33"/>
  <c r="N370" i="33"/>
  <c r="P370" i="33"/>
  <c r="C315" i="31" a="1"/>
  <c r="C315" i="31" s="1"/>
  <c r="D315" i="31" a="1"/>
  <c r="D315" i="31" s="1"/>
  <c r="L315" i="31"/>
  <c r="Q315" i="31"/>
  <c r="R315" i="31"/>
  <c r="U315" i="31"/>
  <c r="V315" i="31"/>
  <c r="W315" i="31"/>
  <c r="AB315" i="31"/>
  <c r="AC315" i="31"/>
  <c r="AF315" i="31"/>
  <c r="F407" i="35"/>
  <c r="G407" i="35" s="1"/>
  <c r="C409" i="35" a="1"/>
  <c r="C409" i="35" s="1"/>
  <c r="F409" i="35"/>
  <c r="G409" i="35" s="1"/>
  <c r="J409" i="35"/>
  <c r="K409" i="35" s="1"/>
  <c r="Q409" i="35"/>
  <c r="C314" i="31" a="1"/>
  <c r="C314" i="31" s="1"/>
  <c r="D314" i="31" a="1"/>
  <c r="D314" i="31" s="1"/>
  <c r="L314" i="31"/>
  <c r="Q314" i="31"/>
  <c r="R314" i="31"/>
  <c r="U314" i="31"/>
  <c r="V314" i="31"/>
  <c r="W314" i="31"/>
  <c r="AB314" i="31"/>
  <c r="AC314" i="31"/>
  <c r="AF314" i="31"/>
  <c r="C313" i="31" a="1"/>
  <c r="C313" i="31" s="1"/>
  <c r="D313" i="31" a="1"/>
  <c r="D313" i="31" s="1"/>
  <c r="L313" i="31"/>
  <c r="Q313" i="31"/>
  <c r="R313" i="31"/>
  <c r="U313" i="31"/>
  <c r="V313" i="31"/>
  <c r="W313" i="31"/>
  <c r="AB313" i="31"/>
  <c r="AC313" i="31"/>
  <c r="AF313" i="31"/>
  <c r="C312" i="31" a="1"/>
  <c r="C312" i="31" s="1"/>
  <c r="D312" i="31" a="1"/>
  <c r="D312" i="31" s="1"/>
  <c r="L312" i="31"/>
  <c r="Q312" i="31"/>
  <c r="R312" i="31"/>
  <c r="U312" i="31"/>
  <c r="V312" i="31"/>
  <c r="W312" i="31"/>
  <c r="AB312" i="31"/>
  <c r="AC312" i="31"/>
  <c r="AF312" i="31"/>
  <c r="C311" i="31" a="1"/>
  <c r="C311" i="31" s="1"/>
  <c r="D311" i="31" a="1"/>
  <c r="D311" i="31" s="1"/>
  <c r="L311" i="31"/>
  <c r="Q311" i="31"/>
  <c r="R311" i="31"/>
  <c r="U311" i="31"/>
  <c r="V311" i="31"/>
  <c r="W311" i="31"/>
  <c r="AB311" i="31"/>
  <c r="AC311" i="31"/>
  <c r="AF311" i="31"/>
  <c r="C163" i="31" a="1"/>
  <c r="C163" i="31" s="1"/>
  <c r="D163" i="31" a="1"/>
  <c r="D163" i="31" s="1"/>
  <c r="L163" i="31"/>
  <c r="Q163" i="31"/>
  <c r="R163" i="31"/>
  <c r="U163" i="31"/>
  <c r="V163" i="31"/>
  <c r="W163" i="31"/>
  <c r="AB163" i="31"/>
  <c r="AC163" i="31"/>
  <c r="AF163" i="31"/>
  <c r="H168" i="6"/>
  <c r="J168" i="6" s="1"/>
  <c r="I168" i="6"/>
  <c r="K168" i="6" s="1"/>
  <c r="U168" i="6"/>
  <c r="B483" i="33" a="1"/>
  <c r="B483" i="33" s="1"/>
  <c r="E483" i="33" a="1"/>
  <c r="E483" i="33" s="1"/>
  <c r="F483" i="33" a="1"/>
  <c r="F483" i="33" s="1"/>
  <c r="G483" i="33" a="1"/>
  <c r="G483" i="33" s="1"/>
  <c r="H483" i="33"/>
  <c r="I483" i="33"/>
  <c r="L483" i="33" a="1"/>
  <c r="L483" i="33" s="1"/>
  <c r="M483" i="33"/>
  <c r="N483" i="33"/>
  <c r="E36" i="40" s="1"/>
  <c r="P483" i="33"/>
  <c r="C408" i="35" a="1"/>
  <c r="C408" i="35" s="1"/>
  <c r="F408" i="35"/>
  <c r="G408" i="35" s="1"/>
  <c r="J408" i="35"/>
  <c r="K408" i="35" s="1"/>
  <c r="Q408" i="35"/>
  <c r="C407" i="35" a="1"/>
  <c r="C407" i="35" s="1"/>
  <c r="J407" i="35"/>
  <c r="K407" i="35" s="1"/>
  <c r="Q407" i="35"/>
  <c r="C159" i="31" a="1"/>
  <c r="C159" i="31" s="1"/>
  <c r="D159" i="31" a="1"/>
  <c r="D159" i="31" s="1"/>
  <c r="L159" i="31"/>
  <c r="Q159" i="31"/>
  <c r="R159" i="31"/>
  <c r="U159" i="31"/>
  <c r="V159" i="31"/>
  <c r="W159" i="31"/>
  <c r="AB159" i="31"/>
  <c r="AC159" i="31"/>
  <c r="AF159" i="31"/>
  <c r="C157" i="31" a="1"/>
  <c r="C157" i="31" s="1"/>
  <c r="D157" i="31" a="1"/>
  <c r="D157" i="31" s="1"/>
  <c r="L157" i="31"/>
  <c r="Q157" i="31"/>
  <c r="R157" i="31"/>
  <c r="U157" i="31"/>
  <c r="V157" i="31"/>
  <c r="W157" i="31"/>
  <c r="AB157" i="31"/>
  <c r="AC157" i="31"/>
  <c r="AF157" i="31"/>
  <c r="C188" i="31" a="1"/>
  <c r="C188" i="31" s="1"/>
  <c r="D188" i="31" a="1"/>
  <c r="D188" i="31" s="1"/>
  <c r="L188" i="31"/>
  <c r="Q188" i="31"/>
  <c r="R188" i="31"/>
  <c r="U188" i="31"/>
  <c r="V188" i="31"/>
  <c r="W188" i="31"/>
  <c r="AB188" i="31"/>
  <c r="AC188" i="31"/>
  <c r="AF188" i="31"/>
  <c r="C406" i="35" a="1"/>
  <c r="C406" i="35" s="1"/>
  <c r="F406" i="35"/>
  <c r="J406" i="35"/>
  <c r="Q406" i="35"/>
  <c r="C405" i="35" a="1"/>
  <c r="C405" i="35" s="1"/>
  <c r="F405" i="35"/>
  <c r="G405" i="35" s="1"/>
  <c r="J405" i="35"/>
  <c r="K405" i="35" s="1"/>
  <c r="Q405" i="35"/>
  <c r="C404" i="35" a="1"/>
  <c r="C404" i="35" s="1"/>
  <c r="F404" i="35"/>
  <c r="G404" i="35" s="1"/>
  <c r="J404" i="35"/>
  <c r="K404" i="35" s="1"/>
  <c r="Q404" i="35"/>
  <c r="C403" i="35" a="1"/>
  <c r="C403" i="35" s="1"/>
  <c r="F403" i="35"/>
  <c r="H2026" i="35" s="1"/>
  <c r="J403" i="35"/>
  <c r="Q403" i="35"/>
  <c r="B39" i="33" a="1"/>
  <c r="B39" i="33" s="1"/>
  <c r="E39" i="33" a="1"/>
  <c r="E39" i="33" s="1"/>
  <c r="F39" i="33" a="1"/>
  <c r="F39" i="33" s="1"/>
  <c r="G39" i="33" a="1"/>
  <c r="G39" i="33" s="1"/>
  <c r="L39" i="33" a="1"/>
  <c r="L39" i="33" s="1"/>
  <c r="M39" i="33"/>
  <c r="N39" i="33"/>
  <c r="P39" i="33"/>
  <c r="C402" i="35" a="1"/>
  <c r="C402" i="35" s="1"/>
  <c r="F402" i="35"/>
  <c r="G402" i="35" s="1"/>
  <c r="J402" i="35"/>
  <c r="K402" i="35" s="1"/>
  <c r="Q402" i="35"/>
  <c r="C401" i="35" a="1"/>
  <c r="C401" i="35" s="1"/>
  <c r="F401" i="35"/>
  <c r="J401" i="35"/>
  <c r="Q401" i="35"/>
  <c r="C400" i="35" a="1"/>
  <c r="C400" i="35" s="1"/>
  <c r="F400" i="35"/>
  <c r="G400" i="35" s="1"/>
  <c r="J400" i="35"/>
  <c r="K400" i="35" s="1"/>
  <c r="Q400" i="35"/>
  <c r="H167" i="6"/>
  <c r="J167" i="6" s="1"/>
  <c r="I167" i="6"/>
  <c r="K167" i="6" s="1"/>
  <c r="U167" i="6"/>
  <c r="C68" i="31" a="1"/>
  <c r="C68" i="31" s="1"/>
  <c r="D68" i="31" a="1"/>
  <c r="D68" i="31" s="1"/>
  <c r="L68" i="31"/>
  <c r="Q68" i="31"/>
  <c r="R68" i="31"/>
  <c r="U68" i="31"/>
  <c r="V68" i="31"/>
  <c r="W68" i="31"/>
  <c r="AB68" i="31"/>
  <c r="AC68" i="31"/>
  <c r="AF68" i="31"/>
  <c r="C54" i="31" a="1"/>
  <c r="C54" i="31" s="1"/>
  <c r="D54" i="31" a="1"/>
  <c r="D54" i="31" s="1"/>
  <c r="L54" i="31"/>
  <c r="Q54" i="31"/>
  <c r="R54" i="31"/>
  <c r="U54" i="31"/>
  <c r="V54" i="31"/>
  <c r="W54" i="31"/>
  <c r="AB54" i="31"/>
  <c r="AC54" i="31"/>
  <c r="AF54" i="31"/>
  <c r="C156" i="31" a="1"/>
  <c r="C156" i="31" s="1"/>
  <c r="D156" i="31" a="1"/>
  <c r="D156" i="31" s="1"/>
  <c r="L156" i="31"/>
  <c r="Q156" i="31"/>
  <c r="R156" i="31"/>
  <c r="U156" i="31"/>
  <c r="V156" i="31"/>
  <c r="W156" i="31"/>
  <c r="AB156" i="31"/>
  <c r="AC156" i="31"/>
  <c r="AF156" i="31"/>
  <c r="C230" i="31" a="1"/>
  <c r="C230" i="31" s="1"/>
  <c r="D230" i="31" a="1"/>
  <c r="D230" i="31" s="1"/>
  <c r="L230" i="31"/>
  <c r="Q230" i="31"/>
  <c r="R230" i="31"/>
  <c r="U230" i="31"/>
  <c r="V230" i="31"/>
  <c r="W230" i="31"/>
  <c r="AB230" i="31"/>
  <c r="AC230" i="31"/>
  <c r="AF230" i="31"/>
  <c r="B213" i="33" a="1"/>
  <c r="B213" i="33" s="1"/>
  <c r="E213" i="33" a="1"/>
  <c r="E213" i="33" s="1"/>
  <c r="F213" i="33" a="1"/>
  <c r="F213" i="33" s="1"/>
  <c r="G213" i="33" a="1"/>
  <c r="G213" i="33" s="1"/>
  <c r="L213" i="33" a="1"/>
  <c r="L213" i="33" s="1"/>
  <c r="M213" i="33"/>
  <c r="P213" i="33"/>
  <c r="C399" i="35" a="1"/>
  <c r="C399" i="35" s="1"/>
  <c r="F399" i="35"/>
  <c r="G399" i="35" s="1"/>
  <c r="J399" i="35"/>
  <c r="K399" i="35" s="1"/>
  <c r="Q399" i="35"/>
  <c r="H166" i="6"/>
  <c r="J166" i="6" s="1"/>
  <c r="N166" i="6" s="1"/>
  <c r="I166" i="6"/>
  <c r="K166" i="6" s="1"/>
  <c r="O166" i="6" s="1"/>
  <c r="U166" i="6"/>
  <c r="B913" i="31" a="1"/>
  <c r="B913" i="31" s="1"/>
  <c r="C913" i="31"/>
  <c r="D913" i="31"/>
  <c r="E913" i="31"/>
  <c r="F913" i="31"/>
  <c r="G913" i="31"/>
  <c r="H913" i="31"/>
  <c r="I913" i="31"/>
  <c r="J913" i="31"/>
  <c r="K913" i="31"/>
  <c r="L913" i="31"/>
  <c r="O913" i="31" a="1"/>
  <c r="O913" i="31" s="1"/>
  <c r="Y913" i="31" s="1"/>
  <c r="S913" i="31"/>
  <c r="T913" i="31" a="1"/>
  <c r="T913" i="31" s="1"/>
  <c r="V913" i="31"/>
  <c r="C288" i="31" a="1"/>
  <c r="C288" i="31" s="1"/>
  <c r="D288" i="31" a="1"/>
  <c r="D288" i="31" s="1"/>
  <c r="L288" i="31"/>
  <c r="Q288" i="31"/>
  <c r="R288" i="31"/>
  <c r="U288" i="31"/>
  <c r="V288" i="31"/>
  <c r="W288" i="31"/>
  <c r="AB288" i="31"/>
  <c r="AC288" i="31"/>
  <c r="AF288" i="31"/>
  <c r="C287" i="31" a="1"/>
  <c r="C287" i="31" s="1"/>
  <c r="D287" i="31" a="1"/>
  <c r="D287" i="31" s="1"/>
  <c r="L287" i="31"/>
  <c r="Q287" i="31"/>
  <c r="R287" i="31"/>
  <c r="U287" i="31"/>
  <c r="V287" i="31"/>
  <c r="W287" i="31"/>
  <c r="AB287" i="31"/>
  <c r="AC287" i="31"/>
  <c r="AF287" i="31"/>
  <c r="B967" i="31" a="1"/>
  <c r="B967" i="31" s="1"/>
  <c r="C967" i="31"/>
  <c r="D967" i="31"/>
  <c r="E967" i="31"/>
  <c r="F967" i="31"/>
  <c r="G967" i="31"/>
  <c r="H967" i="31"/>
  <c r="I967" i="31"/>
  <c r="J967" i="31"/>
  <c r="K967" i="31"/>
  <c r="L967" i="31"/>
  <c r="S967" i="31"/>
  <c r="T967" i="31" a="1"/>
  <c r="T967" i="31" s="1"/>
  <c r="V967" i="31"/>
  <c r="B58" i="33" a="1"/>
  <c r="B58" i="33" s="1"/>
  <c r="E58" i="33" a="1"/>
  <c r="E58" i="33" s="1"/>
  <c r="F58" i="33" a="1"/>
  <c r="F58" i="33" s="1"/>
  <c r="G58" i="33" a="1"/>
  <c r="G58" i="33" s="1"/>
  <c r="L58" i="33" a="1"/>
  <c r="L58" i="33" s="1"/>
  <c r="M58" i="33"/>
  <c r="N58" i="33"/>
  <c r="P58" i="33"/>
  <c r="B908" i="31" a="1"/>
  <c r="B908" i="31" s="1"/>
  <c r="C908" i="31"/>
  <c r="D908" i="31"/>
  <c r="E908" i="31"/>
  <c r="F908" i="31"/>
  <c r="G908" i="31"/>
  <c r="H908" i="31"/>
  <c r="I908" i="31"/>
  <c r="J908" i="31"/>
  <c r="K908" i="31"/>
  <c r="L908" i="31"/>
  <c r="O908" i="31" a="1"/>
  <c r="O908" i="31" s="1"/>
  <c r="Y908" i="31" s="1"/>
  <c r="S908" i="31"/>
  <c r="T908" i="31" a="1"/>
  <c r="T908" i="31" s="1"/>
  <c r="V908" i="31"/>
  <c r="B936" i="31" a="1"/>
  <c r="B936" i="31" s="1"/>
  <c r="C936" i="31"/>
  <c r="D936" i="31"/>
  <c r="E936" i="31"/>
  <c r="F936" i="31"/>
  <c r="G936" i="31"/>
  <c r="H936" i="31"/>
  <c r="I936" i="31"/>
  <c r="J936" i="31"/>
  <c r="K936" i="31"/>
  <c r="L936" i="31"/>
  <c r="O936" i="31" a="1"/>
  <c r="O936" i="31" s="1"/>
  <c r="Y936" i="31" s="1"/>
  <c r="S936" i="31"/>
  <c r="T936" i="31" a="1"/>
  <c r="T936" i="31" s="1"/>
  <c r="V936" i="31"/>
  <c r="B291" i="33" a="1"/>
  <c r="B291" i="33" s="1"/>
  <c r="E291" i="33" a="1"/>
  <c r="E291" i="33" s="1"/>
  <c r="F291" i="33" a="1"/>
  <c r="F291" i="33" s="1"/>
  <c r="G291" i="33" a="1"/>
  <c r="G291" i="33" s="1"/>
  <c r="L291" i="33" a="1"/>
  <c r="L291" i="33" s="1"/>
  <c r="M291" i="33"/>
  <c r="N291" i="33"/>
  <c r="P291" i="33"/>
  <c r="C398" i="35" a="1"/>
  <c r="C398" i="35" s="1"/>
  <c r="F398" i="35"/>
  <c r="H929" i="35" s="1"/>
  <c r="J398" i="35"/>
  <c r="L929" i="35" s="1"/>
  <c r="Q398" i="35"/>
  <c r="C397" i="35" a="1"/>
  <c r="C397" i="35" s="1"/>
  <c r="F397" i="35"/>
  <c r="G397" i="35" s="1"/>
  <c r="J397" i="35"/>
  <c r="K397" i="35" s="1"/>
  <c r="Q397" i="35"/>
  <c r="C396" i="35" a="1"/>
  <c r="C396" i="35" s="1"/>
  <c r="F396" i="35"/>
  <c r="G396" i="35" s="1"/>
  <c r="J396" i="35"/>
  <c r="K396" i="35" s="1"/>
  <c r="Q396" i="35"/>
  <c r="B443" i="33" a="1"/>
  <c r="B443" i="33" s="1"/>
  <c r="E443" i="33" a="1"/>
  <c r="E443" i="33" s="1"/>
  <c r="F443" i="33" a="1"/>
  <c r="F443" i="33" s="1"/>
  <c r="G443" i="33" a="1"/>
  <c r="G443" i="33" s="1"/>
  <c r="L443" i="33" a="1"/>
  <c r="L443" i="33" s="1"/>
  <c r="M443" i="33"/>
  <c r="N443" i="33"/>
  <c r="P443" i="33"/>
  <c r="C395" i="35" a="1"/>
  <c r="C395" i="35" s="1"/>
  <c r="F395" i="35"/>
  <c r="G395" i="35" s="1"/>
  <c r="J395" i="35"/>
  <c r="K395" i="35" s="1"/>
  <c r="Q395" i="35"/>
  <c r="C394" i="35" a="1"/>
  <c r="C394" i="35" s="1"/>
  <c r="F394" i="35"/>
  <c r="G394" i="35" s="1"/>
  <c r="J394" i="35"/>
  <c r="K394" i="35" s="1"/>
  <c r="Q394" i="35"/>
  <c r="C393" i="35" a="1"/>
  <c r="C393" i="35" s="1"/>
  <c r="F393" i="35"/>
  <c r="G393" i="35" s="1"/>
  <c r="J393" i="35"/>
  <c r="K393" i="35" s="1"/>
  <c r="B459" i="33" a="1"/>
  <c r="B459" i="33" s="1"/>
  <c r="E459" i="33" a="1"/>
  <c r="E459" i="33" s="1"/>
  <c r="F459" i="33" a="1"/>
  <c r="F459" i="33" s="1"/>
  <c r="G459" i="33" a="1"/>
  <c r="G459" i="33" s="1"/>
  <c r="L459" i="33" a="1"/>
  <c r="L459" i="33" s="1"/>
  <c r="M459" i="33"/>
  <c r="N459" i="33"/>
  <c r="P459" i="33"/>
  <c r="C286" i="31" a="1"/>
  <c r="C286" i="31" s="1"/>
  <c r="D286" i="31" a="1"/>
  <c r="D286" i="31" s="1"/>
  <c r="L286" i="31"/>
  <c r="Q286" i="31"/>
  <c r="R286" i="31"/>
  <c r="U286" i="31"/>
  <c r="V286" i="31"/>
  <c r="W286" i="31"/>
  <c r="AB286" i="31"/>
  <c r="AC286" i="31"/>
  <c r="AF286" i="31"/>
  <c r="C283" i="31" a="1"/>
  <c r="C283" i="31" s="1"/>
  <c r="D283" i="31" a="1"/>
  <c r="D283" i="31" s="1"/>
  <c r="L283" i="31"/>
  <c r="Q283" i="31"/>
  <c r="R283" i="31"/>
  <c r="U283" i="31"/>
  <c r="V283" i="31"/>
  <c r="W283" i="31"/>
  <c r="AB283" i="31"/>
  <c r="AC283" i="31"/>
  <c r="AF283" i="31"/>
  <c r="C298" i="31" a="1"/>
  <c r="C298" i="31" s="1"/>
  <c r="D298" i="31" a="1"/>
  <c r="D298" i="31" s="1"/>
  <c r="L298" i="31"/>
  <c r="Q298" i="31"/>
  <c r="R298" i="31"/>
  <c r="U298" i="31"/>
  <c r="V298" i="31"/>
  <c r="W298" i="31"/>
  <c r="AB298" i="31"/>
  <c r="AC298" i="31"/>
  <c r="AF298" i="31"/>
  <c r="C297" i="31" a="1"/>
  <c r="C297" i="31" s="1"/>
  <c r="D297" i="31" a="1"/>
  <c r="D297" i="31" s="1"/>
  <c r="L297" i="31"/>
  <c r="Q297" i="31"/>
  <c r="R297" i="31"/>
  <c r="U297" i="31"/>
  <c r="V297" i="31"/>
  <c r="W297" i="31"/>
  <c r="AB297" i="31"/>
  <c r="AC297" i="31"/>
  <c r="AF297" i="31"/>
  <c r="C291" i="31" a="1"/>
  <c r="C291" i="31" s="1"/>
  <c r="D291" i="31" a="1"/>
  <c r="D291" i="31" s="1"/>
  <c r="L291" i="31"/>
  <c r="Q291" i="31"/>
  <c r="R291" i="31"/>
  <c r="U291" i="31"/>
  <c r="V291" i="31"/>
  <c r="W291" i="31"/>
  <c r="AB291" i="31"/>
  <c r="AC291" i="31"/>
  <c r="AF291" i="31"/>
  <c r="C282" i="31" a="1"/>
  <c r="C282" i="31" s="1"/>
  <c r="D282" i="31" a="1"/>
  <c r="D282" i="31" s="1"/>
  <c r="L282" i="31"/>
  <c r="Q282" i="31"/>
  <c r="R282" i="31"/>
  <c r="U282" i="31"/>
  <c r="V282" i="31"/>
  <c r="W282" i="31"/>
  <c r="AB282" i="31"/>
  <c r="AC282" i="31"/>
  <c r="AF282" i="31"/>
  <c r="C392" i="35" a="1"/>
  <c r="C392" i="35" s="1"/>
  <c r="F392" i="35"/>
  <c r="G392" i="35" s="1"/>
  <c r="J392" i="35"/>
  <c r="K392" i="35" s="1"/>
  <c r="Q392" i="35"/>
  <c r="C391" i="35" a="1"/>
  <c r="C391" i="35" s="1"/>
  <c r="F391" i="35"/>
  <c r="G391" i="35" s="1"/>
  <c r="J391" i="35"/>
  <c r="K391" i="35" s="1"/>
  <c r="Q391" i="35"/>
  <c r="C267" i="31" a="1"/>
  <c r="C267" i="31" s="1"/>
  <c r="D267" i="31" a="1"/>
  <c r="D267" i="31" s="1"/>
  <c r="L267" i="31"/>
  <c r="Q267" i="31"/>
  <c r="R267" i="31"/>
  <c r="U267" i="31"/>
  <c r="V267" i="31"/>
  <c r="W267" i="31"/>
  <c r="AB267" i="31"/>
  <c r="AC267" i="31"/>
  <c r="AF267" i="31"/>
  <c r="C294" i="31" a="1"/>
  <c r="C294" i="31" s="1"/>
  <c r="D294" i="31" a="1"/>
  <c r="D294" i="31" s="1"/>
  <c r="L294" i="31"/>
  <c r="Q294" i="31"/>
  <c r="R294" i="31"/>
  <c r="U294" i="31"/>
  <c r="V294" i="31"/>
  <c r="W294" i="31"/>
  <c r="AB294" i="31"/>
  <c r="AC294" i="31"/>
  <c r="AF294" i="31"/>
  <c r="C279" i="31" a="1"/>
  <c r="C279" i="31" s="1"/>
  <c r="D279" i="31" a="1"/>
  <c r="D279" i="31" s="1"/>
  <c r="L279" i="31"/>
  <c r="Q279" i="31"/>
  <c r="R279" i="31"/>
  <c r="U279" i="31"/>
  <c r="V279" i="31"/>
  <c r="W279" i="31"/>
  <c r="AB279" i="31"/>
  <c r="AC279" i="31"/>
  <c r="AF279" i="31"/>
  <c r="K947" i="31"/>
  <c r="K911" i="31"/>
  <c r="K986" i="31"/>
  <c r="K941" i="31"/>
  <c r="K958" i="31"/>
  <c r="K952" i="31"/>
  <c r="K987" i="31"/>
  <c r="K1013" i="31"/>
  <c r="K926" i="31"/>
  <c r="K979" i="31"/>
  <c r="K992" i="31"/>
  <c r="K982" i="31"/>
  <c r="K1005" i="31"/>
  <c r="K943" i="31"/>
  <c r="K933" i="31"/>
  <c r="K972" i="31"/>
  <c r="K925" i="31"/>
  <c r="K997" i="31"/>
  <c r="K970" i="31"/>
  <c r="K1000" i="31"/>
  <c r="K919" i="31"/>
  <c r="K981" i="31"/>
  <c r="K983" i="31"/>
  <c r="K957" i="31"/>
  <c r="K927" i="31"/>
  <c r="K928" i="31"/>
  <c r="K929" i="31"/>
  <c r="K956" i="31"/>
  <c r="K923" i="31"/>
  <c r="K1001" i="31"/>
  <c r="K924" i="31"/>
  <c r="K917" i="31"/>
  <c r="K949" i="31"/>
  <c r="K980" i="31"/>
  <c r="K944" i="31"/>
  <c r="K953" i="31"/>
  <c r="K951" i="31"/>
  <c r="K976" i="31"/>
  <c r="K934" i="31"/>
  <c r="K1009" i="31"/>
  <c r="K955" i="31"/>
  <c r="K950" i="31"/>
  <c r="C137" i="31" a="1"/>
  <c r="C137" i="31" s="1"/>
  <c r="D137" i="31" a="1"/>
  <c r="D137" i="31" s="1"/>
  <c r="L137" i="31"/>
  <c r="Q137" i="31"/>
  <c r="R137" i="31"/>
  <c r="U137" i="31"/>
  <c r="V137" i="31"/>
  <c r="W137" i="31"/>
  <c r="AB137" i="31"/>
  <c r="AC137" i="31"/>
  <c r="AF137" i="31"/>
  <c r="C135" i="31" a="1"/>
  <c r="C135" i="31" s="1"/>
  <c r="D135" i="31" a="1"/>
  <c r="D135" i="31" s="1"/>
  <c r="L135" i="31"/>
  <c r="Q135" i="31"/>
  <c r="R135" i="31"/>
  <c r="U135" i="31"/>
  <c r="V135" i="31"/>
  <c r="W135" i="31"/>
  <c r="AB135" i="31"/>
  <c r="AC135" i="31"/>
  <c r="AF135" i="31"/>
  <c r="C262" i="31" a="1"/>
  <c r="C262" i="31" s="1"/>
  <c r="D262" i="31" a="1"/>
  <c r="D262" i="31" s="1"/>
  <c r="L262" i="31"/>
  <c r="Q262" i="31"/>
  <c r="R262" i="31"/>
  <c r="U262" i="31"/>
  <c r="V262" i="31"/>
  <c r="W262" i="31"/>
  <c r="AB262" i="31"/>
  <c r="AC262" i="31"/>
  <c r="AF262" i="31"/>
  <c r="C428" i="31" a="1"/>
  <c r="C428" i="31" s="1"/>
  <c r="D428" i="31" a="1"/>
  <c r="D428" i="31" s="1"/>
  <c r="L428" i="31"/>
  <c r="Q428" i="31"/>
  <c r="R428" i="31"/>
  <c r="U428" i="31"/>
  <c r="V428" i="31"/>
  <c r="W428" i="31"/>
  <c r="AB428" i="31"/>
  <c r="AC428" i="31"/>
  <c r="AF428" i="31"/>
  <c r="C387" i="35" a="1"/>
  <c r="C387" i="35" s="1"/>
  <c r="F387" i="35"/>
  <c r="G387" i="35" s="1"/>
  <c r="J387" i="35"/>
  <c r="K387" i="35" s="1"/>
  <c r="Q387" i="35"/>
  <c r="C390" i="35" a="1"/>
  <c r="C390" i="35" s="1"/>
  <c r="F390" i="35"/>
  <c r="G390" i="35" s="1"/>
  <c r="J390" i="35"/>
  <c r="K390" i="35" s="1"/>
  <c r="C389" i="35" a="1"/>
  <c r="C389" i="35" s="1"/>
  <c r="F389" i="35"/>
  <c r="G389" i="35" s="1"/>
  <c r="J389" i="35"/>
  <c r="K389" i="35" s="1"/>
  <c r="Q389" i="35"/>
  <c r="C388" i="35" a="1"/>
  <c r="C388" i="35" s="1"/>
  <c r="F388" i="35"/>
  <c r="G388" i="35" s="1"/>
  <c r="J388" i="35"/>
  <c r="K388" i="35" s="1"/>
  <c r="Q388" i="35"/>
  <c r="C386" i="35" a="1"/>
  <c r="C386" i="35" s="1"/>
  <c r="F386" i="35"/>
  <c r="G386" i="35" s="1"/>
  <c r="J386" i="35"/>
  <c r="K386" i="35" s="1"/>
  <c r="Q386" i="35"/>
  <c r="H165" i="6"/>
  <c r="J165" i="6" s="1"/>
  <c r="N165" i="6" s="1"/>
  <c r="I165" i="6"/>
  <c r="K165" i="6" s="1"/>
  <c r="O165" i="6" s="1"/>
  <c r="U165" i="6"/>
  <c r="C93" i="36"/>
  <c r="D93" i="36"/>
  <c r="G93" i="36"/>
  <c r="I93" i="36" s="1"/>
  <c r="H93" i="36"/>
  <c r="H164" i="6"/>
  <c r="J164" i="6" s="1"/>
  <c r="N164" i="6" s="1"/>
  <c r="I164" i="6"/>
  <c r="K164" i="6" s="1"/>
  <c r="O164" i="6" s="1"/>
  <c r="U164" i="6"/>
  <c r="B353" i="33" a="1"/>
  <c r="B353" i="33" s="1"/>
  <c r="E353" i="33" a="1"/>
  <c r="E353" i="33" s="1"/>
  <c r="F353" i="33" a="1"/>
  <c r="F353" i="33" s="1"/>
  <c r="G353" i="33" a="1"/>
  <c r="G353" i="33" s="1"/>
  <c r="H353" i="33"/>
  <c r="I353" i="33"/>
  <c r="L353" i="33" a="1"/>
  <c r="L353" i="33" s="1"/>
  <c r="M353" i="33"/>
  <c r="N353" i="33"/>
  <c r="P353" i="33"/>
  <c r="B950" i="31" a="1"/>
  <c r="B950" i="31" s="1"/>
  <c r="C950" i="31"/>
  <c r="D950" i="31"/>
  <c r="E950" i="31"/>
  <c r="F950" i="31"/>
  <c r="G950" i="31"/>
  <c r="H950" i="31"/>
  <c r="I950" i="31"/>
  <c r="J950" i="31"/>
  <c r="L950" i="31"/>
  <c r="O950" i="31" a="1"/>
  <c r="O950" i="31" s="1"/>
  <c r="Y950" i="31" s="1"/>
  <c r="S950" i="31"/>
  <c r="T950" i="31" a="1"/>
  <c r="T950" i="31" s="1"/>
  <c r="V950" i="31"/>
  <c r="H163" i="6"/>
  <c r="J163" i="6" s="1"/>
  <c r="I163" i="6"/>
  <c r="K163" i="6" s="1"/>
  <c r="U163" i="6"/>
  <c r="H162" i="6"/>
  <c r="J162" i="6" s="1"/>
  <c r="I162" i="6"/>
  <c r="K162" i="6" s="1"/>
  <c r="U162" i="6"/>
  <c r="H161" i="6"/>
  <c r="J161" i="6" s="1"/>
  <c r="I161" i="6"/>
  <c r="K161" i="6" s="1"/>
  <c r="U161" i="6"/>
  <c r="H160" i="6"/>
  <c r="J160" i="6" s="1"/>
  <c r="I160" i="6"/>
  <c r="K160" i="6" s="1"/>
  <c r="U160" i="6"/>
  <c r="H159" i="6"/>
  <c r="J159" i="6" s="1"/>
  <c r="I159" i="6"/>
  <c r="K159" i="6" s="1"/>
  <c r="U159" i="6"/>
  <c r="H158" i="6"/>
  <c r="J158" i="6" s="1"/>
  <c r="I158" i="6"/>
  <c r="K158" i="6" s="1"/>
  <c r="U158" i="6"/>
  <c r="H157" i="6"/>
  <c r="J157" i="6" s="1"/>
  <c r="I157" i="6"/>
  <c r="K157" i="6" s="1"/>
  <c r="U157" i="6"/>
  <c r="C271" i="31" a="1"/>
  <c r="C271" i="31" s="1"/>
  <c r="D271" i="31" a="1"/>
  <c r="D271" i="31" s="1"/>
  <c r="L271" i="31"/>
  <c r="Q271" i="31"/>
  <c r="R271" i="31"/>
  <c r="U271" i="31"/>
  <c r="V271" i="31"/>
  <c r="W271" i="31"/>
  <c r="AB271" i="31"/>
  <c r="AC271" i="31"/>
  <c r="AF271" i="31"/>
  <c r="B412" i="33" a="1"/>
  <c r="B412" i="33" s="1"/>
  <c r="E412" i="33" a="1"/>
  <c r="E412" i="33" s="1"/>
  <c r="F412" i="33" a="1"/>
  <c r="F412" i="33" s="1"/>
  <c r="G412" i="33" a="1"/>
  <c r="G412" i="33" s="1"/>
  <c r="H412" i="33"/>
  <c r="I412" i="33"/>
  <c r="L412" i="33" a="1"/>
  <c r="L412" i="33" s="1"/>
  <c r="P412" i="33"/>
  <c r="C276" i="31" a="1"/>
  <c r="C276" i="31" s="1"/>
  <c r="D276" i="31" a="1"/>
  <c r="D276" i="31" s="1"/>
  <c r="L276" i="31"/>
  <c r="Q276" i="31"/>
  <c r="R276" i="31"/>
  <c r="U276" i="31"/>
  <c r="L924" i="31" s="1"/>
  <c r="V276" i="31"/>
  <c r="W276" i="31"/>
  <c r="AB276" i="31"/>
  <c r="AC276" i="31"/>
  <c r="AF276" i="31"/>
  <c r="F924" i="31" s="1"/>
  <c r="B349" i="33" a="1"/>
  <c r="B349" i="33" s="1"/>
  <c r="E349" i="33" a="1"/>
  <c r="E349" i="33" s="1"/>
  <c r="F349" i="33" a="1"/>
  <c r="F349" i="33" s="1"/>
  <c r="G349" i="33" a="1"/>
  <c r="G349" i="33" s="1"/>
  <c r="H349" i="33"/>
  <c r="I349" i="33"/>
  <c r="L349" i="33" a="1"/>
  <c r="L349" i="33" s="1"/>
  <c r="M349" i="33"/>
  <c r="N349" i="33"/>
  <c r="P349" i="33"/>
  <c r="C285" i="31" a="1"/>
  <c r="C285" i="31" s="1"/>
  <c r="D285" i="31" a="1"/>
  <c r="D285" i="31" s="1"/>
  <c r="L285" i="31"/>
  <c r="Q285" i="31"/>
  <c r="R285" i="31"/>
  <c r="U285" i="31"/>
  <c r="V285" i="31"/>
  <c r="W285" i="31"/>
  <c r="AB285" i="31"/>
  <c r="AC285" i="31"/>
  <c r="AF285" i="31"/>
  <c r="C284" i="31" a="1"/>
  <c r="C284" i="31" s="1"/>
  <c r="D284" i="31" a="1"/>
  <c r="D284" i="31" s="1"/>
  <c r="L284" i="31"/>
  <c r="Q284" i="31"/>
  <c r="R284" i="31"/>
  <c r="U284" i="31"/>
  <c r="V284" i="31"/>
  <c r="W284" i="31"/>
  <c r="AB284" i="31"/>
  <c r="AC284" i="31"/>
  <c r="AF284" i="31"/>
  <c r="C385" i="35" a="1"/>
  <c r="C385" i="35" s="1"/>
  <c r="F385" i="35"/>
  <c r="J385" i="35"/>
  <c r="Q385" i="35"/>
  <c r="C289" i="31" a="1"/>
  <c r="C289" i="31" s="1"/>
  <c r="D289" i="31" a="1"/>
  <c r="D289" i="31" s="1"/>
  <c r="L289" i="31"/>
  <c r="Q289" i="31"/>
  <c r="R289" i="31"/>
  <c r="U289" i="31"/>
  <c r="V289" i="31"/>
  <c r="W289" i="31"/>
  <c r="AB289" i="31"/>
  <c r="AC289" i="31"/>
  <c r="AF289" i="31"/>
  <c r="C384" i="35" a="1"/>
  <c r="C384" i="35" s="1"/>
  <c r="F384" i="35"/>
  <c r="H963" i="35" s="1"/>
  <c r="J384" i="35"/>
  <c r="L963" i="35" s="1"/>
  <c r="Q384" i="35"/>
  <c r="C383" i="35" a="1"/>
  <c r="C383" i="35" s="1"/>
  <c r="F383" i="35"/>
  <c r="J383" i="35"/>
  <c r="Q383" i="35"/>
  <c r="C382" i="35" a="1"/>
  <c r="C382" i="35" s="1"/>
  <c r="F382" i="35"/>
  <c r="G382" i="35" s="1"/>
  <c r="J382" i="35"/>
  <c r="K382" i="35" s="1"/>
  <c r="Q382" i="35"/>
  <c r="C381" i="35" a="1"/>
  <c r="C381" i="35" s="1"/>
  <c r="F381" i="35"/>
  <c r="J381" i="35"/>
  <c r="Q381" i="35"/>
  <c r="C380" i="35" a="1"/>
  <c r="C380" i="35" s="1"/>
  <c r="F380" i="35"/>
  <c r="H808" i="35" s="1"/>
  <c r="J380" i="35"/>
  <c r="L808" i="35" s="1"/>
  <c r="Q380" i="35"/>
  <c r="C379" i="35" a="1"/>
  <c r="C379" i="35" s="1"/>
  <c r="F379" i="35"/>
  <c r="G379" i="35" s="1"/>
  <c r="J379" i="35"/>
  <c r="K379" i="35" s="1"/>
  <c r="Q379" i="35"/>
  <c r="C378" i="35" a="1"/>
  <c r="C378" i="35" s="1"/>
  <c r="F378" i="35"/>
  <c r="G378" i="35" s="1"/>
  <c r="J378" i="35"/>
  <c r="K378" i="35" s="1"/>
  <c r="B407" i="33" a="1"/>
  <c r="B407" i="33" s="1"/>
  <c r="E407" i="33" a="1"/>
  <c r="E407" i="33" s="1"/>
  <c r="F407" i="33" a="1"/>
  <c r="F407" i="33" s="1"/>
  <c r="G407" i="33" a="1"/>
  <c r="G407" i="33" s="1"/>
  <c r="H407" i="33"/>
  <c r="I407" i="33"/>
  <c r="L407" i="33" a="1"/>
  <c r="L407" i="33" s="1"/>
  <c r="P407" i="33"/>
  <c r="B920" i="31" a="1"/>
  <c r="B920" i="31" s="1"/>
  <c r="G920" i="31"/>
  <c r="I920" i="31"/>
  <c r="J920" i="31"/>
  <c r="O920" i="31" a="1"/>
  <c r="O920" i="31" s="1"/>
  <c r="Q920" i="31" s="1"/>
  <c r="T920" i="31" a="1"/>
  <c r="T920" i="31" s="1"/>
  <c r="V920" i="31"/>
  <c r="B491" i="33" a="1"/>
  <c r="B491" i="33" s="1"/>
  <c r="E491" i="33" a="1"/>
  <c r="E491" i="33" s="1"/>
  <c r="F491" i="33" a="1"/>
  <c r="F491" i="33" s="1"/>
  <c r="G491" i="33" a="1"/>
  <c r="G491" i="33" s="1"/>
  <c r="H491" i="33"/>
  <c r="I491" i="33"/>
  <c r="L491" i="33" a="1"/>
  <c r="L491" i="33" s="1"/>
  <c r="M491" i="33"/>
  <c r="N491" i="33"/>
  <c r="P491" i="33"/>
  <c r="E8" i="34"/>
  <c r="B394" i="33" a="1"/>
  <c r="B394" i="33" s="1"/>
  <c r="E394" i="33" a="1"/>
  <c r="E394" i="33" s="1"/>
  <c r="F394" i="33" a="1"/>
  <c r="F394" i="33" s="1"/>
  <c r="G394" i="33" a="1"/>
  <c r="G394" i="33" s="1"/>
  <c r="H394" i="33"/>
  <c r="I394" i="33"/>
  <c r="L394" i="33" a="1"/>
  <c r="L394" i="33" s="1"/>
  <c r="M394" i="33"/>
  <c r="N394" i="33"/>
  <c r="P394" i="33"/>
  <c r="B318" i="33" a="1"/>
  <c r="B318" i="33" s="1"/>
  <c r="E318" i="33" a="1"/>
  <c r="E318" i="33" s="1"/>
  <c r="F318" i="33" a="1"/>
  <c r="F318" i="33" s="1"/>
  <c r="G318" i="33" a="1"/>
  <c r="G318" i="33" s="1"/>
  <c r="H318" i="33"/>
  <c r="I318" i="33"/>
  <c r="L318" i="33" a="1"/>
  <c r="L318" i="33" s="1"/>
  <c r="M318" i="33"/>
  <c r="N318" i="33"/>
  <c r="P318" i="33"/>
  <c r="B955" i="31" a="1"/>
  <c r="B955" i="31" s="1"/>
  <c r="C955" i="31"/>
  <c r="D955" i="31"/>
  <c r="E955" i="31"/>
  <c r="F955" i="31"/>
  <c r="G955" i="31"/>
  <c r="H955" i="31"/>
  <c r="I955" i="31"/>
  <c r="J955" i="31"/>
  <c r="L955" i="31"/>
  <c r="O955" i="31" a="1"/>
  <c r="O955" i="31" s="1"/>
  <c r="Q955" i="31" s="1"/>
  <c r="S955" i="31"/>
  <c r="T955" i="31" a="1"/>
  <c r="T955" i="31" s="1"/>
  <c r="V955" i="31"/>
  <c r="C377" i="35" a="1"/>
  <c r="C377" i="35" s="1"/>
  <c r="F377" i="35"/>
  <c r="G377" i="35" s="1"/>
  <c r="J377" i="35"/>
  <c r="K377" i="35" s="1"/>
  <c r="Q377" i="35"/>
  <c r="B1009" i="31" a="1"/>
  <c r="B1009" i="31" s="1"/>
  <c r="D1009" i="31"/>
  <c r="G1009" i="31"/>
  <c r="H1009" i="31"/>
  <c r="I1009" i="31"/>
  <c r="J1009" i="31"/>
  <c r="L1009" i="31"/>
  <c r="O1009" i="31" a="1"/>
  <c r="O1009" i="31" s="1"/>
  <c r="Y1009" i="31" s="1"/>
  <c r="T1009" i="31" a="1"/>
  <c r="T1009" i="31" s="1"/>
  <c r="V1009" i="31"/>
  <c r="B934" i="31" a="1"/>
  <c r="B934" i="31" s="1"/>
  <c r="C934" i="31"/>
  <c r="D934" i="31"/>
  <c r="E934" i="31"/>
  <c r="F934" i="31"/>
  <c r="G934" i="31"/>
  <c r="H934" i="31"/>
  <c r="I934" i="31"/>
  <c r="J934" i="31"/>
  <c r="L934" i="31"/>
  <c r="O934" i="31" a="1"/>
  <c r="O934" i="31" s="1"/>
  <c r="Y934" i="31" s="1"/>
  <c r="T934" i="31" a="1"/>
  <c r="T934" i="31" s="1"/>
  <c r="V934" i="31"/>
  <c r="C229" i="31" a="1"/>
  <c r="C229" i="31" s="1"/>
  <c r="D229" i="31" a="1"/>
  <c r="D229" i="31" s="1"/>
  <c r="L229" i="31"/>
  <c r="Q229" i="31"/>
  <c r="R229" i="31"/>
  <c r="U229" i="31"/>
  <c r="V229" i="31"/>
  <c r="W229" i="31"/>
  <c r="AB229" i="31"/>
  <c r="AC229" i="31"/>
  <c r="AF229" i="31"/>
  <c r="C293" i="31" a="1"/>
  <c r="C293" i="31" s="1"/>
  <c r="D293" i="31" a="1"/>
  <c r="D293" i="31" s="1"/>
  <c r="L293" i="31"/>
  <c r="Q293" i="31"/>
  <c r="R293" i="31"/>
  <c r="U293" i="31"/>
  <c r="V293" i="31"/>
  <c r="W293" i="31"/>
  <c r="AB293" i="31"/>
  <c r="AC293" i="31"/>
  <c r="AF293" i="31"/>
  <c r="C376" i="35" a="1"/>
  <c r="C376" i="35" s="1"/>
  <c r="F376" i="35"/>
  <c r="G376" i="35" s="1"/>
  <c r="J376" i="35"/>
  <c r="K376" i="35" s="1"/>
  <c r="Q376" i="35"/>
  <c r="B976" i="31" a="1"/>
  <c r="B976" i="31" s="1"/>
  <c r="C976" i="31"/>
  <c r="D976" i="31"/>
  <c r="E976" i="31"/>
  <c r="F976" i="31"/>
  <c r="G976" i="31"/>
  <c r="H976" i="31"/>
  <c r="I976" i="31"/>
  <c r="J976" i="31"/>
  <c r="L976" i="31"/>
  <c r="O976" i="31" a="1"/>
  <c r="O976" i="31" s="1"/>
  <c r="Q976" i="31" s="1"/>
  <c r="T976" i="31" a="1"/>
  <c r="T976" i="31" s="1"/>
  <c r="V976" i="31"/>
  <c r="B951" i="31" a="1"/>
  <c r="B951" i="31" s="1"/>
  <c r="C951" i="31"/>
  <c r="D951" i="31"/>
  <c r="E951" i="31"/>
  <c r="F951" i="31"/>
  <c r="G951" i="31"/>
  <c r="H951" i="31"/>
  <c r="I951" i="31"/>
  <c r="J951" i="31"/>
  <c r="L951" i="31"/>
  <c r="O951" i="31" a="1"/>
  <c r="O951" i="31" s="1"/>
  <c r="Y951" i="31" s="1"/>
  <c r="S951" i="31"/>
  <c r="T951" i="31" a="1"/>
  <c r="T951" i="31" s="1"/>
  <c r="V951" i="31"/>
  <c r="C266" i="31" a="1"/>
  <c r="C266" i="31" s="1"/>
  <c r="D266" i="31" a="1"/>
  <c r="D266" i="31" s="1"/>
  <c r="L266" i="31"/>
  <c r="Q266" i="31"/>
  <c r="R266" i="31"/>
  <c r="U266" i="31"/>
  <c r="V266" i="31"/>
  <c r="W266" i="31"/>
  <c r="AB266" i="31"/>
  <c r="AC266" i="31"/>
  <c r="AF266" i="31"/>
  <c r="C574" i="31" a="1"/>
  <c r="C574" i="31" s="1"/>
  <c r="D574" i="31" a="1"/>
  <c r="D574" i="31" s="1"/>
  <c r="L574" i="31"/>
  <c r="Q574" i="31"/>
  <c r="R574" i="31"/>
  <c r="U574" i="31"/>
  <c r="V574" i="31"/>
  <c r="W574" i="31"/>
  <c r="AB574" i="31"/>
  <c r="AC574" i="31"/>
  <c r="AF574" i="31"/>
  <c r="C280" i="31" a="1"/>
  <c r="C280" i="31" s="1"/>
  <c r="D280" i="31" a="1"/>
  <c r="D280" i="31" s="1"/>
  <c r="L280" i="31"/>
  <c r="Q280" i="31"/>
  <c r="R280" i="31"/>
  <c r="U280" i="31"/>
  <c r="V280" i="31"/>
  <c r="W280" i="31"/>
  <c r="AB280" i="31"/>
  <c r="AC280" i="31"/>
  <c r="AF280" i="31"/>
  <c r="C277" i="31" a="1"/>
  <c r="C277" i="31" s="1"/>
  <c r="D277" i="31" a="1"/>
  <c r="D277" i="31" s="1"/>
  <c r="L277" i="31"/>
  <c r="Q277" i="31"/>
  <c r="R277" i="31"/>
  <c r="U277" i="31"/>
  <c r="L980" i="31" s="1"/>
  <c r="V277" i="31"/>
  <c r="AD277" i="31" s="1"/>
  <c r="W277" i="31"/>
  <c r="AB277" i="31"/>
  <c r="AC277" i="31"/>
  <c r="AF277" i="31"/>
  <c r="C274" i="31" a="1"/>
  <c r="C274" i="31" s="1"/>
  <c r="D274" i="31" a="1"/>
  <c r="D274" i="31" s="1"/>
  <c r="L274" i="31"/>
  <c r="Q274" i="31"/>
  <c r="R274" i="31"/>
  <c r="U274" i="31"/>
  <c r="L917" i="31" s="1"/>
  <c r="V274" i="31"/>
  <c r="W274" i="31"/>
  <c r="AB274" i="31"/>
  <c r="AC274" i="31"/>
  <c r="AF274" i="31"/>
  <c r="C375" i="35" a="1"/>
  <c r="C375" i="35" s="1"/>
  <c r="F375" i="35"/>
  <c r="J375" i="35"/>
  <c r="Q375" i="35"/>
  <c r="C374" i="35" a="1"/>
  <c r="C374" i="35" s="1"/>
  <c r="F374" i="35"/>
  <c r="G374" i="35" s="1"/>
  <c r="J374" i="35"/>
  <c r="K374" i="35" s="1"/>
  <c r="B953" i="31" a="1"/>
  <c r="B953" i="31" s="1"/>
  <c r="C953" i="31"/>
  <c r="D953" i="31"/>
  <c r="E953" i="31"/>
  <c r="F953" i="31"/>
  <c r="G953" i="31"/>
  <c r="H953" i="31"/>
  <c r="I953" i="31"/>
  <c r="J953" i="31"/>
  <c r="L953" i="31"/>
  <c r="O953" i="31" a="1"/>
  <c r="O953" i="31" s="1"/>
  <c r="Y953" i="31" s="1"/>
  <c r="S953" i="31"/>
  <c r="T953" i="31" a="1"/>
  <c r="T953" i="31" s="1"/>
  <c r="V953" i="31"/>
  <c r="B944" i="31" a="1"/>
  <c r="B944" i="31" s="1"/>
  <c r="C944" i="31"/>
  <c r="D944" i="31"/>
  <c r="E944" i="31"/>
  <c r="F944" i="31"/>
  <c r="G944" i="31"/>
  <c r="H944" i="31"/>
  <c r="I944" i="31"/>
  <c r="J944" i="31"/>
  <c r="L944" i="31"/>
  <c r="O944" i="31" a="1"/>
  <c r="O944" i="31" s="1"/>
  <c r="Y944" i="31" s="1"/>
  <c r="S944" i="31"/>
  <c r="T944" i="31" a="1"/>
  <c r="T944" i="31" s="1"/>
  <c r="V944" i="31"/>
  <c r="B980" i="31" a="1"/>
  <c r="B980" i="31" s="1"/>
  <c r="G980" i="31"/>
  <c r="I980" i="31"/>
  <c r="J980" i="31"/>
  <c r="O980" i="31" a="1"/>
  <c r="O980" i="31" s="1"/>
  <c r="Y980" i="31" s="1"/>
  <c r="T980" i="31" a="1"/>
  <c r="T980" i="31" s="1"/>
  <c r="V980" i="31"/>
  <c r="B364" i="33" a="1"/>
  <c r="B364" i="33" s="1"/>
  <c r="E364" i="33" a="1"/>
  <c r="E364" i="33" s="1"/>
  <c r="F364" i="33" a="1"/>
  <c r="F364" i="33" s="1"/>
  <c r="G364" i="33" a="1"/>
  <c r="G364" i="33" s="1"/>
  <c r="H364" i="33"/>
  <c r="I364" i="33"/>
  <c r="L364" i="33" a="1"/>
  <c r="L364" i="33" s="1"/>
  <c r="M364" i="33"/>
  <c r="N364" i="33"/>
  <c r="P364" i="33"/>
  <c r="B949" i="31" a="1"/>
  <c r="B949" i="31" s="1"/>
  <c r="C949" i="31"/>
  <c r="D949" i="31"/>
  <c r="E949" i="31"/>
  <c r="F949" i="31"/>
  <c r="G949" i="31"/>
  <c r="H949" i="31"/>
  <c r="I949" i="31"/>
  <c r="J949" i="31"/>
  <c r="L949" i="31"/>
  <c r="O949" i="31" a="1"/>
  <c r="O949" i="31" s="1"/>
  <c r="Q949" i="31" s="1"/>
  <c r="S949" i="31"/>
  <c r="T949" i="31" a="1"/>
  <c r="T949" i="31" s="1"/>
  <c r="V949" i="31"/>
  <c r="B917" i="31" a="1"/>
  <c r="B917" i="31" s="1"/>
  <c r="I917" i="31"/>
  <c r="J917" i="31"/>
  <c r="O917" i="31" a="1"/>
  <c r="O917" i="31" s="1"/>
  <c r="Y917" i="31" s="1"/>
  <c r="T917" i="31" a="1"/>
  <c r="T917" i="31" s="1"/>
  <c r="V917" i="31"/>
  <c r="B924" i="31" a="1"/>
  <c r="B924" i="31" s="1"/>
  <c r="H924" i="31"/>
  <c r="I924" i="31"/>
  <c r="J924" i="31"/>
  <c r="O924" i="31" a="1"/>
  <c r="O924" i="31" s="1"/>
  <c r="Y924" i="31" s="1"/>
  <c r="T924" i="31" a="1"/>
  <c r="T924" i="31" s="1"/>
  <c r="V924" i="31"/>
  <c r="B402" i="33" a="1"/>
  <c r="B402" i="33" s="1"/>
  <c r="E402" i="33" a="1"/>
  <c r="E402" i="33" s="1"/>
  <c r="F402" i="33" a="1"/>
  <c r="F402" i="33" s="1"/>
  <c r="G402" i="33" a="1"/>
  <c r="G402" i="33" s="1"/>
  <c r="H402" i="33"/>
  <c r="I402" i="33"/>
  <c r="L402" i="33" a="1"/>
  <c r="L402" i="33" s="1"/>
  <c r="M402" i="33"/>
  <c r="N402" i="33"/>
  <c r="P402" i="33"/>
  <c r="B397" i="33" a="1"/>
  <c r="B397" i="33" s="1"/>
  <c r="E397" i="33" a="1"/>
  <c r="E397" i="33" s="1"/>
  <c r="F397" i="33" a="1"/>
  <c r="F397" i="33" s="1"/>
  <c r="G397" i="33" a="1"/>
  <c r="G397" i="33" s="1"/>
  <c r="H397" i="33"/>
  <c r="I397" i="33"/>
  <c r="L397" i="33" a="1"/>
  <c r="L397" i="33" s="1"/>
  <c r="P397" i="33"/>
  <c r="B426" i="33" a="1"/>
  <c r="B426" i="33" s="1"/>
  <c r="E426" i="33" a="1"/>
  <c r="E426" i="33" s="1"/>
  <c r="F426" i="33" a="1"/>
  <c r="F426" i="33" s="1"/>
  <c r="G426" i="33" a="1"/>
  <c r="G426" i="33" s="1"/>
  <c r="H426" i="33"/>
  <c r="I426" i="33"/>
  <c r="L426" i="33" a="1"/>
  <c r="L426" i="33" s="1"/>
  <c r="M426" i="33"/>
  <c r="N426" i="33"/>
  <c r="P426" i="33"/>
  <c r="B413" i="33" a="1"/>
  <c r="B413" i="33" s="1"/>
  <c r="E413" i="33" a="1"/>
  <c r="E413" i="33" s="1"/>
  <c r="F413" i="33" a="1"/>
  <c r="F413" i="33" s="1"/>
  <c r="G413" i="33" a="1"/>
  <c r="G413" i="33" s="1"/>
  <c r="H413" i="33"/>
  <c r="I413" i="33"/>
  <c r="L413" i="33" a="1"/>
  <c r="L413" i="33" s="1"/>
  <c r="M413" i="33"/>
  <c r="N413" i="33"/>
  <c r="P413" i="33"/>
  <c r="B1001" i="31" a="1"/>
  <c r="B1001" i="31" s="1"/>
  <c r="D1001" i="31"/>
  <c r="G1001" i="31"/>
  <c r="H1001" i="31"/>
  <c r="I1001" i="31"/>
  <c r="J1001" i="31"/>
  <c r="L1001" i="31"/>
  <c r="O1001" i="31" a="1"/>
  <c r="O1001" i="31" s="1"/>
  <c r="Q1001" i="31" s="1"/>
  <c r="T1001" i="31" a="1"/>
  <c r="T1001" i="31" s="1"/>
  <c r="V1001" i="31"/>
  <c r="C290" i="31" a="1"/>
  <c r="C290" i="31" s="1"/>
  <c r="C222" i="31" a="1"/>
  <c r="C222" i="31" s="1"/>
  <c r="D290" i="31" a="1"/>
  <c r="D290" i="31" s="1"/>
  <c r="D222" i="31" a="1"/>
  <c r="D222" i="31" s="1"/>
  <c r="L290" i="31"/>
  <c r="L222" i="31"/>
  <c r="Q290" i="31"/>
  <c r="Q222" i="31"/>
  <c r="R290" i="31"/>
  <c r="R222" i="31"/>
  <c r="U290" i="31"/>
  <c r="U222" i="31"/>
  <c r="V290" i="31"/>
  <c r="V222" i="31"/>
  <c r="AD222" i="31" s="1"/>
  <c r="W290" i="31"/>
  <c r="W222" i="31"/>
  <c r="AB290" i="31"/>
  <c r="AB222" i="31"/>
  <c r="AC290" i="31"/>
  <c r="AC222" i="31"/>
  <c r="AF290" i="31"/>
  <c r="AF222" i="31"/>
  <c r="C216" i="31" a="1"/>
  <c r="C216" i="31" s="1"/>
  <c r="D216" i="31" a="1"/>
  <c r="D216" i="31" s="1"/>
  <c r="L216" i="31"/>
  <c r="Q216" i="31"/>
  <c r="R216" i="31"/>
  <c r="U216" i="31"/>
  <c r="V216" i="31"/>
  <c r="W216" i="31"/>
  <c r="AB216" i="31"/>
  <c r="AC216" i="31"/>
  <c r="AF216" i="31"/>
  <c r="C281" i="31" a="1"/>
  <c r="C281" i="31" s="1"/>
  <c r="D281" i="31" a="1"/>
  <c r="D281" i="31" s="1"/>
  <c r="L281" i="31"/>
  <c r="Q281" i="31"/>
  <c r="R281" i="31"/>
  <c r="U281" i="31"/>
  <c r="V281" i="31"/>
  <c r="W281" i="31"/>
  <c r="AB281" i="31"/>
  <c r="AC281" i="31"/>
  <c r="AF281" i="31"/>
  <c r="E373" i="35"/>
  <c r="Q270" i="35" s="1"/>
  <c r="C373" i="35" a="1"/>
  <c r="C373" i="35" s="1"/>
  <c r="C265" i="31" a="1"/>
  <c r="C265" i="31" s="1"/>
  <c r="D265" i="31" a="1"/>
  <c r="D265" i="31" s="1"/>
  <c r="L265" i="31"/>
  <c r="Q265" i="31"/>
  <c r="R265" i="31"/>
  <c r="U265" i="31"/>
  <c r="L911" i="31" s="1"/>
  <c r="V265" i="31"/>
  <c r="W265" i="31"/>
  <c r="AB265" i="31"/>
  <c r="AC265" i="31"/>
  <c r="AF265" i="31"/>
  <c r="F911" i="31" s="1"/>
  <c r="C270" i="31" a="1"/>
  <c r="C270" i="31" s="1"/>
  <c r="D270" i="31" a="1"/>
  <c r="D270" i="31" s="1"/>
  <c r="L270" i="31"/>
  <c r="Q270" i="31"/>
  <c r="R270" i="31"/>
  <c r="U270" i="31"/>
  <c r="V270" i="31"/>
  <c r="AD270" i="31" s="1"/>
  <c r="W270" i="31"/>
  <c r="AB270" i="31"/>
  <c r="AC270" i="31"/>
  <c r="AF270" i="31"/>
  <c r="C269" i="31" a="1"/>
  <c r="C269" i="31" s="1"/>
  <c r="D269" i="31" a="1"/>
  <c r="D269" i="31" s="1"/>
  <c r="L269" i="31"/>
  <c r="Q269" i="31"/>
  <c r="R269" i="31"/>
  <c r="U269" i="31"/>
  <c r="V269" i="31"/>
  <c r="AD269" i="31" s="1"/>
  <c r="W269" i="31"/>
  <c r="AB269" i="31"/>
  <c r="AC269" i="31"/>
  <c r="AF269" i="31"/>
  <c r="B956" i="31" a="1"/>
  <c r="B956" i="31" s="1"/>
  <c r="D956" i="31"/>
  <c r="G956" i="31"/>
  <c r="H956" i="31"/>
  <c r="I956" i="31"/>
  <c r="J956" i="31"/>
  <c r="L956" i="31"/>
  <c r="O956" i="31" a="1"/>
  <c r="O956" i="31" s="1"/>
  <c r="Q956" i="31" s="1"/>
  <c r="T956" i="31" a="1"/>
  <c r="T956" i="31" s="1"/>
  <c r="V956" i="31"/>
  <c r="V941" i="31"/>
  <c r="V958" i="31"/>
  <c r="V952" i="31"/>
  <c r="V986" i="31"/>
  <c r="V987" i="31"/>
  <c r="V939" i="31"/>
  <c r="V1013" i="31"/>
  <c r="V926" i="31"/>
  <c r="V1022" i="31"/>
  <c r="V979" i="31"/>
  <c r="V992" i="31"/>
  <c r="V982" i="31"/>
  <c r="V947" i="31"/>
  <c r="V1005" i="31"/>
  <c r="V943" i="31"/>
  <c r="V933" i="31"/>
  <c r="V972" i="31"/>
  <c r="V925" i="31"/>
  <c r="V997" i="31"/>
  <c r="V970" i="31"/>
  <c r="V1000" i="31"/>
  <c r="V919" i="31"/>
  <c r="V923" i="31"/>
  <c r="V981" i="31"/>
  <c r="V983" i="31"/>
  <c r="V957" i="31"/>
  <c r="V927" i="31"/>
  <c r="V928" i="31"/>
  <c r="V929" i="31"/>
  <c r="V911" i="31"/>
  <c r="V907" i="31"/>
  <c r="C372" i="35" a="1"/>
  <c r="C372" i="35" s="1"/>
  <c r="F372" i="35"/>
  <c r="G372" i="35" s="1"/>
  <c r="J372" i="35"/>
  <c r="K372" i="35" s="1"/>
  <c r="Q372" i="35"/>
  <c r="H156" i="6"/>
  <c r="J156" i="6" s="1"/>
  <c r="I156" i="6"/>
  <c r="K156" i="6" s="1"/>
  <c r="U156" i="6"/>
  <c r="H155" i="6"/>
  <c r="L453" i="6" s="1"/>
  <c r="I155" i="6"/>
  <c r="M453" i="6" s="1"/>
  <c r="U155" i="6"/>
  <c r="H154" i="6"/>
  <c r="J154" i="6" s="1"/>
  <c r="I154" i="6"/>
  <c r="K154" i="6" s="1"/>
  <c r="U154" i="6"/>
  <c r="H153" i="6"/>
  <c r="J153" i="6" s="1"/>
  <c r="I153" i="6"/>
  <c r="K153" i="6" s="1"/>
  <c r="U153" i="6"/>
  <c r="C371" i="35" a="1"/>
  <c r="C371" i="35" s="1"/>
  <c r="F371" i="35"/>
  <c r="G371" i="35" s="1"/>
  <c r="J371" i="35"/>
  <c r="K371" i="35" s="1"/>
  <c r="C370" i="35" a="1"/>
  <c r="C370" i="35" s="1"/>
  <c r="F370" i="35"/>
  <c r="G370" i="35" s="1"/>
  <c r="J370" i="35"/>
  <c r="K370" i="35" s="1"/>
  <c r="Q370" i="35"/>
  <c r="C369" i="35" a="1"/>
  <c r="C369" i="35" s="1"/>
  <c r="F369" i="35"/>
  <c r="G369" i="35" s="1"/>
  <c r="J369" i="35"/>
  <c r="K369" i="35" s="1"/>
  <c r="Q369" i="35"/>
  <c r="C368" i="35" a="1"/>
  <c r="C368" i="35" s="1"/>
  <c r="F368" i="35"/>
  <c r="G368" i="35" s="1"/>
  <c r="J368" i="35"/>
  <c r="K368" i="35" s="1"/>
  <c r="Q368" i="35"/>
  <c r="C367" i="35" a="1"/>
  <c r="C367" i="35" s="1"/>
  <c r="F367" i="35"/>
  <c r="G367" i="35" s="1"/>
  <c r="J367" i="35"/>
  <c r="K367" i="35" s="1"/>
  <c r="Q367" i="35"/>
  <c r="B416" i="33" a="1"/>
  <c r="B416" i="33" s="1"/>
  <c r="E416" i="33" a="1"/>
  <c r="E416" i="33" s="1"/>
  <c r="F416" i="33" a="1"/>
  <c r="F416" i="33" s="1"/>
  <c r="G416" i="33" a="1"/>
  <c r="G416" i="33" s="1"/>
  <c r="H416" i="33"/>
  <c r="I416" i="33"/>
  <c r="L416" i="33" a="1"/>
  <c r="L416" i="33" s="1"/>
  <c r="M416" i="33"/>
  <c r="N416" i="33"/>
  <c r="P416" i="33"/>
  <c r="B393" i="33" a="1"/>
  <c r="B393" i="33" s="1"/>
  <c r="E393" i="33" a="1"/>
  <c r="E393" i="33" s="1"/>
  <c r="F393" i="33" a="1"/>
  <c r="F393" i="33" s="1"/>
  <c r="G393" i="33" a="1"/>
  <c r="G393" i="33" s="1"/>
  <c r="H393" i="33"/>
  <c r="I393" i="33"/>
  <c r="L393" i="33" a="1"/>
  <c r="L393" i="33" s="1"/>
  <c r="P393" i="33"/>
  <c r="C278" i="31" a="1"/>
  <c r="C278" i="31" s="1"/>
  <c r="D278" i="31" a="1"/>
  <c r="D278" i="31" s="1"/>
  <c r="L278" i="31"/>
  <c r="Q278" i="31"/>
  <c r="R278" i="31"/>
  <c r="U278" i="31"/>
  <c r="V278" i="31"/>
  <c r="W278" i="31"/>
  <c r="AB278" i="31"/>
  <c r="AC278" i="31"/>
  <c r="AF278" i="31"/>
  <c r="C292" i="31" a="1"/>
  <c r="C292" i="31" s="1"/>
  <c r="D292" i="31" a="1"/>
  <c r="D292" i="31" s="1"/>
  <c r="L292" i="31"/>
  <c r="Q292" i="31"/>
  <c r="R292" i="31"/>
  <c r="U292" i="31"/>
  <c r="V292" i="31"/>
  <c r="AD292" i="31" s="1"/>
  <c r="W292" i="31"/>
  <c r="AB292" i="31"/>
  <c r="AC292" i="31"/>
  <c r="AF292" i="31"/>
  <c r="C275" i="31" a="1"/>
  <c r="C275" i="31" s="1"/>
  <c r="D275" i="31" a="1"/>
  <c r="D275" i="31" s="1"/>
  <c r="L275" i="31"/>
  <c r="Q275" i="31"/>
  <c r="R275" i="31"/>
  <c r="U275" i="31"/>
  <c r="L923" i="31" s="1"/>
  <c r="V275" i="31"/>
  <c r="W275" i="31"/>
  <c r="AB275" i="31"/>
  <c r="AC275" i="31"/>
  <c r="AF275" i="31"/>
  <c r="E923" i="31" s="1"/>
  <c r="C366" i="35" a="1"/>
  <c r="C366" i="35" s="1"/>
  <c r="F366" i="35"/>
  <c r="G366" i="35" s="1"/>
  <c r="J366" i="35"/>
  <c r="K366" i="35" s="1"/>
  <c r="Q366" i="35"/>
  <c r="C232" i="31" a="1"/>
  <c r="C232" i="31" s="1"/>
  <c r="D232" i="31" a="1"/>
  <c r="D232" i="31" s="1"/>
  <c r="L232" i="31"/>
  <c r="Q232" i="31"/>
  <c r="R232" i="31"/>
  <c r="U232" i="31"/>
  <c r="V232" i="31"/>
  <c r="AD232" i="31" s="1"/>
  <c r="W232" i="31"/>
  <c r="AB232" i="31"/>
  <c r="AC232" i="31"/>
  <c r="AF232" i="31"/>
  <c r="C242" i="31" a="1"/>
  <c r="C242" i="31" s="1"/>
  <c r="D242" i="31" a="1"/>
  <c r="D242" i="31" s="1"/>
  <c r="L242" i="31"/>
  <c r="Q242" i="31"/>
  <c r="R242" i="31"/>
  <c r="U242" i="31"/>
  <c r="V242" i="31"/>
  <c r="AD242" i="31" s="1"/>
  <c r="W242" i="31"/>
  <c r="AB242" i="31"/>
  <c r="AC242" i="31"/>
  <c r="AF242" i="31"/>
  <c r="C365" i="35" a="1"/>
  <c r="C365" i="35" s="1"/>
  <c r="F365" i="35"/>
  <c r="G365" i="35" s="1"/>
  <c r="J365" i="35"/>
  <c r="K365" i="35" s="1"/>
  <c r="B911" i="31" a="1"/>
  <c r="B911" i="31" s="1"/>
  <c r="H911" i="31"/>
  <c r="I911" i="31"/>
  <c r="J911" i="31"/>
  <c r="O911" i="31" a="1"/>
  <c r="O911" i="31" s="1"/>
  <c r="Y911" i="31" s="1"/>
  <c r="T911" i="31" a="1"/>
  <c r="T911" i="31" s="1"/>
  <c r="B460" i="33" a="1"/>
  <c r="B460" i="33" s="1"/>
  <c r="E460" i="33" a="1"/>
  <c r="E460" i="33" s="1"/>
  <c r="F460" i="33" a="1"/>
  <c r="F460" i="33" s="1"/>
  <c r="G460" i="33" a="1"/>
  <c r="G460" i="33" s="1"/>
  <c r="H460" i="33"/>
  <c r="I460" i="33"/>
  <c r="L460" i="33" a="1"/>
  <c r="L460" i="33" s="1"/>
  <c r="M460" i="33"/>
  <c r="N460" i="33"/>
  <c r="P460" i="33"/>
  <c r="B929" i="31" a="1"/>
  <c r="B929" i="31" s="1"/>
  <c r="D929" i="31"/>
  <c r="G929" i="31"/>
  <c r="H929" i="31"/>
  <c r="I929" i="31"/>
  <c r="J929" i="31"/>
  <c r="L929" i="31"/>
  <c r="O929" i="31" a="1"/>
  <c r="O929" i="31" s="1"/>
  <c r="Q929" i="31" s="1"/>
  <c r="T929" i="31" a="1"/>
  <c r="T929" i="31" s="1"/>
  <c r="B928" i="31" a="1"/>
  <c r="B928" i="31" s="1"/>
  <c r="D928" i="31"/>
  <c r="G928" i="31"/>
  <c r="H928" i="31"/>
  <c r="I928" i="31"/>
  <c r="J928" i="31"/>
  <c r="L928" i="31"/>
  <c r="O928" i="31" a="1"/>
  <c r="O928" i="31" s="1"/>
  <c r="Q928" i="31" s="1"/>
  <c r="T928" i="31" a="1"/>
  <c r="T928" i="31" s="1"/>
  <c r="C364" i="35" a="1"/>
  <c r="C364" i="35" s="1"/>
  <c r="J364" i="35"/>
  <c r="K364" i="35" s="1"/>
  <c r="Q364" i="35"/>
  <c r="C363" i="35" a="1"/>
  <c r="C363" i="35" s="1"/>
  <c r="F363" i="35"/>
  <c r="G363" i="35" s="1"/>
  <c r="J363" i="35"/>
  <c r="K363" i="35" s="1"/>
  <c r="Q363" i="35"/>
  <c r="C362" i="35" a="1"/>
  <c r="C362" i="35" s="1"/>
  <c r="F362" i="35"/>
  <c r="J362" i="35"/>
  <c r="Q362" i="35"/>
  <c r="C361" i="35" a="1"/>
  <c r="C361" i="35" s="1"/>
  <c r="F361" i="35"/>
  <c r="G361" i="35" s="1"/>
  <c r="J361" i="35"/>
  <c r="K361" i="35" s="1"/>
  <c r="Q361" i="35"/>
  <c r="C360" i="35" a="1"/>
  <c r="C360" i="35" s="1"/>
  <c r="F360" i="35"/>
  <c r="G360" i="35" s="1"/>
  <c r="J360" i="35"/>
  <c r="K360" i="35" s="1"/>
  <c r="Q360" i="35"/>
  <c r="C273" i="31" a="1"/>
  <c r="C273" i="31" s="1"/>
  <c r="D273" i="31" a="1"/>
  <c r="D273" i="31" s="1"/>
  <c r="L273" i="31"/>
  <c r="Q273" i="31"/>
  <c r="R273" i="31"/>
  <c r="U273" i="31"/>
  <c r="V273" i="31"/>
  <c r="AD273" i="31" s="1"/>
  <c r="W273" i="31"/>
  <c r="AB273" i="31"/>
  <c r="AC273" i="31"/>
  <c r="AF273" i="31"/>
  <c r="C228" i="31" a="1"/>
  <c r="C228" i="31" s="1"/>
  <c r="D228" i="31" a="1"/>
  <c r="D228" i="31" s="1"/>
  <c r="L228" i="31"/>
  <c r="Q228" i="31"/>
  <c r="R228" i="31"/>
  <c r="U228" i="31"/>
  <c r="V228" i="31"/>
  <c r="AD228" i="31" s="1"/>
  <c r="W228" i="31"/>
  <c r="AB228" i="31"/>
  <c r="AC228" i="31"/>
  <c r="AF228" i="31"/>
  <c r="C261" i="31" a="1"/>
  <c r="C261" i="31" s="1"/>
  <c r="D261" i="31" a="1"/>
  <c r="D261" i="31" s="1"/>
  <c r="L261" i="31"/>
  <c r="Q261" i="31"/>
  <c r="R261" i="31"/>
  <c r="U261" i="31"/>
  <c r="V261" i="31"/>
  <c r="AD261" i="31" s="1"/>
  <c r="W261" i="31"/>
  <c r="AB261" i="31"/>
  <c r="AC261" i="31"/>
  <c r="AF261" i="31"/>
  <c r="C241" i="31" a="1"/>
  <c r="C241" i="31" s="1"/>
  <c r="D241" i="31" a="1"/>
  <c r="D241" i="31" s="1"/>
  <c r="L241" i="31"/>
  <c r="Q241" i="31"/>
  <c r="R241" i="31"/>
  <c r="U241" i="31"/>
  <c r="L970" i="31" s="1"/>
  <c r="V241" i="31"/>
  <c r="AD241" i="31" s="1"/>
  <c r="W241" i="31"/>
  <c r="AB241" i="31"/>
  <c r="AC241" i="31"/>
  <c r="AF241" i="31"/>
  <c r="F970" i="31" s="1"/>
  <c r="B927" i="31" a="1"/>
  <c r="B927" i="31" s="1"/>
  <c r="D927" i="31"/>
  <c r="G927" i="31"/>
  <c r="H927" i="31"/>
  <c r="I927" i="31"/>
  <c r="J927" i="31"/>
  <c r="L927" i="31"/>
  <c r="O927" i="31" a="1"/>
  <c r="O927" i="31" s="1"/>
  <c r="Q927" i="31" s="1"/>
  <c r="T927" i="31" a="1"/>
  <c r="T927" i="31" s="1"/>
  <c r="T907" i="31" a="1"/>
  <c r="T907" i="31" s="1"/>
  <c r="T941" i="31" a="1"/>
  <c r="T941" i="31" s="1"/>
  <c r="T958" i="31" a="1"/>
  <c r="T958" i="31" s="1"/>
  <c r="T952" i="31" a="1"/>
  <c r="T952" i="31" s="1"/>
  <c r="T986" i="31" a="1"/>
  <c r="T986" i="31" s="1"/>
  <c r="T987" i="31" a="1"/>
  <c r="T987" i="31" s="1"/>
  <c r="T939" i="31" a="1"/>
  <c r="T939" i="31" s="1"/>
  <c r="T1013" i="31" a="1"/>
  <c r="T1013" i="31" s="1"/>
  <c r="T926" i="31" a="1"/>
  <c r="T926" i="31" s="1"/>
  <c r="T1022" i="31" a="1"/>
  <c r="T1022" i="31" s="1"/>
  <c r="T979" i="31" a="1"/>
  <c r="T979" i="31" s="1"/>
  <c r="T992" i="31" a="1"/>
  <c r="T992" i="31" s="1"/>
  <c r="T982" i="31" a="1"/>
  <c r="T982" i="31" s="1"/>
  <c r="T947" i="31" a="1"/>
  <c r="T947" i="31" s="1"/>
  <c r="T1005" i="31" a="1"/>
  <c r="T1005" i="31" s="1"/>
  <c r="T943" i="31" a="1"/>
  <c r="T943" i="31" s="1"/>
  <c r="T933" i="31" a="1"/>
  <c r="T933" i="31" s="1"/>
  <c r="T972" i="31" a="1"/>
  <c r="T972" i="31" s="1"/>
  <c r="T925" i="31" a="1"/>
  <c r="T925" i="31" s="1"/>
  <c r="T997" i="31" a="1"/>
  <c r="T997" i="31" s="1"/>
  <c r="T970" i="31" a="1"/>
  <c r="T970" i="31" s="1"/>
  <c r="T1000" i="31" a="1"/>
  <c r="T1000" i="31" s="1"/>
  <c r="T919" i="31" a="1"/>
  <c r="T919" i="31" s="1"/>
  <c r="T923" i="31" a="1"/>
  <c r="T923" i="31" s="1"/>
  <c r="T981" i="31" a="1"/>
  <c r="T981" i="31" s="1"/>
  <c r="T983" i="31" a="1"/>
  <c r="T983" i="31" s="1"/>
  <c r="T957" i="31" a="1"/>
  <c r="T957" i="31" s="1"/>
  <c r="S981" i="31"/>
  <c r="S983" i="31"/>
  <c r="S957" i="31"/>
  <c r="C259" i="31" a="1"/>
  <c r="C259" i="31" s="1"/>
  <c r="D259" i="31" a="1"/>
  <c r="D259" i="31" s="1"/>
  <c r="L259" i="31"/>
  <c r="Q259" i="31"/>
  <c r="R259" i="31"/>
  <c r="U259" i="31"/>
  <c r="V259" i="31"/>
  <c r="AD259" i="31" s="1"/>
  <c r="W259" i="31"/>
  <c r="AB259" i="31"/>
  <c r="AC259" i="31"/>
  <c r="AF259" i="31"/>
  <c r="B497" i="33" a="1"/>
  <c r="B497" i="33" s="1"/>
  <c r="E497" i="33" a="1"/>
  <c r="E497" i="33" s="1"/>
  <c r="F497" i="33" a="1"/>
  <c r="F497" i="33" s="1"/>
  <c r="G497" i="33" a="1"/>
  <c r="G497" i="33" s="1"/>
  <c r="H497" i="33"/>
  <c r="I497" i="33"/>
  <c r="L497" i="33" a="1"/>
  <c r="L497" i="33" s="1"/>
  <c r="M497" i="33"/>
  <c r="N497" i="33"/>
  <c r="P497" i="33"/>
  <c r="B957" i="31" a="1"/>
  <c r="B957" i="31" s="1"/>
  <c r="C957" i="31"/>
  <c r="D957" i="31"/>
  <c r="E957" i="31"/>
  <c r="F957" i="31"/>
  <c r="G957" i="31"/>
  <c r="H957" i="31"/>
  <c r="I957" i="31"/>
  <c r="J957" i="31"/>
  <c r="L957" i="31"/>
  <c r="O957" i="31" a="1"/>
  <c r="O957" i="31" s="1"/>
  <c r="Y957" i="31" s="1"/>
  <c r="B324" i="33" a="1"/>
  <c r="B324" i="33" s="1"/>
  <c r="E324" i="33" a="1"/>
  <c r="E324" i="33" s="1"/>
  <c r="F324" i="33" a="1"/>
  <c r="F324" i="33" s="1"/>
  <c r="G324" i="33" a="1"/>
  <c r="G324" i="33" s="1"/>
  <c r="H324" i="33"/>
  <c r="I324" i="33"/>
  <c r="L324" i="33" a="1"/>
  <c r="L324" i="33" s="1"/>
  <c r="M324" i="33"/>
  <c r="N324" i="33"/>
  <c r="P324" i="33"/>
  <c r="B983" i="31" a="1"/>
  <c r="B983" i="31" s="1"/>
  <c r="C983" i="31"/>
  <c r="D983" i="31"/>
  <c r="E983" i="31"/>
  <c r="F983" i="31"/>
  <c r="G983" i="31"/>
  <c r="H983" i="31"/>
  <c r="I983" i="31"/>
  <c r="J983" i="31"/>
  <c r="L983" i="31"/>
  <c r="O983" i="31" a="1"/>
  <c r="O983" i="31" s="1"/>
  <c r="Q983" i="31" s="1"/>
  <c r="B981" i="31" a="1"/>
  <c r="B981" i="31" s="1"/>
  <c r="C981" i="31"/>
  <c r="D981" i="31"/>
  <c r="E981" i="31"/>
  <c r="F981" i="31"/>
  <c r="G981" i="31"/>
  <c r="H981" i="31"/>
  <c r="I981" i="31"/>
  <c r="J981" i="31"/>
  <c r="L981" i="31"/>
  <c r="O981" i="31" a="1"/>
  <c r="O981" i="31" s="1"/>
  <c r="Q981" i="31" s="1"/>
  <c r="B923" i="31" a="1"/>
  <c r="B923" i="31" s="1"/>
  <c r="G923" i="31"/>
  <c r="I923" i="31"/>
  <c r="J923" i="31"/>
  <c r="O923" i="31" a="1"/>
  <c r="O923" i="31" s="1"/>
  <c r="Q923" i="31" s="1"/>
  <c r="B476" i="33" a="1"/>
  <c r="B476" i="33" s="1"/>
  <c r="E476" i="33" a="1"/>
  <c r="E476" i="33" s="1"/>
  <c r="F476" i="33" a="1"/>
  <c r="F476" i="33" s="1"/>
  <c r="G476" i="33" a="1"/>
  <c r="G476" i="33" s="1"/>
  <c r="H476" i="33"/>
  <c r="I476" i="33"/>
  <c r="L476" i="33" a="1"/>
  <c r="L476" i="33" s="1"/>
  <c r="M476" i="33"/>
  <c r="N476" i="33"/>
  <c r="P476" i="33"/>
  <c r="B919" i="31" a="1"/>
  <c r="B919" i="31" s="1"/>
  <c r="D919" i="31"/>
  <c r="G919" i="31"/>
  <c r="H919" i="31"/>
  <c r="I919" i="31"/>
  <c r="J919" i="31"/>
  <c r="L919" i="31"/>
  <c r="O919" i="31" a="1"/>
  <c r="O919" i="31" s="1"/>
  <c r="Q919" i="31" s="1"/>
  <c r="B1000" i="31" a="1"/>
  <c r="B1000" i="31" s="1"/>
  <c r="G1000" i="31"/>
  <c r="I1000" i="31"/>
  <c r="J1000" i="31"/>
  <c r="L1000" i="31"/>
  <c r="O1000" i="31" a="1"/>
  <c r="O1000" i="31" s="1"/>
  <c r="Y1000" i="31" s="1"/>
  <c r="A2" i="41" a="1"/>
  <c r="B970" i="31" a="1"/>
  <c r="B970" i="31" s="1"/>
  <c r="H970" i="31"/>
  <c r="I970" i="31"/>
  <c r="J970" i="31"/>
  <c r="O970" i="31" a="1"/>
  <c r="O970" i="31" s="1"/>
  <c r="R970" i="31" s="1"/>
  <c r="B997" i="31" a="1"/>
  <c r="B997" i="31" s="1"/>
  <c r="H997" i="31"/>
  <c r="I997" i="31"/>
  <c r="J997" i="31"/>
  <c r="L997" i="31"/>
  <c r="O997" i="31" a="1"/>
  <c r="O997" i="31" s="1"/>
  <c r="R997" i="31" s="1"/>
  <c r="B925" i="31" a="1"/>
  <c r="B925" i="31" s="1"/>
  <c r="D925" i="31"/>
  <c r="G925" i="31"/>
  <c r="H925" i="31"/>
  <c r="I925" i="31"/>
  <c r="J925" i="31"/>
  <c r="L925" i="31"/>
  <c r="O925" i="31" a="1"/>
  <c r="O925" i="31" s="1"/>
  <c r="R925" i="31" s="1"/>
  <c r="B907" i="31" a="1"/>
  <c r="B907" i="31" s="1"/>
  <c r="B941" i="31" a="1"/>
  <c r="B941" i="31" s="1"/>
  <c r="B958" i="31" a="1"/>
  <c r="B958" i="31" s="1"/>
  <c r="B952" i="31" a="1"/>
  <c r="B952" i="31" s="1"/>
  <c r="B986" i="31" a="1"/>
  <c r="B986" i="31" s="1"/>
  <c r="B987" i="31" a="1"/>
  <c r="B987" i="31" s="1"/>
  <c r="B939" i="31" a="1"/>
  <c r="B939" i="31" s="1"/>
  <c r="B1013" i="31" a="1"/>
  <c r="B1013" i="31" s="1"/>
  <c r="B926" i="31" a="1"/>
  <c r="B926" i="31" s="1"/>
  <c r="B1022" i="31" a="1"/>
  <c r="B1022" i="31" s="1"/>
  <c r="B979" i="31" a="1"/>
  <c r="B979" i="31" s="1"/>
  <c r="B992" i="31" a="1"/>
  <c r="B992" i="31" s="1"/>
  <c r="B982" i="31" a="1"/>
  <c r="B982" i="31" s="1"/>
  <c r="B947" i="31" a="1"/>
  <c r="B947" i="31" s="1"/>
  <c r="B1005" i="31" a="1"/>
  <c r="B1005" i="31" s="1"/>
  <c r="B943" i="31" a="1"/>
  <c r="B943" i="31" s="1"/>
  <c r="B933" i="31" a="1"/>
  <c r="B933" i="31" s="1"/>
  <c r="B972" i="31" a="1"/>
  <c r="B972" i="31" s="1"/>
  <c r="G972" i="31"/>
  <c r="H972" i="31"/>
  <c r="I972" i="31"/>
  <c r="J972" i="31"/>
  <c r="O972" i="31" a="1"/>
  <c r="O972" i="31" s="1"/>
  <c r="R972" i="31" s="1"/>
  <c r="D933" i="31"/>
  <c r="G933" i="31"/>
  <c r="H933" i="31"/>
  <c r="I933" i="31"/>
  <c r="J933" i="31"/>
  <c r="L933" i="31"/>
  <c r="O933" i="31" a="1"/>
  <c r="O933" i="31" s="1"/>
  <c r="R933" i="31" s="1"/>
  <c r="C943" i="31"/>
  <c r="D943" i="31"/>
  <c r="E943" i="31"/>
  <c r="F943" i="31"/>
  <c r="G943" i="31"/>
  <c r="H943" i="31"/>
  <c r="I943" i="31"/>
  <c r="J943" i="31"/>
  <c r="L943" i="31"/>
  <c r="O943" i="31" a="1"/>
  <c r="O943" i="31" s="1"/>
  <c r="R943" i="31" s="1"/>
  <c r="D1005" i="31"/>
  <c r="G1005" i="31"/>
  <c r="H1005" i="31"/>
  <c r="I1005" i="31"/>
  <c r="J1005" i="31"/>
  <c r="L1005" i="31"/>
  <c r="O1005" i="31" a="1"/>
  <c r="O1005" i="31" s="1"/>
  <c r="R1005" i="31" s="1"/>
  <c r="C268" i="31" a="1"/>
  <c r="C268" i="31" s="1"/>
  <c r="D268" i="31" a="1"/>
  <c r="D268" i="31" s="1"/>
  <c r="L268" i="31"/>
  <c r="Q268" i="31"/>
  <c r="R268" i="31"/>
  <c r="U268" i="31"/>
  <c r="V268" i="31"/>
  <c r="AD268" i="31" s="1"/>
  <c r="W268" i="31"/>
  <c r="AB268" i="31"/>
  <c r="AC268" i="31"/>
  <c r="AF268" i="31"/>
  <c r="C359" i="35" a="1"/>
  <c r="C359" i="35" s="1"/>
  <c r="F359" i="35"/>
  <c r="H959" i="35" s="1"/>
  <c r="J359" i="35"/>
  <c r="L959" i="35" s="1"/>
  <c r="Q359" i="35"/>
  <c r="C358" i="35" a="1"/>
  <c r="C358" i="35" s="1"/>
  <c r="F358" i="35"/>
  <c r="J358" i="35"/>
  <c r="Q358" i="35"/>
  <c r="C357" i="35" a="1"/>
  <c r="C357" i="35" s="1"/>
  <c r="F357" i="35"/>
  <c r="H1862" i="35" s="1"/>
  <c r="J357" i="35"/>
  <c r="L1862" i="35" s="1"/>
  <c r="Q357" i="35"/>
  <c r="C356" i="35" a="1"/>
  <c r="C356" i="35" s="1"/>
  <c r="F356" i="35"/>
  <c r="J356" i="35"/>
  <c r="Q356" i="35"/>
  <c r="C355" i="35" a="1"/>
  <c r="C355" i="35" s="1"/>
  <c r="F355" i="35"/>
  <c r="H943" i="35" s="1"/>
  <c r="J355" i="35"/>
  <c r="L943" i="35" s="1"/>
  <c r="Q355" i="35"/>
  <c r="C354" i="35" a="1"/>
  <c r="C354" i="35" s="1"/>
  <c r="F354" i="35"/>
  <c r="J354" i="35"/>
  <c r="Q354" i="35"/>
  <c r="C353" i="35" a="1"/>
  <c r="C353" i="35" s="1"/>
  <c r="F353" i="35"/>
  <c r="J353" i="35"/>
  <c r="Q353" i="35"/>
  <c r="C352" i="35" a="1"/>
  <c r="C352" i="35" s="1"/>
  <c r="F352" i="35"/>
  <c r="H961" i="35" s="1"/>
  <c r="J352" i="35"/>
  <c r="L961" i="35" s="1"/>
  <c r="Q352" i="35"/>
  <c r="B190" i="33" a="1"/>
  <c r="B190" i="33" s="1"/>
  <c r="B519" i="33" a="1"/>
  <c r="B519" i="33" s="1"/>
  <c r="B253" i="33" a="1"/>
  <c r="B253" i="33" s="1"/>
  <c r="B359" i="33" a="1"/>
  <c r="B359" i="33" s="1"/>
  <c r="B204" i="33" a="1"/>
  <c r="B204" i="33" s="1"/>
  <c r="B385" i="33" a="1"/>
  <c r="B385" i="33" s="1"/>
  <c r="B188" i="33" a="1"/>
  <c r="B188" i="33" s="1"/>
  <c r="B203" i="33" a="1"/>
  <c r="B203" i="33" s="1"/>
  <c r="B288" i="33" a="1"/>
  <c r="B288" i="33" s="1"/>
  <c r="B451" i="33" a="1"/>
  <c r="B451" i="33" s="1"/>
  <c r="B507" i="33" a="1"/>
  <c r="B507" i="33" s="1"/>
  <c r="B295" i="33" a="1"/>
  <c r="B295" i="33" s="1"/>
  <c r="B259" i="33" a="1"/>
  <c r="B259" i="33" s="1"/>
  <c r="B408" i="33" a="1"/>
  <c r="B408" i="33" s="1"/>
  <c r="B113" i="33" a="1"/>
  <c r="B113" i="33" s="1"/>
  <c r="B196" i="33" a="1"/>
  <c r="B196" i="33" s="1"/>
  <c r="B68" i="33" a="1"/>
  <c r="B68" i="33" s="1"/>
  <c r="B194" i="33" a="1"/>
  <c r="B194" i="33" s="1"/>
  <c r="B257" i="33" a="1"/>
  <c r="B257" i="33" s="1"/>
  <c r="B380" i="33" a="1"/>
  <c r="B380" i="33" s="1"/>
  <c r="E190" i="33" a="1"/>
  <c r="E190" i="33" s="1"/>
  <c r="E519" i="33" a="1"/>
  <c r="E519" i="33" s="1"/>
  <c r="E253" i="33" a="1"/>
  <c r="E253" i="33" s="1"/>
  <c r="E359" i="33" a="1"/>
  <c r="E359" i="33" s="1"/>
  <c r="E204" i="33" a="1"/>
  <c r="E204" i="33" s="1"/>
  <c r="E385" i="33" a="1"/>
  <c r="E385" i="33" s="1"/>
  <c r="E188" i="33" a="1"/>
  <c r="E188" i="33" s="1"/>
  <c r="E203" i="33" a="1"/>
  <c r="E203" i="33" s="1"/>
  <c r="E288" i="33" a="1"/>
  <c r="E288" i="33" s="1"/>
  <c r="E451" i="33" a="1"/>
  <c r="E451" i="33" s="1"/>
  <c r="E507" i="33" a="1"/>
  <c r="E507" i="33" s="1"/>
  <c r="E295" i="33" a="1"/>
  <c r="E295" i="33" s="1"/>
  <c r="E259" i="33" a="1"/>
  <c r="E259" i="33" s="1"/>
  <c r="E408" i="33" a="1"/>
  <c r="E408" i="33" s="1"/>
  <c r="E113" i="33" a="1"/>
  <c r="E113" i="33" s="1"/>
  <c r="E196" i="33" a="1"/>
  <c r="E196" i="33" s="1"/>
  <c r="E68" i="33" a="1"/>
  <c r="E68" i="33" s="1"/>
  <c r="E194" i="33" a="1"/>
  <c r="E194" i="33" s="1"/>
  <c r="E257" i="33" a="1"/>
  <c r="E257" i="33" s="1"/>
  <c r="E380" i="33" a="1"/>
  <c r="E380" i="33" s="1"/>
  <c r="F190" i="33" a="1"/>
  <c r="F190" i="33" s="1"/>
  <c r="F519" i="33" a="1"/>
  <c r="F519" i="33" s="1"/>
  <c r="F253" i="33" a="1"/>
  <c r="F253" i="33" s="1"/>
  <c r="F359" i="33" a="1"/>
  <c r="F359" i="33" s="1"/>
  <c r="F204" i="33" a="1"/>
  <c r="F204" i="33" s="1"/>
  <c r="F385" i="33" a="1"/>
  <c r="F385" i="33" s="1"/>
  <c r="F188" i="33" a="1"/>
  <c r="F188" i="33" s="1"/>
  <c r="F203" i="33" a="1"/>
  <c r="F203" i="33" s="1"/>
  <c r="F288" i="33" a="1"/>
  <c r="F288" i="33" s="1"/>
  <c r="F451" i="33" a="1"/>
  <c r="F451" i="33" s="1"/>
  <c r="F507" i="33" a="1"/>
  <c r="F507" i="33" s="1"/>
  <c r="F295" i="33" a="1"/>
  <c r="F295" i="33" s="1"/>
  <c r="F259" i="33" a="1"/>
  <c r="F259" i="33" s="1"/>
  <c r="F408" i="33" a="1"/>
  <c r="F408" i="33" s="1"/>
  <c r="F113" i="33" a="1"/>
  <c r="F113" i="33" s="1"/>
  <c r="F196" i="33" a="1"/>
  <c r="F196" i="33" s="1"/>
  <c r="F68" i="33" a="1"/>
  <c r="F68" i="33" s="1"/>
  <c r="F194" i="33" a="1"/>
  <c r="F194" i="33" s="1"/>
  <c r="F257" i="33" a="1"/>
  <c r="F257" i="33" s="1"/>
  <c r="F380" i="33" a="1"/>
  <c r="F380" i="33" s="1"/>
  <c r="G190" i="33" a="1"/>
  <c r="G190" i="33" s="1"/>
  <c r="G519" i="33" a="1"/>
  <c r="G519" i="33" s="1"/>
  <c r="G253" i="33" a="1"/>
  <c r="G253" i="33" s="1"/>
  <c r="G359" i="33" a="1"/>
  <c r="G359" i="33" s="1"/>
  <c r="G204" i="33" a="1"/>
  <c r="G204" i="33" s="1"/>
  <c r="G385" i="33" a="1"/>
  <c r="G385" i="33" s="1"/>
  <c r="G188" i="33" a="1"/>
  <c r="G188" i="33" s="1"/>
  <c r="G203" i="33" a="1"/>
  <c r="G203" i="33" s="1"/>
  <c r="G288" i="33" a="1"/>
  <c r="G288" i="33" s="1"/>
  <c r="G451" i="33" a="1"/>
  <c r="G451" i="33" s="1"/>
  <c r="G507" i="33" a="1"/>
  <c r="G507" i="33" s="1"/>
  <c r="G295" i="33" a="1"/>
  <c r="G295" i="33" s="1"/>
  <c r="G259" i="33" a="1"/>
  <c r="G259" i="33" s="1"/>
  <c r="G408" i="33" a="1"/>
  <c r="G408" i="33" s="1"/>
  <c r="G113" i="33" a="1"/>
  <c r="G113" i="33" s="1"/>
  <c r="G196" i="33" a="1"/>
  <c r="G196" i="33" s="1"/>
  <c r="G68" i="33" a="1"/>
  <c r="G68" i="33" s="1"/>
  <c r="G194" i="33" a="1"/>
  <c r="G194" i="33" s="1"/>
  <c r="G257" i="33" a="1"/>
  <c r="G257" i="33" s="1"/>
  <c r="G380" i="33" a="1"/>
  <c r="G380" i="33" s="1"/>
  <c r="H288" i="33"/>
  <c r="H451" i="33"/>
  <c r="H507" i="33"/>
  <c r="H295" i="33"/>
  <c r="H259" i="33"/>
  <c r="H408" i="33"/>
  <c r="H257" i="33"/>
  <c r="H380" i="33"/>
  <c r="I288" i="33"/>
  <c r="I451" i="33"/>
  <c r="I507" i="33"/>
  <c r="I295" i="33"/>
  <c r="I259" i="33"/>
  <c r="I408" i="33"/>
  <c r="I257" i="33"/>
  <c r="I380" i="33"/>
  <c r="L190" i="33" a="1"/>
  <c r="L190" i="33" s="1"/>
  <c r="L519" i="33" a="1"/>
  <c r="L519" i="33" s="1"/>
  <c r="L253" i="33" a="1"/>
  <c r="L253" i="33" s="1"/>
  <c r="L359" i="33" a="1"/>
  <c r="L359" i="33" s="1"/>
  <c r="L204" i="33" a="1"/>
  <c r="L204" i="33" s="1"/>
  <c r="L385" i="33" a="1"/>
  <c r="L385" i="33" s="1"/>
  <c r="L188" i="33" a="1"/>
  <c r="L188" i="33" s="1"/>
  <c r="L203" i="33" a="1"/>
  <c r="L203" i="33" s="1"/>
  <c r="L288" i="33" a="1"/>
  <c r="L288" i="33" s="1"/>
  <c r="L451" i="33" a="1"/>
  <c r="L451" i="33" s="1"/>
  <c r="L507" i="33" a="1"/>
  <c r="L507" i="33" s="1"/>
  <c r="L295" i="33" a="1"/>
  <c r="L295" i="33" s="1"/>
  <c r="L259" i="33" a="1"/>
  <c r="L259" i="33" s="1"/>
  <c r="L408" i="33" a="1"/>
  <c r="L408" i="33" s="1"/>
  <c r="L113" i="33" a="1"/>
  <c r="L113" i="33" s="1"/>
  <c r="L196" i="33" a="1"/>
  <c r="L196" i="33" s="1"/>
  <c r="L68" i="33" a="1"/>
  <c r="L68" i="33" s="1"/>
  <c r="L194" i="33" a="1"/>
  <c r="L194" i="33" s="1"/>
  <c r="L257" i="33" a="1"/>
  <c r="L257" i="33" s="1"/>
  <c r="L380" i="33" a="1"/>
  <c r="L380" i="33" s="1"/>
  <c r="M190" i="33"/>
  <c r="M253" i="33"/>
  <c r="M359" i="33"/>
  <c r="M204" i="33"/>
  <c r="M385" i="33"/>
  <c r="M188" i="33"/>
  <c r="M203" i="33"/>
  <c r="M288" i="33"/>
  <c r="M451" i="33"/>
  <c r="M507" i="33"/>
  <c r="M295" i="33"/>
  <c r="M259" i="33"/>
  <c r="M408" i="33"/>
  <c r="M113" i="33"/>
  <c r="M196" i="33"/>
  <c r="M68" i="33"/>
  <c r="M194" i="33"/>
  <c r="M257" i="33"/>
  <c r="M380" i="33"/>
  <c r="N190" i="33"/>
  <c r="N253" i="33"/>
  <c r="N359" i="33"/>
  <c r="N204" i="33"/>
  <c r="N385" i="33"/>
  <c r="N188" i="33"/>
  <c r="N203" i="33"/>
  <c r="N288" i="33"/>
  <c r="N451" i="33"/>
  <c r="N507" i="33"/>
  <c r="N295" i="33"/>
  <c r="N259" i="33"/>
  <c r="N408" i="33"/>
  <c r="N113" i="33"/>
  <c r="N194" i="33"/>
  <c r="N257" i="33"/>
  <c r="N380" i="33"/>
  <c r="P190" i="33"/>
  <c r="P519" i="33"/>
  <c r="P253" i="33"/>
  <c r="P359" i="33"/>
  <c r="P204" i="33"/>
  <c r="P385" i="33"/>
  <c r="P188" i="33"/>
  <c r="P203" i="33"/>
  <c r="P288" i="33"/>
  <c r="P451" i="33"/>
  <c r="P507" i="33"/>
  <c r="P295" i="33"/>
  <c r="P259" i="33"/>
  <c r="P408" i="33"/>
  <c r="P113" i="33"/>
  <c r="P196" i="33"/>
  <c r="P68" i="33"/>
  <c r="P194" i="33"/>
  <c r="P257" i="33"/>
  <c r="P380" i="33"/>
  <c r="B352" i="33" a="1"/>
  <c r="B352" i="33" s="1"/>
  <c r="E352" i="33" a="1"/>
  <c r="E352" i="33" s="1"/>
  <c r="F352" i="33" a="1"/>
  <c r="F352" i="33" s="1"/>
  <c r="G352" i="33" a="1"/>
  <c r="G352" i="33" s="1"/>
  <c r="L352" i="33" a="1"/>
  <c r="L352" i="33" s="1"/>
  <c r="M352" i="33"/>
  <c r="N352" i="33"/>
  <c r="P352" i="33"/>
  <c r="B206" i="33" a="1"/>
  <c r="B206" i="33" s="1"/>
  <c r="E206" i="33" a="1"/>
  <c r="E206" i="33" s="1"/>
  <c r="F206" i="33" a="1"/>
  <c r="F206" i="33" s="1"/>
  <c r="G206" i="33" a="1"/>
  <c r="G206" i="33" s="1"/>
  <c r="L206" i="33" a="1"/>
  <c r="L206" i="33" s="1"/>
  <c r="M206" i="33"/>
  <c r="N206" i="33"/>
  <c r="P206" i="33"/>
  <c r="C351" i="35" a="1"/>
  <c r="C351" i="35" s="1"/>
  <c r="F351" i="35"/>
  <c r="G351" i="35" s="1"/>
  <c r="J351" i="35"/>
  <c r="K351" i="35" s="1"/>
  <c r="Q351" i="35"/>
  <c r="C349" i="35" a="1"/>
  <c r="C349" i="35" s="1"/>
  <c r="C350" i="35" a="1"/>
  <c r="C350" i="35" s="1"/>
  <c r="F350" i="35"/>
  <c r="G350" i="35" s="1"/>
  <c r="J350" i="35"/>
  <c r="K350" i="35" s="1"/>
  <c r="Q350" i="35"/>
  <c r="F349" i="35"/>
  <c r="G349" i="35" s="1"/>
  <c r="J349" i="35"/>
  <c r="K349" i="35" s="1"/>
  <c r="Q349" i="35"/>
  <c r="C348" i="35" a="1"/>
  <c r="C348" i="35" s="1"/>
  <c r="F348" i="35"/>
  <c r="G348" i="35" s="1"/>
  <c r="J348" i="35"/>
  <c r="K348" i="35" s="1"/>
  <c r="Q348" i="35"/>
  <c r="C347" i="35" a="1"/>
  <c r="C347" i="35" s="1"/>
  <c r="F347" i="35"/>
  <c r="G347" i="35" s="1"/>
  <c r="J347" i="35"/>
  <c r="K347" i="35" s="1"/>
  <c r="Q347" i="35"/>
  <c r="C346" i="35" a="1"/>
  <c r="C346" i="35" s="1"/>
  <c r="F346" i="35"/>
  <c r="G346" i="35" s="1"/>
  <c r="J346" i="35"/>
  <c r="K346" i="35" s="1"/>
  <c r="Q346" i="35"/>
  <c r="C345" i="35" a="1"/>
  <c r="C345" i="35" s="1"/>
  <c r="F345" i="35"/>
  <c r="G345" i="35" s="1"/>
  <c r="J345" i="35"/>
  <c r="K345" i="35" s="1"/>
  <c r="Q345" i="35"/>
  <c r="C344" i="35" a="1"/>
  <c r="C344" i="35" s="1"/>
  <c r="F344" i="35"/>
  <c r="G344" i="35" s="1"/>
  <c r="J344" i="35"/>
  <c r="K344" i="35" s="1"/>
  <c r="Q344" i="35"/>
  <c r="C343" i="35" a="1"/>
  <c r="C343" i="35" s="1"/>
  <c r="F343" i="35"/>
  <c r="G343" i="35" s="1"/>
  <c r="J343" i="35"/>
  <c r="K343" i="35" s="1"/>
  <c r="Q343" i="35"/>
  <c r="C342" i="35" a="1"/>
  <c r="C342" i="35" s="1"/>
  <c r="F342" i="35"/>
  <c r="G342" i="35" s="1"/>
  <c r="J342" i="35"/>
  <c r="K342" i="35" s="1"/>
  <c r="Q342" i="35"/>
  <c r="O941" i="31" a="1"/>
  <c r="O941" i="31" s="1"/>
  <c r="R941" i="31" s="1"/>
  <c r="O958" i="31" a="1"/>
  <c r="O958" i="31" s="1"/>
  <c r="R958" i="31" s="1"/>
  <c r="O952" i="31" a="1"/>
  <c r="O952" i="31" s="1"/>
  <c r="R952" i="31" s="1"/>
  <c r="O986" i="31" a="1"/>
  <c r="O986" i="31" s="1"/>
  <c r="R986" i="31" s="1"/>
  <c r="O987" i="31" a="1"/>
  <c r="O987" i="31" s="1"/>
  <c r="R987" i="31" s="1"/>
  <c r="O939" i="31" a="1"/>
  <c r="O939" i="31" s="1"/>
  <c r="R939" i="31" s="1"/>
  <c r="O1013" i="31" a="1"/>
  <c r="O1013" i="31" s="1"/>
  <c r="R1013" i="31" s="1"/>
  <c r="O926" i="31" a="1"/>
  <c r="O926" i="31" s="1"/>
  <c r="R926" i="31" s="1"/>
  <c r="O1022" i="31" a="1"/>
  <c r="O1022" i="31" s="1"/>
  <c r="R1022" i="31" s="1"/>
  <c r="O979" i="31" a="1"/>
  <c r="O979" i="31" s="1"/>
  <c r="R979" i="31" s="1"/>
  <c r="O992" i="31" a="1"/>
  <c r="O992" i="31" s="1"/>
  <c r="R992" i="31" s="1"/>
  <c r="O982" i="31" a="1"/>
  <c r="O982" i="31" s="1"/>
  <c r="R982" i="31" s="1"/>
  <c r="O947" i="31" a="1"/>
  <c r="O947" i="31" s="1"/>
  <c r="R947" i="31" s="1"/>
  <c r="O907" i="31" a="1"/>
  <c r="O907" i="31" s="1"/>
  <c r="R907" i="31" s="1"/>
  <c r="L992" i="31"/>
  <c r="L982" i="31"/>
  <c r="J941" i="31"/>
  <c r="J958" i="31"/>
  <c r="J952" i="31"/>
  <c r="J986" i="31"/>
  <c r="J987" i="31"/>
  <c r="J939" i="31"/>
  <c r="J1013" i="31"/>
  <c r="J926" i="31"/>
  <c r="J1022" i="31"/>
  <c r="J992" i="31"/>
  <c r="J982" i="31"/>
  <c r="J947" i="31"/>
  <c r="I941" i="31"/>
  <c r="I986" i="31"/>
  <c r="I939" i="31"/>
  <c r="I926" i="31"/>
  <c r="I1022" i="31"/>
  <c r="I992" i="31"/>
  <c r="I982" i="31"/>
  <c r="I947" i="31"/>
  <c r="I907" i="31"/>
  <c r="H941" i="31"/>
  <c r="H958" i="31"/>
  <c r="H952" i="31"/>
  <c r="H987" i="31"/>
  <c r="H939" i="31"/>
  <c r="H1013" i="31"/>
  <c r="H926" i="31"/>
  <c r="H992" i="31"/>
  <c r="H982" i="31"/>
  <c r="H947" i="31"/>
  <c r="G1022" i="31"/>
  <c r="G979" i="31"/>
  <c r="G982" i="31"/>
  <c r="AF6" i="31"/>
  <c r="AF7" i="31"/>
  <c r="AF8" i="31"/>
  <c r="AF447" i="31"/>
  <c r="AF452" i="31"/>
  <c r="AF444" i="31"/>
  <c r="AF12" i="31"/>
  <c r="AF13" i="31"/>
  <c r="AF14" i="31"/>
  <c r="AF15" i="31"/>
  <c r="AF16" i="31"/>
  <c r="AF17" i="31"/>
  <c r="AF18" i="31"/>
  <c r="AF19" i="31"/>
  <c r="AF443" i="31"/>
  <c r="AF21" i="31"/>
  <c r="AF22" i="31"/>
  <c r="AF23" i="31"/>
  <c r="E928" i="31" s="1"/>
  <c r="AF24" i="31"/>
  <c r="AF25" i="31"/>
  <c r="AF26" i="31"/>
  <c r="AF27" i="31"/>
  <c r="AF28" i="31"/>
  <c r="AF29" i="31"/>
  <c r="AF30" i="31"/>
  <c r="AF31" i="31"/>
  <c r="AF32" i="31"/>
  <c r="AF33" i="31"/>
  <c r="AF34" i="31"/>
  <c r="AF35" i="31"/>
  <c r="AF36" i="31"/>
  <c r="AF431" i="31"/>
  <c r="AF38" i="31"/>
  <c r="AF39" i="31"/>
  <c r="AF40" i="31"/>
  <c r="AF423" i="31"/>
  <c r="AF42" i="31"/>
  <c r="AF43" i="31"/>
  <c r="AF44" i="31"/>
  <c r="AF45" i="31"/>
  <c r="AF46" i="31"/>
  <c r="AF47" i="31"/>
  <c r="AF295" i="31"/>
  <c r="AF49" i="31"/>
  <c r="AF50" i="31"/>
  <c r="AF51" i="31"/>
  <c r="AF52" i="31"/>
  <c r="AF53" i="31"/>
  <c r="AF440" i="31"/>
  <c r="AF55" i="31"/>
  <c r="AF56" i="31"/>
  <c r="AF57" i="31"/>
  <c r="F919" i="31" s="1"/>
  <c r="AF58" i="31"/>
  <c r="AF59" i="31"/>
  <c r="AF60" i="31"/>
  <c r="AF61" i="31"/>
  <c r="AF62" i="31"/>
  <c r="AF63" i="31"/>
  <c r="AF64" i="31"/>
  <c r="AF65" i="31"/>
  <c r="AF66" i="31"/>
  <c r="AF67" i="31"/>
  <c r="AF421" i="31"/>
  <c r="AF69" i="31"/>
  <c r="AF70" i="31"/>
  <c r="AF304" i="31"/>
  <c r="AF72" i="31"/>
  <c r="AF73" i="31"/>
  <c r="AF74" i="31"/>
  <c r="AF75" i="31"/>
  <c r="AF76" i="31"/>
  <c r="AF77" i="31"/>
  <c r="AF78" i="31"/>
  <c r="AF79" i="31"/>
  <c r="AF80" i="31"/>
  <c r="AF81" i="31"/>
  <c r="AF82" i="31"/>
  <c r="AF83" i="31"/>
  <c r="AF305" i="31"/>
  <c r="AF420" i="31"/>
  <c r="AF86" i="31"/>
  <c r="AF87" i="31"/>
  <c r="AF88" i="31"/>
  <c r="E993" i="31" s="1"/>
  <c r="AF89" i="31"/>
  <c r="AF306" i="31"/>
  <c r="AF91" i="31"/>
  <c r="AF401" i="31"/>
  <c r="AF93" i="31"/>
  <c r="AF94" i="31"/>
  <c r="AF95" i="31"/>
  <c r="AF96" i="31"/>
  <c r="AF97" i="31"/>
  <c r="AF98" i="31"/>
  <c r="AF99" i="31"/>
  <c r="AF385" i="31"/>
  <c r="AF20" i="31"/>
  <c r="AF102" i="31"/>
  <c r="AF103" i="31"/>
  <c r="AF104" i="31"/>
  <c r="AF105" i="31"/>
  <c r="AF37" i="31"/>
  <c r="AF379" i="31"/>
  <c r="AF108" i="31"/>
  <c r="AF109" i="31"/>
  <c r="AF110" i="31"/>
  <c r="AF111" i="31"/>
  <c r="F989" i="31" s="1"/>
  <c r="AF112" i="31"/>
  <c r="AF113" i="31"/>
  <c r="AF114" i="31"/>
  <c r="AF418" i="31"/>
  <c r="AF116" i="31"/>
  <c r="AF117" i="31"/>
  <c r="AF386" i="31"/>
  <c r="AF426" i="31"/>
  <c r="AF439" i="31"/>
  <c r="AF121" i="31"/>
  <c r="AF122" i="31"/>
  <c r="AF123" i="31"/>
  <c r="AF124" i="31"/>
  <c r="AF125" i="31"/>
  <c r="AF126" i="31"/>
  <c r="AF127" i="31"/>
  <c r="AF128" i="31"/>
  <c r="AF129" i="31"/>
  <c r="AF422" i="31"/>
  <c r="AF131" i="31"/>
  <c r="AF132" i="31"/>
  <c r="AF357" i="31"/>
  <c r="AF363" i="31"/>
  <c r="AF307" i="31"/>
  <c r="AF136" i="31"/>
  <c r="AF240" i="31"/>
  <c r="AF387" i="31"/>
  <c r="AF139" i="31"/>
  <c r="AF140" i="31"/>
  <c r="AF141" i="31"/>
  <c r="AF430" i="31"/>
  <c r="AF143" i="31"/>
  <c r="AF144" i="31"/>
  <c r="AF145" i="31"/>
  <c r="AF146" i="31"/>
  <c r="AF147" i="31"/>
  <c r="AF340" i="31"/>
  <c r="AF389" i="31"/>
  <c r="AF150" i="31"/>
  <c r="AF334" i="31"/>
  <c r="AF419" i="31"/>
  <c r="AF390" i="31"/>
  <c r="AF154" i="31"/>
  <c r="AF320" i="31"/>
  <c r="AF323" i="31"/>
  <c r="AF382" i="31"/>
  <c r="AF158" i="31"/>
  <c r="AF383" i="31"/>
  <c r="AF160" i="31"/>
  <c r="AF161" i="31"/>
  <c r="AF162" i="31"/>
  <c r="AF299" i="31"/>
  <c r="AF164" i="31"/>
  <c r="AF365" i="31"/>
  <c r="AF341" i="31"/>
  <c r="AF335" i="31"/>
  <c r="AF300" i="31"/>
  <c r="AF169" i="31"/>
  <c r="AF170" i="31"/>
  <c r="AF171" i="31"/>
  <c r="AF172" i="31"/>
  <c r="AF173" i="31"/>
  <c r="AF174" i="31"/>
  <c r="AF175" i="31"/>
  <c r="AF176" i="31"/>
  <c r="AF177" i="31"/>
  <c r="AF178" i="31"/>
  <c r="AF179" i="31"/>
  <c r="AF180" i="31"/>
  <c r="AF181" i="31"/>
  <c r="AF182" i="31"/>
  <c r="AF183" i="31"/>
  <c r="AF184" i="31"/>
  <c r="AF185" i="31"/>
  <c r="AF186" i="31"/>
  <c r="AF393" i="31"/>
  <c r="AF384" i="31"/>
  <c r="AF189" i="31"/>
  <c r="AF190" i="31"/>
  <c r="AF191" i="31"/>
  <c r="AF192" i="31"/>
  <c r="AF193" i="31"/>
  <c r="AF194" i="31"/>
  <c r="E956" i="31" s="1"/>
  <c r="AF41" i="31"/>
  <c r="AF196" i="31"/>
  <c r="AF301" i="31"/>
  <c r="AF198" i="31"/>
  <c r="AF199" i="31"/>
  <c r="AF200" i="31"/>
  <c r="E1003" i="31" s="1"/>
  <c r="AF48" i="31"/>
  <c r="AF202" i="31"/>
  <c r="AF203" i="31"/>
  <c r="AF204" i="31"/>
  <c r="AF205" i="31"/>
  <c r="AF377" i="31"/>
  <c r="AF207" i="31"/>
  <c r="AF208" i="31"/>
  <c r="AF209" i="31"/>
  <c r="AF210" i="31"/>
  <c r="AF211" i="31"/>
  <c r="AF243" i="31"/>
  <c r="AF258" i="31"/>
  <c r="AF101" i="31"/>
  <c r="AF233" i="31"/>
  <c r="AF260" i="31"/>
  <c r="AF217" i="31"/>
  <c r="AF218" i="31"/>
  <c r="AF219" i="31"/>
  <c r="AF220" i="31"/>
  <c r="AF221" i="31"/>
  <c r="AF296" i="31"/>
  <c r="AF223" i="31"/>
  <c r="AF224" i="31"/>
  <c r="AF225" i="31"/>
  <c r="AF226" i="31"/>
  <c r="AF227" i="31"/>
  <c r="AF272" i="31"/>
  <c r="AF302" i="31"/>
  <c r="AF231" i="31"/>
  <c r="AF214" i="31"/>
  <c r="AF395" i="31"/>
  <c r="AF234" i="31"/>
  <c r="AF235" i="31"/>
  <c r="AF236" i="31"/>
  <c r="AF303" i="31"/>
  <c r="AF238" i="31"/>
  <c r="AF239" i="31"/>
  <c r="AF263" i="31"/>
  <c r="AF264" i="31"/>
  <c r="AF215" i="31"/>
  <c r="AF195" i="31"/>
  <c r="AF244" i="31"/>
  <c r="AF201" i="31"/>
  <c r="AF245" i="31"/>
  <c r="AF246" i="31"/>
  <c r="AF247" i="31"/>
  <c r="AF248" i="31"/>
  <c r="AF249" i="31"/>
  <c r="AF250" i="31"/>
  <c r="AF251" i="31"/>
  <c r="AF252" i="31"/>
  <c r="AF253" i="31"/>
  <c r="AF254" i="31"/>
  <c r="AF255" i="31"/>
  <c r="AF256" i="31"/>
  <c r="AF257" i="31"/>
  <c r="D982" i="31"/>
  <c r="C257" i="31" a="1"/>
  <c r="C257" i="31" s="1"/>
  <c r="D257" i="31" a="1"/>
  <c r="D257" i="31" s="1"/>
  <c r="L257" i="31"/>
  <c r="Q257" i="31"/>
  <c r="R257" i="31"/>
  <c r="U257" i="31"/>
  <c r="V257" i="31"/>
  <c r="AD257" i="31" s="1"/>
  <c r="W257" i="31"/>
  <c r="AB257" i="31"/>
  <c r="AC257" i="31"/>
  <c r="C256" i="31" a="1"/>
  <c r="C256" i="31" s="1"/>
  <c r="D256" i="31" a="1"/>
  <c r="D256" i="31" s="1"/>
  <c r="L256" i="31"/>
  <c r="Q256" i="31"/>
  <c r="R256" i="31"/>
  <c r="U256" i="31"/>
  <c r="V256" i="31"/>
  <c r="AD256" i="31" s="1"/>
  <c r="W256" i="31"/>
  <c r="AB256" i="31"/>
  <c r="AC256" i="31"/>
  <c r="L251" i="31"/>
  <c r="L252" i="31"/>
  <c r="C341" i="35" a="1"/>
  <c r="C341" i="35" s="1"/>
  <c r="F341" i="35"/>
  <c r="G341" i="35" s="1"/>
  <c r="J341" i="35"/>
  <c r="K341" i="35" s="1"/>
  <c r="Q341" i="35"/>
  <c r="C255" i="31" a="1"/>
  <c r="C255" i="31" s="1"/>
  <c r="D255" i="31" a="1"/>
  <c r="D255" i="31" s="1"/>
  <c r="L255" i="31"/>
  <c r="Q255" i="31"/>
  <c r="R255" i="31"/>
  <c r="U255" i="31"/>
  <c r="V255" i="31"/>
  <c r="AD255" i="31" s="1"/>
  <c r="W255" i="31"/>
  <c r="AB255" i="31"/>
  <c r="AC255" i="31"/>
  <c r="C340" i="35" a="1"/>
  <c r="C340" i="35" s="1"/>
  <c r="F340" i="35"/>
  <c r="J340" i="35"/>
  <c r="Q340" i="35"/>
  <c r="B241" i="33" a="1"/>
  <c r="B241" i="33" s="1"/>
  <c r="E241" i="33" a="1"/>
  <c r="E241" i="33" s="1"/>
  <c r="F241" i="33" a="1"/>
  <c r="F241" i="33" s="1"/>
  <c r="G241" i="33" a="1"/>
  <c r="G241" i="33" s="1"/>
  <c r="L241" i="33" a="1"/>
  <c r="L241" i="33" s="1"/>
  <c r="M241" i="33"/>
  <c r="N241" i="33"/>
  <c r="P241" i="33"/>
  <c r="C339" i="35" a="1"/>
  <c r="C339" i="35" s="1"/>
  <c r="F339" i="35"/>
  <c r="G339" i="35" s="1"/>
  <c r="J339" i="35"/>
  <c r="K339" i="35" s="1"/>
  <c r="Q339" i="35"/>
  <c r="C254" i="31" a="1"/>
  <c r="C254" i="31" s="1"/>
  <c r="D254" i="31" a="1"/>
  <c r="D254" i="31" s="1"/>
  <c r="L254" i="31"/>
  <c r="Q254" i="31"/>
  <c r="R254" i="31"/>
  <c r="U254" i="31"/>
  <c r="V254" i="31"/>
  <c r="AD254" i="31" s="1"/>
  <c r="W254" i="31"/>
  <c r="AB254" i="31"/>
  <c r="AC254" i="31"/>
  <c r="C253" i="31" a="1"/>
  <c r="C253" i="31" s="1"/>
  <c r="D253" i="31" a="1"/>
  <c r="D253" i="31" s="1"/>
  <c r="L253" i="31"/>
  <c r="Q253" i="31"/>
  <c r="R253" i="31"/>
  <c r="U253" i="31"/>
  <c r="L958" i="31" s="1"/>
  <c r="V253" i="31"/>
  <c r="AD253" i="31" s="1"/>
  <c r="W253" i="31"/>
  <c r="AB253" i="31"/>
  <c r="AC253" i="31"/>
  <c r="C338" i="35" a="1"/>
  <c r="C338" i="35" s="1"/>
  <c r="F338" i="35"/>
  <c r="G338" i="35" s="1"/>
  <c r="J338" i="35"/>
  <c r="K338" i="35" s="1"/>
  <c r="Q338" i="35"/>
  <c r="C248" i="31" a="1"/>
  <c r="C248" i="31" s="1"/>
  <c r="D248" i="31" a="1"/>
  <c r="D248" i="31" s="1"/>
  <c r="L248" i="31"/>
  <c r="Q248" i="31"/>
  <c r="R248" i="31"/>
  <c r="U248" i="31"/>
  <c r="V248" i="31"/>
  <c r="AD248" i="31" s="1"/>
  <c r="W248" i="31"/>
  <c r="AB248" i="31"/>
  <c r="AC248" i="31"/>
  <c r="C247" i="31" a="1"/>
  <c r="C247" i="31" s="1"/>
  <c r="D247" i="31" a="1"/>
  <c r="D247" i="31" s="1"/>
  <c r="L247" i="31"/>
  <c r="Q247" i="31"/>
  <c r="R247" i="31"/>
  <c r="U247" i="31"/>
  <c r="V247" i="31"/>
  <c r="AD247" i="31" s="1"/>
  <c r="W247" i="31"/>
  <c r="AB247" i="31"/>
  <c r="AC247" i="31"/>
  <c r="C252" i="31" a="1"/>
  <c r="C252" i="31" s="1"/>
  <c r="D252" i="31" a="1"/>
  <c r="D252" i="31" s="1"/>
  <c r="Q252" i="31"/>
  <c r="R252" i="31"/>
  <c r="U252" i="31"/>
  <c r="V252" i="31"/>
  <c r="AD252" i="31" s="1"/>
  <c r="W252" i="31"/>
  <c r="AB252" i="31"/>
  <c r="AC252" i="31"/>
  <c r="C251" i="31" a="1"/>
  <c r="C251" i="31" s="1"/>
  <c r="D251" i="31" a="1"/>
  <c r="D251" i="31" s="1"/>
  <c r="Q251" i="31"/>
  <c r="R251" i="31"/>
  <c r="U251" i="31"/>
  <c r="V251" i="31"/>
  <c r="AD251" i="31" s="1"/>
  <c r="W251" i="31"/>
  <c r="AB251" i="31"/>
  <c r="AC251" i="31"/>
  <c r="B249" i="33" a="1"/>
  <c r="B249" i="33" s="1"/>
  <c r="E249" i="33" a="1"/>
  <c r="E249" i="33" s="1"/>
  <c r="F249" i="33" a="1"/>
  <c r="F249" i="33" s="1"/>
  <c r="G249" i="33" a="1"/>
  <c r="G249" i="33" s="1"/>
  <c r="L249" i="33" a="1"/>
  <c r="L249" i="33" s="1"/>
  <c r="M249" i="33"/>
  <c r="N249" i="33"/>
  <c r="F33" i="34" s="1"/>
  <c r="P249" i="33"/>
  <c r="C337" i="35" a="1"/>
  <c r="C337" i="35" s="1"/>
  <c r="F337" i="35"/>
  <c r="H952" i="35" s="1"/>
  <c r="J337" i="35"/>
  <c r="L952" i="35" s="1"/>
  <c r="Q337" i="35"/>
  <c r="C336" i="35" a="1"/>
  <c r="C336" i="35" s="1"/>
  <c r="F336" i="35"/>
  <c r="G336" i="35" s="1"/>
  <c r="J336" i="35"/>
  <c r="K336" i="35" s="1"/>
  <c r="Q336" i="35"/>
  <c r="C335" i="35" a="1"/>
  <c r="C335" i="35" s="1"/>
  <c r="F335" i="35"/>
  <c r="G335" i="35" s="1"/>
  <c r="J335" i="35"/>
  <c r="K335" i="35" s="1"/>
  <c r="Q335" i="35"/>
  <c r="C334" i="35" a="1"/>
  <c r="C334" i="35" s="1"/>
  <c r="F334" i="35"/>
  <c r="G334" i="35" s="1"/>
  <c r="J334" i="35"/>
  <c r="K334" i="35" s="1"/>
  <c r="Q334" i="35"/>
  <c r="C333" i="35" a="1"/>
  <c r="C333" i="35" s="1"/>
  <c r="F333" i="35"/>
  <c r="G333" i="35" s="1"/>
  <c r="J333" i="35"/>
  <c r="K333" i="35" s="1"/>
  <c r="Q333" i="35"/>
  <c r="C332" i="35" a="1"/>
  <c r="C332" i="35" s="1"/>
  <c r="F332" i="35"/>
  <c r="G332" i="35" s="1"/>
  <c r="J332" i="35"/>
  <c r="K332" i="35" s="1"/>
  <c r="Q332" i="35"/>
  <c r="C331" i="35" a="1"/>
  <c r="C331" i="35" s="1"/>
  <c r="F331" i="35"/>
  <c r="G331" i="35" s="1"/>
  <c r="J331" i="35"/>
  <c r="K331" i="35" s="1"/>
  <c r="Q331" i="35"/>
  <c r="C330" i="35" a="1"/>
  <c r="C330" i="35" s="1"/>
  <c r="F330" i="35"/>
  <c r="G330" i="35" s="1"/>
  <c r="J330" i="35"/>
  <c r="K330" i="35" s="1"/>
  <c r="C250" i="31" a="1"/>
  <c r="C250" i="31" s="1"/>
  <c r="D250" i="31" a="1"/>
  <c r="D250" i="31" s="1"/>
  <c r="L250" i="31"/>
  <c r="Q250" i="31"/>
  <c r="R250" i="31"/>
  <c r="U250" i="31"/>
  <c r="V250" i="31"/>
  <c r="AD250" i="31" s="1"/>
  <c r="W250" i="31"/>
  <c r="AB250" i="31"/>
  <c r="AC250" i="31"/>
  <c r="C249" i="31" a="1"/>
  <c r="C249" i="31" s="1"/>
  <c r="D249" i="31" a="1"/>
  <c r="D249" i="31" s="1"/>
  <c r="L249" i="31"/>
  <c r="Q249" i="31"/>
  <c r="R249" i="31"/>
  <c r="U249" i="31"/>
  <c r="V249" i="31"/>
  <c r="AD249" i="31" s="1"/>
  <c r="W249" i="31"/>
  <c r="AB249" i="31"/>
  <c r="AC249" i="31"/>
  <c r="C246" i="31" a="1"/>
  <c r="C246" i="31" s="1"/>
  <c r="D246" i="31" a="1"/>
  <c r="D246" i="31" s="1"/>
  <c r="L246" i="31"/>
  <c r="Q246" i="31"/>
  <c r="R246" i="31"/>
  <c r="U246" i="31"/>
  <c r="V246" i="31"/>
  <c r="AD246" i="31" s="1"/>
  <c r="W246" i="31"/>
  <c r="AB246" i="31"/>
  <c r="AC246" i="31"/>
  <c r="C245" i="31" a="1"/>
  <c r="C245" i="31" s="1"/>
  <c r="D245" i="31" a="1"/>
  <c r="D245" i="31" s="1"/>
  <c r="L245" i="31"/>
  <c r="Q245" i="31"/>
  <c r="R245" i="31"/>
  <c r="U245" i="31"/>
  <c r="V245" i="31"/>
  <c r="AD245" i="31" s="1"/>
  <c r="W245" i="31"/>
  <c r="AB245" i="31"/>
  <c r="AC245" i="31"/>
  <c r="C329" i="35" a="1"/>
  <c r="C329" i="35" s="1"/>
  <c r="F329" i="35"/>
  <c r="J329" i="35"/>
  <c r="Q329" i="35"/>
  <c r="C218" i="31" a="1"/>
  <c r="C218" i="31" s="1"/>
  <c r="D218" i="31" a="1"/>
  <c r="D218" i="31" s="1"/>
  <c r="L218" i="31"/>
  <c r="Q218" i="31"/>
  <c r="R218" i="31"/>
  <c r="U218" i="31"/>
  <c r="V218" i="31"/>
  <c r="AD218" i="31" s="1"/>
  <c r="W218" i="31"/>
  <c r="AB218" i="31"/>
  <c r="AC218" i="31"/>
  <c r="C204" i="31" a="1"/>
  <c r="C204" i="31" s="1"/>
  <c r="D204" i="31" a="1"/>
  <c r="D204" i="31" s="1"/>
  <c r="L204" i="31"/>
  <c r="Q204" i="31"/>
  <c r="R204" i="31"/>
  <c r="U204" i="31"/>
  <c r="V204" i="31"/>
  <c r="AD204" i="31" s="1"/>
  <c r="W204" i="31"/>
  <c r="AB204" i="31"/>
  <c r="AC204" i="31"/>
  <c r="C201" i="31" a="1"/>
  <c r="C201" i="31" s="1"/>
  <c r="D201" i="31" a="1"/>
  <c r="D201" i="31" s="1"/>
  <c r="L201" i="31"/>
  <c r="Q201" i="31"/>
  <c r="R201" i="31"/>
  <c r="U201" i="31"/>
  <c r="V201" i="31"/>
  <c r="AD201" i="31" s="1"/>
  <c r="W201" i="31"/>
  <c r="AB201" i="31"/>
  <c r="AC201" i="31"/>
  <c r="C195" i="31" a="1"/>
  <c r="C195" i="31" s="1"/>
  <c r="D195" i="31" a="1"/>
  <c r="D195" i="31" s="1"/>
  <c r="L195" i="31"/>
  <c r="Q195" i="31"/>
  <c r="R195" i="31"/>
  <c r="U195" i="31"/>
  <c r="V195" i="31"/>
  <c r="AD195" i="31" s="1"/>
  <c r="W195" i="31"/>
  <c r="AB195" i="31"/>
  <c r="AC195" i="31"/>
  <c r="C328" i="35" a="1"/>
  <c r="C328" i="35" s="1"/>
  <c r="F328" i="35"/>
  <c r="G328" i="35" s="1"/>
  <c r="J328" i="35"/>
  <c r="K328" i="35" s="1"/>
  <c r="C327" i="35" a="1"/>
  <c r="C327" i="35" s="1"/>
  <c r="C326" i="35" a="1"/>
  <c r="C326" i="35" s="1"/>
  <c r="F327" i="35"/>
  <c r="G327" i="35" s="1"/>
  <c r="J327" i="35"/>
  <c r="K327" i="35" s="1"/>
  <c r="Q327" i="35"/>
  <c r="F326" i="35"/>
  <c r="G326" i="35" s="1"/>
  <c r="J326" i="35"/>
  <c r="K326" i="35" s="1"/>
  <c r="Q326" i="35"/>
  <c r="C215" i="31" a="1"/>
  <c r="C215" i="31" s="1"/>
  <c r="D215" i="31" a="1"/>
  <c r="D215" i="31" s="1"/>
  <c r="L215" i="31"/>
  <c r="Q215" i="31"/>
  <c r="R215" i="31"/>
  <c r="U215" i="31"/>
  <c r="L941" i="31" s="1"/>
  <c r="V215" i="31"/>
  <c r="AD215" i="31" s="1"/>
  <c r="W215" i="31"/>
  <c r="AB215" i="31"/>
  <c r="AC215" i="31"/>
  <c r="C325" i="35" a="1"/>
  <c r="C325" i="35" s="1"/>
  <c r="F325" i="35"/>
  <c r="G325" i="35" s="1"/>
  <c r="J325" i="35"/>
  <c r="K325" i="35" s="1"/>
  <c r="C324" i="35" a="1"/>
  <c r="C324" i="35" s="1"/>
  <c r="F324" i="35"/>
  <c r="J324" i="35"/>
  <c r="Q324" i="35"/>
  <c r="B518" i="33" a="1"/>
  <c r="B518" i="33" s="1"/>
  <c r="E518" i="33" a="1"/>
  <c r="E518" i="33" s="1"/>
  <c r="F518" i="33" a="1"/>
  <c r="F518" i="33" s="1"/>
  <c r="G518" i="33" a="1"/>
  <c r="G518" i="33" s="1"/>
  <c r="L518" i="33" a="1"/>
  <c r="L518" i="33" s="1"/>
  <c r="M518" i="33"/>
  <c r="N518" i="33"/>
  <c r="P518" i="33"/>
  <c r="C323" i="35" a="1"/>
  <c r="C323" i="35" s="1"/>
  <c r="F323" i="35"/>
  <c r="G323" i="35" s="1"/>
  <c r="J323" i="35"/>
  <c r="K323" i="35" s="1"/>
  <c r="Q323" i="35"/>
  <c r="C322" i="35" a="1"/>
  <c r="C322" i="35" s="1"/>
  <c r="F322" i="35"/>
  <c r="G322" i="35" s="1"/>
  <c r="J322" i="35"/>
  <c r="K322" i="35" s="1"/>
  <c r="Q322" i="35"/>
  <c r="C321" i="35" a="1"/>
  <c r="C321" i="35" s="1"/>
  <c r="F321" i="35"/>
  <c r="G321" i="35" s="1"/>
  <c r="J321" i="35"/>
  <c r="K321" i="35" s="1"/>
  <c r="C320" i="35" a="1"/>
  <c r="C320" i="35" s="1"/>
  <c r="F320" i="35"/>
  <c r="G320" i="35" s="1"/>
  <c r="J320" i="35"/>
  <c r="K320" i="35" s="1"/>
  <c r="Q320" i="35"/>
  <c r="C236" i="31" a="1"/>
  <c r="C236" i="31" s="1"/>
  <c r="D236" i="31" a="1"/>
  <c r="D236" i="31" s="1"/>
  <c r="L236" i="31"/>
  <c r="Q236" i="31"/>
  <c r="R236" i="31"/>
  <c r="U236" i="31"/>
  <c r="V236" i="31"/>
  <c r="AD236" i="31" s="1"/>
  <c r="W236" i="31"/>
  <c r="AB236" i="31"/>
  <c r="AC236" i="31"/>
  <c r="C239" i="31" a="1"/>
  <c r="C239" i="31" s="1"/>
  <c r="D239" i="31" a="1"/>
  <c r="D239" i="31" s="1"/>
  <c r="L239" i="31"/>
  <c r="Q239" i="31"/>
  <c r="R239" i="31"/>
  <c r="U239" i="31"/>
  <c r="V239" i="31"/>
  <c r="AD239" i="31" s="1"/>
  <c r="W239" i="31"/>
  <c r="AB239" i="31"/>
  <c r="AC239" i="31"/>
  <c r="C238" i="31" a="1"/>
  <c r="C238" i="31" s="1"/>
  <c r="D238" i="31" a="1"/>
  <c r="D238" i="31" s="1"/>
  <c r="L238" i="31"/>
  <c r="Y238" i="31" s="1"/>
  <c r="Q238" i="31"/>
  <c r="R238" i="31"/>
  <c r="U238" i="31"/>
  <c r="V238" i="31"/>
  <c r="AD238" i="31" s="1"/>
  <c r="W238" i="31"/>
  <c r="AB238" i="31"/>
  <c r="AC238" i="31"/>
  <c r="C303" i="31" a="1"/>
  <c r="C303" i="31" s="1"/>
  <c r="D303" i="31" a="1"/>
  <c r="D303" i="31" s="1"/>
  <c r="L303" i="31"/>
  <c r="Q303" i="31"/>
  <c r="R303" i="31"/>
  <c r="U303" i="31"/>
  <c r="V303" i="31"/>
  <c r="AD303" i="31" s="1"/>
  <c r="W303" i="31"/>
  <c r="AB303" i="31"/>
  <c r="AC303" i="31"/>
  <c r="C219" i="31" a="1"/>
  <c r="C219" i="31" s="1"/>
  <c r="D219" i="31" a="1"/>
  <c r="D219" i="31" s="1"/>
  <c r="L219" i="31"/>
  <c r="Q219" i="31"/>
  <c r="R219" i="31"/>
  <c r="U219" i="31"/>
  <c r="V219" i="31"/>
  <c r="AD219" i="31" s="1"/>
  <c r="W219" i="31"/>
  <c r="AB219" i="31"/>
  <c r="AC219" i="31"/>
  <c r="C263" i="31" a="1"/>
  <c r="C263" i="31" s="1"/>
  <c r="D263" i="31" a="1"/>
  <c r="D263" i="31" s="1"/>
  <c r="L263" i="31"/>
  <c r="Q263" i="31"/>
  <c r="R263" i="31"/>
  <c r="U263" i="31"/>
  <c r="V263" i="31"/>
  <c r="AD263" i="31" s="1"/>
  <c r="W263" i="31"/>
  <c r="AB263" i="31"/>
  <c r="AC263" i="31"/>
  <c r="C264" i="31" a="1"/>
  <c r="C264" i="31" s="1"/>
  <c r="D264" i="31" a="1"/>
  <c r="D264" i="31" s="1"/>
  <c r="L264" i="31"/>
  <c r="Q264" i="31"/>
  <c r="R264" i="31"/>
  <c r="U264" i="31"/>
  <c r="V264" i="31"/>
  <c r="AD264" i="31" s="1"/>
  <c r="W264" i="31"/>
  <c r="AB264" i="31"/>
  <c r="AC264" i="31"/>
  <c r="C319" i="35" a="1"/>
  <c r="C319" i="35" s="1"/>
  <c r="F319" i="35"/>
  <c r="J319" i="35"/>
  <c r="Q319" i="35"/>
  <c r="C318" i="35" a="1"/>
  <c r="C318" i="35" s="1"/>
  <c r="F318" i="35"/>
  <c r="G318" i="35" s="1"/>
  <c r="J318" i="35"/>
  <c r="K318" i="35" s="1"/>
  <c r="Q318" i="35"/>
  <c r="H152" i="6"/>
  <c r="J152" i="6" s="1"/>
  <c r="I152" i="6"/>
  <c r="K152" i="6" s="1"/>
  <c r="U152" i="6"/>
  <c r="C317" i="35" a="1"/>
  <c r="C317" i="35" s="1"/>
  <c r="F317" i="35"/>
  <c r="G317" i="35" s="1"/>
  <c r="J317" i="35"/>
  <c r="K317" i="35" s="1"/>
  <c r="C235" i="31" a="1"/>
  <c r="C235" i="31" s="1"/>
  <c r="D235" i="31" a="1"/>
  <c r="D235" i="31" s="1"/>
  <c r="L235" i="31"/>
  <c r="Q235" i="31"/>
  <c r="R235" i="31"/>
  <c r="U235" i="31"/>
  <c r="V235" i="31"/>
  <c r="AD235" i="31" s="1"/>
  <c r="W235" i="31"/>
  <c r="AB235" i="31"/>
  <c r="AC235" i="31"/>
  <c r="C316" i="35" a="1"/>
  <c r="C316" i="35" s="1"/>
  <c r="F316" i="35"/>
  <c r="G316" i="35" s="1"/>
  <c r="J316" i="35"/>
  <c r="K316" i="35" s="1"/>
  <c r="Q316" i="35"/>
  <c r="C315" i="35" a="1"/>
  <c r="C315" i="35" s="1"/>
  <c r="F315" i="35"/>
  <c r="H2024" i="35" s="1"/>
  <c r="J315" i="35"/>
  <c r="L2024" i="35" s="1"/>
  <c r="Q315" i="35"/>
  <c r="C314" i="35" a="1"/>
  <c r="C314" i="35" s="1"/>
  <c r="F314" i="35"/>
  <c r="G314" i="35" s="1"/>
  <c r="J314" i="35"/>
  <c r="K314" i="35" s="1"/>
  <c r="C313" i="35" a="1"/>
  <c r="C313" i="35" s="1"/>
  <c r="F313" i="35"/>
  <c r="G313" i="35" s="1"/>
  <c r="J313" i="35"/>
  <c r="K313" i="35" s="1"/>
  <c r="Q313" i="35"/>
  <c r="C311" i="35" a="1"/>
  <c r="C311" i="35" s="1"/>
  <c r="C312" i="35" a="1"/>
  <c r="C312" i="35" s="1"/>
  <c r="F311" i="35"/>
  <c r="H838" i="35" s="1"/>
  <c r="F312" i="35"/>
  <c r="H1186" i="35" s="1"/>
  <c r="J311" i="35"/>
  <c r="L838" i="35" s="1"/>
  <c r="J312" i="35"/>
  <c r="L1186" i="35" s="1"/>
  <c r="Q311" i="35"/>
  <c r="Q312" i="35"/>
  <c r="C310" i="35" a="1"/>
  <c r="C310" i="35" s="1"/>
  <c r="F310" i="35"/>
  <c r="J310" i="35"/>
  <c r="Q310" i="35"/>
  <c r="C309" i="35" a="1"/>
  <c r="C309" i="35" s="1"/>
  <c r="F309" i="35"/>
  <c r="J309" i="35"/>
  <c r="Q309" i="35"/>
  <c r="C308" i="35" a="1"/>
  <c r="C308" i="35" s="1"/>
  <c r="F308" i="35"/>
  <c r="H842" i="35" s="1"/>
  <c r="J308" i="35"/>
  <c r="L842" i="35" s="1"/>
  <c r="Q308" i="35"/>
  <c r="C307" i="35" a="1"/>
  <c r="C307" i="35" s="1"/>
  <c r="F307" i="35"/>
  <c r="G307" i="35" s="1"/>
  <c r="J307" i="35"/>
  <c r="K307" i="35" s="1"/>
  <c r="I296" i="33"/>
  <c r="I400" i="33"/>
  <c r="I535" i="33"/>
  <c r="I312" i="33"/>
  <c r="I162" i="33"/>
  <c r="I403" i="33"/>
  <c r="I478" i="33"/>
  <c r="I537" i="33"/>
  <c r="I129" i="33"/>
  <c r="I34" i="34" s="1"/>
  <c r="I254" i="33"/>
  <c r="I362" i="33"/>
  <c r="I449" i="33"/>
  <c r="I373" i="33"/>
  <c r="I221" i="33"/>
  <c r="I475" i="33"/>
  <c r="I157" i="33"/>
  <c r="I50" i="33"/>
  <c r="I344" i="33"/>
  <c r="I492" i="33"/>
  <c r="I351" i="33"/>
  <c r="I266" i="33"/>
  <c r="I229" i="33"/>
  <c r="I503" i="33"/>
  <c r="I30" i="33"/>
  <c r="I348" i="33"/>
  <c r="I335" i="33"/>
  <c r="I466" i="33"/>
  <c r="I24" i="33"/>
  <c r="I434" i="33"/>
  <c r="I122" i="33"/>
  <c r="I265" i="33"/>
  <c r="I60" i="33"/>
  <c r="I376" i="33"/>
  <c r="I343" i="33"/>
  <c r="I263" i="33"/>
  <c r="I228" i="33"/>
  <c r="I430" i="33"/>
  <c r="I219" i="33"/>
  <c r="I383" i="33"/>
  <c r="I84" i="33"/>
  <c r="I371" i="33"/>
  <c r="I346" i="33"/>
  <c r="I377" i="33"/>
  <c r="I396" i="33"/>
  <c r="I183" i="33"/>
  <c r="I270" i="33"/>
  <c r="I334" i="33"/>
  <c r="I486" i="33"/>
  <c r="I395" i="33"/>
  <c r="I302" i="33"/>
  <c r="I484" i="33"/>
  <c r="I250" i="33"/>
  <c r="I243" i="33"/>
  <c r="I575" i="33"/>
  <c r="I140" i="33"/>
  <c r="I280" i="33"/>
  <c r="I433" i="33"/>
  <c r="I119" i="33"/>
  <c r="I431" i="33"/>
  <c r="I369" i="33"/>
  <c r="I405" i="33"/>
  <c r="I21" i="33"/>
  <c r="I454" i="33"/>
  <c r="I457" i="33"/>
  <c r="I423" i="33"/>
  <c r="I410" i="33"/>
  <c r="I446" i="33"/>
  <c r="I356" i="33"/>
  <c r="I438" i="33"/>
  <c r="I381" i="33"/>
  <c r="I276" i="33"/>
  <c r="I436" i="33"/>
  <c r="I76" i="33"/>
  <c r="I386" i="33"/>
  <c r="I286" i="33"/>
  <c r="I357" i="33"/>
  <c r="I239" i="33"/>
  <c r="I303" i="33"/>
  <c r="I17" i="33"/>
  <c r="I472" i="33"/>
  <c r="I464" i="33"/>
  <c r="I282" i="33"/>
  <c r="I139" i="33"/>
  <c r="I463" i="33"/>
  <c r="I304" i="33"/>
  <c r="I477" i="33"/>
  <c r="I420" i="33"/>
  <c r="I435" i="33"/>
  <c r="I294" i="33"/>
  <c r="I345" i="33"/>
  <c r="I313" i="33"/>
  <c r="I494" i="33"/>
  <c r="I287" i="33"/>
  <c r="I382" i="33"/>
  <c r="I258" i="33"/>
  <c r="I320" i="33"/>
  <c r="I323" i="33"/>
  <c r="I336" i="33"/>
  <c r="I317" i="33"/>
  <c r="I465" i="33"/>
  <c r="I141" i="33"/>
  <c r="I321" i="33"/>
  <c r="I326" i="33"/>
  <c r="I338" i="33"/>
  <c r="I328" i="33"/>
  <c r="I298" i="33"/>
  <c r="I440" i="33"/>
  <c r="I327" i="33"/>
  <c r="I255" i="33"/>
  <c r="I406" i="33"/>
  <c r="I398" i="33"/>
  <c r="I367" i="33"/>
  <c r="I374" i="33"/>
  <c r="I301" i="33"/>
  <c r="I391" i="33"/>
  <c r="I411" i="33"/>
  <c r="I424" i="33"/>
  <c r="I489" i="33"/>
  <c r="I439" i="33"/>
  <c r="I330" i="33"/>
  <c r="I418" i="33"/>
  <c r="I387" i="33"/>
  <c r="I365" i="33"/>
  <c r="I268" i="33"/>
  <c r="I490" i="33"/>
  <c r="I161" i="33"/>
  <c r="I388" i="33"/>
  <c r="I511" i="33"/>
  <c r="I319" i="33"/>
  <c r="I233" i="33"/>
  <c r="I384" i="33"/>
  <c r="I363" i="33"/>
  <c r="I289" i="33"/>
  <c r="I281" i="33"/>
  <c r="I211" i="33"/>
  <c r="I290" i="33"/>
  <c r="C306" i="35" a="1"/>
  <c r="C306" i="35" s="1"/>
  <c r="F306" i="35"/>
  <c r="G306" i="35" s="1"/>
  <c r="J306" i="35"/>
  <c r="K306" i="35" s="1"/>
  <c r="Q306" i="35"/>
  <c r="B482" i="33" a="1"/>
  <c r="B482" i="33" s="1"/>
  <c r="E482" i="33" a="1"/>
  <c r="E482" i="33" s="1"/>
  <c r="F482" i="33" a="1"/>
  <c r="F482" i="33" s="1"/>
  <c r="G482" i="33" a="1"/>
  <c r="G482" i="33" s="1"/>
  <c r="L482" i="33" a="1"/>
  <c r="L482" i="33" s="1"/>
  <c r="M482" i="33"/>
  <c r="N482" i="33"/>
  <c r="P482" i="33"/>
  <c r="D2" i="40"/>
  <c r="E62" i="40"/>
  <c r="E66" i="40"/>
  <c r="B66" i="40"/>
  <c r="B62" i="40"/>
  <c r="C305" i="35" a="1"/>
  <c r="C305" i="35" s="1"/>
  <c r="F305" i="35"/>
  <c r="G305" i="35" s="1"/>
  <c r="J305" i="35"/>
  <c r="K305" i="35" s="1"/>
  <c r="Q305" i="35"/>
  <c r="C304" i="35" a="1"/>
  <c r="C304" i="35" s="1"/>
  <c r="F304" i="35"/>
  <c r="G304" i="35" s="1"/>
  <c r="J304" i="35"/>
  <c r="K304" i="35" s="1"/>
  <c r="Q304" i="35"/>
  <c r="C303" i="35" a="1"/>
  <c r="C303" i="35" s="1"/>
  <c r="F303" i="35"/>
  <c r="G303" i="35" s="1"/>
  <c r="J303" i="35"/>
  <c r="K303" i="35" s="1"/>
  <c r="Q303" i="35"/>
  <c r="C302" i="35" a="1"/>
  <c r="C302" i="35" s="1"/>
  <c r="F302" i="35"/>
  <c r="G302" i="35" s="1"/>
  <c r="J302" i="35"/>
  <c r="K302" i="35" s="1"/>
  <c r="Q302" i="35"/>
  <c r="C301" i="35" a="1"/>
  <c r="C301" i="35" s="1"/>
  <c r="F301" i="35"/>
  <c r="G301" i="35" s="1"/>
  <c r="J301" i="35"/>
  <c r="K301" i="35" s="1"/>
  <c r="Q301" i="35"/>
  <c r="C300" i="35" a="1"/>
  <c r="C300" i="35" s="1"/>
  <c r="F300" i="35"/>
  <c r="J300" i="35"/>
  <c r="Q300" i="35"/>
  <c r="C299" i="35" a="1"/>
  <c r="C299" i="35" s="1"/>
  <c r="F299" i="35"/>
  <c r="G299" i="35" s="1"/>
  <c r="J299" i="35"/>
  <c r="K299" i="35" s="1"/>
  <c r="Q299" i="35"/>
  <c r="B262" i="33" a="1"/>
  <c r="B262" i="33" s="1"/>
  <c r="E262" i="33" a="1"/>
  <c r="E262" i="33" s="1"/>
  <c r="F262" i="33" a="1"/>
  <c r="F262" i="33" s="1"/>
  <c r="G262" i="33" a="1"/>
  <c r="G262" i="33" s="1"/>
  <c r="L262" i="33" a="1"/>
  <c r="L262" i="33" s="1"/>
  <c r="M262" i="33"/>
  <c r="N262" i="33"/>
  <c r="P262" i="33"/>
  <c r="C298" i="35" a="1"/>
  <c r="C298" i="35" s="1"/>
  <c r="F298" i="35"/>
  <c r="J298" i="35"/>
  <c r="Q298" i="35"/>
  <c r="C297" i="35" a="1"/>
  <c r="C297" i="35" s="1"/>
  <c r="F297" i="35"/>
  <c r="G297" i="35" s="1"/>
  <c r="J297" i="35"/>
  <c r="K297" i="35" s="1"/>
  <c r="Q297" i="35"/>
  <c r="C296" i="35" a="1"/>
  <c r="C296" i="35" s="1"/>
  <c r="F296" i="35"/>
  <c r="G296" i="35" s="1"/>
  <c r="J296" i="35"/>
  <c r="K296" i="35" s="1"/>
  <c r="Q296" i="35"/>
  <c r="C295" i="35" a="1"/>
  <c r="C295" i="35" s="1"/>
  <c r="F295" i="35"/>
  <c r="J295" i="35"/>
  <c r="Q295" i="35"/>
  <c r="B290" i="33" a="1"/>
  <c r="B290" i="33" s="1"/>
  <c r="E290" i="33" a="1"/>
  <c r="E290" i="33" s="1"/>
  <c r="F290" i="33" a="1"/>
  <c r="F290" i="33" s="1"/>
  <c r="G290" i="33" a="1"/>
  <c r="G290" i="33" s="1"/>
  <c r="H290" i="33"/>
  <c r="L290" i="33" a="1"/>
  <c r="L290" i="33" s="1"/>
  <c r="M290" i="33"/>
  <c r="N290" i="33"/>
  <c r="P290" i="33"/>
  <c r="B169" i="33" a="1"/>
  <c r="B169" i="33" s="1"/>
  <c r="B409" i="33" a="1"/>
  <c r="B409" i="33" s="1"/>
  <c r="E169" i="33" a="1"/>
  <c r="E169" i="33" s="1"/>
  <c r="E409" i="33" a="1"/>
  <c r="E409" i="33" s="1"/>
  <c r="F169" i="33" a="1"/>
  <c r="F169" i="33" s="1"/>
  <c r="F409" i="33" a="1"/>
  <c r="F409" i="33" s="1"/>
  <c r="G169" i="33" a="1"/>
  <c r="G169" i="33" s="1"/>
  <c r="G409" i="33" a="1"/>
  <c r="G409" i="33" s="1"/>
  <c r="L169" i="33" a="1"/>
  <c r="L169" i="33" s="1"/>
  <c r="L409" i="33" a="1"/>
  <c r="L409" i="33" s="1"/>
  <c r="M169" i="33"/>
  <c r="M409" i="33"/>
  <c r="N169" i="33"/>
  <c r="N409" i="33"/>
  <c r="P169" i="33"/>
  <c r="P409" i="33"/>
  <c r="B211" i="33" a="1"/>
  <c r="B211" i="33" s="1"/>
  <c r="E211" i="33" a="1"/>
  <c r="E211" i="33" s="1"/>
  <c r="F211" i="33" a="1"/>
  <c r="F211" i="33" s="1"/>
  <c r="G211" i="33" a="1"/>
  <c r="G211" i="33" s="1"/>
  <c r="H211" i="33"/>
  <c r="L211" i="33" a="1"/>
  <c r="L211" i="33" s="1"/>
  <c r="M211" i="33"/>
  <c r="N211" i="33"/>
  <c r="P211" i="33"/>
  <c r="C294" i="35" a="1"/>
  <c r="C294" i="35" s="1"/>
  <c r="F294" i="35"/>
  <c r="G294" i="35" s="1"/>
  <c r="J294" i="35"/>
  <c r="K294" i="35" s="1"/>
  <c r="Q294" i="35"/>
  <c r="F293" i="35"/>
  <c r="G293" i="35" s="1"/>
  <c r="J293" i="35"/>
  <c r="K293" i="35" s="1"/>
  <c r="Q293" i="35"/>
  <c r="C293" i="35" a="1"/>
  <c r="C293" i="35" s="1"/>
  <c r="C292" i="35" a="1"/>
  <c r="C292" i="35" s="1"/>
  <c r="F292" i="35"/>
  <c r="G292" i="35" s="1"/>
  <c r="J292" i="35"/>
  <c r="K292" i="35" s="1"/>
  <c r="Q292" i="35"/>
  <c r="C291" i="35" a="1"/>
  <c r="C291" i="35" s="1"/>
  <c r="F291" i="35"/>
  <c r="G291" i="35" s="1"/>
  <c r="J291" i="35"/>
  <c r="K291" i="35" s="1"/>
  <c r="Q291" i="35"/>
  <c r="C290" i="35" a="1"/>
  <c r="C290" i="35" s="1"/>
  <c r="F290" i="35"/>
  <c r="G290" i="35" s="1"/>
  <c r="J290" i="35"/>
  <c r="K290" i="35" s="1"/>
  <c r="Q290" i="35"/>
  <c r="C289" i="35" a="1"/>
  <c r="C289" i="35" s="1"/>
  <c r="F289" i="35"/>
  <c r="G289" i="35" s="1"/>
  <c r="J289" i="35"/>
  <c r="K289" i="35" s="1"/>
  <c r="Q289" i="35"/>
  <c r="C288" i="35" a="1"/>
  <c r="C288" i="35" s="1"/>
  <c r="F288" i="35"/>
  <c r="G288" i="35" s="1"/>
  <c r="J288" i="35"/>
  <c r="K288" i="35" s="1"/>
  <c r="Q288" i="35"/>
  <c r="B40" i="33" a="1"/>
  <c r="B40" i="33" s="1"/>
  <c r="E40" i="33" a="1"/>
  <c r="E40" i="33" s="1"/>
  <c r="F40" i="33" a="1"/>
  <c r="F40" i="33" s="1"/>
  <c r="G40" i="33" a="1"/>
  <c r="G40" i="33" s="1"/>
  <c r="L40" i="33" a="1"/>
  <c r="L40" i="33" s="1"/>
  <c r="M40" i="33"/>
  <c r="N40" i="33"/>
  <c r="P40" i="33"/>
  <c r="C287" i="35" a="1"/>
  <c r="C287" i="35" s="1"/>
  <c r="F287" i="35"/>
  <c r="J287" i="35"/>
  <c r="Q287" i="35"/>
  <c r="B267" i="33" a="1"/>
  <c r="B267" i="33" s="1"/>
  <c r="E267" i="33" a="1"/>
  <c r="E267" i="33" s="1"/>
  <c r="F267" i="33" a="1"/>
  <c r="F267" i="33" s="1"/>
  <c r="G267" i="33" a="1"/>
  <c r="G267" i="33" s="1"/>
  <c r="L267" i="33" a="1"/>
  <c r="L267" i="33" s="1"/>
  <c r="M267" i="33"/>
  <c r="N267" i="33"/>
  <c r="P267" i="33"/>
  <c r="C286" i="35" a="1"/>
  <c r="C286" i="35" s="1"/>
  <c r="F286" i="35"/>
  <c r="J286" i="35"/>
  <c r="Q286" i="35"/>
  <c r="B191" i="33" a="1"/>
  <c r="B191" i="33" s="1"/>
  <c r="E191" i="33" a="1"/>
  <c r="E191" i="33" s="1"/>
  <c r="F191" i="33" a="1"/>
  <c r="F191" i="33" s="1"/>
  <c r="G191" i="33" a="1"/>
  <c r="G191" i="33" s="1"/>
  <c r="L191" i="33" a="1"/>
  <c r="L191" i="33" s="1"/>
  <c r="M191" i="33"/>
  <c r="N191" i="33"/>
  <c r="P191" i="33"/>
  <c r="B246" i="33" a="1"/>
  <c r="B246" i="33" s="1"/>
  <c r="E246" i="33" a="1"/>
  <c r="E246" i="33" s="1"/>
  <c r="F246" i="33" a="1"/>
  <c r="F246" i="33" s="1"/>
  <c r="G246" i="33" a="1"/>
  <c r="G246" i="33" s="1"/>
  <c r="L246" i="33" a="1"/>
  <c r="L246" i="33" s="1"/>
  <c r="M246" i="33"/>
  <c r="N246" i="33"/>
  <c r="P246" i="33"/>
  <c r="C285" i="35" a="1"/>
  <c r="C285" i="35" s="1"/>
  <c r="F285" i="35"/>
  <c r="G285" i="35" s="1"/>
  <c r="J285" i="35"/>
  <c r="K285" i="35" s="1"/>
  <c r="Q285" i="35"/>
  <c r="B236" i="33" a="1"/>
  <c r="B236" i="33" s="1"/>
  <c r="E236" i="33" a="1"/>
  <c r="E236" i="33" s="1"/>
  <c r="F236" i="33" a="1"/>
  <c r="F236" i="33" s="1"/>
  <c r="G236" i="33" a="1"/>
  <c r="G236" i="33" s="1"/>
  <c r="L236" i="33" a="1"/>
  <c r="L236" i="33" s="1"/>
  <c r="M236" i="33"/>
  <c r="N236" i="33"/>
  <c r="P236" i="33"/>
  <c r="B198" i="33" a="1"/>
  <c r="B198" i="33" s="1"/>
  <c r="E198" i="33" a="1"/>
  <c r="E198" i="33" s="1"/>
  <c r="F198" i="33" a="1"/>
  <c r="F198" i="33" s="1"/>
  <c r="G198" i="33" a="1"/>
  <c r="G198" i="33" s="1"/>
  <c r="L198" i="33" a="1"/>
  <c r="L198" i="33" s="1"/>
  <c r="M198" i="33"/>
  <c r="N198" i="33"/>
  <c r="P198" i="33"/>
  <c r="C284" i="35" a="1"/>
  <c r="C284" i="35" s="1"/>
  <c r="F284" i="35"/>
  <c r="J284" i="35"/>
  <c r="Q284" i="35"/>
  <c r="C283" i="35" a="1"/>
  <c r="C283" i="35" s="1"/>
  <c r="F283" i="35"/>
  <c r="J283" i="35"/>
  <c r="Q283" i="35"/>
  <c r="B224" i="33" a="1"/>
  <c r="B224" i="33" s="1"/>
  <c r="E224" i="33" a="1"/>
  <c r="E224" i="33" s="1"/>
  <c r="F224" i="33" a="1"/>
  <c r="F224" i="33" s="1"/>
  <c r="G224" i="33" a="1"/>
  <c r="G224" i="33" s="1"/>
  <c r="L224" i="33" a="1"/>
  <c r="L224" i="33" s="1"/>
  <c r="M224" i="33"/>
  <c r="N224" i="33"/>
  <c r="P224" i="33"/>
  <c r="B384" i="33" a="1"/>
  <c r="B384" i="33" s="1"/>
  <c r="B363" i="33" a="1"/>
  <c r="B363" i="33" s="1"/>
  <c r="B279" i="33" a="1"/>
  <c r="B279" i="33" s="1"/>
  <c r="B261" i="33" a="1"/>
  <c r="B261" i="33" s="1"/>
  <c r="B289" i="33" a="1"/>
  <c r="B289" i="33" s="1"/>
  <c r="B278" i="33" a="1"/>
  <c r="B278" i="33" s="1"/>
  <c r="B293" i="33" a="1"/>
  <c r="B293" i="33" s="1"/>
  <c r="B281" i="33" a="1"/>
  <c r="B281" i="33" s="1"/>
  <c r="E384" i="33" a="1"/>
  <c r="E384" i="33" s="1"/>
  <c r="E363" i="33" a="1"/>
  <c r="E363" i="33" s="1"/>
  <c r="E279" i="33" a="1"/>
  <c r="E279" i="33" s="1"/>
  <c r="E261" i="33" a="1"/>
  <c r="E261" i="33" s="1"/>
  <c r="E289" i="33" a="1"/>
  <c r="E289" i="33" s="1"/>
  <c r="E278" i="33" a="1"/>
  <c r="E278" i="33" s="1"/>
  <c r="E293" i="33" a="1"/>
  <c r="E293" i="33" s="1"/>
  <c r="E281" i="33" a="1"/>
  <c r="E281" i="33" s="1"/>
  <c r="F384" i="33" a="1"/>
  <c r="F384" i="33" s="1"/>
  <c r="F363" i="33" a="1"/>
  <c r="F363" i="33" s="1"/>
  <c r="F279" i="33" a="1"/>
  <c r="F279" i="33" s="1"/>
  <c r="F261" i="33" a="1"/>
  <c r="F261" i="33" s="1"/>
  <c r="F289" i="33" a="1"/>
  <c r="F289" i="33" s="1"/>
  <c r="F278" i="33" a="1"/>
  <c r="F278" i="33" s="1"/>
  <c r="F293" i="33" a="1"/>
  <c r="F293" i="33" s="1"/>
  <c r="F281" i="33" a="1"/>
  <c r="F281" i="33" s="1"/>
  <c r="G384" i="33" a="1"/>
  <c r="G384" i="33" s="1"/>
  <c r="G363" i="33" a="1"/>
  <c r="G363" i="33" s="1"/>
  <c r="G279" i="33" a="1"/>
  <c r="G279" i="33" s="1"/>
  <c r="G261" i="33" a="1"/>
  <c r="G261" i="33" s="1"/>
  <c r="G289" i="33" a="1"/>
  <c r="G289" i="33" s="1"/>
  <c r="G278" i="33" a="1"/>
  <c r="G278" i="33" s="1"/>
  <c r="G293" i="33" a="1"/>
  <c r="G293" i="33" s="1"/>
  <c r="G281" i="33" a="1"/>
  <c r="G281" i="33" s="1"/>
  <c r="H384" i="33"/>
  <c r="H363" i="33"/>
  <c r="H289" i="33"/>
  <c r="H281" i="33"/>
  <c r="L384" i="33" a="1"/>
  <c r="L384" i="33" s="1"/>
  <c r="L363" i="33" a="1"/>
  <c r="L363" i="33" s="1"/>
  <c r="L279" i="33" a="1"/>
  <c r="L279" i="33" s="1"/>
  <c r="L261" i="33" a="1"/>
  <c r="L261" i="33" s="1"/>
  <c r="L289" i="33" a="1"/>
  <c r="L289" i="33" s="1"/>
  <c r="L278" i="33" a="1"/>
  <c r="L278" i="33" s="1"/>
  <c r="L293" i="33" a="1"/>
  <c r="L293" i="33" s="1"/>
  <c r="L281" i="33" a="1"/>
  <c r="L281" i="33" s="1"/>
  <c r="M384" i="33"/>
  <c r="M363" i="33"/>
  <c r="M279" i="33"/>
  <c r="M261" i="33"/>
  <c r="M289" i="33"/>
  <c r="M278" i="33"/>
  <c r="M293" i="33"/>
  <c r="M281" i="33"/>
  <c r="N384" i="33"/>
  <c r="N363" i="33"/>
  <c r="N279" i="33"/>
  <c r="N261" i="33"/>
  <c r="N289" i="33"/>
  <c r="N278" i="33"/>
  <c r="N293" i="33"/>
  <c r="N281" i="33"/>
  <c r="P384" i="33"/>
  <c r="P363" i="33"/>
  <c r="P279" i="33"/>
  <c r="P261" i="33"/>
  <c r="P289" i="33"/>
  <c r="P278" i="33"/>
  <c r="P293" i="33"/>
  <c r="P281" i="33"/>
  <c r="B331" i="33" a="1"/>
  <c r="B331" i="33" s="1"/>
  <c r="E331" i="33" a="1"/>
  <c r="E331" i="33" s="1"/>
  <c r="F331" i="33" a="1"/>
  <c r="F331" i="33" s="1"/>
  <c r="G331" i="33" a="1"/>
  <c r="G331" i="33" s="1"/>
  <c r="L331" i="33" a="1"/>
  <c r="L331" i="33" s="1"/>
  <c r="M331" i="33"/>
  <c r="N331" i="33"/>
  <c r="P331" i="33"/>
  <c r="B233" i="33" a="1"/>
  <c r="B233" i="33" s="1"/>
  <c r="E233" i="33" a="1"/>
  <c r="E233" i="33" s="1"/>
  <c r="F233" i="33" a="1"/>
  <c r="F233" i="33" s="1"/>
  <c r="G233" i="33" a="1"/>
  <c r="G233" i="33" s="1"/>
  <c r="H233" i="33"/>
  <c r="L233" i="33" a="1"/>
  <c r="L233" i="33" s="1"/>
  <c r="M233" i="33"/>
  <c r="N233" i="33"/>
  <c r="P233" i="33"/>
  <c r="B319" i="33" a="1"/>
  <c r="B319" i="33" s="1"/>
  <c r="E319" i="33" a="1"/>
  <c r="E319" i="33" s="1"/>
  <c r="F319" i="33" a="1"/>
  <c r="F319" i="33" s="1"/>
  <c r="G319" i="33" a="1"/>
  <c r="G319" i="33" s="1"/>
  <c r="H319" i="33"/>
  <c r="L319" i="33" a="1"/>
  <c r="L319" i="33" s="1"/>
  <c r="M319" i="33"/>
  <c r="N319" i="33"/>
  <c r="P319" i="33"/>
  <c r="B366" i="33" a="1"/>
  <c r="B366" i="33" s="1"/>
  <c r="E366" i="33" a="1"/>
  <c r="E366" i="33" s="1"/>
  <c r="F366" i="33" a="1"/>
  <c r="F366" i="33" s="1"/>
  <c r="G366" i="33" a="1"/>
  <c r="G366" i="33" s="1"/>
  <c r="L366" i="33" a="1"/>
  <c r="L366" i="33" s="1"/>
  <c r="M366" i="33"/>
  <c r="N366" i="33"/>
  <c r="P366" i="33"/>
  <c r="C282" i="35" a="1"/>
  <c r="C282" i="35" s="1"/>
  <c r="F282" i="35"/>
  <c r="G282" i="35" s="1"/>
  <c r="J282" i="35"/>
  <c r="K282" i="35" s="1"/>
  <c r="Q282" i="35"/>
  <c r="C281" i="35" a="1"/>
  <c r="C281" i="35" s="1"/>
  <c r="F281" i="35"/>
  <c r="G281" i="35" s="1"/>
  <c r="J281" i="35"/>
  <c r="K281" i="35" s="1"/>
  <c r="Q281" i="35"/>
  <c r="C280" i="35" a="1"/>
  <c r="C280" i="35" s="1"/>
  <c r="F280" i="35"/>
  <c r="G280" i="35" s="1"/>
  <c r="J280" i="35"/>
  <c r="K280" i="35" s="1"/>
  <c r="Q280" i="35"/>
  <c r="C279" i="35" a="1"/>
  <c r="C279" i="35" s="1"/>
  <c r="F279" i="35"/>
  <c r="G279" i="35" s="1"/>
  <c r="J279" i="35"/>
  <c r="K279" i="35" s="1"/>
  <c r="Q279" i="35"/>
  <c r="C278" i="35" a="1"/>
  <c r="C278" i="35" s="1"/>
  <c r="F278" i="35"/>
  <c r="G278" i="35" s="1"/>
  <c r="J278" i="35"/>
  <c r="K278" i="35" s="1"/>
  <c r="Q278" i="35"/>
  <c r="C277" i="35" a="1"/>
  <c r="C277" i="35" s="1"/>
  <c r="F277" i="35"/>
  <c r="G277" i="35" s="1"/>
  <c r="J277" i="35"/>
  <c r="K277" i="35" s="1"/>
  <c r="Q277" i="35"/>
  <c r="C395" i="31" a="1"/>
  <c r="C395" i="31" s="1"/>
  <c r="D395" i="31" a="1"/>
  <c r="D395" i="31" s="1"/>
  <c r="L395" i="31"/>
  <c r="Q395" i="31"/>
  <c r="R395" i="31"/>
  <c r="U395" i="31"/>
  <c r="V395" i="31"/>
  <c r="W395" i="31"/>
  <c r="AB395" i="31"/>
  <c r="AC395" i="31"/>
  <c r="C260" i="31" a="1"/>
  <c r="C260" i="31" s="1"/>
  <c r="D260" i="31" a="1"/>
  <c r="D260" i="31" s="1"/>
  <c r="L260" i="31"/>
  <c r="Q260" i="31"/>
  <c r="R260" i="31"/>
  <c r="U260" i="31"/>
  <c r="V260" i="31"/>
  <c r="AD260" i="31" s="1"/>
  <c r="W260" i="31"/>
  <c r="AB260" i="31"/>
  <c r="AC260" i="31"/>
  <c r="C302" i="31" a="1"/>
  <c r="C302" i="31" s="1"/>
  <c r="D302" i="31" a="1"/>
  <c r="D302" i="31" s="1"/>
  <c r="L302" i="31"/>
  <c r="Q302" i="31"/>
  <c r="R302" i="31"/>
  <c r="U302" i="31"/>
  <c r="V302" i="31"/>
  <c r="AD302" i="31" s="1"/>
  <c r="W302" i="31"/>
  <c r="AB302" i="31"/>
  <c r="AC302" i="31"/>
  <c r="C276" i="35" a="1"/>
  <c r="C276" i="35" s="1"/>
  <c r="F276" i="35"/>
  <c r="G276" i="35" s="1"/>
  <c r="J276" i="35"/>
  <c r="K276" i="35" s="1"/>
  <c r="C275" i="35" a="1"/>
  <c r="C275" i="35" s="1"/>
  <c r="F275" i="35"/>
  <c r="G275" i="35" s="1"/>
  <c r="J275" i="35"/>
  <c r="K275" i="35" s="1"/>
  <c r="Q275" i="35"/>
  <c r="C211" i="31" a="1"/>
  <c r="C211" i="31" s="1"/>
  <c r="D211" i="31" a="1"/>
  <c r="D211" i="31" s="1"/>
  <c r="L211" i="31"/>
  <c r="Q211" i="31"/>
  <c r="R211" i="31"/>
  <c r="U211" i="31"/>
  <c r="V211" i="31"/>
  <c r="AD211" i="31" s="1"/>
  <c r="W211" i="31"/>
  <c r="AC211" i="31"/>
  <c r="C214" i="31" a="1"/>
  <c r="C214" i="31" s="1"/>
  <c r="D214" i="31" a="1"/>
  <c r="D214" i="31" s="1"/>
  <c r="L214" i="31"/>
  <c r="Q214" i="31"/>
  <c r="R214" i="31"/>
  <c r="U214" i="31"/>
  <c r="V214" i="31"/>
  <c r="AD214" i="31" s="1"/>
  <c r="W214" i="31"/>
  <c r="AB214" i="31"/>
  <c r="AC214" i="31"/>
  <c r="C274" i="35" a="1"/>
  <c r="C274" i="35" s="1"/>
  <c r="F274" i="35"/>
  <c r="G274" i="35" s="1"/>
  <c r="J274" i="35"/>
  <c r="K274" i="35" s="1"/>
  <c r="Q274" i="35"/>
  <c r="C273" i="35" a="1"/>
  <c r="C273" i="35" s="1"/>
  <c r="F273" i="35"/>
  <c r="G273" i="35" s="1"/>
  <c r="J273" i="35"/>
  <c r="K273" i="35" s="1"/>
  <c r="Q273" i="35"/>
  <c r="C272" i="35" a="1"/>
  <c r="C272" i="35" s="1"/>
  <c r="F272" i="35"/>
  <c r="G272" i="35" s="1"/>
  <c r="J272" i="35"/>
  <c r="K272" i="35" s="1"/>
  <c r="Q272" i="35"/>
  <c r="H151" i="6"/>
  <c r="J151" i="6" s="1"/>
  <c r="I151" i="6"/>
  <c r="K151" i="6" s="1"/>
  <c r="U151" i="6"/>
  <c r="H150" i="6"/>
  <c r="J150" i="6" s="1"/>
  <c r="I150" i="6"/>
  <c r="K150" i="6" s="1"/>
  <c r="U150" i="6"/>
  <c r="H149" i="6"/>
  <c r="J149" i="6" s="1"/>
  <c r="I149" i="6"/>
  <c r="K149" i="6" s="1"/>
  <c r="U149" i="6"/>
  <c r="C271" i="35" a="1"/>
  <c r="C271" i="35" s="1"/>
  <c r="F271" i="35"/>
  <c r="G271" i="35" s="1"/>
  <c r="J271" i="35"/>
  <c r="K271" i="35" s="1"/>
  <c r="Q271" i="35"/>
  <c r="C231" i="31" a="1"/>
  <c r="C231" i="31" s="1"/>
  <c r="D231" i="31" a="1"/>
  <c r="D231" i="31" s="1"/>
  <c r="L231" i="31"/>
  <c r="Q231" i="31"/>
  <c r="R231" i="31"/>
  <c r="U231" i="31"/>
  <c r="V231" i="31"/>
  <c r="AD231" i="31" s="1"/>
  <c r="W231" i="31"/>
  <c r="AB231" i="31"/>
  <c r="AC231" i="31"/>
  <c r="C208" i="31" a="1"/>
  <c r="C208" i="31" s="1"/>
  <c r="D208" i="31" a="1"/>
  <c r="D208" i="31" s="1"/>
  <c r="L208" i="31"/>
  <c r="Q208" i="31"/>
  <c r="R208" i="31"/>
  <c r="U208" i="31"/>
  <c r="V208" i="31"/>
  <c r="AD208" i="31" s="1"/>
  <c r="W208" i="31"/>
  <c r="AB208" i="31"/>
  <c r="AC208" i="31"/>
  <c r="C270" i="35" a="1"/>
  <c r="C270" i="35" s="1"/>
  <c r="F270" i="35"/>
  <c r="G270" i="35" s="1"/>
  <c r="J270" i="35"/>
  <c r="K270" i="35" s="1"/>
  <c r="C221" i="31" a="1"/>
  <c r="C221" i="31" s="1"/>
  <c r="D221" i="31" a="1"/>
  <c r="D221" i="31" s="1"/>
  <c r="L221" i="31"/>
  <c r="Q221" i="31"/>
  <c r="R221" i="31"/>
  <c r="U221" i="31"/>
  <c r="V221" i="31"/>
  <c r="AD221" i="31" s="1"/>
  <c r="W221" i="31"/>
  <c r="AB221" i="31"/>
  <c r="AC221" i="31"/>
  <c r="C210" i="31" a="1"/>
  <c r="C210" i="31" s="1"/>
  <c r="D210" i="31" a="1"/>
  <c r="D210" i="31" s="1"/>
  <c r="L210" i="31"/>
  <c r="Q210" i="31"/>
  <c r="R210" i="31"/>
  <c r="U210" i="31"/>
  <c r="V210" i="31"/>
  <c r="AD210" i="31" s="1"/>
  <c r="W210" i="31"/>
  <c r="AB210" i="31"/>
  <c r="AC210" i="31"/>
  <c r="B511" i="33" a="1"/>
  <c r="B511" i="33" s="1"/>
  <c r="E511" i="33" a="1"/>
  <c r="E511" i="33" s="1"/>
  <c r="F511" i="33" a="1"/>
  <c r="F511" i="33" s="1"/>
  <c r="G511" i="33" a="1"/>
  <c r="G511" i="33" s="1"/>
  <c r="H511" i="33"/>
  <c r="L511" i="33" a="1"/>
  <c r="L511" i="33" s="1"/>
  <c r="P511" i="33"/>
  <c r="C209" i="31" a="1"/>
  <c r="C209" i="31" s="1"/>
  <c r="D209" i="31" a="1"/>
  <c r="D209" i="31" s="1"/>
  <c r="L209" i="31"/>
  <c r="Q209" i="31"/>
  <c r="R209" i="31"/>
  <c r="U209" i="31"/>
  <c r="V209" i="31"/>
  <c r="AD209" i="31" s="1"/>
  <c r="W209" i="31"/>
  <c r="AB209" i="31"/>
  <c r="AC209" i="31"/>
  <c r="C296" i="31" a="1"/>
  <c r="C296" i="31" s="1"/>
  <c r="D296" i="31" a="1"/>
  <c r="D296" i="31" s="1"/>
  <c r="L296" i="31"/>
  <c r="Q296" i="31"/>
  <c r="R296" i="31"/>
  <c r="U296" i="31"/>
  <c r="V296" i="31"/>
  <c r="AD296" i="31" s="1"/>
  <c r="W296" i="31"/>
  <c r="AB296" i="31"/>
  <c r="AC296" i="31"/>
  <c r="C220" i="31" a="1"/>
  <c r="C220" i="31" s="1"/>
  <c r="D220" i="31" a="1"/>
  <c r="D220" i="31" s="1"/>
  <c r="L220" i="31"/>
  <c r="Q220" i="31"/>
  <c r="R220" i="31"/>
  <c r="U220" i="31"/>
  <c r="V220" i="31"/>
  <c r="AD220" i="31" s="1"/>
  <c r="W220" i="31"/>
  <c r="AB220" i="31"/>
  <c r="AC220" i="31"/>
  <c r="C217" i="31" a="1"/>
  <c r="C217" i="31" s="1"/>
  <c r="D217" i="31" a="1"/>
  <c r="D217" i="31" s="1"/>
  <c r="L217" i="31"/>
  <c r="Q217" i="31"/>
  <c r="R217" i="31"/>
  <c r="U217" i="31"/>
  <c r="V217" i="31"/>
  <c r="AD217" i="31" s="1"/>
  <c r="W217" i="31"/>
  <c r="AB217" i="31"/>
  <c r="AC217" i="31"/>
  <c r="F246" i="35"/>
  <c r="G246" i="35" s="1"/>
  <c r="F239" i="35"/>
  <c r="G239" i="35" s="1"/>
  <c r="C269" i="35" a="1"/>
  <c r="C269" i="35" s="1"/>
  <c r="F269" i="35"/>
  <c r="G269" i="35" s="1"/>
  <c r="J269" i="35"/>
  <c r="K269" i="35" s="1"/>
  <c r="C268" i="35" a="1"/>
  <c r="C268" i="35" s="1"/>
  <c r="F268" i="35"/>
  <c r="J268" i="35"/>
  <c r="Q268" i="35"/>
  <c r="C266" i="35" a="1"/>
  <c r="C266" i="35" s="1"/>
  <c r="C267" i="35" a="1"/>
  <c r="C267" i="35" s="1"/>
  <c r="F266" i="35"/>
  <c r="F267" i="35"/>
  <c r="J266" i="35"/>
  <c r="J267" i="35"/>
  <c r="Q266" i="35"/>
  <c r="Q267" i="35"/>
  <c r="C265" i="35" a="1"/>
  <c r="C265" i="35" s="1"/>
  <c r="F265" i="35"/>
  <c r="J265" i="35"/>
  <c r="Q265" i="35"/>
  <c r="C264" i="35" a="1"/>
  <c r="C264" i="35" s="1"/>
  <c r="F264" i="35"/>
  <c r="J264" i="35"/>
  <c r="Q264" i="35"/>
  <c r="B90" i="33" a="1"/>
  <c r="B90" i="33" s="1"/>
  <c r="E90" i="33" a="1"/>
  <c r="E90" i="33" s="1"/>
  <c r="F90" i="33" a="1"/>
  <c r="F90" i="33" s="1"/>
  <c r="G90" i="33" a="1"/>
  <c r="G90" i="33" s="1"/>
  <c r="L90" i="33" a="1"/>
  <c r="L90" i="33" s="1"/>
  <c r="M90" i="33"/>
  <c r="N90" i="33"/>
  <c r="P90" i="33"/>
  <c r="B185" i="33" a="1"/>
  <c r="B185" i="33" s="1"/>
  <c r="E185" i="33" a="1"/>
  <c r="E185" i="33" s="1"/>
  <c r="F185" i="33" a="1"/>
  <c r="F185" i="33" s="1"/>
  <c r="G185" i="33" a="1"/>
  <c r="G185" i="33" s="1"/>
  <c r="L185" i="33" a="1"/>
  <c r="L185" i="33" s="1"/>
  <c r="M185" i="33"/>
  <c r="N185" i="33"/>
  <c r="P185" i="33"/>
  <c r="B100" i="33" a="1"/>
  <c r="B100" i="33" s="1"/>
  <c r="E100" i="33" a="1"/>
  <c r="E100" i="33" s="1"/>
  <c r="F100" i="33" a="1"/>
  <c r="F100" i="33" s="1"/>
  <c r="G100" i="33" a="1"/>
  <c r="G100" i="33" s="1"/>
  <c r="L100" i="33" a="1"/>
  <c r="L100" i="33" s="1"/>
  <c r="M100" i="33"/>
  <c r="N100" i="33"/>
  <c r="P100" i="33"/>
  <c r="B184" i="33" a="1"/>
  <c r="B184" i="33" s="1"/>
  <c r="E184" i="33" a="1"/>
  <c r="E184" i="33" s="1"/>
  <c r="F184" i="33" a="1"/>
  <c r="F184" i="33" s="1"/>
  <c r="G184" i="33" a="1"/>
  <c r="G184" i="33" s="1"/>
  <c r="L184" i="33" a="1"/>
  <c r="L184" i="33" s="1"/>
  <c r="M184" i="33"/>
  <c r="N184" i="33"/>
  <c r="P184" i="33"/>
  <c r="B388" i="33" a="1"/>
  <c r="B388" i="33" s="1"/>
  <c r="E388" i="33" a="1"/>
  <c r="E388" i="33" s="1"/>
  <c r="F388" i="33" a="1"/>
  <c r="F388" i="33" s="1"/>
  <c r="G388" i="33" a="1"/>
  <c r="G388" i="33" s="1"/>
  <c r="H388" i="33"/>
  <c r="L388" i="33" a="1"/>
  <c r="L388" i="33" s="1"/>
  <c r="M388" i="33"/>
  <c r="N388" i="33"/>
  <c r="P388" i="33"/>
  <c r="B29" i="33" a="1"/>
  <c r="B29" i="33" s="1"/>
  <c r="E29" i="33" a="1"/>
  <c r="E29" i="33" s="1"/>
  <c r="F29" i="33" a="1"/>
  <c r="F29" i="33" s="1"/>
  <c r="G29" i="33" a="1"/>
  <c r="G29" i="33" s="1"/>
  <c r="L29" i="33" a="1"/>
  <c r="L29" i="33" s="1"/>
  <c r="M29" i="33"/>
  <c r="N29" i="33"/>
  <c r="P29" i="33"/>
  <c r="H148" i="6"/>
  <c r="L413" i="6" s="1"/>
  <c r="I148" i="6"/>
  <c r="M413" i="6" s="1"/>
  <c r="U148" i="6"/>
  <c r="L202" i="31"/>
  <c r="L203" i="31"/>
  <c r="Q202" i="31"/>
  <c r="Q203" i="31"/>
  <c r="R202" i="31"/>
  <c r="R203" i="31"/>
  <c r="U202" i="31"/>
  <c r="U203" i="31"/>
  <c r="V202" i="31"/>
  <c r="AD202" i="31" s="1"/>
  <c r="V203" i="31"/>
  <c r="AD203" i="31" s="1"/>
  <c r="W202" i="31"/>
  <c r="W203" i="31"/>
  <c r="AB202" i="31"/>
  <c r="AB203" i="31"/>
  <c r="AC202" i="31"/>
  <c r="AC203" i="31"/>
  <c r="D203" i="31" a="1"/>
  <c r="D203" i="31" s="1"/>
  <c r="C203" i="31" a="1"/>
  <c r="C203" i="31" s="1"/>
  <c r="D202" i="31" a="1"/>
  <c r="D202" i="31" s="1"/>
  <c r="C202" i="31" a="1"/>
  <c r="C202" i="31" s="1"/>
  <c r="C192" i="31" a="1"/>
  <c r="C192" i="31" s="1"/>
  <c r="C198" i="31" a="1"/>
  <c r="C198" i="31" s="1"/>
  <c r="D192" i="31" a="1"/>
  <c r="D192" i="31" s="1"/>
  <c r="D198" i="31" a="1"/>
  <c r="D198" i="31" s="1"/>
  <c r="L192" i="31"/>
  <c r="L198" i="31"/>
  <c r="Q192" i="31"/>
  <c r="Q198" i="31"/>
  <c r="R192" i="31"/>
  <c r="R198" i="31"/>
  <c r="U192" i="31"/>
  <c r="U198" i="31"/>
  <c r="V192" i="31"/>
  <c r="AD192" i="31" s="1"/>
  <c r="V198" i="31"/>
  <c r="AD198" i="31" s="1"/>
  <c r="W192" i="31"/>
  <c r="W198" i="31"/>
  <c r="AB192" i="31"/>
  <c r="AB198" i="31"/>
  <c r="AC192" i="31"/>
  <c r="AC198" i="31"/>
  <c r="C196" i="31" a="1"/>
  <c r="C196" i="31" s="1"/>
  <c r="D196" i="31" a="1"/>
  <c r="D196" i="31" s="1"/>
  <c r="L196" i="31"/>
  <c r="Q196" i="31"/>
  <c r="R196" i="31"/>
  <c r="U196" i="31"/>
  <c r="V196" i="31"/>
  <c r="AD196" i="31" s="1"/>
  <c r="W196" i="31"/>
  <c r="AB196" i="31"/>
  <c r="AC196" i="31"/>
  <c r="C185" i="31" a="1"/>
  <c r="C185" i="31" s="1"/>
  <c r="D185" i="31" a="1"/>
  <c r="D185" i="31" s="1"/>
  <c r="L185" i="31"/>
  <c r="Q185" i="31"/>
  <c r="R185" i="31"/>
  <c r="U185" i="31"/>
  <c r="V185" i="31"/>
  <c r="AD185" i="31" s="1"/>
  <c r="W185" i="31"/>
  <c r="AB185" i="31"/>
  <c r="AC185" i="31"/>
  <c r="C193" i="31" a="1"/>
  <c r="C193" i="31" s="1"/>
  <c r="D193" i="31" a="1"/>
  <c r="D193" i="31" s="1"/>
  <c r="L193" i="31"/>
  <c r="Q193" i="31"/>
  <c r="R193" i="31"/>
  <c r="U193" i="31"/>
  <c r="V193" i="31"/>
  <c r="AD193" i="31" s="1"/>
  <c r="W193" i="31"/>
  <c r="AB193" i="31"/>
  <c r="AC193" i="31"/>
  <c r="C183" i="31" a="1"/>
  <c r="C183" i="31" s="1"/>
  <c r="D183" i="31" a="1"/>
  <c r="D183" i="31" s="1"/>
  <c r="L183" i="31"/>
  <c r="Q183" i="31"/>
  <c r="R183" i="31"/>
  <c r="U183" i="31"/>
  <c r="V183" i="31"/>
  <c r="AD183" i="31" s="1"/>
  <c r="W183" i="31"/>
  <c r="AB183" i="31"/>
  <c r="AC183" i="31"/>
  <c r="C272" i="31" a="1"/>
  <c r="C272" i="31" s="1"/>
  <c r="D272" i="31" a="1"/>
  <c r="D272" i="31" s="1"/>
  <c r="L272" i="31"/>
  <c r="Q272" i="31"/>
  <c r="R272" i="31"/>
  <c r="U272" i="31"/>
  <c r="V272" i="31"/>
  <c r="AD272" i="31" s="1"/>
  <c r="W272" i="31"/>
  <c r="AB272" i="31"/>
  <c r="AC272" i="31"/>
  <c r="H147" i="6"/>
  <c r="I147" i="6"/>
  <c r="U147" i="6"/>
  <c r="H146" i="6"/>
  <c r="J146" i="6" s="1"/>
  <c r="I146" i="6"/>
  <c r="K146" i="6" s="1"/>
  <c r="U146" i="6"/>
  <c r="H145" i="6"/>
  <c r="J145" i="6" s="1"/>
  <c r="I145" i="6"/>
  <c r="K145" i="6" s="1"/>
  <c r="U145" i="6"/>
  <c r="H144" i="6"/>
  <c r="J144" i="6" s="1"/>
  <c r="I144" i="6"/>
  <c r="K144" i="6" s="1"/>
  <c r="U144" i="6"/>
  <c r="C323" i="31" a="1"/>
  <c r="C323" i="31" s="1"/>
  <c r="D323" i="31" a="1"/>
  <c r="D323" i="31" s="1"/>
  <c r="L323" i="31"/>
  <c r="Q323" i="31"/>
  <c r="R323" i="31"/>
  <c r="U323" i="31"/>
  <c r="V323" i="31"/>
  <c r="AD323" i="31" s="1"/>
  <c r="W323" i="31"/>
  <c r="AB323" i="31"/>
  <c r="AC323" i="31"/>
  <c r="C263" i="35" a="1"/>
  <c r="C263" i="35" s="1"/>
  <c r="F263" i="35"/>
  <c r="G263" i="35" s="1"/>
  <c r="J263" i="35"/>
  <c r="K263" i="35" s="1"/>
  <c r="C262" i="35" a="1"/>
  <c r="C262" i="35" s="1"/>
  <c r="F262" i="35"/>
  <c r="G262" i="35" s="1"/>
  <c r="J262" i="35"/>
  <c r="K262" i="35" s="1"/>
  <c r="Q262" i="35"/>
  <c r="C261" i="35" a="1"/>
  <c r="C261" i="35" s="1"/>
  <c r="F261" i="35"/>
  <c r="G261" i="35" s="1"/>
  <c r="J261" i="35"/>
  <c r="K261" i="35" s="1"/>
  <c r="Q261" i="35"/>
  <c r="C260" i="35" a="1"/>
  <c r="C260" i="35" s="1"/>
  <c r="F260" i="35"/>
  <c r="G260" i="35" s="1"/>
  <c r="J260" i="35"/>
  <c r="K260" i="35" s="1"/>
  <c r="Q260" i="35"/>
  <c r="H143" i="6"/>
  <c r="I143" i="6"/>
  <c r="U143" i="6"/>
  <c r="C259" i="35" a="1"/>
  <c r="C259" i="35" s="1"/>
  <c r="F259" i="35"/>
  <c r="G259" i="35" s="1"/>
  <c r="J259" i="35"/>
  <c r="K259" i="35" s="1"/>
  <c r="Q259" i="35"/>
  <c r="C244" i="31" a="1"/>
  <c r="C244" i="31" s="1"/>
  <c r="D244" i="31" a="1"/>
  <c r="D244" i="31" s="1"/>
  <c r="L244" i="31"/>
  <c r="Q244" i="31"/>
  <c r="R244" i="31"/>
  <c r="U244" i="31"/>
  <c r="V244" i="31"/>
  <c r="AD244" i="31" s="1"/>
  <c r="W244" i="31"/>
  <c r="AB244" i="31"/>
  <c r="AC244" i="31"/>
  <c r="C258" i="35" a="1"/>
  <c r="C258" i="35" s="1"/>
  <c r="F258" i="35"/>
  <c r="G258" i="35" s="1"/>
  <c r="J258" i="35"/>
  <c r="K258" i="35" s="1"/>
  <c r="Q258" i="35"/>
  <c r="C257" i="35" a="1"/>
  <c r="C257" i="35" s="1"/>
  <c r="F257" i="35"/>
  <c r="G257" i="35" s="1"/>
  <c r="J257" i="35"/>
  <c r="K257" i="35" s="1"/>
  <c r="Q257" i="35"/>
  <c r="C256" i="35" a="1"/>
  <c r="C256" i="35" s="1"/>
  <c r="F256" i="35"/>
  <c r="J256" i="35"/>
  <c r="Q256" i="35"/>
  <c r="L207" i="31"/>
  <c r="C207" i="31" a="1"/>
  <c r="C207" i="31" s="1"/>
  <c r="D207" i="31" a="1"/>
  <c r="D207" i="31" s="1"/>
  <c r="Q207" i="31"/>
  <c r="R207" i="31"/>
  <c r="U207" i="31"/>
  <c r="V207" i="31"/>
  <c r="AD207" i="31" s="1"/>
  <c r="W207" i="31"/>
  <c r="AB207" i="31"/>
  <c r="AC207" i="31"/>
  <c r="C255" i="35" a="1"/>
  <c r="C255" i="35" s="1"/>
  <c r="F255" i="35"/>
  <c r="G255" i="35" s="1"/>
  <c r="J255" i="35"/>
  <c r="K255" i="35" s="1"/>
  <c r="C253" i="35" a="1"/>
  <c r="C253" i="35" s="1"/>
  <c r="F253" i="35"/>
  <c r="G253" i="35" s="1"/>
  <c r="J253" i="35"/>
  <c r="K253" i="35" s="1"/>
  <c r="Q253" i="35"/>
  <c r="H142" i="6"/>
  <c r="J142" i="6" s="1"/>
  <c r="I142" i="6"/>
  <c r="K142" i="6" s="1"/>
  <c r="U142" i="6"/>
  <c r="H141" i="6"/>
  <c r="J141" i="6" s="1"/>
  <c r="I141" i="6"/>
  <c r="K141" i="6" s="1"/>
  <c r="U141" i="6"/>
  <c r="H140" i="6"/>
  <c r="U140" i="6"/>
  <c r="G139" i="6"/>
  <c r="H139" i="6" s="1"/>
  <c r="U139" i="6"/>
  <c r="H138" i="6"/>
  <c r="I138" i="6"/>
  <c r="U138" i="6"/>
  <c r="H137" i="6"/>
  <c r="I137" i="6"/>
  <c r="K137" i="6" s="1"/>
  <c r="U137" i="6"/>
  <c r="G136" i="6"/>
  <c r="H136" i="6" s="1"/>
  <c r="J136" i="6" s="1"/>
  <c r="U136" i="6"/>
  <c r="C252" i="35" a="1"/>
  <c r="C252" i="35" s="1"/>
  <c r="F252" i="35"/>
  <c r="J252" i="35"/>
  <c r="Q252" i="35"/>
  <c r="C251" i="35" a="1"/>
  <c r="C251" i="35" s="1"/>
  <c r="F251" i="35"/>
  <c r="G251" i="35" s="1"/>
  <c r="J251" i="35"/>
  <c r="K251" i="35" s="1"/>
  <c r="Q251" i="35"/>
  <c r="C250" i="35" a="1"/>
  <c r="C250" i="35" s="1"/>
  <c r="F250" i="35"/>
  <c r="G250" i="35" s="1"/>
  <c r="J250" i="35"/>
  <c r="K250" i="35" s="1"/>
  <c r="C249" i="35" a="1"/>
  <c r="C249" i="35" s="1"/>
  <c r="F249" i="35"/>
  <c r="G249" i="35" s="1"/>
  <c r="J249" i="35"/>
  <c r="K249" i="35" s="1"/>
  <c r="Q249" i="35"/>
  <c r="C248" i="35" a="1"/>
  <c r="C248" i="35" s="1"/>
  <c r="F248" i="35"/>
  <c r="J248" i="35"/>
  <c r="Q248" i="35"/>
  <c r="C247" i="35" a="1"/>
  <c r="C247" i="35" s="1"/>
  <c r="F247" i="35"/>
  <c r="G247" i="35" s="1"/>
  <c r="J247" i="35"/>
  <c r="K247" i="35" s="1"/>
  <c r="Q247" i="35"/>
  <c r="C246" i="35" a="1"/>
  <c r="C246" i="35" s="1"/>
  <c r="J246" i="35"/>
  <c r="K246" i="35" s="1"/>
  <c r="C245" i="35" a="1"/>
  <c r="C245" i="35" s="1"/>
  <c r="F245" i="35"/>
  <c r="G245" i="35" s="1"/>
  <c r="J245" i="35"/>
  <c r="K245" i="35" s="1"/>
  <c r="Q245" i="35"/>
  <c r="C244" i="35" a="1"/>
  <c r="C244" i="35" s="1"/>
  <c r="F244" i="35"/>
  <c r="G244" i="35" s="1"/>
  <c r="J244" i="35"/>
  <c r="K244" i="35" s="1"/>
  <c r="Q244" i="35"/>
  <c r="C243" i="35" a="1"/>
  <c r="C243" i="35" s="1"/>
  <c r="F243" i="35"/>
  <c r="G243" i="35" s="1"/>
  <c r="J243" i="35"/>
  <c r="K243" i="35" s="1"/>
  <c r="Q243" i="35"/>
  <c r="C242" i="35" a="1"/>
  <c r="C242" i="35" s="1"/>
  <c r="F242" i="35"/>
  <c r="G242" i="35" s="1"/>
  <c r="J242" i="35"/>
  <c r="K242" i="35" s="1"/>
  <c r="Q241" i="35"/>
  <c r="C241" i="35" a="1"/>
  <c r="C241" i="35" s="1"/>
  <c r="F241" i="35"/>
  <c r="J241" i="35"/>
  <c r="B515" i="33" a="1"/>
  <c r="B515" i="33" s="1"/>
  <c r="E515" i="33" a="1"/>
  <c r="E515" i="33" s="1"/>
  <c r="F515" i="33" a="1"/>
  <c r="F515" i="33" s="1"/>
  <c r="G515" i="33" a="1"/>
  <c r="G515" i="33" s="1"/>
  <c r="L515" i="33" a="1"/>
  <c r="L515" i="33" s="1"/>
  <c r="M515" i="33"/>
  <c r="N515" i="33"/>
  <c r="P515" i="33"/>
  <c r="C377" i="31" a="1"/>
  <c r="C377" i="31" s="1"/>
  <c r="D377" i="31" a="1"/>
  <c r="D377" i="31" s="1"/>
  <c r="L377" i="31"/>
  <c r="Q377" i="31"/>
  <c r="R377" i="31"/>
  <c r="U377" i="31"/>
  <c r="V377" i="31"/>
  <c r="AD377" i="31" s="1"/>
  <c r="W377" i="31"/>
  <c r="AB377" i="31"/>
  <c r="AC377" i="31"/>
  <c r="B429" i="33" a="1"/>
  <c r="B429" i="33" s="1"/>
  <c r="E429" i="33" a="1"/>
  <c r="E429" i="33" s="1"/>
  <c r="F429" i="33" a="1"/>
  <c r="F429" i="33" s="1"/>
  <c r="G429" i="33" a="1"/>
  <c r="G429" i="33" s="1"/>
  <c r="L429" i="33" a="1"/>
  <c r="L429" i="33" s="1"/>
  <c r="M429" i="33"/>
  <c r="N429" i="33"/>
  <c r="P429" i="33"/>
  <c r="C240" i="35" a="1"/>
  <c r="C240" i="35" s="1"/>
  <c r="F240" i="35"/>
  <c r="J240" i="35"/>
  <c r="Q240" i="35"/>
  <c r="C239" i="35" a="1"/>
  <c r="C239" i="35" s="1"/>
  <c r="J239" i="35"/>
  <c r="K239" i="35" s="1"/>
  <c r="C238" i="35" a="1"/>
  <c r="C238" i="35" s="1"/>
  <c r="F238" i="35"/>
  <c r="G238" i="35" s="1"/>
  <c r="J238" i="35"/>
  <c r="K238" i="35" s="1"/>
  <c r="Q238" i="35"/>
  <c r="B161" i="33" a="1"/>
  <c r="B161" i="33" s="1"/>
  <c r="E161" i="33" a="1"/>
  <c r="E161" i="33" s="1"/>
  <c r="F161" i="33" a="1"/>
  <c r="F161" i="33" s="1"/>
  <c r="G161" i="33" a="1"/>
  <c r="G161" i="33" s="1"/>
  <c r="H161" i="33"/>
  <c r="L161" i="33" a="1"/>
  <c r="L161" i="33" s="1"/>
  <c r="M161" i="33"/>
  <c r="N161" i="33"/>
  <c r="P161" i="33"/>
  <c r="C182" i="31" a="1"/>
  <c r="C182" i="31" s="1"/>
  <c r="D182" i="31" a="1"/>
  <c r="D182" i="31" s="1"/>
  <c r="L182" i="31"/>
  <c r="Q182" i="31"/>
  <c r="R182" i="31"/>
  <c r="U182" i="31"/>
  <c r="V182" i="31"/>
  <c r="AD182" i="31" s="1"/>
  <c r="W182" i="31"/>
  <c r="AB182" i="31"/>
  <c r="AC182" i="31"/>
  <c r="C177" i="31" a="1"/>
  <c r="C177" i="31" s="1"/>
  <c r="D177" i="31" a="1"/>
  <c r="D177" i="31" s="1"/>
  <c r="L177" i="31"/>
  <c r="Q177" i="31"/>
  <c r="R177" i="31"/>
  <c r="U177" i="31"/>
  <c r="V177" i="31"/>
  <c r="AD177" i="31" s="1"/>
  <c r="W177" i="31"/>
  <c r="AB177" i="31"/>
  <c r="AC177" i="31"/>
  <c r="B307" i="33" a="1"/>
  <c r="B307" i="33" s="1"/>
  <c r="E307" i="33" a="1"/>
  <c r="E307" i="33" s="1"/>
  <c r="F307" i="33" a="1"/>
  <c r="F307" i="33" s="1"/>
  <c r="G307" i="33" a="1"/>
  <c r="G307" i="33" s="1"/>
  <c r="L307" i="33" a="1"/>
  <c r="L307" i="33" s="1"/>
  <c r="P307" i="33"/>
  <c r="H135" i="6"/>
  <c r="J135" i="6" s="1"/>
  <c r="I135" i="6"/>
  <c r="K135" i="6" s="1"/>
  <c r="U135" i="6"/>
  <c r="C237" i="35" a="1"/>
  <c r="C237" i="35" s="1"/>
  <c r="F237" i="35"/>
  <c r="G237" i="35" s="1"/>
  <c r="J237" i="35"/>
  <c r="K237" i="35" s="1"/>
  <c r="C236" i="35" a="1"/>
  <c r="C236" i="35" s="1"/>
  <c r="F236" i="35"/>
  <c r="G236" i="35" s="1"/>
  <c r="J236" i="35"/>
  <c r="K236" i="35" s="1"/>
  <c r="Q236" i="35"/>
  <c r="C235" i="35" a="1"/>
  <c r="C235" i="35" s="1"/>
  <c r="F235" i="35"/>
  <c r="G235" i="35" s="1"/>
  <c r="J235" i="35"/>
  <c r="K235" i="35" s="1"/>
  <c r="C136" i="31" a="1"/>
  <c r="C136" i="31" s="1"/>
  <c r="D136" i="31" a="1"/>
  <c r="D136" i="31" s="1"/>
  <c r="L136" i="31"/>
  <c r="Q136" i="31"/>
  <c r="R136" i="31"/>
  <c r="U136" i="31"/>
  <c r="V136" i="31"/>
  <c r="AD136" i="31" s="1"/>
  <c r="W136" i="31"/>
  <c r="AB136" i="31"/>
  <c r="AC136" i="31"/>
  <c r="C234" i="35" a="1"/>
  <c r="C234" i="35" s="1"/>
  <c r="F234" i="35"/>
  <c r="G234" i="35" s="1"/>
  <c r="J234" i="35"/>
  <c r="K234" i="35" s="1"/>
  <c r="Q234" i="35"/>
  <c r="C191" i="31" a="1"/>
  <c r="C191" i="31" s="1"/>
  <c r="D191" i="31" a="1"/>
  <c r="D191" i="31" s="1"/>
  <c r="L191" i="31"/>
  <c r="Q191" i="31"/>
  <c r="R191" i="31"/>
  <c r="U191" i="31"/>
  <c r="V191" i="31"/>
  <c r="AD191" i="31" s="1"/>
  <c r="W191" i="31"/>
  <c r="AB191" i="31"/>
  <c r="AC191" i="31"/>
  <c r="C233" i="35" a="1"/>
  <c r="C233" i="35" s="1"/>
  <c r="F233" i="35"/>
  <c r="G233" i="35" s="1"/>
  <c r="J233" i="35"/>
  <c r="K233" i="35" s="1"/>
  <c r="Q233" i="35"/>
  <c r="C172" i="31" a="1"/>
  <c r="C172" i="31" s="1"/>
  <c r="D172" i="31" a="1"/>
  <c r="D172" i="31" s="1"/>
  <c r="L172" i="31"/>
  <c r="Q172" i="31"/>
  <c r="R172" i="31"/>
  <c r="U172" i="31"/>
  <c r="V172" i="31"/>
  <c r="AD172" i="31" s="1"/>
  <c r="W172" i="31"/>
  <c r="AB172" i="31"/>
  <c r="AC172" i="31"/>
  <c r="C171" i="31" a="1"/>
  <c r="C171" i="31" s="1"/>
  <c r="D171" i="31" a="1"/>
  <c r="D171" i="31" s="1"/>
  <c r="L171" i="31"/>
  <c r="Q171" i="31"/>
  <c r="R171" i="31"/>
  <c r="U171" i="31"/>
  <c r="V171" i="31"/>
  <c r="AD171" i="31" s="1"/>
  <c r="W171" i="31"/>
  <c r="AB171" i="31"/>
  <c r="AC171" i="31"/>
  <c r="C341" i="31" a="1"/>
  <c r="C341" i="31" s="1"/>
  <c r="D341" i="31" a="1"/>
  <c r="D341" i="31" s="1"/>
  <c r="L341" i="31"/>
  <c r="Q341" i="31"/>
  <c r="R341" i="31"/>
  <c r="U341" i="31"/>
  <c r="V341" i="31"/>
  <c r="AD341" i="31" s="1"/>
  <c r="W341" i="31"/>
  <c r="AB341" i="31"/>
  <c r="AC341" i="31"/>
  <c r="C365" i="31" a="1"/>
  <c r="C365" i="31" s="1"/>
  <c r="D365" i="31" a="1"/>
  <c r="D365" i="31" s="1"/>
  <c r="L365" i="31"/>
  <c r="Q365" i="31"/>
  <c r="R365" i="31"/>
  <c r="U365" i="31"/>
  <c r="V365" i="31"/>
  <c r="AD365" i="31" s="1"/>
  <c r="W365" i="31"/>
  <c r="AB365" i="31"/>
  <c r="AC365" i="31"/>
  <c r="B428" i="33" a="1"/>
  <c r="B428" i="33" s="1"/>
  <c r="E428" i="33" a="1"/>
  <c r="E428" i="33" s="1"/>
  <c r="F428" i="33" a="1"/>
  <c r="F428" i="33" s="1"/>
  <c r="G428" i="33" a="1"/>
  <c r="G428" i="33" s="1"/>
  <c r="L428" i="33" a="1"/>
  <c r="L428" i="33" s="1"/>
  <c r="M428" i="33"/>
  <c r="N428" i="33"/>
  <c r="E86" i="40" s="1"/>
  <c r="P428" i="33"/>
  <c r="C232" i="35" a="1"/>
  <c r="C232" i="35" s="1"/>
  <c r="F232" i="35"/>
  <c r="J232" i="35"/>
  <c r="Q232" i="35"/>
  <c r="C231" i="35" a="1"/>
  <c r="C231" i="35" s="1"/>
  <c r="F231" i="35"/>
  <c r="G231" i="35" s="1"/>
  <c r="J231" i="35"/>
  <c r="K231" i="35" s="1"/>
  <c r="Q231" i="35"/>
  <c r="C340" i="31" a="1"/>
  <c r="C340" i="31" s="1"/>
  <c r="D340" i="31" a="1"/>
  <c r="D340" i="31" s="1"/>
  <c r="L340" i="31"/>
  <c r="Q340" i="31"/>
  <c r="R340" i="31"/>
  <c r="U340" i="31"/>
  <c r="V340" i="31"/>
  <c r="AD340" i="31" s="1"/>
  <c r="W340" i="31"/>
  <c r="AB340" i="31"/>
  <c r="AC340" i="31"/>
  <c r="C363" i="31" a="1"/>
  <c r="C363" i="31" s="1"/>
  <c r="D363" i="31" a="1"/>
  <c r="D363" i="31" s="1"/>
  <c r="L363" i="31"/>
  <c r="Q363" i="31"/>
  <c r="R363" i="31"/>
  <c r="U363" i="31"/>
  <c r="V363" i="31"/>
  <c r="AD363" i="31" s="1"/>
  <c r="W363" i="31"/>
  <c r="AB363" i="31"/>
  <c r="AC363" i="31"/>
  <c r="C234" i="31" a="1"/>
  <c r="C234" i="31" s="1"/>
  <c r="D234" i="31" a="1"/>
  <c r="D234" i="31" s="1"/>
  <c r="L234" i="31"/>
  <c r="Q234" i="31"/>
  <c r="R234" i="31"/>
  <c r="U234" i="31"/>
  <c r="V234" i="31"/>
  <c r="AD234" i="31" s="1"/>
  <c r="W234" i="31"/>
  <c r="AB234" i="31"/>
  <c r="AC234" i="31"/>
  <c r="L389" i="31"/>
  <c r="L383" i="31"/>
  <c r="Q389" i="31"/>
  <c r="Q383" i="31"/>
  <c r="R389" i="31"/>
  <c r="R383" i="31"/>
  <c r="U389" i="31"/>
  <c r="U383" i="31"/>
  <c r="V389" i="31"/>
  <c r="AD389" i="31" s="1"/>
  <c r="V383" i="31"/>
  <c r="AD383" i="31" s="1"/>
  <c r="W389" i="31"/>
  <c r="W383" i="31"/>
  <c r="AB389" i="31"/>
  <c r="AB383" i="31"/>
  <c r="AC389" i="31"/>
  <c r="AC383" i="31"/>
  <c r="D383" i="31" a="1"/>
  <c r="D383" i="31" s="1"/>
  <c r="C383" i="31" a="1"/>
  <c r="C383" i="31" s="1"/>
  <c r="D389" i="31" a="1"/>
  <c r="D389" i="31" s="1"/>
  <c r="C389" i="31" a="1"/>
  <c r="C389" i="31" s="1"/>
  <c r="C382" i="31" a="1"/>
  <c r="C382" i="31" s="1"/>
  <c r="D382" i="31" a="1"/>
  <c r="D382" i="31" s="1"/>
  <c r="L382" i="31"/>
  <c r="Q382" i="31"/>
  <c r="R382" i="31"/>
  <c r="U382" i="31"/>
  <c r="V382" i="31"/>
  <c r="AD382" i="31" s="1"/>
  <c r="W382" i="31"/>
  <c r="AB382" i="31"/>
  <c r="AC382" i="31"/>
  <c r="C387" i="31" a="1"/>
  <c r="C387" i="31" s="1"/>
  <c r="D387" i="31" a="1"/>
  <c r="D387" i="31" s="1"/>
  <c r="L387" i="31"/>
  <c r="Q387" i="31"/>
  <c r="R387" i="31"/>
  <c r="U387" i="31"/>
  <c r="V387" i="31"/>
  <c r="AD387" i="31" s="1"/>
  <c r="W387" i="31"/>
  <c r="AB387" i="31"/>
  <c r="AC387" i="31"/>
  <c r="C230" i="35" a="1"/>
  <c r="C230" i="35" s="1"/>
  <c r="F230" i="35"/>
  <c r="G230" i="35" s="1"/>
  <c r="J230" i="35"/>
  <c r="K230" i="35" s="1"/>
  <c r="Q230" i="35"/>
  <c r="C229" i="35" a="1"/>
  <c r="C229" i="35" s="1"/>
  <c r="F229" i="35"/>
  <c r="G229" i="35" s="1"/>
  <c r="J229" i="35"/>
  <c r="K229" i="35" s="1"/>
  <c r="Q229" i="35"/>
  <c r="C379" i="31" a="1"/>
  <c r="C379" i="31" s="1"/>
  <c r="D379" i="31" a="1"/>
  <c r="D379" i="31" s="1"/>
  <c r="L379" i="31"/>
  <c r="Q379" i="31"/>
  <c r="R379" i="31"/>
  <c r="U379" i="31"/>
  <c r="V379" i="31"/>
  <c r="AD379" i="31" s="1"/>
  <c r="W379" i="31"/>
  <c r="AC379" i="31"/>
  <c r="C385" i="31" a="1"/>
  <c r="C385" i="31" s="1"/>
  <c r="D385" i="31" a="1"/>
  <c r="D385" i="31" s="1"/>
  <c r="L385" i="31"/>
  <c r="Q385" i="31"/>
  <c r="R385" i="31"/>
  <c r="U385" i="31"/>
  <c r="V385" i="31"/>
  <c r="AD385" i="31" s="1"/>
  <c r="W385" i="31"/>
  <c r="AB385" i="31"/>
  <c r="AC385" i="31"/>
  <c r="C228" i="35" a="1"/>
  <c r="C228" i="35" s="1"/>
  <c r="F228" i="35"/>
  <c r="G228" i="35" s="1"/>
  <c r="J228" i="35"/>
  <c r="K228" i="35" s="1"/>
  <c r="C227" i="35" a="1"/>
  <c r="C227" i="35" s="1"/>
  <c r="F227" i="35"/>
  <c r="G227" i="35" s="1"/>
  <c r="J227" i="35"/>
  <c r="K227" i="35" s="1"/>
  <c r="Q227" i="35"/>
  <c r="C226" i="35" a="1"/>
  <c r="C226" i="35" s="1"/>
  <c r="F226" i="35"/>
  <c r="G226" i="35" s="1"/>
  <c r="J226" i="35"/>
  <c r="K226" i="35" s="1"/>
  <c r="Q226" i="35"/>
  <c r="C225" i="35" a="1"/>
  <c r="C225" i="35" s="1"/>
  <c r="F225" i="35"/>
  <c r="G225" i="35" s="1"/>
  <c r="J225" i="35"/>
  <c r="K225" i="35" s="1"/>
  <c r="Q225" i="35"/>
  <c r="C224" i="35" a="1"/>
  <c r="C224" i="35" s="1"/>
  <c r="F224" i="35"/>
  <c r="J224" i="35"/>
  <c r="Q224" i="35"/>
  <c r="C223" i="35" a="1"/>
  <c r="C223" i="35" s="1"/>
  <c r="F223" i="35"/>
  <c r="G223" i="35" s="1"/>
  <c r="J223" i="35"/>
  <c r="K223" i="35" s="1"/>
  <c r="Q223" i="35"/>
  <c r="C384" i="31" a="1"/>
  <c r="C384" i="31" s="1"/>
  <c r="D384" i="31" a="1"/>
  <c r="D384" i="31" s="1"/>
  <c r="L384" i="31"/>
  <c r="Q384" i="31"/>
  <c r="R384" i="31"/>
  <c r="U384" i="31"/>
  <c r="V384" i="31"/>
  <c r="AD384" i="31" s="1"/>
  <c r="W384" i="31"/>
  <c r="AB384" i="31"/>
  <c r="AC384" i="31"/>
  <c r="C393" i="31" a="1"/>
  <c r="C393" i="31" s="1"/>
  <c r="D393" i="31" a="1"/>
  <c r="D393" i="31" s="1"/>
  <c r="L393" i="31"/>
  <c r="Q393" i="31"/>
  <c r="R393" i="31"/>
  <c r="U393" i="31"/>
  <c r="V393" i="31"/>
  <c r="AD393" i="31" s="1"/>
  <c r="W393" i="31"/>
  <c r="AB393" i="31"/>
  <c r="AC393" i="31"/>
  <c r="C222" i="35" a="1"/>
  <c r="C222" i="35" s="1"/>
  <c r="F222" i="35"/>
  <c r="G222" i="35" s="1"/>
  <c r="J222" i="35"/>
  <c r="K222" i="35" s="1"/>
  <c r="C301" i="31" a="1"/>
  <c r="C301" i="31" s="1"/>
  <c r="D301" i="31" a="1"/>
  <c r="D301" i="31" s="1"/>
  <c r="L301" i="31"/>
  <c r="Q301" i="31"/>
  <c r="R301" i="31"/>
  <c r="U301" i="31"/>
  <c r="V301" i="31"/>
  <c r="AD301" i="31" s="1"/>
  <c r="W301" i="31"/>
  <c r="AB301" i="31"/>
  <c r="AC301" i="31"/>
  <c r="C307" i="31" a="1"/>
  <c r="C307" i="31" s="1"/>
  <c r="D307" i="31" a="1"/>
  <c r="D307" i="31" s="1"/>
  <c r="L307" i="31"/>
  <c r="Q307" i="31"/>
  <c r="R307" i="31"/>
  <c r="U307" i="31"/>
  <c r="V307" i="31"/>
  <c r="AD307" i="31" s="1"/>
  <c r="W307" i="31"/>
  <c r="AB307" i="31"/>
  <c r="AC307" i="31"/>
  <c r="C390" i="31" a="1"/>
  <c r="C390" i="31" s="1"/>
  <c r="D390" i="31" a="1"/>
  <c r="D390" i="31" s="1"/>
  <c r="L390" i="31"/>
  <c r="Q390" i="31"/>
  <c r="R390" i="31"/>
  <c r="U390" i="31"/>
  <c r="V390" i="31"/>
  <c r="AD390" i="31" s="1"/>
  <c r="W390" i="31"/>
  <c r="AC390" i="31"/>
  <c r="C419" i="31" a="1"/>
  <c r="C419" i="31" s="1"/>
  <c r="D419" i="31" a="1"/>
  <c r="D419" i="31" s="1"/>
  <c r="L419" i="31"/>
  <c r="Q419" i="31"/>
  <c r="R419" i="31"/>
  <c r="U419" i="31"/>
  <c r="V419" i="31"/>
  <c r="AD419" i="31" s="1"/>
  <c r="W419" i="31"/>
  <c r="AB419" i="31"/>
  <c r="AC419" i="31"/>
  <c r="C221" i="35" a="1"/>
  <c r="C221" i="35" s="1"/>
  <c r="F221" i="35"/>
  <c r="G221" i="35" s="1"/>
  <c r="J221" i="35"/>
  <c r="K221" i="35" s="1"/>
  <c r="Q221" i="35"/>
  <c r="C386" i="31" a="1"/>
  <c r="C386" i="31" s="1"/>
  <c r="D386" i="31" a="1"/>
  <c r="D386" i="31" s="1"/>
  <c r="L386" i="31"/>
  <c r="Q386" i="31"/>
  <c r="R386" i="31"/>
  <c r="U386" i="31"/>
  <c r="V386" i="31"/>
  <c r="AD386" i="31" s="1"/>
  <c r="W386" i="31"/>
  <c r="AB386" i="31"/>
  <c r="AC386" i="31"/>
  <c r="C418" i="31" a="1"/>
  <c r="C418" i="31" s="1"/>
  <c r="D418" i="31" a="1"/>
  <c r="D418" i="31" s="1"/>
  <c r="L418" i="31"/>
  <c r="Q418" i="31"/>
  <c r="R418" i="31"/>
  <c r="U418" i="31"/>
  <c r="V418" i="31"/>
  <c r="AD418" i="31" s="1"/>
  <c r="W418" i="31"/>
  <c r="AB418" i="31"/>
  <c r="AC418" i="31"/>
  <c r="H134" i="6"/>
  <c r="J134" i="6" s="1"/>
  <c r="N134" i="6" s="1"/>
  <c r="I134" i="6"/>
  <c r="K134" i="6" s="1"/>
  <c r="O134" i="6" s="1"/>
  <c r="U134" i="6"/>
  <c r="H133" i="6"/>
  <c r="J133" i="6" s="1"/>
  <c r="I133" i="6"/>
  <c r="K133" i="6" s="1"/>
  <c r="U133" i="6"/>
  <c r="H132" i="6"/>
  <c r="J132" i="6" s="1"/>
  <c r="N132" i="6" s="1"/>
  <c r="I132" i="6"/>
  <c r="K132" i="6" s="1"/>
  <c r="O132" i="6" s="1"/>
  <c r="U132" i="6"/>
  <c r="H131" i="6"/>
  <c r="J131" i="6" s="1"/>
  <c r="I131" i="6"/>
  <c r="K131" i="6" s="1"/>
  <c r="U131" i="6"/>
  <c r="H130" i="6"/>
  <c r="J130" i="6" s="1"/>
  <c r="I130" i="6"/>
  <c r="K130" i="6" s="1"/>
  <c r="U130" i="6"/>
  <c r="H129" i="6"/>
  <c r="J129" i="6" s="1"/>
  <c r="I129" i="6"/>
  <c r="K129" i="6" s="1"/>
  <c r="U129" i="6"/>
  <c r="H128" i="6"/>
  <c r="J128" i="6" s="1"/>
  <c r="I128" i="6"/>
  <c r="K128" i="6" s="1"/>
  <c r="U128" i="6"/>
  <c r="H127" i="6"/>
  <c r="J127" i="6" s="1"/>
  <c r="I127" i="6"/>
  <c r="U127" i="6"/>
  <c r="H126" i="6"/>
  <c r="J126" i="6" s="1"/>
  <c r="I126" i="6"/>
  <c r="K126" i="6" s="1"/>
  <c r="U126" i="6"/>
  <c r="H125" i="6"/>
  <c r="I125" i="6"/>
  <c r="U125" i="6"/>
  <c r="H124" i="6"/>
  <c r="J124" i="6" s="1"/>
  <c r="I124" i="6"/>
  <c r="U124" i="6"/>
  <c r="H123" i="6"/>
  <c r="J123" i="6" s="1"/>
  <c r="I123" i="6"/>
  <c r="K123" i="6" s="1"/>
  <c r="U123" i="6"/>
  <c r="H122" i="6"/>
  <c r="J122" i="6" s="1"/>
  <c r="I122" i="6"/>
  <c r="K122" i="6" s="1"/>
  <c r="U122" i="6"/>
  <c r="H121" i="6"/>
  <c r="I121" i="6"/>
  <c r="U121" i="6"/>
  <c r="H120" i="6"/>
  <c r="I120" i="6"/>
  <c r="U120" i="6"/>
  <c r="H119" i="6"/>
  <c r="I119" i="6"/>
  <c r="U119" i="6"/>
  <c r="H118" i="6"/>
  <c r="L118" i="6" s="1"/>
  <c r="I118" i="6"/>
  <c r="M118" i="6" s="1"/>
  <c r="U118" i="6"/>
  <c r="H117" i="6"/>
  <c r="I117" i="6"/>
  <c r="U117" i="6"/>
  <c r="H116" i="6"/>
  <c r="J116" i="6" s="1"/>
  <c r="I116" i="6"/>
  <c r="K116" i="6" s="1"/>
  <c r="U116" i="6"/>
  <c r="H115" i="6"/>
  <c r="J115" i="6" s="1"/>
  <c r="I115" i="6"/>
  <c r="K115" i="6" s="1"/>
  <c r="U115" i="6"/>
  <c r="H114" i="6"/>
  <c r="I114" i="6"/>
  <c r="U114" i="6"/>
  <c r="H113" i="6"/>
  <c r="I113" i="6"/>
  <c r="K113" i="6" s="1"/>
  <c r="U113" i="6"/>
  <c r="H112" i="6"/>
  <c r="I112" i="6"/>
  <c r="U112" i="6"/>
  <c r="H111" i="6"/>
  <c r="J111" i="6" s="1"/>
  <c r="I111" i="6"/>
  <c r="K111" i="6" s="1"/>
  <c r="U111" i="6"/>
  <c r="H110" i="6"/>
  <c r="J110" i="6" s="1"/>
  <c r="I110" i="6"/>
  <c r="K110" i="6" s="1"/>
  <c r="U110" i="6"/>
  <c r="H109" i="6"/>
  <c r="I109" i="6"/>
  <c r="K109" i="6" s="1"/>
  <c r="U109" i="6"/>
  <c r="H108" i="6"/>
  <c r="I108" i="6"/>
  <c r="U108" i="6"/>
  <c r="H107" i="6"/>
  <c r="J107" i="6" s="1"/>
  <c r="I107" i="6"/>
  <c r="K107" i="6" s="1"/>
  <c r="U107" i="6"/>
  <c r="H106" i="6"/>
  <c r="I106" i="6"/>
  <c r="U106" i="6"/>
  <c r="H105" i="6"/>
  <c r="J105" i="6" s="1"/>
  <c r="I105" i="6"/>
  <c r="K105" i="6" s="1"/>
  <c r="U105" i="6"/>
  <c r="C220" i="35" a="1"/>
  <c r="C220" i="35" s="1"/>
  <c r="F220" i="35"/>
  <c r="G220" i="35" s="1"/>
  <c r="J220" i="35"/>
  <c r="K220" i="35" s="1"/>
  <c r="Q220" i="35"/>
  <c r="C219" i="35" a="1"/>
  <c r="C219" i="35" s="1"/>
  <c r="F219" i="35"/>
  <c r="G219" i="35" s="1"/>
  <c r="J219" i="35"/>
  <c r="K219" i="35" s="1"/>
  <c r="Q219" i="35"/>
  <c r="C218" i="35" a="1"/>
  <c r="C218" i="35" s="1"/>
  <c r="F218" i="35"/>
  <c r="G218" i="35" s="1"/>
  <c r="J218" i="35"/>
  <c r="K218" i="35" s="1"/>
  <c r="Q218" i="35"/>
  <c r="C217" i="35" a="1"/>
  <c r="C217" i="35" s="1"/>
  <c r="F217" i="35"/>
  <c r="G217" i="35" s="1"/>
  <c r="J217" i="35"/>
  <c r="K217" i="35" s="1"/>
  <c r="Q217" i="35"/>
  <c r="C216" i="35" a="1"/>
  <c r="C216" i="35" s="1"/>
  <c r="F216" i="35"/>
  <c r="G216" i="35" s="1"/>
  <c r="J216" i="35"/>
  <c r="K216" i="35" s="1"/>
  <c r="C320" i="31" a="1"/>
  <c r="C320" i="31" s="1"/>
  <c r="D320" i="31" a="1"/>
  <c r="D320" i="31" s="1"/>
  <c r="L320" i="31"/>
  <c r="Q320" i="31"/>
  <c r="R320" i="31"/>
  <c r="U320" i="31"/>
  <c r="V320" i="31"/>
  <c r="AD320" i="31" s="1"/>
  <c r="W320" i="31"/>
  <c r="AB320" i="31"/>
  <c r="AC320" i="31"/>
  <c r="C357" i="31" a="1"/>
  <c r="C357" i="31" s="1"/>
  <c r="D357" i="31" a="1"/>
  <c r="D357" i="31" s="1"/>
  <c r="L357" i="31"/>
  <c r="Q357" i="31"/>
  <c r="R357" i="31"/>
  <c r="U357" i="31"/>
  <c r="V357" i="31"/>
  <c r="AD357" i="31" s="1"/>
  <c r="W357" i="31"/>
  <c r="AB357" i="31"/>
  <c r="AC357" i="31"/>
  <c r="C215" i="35" a="1"/>
  <c r="C215" i="35" s="1"/>
  <c r="F215" i="35"/>
  <c r="G215" i="35" s="1"/>
  <c r="J215" i="35"/>
  <c r="K215" i="35" s="1"/>
  <c r="Q215" i="35"/>
  <c r="C214" i="35" a="1"/>
  <c r="C214" i="35" s="1"/>
  <c r="F214" i="35"/>
  <c r="G214" i="35" s="1"/>
  <c r="J214" i="35"/>
  <c r="K214" i="35" s="1"/>
  <c r="Q214" i="35"/>
  <c r="C179" i="31" a="1"/>
  <c r="C179" i="31" s="1"/>
  <c r="D179" i="31" a="1"/>
  <c r="D179" i="31" s="1"/>
  <c r="L179" i="31"/>
  <c r="Q179" i="31"/>
  <c r="R179" i="31"/>
  <c r="U179" i="31"/>
  <c r="V179" i="31"/>
  <c r="AD179" i="31" s="1"/>
  <c r="W179" i="31"/>
  <c r="AB179" i="31"/>
  <c r="AC179" i="31"/>
  <c r="C178" i="31" a="1"/>
  <c r="C178" i="31" s="1"/>
  <c r="D178" i="31" a="1"/>
  <c r="D178" i="31" s="1"/>
  <c r="L178" i="31"/>
  <c r="Q178" i="31"/>
  <c r="R178" i="31"/>
  <c r="U178" i="31"/>
  <c r="V178" i="31"/>
  <c r="AD178" i="31" s="1"/>
  <c r="W178" i="31"/>
  <c r="AB178" i="31"/>
  <c r="AC178" i="31"/>
  <c r="C299" i="31" a="1"/>
  <c r="C299" i="31" s="1"/>
  <c r="D299" i="31" a="1"/>
  <c r="D299" i="31" s="1"/>
  <c r="L299" i="31"/>
  <c r="Q299" i="31"/>
  <c r="R299" i="31"/>
  <c r="U299" i="31"/>
  <c r="V299" i="31"/>
  <c r="AD299" i="31" s="1"/>
  <c r="W299" i="31"/>
  <c r="AB299" i="31"/>
  <c r="AC299" i="31"/>
  <c r="C334" i="31" a="1"/>
  <c r="C334" i="31" s="1"/>
  <c r="D334" i="31" a="1"/>
  <c r="D334" i="31" s="1"/>
  <c r="L334" i="31"/>
  <c r="Q334" i="31"/>
  <c r="R334" i="31"/>
  <c r="U334" i="31"/>
  <c r="V334" i="31"/>
  <c r="AD334" i="31" s="1"/>
  <c r="W334" i="31"/>
  <c r="AB334" i="31"/>
  <c r="AC334" i="31"/>
  <c r="C99" i="31" a="1"/>
  <c r="C99" i="31" s="1"/>
  <c r="D99" i="31" a="1"/>
  <c r="D99" i="31" s="1"/>
  <c r="L99" i="31"/>
  <c r="Q99" i="31"/>
  <c r="R99" i="31"/>
  <c r="U99" i="31"/>
  <c r="V99" i="31"/>
  <c r="AD99" i="31" s="1"/>
  <c r="W99" i="31"/>
  <c r="AB99" i="31"/>
  <c r="AC99" i="31"/>
  <c r="C190" i="31" a="1"/>
  <c r="C190" i="31" s="1"/>
  <c r="D190" i="31" a="1"/>
  <c r="D190" i="31" s="1"/>
  <c r="L190" i="31"/>
  <c r="Q190" i="31"/>
  <c r="R190" i="31"/>
  <c r="U190" i="31"/>
  <c r="V190" i="31"/>
  <c r="AD190" i="31" s="1"/>
  <c r="W190" i="31"/>
  <c r="AB190" i="31"/>
  <c r="AC190" i="31"/>
  <c r="C162" i="31" a="1"/>
  <c r="C162" i="31" s="1"/>
  <c r="D162" i="31" a="1"/>
  <c r="D162" i="31" s="1"/>
  <c r="L162" i="31"/>
  <c r="Q162" i="31"/>
  <c r="R162" i="31"/>
  <c r="U162" i="31"/>
  <c r="V162" i="31"/>
  <c r="AD162" i="31" s="1"/>
  <c r="W162" i="31"/>
  <c r="AB162" i="31"/>
  <c r="AC162" i="31"/>
  <c r="C233" i="31" a="1"/>
  <c r="C233" i="31" s="1"/>
  <c r="D233" i="31" a="1"/>
  <c r="D233" i="31" s="1"/>
  <c r="L233" i="31"/>
  <c r="Q233" i="31"/>
  <c r="R233" i="31"/>
  <c r="U233" i="31"/>
  <c r="V233" i="31"/>
  <c r="AD233" i="31" s="1"/>
  <c r="W233" i="31"/>
  <c r="AB233" i="31"/>
  <c r="AC233" i="31"/>
  <c r="C184" i="31" a="1"/>
  <c r="C184" i="31" s="1"/>
  <c r="D184" i="31" a="1"/>
  <c r="D184" i="31" s="1"/>
  <c r="L184" i="31"/>
  <c r="Q184" i="31"/>
  <c r="R184" i="31"/>
  <c r="U184" i="31"/>
  <c r="V184" i="31"/>
  <c r="AD184" i="31" s="1"/>
  <c r="W184" i="31"/>
  <c r="AB184" i="31"/>
  <c r="AC184" i="31"/>
  <c r="C169" i="31" a="1"/>
  <c r="C169" i="31" s="1"/>
  <c r="D169" i="31" a="1"/>
  <c r="D169" i="31" s="1"/>
  <c r="L169" i="31"/>
  <c r="Q169" i="31"/>
  <c r="R169" i="31"/>
  <c r="U169" i="31"/>
  <c r="V169" i="31"/>
  <c r="AD169" i="31" s="1"/>
  <c r="W169" i="31"/>
  <c r="AB169" i="31"/>
  <c r="AC169" i="31"/>
  <c r="C213" i="35" a="1"/>
  <c r="C213" i="35" s="1"/>
  <c r="F213" i="35"/>
  <c r="H1992" i="35" s="1"/>
  <c r="J213" i="35"/>
  <c r="L1992" i="35" s="1"/>
  <c r="Q213" i="35"/>
  <c r="C212" i="35" a="1"/>
  <c r="C212" i="35" s="1"/>
  <c r="F212" i="35"/>
  <c r="G212" i="35" s="1"/>
  <c r="J212" i="35"/>
  <c r="K212" i="35" s="1"/>
  <c r="C211" i="35" a="1"/>
  <c r="C211" i="35" s="1"/>
  <c r="F211" i="35"/>
  <c r="G211" i="35" s="1"/>
  <c r="J211" i="35"/>
  <c r="K211" i="35" s="1"/>
  <c r="C210" i="35" a="1"/>
  <c r="C210" i="35" s="1"/>
  <c r="F210" i="35"/>
  <c r="G210" i="35" s="1"/>
  <c r="J210" i="35"/>
  <c r="K210" i="35" s="1"/>
  <c r="Q210" i="35"/>
  <c r="C209" i="35" a="1"/>
  <c r="C209" i="35" s="1"/>
  <c r="F209" i="35"/>
  <c r="G209" i="35" s="1"/>
  <c r="J209" i="35"/>
  <c r="K209" i="35" s="1"/>
  <c r="Q209" i="35"/>
  <c r="C300" i="31" a="1"/>
  <c r="C300" i="31" s="1"/>
  <c r="D300" i="31" a="1"/>
  <c r="D300" i="31" s="1"/>
  <c r="L300" i="31"/>
  <c r="Q300" i="31"/>
  <c r="R300" i="31"/>
  <c r="U300" i="31"/>
  <c r="V300" i="31"/>
  <c r="AD300" i="31" s="1"/>
  <c r="W300" i="31"/>
  <c r="AB300" i="31"/>
  <c r="AC300" i="31"/>
  <c r="C335" i="31" a="1"/>
  <c r="C335" i="31" s="1"/>
  <c r="D335" i="31" a="1"/>
  <c r="D335" i="31" s="1"/>
  <c r="L335" i="31"/>
  <c r="Q335" i="31"/>
  <c r="R335" i="31"/>
  <c r="U335" i="31"/>
  <c r="V335" i="31"/>
  <c r="AD335" i="31" s="1"/>
  <c r="W335" i="31"/>
  <c r="AB335" i="31"/>
  <c r="AC335" i="31"/>
  <c r="C101" i="31" a="1"/>
  <c r="C101" i="31" s="1"/>
  <c r="D101" i="31" a="1"/>
  <c r="D101" i="31" s="1"/>
  <c r="L101" i="31"/>
  <c r="Q101" i="31"/>
  <c r="R101" i="31"/>
  <c r="U101" i="31"/>
  <c r="V101" i="31"/>
  <c r="AD101" i="31" s="1"/>
  <c r="W101" i="31"/>
  <c r="AB101" i="31"/>
  <c r="AC101" i="31"/>
  <c r="C208" i="35" a="1"/>
  <c r="C208" i="35" s="1"/>
  <c r="F208" i="35"/>
  <c r="G208" i="35" s="1"/>
  <c r="J208" i="35"/>
  <c r="K208" i="35" s="1"/>
  <c r="Q208" i="35"/>
  <c r="C207" i="35" a="1"/>
  <c r="C207" i="35" s="1"/>
  <c r="F207" i="35"/>
  <c r="G207" i="35" s="1"/>
  <c r="J207" i="35"/>
  <c r="K207" i="35" s="1"/>
  <c r="Q207" i="35"/>
  <c r="C206" i="35" a="1"/>
  <c r="C206" i="35" s="1"/>
  <c r="F206" i="35"/>
  <c r="G206" i="35" s="1"/>
  <c r="J206" i="35"/>
  <c r="K206" i="35" s="1"/>
  <c r="Q206" i="35"/>
  <c r="C205" i="35" a="1"/>
  <c r="C205" i="35" s="1"/>
  <c r="F205" i="35"/>
  <c r="G205" i="35" s="1"/>
  <c r="J205" i="35"/>
  <c r="K205" i="35" s="1"/>
  <c r="C204" i="35" a="1"/>
  <c r="C204" i="35" s="1"/>
  <c r="F204" i="35"/>
  <c r="J204" i="35"/>
  <c r="Q204" i="35"/>
  <c r="B136" i="33" a="1"/>
  <c r="B136" i="33" s="1"/>
  <c r="E136" i="33" a="1"/>
  <c r="E136" i="33" s="1"/>
  <c r="F136" i="33" a="1"/>
  <c r="F136" i="33" s="1"/>
  <c r="G136" i="33" a="1"/>
  <c r="G136" i="33" s="1"/>
  <c r="L136" i="33" a="1"/>
  <c r="L136" i="33" s="1"/>
  <c r="M136" i="33"/>
  <c r="P136" i="33"/>
  <c r="C401" i="31" a="1"/>
  <c r="C401" i="31" s="1"/>
  <c r="D401" i="31" a="1"/>
  <c r="D401" i="31" s="1"/>
  <c r="L401" i="31"/>
  <c r="Q401" i="31"/>
  <c r="R401" i="31"/>
  <c r="U401" i="31"/>
  <c r="V401" i="31"/>
  <c r="AD401" i="31" s="1"/>
  <c r="W401" i="31"/>
  <c r="AB401" i="31"/>
  <c r="AC401" i="31"/>
  <c r="C420" i="31" a="1"/>
  <c r="C420" i="31" s="1"/>
  <c r="D420" i="31" a="1"/>
  <c r="D420" i="31" s="1"/>
  <c r="L420" i="31"/>
  <c r="Q420" i="31"/>
  <c r="R420" i="31"/>
  <c r="U420" i="31"/>
  <c r="V420" i="31"/>
  <c r="AD420" i="31" s="1"/>
  <c r="W420" i="31"/>
  <c r="AB420" i="31"/>
  <c r="AC420" i="31"/>
  <c r="C203" i="35" a="1"/>
  <c r="C203" i="35" s="1"/>
  <c r="F203" i="35"/>
  <c r="G203" i="35" s="1"/>
  <c r="J203" i="35"/>
  <c r="K203" i="35" s="1"/>
  <c r="C202" i="35" a="1"/>
  <c r="C202" i="35" s="1"/>
  <c r="F202" i="35"/>
  <c r="G202" i="35" s="1"/>
  <c r="J202" i="35"/>
  <c r="K202" i="35" s="1"/>
  <c r="Q202" i="35"/>
  <c r="C201" i="35" a="1"/>
  <c r="C201" i="35" s="1"/>
  <c r="F201" i="35"/>
  <c r="G201" i="35" s="1"/>
  <c r="J201" i="35"/>
  <c r="K201" i="35" s="1"/>
  <c r="Q201" i="35"/>
  <c r="F104" i="6"/>
  <c r="H104" i="6"/>
  <c r="I104" i="6"/>
  <c r="U104" i="6"/>
  <c r="H103" i="6"/>
  <c r="J103" i="6" s="1"/>
  <c r="I103" i="6"/>
  <c r="K103" i="6" s="1"/>
  <c r="U103" i="6"/>
  <c r="F102" i="6"/>
  <c r="F101" i="6"/>
  <c r="H102" i="6"/>
  <c r="I102" i="6"/>
  <c r="U102" i="6"/>
  <c r="H101" i="6"/>
  <c r="I101" i="6"/>
  <c r="U101" i="6"/>
  <c r="H100" i="6"/>
  <c r="J100" i="6" s="1"/>
  <c r="I100" i="6"/>
  <c r="K100" i="6" s="1"/>
  <c r="U100" i="6"/>
  <c r="C150" i="31" a="1"/>
  <c r="C150" i="31" s="1"/>
  <c r="D150" i="31" a="1"/>
  <c r="D150" i="31" s="1"/>
  <c r="L150" i="31"/>
  <c r="Q150" i="31"/>
  <c r="R150" i="31"/>
  <c r="U150" i="31"/>
  <c r="V150" i="31"/>
  <c r="AD150" i="31" s="1"/>
  <c r="W150" i="31"/>
  <c r="AB150" i="31"/>
  <c r="AC150" i="31"/>
  <c r="C161" i="31" a="1"/>
  <c r="C161" i="31" s="1"/>
  <c r="D161" i="31" a="1"/>
  <c r="D161" i="31" s="1"/>
  <c r="L161" i="31"/>
  <c r="Q161" i="31"/>
  <c r="R161" i="31"/>
  <c r="U161" i="31"/>
  <c r="V161" i="31"/>
  <c r="AD161" i="31" s="1"/>
  <c r="W161" i="31"/>
  <c r="AB161" i="31"/>
  <c r="AC161" i="31"/>
  <c r="C160" i="31" a="1"/>
  <c r="C160" i="31" s="1"/>
  <c r="D160" i="31" a="1"/>
  <c r="D160" i="31" s="1"/>
  <c r="L160" i="31"/>
  <c r="Q160" i="31"/>
  <c r="R160" i="31"/>
  <c r="U160" i="31"/>
  <c r="V160" i="31"/>
  <c r="AD160" i="31" s="1"/>
  <c r="W160" i="31"/>
  <c r="AB160" i="31"/>
  <c r="AC160" i="31"/>
  <c r="C200" i="35" a="1"/>
  <c r="C200" i="35" s="1"/>
  <c r="F200" i="35"/>
  <c r="G200" i="35" s="1"/>
  <c r="J200" i="35"/>
  <c r="K200" i="35" s="1"/>
  <c r="C189" i="31" a="1"/>
  <c r="C189" i="31" s="1"/>
  <c r="D189" i="31" a="1"/>
  <c r="D189" i="31" s="1"/>
  <c r="L189" i="31"/>
  <c r="Q189" i="31"/>
  <c r="R189" i="31"/>
  <c r="U189" i="31"/>
  <c r="V189" i="31"/>
  <c r="AD189" i="31" s="1"/>
  <c r="W189" i="31"/>
  <c r="AB189" i="31"/>
  <c r="AC189" i="31"/>
  <c r="C158" i="31" a="1"/>
  <c r="C158" i="31" s="1"/>
  <c r="D158" i="31" a="1"/>
  <c r="D158" i="31" s="1"/>
  <c r="L158" i="31"/>
  <c r="Q158" i="31"/>
  <c r="R158" i="31"/>
  <c r="U158" i="31"/>
  <c r="V158" i="31"/>
  <c r="AD158" i="31" s="1"/>
  <c r="W158" i="31"/>
  <c r="AB158" i="31"/>
  <c r="AC158" i="31"/>
  <c r="C186" i="31" a="1"/>
  <c r="C186" i="31" s="1"/>
  <c r="D186" i="31" a="1"/>
  <c r="D186" i="31" s="1"/>
  <c r="L186" i="31"/>
  <c r="Q186" i="31"/>
  <c r="R186" i="31"/>
  <c r="U186" i="31"/>
  <c r="V186" i="31"/>
  <c r="AD186" i="31" s="1"/>
  <c r="W186" i="31"/>
  <c r="AB186" i="31"/>
  <c r="AC186" i="31"/>
  <c r="C199" i="35" a="1"/>
  <c r="C199" i="35" s="1"/>
  <c r="F199" i="35"/>
  <c r="G199" i="35" s="1"/>
  <c r="J199" i="35"/>
  <c r="K199" i="35" s="1"/>
  <c r="Q199" i="35"/>
  <c r="B201" i="33" a="1"/>
  <c r="B201" i="33" s="1"/>
  <c r="E201" i="33" a="1"/>
  <c r="E201" i="33" s="1"/>
  <c r="F201" i="33" a="1"/>
  <c r="F201" i="33" s="1"/>
  <c r="G201" i="33" a="1"/>
  <c r="G201" i="33" s="1"/>
  <c r="L201" i="33" a="1"/>
  <c r="L201" i="33" s="1"/>
  <c r="M201" i="33"/>
  <c r="N201" i="33"/>
  <c r="P201" i="33"/>
  <c r="C198" i="35" a="1"/>
  <c r="C198" i="35" s="1"/>
  <c r="F198" i="35"/>
  <c r="J198" i="35"/>
  <c r="Q198" i="35"/>
  <c r="C197" i="35" a="1"/>
  <c r="C197" i="35" s="1"/>
  <c r="F197" i="35"/>
  <c r="J197" i="35"/>
  <c r="Q197" i="35"/>
  <c r="B398" i="33" a="1"/>
  <c r="B398" i="33" s="1"/>
  <c r="E398" i="33" a="1"/>
  <c r="E398" i="33" s="1"/>
  <c r="F398" i="33" a="1"/>
  <c r="F398" i="33" s="1"/>
  <c r="G398" i="33" a="1"/>
  <c r="G398" i="33" s="1"/>
  <c r="H398" i="33"/>
  <c r="L398" i="33" a="1"/>
  <c r="L398" i="33" s="1"/>
  <c r="M398" i="33"/>
  <c r="N398" i="33"/>
  <c r="P398" i="33"/>
  <c r="B313" i="33" a="1"/>
  <c r="B313" i="33" s="1"/>
  <c r="B327" i="33" a="1"/>
  <c r="B327" i="33" s="1"/>
  <c r="E313" i="33" a="1"/>
  <c r="E313" i="33" s="1"/>
  <c r="E327" i="33" a="1"/>
  <c r="E327" i="33" s="1"/>
  <c r="F313" i="33" a="1"/>
  <c r="F313" i="33" s="1"/>
  <c r="F327" i="33" a="1"/>
  <c r="F327" i="33" s="1"/>
  <c r="G313" i="33" a="1"/>
  <c r="G313" i="33" s="1"/>
  <c r="G327" i="33" a="1"/>
  <c r="G327" i="33" s="1"/>
  <c r="H313" i="33"/>
  <c r="H327" i="33"/>
  <c r="L313" i="33" a="1"/>
  <c r="L313" i="33" s="1"/>
  <c r="L327" i="33" a="1"/>
  <c r="L327" i="33" s="1"/>
  <c r="M313" i="33"/>
  <c r="M327" i="33"/>
  <c r="N313" i="33"/>
  <c r="N327" i="33"/>
  <c r="P313" i="33"/>
  <c r="P327" i="33"/>
  <c r="B338" i="33" a="1"/>
  <c r="B338" i="33" s="1"/>
  <c r="B294" i="33" a="1"/>
  <c r="B294" i="33" s="1"/>
  <c r="B418" i="33" a="1"/>
  <c r="B418" i="33" s="1"/>
  <c r="E338" i="33" a="1"/>
  <c r="E338" i="33" s="1"/>
  <c r="E294" i="33" a="1"/>
  <c r="E294" i="33" s="1"/>
  <c r="E418" i="33" a="1"/>
  <c r="E418" i="33" s="1"/>
  <c r="F338" i="33" a="1"/>
  <c r="F338" i="33" s="1"/>
  <c r="F294" i="33" a="1"/>
  <c r="F294" i="33" s="1"/>
  <c r="F418" i="33" a="1"/>
  <c r="F418" i="33" s="1"/>
  <c r="G338" i="33" a="1"/>
  <c r="G338" i="33" s="1"/>
  <c r="G294" i="33" a="1"/>
  <c r="G294" i="33" s="1"/>
  <c r="G418" i="33" a="1"/>
  <c r="G418" i="33" s="1"/>
  <c r="H338" i="33"/>
  <c r="H294" i="33"/>
  <c r="H418" i="33"/>
  <c r="L338" i="33" a="1"/>
  <c r="L338" i="33" s="1"/>
  <c r="L294" i="33" a="1"/>
  <c r="L294" i="33" s="1"/>
  <c r="L418" i="33" a="1"/>
  <c r="L418" i="33" s="1"/>
  <c r="M338" i="33"/>
  <c r="M294" i="33"/>
  <c r="M418" i="33"/>
  <c r="N338" i="33"/>
  <c r="N294" i="33"/>
  <c r="N418" i="33"/>
  <c r="P338" i="33"/>
  <c r="P294" i="33"/>
  <c r="P418" i="33"/>
  <c r="B250" i="33" a="1"/>
  <c r="B250" i="33" s="1"/>
  <c r="B309" i="33" a="1"/>
  <c r="B309" i="33" s="1"/>
  <c r="B391" i="33" a="1"/>
  <c r="B391" i="33" s="1"/>
  <c r="B365" i="33" a="1"/>
  <c r="B365" i="33" s="1"/>
  <c r="B326" i="33" a="1"/>
  <c r="B326" i="33" s="1"/>
  <c r="B264" i="33" a="1"/>
  <c r="B264" i="33" s="1"/>
  <c r="B372" i="33" a="1"/>
  <c r="B372" i="33" s="1"/>
  <c r="B424" i="33" a="1"/>
  <c r="B424" i="33" s="1"/>
  <c r="B275" i="33" a="1"/>
  <c r="B275" i="33" s="1"/>
  <c r="E250" i="33" a="1"/>
  <c r="E250" i="33" s="1"/>
  <c r="E309" i="33" a="1"/>
  <c r="E309" i="33" s="1"/>
  <c r="E391" i="33" a="1"/>
  <c r="E391" i="33" s="1"/>
  <c r="E365" i="33" a="1"/>
  <c r="E365" i="33" s="1"/>
  <c r="E326" i="33" a="1"/>
  <c r="E326" i="33" s="1"/>
  <c r="E264" i="33" a="1"/>
  <c r="E264" i="33" s="1"/>
  <c r="E372" i="33" a="1"/>
  <c r="E372" i="33" s="1"/>
  <c r="E424" i="33" a="1"/>
  <c r="E424" i="33" s="1"/>
  <c r="E275" i="33" a="1"/>
  <c r="E275" i="33" s="1"/>
  <c r="F250" i="33" a="1"/>
  <c r="F250" i="33" s="1"/>
  <c r="F309" i="33" a="1"/>
  <c r="F309" i="33" s="1"/>
  <c r="F391" i="33" a="1"/>
  <c r="F391" i="33" s="1"/>
  <c r="F365" i="33" a="1"/>
  <c r="F365" i="33" s="1"/>
  <c r="F326" i="33" a="1"/>
  <c r="F326" i="33" s="1"/>
  <c r="F264" i="33" a="1"/>
  <c r="F264" i="33" s="1"/>
  <c r="F372" i="33" a="1"/>
  <c r="F372" i="33" s="1"/>
  <c r="F424" i="33" a="1"/>
  <c r="F424" i="33" s="1"/>
  <c r="F275" i="33" a="1"/>
  <c r="F275" i="33" s="1"/>
  <c r="G250" i="33" a="1"/>
  <c r="G250" i="33" s="1"/>
  <c r="G309" i="33" a="1"/>
  <c r="G309" i="33" s="1"/>
  <c r="G391" i="33" a="1"/>
  <c r="G391" i="33" s="1"/>
  <c r="G365" i="33" a="1"/>
  <c r="G365" i="33" s="1"/>
  <c r="G326" i="33" a="1"/>
  <c r="G326" i="33" s="1"/>
  <c r="G264" i="33" a="1"/>
  <c r="G264" i="33" s="1"/>
  <c r="G372" i="33" a="1"/>
  <c r="G372" i="33" s="1"/>
  <c r="G424" i="33" a="1"/>
  <c r="G424" i="33" s="1"/>
  <c r="G275" i="33" a="1"/>
  <c r="G275" i="33" s="1"/>
  <c r="H250" i="33"/>
  <c r="H391" i="33"/>
  <c r="H365" i="33"/>
  <c r="H326" i="33"/>
  <c r="H424" i="33"/>
  <c r="L250" i="33" a="1"/>
  <c r="L250" i="33" s="1"/>
  <c r="L309" i="33" a="1"/>
  <c r="L309" i="33" s="1"/>
  <c r="L391" i="33" a="1"/>
  <c r="L391" i="33" s="1"/>
  <c r="L365" i="33" a="1"/>
  <c r="L365" i="33" s="1"/>
  <c r="L326" i="33" a="1"/>
  <c r="L326" i="33" s="1"/>
  <c r="L264" i="33" a="1"/>
  <c r="L264" i="33" s="1"/>
  <c r="L372" i="33" a="1"/>
  <c r="L372" i="33" s="1"/>
  <c r="L424" i="33" a="1"/>
  <c r="L424" i="33" s="1"/>
  <c r="L275" i="33" a="1"/>
  <c r="L275" i="33" s="1"/>
  <c r="M250" i="33"/>
  <c r="M309" i="33"/>
  <c r="M391" i="33"/>
  <c r="M365" i="33"/>
  <c r="M326" i="33"/>
  <c r="M264" i="33"/>
  <c r="M372" i="33"/>
  <c r="M424" i="33"/>
  <c r="M275" i="33"/>
  <c r="P250" i="33"/>
  <c r="P309" i="33"/>
  <c r="P391" i="33"/>
  <c r="P365" i="33"/>
  <c r="P326" i="33"/>
  <c r="P264" i="33"/>
  <c r="P372" i="33"/>
  <c r="P424" i="33"/>
  <c r="P275" i="33"/>
  <c r="B356" i="33" a="1"/>
  <c r="B356" i="33" s="1"/>
  <c r="E356" i="33" a="1"/>
  <c r="E356" i="33" s="1"/>
  <c r="F356" i="33" a="1"/>
  <c r="F356" i="33" s="1"/>
  <c r="G356" i="33" a="1"/>
  <c r="G356" i="33" s="1"/>
  <c r="H356" i="33"/>
  <c r="L356" i="33" a="1"/>
  <c r="L356" i="33" s="1"/>
  <c r="M356" i="33"/>
  <c r="P356" i="33"/>
  <c r="C196" i="35" a="1"/>
  <c r="C196" i="35" s="1"/>
  <c r="F196" i="35"/>
  <c r="G196" i="35" s="1"/>
  <c r="J196" i="35"/>
  <c r="K196" i="35" s="1"/>
  <c r="Q196" i="35"/>
  <c r="C195" i="35" a="1"/>
  <c r="C195" i="35" s="1"/>
  <c r="F195" i="35"/>
  <c r="G195" i="35" s="1"/>
  <c r="J195" i="35"/>
  <c r="K195" i="35" s="1"/>
  <c r="Q195" i="35"/>
  <c r="C194" i="35" a="1"/>
  <c r="C194" i="35" s="1"/>
  <c r="F194" i="35"/>
  <c r="G194" i="35" s="1"/>
  <c r="J194" i="35"/>
  <c r="K194" i="35" s="1"/>
  <c r="Q194" i="35"/>
  <c r="C193" i="35" a="1"/>
  <c r="C193" i="35" s="1"/>
  <c r="F193" i="35"/>
  <c r="G193" i="35" s="1"/>
  <c r="J193" i="35"/>
  <c r="K193" i="35" s="1"/>
  <c r="Q193" i="35"/>
  <c r="C192" i="35" a="1"/>
  <c r="C192" i="35" s="1"/>
  <c r="F192" i="35"/>
  <c r="G192" i="35" s="1"/>
  <c r="J192" i="35"/>
  <c r="K192" i="35" s="1"/>
  <c r="Q192" i="35"/>
  <c r="C191" i="35" a="1"/>
  <c r="C191" i="35" s="1"/>
  <c r="F191" i="35"/>
  <c r="G191" i="35" s="1"/>
  <c r="J191" i="35"/>
  <c r="K191" i="35" s="1"/>
  <c r="Q191" i="35"/>
  <c r="C190" i="35" a="1"/>
  <c r="C190" i="35" s="1"/>
  <c r="F190" i="35"/>
  <c r="G190" i="35" s="1"/>
  <c r="J190" i="35"/>
  <c r="K190" i="35" s="1"/>
  <c r="Q190" i="35"/>
  <c r="C189" i="35" a="1"/>
  <c r="C189" i="35" s="1"/>
  <c r="F189" i="35"/>
  <c r="G189" i="35" s="1"/>
  <c r="J189" i="35"/>
  <c r="K189" i="35" s="1"/>
  <c r="Q189" i="35"/>
  <c r="C188" i="35" a="1"/>
  <c r="C188" i="35" s="1"/>
  <c r="F188" i="35"/>
  <c r="G188" i="35" s="1"/>
  <c r="J188" i="35"/>
  <c r="K188" i="35" s="1"/>
  <c r="Q188" i="35"/>
  <c r="C186" i="35" a="1"/>
  <c r="C186" i="35" s="1"/>
  <c r="C187" i="35" a="1"/>
  <c r="C187" i="35" s="1"/>
  <c r="F186" i="35"/>
  <c r="G186" i="35" s="1"/>
  <c r="F187" i="35"/>
  <c r="G187" i="35" s="1"/>
  <c r="J186" i="35"/>
  <c r="K186" i="35" s="1"/>
  <c r="J187" i="35"/>
  <c r="K187" i="35" s="1"/>
  <c r="Q186" i="35"/>
  <c r="Q187" i="35"/>
  <c r="C185" i="35" a="1"/>
  <c r="C185" i="35" s="1"/>
  <c r="F185" i="35"/>
  <c r="G185" i="35" s="1"/>
  <c r="J185" i="35"/>
  <c r="K185" i="35" s="1"/>
  <c r="Q185" i="35"/>
  <c r="C184" i="35" a="1"/>
  <c r="C184" i="35" s="1"/>
  <c r="F184" i="35"/>
  <c r="G184" i="35" s="1"/>
  <c r="J184" i="35"/>
  <c r="K184" i="35" s="1"/>
  <c r="Q184" i="35"/>
  <c r="C183" i="35" a="1"/>
  <c r="C183" i="35" s="1"/>
  <c r="F183" i="35"/>
  <c r="G183" i="35" s="1"/>
  <c r="J183" i="35"/>
  <c r="K183" i="35" s="1"/>
  <c r="Q183" i="35"/>
  <c r="C182" i="35" a="1"/>
  <c r="C182" i="35" s="1"/>
  <c r="F182" i="35"/>
  <c r="G182" i="35" s="1"/>
  <c r="J182" i="35"/>
  <c r="K182" i="35" s="1"/>
  <c r="Q182" i="35"/>
  <c r="C147" i="31" a="1"/>
  <c r="C147" i="31" s="1"/>
  <c r="D147" i="31" a="1"/>
  <c r="D147" i="31" s="1"/>
  <c r="L147" i="31"/>
  <c r="Q147" i="31"/>
  <c r="R147" i="31"/>
  <c r="U147" i="31"/>
  <c r="V147" i="31"/>
  <c r="AD147" i="31" s="1"/>
  <c r="W147" i="31"/>
  <c r="AB147" i="31"/>
  <c r="AC147" i="31"/>
  <c r="C102" i="31" a="1"/>
  <c r="C102" i="31" s="1"/>
  <c r="D102" i="31" a="1"/>
  <c r="D102" i="31" s="1"/>
  <c r="L102" i="31"/>
  <c r="Q102" i="31"/>
  <c r="R102" i="31"/>
  <c r="U102" i="31"/>
  <c r="V102" i="31"/>
  <c r="AD102" i="31" s="1"/>
  <c r="W102" i="31"/>
  <c r="AB102" i="31"/>
  <c r="AC102" i="31"/>
  <c r="C181" i="35" a="1"/>
  <c r="C181" i="35" s="1"/>
  <c r="F181" i="35"/>
  <c r="G181" i="35" s="1"/>
  <c r="J181" i="35"/>
  <c r="K181" i="35" s="1"/>
  <c r="C180" i="35" a="1"/>
  <c r="C180" i="35" s="1"/>
  <c r="F180" i="35"/>
  <c r="G180" i="35" s="1"/>
  <c r="J180" i="35"/>
  <c r="K180" i="35" s="1"/>
  <c r="Q180" i="35"/>
  <c r="C179" i="35" a="1"/>
  <c r="C179" i="35" s="1"/>
  <c r="F179" i="35"/>
  <c r="G179" i="35" s="1"/>
  <c r="J179" i="35"/>
  <c r="K179" i="35" s="1"/>
  <c r="C114" i="31" a="1"/>
  <c r="C114" i="31" s="1"/>
  <c r="D114" i="31" a="1"/>
  <c r="D114" i="31" s="1"/>
  <c r="L114" i="31"/>
  <c r="Q114" i="31"/>
  <c r="R114" i="31"/>
  <c r="U114" i="31"/>
  <c r="V114" i="31"/>
  <c r="AD114" i="31" s="1"/>
  <c r="W114" i="31"/>
  <c r="AB114" i="31"/>
  <c r="AC114" i="31"/>
  <c r="C76" i="31" a="1"/>
  <c r="C76" i="31" s="1"/>
  <c r="D76" i="31" a="1"/>
  <c r="D76" i="31" s="1"/>
  <c r="L76" i="31"/>
  <c r="Q76" i="31"/>
  <c r="R76" i="31"/>
  <c r="U76" i="31"/>
  <c r="V76" i="31"/>
  <c r="AD76" i="31" s="1"/>
  <c r="W76" i="31"/>
  <c r="AB76" i="31"/>
  <c r="AC76" i="31"/>
  <c r="C77" i="31" a="1"/>
  <c r="C77" i="31" s="1"/>
  <c r="C94" i="31" a="1"/>
  <c r="C94" i="31" s="1"/>
  <c r="D77" i="31" a="1"/>
  <c r="D77" i="31" s="1"/>
  <c r="D94" i="31" a="1"/>
  <c r="D94" i="31" s="1"/>
  <c r="L77" i="31"/>
  <c r="L94" i="31"/>
  <c r="Q77" i="31"/>
  <c r="Q94" i="31"/>
  <c r="R77" i="31"/>
  <c r="R94" i="31"/>
  <c r="U77" i="31"/>
  <c r="U94" i="31"/>
  <c r="V77" i="31"/>
  <c r="AD77" i="31" s="1"/>
  <c r="V94" i="31"/>
  <c r="AD94" i="31" s="1"/>
  <c r="W77" i="31"/>
  <c r="W94" i="31"/>
  <c r="AB77" i="31"/>
  <c r="AB94" i="31"/>
  <c r="AC77" i="31"/>
  <c r="AC94" i="31"/>
  <c r="C89" i="31" a="1"/>
  <c r="C89" i="31" s="1"/>
  <c r="D89" i="31" a="1"/>
  <c r="D89" i="31" s="1"/>
  <c r="L89" i="31"/>
  <c r="Q89" i="31"/>
  <c r="R89" i="31"/>
  <c r="U89" i="31"/>
  <c r="V89" i="31"/>
  <c r="AD89" i="31" s="1"/>
  <c r="W89" i="31"/>
  <c r="AB89" i="31"/>
  <c r="AC89" i="31"/>
  <c r="C78" i="31" a="1"/>
  <c r="C78" i="31" s="1"/>
  <c r="D78" i="31" a="1"/>
  <c r="D78" i="31" s="1"/>
  <c r="L78" i="31"/>
  <c r="Q78" i="31"/>
  <c r="R78" i="31"/>
  <c r="U78" i="31"/>
  <c r="V78" i="31"/>
  <c r="AD78" i="31" s="1"/>
  <c r="W78" i="31"/>
  <c r="AB78" i="31"/>
  <c r="AC78" i="31"/>
  <c r="C87" i="31" a="1"/>
  <c r="C87" i="31" s="1"/>
  <c r="D87" i="31" a="1"/>
  <c r="D87" i="31" s="1"/>
  <c r="L87" i="31"/>
  <c r="Q87" i="31"/>
  <c r="R87" i="31"/>
  <c r="U87" i="31"/>
  <c r="V87" i="31"/>
  <c r="AD87" i="31" s="1"/>
  <c r="W87" i="31"/>
  <c r="AB87" i="31"/>
  <c r="AC87" i="31"/>
  <c r="C80" i="31" a="1"/>
  <c r="C80" i="31" s="1"/>
  <c r="D80" i="31" a="1"/>
  <c r="D80" i="31" s="1"/>
  <c r="L80" i="31"/>
  <c r="Q80" i="31"/>
  <c r="R80" i="31"/>
  <c r="U80" i="31"/>
  <c r="V80" i="31"/>
  <c r="AD80" i="31" s="1"/>
  <c r="W80" i="31"/>
  <c r="AB80" i="31"/>
  <c r="AC80" i="31"/>
  <c r="C178" i="35" a="1"/>
  <c r="C178" i="35" s="1"/>
  <c r="F178" i="35"/>
  <c r="G178" i="35" s="1"/>
  <c r="J178" i="35"/>
  <c r="K178" i="35" s="1"/>
  <c r="Q178" i="35"/>
  <c r="C177" i="35" a="1"/>
  <c r="C177" i="35" s="1"/>
  <c r="F177" i="35"/>
  <c r="G177" i="35" s="1"/>
  <c r="J177" i="35"/>
  <c r="K177" i="35" s="1"/>
  <c r="Q177" i="35"/>
  <c r="C176" i="35" a="1"/>
  <c r="C176" i="35" s="1"/>
  <c r="F176" i="35"/>
  <c r="G176" i="35" s="1"/>
  <c r="J176" i="35"/>
  <c r="K176" i="35" s="1"/>
  <c r="Q176" i="35"/>
  <c r="C175" i="35" a="1"/>
  <c r="C175" i="35" s="1"/>
  <c r="F175" i="35"/>
  <c r="G175" i="35" s="1"/>
  <c r="J175" i="35"/>
  <c r="K175" i="35" s="1"/>
  <c r="Q175" i="35"/>
  <c r="B147" i="33" a="1"/>
  <c r="B147" i="33" s="1"/>
  <c r="E147" i="33" a="1"/>
  <c r="E147" i="33" s="1"/>
  <c r="F147" i="33" a="1"/>
  <c r="F147" i="33" s="1"/>
  <c r="G147" i="33" a="1"/>
  <c r="G147" i="33" s="1"/>
  <c r="L147" i="33" a="1"/>
  <c r="L147" i="33" s="1"/>
  <c r="P147" i="33"/>
  <c r="C174" i="35" a="1"/>
  <c r="C174" i="35" s="1"/>
  <c r="F174" i="35"/>
  <c r="H1842" i="35" s="1"/>
  <c r="J174" i="35"/>
  <c r="L1842" i="35" s="1"/>
  <c r="Q174" i="35"/>
  <c r="B219" i="33" a="1"/>
  <c r="B219" i="33" s="1"/>
  <c r="E219" i="33" a="1"/>
  <c r="E219" i="33" s="1"/>
  <c r="F219" i="33" a="1"/>
  <c r="F219" i="33" s="1"/>
  <c r="G219" i="33" a="1"/>
  <c r="G219" i="33" s="1"/>
  <c r="H219" i="33"/>
  <c r="L219" i="33" a="1"/>
  <c r="L219" i="33" s="1"/>
  <c r="M219" i="33"/>
  <c r="N219" i="33"/>
  <c r="P219" i="33"/>
  <c r="H99" i="6"/>
  <c r="J99" i="6" s="1"/>
  <c r="I99" i="6"/>
  <c r="K99" i="6" s="1"/>
  <c r="U99" i="6"/>
  <c r="H98" i="6"/>
  <c r="J98" i="6" s="1"/>
  <c r="I98" i="6"/>
  <c r="K98" i="6" s="1"/>
  <c r="U98" i="6"/>
  <c r="H97" i="6"/>
  <c r="J97" i="6" s="1"/>
  <c r="I97" i="6"/>
  <c r="K97" i="6" s="1"/>
  <c r="U97" i="6"/>
  <c r="H96" i="6"/>
  <c r="J96" i="6" s="1"/>
  <c r="I96" i="6"/>
  <c r="K96" i="6" s="1"/>
  <c r="U96" i="6"/>
  <c r="H95" i="6"/>
  <c r="J95" i="6" s="1"/>
  <c r="I95" i="6"/>
  <c r="K95" i="6" s="1"/>
  <c r="U95" i="6"/>
  <c r="H94" i="6"/>
  <c r="J94" i="6" s="1"/>
  <c r="I94" i="6"/>
  <c r="K94" i="6" s="1"/>
  <c r="U94" i="6"/>
  <c r="H93" i="6"/>
  <c r="J93" i="6" s="1"/>
  <c r="I93" i="6"/>
  <c r="K93" i="6" s="1"/>
  <c r="U93" i="6"/>
  <c r="H92" i="6"/>
  <c r="I92" i="6"/>
  <c r="U92" i="6"/>
  <c r="H91" i="6"/>
  <c r="J91" i="6" s="1"/>
  <c r="I91" i="6"/>
  <c r="K91" i="6" s="1"/>
  <c r="U91" i="6"/>
  <c r="H90" i="6"/>
  <c r="J90" i="6" s="1"/>
  <c r="I90" i="6"/>
  <c r="K90" i="6" s="1"/>
  <c r="U90" i="6"/>
  <c r="C63" i="31" a="1"/>
  <c r="C63" i="31" s="1"/>
  <c r="D63" i="31" a="1"/>
  <c r="D63" i="31" s="1"/>
  <c r="L63" i="31"/>
  <c r="Q63" i="31"/>
  <c r="R63" i="31"/>
  <c r="U63" i="31"/>
  <c r="V63" i="31"/>
  <c r="AD63" i="31" s="1"/>
  <c r="W63" i="31"/>
  <c r="AB63" i="31"/>
  <c r="AC63" i="31"/>
  <c r="M422" i="33"/>
  <c r="M375" i="33"/>
  <c r="M501" i="33"/>
  <c r="M138" i="33"/>
  <c r="M208" i="33"/>
  <c r="M523" i="33"/>
  <c r="M452" i="33"/>
  <c r="M488" i="33"/>
  <c r="M260" i="33"/>
  <c r="M526" i="33"/>
  <c r="M500" i="33"/>
  <c r="M445" i="33"/>
  <c r="M242" i="33"/>
  <c r="M447" i="33"/>
  <c r="M69" i="33"/>
  <c r="M392" i="33"/>
  <c r="M401" i="33"/>
  <c r="M414" i="33"/>
  <c r="M399" i="33"/>
  <c r="M78" i="33"/>
  <c r="M216" i="33"/>
  <c r="M462" i="33"/>
  <c r="M419" i="33"/>
  <c r="M495" i="33"/>
  <c r="M481" i="33"/>
  <c r="M189" i="33"/>
  <c r="M470" i="33"/>
  <c r="M230" i="33"/>
  <c r="M437" i="33"/>
  <c r="M199" i="33"/>
  <c r="M573" i="33"/>
  <c r="M502" i="33"/>
  <c r="M244" i="33"/>
  <c r="M453" i="33"/>
  <c r="M329" i="33"/>
  <c r="M197" i="33"/>
  <c r="M220" i="33"/>
  <c r="M525" i="33"/>
  <c r="M70" i="33"/>
  <c r="M479" i="33"/>
  <c r="M93" i="33"/>
  <c r="M471" i="33"/>
  <c r="M248" i="33"/>
  <c r="M448" i="33"/>
  <c r="M361" i="33"/>
  <c r="M232" i="33"/>
  <c r="M34" i="33"/>
  <c r="M153" i="33"/>
  <c r="M225" i="33"/>
  <c r="M505" i="33"/>
  <c r="M461" i="33"/>
  <c r="M458" i="33"/>
  <c r="M516" i="33"/>
  <c r="M285" i="33"/>
  <c r="M314" i="33"/>
  <c r="M322" i="33"/>
  <c r="M379" i="33"/>
  <c r="M237" i="33"/>
  <c r="M126" i="33"/>
  <c r="M297" i="33"/>
  <c r="M158" i="33"/>
  <c r="M337" i="33"/>
  <c r="M316" i="33"/>
  <c r="M83" i="33"/>
  <c r="M493" i="33"/>
  <c r="M299" i="33"/>
  <c r="M499" i="33"/>
  <c r="M354" i="33"/>
  <c r="M310" i="33"/>
  <c r="M165" i="33"/>
  <c r="M496" i="33"/>
  <c r="M182" i="33"/>
  <c r="M238" i="33"/>
  <c r="M214" i="33"/>
  <c r="M378" i="33"/>
  <c r="M333" i="33"/>
  <c r="M485" i="33"/>
  <c r="M251" i="33"/>
  <c r="M466" i="33"/>
  <c r="M255" i="33"/>
  <c r="M512" i="33"/>
  <c r="M432" i="33"/>
  <c r="M239" i="33"/>
  <c r="M465" i="33"/>
  <c r="M298" i="33"/>
  <c r="M328" i="33"/>
  <c r="M446" i="33"/>
  <c r="M374" i="33"/>
  <c r="M382" i="33"/>
  <c r="M336" i="33"/>
  <c r="M367" i="33"/>
  <c r="M258" i="33"/>
  <c r="M156" i="33"/>
  <c r="M193" i="33"/>
  <c r="M20" i="33"/>
  <c r="M362" i="33"/>
  <c r="M308" i="33"/>
  <c r="M162" i="33"/>
  <c r="M334" i="33"/>
  <c r="M463" i="33"/>
  <c r="M335" i="33"/>
  <c r="M403" i="33"/>
  <c r="M410" i="33"/>
  <c r="M21" i="33"/>
  <c r="M276" i="33"/>
  <c r="M387" i="33"/>
  <c r="M357" i="33"/>
  <c r="M454" i="33"/>
  <c r="M478" i="33"/>
  <c r="M406" i="33"/>
  <c r="M430" i="33"/>
  <c r="M317" i="33"/>
  <c r="M254" i="33"/>
  <c r="M341" i="33"/>
  <c r="M76" i="33"/>
  <c r="M435" i="33"/>
  <c r="M503" i="33"/>
  <c r="M330" i="33"/>
  <c r="M301" i="33"/>
  <c r="M420" i="33"/>
  <c r="M351" i="33"/>
  <c r="M321" i="33"/>
  <c r="M405" i="33"/>
  <c r="M486" i="33"/>
  <c r="M381" i="33"/>
  <c r="M376" i="33"/>
  <c r="M303" i="33"/>
  <c r="M60" i="33"/>
  <c r="M320" i="33"/>
  <c r="M434" i="33"/>
  <c r="M431" i="33"/>
  <c r="M265" i="33"/>
  <c r="M286" i="33"/>
  <c r="M302" i="33"/>
  <c r="M436" i="33"/>
  <c r="M396" i="33"/>
  <c r="M475" i="33"/>
  <c r="M537" i="33"/>
  <c r="M449" i="33"/>
  <c r="M480" i="33"/>
  <c r="M280" i="33"/>
  <c r="M423" i="33"/>
  <c r="M440" i="33"/>
  <c r="M346" i="33"/>
  <c r="M344" i="33"/>
  <c r="M369" i="33"/>
  <c r="M395" i="33"/>
  <c r="M304" i="33"/>
  <c r="M472" i="33"/>
  <c r="M270" i="33"/>
  <c r="M492" i="33"/>
  <c r="M494" i="33"/>
  <c r="M535" i="33"/>
  <c r="M50" i="33"/>
  <c r="M282" i="33"/>
  <c r="M484" i="33"/>
  <c r="M266" i="33"/>
  <c r="M433" i="33"/>
  <c r="M348" i="33"/>
  <c r="M63" i="33"/>
  <c r="M400" i="33"/>
  <c r="M243" i="33"/>
  <c r="M141" i="33"/>
  <c r="M226" i="33"/>
  <c r="M19" i="33"/>
  <c r="M489" i="33"/>
  <c r="M371" i="33"/>
  <c r="M312" i="33"/>
  <c r="M345" i="33"/>
  <c r="M221" i="33"/>
  <c r="M228" i="33"/>
  <c r="M157" i="33"/>
  <c r="M268" i="33"/>
  <c r="M263" i="33"/>
  <c r="M77" i="33"/>
  <c r="M373" i="33"/>
  <c r="M355" i="33"/>
  <c r="M306" i="33"/>
  <c r="M229" i="33"/>
  <c r="M274" i="33"/>
  <c r="M287" i="33"/>
  <c r="M477" i="33"/>
  <c r="M209" i="33"/>
  <c r="M186" i="33"/>
  <c r="M89" i="33"/>
  <c r="M340" i="33"/>
  <c r="M490" i="33"/>
  <c r="B490" i="33" a="1"/>
  <c r="B490" i="33" s="1"/>
  <c r="E490" i="33" a="1"/>
  <c r="E490" i="33" s="1"/>
  <c r="F490" i="33" a="1"/>
  <c r="F490" i="33" s="1"/>
  <c r="G490" i="33" a="1"/>
  <c r="G490" i="33" s="1"/>
  <c r="H490" i="33"/>
  <c r="L490" i="33" a="1"/>
  <c r="L490" i="33" s="1"/>
  <c r="N490" i="33"/>
  <c r="P490" i="33"/>
  <c r="C146" i="31" a="1"/>
  <c r="C146" i="31" s="1"/>
  <c r="D146" i="31" a="1"/>
  <c r="D146" i="31" s="1"/>
  <c r="L146" i="31"/>
  <c r="Q146" i="31"/>
  <c r="R146" i="31"/>
  <c r="U146" i="31"/>
  <c r="V146" i="31"/>
  <c r="AD146" i="31" s="1"/>
  <c r="W146" i="31"/>
  <c r="AB146" i="31"/>
  <c r="AC146" i="31"/>
  <c r="C83" i="31" a="1"/>
  <c r="C83" i="31" s="1"/>
  <c r="D83" i="31" a="1"/>
  <c r="D83" i="31" s="1"/>
  <c r="L83" i="31"/>
  <c r="Q83" i="31"/>
  <c r="R83" i="31"/>
  <c r="U83" i="31"/>
  <c r="V83" i="31"/>
  <c r="AD83" i="31" s="1"/>
  <c r="W83" i="31"/>
  <c r="AB83" i="31"/>
  <c r="AC83" i="31"/>
  <c r="C173" i="35" a="1"/>
  <c r="C173" i="35" s="1"/>
  <c r="F173" i="35"/>
  <c r="G173" i="35" s="1"/>
  <c r="J173" i="35"/>
  <c r="K173" i="35" s="1"/>
  <c r="Q173" i="35"/>
  <c r="C172" i="35" a="1"/>
  <c r="C172" i="35" s="1"/>
  <c r="F172" i="35"/>
  <c r="G172" i="35" s="1"/>
  <c r="J172" i="35"/>
  <c r="K172" i="35" s="1"/>
  <c r="Q172" i="35"/>
  <c r="C144" i="31" a="1"/>
  <c r="C144" i="31" s="1"/>
  <c r="D144" i="31" a="1"/>
  <c r="D144" i="31" s="1"/>
  <c r="L144" i="31"/>
  <c r="Q144" i="31"/>
  <c r="R144" i="31"/>
  <c r="U144" i="31"/>
  <c r="V144" i="31"/>
  <c r="AD144" i="31" s="1"/>
  <c r="W144" i="31"/>
  <c r="AB144" i="31"/>
  <c r="AC144" i="31"/>
  <c r="C423" i="31" a="1"/>
  <c r="C423" i="31" s="1"/>
  <c r="D423" i="31" a="1"/>
  <c r="D423" i="31" s="1"/>
  <c r="L423" i="31"/>
  <c r="Q423" i="31"/>
  <c r="R423" i="31"/>
  <c r="U423" i="31"/>
  <c r="V423" i="31"/>
  <c r="AD423" i="31" s="1"/>
  <c r="W423" i="31"/>
  <c r="AB423" i="31"/>
  <c r="AC423" i="31"/>
  <c r="C430" i="31" a="1"/>
  <c r="C430" i="31" s="1"/>
  <c r="D430" i="31" a="1"/>
  <c r="D430" i="31" s="1"/>
  <c r="L430" i="31"/>
  <c r="Q430" i="31"/>
  <c r="R430" i="31"/>
  <c r="U430" i="31"/>
  <c r="V430" i="31"/>
  <c r="AD430" i="31" s="1"/>
  <c r="W430" i="31"/>
  <c r="AB430" i="31"/>
  <c r="AC430" i="31"/>
  <c r="C141" i="31" a="1"/>
  <c r="C141" i="31" s="1"/>
  <c r="D141" i="31" a="1"/>
  <c r="D141" i="31" s="1"/>
  <c r="L141" i="31"/>
  <c r="Q141" i="31"/>
  <c r="R141" i="31"/>
  <c r="U141" i="31"/>
  <c r="V141" i="31"/>
  <c r="AD141" i="31" s="1"/>
  <c r="W141" i="31"/>
  <c r="AB141" i="31"/>
  <c r="AC141" i="31"/>
  <c r="C171" i="35" a="1"/>
  <c r="C171" i="35" s="1"/>
  <c r="F171" i="35"/>
  <c r="G171" i="35" s="1"/>
  <c r="J171" i="35"/>
  <c r="K171" i="35" s="1"/>
  <c r="Q171" i="35"/>
  <c r="C140" i="31" a="1"/>
  <c r="C140" i="31" s="1"/>
  <c r="D140" i="31" a="1"/>
  <c r="D140" i="31" s="1"/>
  <c r="L140" i="31"/>
  <c r="Q140" i="31"/>
  <c r="R140" i="31"/>
  <c r="U140" i="31"/>
  <c r="V140" i="31"/>
  <c r="AD140" i="31" s="1"/>
  <c r="W140" i="31"/>
  <c r="AB140" i="31"/>
  <c r="AC140" i="31"/>
  <c r="D143" i="31" a="1"/>
  <c r="D143" i="31" s="1"/>
  <c r="C143" i="31" a="1"/>
  <c r="C143" i="31" s="1"/>
  <c r="L143" i="31"/>
  <c r="Q143" i="31"/>
  <c r="R143" i="31"/>
  <c r="U143" i="31"/>
  <c r="V143" i="31"/>
  <c r="AD143" i="31" s="1"/>
  <c r="W143" i="31"/>
  <c r="AB143" i="31"/>
  <c r="AC143" i="31"/>
  <c r="B323" i="33" a="1"/>
  <c r="B323" i="33" s="1"/>
  <c r="E323" i="33" a="1"/>
  <c r="E323" i="33" s="1"/>
  <c r="F323" i="33" a="1"/>
  <c r="F323" i="33" s="1"/>
  <c r="G323" i="33" a="1"/>
  <c r="G323" i="33" s="1"/>
  <c r="H323" i="33"/>
  <c r="L323" i="33" a="1"/>
  <c r="L323" i="33" s="1"/>
  <c r="P323" i="33"/>
  <c r="C103" i="31" a="1"/>
  <c r="C103" i="31" s="1"/>
  <c r="D103" i="31" a="1"/>
  <c r="D103" i="31" s="1"/>
  <c r="L103" i="31"/>
  <c r="Q103" i="31"/>
  <c r="R103" i="31"/>
  <c r="U103" i="31"/>
  <c r="V103" i="31"/>
  <c r="AD103" i="31" s="1"/>
  <c r="W103" i="31"/>
  <c r="AB103" i="31"/>
  <c r="AC103" i="31"/>
  <c r="C74" i="31" a="1"/>
  <c r="C74" i="31" s="1"/>
  <c r="D74" i="31" a="1"/>
  <c r="D74" i="31" s="1"/>
  <c r="L74" i="31"/>
  <c r="Q74" i="31"/>
  <c r="R74" i="31"/>
  <c r="U74" i="31"/>
  <c r="V74" i="31"/>
  <c r="AD74" i="31" s="1"/>
  <c r="W74" i="31"/>
  <c r="AB74" i="31"/>
  <c r="AC74" i="31"/>
  <c r="C170" i="35" a="1"/>
  <c r="C170" i="35" s="1"/>
  <c r="F170" i="35"/>
  <c r="G170" i="35" s="1"/>
  <c r="J170" i="35"/>
  <c r="K170" i="35" s="1"/>
  <c r="Q170" i="35"/>
  <c r="C169" i="35" a="1"/>
  <c r="C169" i="35" s="1"/>
  <c r="F169" i="35"/>
  <c r="G169" i="35" s="1"/>
  <c r="J169" i="35"/>
  <c r="K169" i="35" s="1"/>
  <c r="Q169" i="35"/>
  <c r="C168" i="35" a="1"/>
  <c r="C168" i="35" s="1"/>
  <c r="F168" i="35"/>
  <c r="J168" i="35"/>
  <c r="Q168" i="35"/>
  <c r="B340" i="33" a="1"/>
  <c r="B340" i="33" s="1"/>
  <c r="E340" i="33" a="1"/>
  <c r="E340" i="33" s="1"/>
  <c r="F340" i="33" a="1"/>
  <c r="F340" i="33" s="1"/>
  <c r="G340" i="33" a="1"/>
  <c r="G340" i="33" s="1"/>
  <c r="L340" i="33" a="1"/>
  <c r="L340" i="33" s="1"/>
  <c r="N340" i="33"/>
  <c r="P340" i="33"/>
  <c r="C167" i="35" a="1"/>
  <c r="C167" i="35" s="1"/>
  <c r="F167" i="35"/>
  <c r="G167" i="35" s="1"/>
  <c r="J167" i="35"/>
  <c r="K167" i="35" s="1"/>
  <c r="Q167" i="35"/>
  <c r="C75" i="31" a="1"/>
  <c r="C75" i="31" s="1"/>
  <c r="D75" i="31" a="1"/>
  <c r="D75" i="31" s="1"/>
  <c r="L75" i="31"/>
  <c r="Q75" i="31"/>
  <c r="R75" i="31"/>
  <c r="U75" i="31"/>
  <c r="V75" i="31"/>
  <c r="AD75" i="31" s="1"/>
  <c r="W75" i="31"/>
  <c r="AB75" i="31"/>
  <c r="AC75" i="31"/>
  <c r="C93" i="31" a="1"/>
  <c r="C93" i="31" s="1"/>
  <c r="D93" i="31" a="1"/>
  <c r="D93" i="31" s="1"/>
  <c r="L93" i="31"/>
  <c r="Q93" i="31"/>
  <c r="R93" i="31"/>
  <c r="U93" i="31"/>
  <c r="V93" i="31"/>
  <c r="AD93" i="31" s="1"/>
  <c r="W93" i="31"/>
  <c r="AB93" i="31"/>
  <c r="AC93" i="31"/>
  <c r="C81" i="31" a="1"/>
  <c r="C81" i="31" s="1"/>
  <c r="D81" i="31" a="1"/>
  <c r="D81" i="31" s="1"/>
  <c r="L81" i="31"/>
  <c r="Q81" i="31"/>
  <c r="R81" i="31"/>
  <c r="U81" i="31"/>
  <c r="V81" i="31"/>
  <c r="AD81" i="31" s="1"/>
  <c r="W81" i="31"/>
  <c r="AB81" i="31"/>
  <c r="AC81" i="31"/>
  <c r="B457" i="33" a="1"/>
  <c r="B457" i="33" s="1"/>
  <c r="E457" i="33" a="1"/>
  <c r="E457" i="33" s="1"/>
  <c r="F457" i="33" a="1"/>
  <c r="F457" i="33" s="1"/>
  <c r="G457" i="33" a="1"/>
  <c r="G457" i="33" s="1"/>
  <c r="H457" i="33"/>
  <c r="L457" i="33" a="1"/>
  <c r="L457" i="33" s="1"/>
  <c r="P457" i="33"/>
  <c r="C57" i="31" a="1"/>
  <c r="C57" i="31" s="1"/>
  <c r="D57" i="31" a="1"/>
  <c r="D57" i="31" s="1"/>
  <c r="L57" i="31"/>
  <c r="Q57" i="31"/>
  <c r="R57" i="31"/>
  <c r="U57" i="31"/>
  <c r="V57" i="31"/>
  <c r="AD57" i="31" s="1"/>
  <c r="W57" i="31"/>
  <c r="AB57" i="31"/>
  <c r="AC57" i="31"/>
  <c r="AC6" i="31"/>
  <c r="AC7" i="31"/>
  <c r="AC8" i="31"/>
  <c r="AC447" i="31"/>
  <c r="AC452" i="31"/>
  <c r="AC444" i="31"/>
  <c r="AC12" i="31"/>
  <c r="AC13" i="31"/>
  <c r="AC14" i="31"/>
  <c r="AC15" i="31"/>
  <c r="AC16" i="31"/>
  <c r="AC17" i="31"/>
  <c r="AC18" i="31"/>
  <c r="AC19" i="31"/>
  <c r="AC443" i="31"/>
  <c r="AC21" i="31"/>
  <c r="AC22" i="31"/>
  <c r="AC23" i="31"/>
  <c r="AC24" i="31"/>
  <c r="AC25" i="31"/>
  <c r="AC26" i="31"/>
  <c r="AC27" i="31"/>
  <c r="AC28" i="31"/>
  <c r="AC29" i="31"/>
  <c r="AC30" i="31"/>
  <c r="AC31" i="31"/>
  <c r="AC32" i="31"/>
  <c r="AC33" i="31"/>
  <c r="AC34" i="31"/>
  <c r="AC35" i="31"/>
  <c r="AC36" i="31"/>
  <c r="AC431" i="31"/>
  <c r="AC38" i="31"/>
  <c r="AC39" i="31"/>
  <c r="AC40" i="31"/>
  <c r="AC55" i="31"/>
  <c r="AC42" i="31"/>
  <c r="AC43" i="31"/>
  <c r="AC62" i="31"/>
  <c r="AC45" i="31"/>
  <c r="AC46" i="31"/>
  <c r="AC47" i="31"/>
  <c r="AC295" i="31"/>
  <c r="AC49" i="31"/>
  <c r="AC73" i="31"/>
  <c r="AC51" i="31"/>
  <c r="AC52" i="31"/>
  <c r="AC53" i="31"/>
  <c r="AC440" i="31"/>
  <c r="AC69" i="31"/>
  <c r="AC56" i="31"/>
  <c r="AC70" i="31"/>
  <c r="AC58" i="31"/>
  <c r="AC59" i="31"/>
  <c r="AC88" i="31"/>
  <c r="AC67" i="31"/>
  <c r="AC50" i="31"/>
  <c r="AC64" i="31"/>
  <c r="AC65" i="31"/>
  <c r="AC60" i="31"/>
  <c r="AC66" i="31"/>
  <c r="AC61" i="31"/>
  <c r="AC421" i="31"/>
  <c r="AC123" i="31"/>
  <c r="AC124" i="31"/>
  <c r="AC304" i="31"/>
  <c r="AC127" i="31"/>
  <c r="AC121" i="31"/>
  <c r="AC96" i="31"/>
  <c r="AC306" i="31"/>
  <c r="AC126" i="31"/>
  <c r="AC91" i="31"/>
  <c r="AC145" i="31"/>
  <c r="AC113" i="31"/>
  <c r="AC98" i="31"/>
  <c r="AC305" i="31"/>
  <c r="AC110" i="31"/>
  <c r="AC112" i="31"/>
  <c r="AC111" i="31"/>
  <c r="AC86" i="31"/>
  <c r="AC154" i="31"/>
  <c r="AC139" i="31"/>
  <c r="AC79" i="31"/>
  <c r="AC104" i="31"/>
  <c r="AC117" i="31"/>
  <c r="AC116" i="31"/>
  <c r="AC181" i="31"/>
  <c r="AC205" i="31"/>
  <c r="AC176" i="31"/>
  <c r="AC95" i="31"/>
  <c r="AC180" i="31"/>
  <c r="AC97" i="31"/>
  <c r="AC82" i="31"/>
  <c r="AC173" i="31"/>
  <c r="AC72" i="31"/>
  <c r="AC175" i="31"/>
  <c r="AC122" i="31"/>
  <c r="AC44" i="31"/>
  <c r="AC125" i="31"/>
  <c r="AC105" i="31"/>
  <c r="AC174" i="31"/>
  <c r="AC170" i="31"/>
  <c r="AC108" i="31"/>
  <c r="AC109" i="31"/>
  <c r="AC240" i="31"/>
  <c r="AC258" i="31"/>
  <c r="AC243" i="31"/>
  <c r="AC194" i="31"/>
  <c r="AC48" i="31"/>
  <c r="AC37" i="31"/>
  <c r="AC20" i="31"/>
  <c r="AC41" i="31"/>
  <c r="AC164" i="31"/>
  <c r="AC426" i="31"/>
  <c r="AC439" i="31"/>
  <c r="AC226" i="31"/>
  <c r="AC227" i="31"/>
  <c r="AC224" i="31"/>
  <c r="AC225" i="31"/>
  <c r="AC223" i="31"/>
  <c r="AC200" i="31"/>
  <c r="AC199" i="31"/>
  <c r="AC128" i="31"/>
  <c r="AC129" i="31"/>
  <c r="AC422" i="31"/>
  <c r="AC131" i="31"/>
  <c r="AC132" i="31"/>
  <c r="C132" i="31" a="1"/>
  <c r="C132" i="31" s="1"/>
  <c r="D132" i="31" a="1"/>
  <c r="D132" i="31" s="1"/>
  <c r="L132" i="31"/>
  <c r="Q132" i="31"/>
  <c r="R132" i="31"/>
  <c r="U132" i="31"/>
  <c r="V132" i="31"/>
  <c r="AD132" i="31" s="1"/>
  <c r="W132" i="31"/>
  <c r="AB132" i="31"/>
  <c r="C131" i="31" a="1"/>
  <c r="C131" i="31" s="1"/>
  <c r="D131" i="31" a="1"/>
  <c r="D131" i="31" s="1"/>
  <c r="L131" i="31"/>
  <c r="Q131" i="31"/>
  <c r="R131" i="31"/>
  <c r="U131" i="31"/>
  <c r="V131" i="31"/>
  <c r="AD131" i="31" s="1"/>
  <c r="W131" i="31"/>
  <c r="AB131" i="31"/>
  <c r="C166" i="35" a="1"/>
  <c r="C166" i="35" s="1"/>
  <c r="F166" i="35"/>
  <c r="G166" i="35" s="1"/>
  <c r="J166" i="35"/>
  <c r="K166" i="35" s="1"/>
  <c r="Q166" i="35"/>
  <c r="C422" i="31" a="1"/>
  <c r="C422" i="31" s="1"/>
  <c r="D422" i="31" a="1"/>
  <c r="D422" i="31" s="1"/>
  <c r="L422" i="31"/>
  <c r="Q422" i="31"/>
  <c r="R422" i="31"/>
  <c r="U422" i="31"/>
  <c r="V422" i="31"/>
  <c r="AD422" i="31" s="1"/>
  <c r="W422" i="31"/>
  <c r="AB422" i="31"/>
  <c r="C165" i="35" a="1"/>
  <c r="C165" i="35" s="1"/>
  <c r="F165" i="35"/>
  <c r="J165" i="35"/>
  <c r="Q165" i="35"/>
  <c r="C129" i="31" a="1"/>
  <c r="C129" i="31" s="1"/>
  <c r="D129" i="31" a="1"/>
  <c r="D129" i="31" s="1"/>
  <c r="L129" i="31"/>
  <c r="Q129" i="31"/>
  <c r="R129" i="31"/>
  <c r="U129" i="31"/>
  <c r="V129" i="31"/>
  <c r="AD129" i="31" s="1"/>
  <c r="W129" i="31"/>
  <c r="AB129" i="31"/>
  <c r="C164" i="35" a="1"/>
  <c r="C164" i="35" s="1"/>
  <c r="F164" i="35"/>
  <c r="J164" i="35"/>
  <c r="Q164" i="35"/>
  <c r="B89" i="33" a="1"/>
  <c r="B89" i="33" s="1"/>
  <c r="E89" i="33" a="1"/>
  <c r="E89" i="33" s="1"/>
  <c r="F89" i="33" a="1"/>
  <c r="F89" i="33" s="1"/>
  <c r="G89" i="33" a="1"/>
  <c r="G89" i="33" s="1"/>
  <c r="L89" i="33" a="1"/>
  <c r="L89" i="33" s="1"/>
  <c r="N89" i="33"/>
  <c r="P89" i="33"/>
  <c r="B186" i="33" a="1"/>
  <c r="B186" i="33" s="1"/>
  <c r="E186" i="33" a="1"/>
  <c r="E186" i="33" s="1"/>
  <c r="F186" i="33" a="1"/>
  <c r="F186" i="33" s="1"/>
  <c r="G186" i="33" a="1"/>
  <c r="G186" i="33" s="1"/>
  <c r="L186" i="33" a="1"/>
  <c r="L186" i="33" s="1"/>
  <c r="N186" i="33"/>
  <c r="P186" i="33"/>
  <c r="B516" i="33" a="1"/>
  <c r="B516" i="33" s="1"/>
  <c r="E516" i="33" a="1"/>
  <c r="E516" i="33" s="1"/>
  <c r="F516" i="33" a="1"/>
  <c r="F516" i="33" s="1"/>
  <c r="G516" i="33" a="1"/>
  <c r="G516" i="33" s="1"/>
  <c r="L516" i="33" a="1"/>
  <c r="L516" i="33" s="1"/>
  <c r="P516" i="33"/>
  <c r="C163" i="35" a="1"/>
  <c r="C163" i="35" s="1"/>
  <c r="F163" i="35"/>
  <c r="J163" i="35"/>
  <c r="Q163" i="35"/>
  <c r="C162" i="35" a="1"/>
  <c r="C162" i="35" s="1"/>
  <c r="F162" i="35"/>
  <c r="H1178" i="35" s="1"/>
  <c r="J162" i="35"/>
  <c r="L1178" i="35" s="1"/>
  <c r="Q162" i="35"/>
  <c r="C161" i="35" a="1"/>
  <c r="C161" i="35" s="1"/>
  <c r="F161" i="35"/>
  <c r="G161" i="35" s="1"/>
  <c r="J161" i="35"/>
  <c r="K161" i="35" s="1"/>
  <c r="Q161" i="35"/>
  <c r="C160" i="35" a="1"/>
  <c r="C160" i="35" s="1"/>
  <c r="F160" i="35"/>
  <c r="G160" i="35" s="1"/>
  <c r="J160" i="35"/>
  <c r="K160" i="35" s="1"/>
  <c r="Q160" i="35"/>
  <c r="C159" i="35" a="1"/>
  <c r="C159" i="35" s="1"/>
  <c r="F159" i="35"/>
  <c r="G159" i="35" s="1"/>
  <c r="J159" i="35"/>
  <c r="K159" i="35" s="1"/>
  <c r="Q159" i="35"/>
  <c r="C158" i="35" a="1"/>
  <c r="C158" i="35" s="1"/>
  <c r="F158" i="35"/>
  <c r="G158" i="35" s="1"/>
  <c r="J158" i="35"/>
  <c r="K158" i="35" s="1"/>
  <c r="Q158" i="35"/>
  <c r="C157" i="35" a="1"/>
  <c r="C157" i="35" s="1"/>
  <c r="F157" i="35"/>
  <c r="J157" i="35"/>
  <c r="Q157" i="35"/>
  <c r="C156" i="35" a="1"/>
  <c r="C156" i="35" s="1"/>
  <c r="F156" i="35"/>
  <c r="J156" i="35"/>
  <c r="Q156" i="35"/>
  <c r="C155" i="35" a="1"/>
  <c r="C155" i="35" s="1"/>
  <c r="F155" i="35"/>
  <c r="G155" i="35" s="1"/>
  <c r="J155" i="35"/>
  <c r="K155" i="35" s="1"/>
  <c r="Q155" i="35"/>
  <c r="C154" i="35" a="1"/>
  <c r="C154" i="35" s="1"/>
  <c r="F154" i="35"/>
  <c r="G154" i="35" s="1"/>
  <c r="J154" i="35"/>
  <c r="K154" i="35" s="1"/>
  <c r="Q154" i="35"/>
  <c r="C153" i="35" a="1"/>
  <c r="C153" i="35" s="1"/>
  <c r="F153" i="35"/>
  <c r="G153" i="35" s="1"/>
  <c r="J153" i="35"/>
  <c r="K153" i="35" s="1"/>
  <c r="Q153" i="35"/>
  <c r="C152" i="35" a="1"/>
  <c r="C152" i="35" s="1"/>
  <c r="F152" i="35"/>
  <c r="G152" i="35" s="1"/>
  <c r="J152" i="35"/>
  <c r="K152" i="35" s="1"/>
  <c r="Q152" i="35"/>
  <c r="C151" i="35" a="1"/>
  <c r="C151" i="35" s="1"/>
  <c r="F151" i="35"/>
  <c r="G151" i="35" s="1"/>
  <c r="J151" i="35"/>
  <c r="K151" i="35" s="1"/>
  <c r="Q151" i="35"/>
  <c r="C150" i="35" a="1"/>
  <c r="C150" i="35" s="1"/>
  <c r="F150" i="35"/>
  <c r="G150" i="35" s="1"/>
  <c r="J150" i="35"/>
  <c r="K150" i="35" s="1"/>
  <c r="Q150" i="35"/>
  <c r="C149" i="35" a="1"/>
  <c r="C149" i="35" s="1"/>
  <c r="F149" i="35"/>
  <c r="G149" i="35" s="1"/>
  <c r="J149" i="35"/>
  <c r="K149" i="35" s="1"/>
  <c r="Q149" i="35"/>
  <c r="C148" i="35" a="1"/>
  <c r="C148" i="35" s="1"/>
  <c r="F148" i="35"/>
  <c r="J148" i="35"/>
  <c r="Q148" i="35"/>
  <c r="L6" i="31"/>
  <c r="L7" i="31"/>
  <c r="L8" i="31"/>
  <c r="L447" i="31"/>
  <c r="L452" i="31"/>
  <c r="L444" i="31"/>
  <c r="L12" i="31"/>
  <c r="L13" i="31"/>
  <c r="L14" i="31"/>
  <c r="L15" i="31"/>
  <c r="L16" i="31"/>
  <c r="L17" i="31"/>
  <c r="L18" i="31"/>
  <c r="L19" i="31"/>
  <c r="L443" i="31"/>
  <c r="L21" i="31"/>
  <c r="L22" i="31"/>
  <c r="L23" i="31"/>
  <c r="L24" i="31"/>
  <c r="L25" i="31"/>
  <c r="L26" i="31"/>
  <c r="L27" i="31"/>
  <c r="L28" i="31"/>
  <c r="L29" i="31"/>
  <c r="L30" i="31"/>
  <c r="L31" i="31"/>
  <c r="L32" i="31"/>
  <c r="L33" i="31"/>
  <c r="L34" i="31"/>
  <c r="L35" i="31"/>
  <c r="L36" i="31"/>
  <c r="L431" i="31"/>
  <c r="L38" i="31"/>
  <c r="L39" i="31"/>
  <c r="L40" i="31"/>
  <c r="L240" i="31"/>
  <c r="L42" i="31"/>
  <c r="L43" i="31"/>
  <c r="L49" i="31"/>
  <c r="L55" i="31"/>
  <c r="L73" i="31"/>
  <c r="L47" i="31"/>
  <c r="L295" i="31"/>
  <c r="L52" i="31"/>
  <c r="L306" i="31"/>
  <c r="L51" i="31"/>
  <c r="L123" i="31"/>
  <c r="L53" i="31"/>
  <c r="L440" i="31"/>
  <c r="L258" i="31"/>
  <c r="L56" i="31"/>
  <c r="L127" i="31"/>
  <c r="L126" i="31"/>
  <c r="L69" i="31"/>
  <c r="L88" i="31"/>
  <c r="L48" i="31"/>
  <c r="L50" i="31"/>
  <c r="L194" i="31"/>
  <c r="L117" i="31"/>
  <c r="L91" i="31"/>
  <c r="L62" i="31"/>
  <c r="L145" i="31"/>
  <c r="L121" i="31"/>
  <c r="L37" i="31"/>
  <c r="L124" i="31"/>
  <c r="L304" i="31"/>
  <c r="L45" i="31"/>
  <c r="L70" i="31"/>
  <c r="L58" i="31"/>
  <c r="L113" i="31"/>
  <c r="L181" i="31"/>
  <c r="L59" i="31"/>
  <c r="L67" i="31"/>
  <c r="L98" i="31"/>
  <c r="L164" i="31"/>
  <c r="L305" i="31"/>
  <c r="L243" i="31"/>
  <c r="L226" i="31"/>
  <c r="L227" i="31"/>
  <c r="L20" i="31"/>
  <c r="L224" i="31"/>
  <c r="L96" i="31"/>
  <c r="L110" i="31"/>
  <c r="L225" i="31"/>
  <c r="L41" i="31"/>
  <c r="L205" i="31"/>
  <c r="L112" i="31"/>
  <c r="L176" i="31"/>
  <c r="L111" i="31"/>
  <c r="L95" i="31"/>
  <c r="L180" i="31"/>
  <c r="L97" i="31"/>
  <c r="L223" i="31"/>
  <c r="L82" i="31"/>
  <c r="L200" i="31"/>
  <c r="L64" i="31"/>
  <c r="L173" i="31"/>
  <c r="L44" i="31"/>
  <c r="L72" i="31"/>
  <c r="L175" i="31"/>
  <c r="L122" i="31"/>
  <c r="L125" i="31"/>
  <c r="L108" i="31"/>
  <c r="L86" i="31"/>
  <c r="L154" i="31"/>
  <c r="L199" i="31"/>
  <c r="L65" i="31"/>
  <c r="L139" i="31"/>
  <c r="L105" i="31"/>
  <c r="L46" i="31"/>
  <c r="L60" i="31"/>
  <c r="L174" i="31"/>
  <c r="L116" i="31"/>
  <c r="L426" i="31"/>
  <c r="L439" i="31"/>
  <c r="L66" i="31"/>
  <c r="L79" i="31"/>
  <c r="L170" i="31"/>
  <c r="L104" i="31"/>
  <c r="L61" i="31"/>
  <c r="L109" i="31"/>
  <c r="L128" i="31"/>
  <c r="L421" i="31"/>
  <c r="C421" i="31" a="1"/>
  <c r="C421" i="31" s="1"/>
  <c r="D421" i="31" a="1"/>
  <c r="D421" i="31" s="1"/>
  <c r="Q421" i="31"/>
  <c r="R421" i="31"/>
  <c r="U421" i="31"/>
  <c r="V421" i="31"/>
  <c r="AD421" i="31" s="1"/>
  <c r="W421" i="31"/>
  <c r="AB421" i="31"/>
  <c r="C111" i="31" a="1"/>
  <c r="C111" i="31" s="1"/>
  <c r="D111" i="31" a="1"/>
  <c r="D111" i="31" s="1"/>
  <c r="Q111" i="31"/>
  <c r="R111" i="31"/>
  <c r="U111" i="31"/>
  <c r="V111" i="31"/>
  <c r="AD111" i="31" s="1"/>
  <c r="W111" i="31"/>
  <c r="AB111" i="31"/>
  <c r="C154" i="31" a="1"/>
  <c r="C154" i="31" s="1"/>
  <c r="D154" i="31" a="1"/>
  <c r="D154" i="31" s="1"/>
  <c r="Q154" i="31"/>
  <c r="R154" i="31"/>
  <c r="U154" i="31"/>
  <c r="V154" i="31"/>
  <c r="AD154" i="31" s="1"/>
  <c r="W154" i="31"/>
  <c r="AB154" i="31"/>
  <c r="C127" i="31" a="1"/>
  <c r="C127" i="31" s="1"/>
  <c r="D127" i="31" a="1"/>
  <c r="D127" i="31" s="1"/>
  <c r="Q127" i="31"/>
  <c r="R127" i="31"/>
  <c r="U127" i="31"/>
  <c r="V127" i="31"/>
  <c r="AD127" i="31" s="1"/>
  <c r="W127" i="31"/>
  <c r="AB127" i="31"/>
  <c r="C72" i="31" a="1"/>
  <c r="C72" i="31" s="1"/>
  <c r="D72" i="31" a="1"/>
  <c r="D72" i="31" s="1"/>
  <c r="Q72" i="31"/>
  <c r="R72" i="31"/>
  <c r="U72" i="31"/>
  <c r="V72" i="31"/>
  <c r="AD72" i="31" s="1"/>
  <c r="W72" i="31"/>
  <c r="AB72" i="31"/>
  <c r="B209" i="33" a="1"/>
  <c r="B209" i="33" s="1"/>
  <c r="E209" i="33" a="1"/>
  <c r="E209" i="33" s="1"/>
  <c r="F209" i="33" a="1"/>
  <c r="F209" i="33" s="1"/>
  <c r="G209" i="33" a="1"/>
  <c r="G209" i="33" s="1"/>
  <c r="L209" i="33" a="1"/>
  <c r="L209" i="33" s="1"/>
  <c r="N209" i="33"/>
  <c r="P209" i="33"/>
  <c r="C147" i="35" a="1"/>
  <c r="C147" i="35" s="1"/>
  <c r="F147" i="35"/>
  <c r="G147" i="35" s="1"/>
  <c r="J147" i="35"/>
  <c r="K147" i="35" s="1"/>
  <c r="Q147" i="35"/>
  <c r="B343" i="33" a="1"/>
  <c r="B343" i="33" s="1"/>
  <c r="E343" i="33" a="1"/>
  <c r="E343" i="33" s="1"/>
  <c r="F343" i="33" a="1"/>
  <c r="F343" i="33" s="1"/>
  <c r="G343" i="33" a="1"/>
  <c r="G343" i="33" s="1"/>
  <c r="H343" i="33"/>
  <c r="L343" i="33" a="1"/>
  <c r="L343" i="33" s="1"/>
  <c r="P343" i="33"/>
  <c r="C146" i="35" a="1"/>
  <c r="C146" i="35" s="1"/>
  <c r="F146" i="35"/>
  <c r="G146" i="35" s="1"/>
  <c r="J146" i="35"/>
  <c r="K146" i="35" s="1"/>
  <c r="Q146" i="35"/>
  <c r="C145" i="35" a="1"/>
  <c r="C145" i="35" s="1"/>
  <c r="F145" i="35"/>
  <c r="J145" i="35"/>
  <c r="Q145" i="35"/>
  <c r="C79" i="31" a="1"/>
  <c r="C79" i="31" s="1"/>
  <c r="D79" i="31" a="1"/>
  <c r="D79" i="31" s="1"/>
  <c r="Q79" i="31"/>
  <c r="R79" i="31"/>
  <c r="U79" i="31"/>
  <c r="V79" i="31"/>
  <c r="AD79" i="31" s="1"/>
  <c r="W79" i="31"/>
  <c r="AB79" i="31"/>
  <c r="C52" i="31" a="1"/>
  <c r="C52" i="31" s="1"/>
  <c r="D52" i="31" a="1"/>
  <c r="D52" i="31" s="1"/>
  <c r="Q52" i="31"/>
  <c r="R52" i="31"/>
  <c r="U52" i="31"/>
  <c r="V52" i="31"/>
  <c r="AD52" i="31" s="1"/>
  <c r="W52" i="31"/>
  <c r="AB52" i="31"/>
  <c r="AB7" i="31"/>
  <c r="AB8" i="31"/>
  <c r="AB447" i="31"/>
  <c r="AB452" i="31"/>
  <c r="AB444" i="31"/>
  <c r="AB12" i="31"/>
  <c r="AB13" i="31"/>
  <c r="AB14" i="31"/>
  <c r="AB15" i="31"/>
  <c r="AB16" i="31"/>
  <c r="AB17" i="31"/>
  <c r="AB18" i="31"/>
  <c r="AB19" i="31"/>
  <c r="AB443" i="31"/>
  <c r="AB21" i="31"/>
  <c r="AB22" i="31"/>
  <c r="AB23" i="31"/>
  <c r="AB24" i="31"/>
  <c r="AB25" i="31"/>
  <c r="AB26" i="31"/>
  <c r="AB27" i="31"/>
  <c r="AB28" i="31"/>
  <c r="AB29" i="31"/>
  <c r="AB30" i="31"/>
  <c r="AB31" i="31"/>
  <c r="AB32" i="31"/>
  <c r="AB33" i="31"/>
  <c r="AB34" i="31"/>
  <c r="AB35" i="31"/>
  <c r="AB36" i="31"/>
  <c r="AB431" i="31"/>
  <c r="AB38" i="31"/>
  <c r="AB39" i="31"/>
  <c r="AB40" i="31"/>
  <c r="AB55" i="31"/>
  <c r="AB42" i="31"/>
  <c r="AB43" i="31"/>
  <c r="AB58" i="31"/>
  <c r="AB59" i="31"/>
  <c r="AB49" i="31"/>
  <c r="AB47" i="31"/>
  <c r="AB295" i="31"/>
  <c r="AB70" i="31"/>
  <c r="AB61" i="31"/>
  <c r="AB51" i="31"/>
  <c r="AB96" i="31"/>
  <c r="AB53" i="31"/>
  <c r="AB440" i="31"/>
  <c r="AB123" i="31"/>
  <c r="AB56" i="31"/>
  <c r="AB121" i="31"/>
  <c r="AB67" i="31"/>
  <c r="AB126" i="31"/>
  <c r="AB88" i="31"/>
  <c r="AB305" i="31"/>
  <c r="AB50" i="31"/>
  <c r="AB306" i="31"/>
  <c r="AB91" i="31"/>
  <c r="AB64" i="31"/>
  <c r="AB112" i="31"/>
  <c r="AB86" i="31"/>
  <c r="AB98" i="31"/>
  <c r="AB113" i="31"/>
  <c r="AB124" i="31"/>
  <c r="AB304" i="31"/>
  <c r="AB117" i="31"/>
  <c r="AB205" i="31"/>
  <c r="AB176" i="31"/>
  <c r="AB180" i="31"/>
  <c r="AB181" i="31"/>
  <c r="AB139" i="31"/>
  <c r="AB175" i="31"/>
  <c r="AB95" i="31"/>
  <c r="AB170" i="31"/>
  <c r="AB173" i="31"/>
  <c r="AB105" i="31"/>
  <c r="AB97" i="31"/>
  <c r="AB109" i="31"/>
  <c r="AB122" i="31"/>
  <c r="AB82" i="31"/>
  <c r="AB258" i="31"/>
  <c r="AB243" i="31"/>
  <c r="AB240" i="31"/>
  <c r="AB194" i="31"/>
  <c r="AB48" i="31"/>
  <c r="AB41" i="31"/>
  <c r="AB37" i="31"/>
  <c r="AB20" i="31"/>
  <c r="AB224" i="31"/>
  <c r="AB199" i="31"/>
  <c r="AB128" i="31"/>
  <c r="AB227" i="31"/>
  <c r="AB226" i="31"/>
  <c r="AB225" i="31"/>
  <c r="AB223" i="31"/>
  <c r="AB200" i="31"/>
  <c r="AB164" i="31"/>
  <c r="AB44" i="31"/>
  <c r="AB145" i="31"/>
  <c r="AB125" i="31"/>
  <c r="AB45" i="31"/>
  <c r="AB66" i="31"/>
  <c r="AB108" i="31"/>
  <c r="AB174" i="31"/>
  <c r="AB69" i="31"/>
  <c r="AB116" i="31"/>
  <c r="AB73" i="31"/>
  <c r="AB104" i="31"/>
  <c r="AB110" i="31"/>
  <c r="AB46" i="31"/>
  <c r="AB60" i="31"/>
  <c r="AB62" i="31"/>
  <c r="AB65" i="31"/>
  <c r="AB426" i="31"/>
  <c r="AB439" i="31"/>
  <c r="AB6" i="31"/>
  <c r="C439" i="31" a="1"/>
  <c r="C439" i="31" s="1"/>
  <c r="D439" i="31" a="1"/>
  <c r="D439" i="31" s="1"/>
  <c r="Q439" i="31"/>
  <c r="R439" i="31"/>
  <c r="U439" i="31"/>
  <c r="V439" i="31"/>
  <c r="AD439" i="31" s="1"/>
  <c r="W439" i="31"/>
  <c r="C426" i="31" a="1"/>
  <c r="C426" i="31" s="1"/>
  <c r="D426" i="31" a="1"/>
  <c r="D426" i="31" s="1"/>
  <c r="Q426" i="31"/>
  <c r="R426" i="31"/>
  <c r="U426" i="31"/>
  <c r="V426" i="31"/>
  <c r="AD426" i="31" s="1"/>
  <c r="W426" i="31"/>
  <c r="C144" i="35" a="1"/>
  <c r="C144" i="35" s="1"/>
  <c r="F144" i="35"/>
  <c r="G144" i="35" s="1"/>
  <c r="J144" i="35"/>
  <c r="K144" i="35" s="1"/>
  <c r="C111" i="35" a="1"/>
  <c r="C111" i="35" s="1"/>
  <c r="F111" i="35"/>
  <c r="G111" i="35" s="1"/>
  <c r="J111" i="35"/>
  <c r="K111" i="35" s="1"/>
  <c r="C142" i="35" a="1"/>
  <c r="C142" i="35" s="1"/>
  <c r="F142" i="35"/>
  <c r="G142" i="35" s="1"/>
  <c r="J142" i="35"/>
  <c r="K142" i="35" s="1"/>
  <c r="Q142" i="35"/>
  <c r="C141" i="35" a="1"/>
  <c r="C141" i="35" s="1"/>
  <c r="F141" i="35"/>
  <c r="G141" i="35" s="1"/>
  <c r="J141" i="35"/>
  <c r="K141" i="35" s="1"/>
  <c r="Q141" i="35"/>
  <c r="C140" i="35" a="1"/>
  <c r="C140" i="35" s="1"/>
  <c r="F140" i="35"/>
  <c r="G140" i="35" s="1"/>
  <c r="J140" i="35"/>
  <c r="K140" i="35" s="1"/>
  <c r="Q140" i="35"/>
  <c r="C139" i="35" a="1"/>
  <c r="C139" i="35" s="1"/>
  <c r="F139" i="35"/>
  <c r="G139" i="35" s="1"/>
  <c r="J139" i="35"/>
  <c r="K139" i="35" s="1"/>
  <c r="Q139" i="35"/>
  <c r="C138" i="35" a="1"/>
  <c r="C138" i="35" s="1"/>
  <c r="F138" i="35"/>
  <c r="G138" i="35" s="1"/>
  <c r="J138" i="35"/>
  <c r="K138" i="35" s="1"/>
  <c r="Q138" i="35"/>
  <c r="C137" i="35" a="1"/>
  <c r="C137" i="35" s="1"/>
  <c r="F137" i="35"/>
  <c r="G137" i="35" s="1"/>
  <c r="J137" i="35"/>
  <c r="K137" i="35" s="1"/>
  <c r="Q137" i="35"/>
  <c r="C65" i="31" a="1"/>
  <c r="C65" i="31" s="1"/>
  <c r="D65" i="31" a="1"/>
  <c r="D65" i="31" s="1"/>
  <c r="Q65" i="31"/>
  <c r="R65" i="31"/>
  <c r="U65" i="31"/>
  <c r="V65" i="31"/>
  <c r="AD65" i="31" s="1"/>
  <c r="W65" i="31"/>
  <c r="C62" i="31" a="1"/>
  <c r="C62" i="31" s="1"/>
  <c r="D62" i="31" a="1"/>
  <c r="D62" i="31" s="1"/>
  <c r="Q62" i="31"/>
  <c r="R62" i="31"/>
  <c r="U62" i="31"/>
  <c r="V62" i="31"/>
  <c r="AD62" i="31" s="1"/>
  <c r="W62" i="31"/>
  <c r="C60" i="31" a="1"/>
  <c r="C60" i="31" s="1"/>
  <c r="D60" i="31" a="1"/>
  <c r="D60" i="31" s="1"/>
  <c r="Q60" i="31"/>
  <c r="R60" i="31"/>
  <c r="U60" i="31"/>
  <c r="V60" i="31"/>
  <c r="AD60" i="31" s="1"/>
  <c r="W60" i="31"/>
  <c r="C46" i="31" a="1"/>
  <c r="C46" i="31" s="1"/>
  <c r="D46" i="31" a="1"/>
  <c r="D46" i="31" s="1"/>
  <c r="Q46" i="31"/>
  <c r="R46" i="31"/>
  <c r="U46" i="31"/>
  <c r="V46" i="31"/>
  <c r="AD46" i="31" s="1"/>
  <c r="W46" i="31"/>
  <c r="H89" i="6"/>
  <c r="J89" i="6" s="1"/>
  <c r="I89" i="6"/>
  <c r="K89" i="6" s="1"/>
  <c r="U89" i="6"/>
  <c r="H88" i="6"/>
  <c r="J88" i="6" s="1"/>
  <c r="I88" i="6"/>
  <c r="K88" i="6" s="1"/>
  <c r="U88" i="6"/>
  <c r="H87" i="6"/>
  <c r="J87" i="6" s="1"/>
  <c r="I87" i="6"/>
  <c r="K87" i="6" s="1"/>
  <c r="U87" i="6"/>
  <c r="H86" i="6"/>
  <c r="J86" i="6" s="1"/>
  <c r="I86" i="6"/>
  <c r="K86" i="6" s="1"/>
  <c r="U86" i="6"/>
  <c r="C120" i="35" a="1"/>
  <c r="C120" i="35" s="1"/>
  <c r="F120" i="35"/>
  <c r="G120" i="35" s="1"/>
  <c r="J120" i="35"/>
  <c r="K120" i="35" s="1"/>
  <c r="H85" i="6"/>
  <c r="J85" i="6" s="1"/>
  <c r="I85" i="6"/>
  <c r="K85" i="6" s="1"/>
  <c r="U85" i="6"/>
  <c r="H84" i="6"/>
  <c r="J84" i="6" s="1"/>
  <c r="I84" i="6"/>
  <c r="K84" i="6" s="1"/>
  <c r="U84" i="6"/>
  <c r="H83" i="6"/>
  <c r="J83" i="6" s="1"/>
  <c r="I83" i="6"/>
  <c r="K83" i="6" s="1"/>
  <c r="U83" i="6"/>
  <c r="H82" i="6"/>
  <c r="J82" i="6" s="1"/>
  <c r="I82" i="6"/>
  <c r="K82" i="6" s="1"/>
  <c r="U82" i="6"/>
  <c r="H81" i="6"/>
  <c r="J81" i="6" s="1"/>
  <c r="I81" i="6"/>
  <c r="K81" i="6" s="1"/>
  <c r="U81" i="6"/>
  <c r="H80" i="6"/>
  <c r="J80" i="6" s="1"/>
  <c r="I80" i="6"/>
  <c r="K80" i="6" s="1"/>
  <c r="U80" i="6"/>
  <c r="C110" i="31" a="1"/>
  <c r="C110" i="31" s="1"/>
  <c r="D110" i="31" a="1"/>
  <c r="D110" i="31" s="1"/>
  <c r="Q110" i="31"/>
  <c r="R110" i="31"/>
  <c r="U110" i="31"/>
  <c r="V110" i="31"/>
  <c r="AD110" i="31" s="1"/>
  <c r="W110" i="31"/>
  <c r="C104" i="31" a="1"/>
  <c r="C104" i="31" s="1"/>
  <c r="D104" i="31" a="1"/>
  <c r="D104" i="31" s="1"/>
  <c r="Q104" i="31"/>
  <c r="R104" i="31"/>
  <c r="U104" i="31"/>
  <c r="V104" i="31"/>
  <c r="AD104" i="31" s="1"/>
  <c r="W104" i="31"/>
  <c r="C73" i="31" a="1"/>
  <c r="C73" i="31" s="1"/>
  <c r="D73" i="31" a="1"/>
  <c r="D73" i="31" s="1"/>
  <c r="Q73" i="31"/>
  <c r="R73" i="31"/>
  <c r="U73" i="31"/>
  <c r="V73" i="31"/>
  <c r="AD73" i="31" s="1"/>
  <c r="W73" i="31"/>
  <c r="C116" i="31" a="1"/>
  <c r="C116" i="31" s="1"/>
  <c r="D116" i="31" a="1"/>
  <c r="D116" i="31" s="1"/>
  <c r="Q116" i="31"/>
  <c r="R116" i="31"/>
  <c r="U116" i="31"/>
  <c r="V116" i="31"/>
  <c r="AD116" i="31" s="1"/>
  <c r="W116" i="31"/>
  <c r="C69" i="31" a="1"/>
  <c r="C69" i="31" s="1"/>
  <c r="D69" i="31" a="1"/>
  <c r="D69" i="31" s="1"/>
  <c r="Q69" i="31"/>
  <c r="R69" i="31"/>
  <c r="U69" i="31"/>
  <c r="V69" i="31"/>
  <c r="AD69" i="31" s="1"/>
  <c r="W69" i="31"/>
  <c r="C121" i="35" a="1"/>
  <c r="C121" i="35" s="1"/>
  <c r="F121" i="35"/>
  <c r="G121" i="35" s="1"/>
  <c r="J121" i="35"/>
  <c r="K121" i="35" s="1"/>
  <c r="C174" i="31" a="1"/>
  <c r="C174" i="31" s="1"/>
  <c r="D174" i="31" a="1"/>
  <c r="D174" i="31" s="1"/>
  <c r="Q174" i="31"/>
  <c r="R174" i="31"/>
  <c r="U174" i="31"/>
  <c r="V174" i="31"/>
  <c r="AD174" i="31" s="1"/>
  <c r="W174" i="31"/>
  <c r="C108" i="31" a="1"/>
  <c r="C108" i="31" s="1"/>
  <c r="D108" i="31" a="1"/>
  <c r="D108" i="31" s="1"/>
  <c r="Q108" i="31"/>
  <c r="R108" i="31"/>
  <c r="U108" i="31"/>
  <c r="V108" i="31"/>
  <c r="AD108" i="31" s="1"/>
  <c r="W108" i="31"/>
  <c r="C66" i="31" a="1"/>
  <c r="C66" i="31" s="1"/>
  <c r="D66" i="31" a="1"/>
  <c r="D66" i="31" s="1"/>
  <c r="Q66" i="31"/>
  <c r="R66" i="31"/>
  <c r="U66" i="31"/>
  <c r="V66" i="31"/>
  <c r="AD66" i="31" s="1"/>
  <c r="W66" i="31"/>
  <c r="C45" i="31" a="1"/>
  <c r="C45" i="31" s="1"/>
  <c r="D45" i="31" a="1"/>
  <c r="D45" i="31" s="1"/>
  <c r="Q45" i="31"/>
  <c r="R45" i="31"/>
  <c r="U45" i="31"/>
  <c r="V45" i="31"/>
  <c r="AD45" i="31" s="1"/>
  <c r="W45" i="31"/>
  <c r="B477" i="33" a="1"/>
  <c r="B477" i="33" s="1"/>
  <c r="E477" i="33" a="1"/>
  <c r="E477" i="33" s="1"/>
  <c r="F477" i="33" a="1"/>
  <c r="F477" i="33" s="1"/>
  <c r="G477" i="33" a="1"/>
  <c r="G477" i="33" s="1"/>
  <c r="H477" i="33"/>
  <c r="L477" i="33" a="1"/>
  <c r="L477" i="33" s="1"/>
  <c r="P477" i="33"/>
  <c r="C134" i="35" a="1"/>
  <c r="C134" i="35" s="1"/>
  <c r="F134" i="35"/>
  <c r="J134" i="35"/>
  <c r="Q134" i="35"/>
  <c r="B399" i="33" a="1"/>
  <c r="B399" i="33" s="1"/>
  <c r="E399" i="33" a="1"/>
  <c r="E399" i="33" s="1"/>
  <c r="F399" i="33" a="1"/>
  <c r="F399" i="33" s="1"/>
  <c r="G399" i="33" a="1"/>
  <c r="G399" i="33" s="1"/>
  <c r="L399" i="33" a="1"/>
  <c r="L399" i="33" s="1"/>
  <c r="N399" i="33"/>
  <c r="E67" i="40" s="1"/>
  <c r="P399" i="33"/>
  <c r="B465" i="33" a="1"/>
  <c r="B465" i="33" s="1"/>
  <c r="E465" i="33" a="1"/>
  <c r="E465" i="33" s="1"/>
  <c r="F465" i="33" a="1"/>
  <c r="F465" i="33" s="1"/>
  <c r="G465" i="33" a="1"/>
  <c r="G465" i="33" s="1"/>
  <c r="H465" i="33"/>
  <c r="L465" i="33" a="1"/>
  <c r="L465" i="33" s="1"/>
  <c r="N465" i="33"/>
  <c r="P465" i="33"/>
  <c r="B386" i="33" a="1"/>
  <c r="B386" i="33" s="1"/>
  <c r="E386" i="33" a="1"/>
  <c r="E386" i="33" s="1"/>
  <c r="F386" i="33" a="1"/>
  <c r="F386" i="33" s="1"/>
  <c r="G386" i="33" a="1"/>
  <c r="G386" i="33" s="1"/>
  <c r="H386" i="33"/>
  <c r="L386" i="33" a="1"/>
  <c r="L386" i="33" s="1"/>
  <c r="P386" i="33"/>
  <c r="C47" i="31" a="1"/>
  <c r="C47" i="31" s="1"/>
  <c r="D47" i="31" a="1"/>
  <c r="D47" i="31" s="1"/>
  <c r="Q47" i="31"/>
  <c r="R47" i="31"/>
  <c r="U47" i="31"/>
  <c r="V47" i="31"/>
  <c r="AD47" i="31" s="1"/>
  <c r="W47" i="31"/>
  <c r="C42" i="31" a="1"/>
  <c r="C42" i="31" s="1"/>
  <c r="D42" i="31" a="1"/>
  <c r="D42" i="31" s="1"/>
  <c r="Q42" i="31"/>
  <c r="R42" i="31"/>
  <c r="U42" i="31"/>
  <c r="V42" i="31"/>
  <c r="AD42" i="31" s="1"/>
  <c r="W42" i="31"/>
  <c r="B239" i="33" a="1"/>
  <c r="B239" i="33" s="1"/>
  <c r="E239" i="33" a="1"/>
  <c r="E239" i="33" s="1"/>
  <c r="F239" i="33" a="1"/>
  <c r="F239" i="33" s="1"/>
  <c r="G239" i="33" a="1"/>
  <c r="G239" i="33" s="1"/>
  <c r="H239" i="33"/>
  <c r="L239" i="33" a="1"/>
  <c r="L239" i="33" s="1"/>
  <c r="N239" i="33"/>
  <c r="P239" i="33"/>
  <c r="B432" i="33" a="1"/>
  <c r="B432" i="33" s="1"/>
  <c r="E432" i="33" a="1"/>
  <c r="E432" i="33" s="1"/>
  <c r="F432" i="33" a="1"/>
  <c r="F432" i="33" s="1"/>
  <c r="G432" i="33" a="1"/>
  <c r="G432" i="33" s="1"/>
  <c r="L432" i="33" a="1"/>
  <c r="L432" i="33" s="1"/>
  <c r="N432" i="33"/>
  <c r="P432" i="33"/>
  <c r="B512" i="33" a="1"/>
  <c r="B512" i="33" s="1"/>
  <c r="E512" i="33" a="1"/>
  <c r="E512" i="33" s="1"/>
  <c r="F512" i="33" a="1"/>
  <c r="F512" i="33" s="1"/>
  <c r="G512" i="33" a="1"/>
  <c r="G512" i="33" s="1"/>
  <c r="L512" i="33" a="1"/>
  <c r="L512" i="33" s="1"/>
  <c r="N512" i="33"/>
  <c r="P512" i="33"/>
  <c r="B255" i="33" a="1"/>
  <c r="B255" i="33" s="1"/>
  <c r="E255" i="33" a="1"/>
  <c r="E255" i="33" s="1"/>
  <c r="F255" i="33" a="1"/>
  <c r="F255" i="33" s="1"/>
  <c r="G255" i="33" a="1"/>
  <c r="G255" i="33" s="1"/>
  <c r="L255" i="33" a="1"/>
  <c r="L255" i="33" s="1"/>
  <c r="N255" i="33"/>
  <c r="P255" i="33"/>
  <c r="B466" i="33" a="1"/>
  <c r="B466" i="33" s="1"/>
  <c r="E466" i="33" a="1"/>
  <c r="E466" i="33" s="1"/>
  <c r="F466" i="33" a="1"/>
  <c r="F466" i="33" s="1"/>
  <c r="G466" i="33" a="1"/>
  <c r="G466" i="33" s="1"/>
  <c r="H466" i="33"/>
  <c r="L466" i="33" a="1"/>
  <c r="L466" i="33" s="1"/>
  <c r="N466" i="33"/>
  <c r="P466" i="33"/>
  <c r="C44" i="31" a="1"/>
  <c r="C44" i="31" s="1"/>
  <c r="D44" i="31" a="1"/>
  <c r="D44" i="31" s="1"/>
  <c r="Q44" i="31"/>
  <c r="R44" i="31"/>
  <c r="U44" i="31"/>
  <c r="V44" i="31"/>
  <c r="AD44" i="31" s="1"/>
  <c r="W44" i="31"/>
  <c r="C129" i="35" a="1"/>
  <c r="C129" i="35" s="1"/>
  <c r="C130" i="35" a="1"/>
  <c r="C130" i="35" s="1"/>
  <c r="C131" i="35" a="1"/>
  <c r="C131" i="35" s="1"/>
  <c r="C132" i="35" a="1"/>
  <c r="C132" i="35" s="1"/>
  <c r="C133" i="35" a="1"/>
  <c r="C133" i="35" s="1"/>
  <c r="F129" i="35"/>
  <c r="G129" i="35" s="1"/>
  <c r="F130" i="35"/>
  <c r="G130" i="35" s="1"/>
  <c r="F131" i="35"/>
  <c r="G131" i="35" s="1"/>
  <c r="F132" i="35"/>
  <c r="G132" i="35" s="1"/>
  <c r="F133" i="35"/>
  <c r="G133" i="35" s="1"/>
  <c r="J129" i="35"/>
  <c r="J130" i="35"/>
  <c r="K130" i="35" s="1"/>
  <c r="J131" i="35"/>
  <c r="K131" i="35" s="1"/>
  <c r="J132" i="35"/>
  <c r="K132" i="35" s="1"/>
  <c r="J133" i="35"/>
  <c r="K133" i="35" s="1"/>
  <c r="Q129" i="35"/>
  <c r="Q130" i="35"/>
  <c r="Q131" i="35"/>
  <c r="Q132" i="35"/>
  <c r="Q133" i="35"/>
  <c r="H79" i="6"/>
  <c r="J79" i="6" s="1"/>
  <c r="I79" i="6"/>
  <c r="K79" i="6" s="1"/>
  <c r="U79" i="6"/>
  <c r="C135" i="35" a="1"/>
  <c r="C135" i="35" s="1"/>
  <c r="F135" i="35"/>
  <c r="G135" i="35" s="1"/>
  <c r="J135" i="35"/>
  <c r="K135" i="35" s="1"/>
  <c r="C127" i="35" a="1"/>
  <c r="C127" i="35" s="1"/>
  <c r="F127" i="35"/>
  <c r="G127" i="35" s="1"/>
  <c r="J127" i="35"/>
  <c r="K127" i="35" s="1"/>
  <c r="Q127" i="35"/>
  <c r="C126" i="35" a="1"/>
  <c r="C126" i="35" s="1"/>
  <c r="F126" i="35"/>
  <c r="G126" i="35" s="1"/>
  <c r="J126" i="35"/>
  <c r="K126" i="35" s="1"/>
  <c r="Q126" i="35"/>
  <c r="C304" i="31" a="1"/>
  <c r="C304" i="31" s="1"/>
  <c r="D304" i="31" a="1"/>
  <c r="D304" i="31" s="1"/>
  <c r="Q304" i="31"/>
  <c r="R304" i="31"/>
  <c r="U304" i="31"/>
  <c r="V304" i="31"/>
  <c r="AD304" i="31" s="1"/>
  <c r="W304" i="31"/>
  <c r="C125" i="35" a="1"/>
  <c r="C125" i="35" s="1"/>
  <c r="F125" i="35"/>
  <c r="G125" i="35" s="1"/>
  <c r="J125" i="35"/>
  <c r="K125" i="35" s="1"/>
  <c r="Q125" i="35"/>
  <c r="C124" i="35" a="1"/>
  <c r="C124" i="35" s="1"/>
  <c r="F124" i="35"/>
  <c r="G124" i="35" s="1"/>
  <c r="J124" i="35"/>
  <c r="K124" i="35" s="1"/>
  <c r="Q124" i="35"/>
  <c r="C123" i="35" a="1"/>
  <c r="C123" i="35" s="1"/>
  <c r="F123" i="35"/>
  <c r="G123" i="35" s="1"/>
  <c r="J123" i="35"/>
  <c r="K123" i="35" s="1"/>
  <c r="Q123" i="35"/>
  <c r="C122" i="35" a="1"/>
  <c r="C122" i="35" s="1"/>
  <c r="F122" i="35"/>
  <c r="G122" i="35" s="1"/>
  <c r="J122" i="35"/>
  <c r="K122" i="35" s="1"/>
  <c r="Q122" i="35"/>
  <c r="C55" i="31" a="1"/>
  <c r="C55" i="31" s="1"/>
  <c r="C61" i="31" a="1"/>
  <c r="C61" i="31" s="1"/>
  <c r="D55" i="31" a="1"/>
  <c r="D55" i="31" s="1"/>
  <c r="D61" i="31" a="1"/>
  <c r="D61" i="31" s="1"/>
  <c r="Q55" i="31"/>
  <c r="Q61" i="31"/>
  <c r="R55" i="31"/>
  <c r="R61" i="31"/>
  <c r="U55" i="31"/>
  <c r="U61" i="31"/>
  <c r="V55" i="31"/>
  <c r="AD55" i="31" s="1"/>
  <c r="V61" i="31"/>
  <c r="AD61" i="31" s="1"/>
  <c r="W55" i="31"/>
  <c r="W61" i="31"/>
  <c r="C82" i="31" a="1"/>
  <c r="C82" i="31" s="1"/>
  <c r="D82" i="31" a="1"/>
  <c r="D82" i="31" s="1"/>
  <c r="Q82" i="31"/>
  <c r="R82" i="31"/>
  <c r="U82" i="31"/>
  <c r="V82" i="31"/>
  <c r="AD82" i="31" s="1"/>
  <c r="W82" i="31"/>
  <c r="C113" i="31" a="1"/>
  <c r="C113" i="31" s="1"/>
  <c r="D113" i="31" a="1"/>
  <c r="D113" i="31" s="1"/>
  <c r="Q113" i="31"/>
  <c r="R113" i="31"/>
  <c r="U113" i="31"/>
  <c r="V113" i="31"/>
  <c r="AD113" i="31" s="1"/>
  <c r="W113" i="31"/>
  <c r="B360" i="33" a="1"/>
  <c r="B360" i="33" s="1"/>
  <c r="E360" i="33" a="1"/>
  <c r="E360" i="33" s="1"/>
  <c r="F360" i="33" a="1"/>
  <c r="F360" i="33" s="1"/>
  <c r="G360" i="33" a="1"/>
  <c r="G360" i="33" s="1"/>
  <c r="L360" i="33" a="1"/>
  <c r="L360" i="33" s="1"/>
  <c r="P360" i="33"/>
  <c r="C164" i="31" a="1"/>
  <c r="C164" i="31" s="1"/>
  <c r="D164" i="31" a="1"/>
  <c r="D164" i="31" s="1"/>
  <c r="Q164" i="31"/>
  <c r="R164" i="31"/>
  <c r="U164" i="31"/>
  <c r="V164" i="31"/>
  <c r="AD164" i="31" s="1"/>
  <c r="W164" i="31"/>
  <c r="C128" i="35" a="1"/>
  <c r="C128" i="35" s="1"/>
  <c r="F128" i="35"/>
  <c r="G128" i="35" s="1"/>
  <c r="J128" i="35"/>
  <c r="K128" i="35" s="1"/>
  <c r="H78" i="6"/>
  <c r="J78" i="6" s="1"/>
  <c r="I78" i="6"/>
  <c r="K78" i="6" s="1"/>
  <c r="U78" i="6"/>
  <c r="H77" i="6"/>
  <c r="J77" i="6" s="1"/>
  <c r="I77" i="6"/>
  <c r="K77" i="6" s="1"/>
  <c r="U77" i="6"/>
  <c r="C86" i="36"/>
  <c r="D86" i="36"/>
  <c r="G86" i="36"/>
  <c r="I86" i="36" s="1"/>
  <c r="H86" i="36"/>
  <c r="C85" i="36"/>
  <c r="D85" i="36"/>
  <c r="G85" i="36"/>
  <c r="I85" i="36" s="1"/>
  <c r="H85" i="36"/>
  <c r="H76" i="6"/>
  <c r="I76" i="6"/>
  <c r="M419" i="6" s="1"/>
  <c r="U76" i="6"/>
  <c r="H75" i="6"/>
  <c r="J75" i="6" s="1"/>
  <c r="I75" i="6"/>
  <c r="K75" i="6" s="1"/>
  <c r="U75" i="6"/>
  <c r="G71" i="6"/>
  <c r="I71" i="6" s="1"/>
  <c r="K71" i="6" s="1"/>
  <c r="H72" i="6"/>
  <c r="J72" i="6" s="1"/>
  <c r="H73" i="6"/>
  <c r="J73" i="6" s="1"/>
  <c r="H74" i="6"/>
  <c r="J74" i="6" s="1"/>
  <c r="I72" i="6"/>
  <c r="K72" i="6" s="1"/>
  <c r="I73" i="6"/>
  <c r="K73" i="6" s="1"/>
  <c r="I74" i="6"/>
  <c r="K74" i="6" s="1"/>
  <c r="U71" i="6"/>
  <c r="U72" i="6"/>
  <c r="U73" i="6"/>
  <c r="U74" i="6"/>
  <c r="H70" i="6"/>
  <c r="I70" i="6"/>
  <c r="U70" i="6"/>
  <c r="H69" i="6"/>
  <c r="I69" i="6"/>
  <c r="U69" i="6"/>
  <c r="H68" i="6"/>
  <c r="J68" i="6" s="1"/>
  <c r="I68" i="6"/>
  <c r="K68" i="6" s="1"/>
  <c r="U68" i="6"/>
  <c r="H67" i="6"/>
  <c r="I67" i="6"/>
  <c r="U67" i="6"/>
  <c r="H66" i="6"/>
  <c r="J66" i="6" s="1"/>
  <c r="I66" i="6"/>
  <c r="K66" i="6" s="1"/>
  <c r="U66" i="6"/>
  <c r="H65" i="6"/>
  <c r="I65" i="6"/>
  <c r="U65" i="6"/>
  <c r="H64" i="6"/>
  <c r="J64" i="6" s="1"/>
  <c r="I64" i="6"/>
  <c r="K64" i="6" s="1"/>
  <c r="U64" i="6"/>
  <c r="C431" i="31" a="1"/>
  <c r="C431" i="31" s="1"/>
  <c r="D431" i="31" a="1"/>
  <c r="D431" i="31" s="1"/>
  <c r="Q431" i="31"/>
  <c r="R431" i="31"/>
  <c r="U431" i="31"/>
  <c r="V431" i="31"/>
  <c r="AD431" i="31" s="1"/>
  <c r="W431" i="31"/>
  <c r="C122" i="31" a="1"/>
  <c r="C122" i="31" s="1"/>
  <c r="D122" i="31" a="1"/>
  <c r="D122" i="31" s="1"/>
  <c r="Q122" i="31"/>
  <c r="R122" i="31"/>
  <c r="U122" i="31"/>
  <c r="V122" i="31"/>
  <c r="AD122" i="31" s="1"/>
  <c r="W122" i="31"/>
  <c r="C70" i="31" a="1"/>
  <c r="C70" i="31" s="1"/>
  <c r="D70" i="31" a="1"/>
  <c r="D70" i="31" s="1"/>
  <c r="Q70" i="31"/>
  <c r="R70" i="31"/>
  <c r="U70" i="31"/>
  <c r="V70" i="31"/>
  <c r="AD70" i="31" s="1"/>
  <c r="W70" i="31"/>
  <c r="C136" i="35" a="1"/>
  <c r="C136" i="35" s="1"/>
  <c r="F136" i="35"/>
  <c r="G136" i="35" s="1"/>
  <c r="J136" i="35"/>
  <c r="K136" i="35" s="1"/>
  <c r="C64" i="31" a="1"/>
  <c r="C64" i="31" s="1"/>
  <c r="D64" i="31" a="1"/>
  <c r="D64" i="31" s="1"/>
  <c r="Q64" i="31"/>
  <c r="R64" i="31"/>
  <c r="U64" i="31"/>
  <c r="V64" i="31"/>
  <c r="AD64" i="31" s="1"/>
  <c r="W64" i="31"/>
  <c r="C36" i="31" a="1"/>
  <c r="C36" i="31" s="1"/>
  <c r="D36" i="31" a="1"/>
  <c r="D36" i="31" s="1"/>
  <c r="Q36" i="31"/>
  <c r="R36" i="31"/>
  <c r="U36" i="31"/>
  <c r="V36" i="31"/>
  <c r="AD36" i="31" s="1"/>
  <c r="W36" i="31"/>
  <c r="C119" i="35" a="1"/>
  <c r="C119" i="35" s="1"/>
  <c r="F119" i="35"/>
  <c r="G119" i="35" s="1"/>
  <c r="J119" i="35"/>
  <c r="K119" i="35" s="1"/>
  <c r="Q119" i="35"/>
  <c r="C118" i="35" a="1"/>
  <c r="C118" i="35" s="1"/>
  <c r="F118" i="35"/>
  <c r="J118" i="35"/>
  <c r="Q118" i="35"/>
  <c r="B296" i="33" a="1"/>
  <c r="B296" i="33" s="1"/>
  <c r="E296" i="33" a="1"/>
  <c r="E296" i="33" s="1"/>
  <c r="F296" i="33" a="1"/>
  <c r="F296" i="33" s="1"/>
  <c r="G296" i="33" a="1"/>
  <c r="G296" i="33" s="1"/>
  <c r="H296" i="33"/>
  <c r="L296" i="33" a="1"/>
  <c r="L296" i="33" s="1"/>
  <c r="P296" i="33"/>
  <c r="B214" i="33" a="1"/>
  <c r="B214" i="33" s="1"/>
  <c r="E214" i="33" a="1"/>
  <c r="E214" i="33" s="1"/>
  <c r="F214" i="33" a="1"/>
  <c r="F214" i="33" s="1"/>
  <c r="G214" i="33" a="1"/>
  <c r="G214" i="33" s="1"/>
  <c r="L214" i="33" a="1"/>
  <c r="L214" i="33" s="1"/>
  <c r="N214" i="33"/>
  <c r="P214" i="33"/>
  <c r="H63" i="6"/>
  <c r="J63" i="6" s="1"/>
  <c r="I63" i="6"/>
  <c r="K63" i="6" s="1"/>
  <c r="U63" i="6"/>
  <c r="H62" i="6"/>
  <c r="J62" i="6" s="1"/>
  <c r="N62" i="6" s="1"/>
  <c r="I62" i="6"/>
  <c r="K62" i="6" s="1"/>
  <c r="O62" i="6" s="1"/>
  <c r="U62" i="6"/>
  <c r="F61" i="6"/>
  <c r="H61" i="6"/>
  <c r="L433" i="6" s="1"/>
  <c r="I61" i="6"/>
  <c r="M433" i="6" s="1"/>
  <c r="U61" i="6"/>
  <c r="H60" i="6"/>
  <c r="J60" i="6" s="1"/>
  <c r="I60" i="6"/>
  <c r="K60" i="6" s="1"/>
  <c r="U60" i="6"/>
  <c r="B403" i="33" a="1"/>
  <c r="B403" i="33" s="1"/>
  <c r="E403" i="33" a="1"/>
  <c r="E403" i="33" s="1"/>
  <c r="F403" i="33" a="1"/>
  <c r="F403" i="33" s="1"/>
  <c r="G403" i="33" a="1"/>
  <c r="G403" i="33" s="1"/>
  <c r="H403" i="33"/>
  <c r="L403" i="33" a="1"/>
  <c r="L403" i="33" s="1"/>
  <c r="N403" i="33"/>
  <c r="P403" i="33"/>
  <c r="B355" i="33" a="1"/>
  <c r="B355" i="33" s="1"/>
  <c r="E355" i="33" a="1"/>
  <c r="E355" i="33" s="1"/>
  <c r="F355" i="33" a="1"/>
  <c r="F355" i="33" s="1"/>
  <c r="G355" i="33" a="1"/>
  <c r="G355" i="33" s="1"/>
  <c r="L355" i="33" a="1"/>
  <c r="L355" i="33" s="1"/>
  <c r="N355" i="33"/>
  <c r="P355" i="33"/>
  <c r="B478" i="33" a="1"/>
  <c r="B478" i="33" s="1"/>
  <c r="E478" i="33" a="1"/>
  <c r="E478" i="33" s="1"/>
  <c r="F478" i="33" a="1"/>
  <c r="F478" i="33" s="1"/>
  <c r="G478" i="33" a="1"/>
  <c r="G478" i="33" s="1"/>
  <c r="H478" i="33"/>
  <c r="L478" i="33" a="1"/>
  <c r="L478" i="33" s="1"/>
  <c r="N478" i="33"/>
  <c r="P478" i="33"/>
  <c r="B162" i="33" a="1"/>
  <c r="B162" i="33" s="1"/>
  <c r="E162" i="33" a="1"/>
  <c r="E162" i="33" s="1"/>
  <c r="F162" i="33" a="1"/>
  <c r="F162" i="33" s="1"/>
  <c r="G162" i="33" a="1"/>
  <c r="G162" i="33" s="1"/>
  <c r="H162" i="33"/>
  <c r="L162" i="33" a="1"/>
  <c r="L162" i="33" s="1"/>
  <c r="N162" i="33"/>
  <c r="P162" i="33"/>
  <c r="B537" i="33" a="1"/>
  <c r="B537" i="33" s="1"/>
  <c r="E537" i="33" a="1"/>
  <c r="E537" i="33" s="1"/>
  <c r="F537" i="33" a="1"/>
  <c r="F537" i="33" s="1"/>
  <c r="G537" i="33" a="1"/>
  <c r="G537" i="33" s="1"/>
  <c r="H537" i="33"/>
  <c r="L537" i="33" a="1"/>
  <c r="L537" i="33" s="1"/>
  <c r="N537" i="33"/>
  <c r="P537" i="33"/>
  <c r="B535" i="33" a="1"/>
  <c r="B535" i="33" s="1"/>
  <c r="E535" i="33" a="1"/>
  <c r="E535" i="33" s="1"/>
  <c r="F535" i="33" a="1"/>
  <c r="F535" i="33" s="1"/>
  <c r="G535" i="33" a="1"/>
  <c r="G535" i="33" s="1"/>
  <c r="H535" i="33"/>
  <c r="L535" i="33" a="1"/>
  <c r="L535" i="33" s="1"/>
  <c r="N535" i="33"/>
  <c r="P535" i="33"/>
  <c r="B312" i="33" a="1"/>
  <c r="B312" i="33" s="1"/>
  <c r="E312" i="33" a="1"/>
  <c r="E312" i="33" s="1"/>
  <c r="F312" i="33" a="1"/>
  <c r="F312" i="33" s="1"/>
  <c r="G312" i="33" a="1"/>
  <c r="G312" i="33" s="1"/>
  <c r="H312" i="33"/>
  <c r="L312" i="33" a="1"/>
  <c r="L312" i="33" s="1"/>
  <c r="N312" i="33"/>
  <c r="P312" i="33"/>
  <c r="B400" i="33" a="1"/>
  <c r="B400" i="33" s="1"/>
  <c r="E400" i="33" a="1"/>
  <c r="E400" i="33" s="1"/>
  <c r="F400" i="33" a="1"/>
  <c r="F400" i="33" s="1"/>
  <c r="G400" i="33" a="1"/>
  <c r="G400" i="33" s="1"/>
  <c r="H400" i="33"/>
  <c r="L400" i="33" a="1"/>
  <c r="L400" i="33" s="1"/>
  <c r="N400" i="33"/>
  <c r="P400" i="33"/>
  <c r="B444" i="33" a="1"/>
  <c r="B444" i="33" s="1"/>
  <c r="E444" i="33" a="1"/>
  <c r="E444" i="33" s="1"/>
  <c r="F444" i="33" a="1"/>
  <c r="F444" i="33" s="1"/>
  <c r="G444" i="33" a="1"/>
  <c r="G444" i="33" s="1"/>
  <c r="L444" i="33" a="1"/>
  <c r="L444" i="33" s="1"/>
  <c r="P444" i="33"/>
  <c r="B37" i="33" a="1"/>
  <c r="B37" i="33" s="1"/>
  <c r="E37" i="33" a="1"/>
  <c r="E37" i="33" s="1"/>
  <c r="F37" i="33" a="1"/>
  <c r="F37" i="33" s="1"/>
  <c r="G37" i="33" a="1"/>
  <c r="G37" i="33" s="1"/>
  <c r="L37" i="33" a="1"/>
  <c r="L37" i="33" s="1"/>
  <c r="P37" i="33"/>
  <c r="B78" i="33" a="1"/>
  <c r="B78" i="33" s="1"/>
  <c r="E78" i="33" a="1"/>
  <c r="E78" i="33" s="1"/>
  <c r="F78" i="33" a="1"/>
  <c r="F78" i="33" s="1"/>
  <c r="G78" i="33" a="1"/>
  <c r="G78" i="33" s="1"/>
  <c r="L78" i="33" a="1"/>
  <c r="L78" i="33" s="1"/>
  <c r="N78" i="33"/>
  <c r="P78" i="33"/>
  <c r="H59" i="6"/>
  <c r="I59" i="6"/>
  <c r="U59" i="6"/>
  <c r="C116" i="35" a="1"/>
  <c r="C116" i="35" s="1"/>
  <c r="F116" i="35"/>
  <c r="G116" i="35" s="1"/>
  <c r="J116" i="35"/>
  <c r="K116" i="35" s="1"/>
  <c r="Q116" i="35"/>
  <c r="C115" i="35" a="1"/>
  <c r="C115" i="35" s="1"/>
  <c r="F115" i="35"/>
  <c r="G115" i="35" s="1"/>
  <c r="J115" i="35"/>
  <c r="K115" i="35" s="1"/>
  <c r="Q115" i="35"/>
  <c r="F114" i="35"/>
  <c r="G114" i="35" s="1"/>
  <c r="C114" i="35" a="1"/>
  <c r="C114" i="35" s="1"/>
  <c r="H58" i="6"/>
  <c r="J58" i="6" s="1"/>
  <c r="I58" i="6"/>
  <c r="K58" i="6" s="1"/>
  <c r="U58" i="6"/>
  <c r="H57" i="6"/>
  <c r="I57" i="6"/>
  <c r="K57" i="6" s="1"/>
  <c r="U57" i="6"/>
  <c r="H56" i="6"/>
  <c r="I56" i="6"/>
  <c r="U56" i="6"/>
  <c r="H55" i="6"/>
  <c r="J55" i="6" s="1"/>
  <c r="I55" i="6"/>
  <c r="K55" i="6" s="1"/>
  <c r="U55" i="6"/>
  <c r="H54" i="6"/>
  <c r="J54" i="6" s="1"/>
  <c r="I54" i="6"/>
  <c r="K54" i="6" s="1"/>
  <c r="U54" i="6"/>
  <c r="H53" i="6"/>
  <c r="J53" i="6" s="1"/>
  <c r="I53" i="6"/>
  <c r="K53" i="6" s="1"/>
  <c r="U53" i="6"/>
  <c r="H52" i="6"/>
  <c r="J52" i="6" s="1"/>
  <c r="I52" i="6"/>
  <c r="K52" i="6" s="1"/>
  <c r="U52" i="6"/>
  <c r="H140" i="33"/>
  <c r="H446" i="33"/>
  <c r="H276" i="33"/>
  <c r="H298" i="33"/>
  <c r="H362" i="33"/>
  <c r="H30" i="33"/>
  <c r="H374" i="33"/>
  <c r="H382" i="33"/>
  <c r="H367" i="33"/>
  <c r="H575" i="33"/>
  <c r="H336" i="33"/>
  <c r="H335" i="33"/>
  <c r="H463" i="33"/>
  <c r="H258" i="33"/>
  <c r="H21" i="33"/>
  <c r="H454" i="33"/>
  <c r="H76" i="33"/>
  <c r="H357" i="33"/>
  <c r="H317" i="33"/>
  <c r="H334" i="33"/>
  <c r="H377" i="33"/>
  <c r="H254" i="33"/>
  <c r="H435" i="33"/>
  <c r="H486" i="33"/>
  <c r="H430" i="33"/>
  <c r="H17" i="33"/>
  <c r="H387" i="33"/>
  <c r="H439" i="33"/>
  <c r="H420" i="33"/>
  <c r="H410" i="33"/>
  <c r="H406" i="33"/>
  <c r="H503" i="33"/>
  <c r="H301" i="33"/>
  <c r="H381" i="33"/>
  <c r="H330" i="33"/>
  <c r="H405" i="33"/>
  <c r="H129" i="33"/>
  <c r="H351" i="33"/>
  <c r="H434" i="33"/>
  <c r="H376" i="33"/>
  <c r="H119" i="33"/>
  <c r="H60" i="33"/>
  <c r="H320" i="33"/>
  <c r="H303" i="33"/>
  <c r="H139" i="33"/>
  <c r="H431" i="33"/>
  <c r="H265" i="33"/>
  <c r="H302" i="33"/>
  <c r="H286" i="33"/>
  <c r="H436" i="33"/>
  <c r="H84" i="33"/>
  <c r="H475" i="33"/>
  <c r="H423" i="33"/>
  <c r="H280" i="33"/>
  <c r="H411" i="33"/>
  <c r="H344" i="33"/>
  <c r="H440" i="33"/>
  <c r="H346" i="33"/>
  <c r="H369" i="33"/>
  <c r="H395" i="33"/>
  <c r="H396" i="33"/>
  <c r="H24" i="33"/>
  <c r="H472" i="33"/>
  <c r="H270" i="33"/>
  <c r="H304" i="33"/>
  <c r="H492" i="33"/>
  <c r="H494" i="33"/>
  <c r="H266" i="33"/>
  <c r="H484" i="33"/>
  <c r="H449" i="33"/>
  <c r="H433" i="33"/>
  <c r="H438" i="33"/>
  <c r="H50" i="33"/>
  <c r="H383" i="33"/>
  <c r="H348" i="33"/>
  <c r="H282" i="33"/>
  <c r="H489" i="33"/>
  <c r="H141" i="33"/>
  <c r="H243" i="33"/>
  <c r="H371" i="33"/>
  <c r="H345" i="33"/>
  <c r="H183" i="33"/>
  <c r="H221" i="33"/>
  <c r="H157" i="33"/>
  <c r="H464" i="33"/>
  <c r="H268" i="33"/>
  <c r="H373" i="33"/>
  <c r="H263" i="33"/>
  <c r="H229" i="33"/>
  <c r="H122" i="33"/>
  <c r="H287" i="33"/>
  <c r="B321" i="33" a="1"/>
  <c r="B321" i="33" s="1"/>
  <c r="E321" i="33" a="1"/>
  <c r="E321" i="33" s="1"/>
  <c r="F321" i="33" a="1"/>
  <c r="F321" i="33" s="1"/>
  <c r="G321" i="33" a="1"/>
  <c r="G321" i="33" s="1"/>
  <c r="L321" i="33" a="1"/>
  <c r="L321" i="33" s="1"/>
  <c r="N321" i="33"/>
  <c r="P321" i="33"/>
  <c r="J114" i="35"/>
  <c r="K114" i="35" s="1"/>
  <c r="Q114" i="35"/>
  <c r="J4" i="35"/>
  <c r="J5" i="35"/>
  <c r="K5" i="35" s="1"/>
  <c r="J6" i="35"/>
  <c r="K6" i="35" s="1"/>
  <c r="J7" i="35"/>
  <c r="K7" i="35" s="1"/>
  <c r="J8" i="35"/>
  <c r="K8" i="35" s="1"/>
  <c r="J9" i="35"/>
  <c r="K9" i="35" s="1"/>
  <c r="J10" i="35"/>
  <c r="K10" i="35" s="1"/>
  <c r="J11" i="35"/>
  <c r="J12" i="35"/>
  <c r="K12" i="35" s="1"/>
  <c r="J13" i="35"/>
  <c r="J14" i="35"/>
  <c r="K14" i="35" s="1"/>
  <c r="J15" i="35"/>
  <c r="K15" i="35" s="1"/>
  <c r="J16" i="35"/>
  <c r="K16" i="35" s="1"/>
  <c r="J17" i="35"/>
  <c r="K17" i="35" s="1"/>
  <c r="J18" i="35"/>
  <c r="K18" i="35" s="1"/>
  <c r="J19" i="35"/>
  <c r="L1332" i="35" s="1"/>
  <c r="J20" i="35"/>
  <c r="J21" i="35"/>
  <c r="J22" i="35"/>
  <c r="J23" i="35"/>
  <c r="K23" i="35" s="1"/>
  <c r="J24" i="35"/>
  <c r="K24" i="35" s="1"/>
  <c r="J25" i="35"/>
  <c r="K25" i="35" s="1"/>
  <c r="J26" i="35"/>
  <c r="K26" i="35" s="1"/>
  <c r="J27" i="35"/>
  <c r="K27" i="35" s="1"/>
  <c r="J28" i="35"/>
  <c r="K28" i="35" s="1"/>
  <c r="J29" i="35"/>
  <c r="J30" i="35"/>
  <c r="K30" i="35" s="1"/>
  <c r="J31" i="35"/>
  <c r="K31" i="35" s="1"/>
  <c r="J32" i="35"/>
  <c r="J33" i="35"/>
  <c r="K33" i="35" s="1"/>
  <c r="J34" i="35"/>
  <c r="L1514" i="35" s="1"/>
  <c r="J35" i="35"/>
  <c r="K35" i="35" s="1"/>
  <c r="J36" i="35"/>
  <c r="J37" i="35"/>
  <c r="J38" i="35"/>
  <c r="K38" i="35" s="1"/>
  <c r="J39" i="35"/>
  <c r="J40" i="35"/>
  <c r="K40" i="35" s="1"/>
  <c r="J41" i="35"/>
  <c r="K41" i="35" s="1"/>
  <c r="J42" i="35"/>
  <c r="J43" i="35"/>
  <c r="J44" i="35"/>
  <c r="K44" i="35" s="1"/>
  <c r="J45" i="35"/>
  <c r="K45" i="35" s="1"/>
  <c r="J46" i="35"/>
  <c r="J47" i="35"/>
  <c r="J48" i="35"/>
  <c r="K48" i="35" s="1"/>
  <c r="J49" i="35"/>
  <c r="K49" i="35" s="1"/>
  <c r="J50" i="35"/>
  <c r="K50" i="35" s="1"/>
  <c r="J51" i="35"/>
  <c r="J52" i="35"/>
  <c r="J53" i="35"/>
  <c r="L1877" i="35" s="1"/>
  <c r="J54" i="35"/>
  <c r="J55" i="35"/>
  <c r="L1970" i="35" s="1"/>
  <c r="J56" i="35"/>
  <c r="J57" i="35"/>
  <c r="J58" i="35"/>
  <c r="J59" i="35"/>
  <c r="J60" i="35"/>
  <c r="L2020" i="35" s="1"/>
  <c r="J61" i="35"/>
  <c r="K61" i="35" s="1"/>
  <c r="J62" i="35"/>
  <c r="J63" i="35"/>
  <c r="J64" i="35"/>
  <c r="K64" i="35" s="1"/>
  <c r="J65" i="35"/>
  <c r="K65" i="35" s="1"/>
  <c r="J66" i="35"/>
  <c r="J67" i="35"/>
  <c r="K67" i="35" s="1"/>
  <c r="J68" i="35"/>
  <c r="K68" i="35" s="1"/>
  <c r="J69" i="35"/>
  <c r="J70" i="35"/>
  <c r="J71" i="35"/>
  <c r="K71" i="35" s="1"/>
  <c r="J72" i="35"/>
  <c r="K72" i="35" s="1"/>
  <c r="J73" i="35"/>
  <c r="J74" i="35"/>
  <c r="J75" i="35"/>
  <c r="J76" i="35"/>
  <c r="J77" i="35"/>
  <c r="K77" i="35" s="1"/>
  <c r="J78" i="35"/>
  <c r="K78" i="35" s="1"/>
  <c r="J79" i="35"/>
  <c r="J80" i="35"/>
  <c r="J81" i="35"/>
  <c r="J82" i="35"/>
  <c r="K82" i="35" s="1"/>
  <c r="J83" i="35"/>
  <c r="J84" i="35"/>
  <c r="K84" i="35" s="1"/>
  <c r="M84" i="35" s="1"/>
  <c r="J85" i="35"/>
  <c r="J86" i="35"/>
  <c r="K86" i="35" s="1"/>
  <c r="J87" i="35"/>
  <c r="J88" i="35"/>
  <c r="J89" i="35"/>
  <c r="K89" i="35" s="1"/>
  <c r="J90" i="35"/>
  <c r="K90" i="35" s="1"/>
  <c r="J91" i="35"/>
  <c r="J92" i="35"/>
  <c r="K92" i="35" s="1"/>
  <c r="J93" i="35"/>
  <c r="K93" i="35" s="1"/>
  <c r="J94" i="35"/>
  <c r="J95" i="35"/>
  <c r="J96" i="35"/>
  <c r="K96" i="35" s="1"/>
  <c r="J97" i="35"/>
  <c r="J98" i="35"/>
  <c r="J99" i="35"/>
  <c r="K99" i="35" s="1"/>
  <c r="J100" i="35"/>
  <c r="J101" i="35"/>
  <c r="J102" i="35"/>
  <c r="K102" i="35" s="1"/>
  <c r="J103" i="35"/>
  <c r="J104" i="35"/>
  <c r="K104" i="35" s="1"/>
  <c r="J105" i="35"/>
  <c r="K105" i="35" s="1"/>
  <c r="J106" i="35"/>
  <c r="K106" i="35" s="1"/>
  <c r="M106" i="35" s="1"/>
  <c r="J107" i="35"/>
  <c r="J108" i="35"/>
  <c r="K108" i="35" s="1"/>
  <c r="J109" i="35"/>
  <c r="J110" i="35"/>
  <c r="J143" i="35"/>
  <c r="K143" i="35" s="1"/>
  <c r="J112" i="35"/>
  <c r="J113" i="35"/>
  <c r="K113" i="35" s="1"/>
  <c r="C113" i="35" a="1"/>
  <c r="C113" i="35" s="1"/>
  <c r="F113" i="35"/>
  <c r="G113" i="35" s="1"/>
  <c r="Q113" i="35"/>
  <c r="B158" i="33" a="1"/>
  <c r="B158" i="33" s="1"/>
  <c r="E158" i="33" a="1"/>
  <c r="E158" i="33" s="1"/>
  <c r="F158" i="33" a="1"/>
  <c r="F158" i="33" s="1"/>
  <c r="G158" i="33" a="1"/>
  <c r="G158" i="33" s="1"/>
  <c r="L158" i="33" a="1"/>
  <c r="L158" i="33" s="1"/>
  <c r="N158" i="33"/>
  <c r="P158" i="33"/>
  <c r="C112" i="35" a="1"/>
  <c r="C112" i="35" s="1"/>
  <c r="F112" i="35"/>
  <c r="Q112" i="35"/>
  <c r="C143" i="35" a="1"/>
  <c r="C143" i="35" s="1"/>
  <c r="F143" i="35"/>
  <c r="G143" i="35" s="1"/>
  <c r="C109" i="31" a="1"/>
  <c r="C109" i="31" s="1"/>
  <c r="D109" i="31" a="1"/>
  <c r="D109" i="31" s="1"/>
  <c r="Q109" i="31"/>
  <c r="R109" i="31"/>
  <c r="U109" i="31"/>
  <c r="V109" i="31"/>
  <c r="AD109" i="31" s="1"/>
  <c r="W109" i="31"/>
  <c r="C49" i="31" a="1"/>
  <c r="C49" i="31" s="1"/>
  <c r="D49" i="31" a="1"/>
  <c r="D49" i="31" s="1"/>
  <c r="Q49" i="31"/>
  <c r="R49" i="31"/>
  <c r="U49" i="31"/>
  <c r="V49" i="31"/>
  <c r="AD49" i="31" s="1"/>
  <c r="W49" i="31"/>
  <c r="C110" i="35" a="1"/>
  <c r="C110" i="35" s="1"/>
  <c r="F110" i="35"/>
  <c r="Q110" i="35"/>
  <c r="C109" i="35" a="1"/>
  <c r="C109" i="35" s="1"/>
  <c r="F109" i="35"/>
  <c r="H2065" i="35" s="1"/>
  <c r="Q109" i="35"/>
  <c r="B34" i="33" a="1"/>
  <c r="B34" i="33" s="1"/>
  <c r="E34" i="33" a="1"/>
  <c r="E34" i="33" s="1"/>
  <c r="F34" i="33" a="1"/>
  <c r="F34" i="33" s="1"/>
  <c r="G34" i="33" a="1"/>
  <c r="G34" i="33" s="1"/>
  <c r="L34" i="33" a="1"/>
  <c r="L34" i="33" s="1"/>
  <c r="N34" i="33"/>
  <c r="P34" i="33"/>
  <c r="C59" i="31" a="1"/>
  <c r="C59" i="31" s="1"/>
  <c r="C97" i="31" a="1"/>
  <c r="C97" i="31" s="1"/>
  <c r="D59" i="31" a="1"/>
  <c r="D59" i="31" s="1"/>
  <c r="D97" i="31" a="1"/>
  <c r="D97" i="31" s="1"/>
  <c r="Q59" i="31"/>
  <c r="Q97" i="31"/>
  <c r="R59" i="31"/>
  <c r="R97" i="31"/>
  <c r="U59" i="31"/>
  <c r="U97" i="31"/>
  <c r="V59" i="31"/>
  <c r="AD59" i="31" s="1"/>
  <c r="V97" i="31"/>
  <c r="AD97" i="31" s="1"/>
  <c r="W59" i="31"/>
  <c r="W97" i="31"/>
  <c r="C105" i="31" a="1"/>
  <c r="C105" i="31" s="1"/>
  <c r="D105" i="31" a="1"/>
  <c r="D105" i="31" s="1"/>
  <c r="Q105" i="31"/>
  <c r="R105" i="31"/>
  <c r="U105" i="31"/>
  <c r="V105" i="31"/>
  <c r="AD105" i="31" s="1"/>
  <c r="W105" i="31"/>
  <c r="C58" i="31" a="1"/>
  <c r="C58" i="31" s="1"/>
  <c r="D58" i="31" a="1"/>
  <c r="D58" i="31" s="1"/>
  <c r="Q58" i="31"/>
  <c r="R58" i="31"/>
  <c r="U58" i="31"/>
  <c r="V58" i="31"/>
  <c r="AD58" i="31" s="1"/>
  <c r="W58" i="31"/>
  <c r="C108" i="35" a="1"/>
  <c r="C108" i="35" s="1"/>
  <c r="F108" i="35"/>
  <c r="G108" i="35" s="1"/>
  <c r="Q108" i="35"/>
  <c r="B334" i="33" a="1"/>
  <c r="B334" i="33" s="1"/>
  <c r="E334" i="33" a="1"/>
  <c r="E334" i="33" s="1"/>
  <c r="F334" i="33" a="1"/>
  <c r="F334" i="33" s="1"/>
  <c r="G334" i="33" a="1"/>
  <c r="G334" i="33" s="1"/>
  <c r="L334" i="33" a="1"/>
  <c r="L334" i="33" s="1"/>
  <c r="N334" i="33"/>
  <c r="P334" i="33"/>
  <c r="B381" i="33" a="1"/>
  <c r="B381" i="33" s="1"/>
  <c r="E381" i="33" a="1"/>
  <c r="E381" i="33" s="1"/>
  <c r="F381" i="33" a="1"/>
  <c r="F381" i="33" s="1"/>
  <c r="G381" i="33" a="1"/>
  <c r="G381" i="33" s="1"/>
  <c r="L381" i="33" a="1"/>
  <c r="L381" i="33" s="1"/>
  <c r="N381" i="33"/>
  <c r="P381" i="33"/>
  <c r="B420" i="33" a="1"/>
  <c r="B420" i="33" s="1"/>
  <c r="E420" i="33" a="1"/>
  <c r="E420" i="33" s="1"/>
  <c r="F420" i="33" a="1"/>
  <c r="F420" i="33" s="1"/>
  <c r="G420" i="33" a="1"/>
  <c r="G420" i="33" s="1"/>
  <c r="L420" i="33" a="1"/>
  <c r="L420" i="33" s="1"/>
  <c r="N420" i="33"/>
  <c r="P420" i="33"/>
  <c r="B50" i="33" a="1"/>
  <c r="B50" i="33" s="1"/>
  <c r="E50" i="33" a="1"/>
  <c r="E50" i="33" s="1"/>
  <c r="F50" i="33" a="1"/>
  <c r="F50" i="33" s="1"/>
  <c r="G50" i="33" a="1"/>
  <c r="G50" i="33" s="1"/>
  <c r="L50" i="33" a="1"/>
  <c r="L50" i="33" s="1"/>
  <c r="N50" i="33"/>
  <c r="P50" i="33"/>
  <c r="B193" i="33" a="1"/>
  <c r="B193" i="33" s="1"/>
  <c r="E193" i="33" a="1"/>
  <c r="E193" i="33" s="1"/>
  <c r="F193" i="33" a="1"/>
  <c r="F193" i="33" s="1"/>
  <c r="G193" i="33" a="1"/>
  <c r="G193" i="33" s="1"/>
  <c r="L193" i="33" a="1"/>
  <c r="L193" i="33" s="1"/>
  <c r="N193" i="33"/>
  <c r="P193" i="33"/>
  <c r="B20" i="33" a="1"/>
  <c r="B20" i="33" s="1"/>
  <c r="E20" i="33" a="1"/>
  <c r="E20" i="33" s="1"/>
  <c r="F20" i="33" a="1"/>
  <c r="F20" i="33" s="1"/>
  <c r="G20" i="33" a="1"/>
  <c r="G20" i="33" s="1"/>
  <c r="L20" i="33" a="1"/>
  <c r="L20" i="33" s="1"/>
  <c r="N20" i="33"/>
  <c r="P20" i="33"/>
  <c r="B503" i="33" a="1"/>
  <c r="B503" i="33" s="1"/>
  <c r="E503" i="33" a="1"/>
  <c r="E503" i="33" s="1"/>
  <c r="F503" i="33" a="1"/>
  <c r="F503" i="33" s="1"/>
  <c r="G503" i="33" a="1"/>
  <c r="G503" i="33" s="1"/>
  <c r="L503" i="33" a="1"/>
  <c r="L503" i="33" s="1"/>
  <c r="N503" i="33"/>
  <c r="P503" i="33"/>
  <c r="H46" i="6"/>
  <c r="J46" i="6" s="1"/>
  <c r="H47" i="6"/>
  <c r="L394" i="6" s="1"/>
  <c r="H48" i="6"/>
  <c r="J48" i="6" s="1"/>
  <c r="H49" i="6"/>
  <c r="H50" i="6"/>
  <c r="J50" i="6" s="1"/>
  <c r="H51" i="6"/>
  <c r="J51" i="6" s="1"/>
  <c r="I46" i="6"/>
  <c r="K46" i="6" s="1"/>
  <c r="I47" i="6"/>
  <c r="M394" i="6" s="1"/>
  <c r="I48" i="6"/>
  <c r="K48" i="6" s="1"/>
  <c r="I49" i="6"/>
  <c r="I50" i="6"/>
  <c r="K50" i="6" s="1"/>
  <c r="I51" i="6"/>
  <c r="K51" i="6" s="1"/>
  <c r="U46" i="6"/>
  <c r="U47" i="6"/>
  <c r="U48" i="6"/>
  <c r="U49" i="6"/>
  <c r="U50" i="6"/>
  <c r="U51" i="6"/>
  <c r="H45" i="6"/>
  <c r="J45" i="6" s="1"/>
  <c r="I45" i="6"/>
  <c r="K45" i="6" s="1"/>
  <c r="U45" i="6"/>
  <c r="H44" i="6"/>
  <c r="J44" i="6" s="1"/>
  <c r="I44" i="6"/>
  <c r="K44" i="6" s="1"/>
  <c r="U44" i="6"/>
  <c r="H43" i="6"/>
  <c r="J43" i="6" s="1"/>
  <c r="I43" i="6"/>
  <c r="K43" i="6" s="1"/>
  <c r="U43" i="6"/>
  <c r="U4" i="6"/>
  <c r="U5" i="6"/>
  <c r="U6" i="6"/>
  <c r="U7" i="6"/>
  <c r="U8" i="6"/>
  <c r="U9" i="6"/>
  <c r="U10" i="6"/>
  <c r="U11" i="6"/>
  <c r="U12"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H42" i="6"/>
  <c r="J42" i="6" s="1"/>
  <c r="I42" i="6"/>
  <c r="K42" i="6" s="1"/>
  <c r="H41" i="6"/>
  <c r="J41" i="6" s="1"/>
  <c r="I41" i="6"/>
  <c r="K41" i="6" s="1"/>
  <c r="H40" i="6"/>
  <c r="I40" i="6"/>
  <c r="H39" i="6"/>
  <c r="J39" i="6" s="1"/>
  <c r="I39" i="6"/>
  <c r="K39" i="6" s="1"/>
  <c r="H38" i="6"/>
  <c r="L38" i="6" s="1"/>
  <c r="I38" i="6"/>
  <c r="K38" i="6" s="1"/>
  <c r="O38" i="6" s="1"/>
  <c r="H37" i="6"/>
  <c r="J37" i="6" s="1"/>
  <c r="I37" i="6"/>
  <c r="K37" i="6" s="1"/>
  <c r="H36" i="6"/>
  <c r="J36" i="6" s="1"/>
  <c r="I36" i="6"/>
  <c r="K36" i="6" s="1"/>
  <c r="H35" i="6"/>
  <c r="I35" i="6"/>
  <c r="H34" i="6"/>
  <c r="I34" i="6"/>
  <c r="H33" i="6"/>
  <c r="I33" i="6"/>
  <c r="H32" i="6"/>
  <c r="I32" i="6"/>
  <c r="H31" i="6"/>
  <c r="J31" i="6" s="1"/>
  <c r="N31" i="6" s="1"/>
  <c r="I31" i="6"/>
  <c r="K31" i="6" s="1"/>
  <c r="O31" i="6" s="1"/>
  <c r="C76" i="36"/>
  <c r="D76" i="36"/>
  <c r="G76" i="36"/>
  <c r="I76" i="36" s="1"/>
  <c r="H76" i="36"/>
  <c r="H30" i="6"/>
  <c r="L30" i="6" s="1"/>
  <c r="I30" i="6"/>
  <c r="M30" i="6" s="1"/>
  <c r="H29" i="6"/>
  <c r="I29" i="6"/>
  <c r="C107" i="35" a="1"/>
  <c r="C107" i="35" s="1"/>
  <c r="F107" i="35"/>
  <c r="Q107" i="35"/>
  <c r="B182" i="33" a="1"/>
  <c r="B182" i="33" s="1"/>
  <c r="E182" i="33" a="1"/>
  <c r="E182" i="33" s="1"/>
  <c r="F182" i="33" a="1"/>
  <c r="F182" i="33" s="1"/>
  <c r="G182" i="33" a="1"/>
  <c r="G182" i="33" s="1"/>
  <c r="L182" i="33" a="1"/>
  <c r="L182" i="33" s="1"/>
  <c r="N182" i="33"/>
  <c r="P182" i="33"/>
  <c r="B332" i="33" a="1"/>
  <c r="B332" i="33" s="1"/>
  <c r="E332" i="33" a="1"/>
  <c r="E332" i="33" s="1"/>
  <c r="F332" i="33" a="1"/>
  <c r="F332" i="33" s="1"/>
  <c r="G332" i="33" a="1"/>
  <c r="G332" i="33" s="1"/>
  <c r="L332" i="33" a="1"/>
  <c r="L332" i="33" s="1"/>
  <c r="P332" i="33"/>
  <c r="C106" i="35" a="1"/>
  <c r="C106" i="35" s="1"/>
  <c r="F106" i="35"/>
  <c r="G106" i="35" s="1"/>
  <c r="I106" i="35" s="1"/>
  <c r="Q106" i="35"/>
  <c r="C173" i="31" a="1"/>
  <c r="C173" i="31" s="1"/>
  <c r="D173" i="31" a="1"/>
  <c r="D173" i="31" s="1"/>
  <c r="Q173" i="31"/>
  <c r="R173" i="31"/>
  <c r="U173" i="31"/>
  <c r="V173" i="31"/>
  <c r="AD173" i="31" s="1"/>
  <c r="W173" i="31"/>
  <c r="C121" i="31" a="1"/>
  <c r="C121" i="31" s="1"/>
  <c r="D121" i="31" a="1"/>
  <c r="D121" i="31" s="1"/>
  <c r="Q121" i="31"/>
  <c r="R121" i="31"/>
  <c r="U121" i="31"/>
  <c r="V121" i="31"/>
  <c r="AD121" i="31" s="1"/>
  <c r="W121" i="31"/>
  <c r="C170" i="31" a="1"/>
  <c r="C170" i="31" s="1"/>
  <c r="D170" i="31" a="1"/>
  <c r="D170" i="31" s="1"/>
  <c r="Q170" i="31"/>
  <c r="R170" i="31"/>
  <c r="U170" i="31"/>
  <c r="V170" i="31"/>
  <c r="AD170" i="31" s="1"/>
  <c r="W170" i="31"/>
  <c r="C123" i="31" a="1"/>
  <c r="C123" i="31" s="1"/>
  <c r="D123" i="31" a="1"/>
  <c r="D123" i="31" s="1"/>
  <c r="Q123" i="31"/>
  <c r="R123" i="31"/>
  <c r="U123" i="31"/>
  <c r="V123" i="31"/>
  <c r="AD123" i="31" s="1"/>
  <c r="W123" i="31"/>
  <c r="C124" i="31" a="1"/>
  <c r="C124" i="31" s="1"/>
  <c r="D124" i="31" a="1"/>
  <c r="D124" i="31" s="1"/>
  <c r="Q124" i="31"/>
  <c r="R124" i="31"/>
  <c r="U124" i="31"/>
  <c r="V124" i="31"/>
  <c r="AD124" i="31" s="1"/>
  <c r="W124" i="31"/>
  <c r="C88" i="31" a="1"/>
  <c r="C88" i="31" s="1"/>
  <c r="D88" i="31" a="1"/>
  <c r="D88" i="31" s="1"/>
  <c r="Q88" i="31"/>
  <c r="R88" i="31"/>
  <c r="U88" i="31"/>
  <c r="V88" i="31"/>
  <c r="AD88" i="31" s="1"/>
  <c r="W88" i="31"/>
  <c r="B292" i="33" a="1"/>
  <c r="B292" i="33" s="1"/>
  <c r="E292" i="33" a="1"/>
  <c r="E292" i="33" s="1"/>
  <c r="F292" i="33" a="1"/>
  <c r="F292" i="33" s="1"/>
  <c r="G292" i="33" a="1"/>
  <c r="G292" i="33" s="1"/>
  <c r="L292" i="33" a="1"/>
  <c r="L292" i="33" s="1"/>
  <c r="P292" i="33"/>
  <c r="C105" i="35" a="1"/>
  <c r="C105" i="35" s="1"/>
  <c r="F105" i="35"/>
  <c r="G105" i="35" s="1"/>
  <c r="Q105" i="35"/>
  <c r="B572" i="33" a="1"/>
  <c r="B572" i="33" s="1"/>
  <c r="E572" i="33" a="1"/>
  <c r="E572" i="33" s="1"/>
  <c r="F572" i="33" a="1"/>
  <c r="F572" i="33" s="1"/>
  <c r="G572" i="33" a="1"/>
  <c r="G572" i="33" s="1"/>
  <c r="L572" i="33" a="1"/>
  <c r="L572" i="33" s="1"/>
  <c r="P572" i="33"/>
  <c r="C32" i="31" a="1"/>
  <c r="C32" i="31" s="1"/>
  <c r="D32" i="31" a="1"/>
  <c r="D32" i="31" s="1"/>
  <c r="Q32" i="31"/>
  <c r="R32" i="31"/>
  <c r="U32" i="31"/>
  <c r="V32" i="31"/>
  <c r="AD32" i="31" s="1"/>
  <c r="W32" i="31"/>
  <c r="F4" i="35"/>
  <c r="F5" i="35"/>
  <c r="F6" i="35"/>
  <c r="F7" i="35"/>
  <c r="G7" i="35" s="1"/>
  <c r="F8" i="35"/>
  <c r="F9" i="35"/>
  <c r="G9" i="35" s="1"/>
  <c r="F10" i="35"/>
  <c r="G10" i="35" s="1"/>
  <c r="F11" i="35"/>
  <c r="F12" i="35"/>
  <c r="G12" i="35" s="1"/>
  <c r="F13" i="35"/>
  <c r="F14" i="35"/>
  <c r="G14" i="35" s="1"/>
  <c r="F15" i="35"/>
  <c r="F16" i="35"/>
  <c r="G16" i="35" s="1"/>
  <c r="F17" i="35"/>
  <c r="F18" i="35"/>
  <c r="G18" i="35" s="1"/>
  <c r="F19" i="35"/>
  <c r="H1332" i="35" s="1"/>
  <c r="F20" i="35"/>
  <c r="F21" i="35"/>
  <c r="F22" i="35"/>
  <c r="F23" i="35"/>
  <c r="F24" i="35"/>
  <c r="F25" i="35"/>
  <c r="F26" i="35"/>
  <c r="F27" i="35"/>
  <c r="F28" i="35"/>
  <c r="G28" i="35" s="1"/>
  <c r="F29" i="35"/>
  <c r="F30" i="35"/>
  <c r="G30" i="35" s="1"/>
  <c r="F31" i="35"/>
  <c r="F32" i="35"/>
  <c r="F33" i="35"/>
  <c r="F34" i="35"/>
  <c r="H1514" i="35" s="1"/>
  <c r="F35" i="35"/>
  <c r="F36" i="35"/>
  <c r="H2072" i="35" s="1"/>
  <c r="F37" i="35"/>
  <c r="F38" i="35"/>
  <c r="F39" i="35"/>
  <c r="F40" i="35"/>
  <c r="F41" i="35"/>
  <c r="F42" i="35"/>
  <c r="F43" i="35"/>
  <c r="F44" i="35"/>
  <c r="F45" i="35"/>
  <c r="F46" i="35"/>
  <c r="H726" i="35" s="1"/>
  <c r="F47" i="35"/>
  <c r="F48" i="35"/>
  <c r="F49" i="35"/>
  <c r="F50" i="35"/>
  <c r="G50" i="35" s="1"/>
  <c r="F51" i="35"/>
  <c r="F52" i="35"/>
  <c r="F53" i="35"/>
  <c r="H1877" i="35" s="1"/>
  <c r="F54" i="35"/>
  <c r="F55" i="35"/>
  <c r="H1970" i="35" s="1"/>
  <c r="F56" i="35"/>
  <c r="F57" i="35"/>
  <c r="F58" i="35"/>
  <c r="F59" i="35"/>
  <c r="F60" i="35"/>
  <c r="H2020" i="35" s="1"/>
  <c r="F61" i="35"/>
  <c r="G61" i="35" s="1"/>
  <c r="F62" i="35"/>
  <c r="F63" i="35"/>
  <c r="F64" i="35"/>
  <c r="F65" i="35"/>
  <c r="F66" i="35"/>
  <c r="F67" i="35"/>
  <c r="F68" i="35"/>
  <c r="F69" i="35"/>
  <c r="F70" i="35"/>
  <c r="F71" i="35"/>
  <c r="F72" i="35"/>
  <c r="F73" i="35"/>
  <c r="F74" i="35"/>
  <c r="F75" i="35"/>
  <c r="F76" i="35"/>
  <c r="F77" i="35"/>
  <c r="F78" i="35"/>
  <c r="G78" i="35" s="1"/>
  <c r="F79" i="35"/>
  <c r="F80" i="35"/>
  <c r="F81" i="35"/>
  <c r="F82" i="35"/>
  <c r="F83" i="35"/>
  <c r="F84" i="35"/>
  <c r="H84" i="35" s="1"/>
  <c r="F85" i="35"/>
  <c r="F86" i="35"/>
  <c r="F87" i="35"/>
  <c r="F88" i="35"/>
  <c r="F89" i="35"/>
  <c r="F90" i="35"/>
  <c r="F91" i="35"/>
  <c r="F92" i="35"/>
  <c r="F93" i="35"/>
  <c r="F94" i="35"/>
  <c r="F95" i="35"/>
  <c r="F96" i="35"/>
  <c r="F97" i="35"/>
  <c r="F98" i="35"/>
  <c r="F99" i="35"/>
  <c r="G99" i="35" s="1"/>
  <c r="F100" i="35"/>
  <c r="F101" i="35"/>
  <c r="F102" i="35"/>
  <c r="G102" i="35" s="1"/>
  <c r="F103" i="35"/>
  <c r="F104" i="35"/>
  <c r="C240" i="31" a="1"/>
  <c r="C240" i="31" s="1"/>
  <c r="D240" i="31" a="1"/>
  <c r="D240" i="31" s="1"/>
  <c r="Q240" i="31"/>
  <c r="R240" i="31"/>
  <c r="U240" i="31"/>
  <c r="V240" i="31"/>
  <c r="AD240" i="31" s="1"/>
  <c r="W240" i="31"/>
  <c r="C104" i="35" a="1"/>
  <c r="C104" i="35" s="1"/>
  <c r="Q104" i="35"/>
  <c r="C103" i="35" a="1"/>
  <c r="C103" i="35" s="1"/>
  <c r="Q103" i="35"/>
  <c r="C102" i="35" a="1"/>
  <c r="C102" i="35" s="1"/>
  <c r="Q102" i="35"/>
  <c r="C101" i="35" a="1"/>
  <c r="C101" i="35" s="1"/>
  <c r="Q101" i="35"/>
  <c r="C100" i="35" a="1"/>
  <c r="C100" i="35" s="1"/>
  <c r="Q100" i="35"/>
  <c r="C99" i="35" a="1"/>
  <c r="C99" i="35" s="1"/>
  <c r="Q99" i="35"/>
  <c r="C98" i="35" a="1"/>
  <c r="C98" i="35" s="1"/>
  <c r="Q98" i="35"/>
  <c r="C97" i="35" a="1"/>
  <c r="C97" i="35" s="1"/>
  <c r="Q97" i="35"/>
  <c r="C96" i="35" a="1"/>
  <c r="C96" i="35" s="1"/>
  <c r="Q96" i="35"/>
  <c r="C95" i="35" a="1"/>
  <c r="C95" i="35" s="1"/>
  <c r="Q95" i="35"/>
  <c r="C94" i="35" a="1"/>
  <c r="C94" i="35" s="1"/>
  <c r="Q94" i="35"/>
  <c r="C93" i="35" a="1"/>
  <c r="C93" i="35" s="1"/>
  <c r="Q93" i="35"/>
  <c r="C92" i="35" a="1"/>
  <c r="C92" i="35" s="1"/>
  <c r="Q92" i="35"/>
  <c r="C91" i="35" a="1"/>
  <c r="C91" i="35" s="1"/>
  <c r="Q91" i="35"/>
  <c r="C90" i="35" a="1"/>
  <c r="C90" i="35" s="1"/>
  <c r="Q90" i="35"/>
  <c r="C89" i="35" a="1"/>
  <c r="C89" i="35" s="1"/>
  <c r="Q89" i="35"/>
  <c r="C88" i="35" a="1"/>
  <c r="C88" i="35" s="1"/>
  <c r="Q88" i="35"/>
  <c r="C87" i="35" a="1"/>
  <c r="C87" i="35" s="1"/>
  <c r="Q87" i="35"/>
  <c r="C86" i="35" a="1"/>
  <c r="C86" i="35" s="1"/>
  <c r="Q86" i="35"/>
  <c r="C85" i="35" a="1"/>
  <c r="C85" i="35" s="1"/>
  <c r="Q85" i="35"/>
  <c r="C84" i="35" a="1"/>
  <c r="C84" i="35" s="1"/>
  <c r="Q84" i="35"/>
  <c r="C83" i="35" a="1"/>
  <c r="C83" i="35" s="1"/>
  <c r="Q83" i="35"/>
  <c r="C82" i="35" a="1"/>
  <c r="C82" i="35" s="1"/>
  <c r="Q82" i="35"/>
  <c r="C81" i="35" a="1"/>
  <c r="C81" i="35" s="1"/>
  <c r="Q81" i="35"/>
  <c r="C79" i="35" a="1"/>
  <c r="C79" i="35" s="1"/>
  <c r="C80" i="35" a="1"/>
  <c r="C80" i="35" s="1"/>
  <c r="Q79" i="35"/>
  <c r="Q80" i="35"/>
  <c r="C78" i="35" a="1"/>
  <c r="C78" i="35" s="1"/>
  <c r="Q78" i="35"/>
  <c r="C77" i="35" a="1"/>
  <c r="C77" i="35" s="1"/>
  <c r="Q77" i="35"/>
  <c r="C76" i="35" a="1"/>
  <c r="C76" i="35" s="1"/>
  <c r="Q76" i="35"/>
  <c r="C75" i="35" a="1"/>
  <c r="C75" i="35" s="1"/>
  <c r="Q75" i="35"/>
  <c r="C74" i="35" a="1"/>
  <c r="C74" i="35" s="1"/>
  <c r="Q74" i="35"/>
  <c r="C73" i="35" a="1"/>
  <c r="C73" i="35" s="1"/>
  <c r="Q73" i="35"/>
  <c r="C72" i="35" a="1"/>
  <c r="C72" i="35" s="1"/>
  <c r="Q72" i="35"/>
  <c r="C71" i="35" a="1"/>
  <c r="C71" i="35" s="1"/>
  <c r="Q71" i="35"/>
  <c r="C70" i="35" a="1"/>
  <c r="C70" i="35" s="1"/>
  <c r="Q70" i="35"/>
  <c r="B177" i="33" a="1"/>
  <c r="B177" i="33" s="1"/>
  <c r="E177" i="33" a="1"/>
  <c r="E177" i="33" s="1"/>
  <c r="F177" i="33" a="1"/>
  <c r="F177" i="33" s="1"/>
  <c r="G177" i="33" a="1"/>
  <c r="G177" i="33" s="1"/>
  <c r="L177" i="33" a="1"/>
  <c r="L177" i="33" s="1"/>
  <c r="P177" i="33"/>
  <c r="C69" i="35" a="1"/>
  <c r="C69" i="35" s="1"/>
  <c r="Q69" i="35"/>
  <c r="C68" i="35" a="1"/>
  <c r="C68" i="35" s="1"/>
  <c r="Q68" i="35"/>
  <c r="C67" i="35" a="1"/>
  <c r="C67" i="35" s="1"/>
  <c r="Q67" i="35"/>
  <c r="C66" i="35" a="1"/>
  <c r="C66" i="35" s="1"/>
  <c r="Q66" i="35"/>
  <c r="C65" i="35" a="1"/>
  <c r="C65" i="35" s="1"/>
  <c r="Q65" i="35"/>
  <c r="C64" i="35" a="1"/>
  <c r="C64" i="35" s="1"/>
  <c r="Q64" i="35"/>
  <c r="C63" i="35" a="1"/>
  <c r="C63" i="35" s="1"/>
  <c r="C62" i="35" a="1"/>
  <c r="C62" i="35" s="1"/>
  <c r="Q62" i="35"/>
  <c r="C61" i="35" a="1"/>
  <c r="C61" i="35" s="1"/>
  <c r="Q61" i="35"/>
  <c r="C60" i="35" a="1"/>
  <c r="C60" i="35" s="1"/>
  <c r="Q60" i="35"/>
  <c r="C59" i="35" a="1"/>
  <c r="C59" i="35" s="1"/>
  <c r="Q59" i="35"/>
  <c r="C58" i="35" a="1"/>
  <c r="C58" i="35" s="1"/>
  <c r="Q58" i="35"/>
  <c r="C57" i="35" a="1"/>
  <c r="C57" i="35" s="1"/>
  <c r="Q57" i="35"/>
  <c r="C56" i="35" a="1"/>
  <c r="C56" i="35" s="1"/>
  <c r="Q56" i="35"/>
  <c r="C55" i="35" a="1"/>
  <c r="C55" i="35" s="1"/>
  <c r="Q55" i="35"/>
  <c r="C54" i="35" a="1"/>
  <c r="C54" i="35" s="1"/>
  <c r="Q54" i="35"/>
  <c r="C52" i="35" a="1"/>
  <c r="C52" i="35" s="1"/>
  <c r="C53" i="35" a="1"/>
  <c r="C53" i="35" s="1"/>
  <c r="Q52" i="35"/>
  <c r="Q53" i="35"/>
  <c r="C51" i="35" a="1"/>
  <c r="C51" i="35" s="1"/>
  <c r="Q51" i="35"/>
  <c r="C50" i="35" a="1"/>
  <c r="C50" i="35" s="1"/>
  <c r="Q50" i="35"/>
  <c r="C49" i="35" a="1"/>
  <c r="C49" i="35" s="1"/>
  <c r="Q49" i="35"/>
  <c r="C48" i="35" a="1"/>
  <c r="C48" i="35" s="1"/>
  <c r="Q48" i="35"/>
  <c r="C47" i="35" a="1"/>
  <c r="C47" i="35" s="1"/>
  <c r="Q47" i="35"/>
  <c r="C46" i="35" a="1"/>
  <c r="C46" i="35" s="1"/>
  <c r="Q46" i="35"/>
  <c r="C45" i="35" a="1"/>
  <c r="C45" i="35" s="1"/>
  <c r="Q45" i="35"/>
  <c r="H28" i="6"/>
  <c r="I28" i="6"/>
  <c r="B375" i="33" a="1"/>
  <c r="B375" i="33" s="1"/>
  <c r="E375" i="33" a="1"/>
  <c r="E375" i="33" s="1"/>
  <c r="F375" i="33" a="1"/>
  <c r="F375" i="33" s="1"/>
  <c r="G375" i="33" a="1"/>
  <c r="G375" i="33" s="1"/>
  <c r="L375" i="33" a="1"/>
  <c r="L375" i="33" s="1"/>
  <c r="P375" i="33"/>
  <c r="H27" i="6"/>
  <c r="J27" i="6" s="1"/>
  <c r="I27" i="6"/>
  <c r="K27" i="6" s="1"/>
  <c r="B119" i="33" a="1"/>
  <c r="B119" i="33" s="1"/>
  <c r="E119" i="33" a="1"/>
  <c r="E119" i="33" s="1"/>
  <c r="F119" i="33" a="1"/>
  <c r="F119" i="33" s="1"/>
  <c r="G119" i="33" a="1"/>
  <c r="G119" i="33" s="1"/>
  <c r="L119" i="33" a="1"/>
  <c r="L119" i="33" s="1"/>
  <c r="P119" i="33"/>
  <c r="C53" i="31" a="1"/>
  <c r="C53" i="31" s="1"/>
  <c r="D53" i="31" a="1"/>
  <c r="D53" i="31" s="1"/>
  <c r="Q53" i="31"/>
  <c r="R53" i="31"/>
  <c r="U53" i="31"/>
  <c r="V53" i="31"/>
  <c r="AD53" i="31" s="1"/>
  <c r="W53" i="31"/>
  <c r="C43" i="31" a="1"/>
  <c r="C43" i="31" s="1"/>
  <c r="D43" i="31" a="1"/>
  <c r="D43" i="31" s="1"/>
  <c r="Q43" i="31"/>
  <c r="R43" i="31"/>
  <c r="U43" i="31"/>
  <c r="V43" i="31"/>
  <c r="AD43" i="31" s="1"/>
  <c r="W43" i="31"/>
  <c r="C95" i="31" a="1"/>
  <c r="C95" i="31" s="1"/>
  <c r="D95" i="31" a="1"/>
  <c r="D95" i="31" s="1"/>
  <c r="Q95" i="31"/>
  <c r="R95" i="31"/>
  <c r="U95" i="31"/>
  <c r="V95" i="31"/>
  <c r="AD95" i="31" s="1"/>
  <c r="W95" i="31"/>
  <c r="C44" i="35" a="1"/>
  <c r="C44" i="35" s="1"/>
  <c r="Q44" i="35"/>
  <c r="C175" i="31" a="1"/>
  <c r="C175" i="31" s="1"/>
  <c r="D175" i="31" a="1"/>
  <c r="D175" i="31" s="1"/>
  <c r="Q175" i="31"/>
  <c r="R175" i="31"/>
  <c r="U175" i="31"/>
  <c r="V175" i="31"/>
  <c r="AD175" i="31" s="1"/>
  <c r="W175" i="31"/>
  <c r="C43" i="35" a="1"/>
  <c r="C43" i="35" s="1"/>
  <c r="Q43" i="35"/>
  <c r="H26" i="6"/>
  <c r="L417" i="6" s="1"/>
  <c r="I26" i="6"/>
  <c r="H25" i="6"/>
  <c r="J25" i="6" s="1"/>
  <c r="I25" i="6"/>
  <c r="K25" i="6" s="1"/>
  <c r="H24" i="6"/>
  <c r="J24" i="6" s="1"/>
  <c r="I24" i="6"/>
  <c r="K24" i="6" s="1"/>
  <c r="H23" i="6"/>
  <c r="I23" i="6"/>
  <c r="H22" i="6"/>
  <c r="J22" i="6" s="1"/>
  <c r="N22" i="6" s="1"/>
  <c r="I22" i="6"/>
  <c r="M22" i="6" s="1"/>
  <c r="H21" i="6"/>
  <c r="I21" i="6"/>
  <c r="H20" i="6"/>
  <c r="J20" i="6" s="1"/>
  <c r="I20" i="6"/>
  <c r="K20" i="6" s="1"/>
  <c r="H19" i="6"/>
  <c r="J19" i="6" s="1"/>
  <c r="N19" i="6" s="1"/>
  <c r="I19" i="6"/>
  <c r="K19" i="6" s="1"/>
  <c r="O19" i="6" s="1"/>
  <c r="H18" i="6"/>
  <c r="I18" i="6"/>
  <c r="I5" i="6"/>
  <c r="K5" i="6" s="1"/>
  <c r="I6" i="6"/>
  <c r="K6" i="6" s="1"/>
  <c r="I7" i="6"/>
  <c r="I8" i="6"/>
  <c r="I9" i="6"/>
  <c r="I10" i="6"/>
  <c r="I11" i="6"/>
  <c r="I12" i="6"/>
  <c r="K12" i="6" s="1"/>
  <c r="I13" i="6"/>
  <c r="K13" i="6" s="1"/>
  <c r="I14" i="6"/>
  <c r="I15" i="6"/>
  <c r="I16" i="6"/>
  <c r="K16" i="6" s="1"/>
  <c r="I17" i="6"/>
  <c r="K17" i="6" s="1"/>
  <c r="H17" i="6"/>
  <c r="J17" i="6" s="1"/>
  <c r="G24" i="36"/>
  <c r="I24" i="36" s="1"/>
  <c r="H24" i="36"/>
  <c r="D24" i="36"/>
  <c r="C24" i="36"/>
  <c r="U13" i="6"/>
  <c r="H16" i="6"/>
  <c r="J16" i="6" s="1"/>
  <c r="F11" i="6"/>
  <c r="F10" i="6"/>
  <c r="G4" i="6"/>
  <c r="C40" i="31" a="1"/>
  <c r="C40" i="31" s="1"/>
  <c r="D40" i="31" a="1"/>
  <c r="D40" i="31" s="1"/>
  <c r="Q40" i="31"/>
  <c r="R40" i="31"/>
  <c r="U40" i="31"/>
  <c r="V40" i="31"/>
  <c r="AD40" i="31" s="1"/>
  <c r="W40" i="31"/>
  <c r="C39" i="31" a="1"/>
  <c r="C39" i="31" s="1"/>
  <c r="D39" i="31" a="1"/>
  <c r="D39" i="31" s="1"/>
  <c r="Q39" i="31"/>
  <c r="R39" i="31"/>
  <c r="U39" i="31"/>
  <c r="V39" i="31"/>
  <c r="AD39" i="31" s="1"/>
  <c r="W39" i="31"/>
  <c r="C125" i="31" a="1"/>
  <c r="C125" i="31" s="1"/>
  <c r="D125" i="31" a="1"/>
  <c r="D125" i="31" s="1"/>
  <c r="Q125" i="31"/>
  <c r="R125" i="31"/>
  <c r="U125" i="31"/>
  <c r="V125" i="31"/>
  <c r="AD125" i="31" s="1"/>
  <c r="W125" i="31"/>
  <c r="C67" i="31" a="1"/>
  <c r="C67" i="31" s="1"/>
  <c r="D67" i="31" a="1"/>
  <c r="D67" i="31" s="1"/>
  <c r="Q67" i="31"/>
  <c r="R67" i="31"/>
  <c r="U67" i="31"/>
  <c r="V67" i="31"/>
  <c r="AD67" i="31" s="1"/>
  <c r="W67" i="31"/>
  <c r="H15" i="6"/>
  <c r="H14" i="6"/>
  <c r="H13" i="6"/>
  <c r="J13" i="6" s="1"/>
  <c r="H12" i="6"/>
  <c r="J12" i="6" s="1"/>
  <c r="H11" i="6"/>
  <c r="H10" i="6"/>
  <c r="H9" i="6"/>
  <c r="H8" i="6"/>
  <c r="H7" i="6"/>
  <c r="H6" i="6"/>
  <c r="J6" i="6" s="1"/>
  <c r="H5" i="6"/>
  <c r="J5" i="6" s="1"/>
  <c r="L2072" i="35" l="1"/>
  <c r="H2070" i="35"/>
  <c r="L2070" i="35"/>
  <c r="H2061" i="35"/>
  <c r="L2065" i="35"/>
  <c r="L2064" i="35"/>
  <c r="H2064" i="35"/>
  <c r="K329" i="35"/>
  <c r="L2062" i="35"/>
  <c r="G329" i="35"/>
  <c r="H2062" i="35"/>
  <c r="L2061" i="35"/>
  <c r="L2056" i="35"/>
  <c r="H2056" i="35"/>
  <c r="L2048" i="35"/>
  <c r="H2048" i="35"/>
  <c r="H2043" i="35"/>
  <c r="H2047" i="35"/>
  <c r="L2043" i="35"/>
  <c r="L2047" i="35"/>
  <c r="L2035" i="35"/>
  <c r="H2035" i="35"/>
  <c r="L2032" i="35"/>
  <c r="H2032" i="35"/>
  <c r="L1282" i="35"/>
  <c r="L2031" i="35"/>
  <c r="H1282" i="35"/>
  <c r="H2031" i="35"/>
  <c r="H1772" i="35"/>
  <c r="H2030" i="35"/>
  <c r="L1772" i="35"/>
  <c r="L2030" i="35"/>
  <c r="L2009" i="35"/>
  <c r="L2026" i="35"/>
  <c r="L1771" i="35"/>
  <c r="L2023" i="35"/>
  <c r="H1771" i="35"/>
  <c r="H2023" i="35"/>
  <c r="L2012" i="35"/>
  <c r="H2012" i="35"/>
  <c r="L1875" i="35"/>
  <c r="L1991" i="35"/>
  <c r="H2009" i="35"/>
  <c r="H2007" i="35"/>
  <c r="L2007" i="35"/>
  <c r="H2002" i="35"/>
  <c r="L2002" i="35"/>
  <c r="M417" i="6"/>
  <c r="M449" i="6"/>
  <c r="M448" i="6"/>
  <c r="J23" i="6"/>
  <c r="L451" i="6"/>
  <c r="L449" i="6"/>
  <c r="L448" i="6"/>
  <c r="R448" i="6" s="1"/>
  <c r="K23" i="6"/>
  <c r="M451" i="6"/>
  <c r="R453" i="6"/>
  <c r="H1991" i="35"/>
  <c r="L1988" i="35"/>
  <c r="H1986" i="35"/>
  <c r="H1988" i="35"/>
  <c r="L1986" i="35"/>
  <c r="L117" i="35"/>
  <c r="H254" i="35"/>
  <c r="H117" i="35"/>
  <c r="L254" i="35"/>
  <c r="K256" i="35"/>
  <c r="L558" i="35"/>
  <c r="G256" i="35"/>
  <c r="H558" i="35"/>
  <c r="L1977" i="35"/>
  <c r="L1980" i="35"/>
  <c r="H1980" i="35"/>
  <c r="L1979" i="35"/>
  <c r="H1978" i="35"/>
  <c r="H1979" i="35"/>
  <c r="L1978" i="35"/>
  <c r="H1977" i="35"/>
  <c r="L1974" i="35"/>
  <c r="H1974" i="35"/>
  <c r="H1967" i="35"/>
  <c r="L1965" i="35"/>
  <c r="L1967" i="35"/>
  <c r="H1965" i="35"/>
  <c r="L1963" i="35"/>
  <c r="H1963" i="35"/>
  <c r="H1959" i="35"/>
  <c r="L1953" i="35"/>
  <c r="L1959" i="35"/>
  <c r="H1953" i="35"/>
  <c r="H1952" i="35"/>
  <c r="L1952" i="35"/>
  <c r="H1950" i="35"/>
  <c r="L1950" i="35"/>
  <c r="L1724" i="35"/>
  <c r="L1949" i="35"/>
  <c r="H1724" i="35"/>
  <c r="H1949" i="35"/>
  <c r="H1929" i="35"/>
  <c r="L1632" i="35"/>
  <c r="L1933" i="35"/>
  <c r="H1632" i="35"/>
  <c r="H1933" i="35"/>
  <c r="R413" i="6"/>
  <c r="L1929" i="35"/>
  <c r="L1922" i="35"/>
  <c r="L1924" i="35"/>
  <c r="H1924" i="35"/>
  <c r="L1912" i="35"/>
  <c r="H1922" i="35"/>
  <c r="H1911" i="35"/>
  <c r="H1912" i="35"/>
  <c r="L1910" i="35"/>
  <c r="L1911" i="35"/>
  <c r="H1910" i="35"/>
  <c r="H1903" i="35"/>
  <c r="L1905" i="35"/>
  <c r="H1905" i="35"/>
  <c r="L1902" i="35"/>
  <c r="L1903" i="35"/>
  <c r="H1902" i="35"/>
  <c r="H1875" i="35"/>
  <c r="H1895" i="35"/>
  <c r="H1898" i="35"/>
  <c r="L1895" i="35"/>
  <c r="L1898" i="35"/>
  <c r="H1890" i="35"/>
  <c r="H1892" i="35"/>
  <c r="L1890" i="35"/>
  <c r="L1892" i="35"/>
  <c r="H1884" i="35"/>
  <c r="L1884" i="35"/>
  <c r="H1880" i="35"/>
  <c r="L1876" i="35"/>
  <c r="L1880" i="35"/>
  <c r="H1872" i="35"/>
  <c r="H1876" i="35"/>
  <c r="L1872" i="35"/>
  <c r="H1825" i="35"/>
  <c r="H1449" i="35"/>
  <c r="H1867" i="35"/>
  <c r="L1867" i="35"/>
  <c r="H1864" i="35"/>
  <c r="L1864" i="35"/>
  <c r="L1859" i="35"/>
  <c r="H1859" i="35"/>
  <c r="L1851" i="35"/>
  <c r="H1851" i="35"/>
  <c r="L1847" i="35"/>
  <c r="H1847" i="35"/>
  <c r="H1836" i="35"/>
  <c r="L1837" i="35"/>
  <c r="H1837" i="35"/>
  <c r="L1836" i="35"/>
  <c r="L1824" i="35"/>
  <c r="L1823" i="35"/>
  <c r="L1827" i="35"/>
  <c r="H1823" i="35"/>
  <c r="H1827" i="35"/>
  <c r="L1825" i="35"/>
  <c r="H1824" i="35"/>
  <c r="L1818" i="35"/>
  <c r="H1818" i="35"/>
  <c r="H1800" i="35"/>
  <c r="H1807" i="35"/>
  <c r="L1807" i="35"/>
  <c r="L1806" i="35"/>
  <c r="H1806" i="35"/>
  <c r="L1801" i="35"/>
  <c r="H1801" i="35"/>
  <c r="L1800" i="35"/>
  <c r="L389" i="6"/>
  <c r="L442" i="6"/>
  <c r="M389" i="6"/>
  <c r="M442" i="6"/>
  <c r="L1753" i="35"/>
  <c r="L1798" i="35"/>
  <c r="H1753" i="35"/>
  <c r="H1798" i="35"/>
  <c r="H1791" i="35"/>
  <c r="H1786" i="35"/>
  <c r="L1791" i="35"/>
  <c r="L1787" i="35"/>
  <c r="H1787" i="35"/>
  <c r="L1786" i="35"/>
  <c r="H1783" i="35"/>
  <c r="L1783" i="35"/>
  <c r="L1765" i="35"/>
  <c r="L1774" i="35"/>
  <c r="L1390" i="35"/>
  <c r="H1776" i="35"/>
  <c r="L1776" i="35"/>
  <c r="H1774" i="35"/>
  <c r="L1769" i="35"/>
  <c r="H1769" i="35"/>
  <c r="L1766" i="35"/>
  <c r="H1766" i="35"/>
  <c r="H1665" i="35"/>
  <c r="H1765" i="35"/>
  <c r="L1764" i="35"/>
  <c r="H1764" i="35"/>
  <c r="H1729" i="35"/>
  <c r="H1572" i="35"/>
  <c r="H1752" i="35"/>
  <c r="L1572" i="35"/>
  <c r="L1752" i="35"/>
  <c r="H1743" i="35"/>
  <c r="L1743" i="35"/>
  <c r="L1729" i="35"/>
  <c r="L1742" i="35"/>
  <c r="H1727" i="35"/>
  <c r="H1742" i="35"/>
  <c r="H1728" i="35"/>
  <c r="L1728" i="35"/>
  <c r="L1727" i="35"/>
  <c r="H960" i="35"/>
  <c r="H1723" i="35"/>
  <c r="L960" i="35"/>
  <c r="L1723" i="35"/>
  <c r="L1716" i="35"/>
  <c r="H1661" i="35"/>
  <c r="H1716" i="35"/>
  <c r="L1711" i="35"/>
  <c r="H1711" i="35"/>
  <c r="L1690" i="35"/>
  <c r="H1541" i="35"/>
  <c r="H1708" i="35"/>
  <c r="L1541" i="35"/>
  <c r="L1708" i="35"/>
  <c r="L1649" i="35"/>
  <c r="L1703" i="35"/>
  <c r="H1649" i="35"/>
  <c r="H1703" i="35"/>
  <c r="H1701" i="35"/>
  <c r="L1701" i="35"/>
  <c r="L1045" i="35"/>
  <c r="L1700" i="35"/>
  <c r="H1045" i="35"/>
  <c r="H1700" i="35"/>
  <c r="H1622" i="35"/>
  <c r="H1690" i="35"/>
  <c r="L1663" i="35"/>
  <c r="H1682" i="35"/>
  <c r="L1682" i="35"/>
  <c r="H1680" i="35"/>
  <c r="L1680" i="35"/>
  <c r="L1679" i="35"/>
  <c r="H1679" i="35"/>
  <c r="H1677" i="35"/>
  <c r="L1677" i="35"/>
  <c r="L1586" i="35"/>
  <c r="L1673" i="35"/>
  <c r="H1586" i="35"/>
  <c r="H1673" i="35"/>
  <c r="L1665" i="35"/>
  <c r="H1663" i="35"/>
  <c r="L1661" i="35"/>
  <c r="H1659" i="35"/>
  <c r="L1659" i="35"/>
  <c r="H1652" i="35"/>
  <c r="L1652" i="35"/>
  <c r="H1648" i="35"/>
  <c r="L1648" i="35"/>
  <c r="L1642" i="35"/>
  <c r="H1633" i="35"/>
  <c r="H1642" i="35"/>
  <c r="L1636" i="35"/>
  <c r="L1630" i="35"/>
  <c r="H1630" i="35"/>
  <c r="H1596" i="35"/>
  <c r="H1636" i="35"/>
  <c r="L1628" i="35"/>
  <c r="L1633" i="35"/>
  <c r="H1628" i="35"/>
  <c r="R417" i="6"/>
  <c r="L1623" i="35"/>
  <c r="L1588" i="35"/>
  <c r="H1610" i="35"/>
  <c r="H1623" i="35"/>
  <c r="L1622" i="35"/>
  <c r="L1610" i="35"/>
  <c r="R433" i="6"/>
  <c r="L1608" i="35"/>
  <c r="H1608" i="35"/>
  <c r="L1022" i="31"/>
  <c r="L1607" i="35"/>
  <c r="H1607" i="35"/>
  <c r="L1606" i="35"/>
  <c r="H1606" i="35"/>
  <c r="H1557" i="35"/>
  <c r="H1588" i="35"/>
  <c r="L1596" i="35"/>
  <c r="H1592" i="35"/>
  <c r="L1592" i="35"/>
  <c r="H1579" i="35"/>
  <c r="L1578" i="35"/>
  <c r="L1581" i="35"/>
  <c r="H1578" i="35"/>
  <c r="H1581" i="35"/>
  <c r="L1579" i="35"/>
  <c r="H1575" i="35"/>
  <c r="L1575" i="35"/>
  <c r="L1573" i="35"/>
  <c r="H1573" i="35"/>
  <c r="L405" i="6"/>
  <c r="K121" i="6"/>
  <c r="M426" i="6"/>
  <c r="M395" i="6"/>
  <c r="M418" i="6"/>
  <c r="M421" i="6"/>
  <c r="M425" i="6"/>
  <c r="M432" i="6"/>
  <c r="M420" i="6"/>
  <c r="M431" i="6"/>
  <c r="M399" i="6"/>
  <c r="M403" i="6"/>
  <c r="M401" i="6"/>
  <c r="M396" i="6"/>
  <c r="M410" i="6"/>
  <c r="L359" i="6"/>
  <c r="L419" i="6"/>
  <c r="R419" i="6" s="1"/>
  <c r="L121" i="6"/>
  <c r="L426" i="6"/>
  <c r="L415" i="6"/>
  <c r="M405" i="6"/>
  <c r="R405" i="6" s="1"/>
  <c r="L430" i="6"/>
  <c r="L427" i="6"/>
  <c r="M429" i="6"/>
  <c r="L420" i="6"/>
  <c r="L431" i="6"/>
  <c r="L399" i="6"/>
  <c r="L403" i="6"/>
  <c r="L401" i="6"/>
  <c r="L396" i="6"/>
  <c r="L410" i="6"/>
  <c r="L429" i="6"/>
  <c r="M430" i="6"/>
  <c r="M427" i="6"/>
  <c r="M415" i="6"/>
  <c r="M120" i="6"/>
  <c r="M428" i="6"/>
  <c r="J120" i="6"/>
  <c r="L428" i="6"/>
  <c r="L395" i="6"/>
  <c r="L421" i="6"/>
  <c r="L418" i="6"/>
  <c r="L425" i="6"/>
  <c r="L432" i="6"/>
  <c r="H1538" i="35"/>
  <c r="L1569" i="35"/>
  <c r="H1569" i="35"/>
  <c r="H1562" i="35"/>
  <c r="H1566" i="35"/>
  <c r="L1566" i="35"/>
  <c r="L1540" i="35"/>
  <c r="H1559" i="35"/>
  <c r="L1562" i="35"/>
  <c r="L1559" i="35"/>
  <c r="L1557" i="35"/>
  <c r="L1538" i="35"/>
  <c r="H1540" i="35"/>
  <c r="H1402" i="35"/>
  <c r="H1532" i="35"/>
  <c r="L1402" i="35"/>
  <c r="L1532" i="35"/>
  <c r="L1500" i="35"/>
  <c r="H1500" i="35"/>
  <c r="H1519" i="35"/>
  <c r="L1519" i="35"/>
  <c r="K268" i="35"/>
  <c r="L1517" i="35"/>
  <c r="G268" i="35"/>
  <c r="H1517" i="35"/>
  <c r="L1511" i="35"/>
  <c r="L1496" i="35"/>
  <c r="H1511" i="35"/>
  <c r="L1508" i="35"/>
  <c r="H1508" i="35"/>
  <c r="L1506" i="35"/>
  <c r="H1506" i="35"/>
  <c r="H1496" i="35"/>
  <c r="L1347" i="35"/>
  <c r="L1495" i="35"/>
  <c r="H1347" i="35"/>
  <c r="H1495" i="35"/>
  <c r="L1488" i="35"/>
  <c r="H1488" i="35"/>
  <c r="E82" i="40"/>
  <c r="E5" i="40"/>
  <c r="H1471" i="35"/>
  <c r="H1470" i="35"/>
  <c r="L652" i="35"/>
  <c r="L1472" i="35"/>
  <c r="H652" i="35"/>
  <c r="H1472" i="35"/>
  <c r="L1471" i="35"/>
  <c r="L1470" i="35"/>
  <c r="L1458" i="35"/>
  <c r="L1468" i="35"/>
  <c r="H1458" i="35"/>
  <c r="H1468" i="35"/>
  <c r="H1390" i="35"/>
  <c r="H1461" i="35"/>
  <c r="L1461" i="35"/>
  <c r="H1456" i="35"/>
  <c r="L1456" i="35"/>
  <c r="H1451" i="35"/>
  <c r="H1453" i="35"/>
  <c r="L1453" i="35"/>
  <c r="H1450" i="35"/>
  <c r="L1451" i="35"/>
  <c r="H1442" i="35"/>
  <c r="L1450" i="35"/>
  <c r="L1416" i="35"/>
  <c r="L1449" i="35"/>
  <c r="L1442" i="35"/>
  <c r="L1437" i="35"/>
  <c r="H1437" i="35"/>
  <c r="L1436" i="35"/>
  <c r="H1436" i="35"/>
  <c r="H1430" i="35"/>
  <c r="L1430" i="35"/>
  <c r="H1359" i="35"/>
  <c r="H1426" i="35"/>
  <c r="H1427" i="35"/>
  <c r="L1427" i="35"/>
  <c r="L1426" i="35"/>
  <c r="H1416" i="35"/>
  <c r="H1412" i="35"/>
  <c r="L1417" i="35"/>
  <c r="H1417" i="35"/>
  <c r="L1406" i="35"/>
  <c r="L1413" i="35"/>
  <c r="H1413" i="35"/>
  <c r="L1412" i="35"/>
  <c r="H1400" i="35"/>
  <c r="H1406" i="35"/>
  <c r="L1400" i="35"/>
  <c r="L1399" i="35"/>
  <c r="H1399" i="35"/>
  <c r="H1388" i="35"/>
  <c r="L1393" i="35"/>
  <c r="L1397" i="35"/>
  <c r="H1397" i="35"/>
  <c r="H1368" i="35"/>
  <c r="H1393" i="35"/>
  <c r="H1389" i="35"/>
  <c r="L1389" i="35"/>
  <c r="L1388" i="35"/>
  <c r="L1381" i="35"/>
  <c r="H1381" i="35"/>
  <c r="L1380" i="35"/>
  <c r="H1380" i="35"/>
  <c r="H1375" i="35"/>
  <c r="K168" i="35"/>
  <c r="L1376" i="35"/>
  <c r="G168" i="35"/>
  <c r="H1376" i="35"/>
  <c r="L1375" i="35"/>
  <c r="H1374" i="35"/>
  <c r="L1374" i="35"/>
  <c r="L1119" i="35"/>
  <c r="L1372" i="35"/>
  <c r="H1119" i="35"/>
  <c r="H1372" i="35"/>
  <c r="L1368" i="35"/>
  <c r="L1359" i="35"/>
  <c r="E15" i="40"/>
  <c r="L1004" i="35"/>
  <c r="H1352" i="35"/>
  <c r="H1353" i="35"/>
  <c r="L1352" i="35"/>
  <c r="L1353" i="35"/>
  <c r="H1346" i="35"/>
  <c r="L1349" i="35"/>
  <c r="H90" i="35"/>
  <c r="L1334" i="35"/>
  <c r="H1349" i="35"/>
  <c r="L1346" i="35"/>
  <c r="L1142" i="35"/>
  <c r="H1345" i="35"/>
  <c r="L1348" i="35"/>
  <c r="H1348" i="35"/>
  <c r="L1345" i="35"/>
  <c r="L1339" i="35"/>
  <c r="H1338" i="35"/>
  <c r="H1339" i="35"/>
  <c r="L1327" i="35"/>
  <c r="H1142" i="35"/>
  <c r="L1338" i="35"/>
  <c r="L76" i="35"/>
  <c r="I971" i="35"/>
  <c r="O971" i="35" s="1"/>
  <c r="I1335" i="35"/>
  <c r="O1335" i="35" s="1"/>
  <c r="M971" i="35"/>
  <c r="N971" i="35" s="1"/>
  <c r="M1335" i="35"/>
  <c r="N1335" i="35" s="1"/>
  <c r="H1334" i="35"/>
  <c r="L1330" i="35"/>
  <c r="H1330" i="35"/>
  <c r="H1327" i="35"/>
  <c r="H1248" i="35"/>
  <c r="H1324" i="35"/>
  <c r="L1248" i="35"/>
  <c r="L1324" i="35"/>
  <c r="L1322" i="35"/>
  <c r="H1322" i="35"/>
  <c r="D881" i="31"/>
  <c r="H1318" i="35"/>
  <c r="H1320" i="35"/>
  <c r="L1318" i="35"/>
  <c r="L1320" i="35"/>
  <c r="H1313" i="35"/>
  <c r="L1313" i="35"/>
  <c r="H1311" i="35"/>
  <c r="L1311" i="35"/>
  <c r="H1303" i="35"/>
  <c r="L1303" i="35"/>
  <c r="H1287" i="35"/>
  <c r="H1291" i="35"/>
  <c r="H1272" i="35"/>
  <c r="H1288" i="35"/>
  <c r="L1291" i="35"/>
  <c r="L1207" i="35"/>
  <c r="L1288" i="35"/>
  <c r="L1287" i="35"/>
  <c r="L1277" i="35"/>
  <c r="H96" i="35"/>
  <c r="H1277" i="35"/>
  <c r="L1272" i="35"/>
  <c r="H1256" i="35"/>
  <c r="L1271" i="35"/>
  <c r="H1271" i="35"/>
  <c r="H1269" i="35"/>
  <c r="K21" i="35"/>
  <c r="L1269" i="35"/>
  <c r="L1264" i="35"/>
  <c r="H1261" i="35"/>
  <c r="H1264" i="35"/>
  <c r="L1261" i="35"/>
  <c r="H1258" i="35"/>
  <c r="L1258" i="35"/>
  <c r="L1256" i="35"/>
  <c r="L1239" i="35"/>
  <c r="L1255" i="35"/>
  <c r="H1239" i="35"/>
  <c r="H1255" i="35"/>
  <c r="H1243" i="35"/>
  <c r="H1233" i="35"/>
  <c r="L1243" i="35"/>
  <c r="K60" i="35"/>
  <c r="M2020" i="35" s="1"/>
  <c r="N2020" i="35" s="1"/>
  <c r="L1244" i="35"/>
  <c r="H60" i="35"/>
  <c r="H1244" i="35"/>
  <c r="L1106" i="35"/>
  <c r="L1238" i="35"/>
  <c r="H1106" i="35"/>
  <c r="H1238" i="35"/>
  <c r="H1228" i="35"/>
  <c r="L1228" i="35"/>
  <c r="L1232" i="35"/>
  <c r="K88" i="35"/>
  <c r="L1234" i="35"/>
  <c r="H88" i="35"/>
  <c r="H1234" i="35"/>
  <c r="L1185" i="35"/>
  <c r="L1233" i="35"/>
  <c r="H1232" i="35"/>
  <c r="H1204" i="35"/>
  <c r="H1221" i="35"/>
  <c r="L1219" i="35"/>
  <c r="L1221" i="35"/>
  <c r="H1219" i="35"/>
  <c r="K109" i="35"/>
  <c r="L1213" i="35"/>
  <c r="G109" i="35"/>
  <c r="H1213" i="35"/>
  <c r="H1194" i="35"/>
  <c r="H1212" i="35"/>
  <c r="L1194" i="35"/>
  <c r="L1212" i="35"/>
  <c r="H1207" i="35"/>
  <c r="L1204" i="35"/>
  <c r="H1192" i="35"/>
  <c r="L1202" i="35"/>
  <c r="H1202" i="35"/>
  <c r="L1200" i="35"/>
  <c r="L1201" i="35"/>
  <c r="H1200" i="35"/>
  <c r="H1201" i="35"/>
  <c r="H1185" i="35"/>
  <c r="L1196" i="35"/>
  <c r="H1196" i="35"/>
  <c r="L1192" i="35"/>
  <c r="L1190" i="35"/>
  <c r="H1190" i="35"/>
  <c r="H1175" i="35"/>
  <c r="H624" i="35"/>
  <c r="H1177" i="35"/>
  <c r="L624" i="35"/>
  <c r="L1177" i="35"/>
  <c r="K4" i="35"/>
  <c r="M1233" i="35" s="1"/>
  <c r="L1175" i="35"/>
  <c r="L1168" i="35"/>
  <c r="H1168" i="35"/>
  <c r="H1147" i="35"/>
  <c r="L1153" i="35"/>
  <c r="K19" i="35"/>
  <c r="M1332" i="35" s="1"/>
  <c r="N1332" i="35" s="1"/>
  <c r="L1155" i="35"/>
  <c r="H19" i="35"/>
  <c r="H1155" i="35"/>
  <c r="H1153" i="35"/>
  <c r="H1143" i="35"/>
  <c r="L1147" i="35"/>
  <c r="R394" i="6"/>
  <c r="M390" i="6"/>
  <c r="M393" i="6"/>
  <c r="M392" i="6"/>
  <c r="L390" i="6"/>
  <c r="L393" i="6"/>
  <c r="L392" i="6"/>
  <c r="L1143" i="35"/>
  <c r="K248" i="35"/>
  <c r="M248" i="35" s="1"/>
  <c r="L1145" i="35"/>
  <c r="G248" i="35"/>
  <c r="I345" i="35" s="1"/>
  <c r="H1145" i="35"/>
  <c r="M385" i="6"/>
  <c r="M386" i="6"/>
  <c r="L285" i="6"/>
  <c r="L385" i="6"/>
  <c r="L386" i="6"/>
  <c r="H1129" i="35"/>
  <c r="L1130" i="35"/>
  <c r="H1130" i="35"/>
  <c r="L1129" i="35"/>
  <c r="L1128" i="35"/>
  <c r="H1128" i="35"/>
  <c r="H1122" i="35"/>
  <c r="H1124" i="35"/>
  <c r="L1122" i="35"/>
  <c r="L1124" i="35"/>
  <c r="L1123" i="35"/>
  <c r="H1123" i="35"/>
  <c r="L972" i="31"/>
  <c r="L1121" i="35"/>
  <c r="H1121" i="35"/>
  <c r="H1107" i="35"/>
  <c r="L1116" i="35"/>
  <c r="H1116" i="35"/>
  <c r="L1113" i="35"/>
  <c r="L1115" i="35"/>
  <c r="H1115" i="35"/>
  <c r="L1112" i="35"/>
  <c r="H1114" i="35"/>
  <c r="H1112" i="35"/>
  <c r="L1114" i="35"/>
  <c r="H1113" i="35"/>
  <c r="L1111" i="35"/>
  <c r="H1111" i="35"/>
  <c r="F85" i="36"/>
  <c r="F24" i="36"/>
  <c r="F86" i="36"/>
  <c r="F76" i="36"/>
  <c r="F93" i="36"/>
  <c r="M356" i="6"/>
  <c r="M355" i="6"/>
  <c r="K148" i="6"/>
  <c r="O413" i="6" s="1"/>
  <c r="Q413" i="6" s="1"/>
  <c r="M384" i="6"/>
  <c r="K155" i="6"/>
  <c r="O453" i="6" s="1"/>
  <c r="Q453" i="6" s="1"/>
  <c r="M362" i="6"/>
  <c r="J148" i="6"/>
  <c r="N413" i="6" s="1"/>
  <c r="P413" i="6" s="1"/>
  <c r="L384" i="6"/>
  <c r="J155" i="6"/>
  <c r="N453" i="6" s="1"/>
  <c r="P453" i="6" s="1"/>
  <c r="L362" i="6"/>
  <c r="K29" i="6"/>
  <c r="M368" i="6"/>
  <c r="M366" i="6"/>
  <c r="K32" i="6"/>
  <c r="O370" i="6" s="1"/>
  <c r="M370" i="6"/>
  <c r="J67" i="6"/>
  <c r="N372" i="6" s="1"/>
  <c r="L372" i="6"/>
  <c r="K67" i="6"/>
  <c r="O372" i="6" s="1"/>
  <c r="M372" i="6"/>
  <c r="J29" i="6"/>
  <c r="L366" i="6"/>
  <c r="L368" i="6"/>
  <c r="R368" i="6" s="1"/>
  <c r="K33" i="6"/>
  <c r="O371" i="6" s="1"/>
  <c r="M371" i="6"/>
  <c r="M365" i="6"/>
  <c r="M376" i="6"/>
  <c r="M383" i="6"/>
  <c r="M361" i="6"/>
  <c r="M358" i="6"/>
  <c r="M357" i="6"/>
  <c r="J33" i="6"/>
  <c r="N371" i="6" s="1"/>
  <c r="L371" i="6"/>
  <c r="L355" i="6"/>
  <c r="L356" i="6"/>
  <c r="L365" i="6"/>
  <c r="R365" i="6" s="1"/>
  <c r="L376" i="6"/>
  <c r="R376" i="6" s="1"/>
  <c r="L383" i="6"/>
  <c r="R383" i="6" s="1"/>
  <c r="L361" i="6"/>
  <c r="L358" i="6"/>
  <c r="L357" i="6"/>
  <c r="M369" i="6"/>
  <c r="J32" i="6"/>
  <c r="N370" i="6" s="1"/>
  <c r="L370" i="6"/>
  <c r="L369" i="6"/>
  <c r="M364" i="6"/>
  <c r="M377" i="6"/>
  <c r="L377" i="6"/>
  <c r="L364" i="6"/>
  <c r="M359" i="6"/>
  <c r="Q181" i="35"/>
  <c r="Q314" i="35"/>
  <c r="H1108" i="35"/>
  <c r="L1108" i="35"/>
  <c r="L1105" i="35"/>
  <c r="L1107" i="35"/>
  <c r="H1103" i="35"/>
  <c r="H1105" i="35"/>
  <c r="L1044" i="35"/>
  <c r="L1104" i="35"/>
  <c r="H1044" i="35"/>
  <c r="H1104" i="35"/>
  <c r="L901" i="35"/>
  <c r="L1103" i="35"/>
  <c r="L1100" i="35"/>
  <c r="H1100" i="35"/>
  <c r="L1099" i="35"/>
  <c r="H1092" i="35"/>
  <c r="H1099" i="35"/>
  <c r="L1098" i="35"/>
  <c r="H1098" i="35"/>
  <c r="L1092" i="35"/>
  <c r="L1096" i="35"/>
  <c r="H1096" i="35"/>
  <c r="H1094" i="35"/>
  <c r="L1094" i="35"/>
  <c r="L1088" i="35"/>
  <c r="H1088" i="35"/>
  <c r="H1082" i="35"/>
  <c r="H1083" i="35"/>
  <c r="L1083" i="35"/>
  <c r="L1082" i="35"/>
  <c r="L1081" i="35"/>
  <c r="L1080" i="35"/>
  <c r="H1081" i="35"/>
  <c r="H1080" i="35"/>
  <c r="L926" i="31"/>
  <c r="L1077" i="35"/>
  <c r="H1077" i="35"/>
  <c r="H1076" i="35"/>
  <c r="L1076" i="35"/>
  <c r="L1075" i="35"/>
  <c r="H1074" i="35"/>
  <c r="H1075" i="35"/>
  <c r="H1073" i="35"/>
  <c r="L1074" i="35"/>
  <c r="L1071" i="35"/>
  <c r="L1073" i="35"/>
  <c r="H1071" i="35"/>
  <c r="L1066" i="35"/>
  <c r="H1068" i="35"/>
  <c r="H1066" i="35"/>
  <c r="L1068" i="35"/>
  <c r="L1067" i="35"/>
  <c r="H1067" i="35"/>
  <c r="L939" i="31"/>
  <c r="L1061" i="35"/>
  <c r="H1062" i="35"/>
  <c r="H1063" i="35"/>
  <c r="L1063" i="35"/>
  <c r="H1061" i="35"/>
  <c r="L1062" i="35"/>
  <c r="H1058" i="35"/>
  <c r="L1056" i="35"/>
  <c r="L1058" i="35"/>
  <c r="L1053" i="35"/>
  <c r="H1056" i="35"/>
  <c r="H1054" i="35"/>
  <c r="L1054" i="35"/>
  <c r="K74" i="35"/>
  <c r="L1052" i="35"/>
  <c r="H1053" i="35"/>
  <c r="H74" i="35"/>
  <c r="H1052" i="35"/>
  <c r="H593" i="35"/>
  <c r="H1048" i="35"/>
  <c r="L1049" i="35"/>
  <c r="H1049" i="35"/>
  <c r="L1048" i="35"/>
  <c r="H1046" i="35"/>
  <c r="H1043" i="35"/>
  <c r="L1046" i="35"/>
  <c r="L1043" i="35"/>
  <c r="H1042" i="35"/>
  <c r="L1042" i="35"/>
  <c r="L1038" i="35"/>
  <c r="H1038" i="35"/>
  <c r="L1036" i="35"/>
  <c r="H1036" i="35"/>
  <c r="L1031" i="35"/>
  <c r="L1035" i="35"/>
  <c r="H1031" i="35"/>
  <c r="H1035" i="35"/>
  <c r="K232" i="35"/>
  <c r="M1081" i="35" s="1"/>
  <c r="L1033" i="35"/>
  <c r="G232" i="35"/>
  <c r="I1081" i="35" s="1"/>
  <c r="H1033" i="35"/>
  <c r="L1007" i="31"/>
  <c r="L963" i="31"/>
  <c r="H1030" i="35"/>
  <c r="L1030" i="35"/>
  <c r="L1029" i="35"/>
  <c r="H1029" i="35"/>
  <c r="H1004" i="35"/>
  <c r="L1026" i="35"/>
  <c r="H1023" i="35"/>
  <c r="H1027" i="35"/>
  <c r="L1023" i="35"/>
  <c r="L1027" i="35"/>
  <c r="H1026" i="35"/>
  <c r="L1025" i="35"/>
  <c r="H1024" i="35"/>
  <c r="H1025" i="35"/>
  <c r="L1024" i="35"/>
  <c r="F963" i="31"/>
  <c r="L1012" i="35"/>
  <c r="E1007" i="31"/>
  <c r="L1021" i="35"/>
  <c r="L1022" i="35"/>
  <c r="H1021" i="35"/>
  <c r="H1022" i="35"/>
  <c r="K362" i="35"/>
  <c r="L1018" i="35"/>
  <c r="G362" i="35"/>
  <c r="H1018" i="35"/>
  <c r="L1015" i="35"/>
  <c r="H1015" i="35"/>
  <c r="H1014" i="35"/>
  <c r="L1014" i="35"/>
  <c r="H1012" i="35"/>
  <c r="L1006" i="35"/>
  <c r="H1006" i="35"/>
  <c r="L1005" i="35"/>
  <c r="H1005" i="35"/>
  <c r="L1003" i="35"/>
  <c r="H1003" i="35"/>
  <c r="H76" i="35"/>
  <c r="L988" i="35"/>
  <c r="L987" i="35"/>
  <c r="H988" i="35"/>
  <c r="H987" i="35"/>
  <c r="H984" i="35"/>
  <c r="K267" i="35"/>
  <c r="M1153" i="35" s="1"/>
  <c r="L985" i="35"/>
  <c r="G267" i="35"/>
  <c r="I1153" i="35" s="1"/>
  <c r="H985" i="35"/>
  <c r="L982" i="35"/>
  <c r="L980" i="35"/>
  <c r="L984" i="35"/>
  <c r="H982" i="35"/>
  <c r="H980" i="35"/>
  <c r="L977" i="35"/>
  <c r="L979" i="35"/>
  <c r="H977" i="35"/>
  <c r="H979" i="35"/>
  <c r="L976" i="35"/>
  <c r="H976" i="35"/>
  <c r="L964" i="35"/>
  <c r="H968" i="35"/>
  <c r="L970" i="35"/>
  <c r="H970" i="35"/>
  <c r="L968" i="35"/>
  <c r="L965" i="35"/>
  <c r="H965" i="35"/>
  <c r="L966" i="35"/>
  <c r="H966" i="35"/>
  <c r="M341" i="6"/>
  <c r="M354" i="6"/>
  <c r="L341" i="6"/>
  <c r="L354" i="6"/>
  <c r="H964" i="35"/>
  <c r="L953" i="35"/>
  <c r="H953" i="35"/>
  <c r="O106" i="41"/>
  <c r="N106" i="41" s="1"/>
  <c r="L945" i="35"/>
  <c r="H945" i="35"/>
  <c r="K315" i="35"/>
  <c r="M2024" i="35" s="1"/>
  <c r="N2024" i="35" s="1"/>
  <c r="L944" i="35"/>
  <c r="G315" i="35"/>
  <c r="I2024" i="35" s="1"/>
  <c r="O2024" i="35" s="1"/>
  <c r="H944" i="35"/>
  <c r="H919" i="35"/>
  <c r="L926" i="35"/>
  <c r="L928" i="35"/>
  <c r="H928" i="35"/>
  <c r="H894" i="35"/>
  <c r="H927" i="35"/>
  <c r="L894" i="35"/>
  <c r="L927" i="35"/>
  <c r="H926" i="35"/>
  <c r="L924" i="35"/>
  <c r="K197" i="35"/>
  <c r="L925" i="35"/>
  <c r="G197" i="35"/>
  <c r="H925" i="35"/>
  <c r="H924" i="35"/>
  <c r="H922" i="35"/>
  <c r="L919" i="35"/>
  <c r="L922" i="35"/>
  <c r="K87" i="35"/>
  <c r="M924" i="35" s="1"/>
  <c r="L923" i="35"/>
  <c r="H87" i="35"/>
  <c r="H923" i="35"/>
  <c r="L920" i="35"/>
  <c r="H920" i="35"/>
  <c r="L777" i="35"/>
  <c r="L918" i="35"/>
  <c r="H777" i="35"/>
  <c r="H918" i="35"/>
  <c r="K157" i="35"/>
  <c r="L917" i="35"/>
  <c r="H86" i="35"/>
  <c r="G157" i="35"/>
  <c r="H917" i="35"/>
  <c r="L903" i="35"/>
  <c r="L916" i="35"/>
  <c r="H903" i="35"/>
  <c r="H916" i="35"/>
  <c r="K198" i="35"/>
  <c r="L913" i="35"/>
  <c r="G198" i="35"/>
  <c r="H913" i="35"/>
  <c r="K145" i="35"/>
  <c r="M912" i="35" s="1"/>
  <c r="L912" i="35"/>
  <c r="G145" i="35"/>
  <c r="I912" i="35" s="1"/>
  <c r="H912" i="35"/>
  <c r="L909" i="35"/>
  <c r="K37" i="35"/>
  <c r="L911" i="35"/>
  <c r="H37" i="35"/>
  <c r="H911" i="35"/>
  <c r="K34" i="35"/>
  <c r="L910" i="35"/>
  <c r="H910" i="35"/>
  <c r="H909" i="35"/>
  <c r="L905" i="35"/>
  <c r="L902" i="35"/>
  <c r="H905" i="35"/>
  <c r="H902" i="35"/>
  <c r="L906" i="35"/>
  <c r="H906" i="35"/>
  <c r="H758" i="35"/>
  <c r="H901" i="35"/>
  <c r="Q255" i="35"/>
  <c r="Q144" i="35"/>
  <c r="L900" i="35"/>
  <c r="H900" i="35"/>
  <c r="L898" i="35"/>
  <c r="L899" i="35"/>
  <c r="H898" i="35"/>
  <c r="H899" i="35"/>
  <c r="L896" i="35"/>
  <c r="H896" i="35"/>
  <c r="L893" i="35"/>
  <c r="H893" i="35"/>
  <c r="L889" i="35"/>
  <c r="H889" i="35"/>
  <c r="L885" i="35"/>
  <c r="H881" i="35"/>
  <c r="H885" i="35"/>
  <c r="L881" i="35"/>
  <c r="L883" i="35"/>
  <c r="H95" i="35"/>
  <c r="H883" i="35"/>
  <c r="L878" i="35"/>
  <c r="H878" i="35"/>
  <c r="L873" i="35"/>
  <c r="H873" i="35"/>
  <c r="L95" i="35"/>
  <c r="L758" i="35"/>
  <c r="H863" i="35"/>
  <c r="H865" i="35"/>
  <c r="L866" i="35"/>
  <c r="H864" i="35"/>
  <c r="H866" i="35"/>
  <c r="L864" i="35"/>
  <c r="L863" i="35"/>
  <c r="L865" i="35"/>
  <c r="L862" i="35"/>
  <c r="H862" i="35"/>
  <c r="L859" i="35"/>
  <c r="L861" i="35"/>
  <c r="H861" i="35"/>
  <c r="L593" i="35"/>
  <c r="H859" i="35"/>
  <c r="H851" i="35"/>
  <c r="H858" i="35"/>
  <c r="L857" i="35"/>
  <c r="L851" i="35"/>
  <c r="L858" i="35"/>
  <c r="H857" i="35"/>
  <c r="L854" i="35"/>
  <c r="L856" i="35"/>
  <c r="H854" i="35"/>
  <c r="H856" i="35"/>
  <c r="M96" i="35"/>
  <c r="L849" i="35"/>
  <c r="H849" i="35"/>
  <c r="H847" i="35"/>
  <c r="H848" i="35"/>
  <c r="L848" i="35"/>
  <c r="L847" i="35"/>
  <c r="L845" i="35"/>
  <c r="H845" i="35"/>
  <c r="L817" i="35"/>
  <c r="L348" i="6"/>
  <c r="L347" i="6"/>
  <c r="L351" i="6"/>
  <c r="L344" i="6"/>
  <c r="L339" i="6"/>
  <c r="M339" i="6"/>
  <c r="M344" i="6"/>
  <c r="M347" i="6"/>
  <c r="M348" i="6"/>
  <c r="M351" i="6"/>
  <c r="G162" i="35"/>
  <c r="I1178" i="35" s="1"/>
  <c r="O1178" i="35" s="1"/>
  <c r="H841" i="35"/>
  <c r="K162" i="35"/>
  <c r="M1178" i="35" s="1"/>
  <c r="N1178" i="35" s="1"/>
  <c r="L841" i="35"/>
  <c r="L840" i="35"/>
  <c r="H840" i="35"/>
  <c r="L739" i="35"/>
  <c r="L836" i="35"/>
  <c r="H739" i="35"/>
  <c r="H836" i="35"/>
  <c r="H832" i="35"/>
  <c r="L827" i="35"/>
  <c r="L832" i="35"/>
  <c r="H827" i="35"/>
  <c r="L91" i="35"/>
  <c r="H816" i="35"/>
  <c r="H817" i="35"/>
  <c r="L816" i="35"/>
  <c r="K103" i="35"/>
  <c r="L813" i="35"/>
  <c r="H103" i="35"/>
  <c r="H813" i="35"/>
  <c r="Q63" i="35"/>
  <c r="L796" i="35"/>
  <c r="H809" i="35"/>
  <c r="L809" i="35"/>
  <c r="M445" i="35"/>
  <c r="K69" i="35"/>
  <c r="M1701" i="35" s="1"/>
  <c r="L807" i="35"/>
  <c r="H807" i="35"/>
  <c r="L805" i="35"/>
  <c r="L806" i="35"/>
  <c r="H806" i="35"/>
  <c r="H805" i="35"/>
  <c r="L802" i="35"/>
  <c r="H802" i="35"/>
  <c r="H801" i="35"/>
  <c r="K13" i="35"/>
  <c r="M1334" i="35" s="1"/>
  <c r="L801" i="35"/>
  <c r="G383" i="35"/>
  <c r="H799" i="35"/>
  <c r="K383" i="35"/>
  <c r="L799" i="35"/>
  <c r="H93" i="35"/>
  <c r="H796" i="35"/>
  <c r="H795" i="35"/>
  <c r="L795" i="35"/>
  <c r="H92" i="35"/>
  <c r="L792" i="35"/>
  <c r="H792" i="35"/>
  <c r="L789" i="35"/>
  <c r="H789" i="35"/>
  <c r="H791" i="35"/>
  <c r="L791" i="35"/>
  <c r="G352" i="35"/>
  <c r="I961" i="35" s="1"/>
  <c r="O961" i="35" s="1"/>
  <c r="H783" i="35"/>
  <c r="G355" i="35"/>
  <c r="I943" i="35" s="1"/>
  <c r="O943" i="35" s="1"/>
  <c r="H781" i="35"/>
  <c r="K355" i="35"/>
  <c r="M943" i="35" s="1"/>
  <c r="N943" i="35" s="1"/>
  <c r="L781" i="35"/>
  <c r="K358" i="35"/>
  <c r="L784" i="35"/>
  <c r="G358" i="35"/>
  <c r="H784" i="35"/>
  <c r="K352" i="35"/>
  <c r="M961" i="35" s="1"/>
  <c r="N961" i="35" s="1"/>
  <c r="P961" i="35" s="1"/>
  <c r="L783" i="35"/>
  <c r="K380" i="35"/>
  <c r="M808" i="35" s="1"/>
  <c r="N808" i="35" s="1"/>
  <c r="L782" i="35"/>
  <c r="G380" i="35"/>
  <c r="I808" i="35" s="1"/>
  <c r="O808" i="35" s="1"/>
  <c r="H782" i="35"/>
  <c r="K384" i="35"/>
  <c r="M963" i="35" s="1"/>
  <c r="N963" i="35" s="1"/>
  <c r="L780" i="35"/>
  <c r="G384" i="35"/>
  <c r="I963" i="35" s="1"/>
  <c r="O963" i="35" s="1"/>
  <c r="H780" i="35"/>
  <c r="L359" i="35"/>
  <c r="L779" i="35"/>
  <c r="G359" i="35"/>
  <c r="I959" i="35" s="1"/>
  <c r="O959" i="35" s="1"/>
  <c r="H779" i="35"/>
  <c r="G357" i="35"/>
  <c r="I1862" i="35" s="1"/>
  <c r="O1862" i="35" s="1"/>
  <c r="H775" i="35"/>
  <c r="K375" i="35"/>
  <c r="M379" i="35" s="1"/>
  <c r="L776" i="35"/>
  <c r="G375" i="35"/>
  <c r="I375" i="35" s="1"/>
  <c r="H776" i="35"/>
  <c r="K357" i="35"/>
  <c r="M1862" i="35" s="1"/>
  <c r="N1862" i="35" s="1"/>
  <c r="L775" i="35"/>
  <c r="Q143" i="35"/>
  <c r="L773" i="35"/>
  <c r="H773" i="35"/>
  <c r="H91" i="35"/>
  <c r="H732" i="35"/>
  <c r="K398" i="35"/>
  <c r="M929" i="35" s="1"/>
  <c r="N929" i="35" s="1"/>
  <c r="G398" i="35"/>
  <c r="H748" i="35"/>
  <c r="Q128" i="35"/>
  <c r="Q205" i="35"/>
  <c r="Q239" i="35"/>
  <c r="Q216" i="35"/>
  <c r="Q237" i="35"/>
  <c r="Q135" i="35"/>
  <c r="Q179" i="35"/>
  <c r="Q211" i="35"/>
  <c r="Q242" i="35"/>
  <c r="Q222" i="35"/>
  <c r="Q121" i="35"/>
  <c r="Q136" i="35"/>
  <c r="L766" i="35"/>
  <c r="H766" i="35"/>
  <c r="L762" i="35"/>
  <c r="K51" i="35"/>
  <c r="M765" i="35" s="1"/>
  <c r="L765" i="35"/>
  <c r="H762" i="35"/>
  <c r="H765" i="35"/>
  <c r="L761" i="35"/>
  <c r="L763" i="35"/>
  <c r="H761" i="35"/>
  <c r="H763" i="35"/>
  <c r="K324" i="35"/>
  <c r="L760" i="35"/>
  <c r="G324" i="35"/>
  <c r="H760" i="35"/>
  <c r="L746" i="35"/>
  <c r="L759" i="35"/>
  <c r="H746" i="35"/>
  <c r="H759" i="35"/>
  <c r="H757" i="35"/>
  <c r="L757" i="35"/>
  <c r="H65" i="35"/>
  <c r="L756" i="35"/>
  <c r="H756" i="35"/>
  <c r="H754" i="35"/>
  <c r="L66" i="35"/>
  <c r="L754" i="35"/>
  <c r="Q378" i="35"/>
  <c r="Q650" i="35"/>
  <c r="Q639" i="35"/>
  <c r="Q638" i="35"/>
  <c r="Q598" i="35"/>
  <c r="L747" i="35"/>
  <c r="K110" i="35"/>
  <c r="L753" i="35"/>
  <c r="G110" i="35"/>
  <c r="I1470" i="35" s="1"/>
  <c r="H753" i="35"/>
  <c r="L752" i="35"/>
  <c r="H752" i="35"/>
  <c r="H721" i="35"/>
  <c r="H749" i="35"/>
  <c r="L721" i="35"/>
  <c r="L749" i="35"/>
  <c r="K75" i="35"/>
  <c r="M748" i="35" s="1"/>
  <c r="L748" i="35"/>
  <c r="H548" i="35"/>
  <c r="H747" i="35"/>
  <c r="L740" i="35"/>
  <c r="H740" i="35"/>
  <c r="J8" i="6"/>
  <c r="N289" i="6" s="1"/>
  <c r="L289" i="6"/>
  <c r="L274" i="6"/>
  <c r="L263" i="6"/>
  <c r="K34" i="6"/>
  <c r="M260" i="6"/>
  <c r="M300" i="6"/>
  <c r="M298" i="6"/>
  <c r="M282" i="6"/>
  <c r="J9" i="6"/>
  <c r="N309" i="6" s="1"/>
  <c r="L309" i="6"/>
  <c r="J34" i="6"/>
  <c r="L260" i="6"/>
  <c r="L300" i="6"/>
  <c r="L298" i="6"/>
  <c r="L282" i="6"/>
  <c r="J47" i="6"/>
  <c r="L281" i="6"/>
  <c r="L269" i="6"/>
  <c r="L271" i="6"/>
  <c r="L272" i="6"/>
  <c r="L267" i="6"/>
  <c r="L283" i="6"/>
  <c r="L279" i="6"/>
  <c r="L312" i="6"/>
  <c r="K59" i="6"/>
  <c r="M261" i="6"/>
  <c r="M299" i="6"/>
  <c r="M290" i="6"/>
  <c r="M288" i="6"/>
  <c r="M291" i="6"/>
  <c r="M304" i="6"/>
  <c r="M307" i="6"/>
  <c r="J14" i="6"/>
  <c r="L328" i="6"/>
  <c r="L292" i="6"/>
  <c r="K7" i="6"/>
  <c r="O448" i="6" s="1"/>
  <c r="Q448" i="6" s="1"/>
  <c r="M323" i="6"/>
  <c r="M258" i="6"/>
  <c r="L241" i="6"/>
  <c r="L293" i="6"/>
  <c r="K28" i="6"/>
  <c r="O449" i="6" s="1"/>
  <c r="Q449" i="6" s="1"/>
  <c r="M326" i="6"/>
  <c r="M331" i="6"/>
  <c r="M318" i="6"/>
  <c r="K143" i="6"/>
  <c r="M305" i="6"/>
  <c r="L273" i="6"/>
  <c r="L280" i="6"/>
  <c r="L266" i="6"/>
  <c r="L268" i="6"/>
  <c r="L294" i="6"/>
  <c r="L270" i="6"/>
  <c r="L265" i="6"/>
  <c r="L326" i="6"/>
  <c r="L331" i="6"/>
  <c r="L318" i="6"/>
  <c r="J143" i="6"/>
  <c r="L305" i="6"/>
  <c r="J7" i="6"/>
  <c r="L323" i="6"/>
  <c r="L258" i="6"/>
  <c r="K14" i="6"/>
  <c r="M292" i="6"/>
  <c r="M328" i="6"/>
  <c r="M274" i="6"/>
  <c r="M263" i="6"/>
  <c r="M278" i="6"/>
  <c r="M294" i="6"/>
  <c r="M273" i="6"/>
  <c r="M270" i="6"/>
  <c r="M280" i="6"/>
  <c r="M268" i="6"/>
  <c r="M266" i="6"/>
  <c r="M265" i="6"/>
  <c r="L61" i="6"/>
  <c r="L304" i="6"/>
  <c r="L290" i="6"/>
  <c r="L299" i="6"/>
  <c r="L307" i="6"/>
  <c r="L291" i="6"/>
  <c r="R291" i="6" s="1"/>
  <c r="L288" i="6"/>
  <c r="J35" i="6"/>
  <c r="N278" i="6" s="1"/>
  <c r="L278" i="6"/>
  <c r="K9" i="6"/>
  <c r="O309" i="6" s="1"/>
  <c r="M309" i="6"/>
  <c r="J59" i="6"/>
  <c r="N261" i="6" s="1"/>
  <c r="L261" i="6"/>
  <c r="K8" i="6"/>
  <c r="O289" i="6" s="1"/>
  <c r="M289" i="6"/>
  <c r="M285" i="6"/>
  <c r="K47" i="6"/>
  <c r="O394" i="6" s="1"/>
  <c r="Q394" i="6" s="1"/>
  <c r="M279" i="6"/>
  <c r="M312" i="6"/>
  <c r="M281" i="6"/>
  <c r="M272" i="6"/>
  <c r="M283" i="6"/>
  <c r="M267" i="6"/>
  <c r="M271" i="6"/>
  <c r="M269" i="6"/>
  <c r="M241" i="6"/>
  <c r="M293" i="6"/>
  <c r="L600" i="35"/>
  <c r="L744" i="35"/>
  <c r="H738" i="35"/>
  <c r="H600" i="35"/>
  <c r="H744" i="35"/>
  <c r="L738" i="35"/>
  <c r="H730" i="35"/>
  <c r="H727" i="35"/>
  <c r="L732" i="35"/>
  <c r="K204" i="35"/>
  <c r="L731" i="35"/>
  <c r="G204" i="35"/>
  <c r="I1413" i="35" s="1"/>
  <c r="H731" i="35"/>
  <c r="L730" i="35"/>
  <c r="L660" i="35"/>
  <c r="L729" i="35"/>
  <c r="H660" i="35"/>
  <c r="H729" i="35"/>
  <c r="K164" i="35"/>
  <c r="M728" i="35" s="1"/>
  <c r="L728" i="35"/>
  <c r="G164" i="35"/>
  <c r="I728" i="35" s="1"/>
  <c r="H728" i="35"/>
  <c r="L727" i="35"/>
  <c r="H725" i="35"/>
  <c r="K46" i="35"/>
  <c r="M726" i="35" s="1"/>
  <c r="L726" i="35"/>
  <c r="K47" i="35"/>
  <c r="M192" i="35" s="1"/>
  <c r="L725" i="35"/>
  <c r="G266" i="35"/>
  <c r="H724" i="35"/>
  <c r="K266" i="35"/>
  <c r="L724" i="35"/>
  <c r="H72" i="35"/>
  <c r="L717" i="35"/>
  <c r="H717" i="35"/>
  <c r="L714" i="35"/>
  <c r="H714" i="35"/>
  <c r="L533" i="35"/>
  <c r="L713" i="35"/>
  <c r="H533" i="35"/>
  <c r="H713" i="35"/>
  <c r="K385" i="35"/>
  <c r="L710" i="35"/>
  <c r="G385" i="35"/>
  <c r="H710" i="35"/>
  <c r="H707" i="35"/>
  <c r="H709" i="35"/>
  <c r="L707" i="35"/>
  <c r="L709" i="35"/>
  <c r="K224" i="35"/>
  <c r="M1663" i="35" s="1"/>
  <c r="L704" i="35"/>
  <c r="G224" i="35"/>
  <c r="H704" i="35"/>
  <c r="K241" i="35"/>
  <c r="L703" i="35"/>
  <c r="G241" i="35"/>
  <c r="H703" i="35"/>
  <c r="L702" i="35"/>
  <c r="H683" i="35"/>
  <c r="H702" i="35"/>
  <c r="H66" i="35"/>
  <c r="H687" i="35"/>
  <c r="H94" i="35"/>
  <c r="H700" i="35"/>
  <c r="K94" i="35"/>
  <c r="M700" i="35" s="1"/>
  <c r="L700" i="35"/>
  <c r="K57" i="35"/>
  <c r="M2012" i="35" s="1"/>
  <c r="N2012" i="35" s="1"/>
  <c r="L698" i="35"/>
  <c r="H698" i="35"/>
  <c r="H590" i="35"/>
  <c r="H689" i="35"/>
  <c r="L689" i="35"/>
  <c r="K58" i="35"/>
  <c r="M687" i="35" s="1"/>
  <c r="L687" i="35"/>
  <c r="L686" i="35"/>
  <c r="H686" i="35"/>
  <c r="L683" i="35"/>
  <c r="L590" i="35"/>
  <c r="H674" i="35"/>
  <c r="L678" i="35"/>
  <c r="H678" i="35"/>
  <c r="K42" i="35"/>
  <c r="M1979" i="35" s="1"/>
  <c r="N1979" i="35" s="1"/>
  <c r="L677" i="35"/>
  <c r="H677" i="35"/>
  <c r="L674" i="35"/>
  <c r="L676" i="35"/>
  <c r="H676" i="35"/>
  <c r="K213" i="35"/>
  <c r="M1992" i="35" s="1"/>
  <c r="N1992" i="35" s="1"/>
  <c r="L673" i="35"/>
  <c r="G213" i="35"/>
  <c r="I1992" i="35" s="1"/>
  <c r="O1992" i="35" s="1"/>
  <c r="H673" i="35"/>
  <c r="L666" i="35"/>
  <c r="K240" i="35"/>
  <c r="L667" i="35"/>
  <c r="G240" i="35"/>
  <c r="H667" i="35"/>
  <c r="H666" i="35"/>
  <c r="L665" i="35"/>
  <c r="H665" i="35"/>
  <c r="K319" i="35"/>
  <c r="M1255" i="35" s="1"/>
  <c r="L664" i="35"/>
  <c r="G319" i="35"/>
  <c r="I1255" i="35" s="1"/>
  <c r="H664" i="35"/>
  <c r="L661" i="35"/>
  <c r="H661" i="35"/>
  <c r="L659" i="35"/>
  <c r="H659" i="35"/>
  <c r="L657" i="35"/>
  <c r="O654" i="35"/>
  <c r="H657" i="35"/>
  <c r="L653" i="35"/>
  <c r="H653" i="35"/>
  <c r="K265" i="35"/>
  <c r="L655" i="35"/>
  <c r="G265" i="35"/>
  <c r="H655" i="35"/>
  <c r="M620" i="35"/>
  <c r="N620" i="35" s="1"/>
  <c r="M654" i="35"/>
  <c r="N654" i="35" s="1"/>
  <c r="J15" i="6"/>
  <c r="L252" i="6"/>
  <c r="K18" i="6"/>
  <c r="M254" i="6"/>
  <c r="J49" i="6"/>
  <c r="L257" i="6"/>
  <c r="J18" i="6"/>
  <c r="L254" i="6"/>
  <c r="K49" i="6"/>
  <c r="M257" i="6"/>
  <c r="L247" i="6"/>
  <c r="L243" i="6"/>
  <c r="L245" i="6"/>
  <c r="L244" i="6"/>
  <c r="L246" i="6"/>
  <c r="K21" i="6"/>
  <c r="M242" i="6"/>
  <c r="M245" i="6"/>
  <c r="M247" i="6"/>
  <c r="M244" i="6"/>
  <c r="M246" i="6"/>
  <c r="M243" i="6"/>
  <c r="J21" i="6"/>
  <c r="L242" i="6"/>
  <c r="H651" i="35"/>
  <c r="L651" i="35"/>
  <c r="L649" i="35"/>
  <c r="H649" i="35"/>
  <c r="H642" i="35"/>
  <c r="K80" i="35"/>
  <c r="M642" i="35" s="1"/>
  <c r="L642" i="35"/>
  <c r="H637" i="35"/>
  <c r="H641" i="35"/>
  <c r="L641" i="35"/>
  <c r="L636" i="35"/>
  <c r="L637" i="35"/>
  <c r="H636" i="35"/>
  <c r="M472" i="35"/>
  <c r="N472" i="35" s="1"/>
  <c r="L634" i="35"/>
  <c r="L635" i="35"/>
  <c r="H634" i="35"/>
  <c r="H635" i="35"/>
  <c r="M138" i="6"/>
  <c r="M238" i="6"/>
  <c r="K92" i="6"/>
  <c r="O240" i="6" s="1"/>
  <c r="M240" i="6"/>
  <c r="J138" i="6"/>
  <c r="L238" i="6"/>
  <c r="J92" i="6"/>
  <c r="N240" i="6" s="1"/>
  <c r="L240" i="6"/>
  <c r="K76" i="6"/>
  <c r="M237" i="6"/>
  <c r="J76" i="6"/>
  <c r="L237" i="6"/>
  <c r="L618" i="35"/>
  <c r="K252" i="35"/>
  <c r="L627" i="35"/>
  <c r="H622" i="35"/>
  <c r="G252" i="35"/>
  <c r="H627" i="35"/>
  <c r="L622" i="35"/>
  <c r="L619" i="35"/>
  <c r="I472" i="35"/>
  <c r="O472" i="35" s="1"/>
  <c r="H441" i="33" s="1"/>
  <c r="K441" i="33" s="1"/>
  <c r="I620" i="35"/>
  <c r="O620" i="35" s="1"/>
  <c r="H618" i="35"/>
  <c r="L548" i="35"/>
  <c r="H619" i="35"/>
  <c r="H616" i="35"/>
  <c r="L601" i="35"/>
  <c r="L616" i="35"/>
  <c r="K353" i="35"/>
  <c r="L608" i="35"/>
  <c r="G353" i="35"/>
  <c r="H608" i="35"/>
  <c r="G356" i="35"/>
  <c r="H607" i="35"/>
  <c r="K356" i="35"/>
  <c r="L607" i="35"/>
  <c r="J40" i="6"/>
  <c r="L235" i="6"/>
  <c r="L236" i="6"/>
  <c r="K40" i="6"/>
  <c r="M235" i="6"/>
  <c r="M236" i="6"/>
  <c r="L602" i="35"/>
  <c r="H578" i="35"/>
  <c r="H603" i="35"/>
  <c r="L578" i="35"/>
  <c r="L603" i="35"/>
  <c r="H563" i="35"/>
  <c r="H602" i="35"/>
  <c r="H601" i="35"/>
  <c r="L559" i="35"/>
  <c r="L599" i="35"/>
  <c r="H559" i="35"/>
  <c r="H599" i="35"/>
  <c r="L597" i="35"/>
  <c r="H597" i="35"/>
  <c r="L595" i="35"/>
  <c r="L596" i="35"/>
  <c r="H595" i="35"/>
  <c r="H596" i="35"/>
  <c r="L591" i="35"/>
  <c r="K381" i="35"/>
  <c r="L592" i="35"/>
  <c r="G381" i="35"/>
  <c r="H592" i="35"/>
  <c r="H591" i="35"/>
  <c r="Q321" i="35"/>
  <c r="Q307" i="35"/>
  <c r="Q317" i="35"/>
  <c r="Q276" i="35"/>
  <c r="Q212" i="35"/>
  <c r="Q235" i="35"/>
  <c r="Q250" i="35"/>
  <c r="Q111" i="35"/>
  <c r="Q120" i="35"/>
  <c r="Q228" i="35"/>
  <c r="Q263" i="35"/>
  <c r="Q269" i="35"/>
  <c r="Q200" i="35"/>
  <c r="Q203" i="35"/>
  <c r="Q325" i="35"/>
  <c r="Q330" i="35"/>
  <c r="Q246" i="35"/>
  <c r="Q328" i="35"/>
  <c r="K100" i="35"/>
  <c r="M666" i="35" s="1"/>
  <c r="L586" i="35"/>
  <c r="G100" i="35"/>
  <c r="I100" i="35" s="1"/>
  <c r="H586" i="35"/>
  <c r="H582" i="35"/>
  <c r="H583" i="35"/>
  <c r="L583" i="35"/>
  <c r="L582" i="35"/>
  <c r="L580" i="35"/>
  <c r="L581" i="35"/>
  <c r="H580" i="35"/>
  <c r="H581" i="35"/>
  <c r="H68" i="35"/>
  <c r="L576" i="35"/>
  <c r="H576" i="35"/>
  <c r="L577" i="35"/>
  <c r="H577" i="35"/>
  <c r="M68" i="35"/>
  <c r="L574" i="35"/>
  <c r="L575" i="35"/>
  <c r="H575" i="35"/>
  <c r="H574" i="35"/>
  <c r="L573" i="35"/>
  <c r="H573" i="35"/>
  <c r="M234" i="6"/>
  <c r="M231" i="6"/>
  <c r="M228" i="6"/>
  <c r="M230" i="6"/>
  <c r="M229" i="6"/>
  <c r="M233" i="6"/>
  <c r="M232" i="6"/>
  <c r="L231" i="6"/>
  <c r="L233" i="6"/>
  <c r="L228" i="6"/>
  <c r="L229" i="6"/>
  <c r="L234" i="6"/>
  <c r="L232" i="6"/>
  <c r="L230" i="6"/>
  <c r="L192" i="6"/>
  <c r="M226" i="6"/>
  <c r="M227" i="6"/>
  <c r="M225" i="6"/>
  <c r="L226" i="6"/>
  <c r="L227" i="6"/>
  <c r="L225" i="6"/>
  <c r="K337" i="35"/>
  <c r="M952" i="35" s="1"/>
  <c r="N952" i="35" s="1"/>
  <c r="L569" i="35"/>
  <c r="G337" i="35"/>
  <c r="I952" i="35" s="1"/>
  <c r="O952" i="35" s="1"/>
  <c r="H569" i="35"/>
  <c r="K108" i="6"/>
  <c r="O223" i="6" s="1"/>
  <c r="M223" i="6"/>
  <c r="L224" i="6"/>
  <c r="L221" i="6"/>
  <c r="L222" i="6"/>
  <c r="J108" i="6"/>
  <c r="L223" i="6"/>
  <c r="M222" i="6"/>
  <c r="M224" i="6"/>
  <c r="M221" i="6"/>
  <c r="M211" i="6"/>
  <c r="M127" i="6"/>
  <c r="L211" i="6"/>
  <c r="M218" i="6"/>
  <c r="M219" i="6"/>
  <c r="M220" i="6"/>
  <c r="M217" i="6"/>
  <c r="M206" i="6"/>
  <c r="M216" i="6"/>
  <c r="M213" i="6"/>
  <c r="M210" i="6"/>
  <c r="M207" i="6"/>
  <c r="M212" i="6"/>
  <c r="M214" i="6"/>
  <c r="M208" i="6"/>
  <c r="M215" i="6"/>
  <c r="M209" i="6"/>
  <c r="N75" i="6"/>
  <c r="L218" i="6"/>
  <c r="L219" i="6"/>
  <c r="L220" i="6"/>
  <c r="L217" i="6"/>
  <c r="L210" i="6"/>
  <c r="L209" i="6"/>
  <c r="L214" i="6"/>
  <c r="L215" i="6"/>
  <c r="R215" i="6" s="1"/>
  <c r="L206" i="6"/>
  <c r="L213" i="6"/>
  <c r="L212" i="6"/>
  <c r="L208" i="6"/>
  <c r="L216" i="6"/>
  <c r="L207" i="6"/>
  <c r="K101" i="35"/>
  <c r="M567" i="35" s="1"/>
  <c r="L567" i="35"/>
  <c r="G101" i="35"/>
  <c r="I567" i="35" s="1"/>
  <c r="H567" i="35"/>
  <c r="L566" i="35"/>
  <c r="H566" i="35"/>
  <c r="M192" i="6"/>
  <c r="M203" i="6"/>
  <c r="M202" i="6"/>
  <c r="M200" i="6"/>
  <c r="M204" i="6"/>
  <c r="M195" i="6"/>
  <c r="M205" i="6"/>
  <c r="M198" i="6"/>
  <c r="M196" i="6"/>
  <c r="M193" i="6"/>
  <c r="M201" i="6"/>
  <c r="M199" i="6"/>
  <c r="M197" i="6"/>
  <c r="M190" i="6"/>
  <c r="M191" i="6"/>
  <c r="L204" i="6"/>
  <c r="L193" i="6"/>
  <c r="L196" i="6"/>
  <c r="L203" i="6"/>
  <c r="L202" i="6"/>
  <c r="L198" i="6"/>
  <c r="L199" i="6"/>
  <c r="R199" i="6" s="1"/>
  <c r="L190" i="6"/>
  <c r="L191" i="6"/>
  <c r="L197" i="6"/>
  <c r="L200" i="6"/>
  <c r="L205" i="6"/>
  <c r="R205" i="6" s="1"/>
  <c r="L201" i="6"/>
  <c r="L195" i="6"/>
  <c r="K119" i="6"/>
  <c r="M194" i="6"/>
  <c r="L194" i="6"/>
  <c r="L563" i="35"/>
  <c r="G457" i="35"/>
  <c r="H562" i="35"/>
  <c r="L562" i="35"/>
  <c r="L561" i="35"/>
  <c r="H561" i="35"/>
  <c r="K354" i="35"/>
  <c r="M382" i="35" s="1"/>
  <c r="L560" i="35"/>
  <c r="G354" i="35"/>
  <c r="I809" i="35" s="1"/>
  <c r="H560" i="35"/>
  <c r="K406" i="35"/>
  <c r="G406" i="35"/>
  <c r="H552" i="35"/>
  <c r="H555" i="35"/>
  <c r="H556" i="35"/>
  <c r="H557" i="35"/>
  <c r="L556" i="35"/>
  <c r="L557" i="35"/>
  <c r="K62" i="35"/>
  <c r="L555" i="35"/>
  <c r="L544" i="35"/>
  <c r="H531" i="35"/>
  <c r="K11" i="35"/>
  <c r="M11" i="35" s="1"/>
  <c r="L554" i="35"/>
  <c r="H554" i="35"/>
  <c r="K63" i="35"/>
  <c r="L552" i="35"/>
  <c r="G283" i="35"/>
  <c r="I550" i="35" s="1"/>
  <c r="H550" i="35"/>
  <c r="G300" i="35"/>
  <c r="I551" i="35" s="1"/>
  <c r="H551" i="35"/>
  <c r="K283" i="35"/>
  <c r="M416" i="35" s="1"/>
  <c r="L550" i="35"/>
  <c r="K300" i="35"/>
  <c r="M551" i="35" s="1"/>
  <c r="L551" i="35"/>
  <c r="G165" i="35"/>
  <c r="H549" i="35"/>
  <c r="K165" i="35"/>
  <c r="M1806" i="35" s="1"/>
  <c r="L549" i="35"/>
  <c r="K284" i="35"/>
  <c r="M284" i="35" s="1"/>
  <c r="L547" i="35"/>
  <c r="G284" i="35"/>
  <c r="I305" i="35" s="1"/>
  <c r="H547" i="35"/>
  <c r="K312" i="35"/>
  <c r="M1186" i="35" s="1"/>
  <c r="N1186" i="35" s="1"/>
  <c r="L546" i="35"/>
  <c r="G312" i="35"/>
  <c r="I1186" i="35" s="1"/>
  <c r="O1186" i="35" s="1"/>
  <c r="H546" i="35"/>
  <c r="K308" i="35"/>
  <c r="M842" i="35" s="1"/>
  <c r="N842" i="35" s="1"/>
  <c r="L545" i="35"/>
  <c r="G308" i="35"/>
  <c r="I842" i="35" s="1"/>
  <c r="O842" i="35" s="1"/>
  <c r="H545" i="35"/>
  <c r="H544" i="35"/>
  <c r="K310" i="35"/>
  <c r="M543" i="35" s="1"/>
  <c r="L543" i="35"/>
  <c r="G310" i="35"/>
  <c r="I543" i="35" s="1"/>
  <c r="H543" i="35"/>
  <c r="K295" i="35"/>
  <c r="M1349" i="35" s="1"/>
  <c r="L542" i="35"/>
  <c r="G295" i="35"/>
  <c r="H542" i="35"/>
  <c r="G340" i="35"/>
  <c r="H541" i="35"/>
  <c r="K340" i="35"/>
  <c r="L541" i="35"/>
  <c r="L531" i="35"/>
  <c r="K309" i="35"/>
  <c r="M539" i="35" s="1"/>
  <c r="L539" i="35"/>
  <c r="G309" i="35"/>
  <c r="I539" i="35" s="1"/>
  <c r="H539" i="35"/>
  <c r="K79" i="35"/>
  <c r="M538" i="35" s="1"/>
  <c r="L538" i="35"/>
  <c r="H79" i="35"/>
  <c r="H538" i="35"/>
  <c r="L537" i="35"/>
  <c r="H537" i="35"/>
  <c r="K287" i="35"/>
  <c r="L536" i="35"/>
  <c r="G287" i="35"/>
  <c r="H536" i="35"/>
  <c r="H55" i="35"/>
  <c r="H535" i="35"/>
  <c r="K55" i="35"/>
  <c r="M1970" i="35" s="1"/>
  <c r="N1970" i="35" s="1"/>
  <c r="L535" i="35"/>
  <c r="L519" i="35"/>
  <c r="L532" i="35"/>
  <c r="H519" i="35"/>
  <c r="H532" i="35"/>
  <c r="Z290" i="31"/>
  <c r="H529" i="35"/>
  <c r="K107" i="35"/>
  <c r="L530" i="35"/>
  <c r="G107" i="35"/>
  <c r="I107" i="35" s="1"/>
  <c r="H530" i="35"/>
  <c r="L529" i="35"/>
  <c r="L526" i="35"/>
  <c r="H526" i="35"/>
  <c r="M334" i="35"/>
  <c r="L525" i="35"/>
  <c r="H80" i="35"/>
  <c r="H525" i="35"/>
  <c r="L523" i="35"/>
  <c r="H523" i="35"/>
  <c r="I285" i="35"/>
  <c r="H522" i="35"/>
  <c r="K54" i="35"/>
  <c r="L522" i="35"/>
  <c r="I475" i="35"/>
  <c r="O475" i="35" s="1"/>
  <c r="J147" i="6"/>
  <c r="N147" i="6" s="1"/>
  <c r="L187" i="6"/>
  <c r="L185" i="6"/>
  <c r="L70" i="6"/>
  <c r="L183" i="6"/>
  <c r="M188" i="6"/>
  <c r="K112" i="6"/>
  <c r="M186" i="6"/>
  <c r="L169" i="6"/>
  <c r="L188" i="6"/>
  <c r="K69" i="6"/>
  <c r="O182" i="6" s="1"/>
  <c r="M182" i="6"/>
  <c r="J69" i="6"/>
  <c r="N182" i="6" s="1"/>
  <c r="L182" i="6"/>
  <c r="J112" i="6"/>
  <c r="L186" i="6"/>
  <c r="M189" i="6"/>
  <c r="K70" i="6"/>
  <c r="O183" i="6" s="1"/>
  <c r="M183" i="6"/>
  <c r="L173" i="6"/>
  <c r="L189" i="6"/>
  <c r="K117" i="6"/>
  <c r="O117" i="6" s="1"/>
  <c r="M184" i="6"/>
  <c r="J117" i="6"/>
  <c r="N117" i="6" s="1"/>
  <c r="L184" i="6"/>
  <c r="K147" i="6"/>
  <c r="M187" i="6"/>
  <c r="M185" i="6"/>
  <c r="Q365" i="35"/>
  <c r="H77" i="35"/>
  <c r="I238" i="35"/>
  <c r="M285" i="35"/>
  <c r="H82" i="35"/>
  <c r="M238" i="35"/>
  <c r="K32" i="35"/>
  <c r="L520" i="35"/>
  <c r="H32" i="35"/>
  <c r="H520" i="35"/>
  <c r="K286" i="35"/>
  <c r="L518" i="35"/>
  <c r="L517" i="35"/>
  <c r="M247" i="35"/>
  <c r="G286" i="35"/>
  <c r="H518" i="35"/>
  <c r="H517" i="35"/>
  <c r="M249" i="35"/>
  <c r="K98" i="35"/>
  <c r="L516" i="35"/>
  <c r="G98" i="35"/>
  <c r="H539" i="33" s="1"/>
  <c r="H516" i="35"/>
  <c r="H97" i="35"/>
  <c r="H515" i="35"/>
  <c r="K97" i="35"/>
  <c r="L515" i="35"/>
  <c r="M119" i="35"/>
  <c r="H502" i="35"/>
  <c r="M185" i="35"/>
  <c r="H513" i="35"/>
  <c r="K29" i="35"/>
  <c r="L513" i="35"/>
  <c r="H24" i="35"/>
  <c r="L483" i="35"/>
  <c r="H104" i="35"/>
  <c r="H377" i="35"/>
  <c r="M82" i="35"/>
  <c r="H62" i="35"/>
  <c r="H51" i="35"/>
  <c r="H31" i="35"/>
  <c r="H45" i="35"/>
  <c r="H512" i="35"/>
  <c r="M89" i="35"/>
  <c r="H89" i="35"/>
  <c r="H503" i="35"/>
  <c r="H48" i="35"/>
  <c r="H67" i="35"/>
  <c r="K81" i="35"/>
  <c r="M158" i="35" s="1"/>
  <c r="L512" i="35"/>
  <c r="H46" i="35"/>
  <c r="K163" i="35"/>
  <c r="L511" i="35"/>
  <c r="G163" i="35"/>
  <c r="I1743" i="35" s="1"/>
  <c r="H511" i="35"/>
  <c r="K53" i="35"/>
  <c r="M1877" i="35" s="1"/>
  <c r="N1877" i="35" s="1"/>
  <c r="L510" i="35"/>
  <c r="K311" i="35"/>
  <c r="L509" i="35"/>
  <c r="H53" i="35"/>
  <c r="H510" i="35"/>
  <c r="G311" i="35"/>
  <c r="I311" i="35" s="1"/>
  <c r="H509" i="35"/>
  <c r="I508" i="35"/>
  <c r="O508" i="35" s="1"/>
  <c r="I471" i="35"/>
  <c r="O471" i="35" s="1"/>
  <c r="H172" i="33" s="1"/>
  <c r="K172" i="33" s="1"/>
  <c r="M471" i="35"/>
  <c r="N471" i="35" s="1"/>
  <c r="M508" i="35"/>
  <c r="N508" i="35" s="1"/>
  <c r="K264" i="35"/>
  <c r="M264" i="35" s="1"/>
  <c r="L507" i="35"/>
  <c r="G264" i="35"/>
  <c r="I264" i="35" s="1"/>
  <c r="H507" i="35"/>
  <c r="K454" i="35"/>
  <c r="L506" i="35"/>
  <c r="G454" i="35"/>
  <c r="H506" i="35"/>
  <c r="H505" i="35"/>
  <c r="K56" i="35"/>
  <c r="M505" i="35" s="1"/>
  <c r="L505" i="35"/>
  <c r="K70" i="35"/>
  <c r="G112" i="35"/>
  <c r="I566" i="35" s="1"/>
  <c r="H504" i="35"/>
  <c r="K112" i="35"/>
  <c r="M566" i="35" s="1"/>
  <c r="L504" i="35"/>
  <c r="K59" i="35"/>
  <c r="M503" i="35" s="1"/>
  <c r="L503" i="35"/>
  <c r="L502" i="35"/>
  <c r="K403" i="35"/>
  <c r="L499" i="35"/>
  <c r="L500" i="35"/>
  <c r="L501" i="35"/>
  <c r="L498" i="35"/>
  <c r="G403" i="35"/>
  <c r="H499" i="35"/>
  <c r="H500" i="35"/>
  <c r="H501" i="35"/>
  <c r="H498" i="35"/>
  <c r="L497" i="35"/>
  <c r="L496" i="35"/>
  <c r="H497" i="35"/>
  <c r="H496" i="35"/>
  <c r="K156" i="35"/>
  <c r="M301" i="35" s="1"/>
  <c r="L494" i="35"/>
  <c r="L495" i="35"/>
  <c r="G156" i="35"/>
  <c r="I762" i="35" s="1"/>
  <c r="H495" i="35"/>
  <c r="H494" i="35"/>
  <c r="G43" i="35"/>
  <c r="I43" i="35" s="1"/>
  <c r="H493" i="35"/>
  <c r="L322" i="35"/>
  <c r="L493" i="35"/>
  <c r="K174" i="35"/>
  <c r="M1842" i="35" s="1"/>
  <c r="N1842" i="35" s="1"/>
  <c r="L492" i="35"/>
  <c r="G174" i="35"/>
  <c r="I1842" i="35" s="1"/>
  <c r="O1842" i="35" s="1"/>
  <c r="H492" i="35"/>
  <c r="H491" i="35"/>
  <c r="K73" i="35"/>
  <c r="L491" i="35"/>
  <c r="K148" i="35"/>
  <c r="L490" i="35"/>
  <c r="G148" i="35"/>
  <c r="H490" i="35"/>
  <c r="K52" i="35"/>
  <c r="L488" i="35"/>
  <c r="H52" i="35"/>
  <c r="H488" i="35"/>
  <c r="L487" i="35"/>
  <c r="H485" i="35"/>
  <c r="H487" i="35"/>
  <c r="K298" i="35"/>
  <c r="L486" i="35"/>
  <c r="G298" i="35"/>
  <c r="H486" i="35"/>
  <c r="K20" i="35"/>
  <c r="L485" i="35"/>
  <c r="H483" i="35"/>
  <c r="K450" i="35"/>
  <c r="L484" i="35"/>
  <c r="G450" i="35"/>
  <c r="H484" i="35"/>
  <c r="H482" i="35"/>
  <c r="H481" i="35"/>
  <c r="K83" i="35"/>
  <c r="M83" i="35" s="1"/>
  <c r="L481" i="35"/>
  <c r="L482" i="35"/>
  <c r="K134" i="35"/>
  <c r="M480" i="35" s="1"/>
  <c r="L480" i="35"/>
  <c r="G134" i="35"/>
  <c r="I480" i="35" s="1"/>
  <c r="H480" i="35"/>
  <c r="L479" i="35"/>
  <c r="L478" i="35"/>
  <c r="H479" i="35"/>
  <c r="H478" i="35"/>
  <c r="K401" i="35"/>
  <c r="L477" i="35"/>
  <c r="G401" i="35"/>
  <c r="H477" i="35"/>
  <c r="K39" i="35"/>
  <c r="L476" i="35"/>
  <c r="H39" i="35"/>
  <c r="H476" i="35"/>
  <c r="N475" i="35"/>
  <c r="F76" i="40"/>
  <c r="D34" i="41" a="1"/>
  <c r="D34" i="41" s="1"/>
  <c r="C115" i="41"/>
  <c r="F122" i="41"/>
  <c r="H121" i="41" a="1"/>
  <c r="H121" i="41" s="1"/>
  <c r="K118" i="41"/>
  <c r="O115" i="41"/>
  <c r="N115" i="41" s="1"/>
  <c r="D115" i="41" a="1"/>
  <c r="D115" i="41" s="1"/>
  <c r="H122" i="41" a="1"/>
  <c r="H122" i="41" s="1"/>
  <c r="K119" i="41"/>
  <c r="O116" i="41"/>
  <c r="N116" i="41" s="1"/>
  <c r="B115" i="41"/>
  <c r="C117" i="41"/>
  <c r="D116" i="41" a="1"/>
  <c r="D116" i="41" s="1"/>
  <c r="K120" i="41"/>
  <c r="O117" i="41"/>
  <c r="N117" i="41" s="1"/>
  <c r="B116" i="41"/>
  <c r="D117" i="41" a="1"/>
  <c r="D117" i="41" s="1"/>
  <c r="F115" i="41"/>
  <c r="K121" i="41"/>
  <c r="O118" i="41"/>
  <c r="N118" i="41" s="1"/>
  <c r="B117" i="41"/>
  <c r="D118" i="41" a="1"/>
  <c r="D118" i="41" s="1"/>
  <c r="F116" i="41"/>
  <c r="H115" i="41" a="1"/>
  <c r="H115" i="41" s="1"/>
  <c r="K122" i="41"/>
  <c r="D119" i="41" a="1"/>
  <c r="D119" i="41" s="1"/>
  <c r="H116" i="41" a="1"/>
  <c r="H116" i="41" s="1"/>
  <c r="B119" i="41"/>
  <c r="F118" i="41"/>
  <c r="B120" i="41"/>
  <c r="C116" i="41"/>
  <c r="O119" i="41"/>
  <c r="N119" i="41" s="1"/>
  <c r="F117" i="41"/>
  <c r="O120" i="41"/>
  <c r="N120" i="41" s="1"/>
  <c r="D120" i="41" a="1"/>
  <c r="D120" i="41" s="1"/>
  <c r="H117" i="41" a="1"/>
  <c r="H117" i="41" s="1"/>
  <c r="O121" i="41"/>
  <c r="N121" i="41" s="1"/>
  <c r="B118" i="41"/>
  <c r="C118" i="41"/>
  <c r="C119" i="41"/>
  <c r="C120" i="41"/>
  <c r="C121" i="41"/>
  <c r="C122" i="41"/>
  <c r="D121" i="41" a="1"/>
  <c r="D121" i="41" s="1"/>
  <c r="F119" i="41"/>
  <c r="H118" i="41" a="1"/>
  <c r="H118" i="41" s="1"/>
  <c r="K115" i="41"/>
  <c r="O122" i="41"/>
  <c r="N122" i="41" s="1"/>
  <c r="B121" i="41"/>
  <c r="D122" i="41" a="1"/>
  <c r="D122" i="41" s="1"/>
  <c r="F120" i="41"/>
  <c r="H119" i="41" a="1"/>
  <c r="H119" i="41" s="1"/>
  <c r="K116" i="41"/>
  <c r="B122" i="41"/>
  <c r="F121" i="41"/>
  <c r="H120" i="41" a="1"/>
  <c r="H120" i="41" s="1"/>
  <c r="K117" i="41"/>
  <c r="K22" i="35"/>
  <c r="M474" i="35" s="1"/>
  <c r="L474" i="35"/>
  <c r="H422" i="35"/>
  <c r="H474" i="35"/>
  <c r="L36" i="35"/>
  <c r="L473" i="35"/>
  <c r="H36" i="35"/>
  <c r="H473" i="35"/>
  <c r="K118" i="35"/>
  <c r="L470" i="35"/>
  <c r="G118" i="35"/>
  <c r="H470" i="35"/>
  <c r="H81" i="35"/>
  <c r="H27" i="35"/>
  <c r="K433" i="35"/>
  <c r="L469" i="35"/>
  <c r="G433" i="35"/>
  <c r="H469" i="35"/>
  <c r="AA376" i="31"/>
  <c r="AA378" i="31"/>
  <c r="H85" i="35"/>
  <c r="H21" i="35"/>
  <c r="S355" i="31"/>
  <c r="T355" i="31" s="1"/>
  <c r="AD355" i="31"/>
  <c r="AD354" i="31"/>
  <c r="X354" i="31"/>
  <c r="Y354" i="31" s="1"/>
  <c r="X355" i="31"/>
  <c r="Y355" i="31" s="1"/>
  <c r="Z355" i="31"/>
  <c r="S354" i="31"/>
  <c r="T354" i="31" s="1"/>
  <c r="Z354" i="31"/>
  <c r="L947" i="31"/>
  <c r="S349" i="31"/>
  <c r="T349" i="31" s="1"/>
  <c r="M990" i="31"/>
  <c r="Q441" i="33"/>
  <c r="Y990" i="31"/>
  <c r="AA990" i="31"/>
  <c r="Q990" i="31"/>
  <c r="R990" i="31"/>
  <c r="G46" i="34"/>
  <c r="K46" i="34"/>
  <c r="M910" i="31"/>
  <c r="Y910" i="31"/>
  <c r="AA910" i="31"/>
  <c r="Q910" i="31"/>
  <c r="R910" i="31"/>
  <c r="S319" i="31"/>
  <c r="T319" i="31" s="1"/>
  <c r="Z310" i="31"/>
  <c r="Q460" i="35"/>
  <c r="S310" i="31"/>
  <c r="T310" i="31" s="1"/>
  <c r="L468" i="35"/>
  <c r="H468" i="35"/>
  <c r="L467" i="35"/>
  <c r="H467" i="35"/>
  <c r="H465" i="35"/>
  <c r="AD319" i="31"/>
  <c r="X319" i="31"/>
  <c r="Y319" i="31" s="1"/>
  <c r="Z319" i="31"/>
  <c r="X310" i="31"/>
  <c r="Y310" i="31" s="1"/>
  <c r="AD310" i="31"/>
  <c r="S336" i="31"/>
  <c r="T336" i="31" s="1"/>
  <c r="AD336" i="31"/>
  <c r="X336" i="31"/>
  <c r="Y336" i="31" s="1"/>
  <c r="Z336" i="31"/>
  <c r="S118" i="31"/>
  <c r="T118" i="31" s="1"/>
  <c r="AD349" i="31"/>
  <c r="AD350" i="31"/>
  <c r="S350" i="31"/>
  <c r="T350" i="31" s="1"/>
  <c r="X350" i="31"/>
  <c r="Y350" i="31" s="1"/>
  <c r="Z349" i="31"/>
  <c r="Z350" i="31"/>
  <c r="X349" i="31"/>
  <c r="Y349" i="31" s="1"/>
  <c r="S149" i="31"/>
  <c r="T149" i="31" s="1"/>
  <c r="AD118" i="31"/>
  <c r="X149" i="31"/>
  <c r="Y149" i="31" s="1"/>
  <c r="X118" i="31"/>
  <c r="Y118" i="31" s="1"/>
  <c r="Z118" i="31"/>
  <c r="Z149" i="31"/>
  <c r="AD149" i="31"/>
  <c r="L466" i="35"/>
  <c r="H466" i="35"/>
  <c r="L465" i="35"/>
  <c r="M905" i="31"/>
  <c r="L464" i="35"/>
  <c r="H464" i="35"/>
  <c r="H33" i="35"/>
  <c r="Y905" i="31"/>
  <c r="AA905" i="31"/>
  <c r="Q905" i="31"/>
  <c r="R905" i="31"/>
  <c r="Z331" i="31"/>
  <c r="H437" i="35"/>
  <c r="H208" i="35"/>
  <c r="S308" i="31"/>
  <c r="T308" i="31" s="1"/>
  <c r="Z330" i="31"/>
  <c r="S331" i="31"/>
  <c r="T331" i="31" s="1"/>
  <c r="AD331" i="31"/>
  <c r="X331" i="31"/>
  <c r="Y331" i="31" s="1"/>
  <c r="S330" i="31"/>
  <c r="T330" i="31" s="1"/>
  <c r="X330" i="31"/>
  <c r="Y330" i="31" s="1"/>
  <c r="Z308" i="31"/>
  <c r="AD309" i="31"/>
  <c r="AD330" i="31"/>
  <c r="S309" i="31"/>
  <c r="T309" i="31" s="1"/>
  <c r="X309" i="31"/>
  <c r="Y309" i="31" s="1"/>
  <c r="Z309" i="31"/>
  <c r="X308" i="31"/>
  <c r="Y308" i="31" s="1"/>
  <c r="AD308" i="31"/>
  <c r="L463" i="35"/>
  <c r="H463" i="35"/>
  <c r="H461" i="35"/>
  <c r="L462" i="35"/>
  <c r="H462" i="35"/>
  <c r="L461" i="35"/>
  <c r="H459" i="35"/>
  <c r="L459" i="35"/>
  <c r="L454" i="35"/>
  <c r="H458" i="35"/>
  <c r="L458" i="35"/>
  <c r="H454" i="35"/>
  <c r="H457" i="35"/>
  <c r="L457" i="35"/>
  <c r="S213" i="31"/>
  <c r="T213" i="31" s="1"/>
  <c r="S153" i="31"/>
  <c r="T153" i="31" s="1"/>
  <c r="AD213" i="31"/>
  <c r="X213" i="31"/>
  <c r="Y213" i="31" s="1"/>
  <c r="Z213" i="31"/>
  <c r="L179" i="6"/>
  <c r="P179" i="6" s="1"/>
  <c r="G8" i="36" s="1"/>
  <c r="I8" i="36" s="1"/>
  <c r="L180" i="6"/>
  <c r="M181" i="6"/>
  <c r="L181" i="6"/>
  <c r="M180" i="6"/>
  <c r="S347" i="33"/>
  <c r="J347" i="33"/>
  <c r="K347" i="33"/>
  <c r="Q347" i="33"/>
  <c r="R347" i="33" s="1"/>
  <c r="M931" i="31"/>
  <c r="R931" i="31"/>
  <c r="Q931" i="31"/>
  <c r="AA931" i="31"/>
  <c r="Q218" i="33"/>
  <c r="R218" i="33" s="1"/>
  <c r="M1008" i="31"/>
  <c r="J218" i="33"/>
  <c r="K218" i="33"/>
  <c r="S218" i="33"/>
  <c r="Y1008" i="31"/>
  <c r="AA1008" i="31"/>
  <c r="Q1008" i="31"/>
  <c r="R1008" i="31"/>
  <c r="S328" i="31"/>
  <c r="T328" i="31" s="1"/>
  <c r="H456" i="35"/>
  <c r="L456" i="35"/>
  <c r="I444" i="35"/>
  <c r="L450" i="35"/>
  <c r="M179" i="6"/>
  <c r="Q467" i="33"/>
  <c r="R467" i="33" s="1"/>
  <c r="Q455" i="35"/>
  <c r="S467" i="33"/>
  <c r="J467" i="33"/>
  <c r="K467" i="33"/>
  <c r="M998" i="31"/>
  <c r="R998" i="31"/>
  <c r="Q998" i="31"/>
  <c r="AA998" i="31"/>
  <c r="H453" i="35"/>
  <c r="H47" i="35"/>
  <c r="L453" i="35"/>
  <c r="L452" i="35"/>
  <c r="H451" i="35"/>
  <c r="H450" i="35"/>
  <c r="H452" i="35"/>
  <c r="M189" i="35"/>
  <c r="L451" i="35"/>
  <c r="H449" i="35"/>
  <c r="M449" i="35"/>
  <c r="M65" i="35"/>
  <c r="L449" i="35"/>
  <c r="Q421" i="33"/>
  <c r="R421" i="33" s="1"/>
  <c r="AD153" i="31"/>
  <c r="AD168" i="31"/>
  <c r="X153" i="31"/>
  <c r="Y153" i="31" s="1"/>
  <c r="Z153" i="31"/>
  <c r="S168" i="31"/>
  <c r="T168" i="31" s="1"/>
  <c r="X168" i="31"/>
  <c r="Y168" i="31" s="1"/>
  <c r="Z168" i="31"/>
  <c r="S329" i="31"/>
  <c r="T329" i="31" s="1"/>
  <c r="AD328" i="31"/>
  <c r="AD329" i="31"/>
  <c r="X328" i="31"/>
  <c r="Y328" i="31" s="1"/>
  <c r="X329" i="31"/>
  <c r="Y329" i="31" s="1"/>
  <c r="Z329" i="31"/>
  <c r="Z328" i="31"/>
  <c r="AD167" i="31"/>
  <c r="S325" i="31"/>
  <c r="T325" i="31" s="1"/>
  <c r="AD325" i="31"/>
  <c r="AD324" i="31"/>
  <c r="X325" i="31"/>
  <c r="Y325" i="31" s="1"/>
  <c r="S167" i="31"/>
  <c r="T167" i="31" s="1"/>
  <c r="S324" i="31"/>
  <c r="T324" i="31" s="1"/>
  <c r="Z325" i="31"/>
  <c r="Z324" i="31"/>
  <c r="X324" i="31"/>
  <c r="Y324" i="31" s="1"/>
  <c r="S166" i="31"/>
  <c r="T166" i="31" s="1"/>
  <c r="X166" i="31"/>
  <c r="Y166" i="31" s="1"/>
  <c r="Z166" i="31"/>
  <c r="X167" i="31"/>
  <c r="Y167" i="31" s="1"/>
  <c r="Z167" i="31"/>
  <c r="B107" i="41"/>
  <c r="O112" i="41"/>
  <c r="N112" i="41" s="1"/>
  <c r="O102" i="41"/>
  <c r="N102" i="41" s="1"/>
  <c r="K107" i="41"/>
  <c r="H108" i="41" a="1"/>
  <c r="H108" i="41" s="1"/>
  <c r="H102" i="41" a="1"/>
  <c r="H102" i="41" s="1"/>
  <c r="F109" i="41"/>
  <c r="D114" i="41" a="1"/>
  <c r="D114" i="41" s="1"/>
  <c r="D104" i="41" a="1"/>
  <c r="D104" i="41" s="1"/>
  <c r="C109" i="41"/>
  <c r="B106" i="41"/>
  <c r="O111" i="41"/>
  <c r="N111" i="41" s="1"/>
  <c r="O101" i="41"/>
  <c r="N101" i="41" s="1"/>
  <c r="K106" i="41"/>
  <c r="H113" i="41" a="1"/>
  <c r="H113" i="41" s="1"/>
  <c r="H107" i="41" a="1"/>
  <c r="H107" i="41" s="1"/>
  <c r="F108" i="41"/>
  <c r="D113" i="41" a="1"/>
  <c r="D113" i="41" s="1"/>
  <c r="D103" i="41" a="1"/>
  <c r="D103" i="41" s="1"/>
  <c r="C108" i="41"/>
  <c r="B105" i="41"/>
  <c r="O110" i="41"/>
  <c r="N110" i="41" s="1"/>
  <c r="O100" i="41"/>
  <c r="N100" i="41" s="1"/>
  <c r="K105" i="41"/>
  <c r="H112" i="41" a="1"/>
  <c r="H112" i="41" s="1"/>
  <c r="H101" i="41" a="1"/>
  <c r="H101" i="41" s="1"/>
  <c r="F107" i="41"/>
  <c r="D112" i="41" a="1"/>
  <c r="D112" i="41" s="1"/>
  <c r="D102" i="41" a="1"/>
  <c r="D102" i="41" s="1"/>
  <c r="C107" i="41"/>
  <c r="B114" i="41"/>
  <c r="B104" i="41"/>
  <c r="O109" i="41"/>
  <c r="N109" i="41" s="1"/>
  <c r="K114" i="41"/>
  <c r="K104" i="41"/>
  <c r="H106" i="41" a="1"/>
  <c r="H106" i="41" s="1"/>
  <c r="F106" i="41"/>
  <c r="D111" i="41" a="1"/>
  <c r="D111" i="41" s="1"/>
  <c r="D101" i="41" a="1"/>
  <c r="D101" i="41" s="1"/>
  <c r="C106" i="41"/>
  <c r="B113" i="41"/>
  <c r="B103" i="41"/>
  <c r="O108" i="41"/>
  <c r="N108" i="41" s="1"/>
  <c r="K113" i="41"/>
  <c r="K103" i="41"/>
  <c r="H111" i="41" a="1"/>
  <c r="H111" i="41" s="1"/>
  <c r="H100" i="41" a="1"/>
  <c r="H100" i="41" s="1"/>
  <c r="F105" i="41"/>
  <c r="D110" i="41" a="1"/>
  <c r="D110" i="41" s="1"/>
  <c r="D100" i="41" a="1"/>
  <c r="D100" i="41" s="1"/>
  <c r="C105" i="41"/>
  <c r="B112" i="41"/>
  <c r="B102" i="41"/>
  <c r="O107" i="41"/>
  <c r="N107" i="41" s="1"/>
  <c r="K112" i="41"/>
  <c r="K102" i="41"/>
  <c r="H105" i="41" a="1"/>
  <c r="H105" i="41" s="1"/>
  <c r="F114" i="41"/>
  <c r="F104" i="41"/>
  <c r="D109" i="41" a="1"/>
  <c r="D109" i="41" s="1"/>
  <c r="C114" i="41"/>
  <c r="C104" i="41"/>
  <c r="B111" i="41"/>
  <c r="B101" i="41"/>
  <c r="K111" i="41"/>
  <c r="K101" i="41"/>
  <c r="H110" i="41" a="1"/>
  <c r="H110" i="41" s="1"/>
  <c r="F113" i="41"/>
  <c r="F103" i="41"/>
  <c r="D108" i="41" a="1"/>
  <c r="D108" i="41" s="1"/>
  <c r="C113" i="41"/>
  <c r="C103" i="41"/>
  <c r="B110" i="41"/>
  <c r="B100" i="41"/>
  <c r="O105" i="41"/>
  <c r="N105" i="41" s="1"/>
  <c r="K110" i="41"/>
  <c r="K100" i="41"/>
  <c r="H104" i="41" a="1"/>
  <c r="H104" i="41" s="1"/>
  <c r="F112" i="41"/>
  <c r="F102" i="41"/>
  <c r="D107" i="41" a="1"/>
  <c r="D107" i="41" s="1"/>
  <c r="C112" i="41"/>
  <c r="C102" i="41"/>
  <c r="B109" i="41"/>
  <c r="O114" i="41"/>
  <c r="N114" i="41" s="1"/>
  <c r="O104" i="41"/>
  <c r="N104" i="41" s="1"/>
  <c r="K109" i="41"/>
  <c r="H109" i="41" a="1"/>
  <c r="H109" i="41" s="1"/>
  <c r="F111" i="41"/>
  <c r="F101" i="41"/>
  <c r="D106" i="41" a="1"/>
  <c r="D106" i="41" s="1"/>
  <c r="C111" i="41"/>
  <c r="C101" i="41"/>
  <c r="B108" i="41"/>
  <c r="O113" i="41"/>
  <c r="N113" i="41" s="1"/>
  <c r="O103" i="41"/>
  <c r="N103" i="41" s="1"/>
  <c r="K108" i="41"/>
  <c r="H114" i="41" a="1"/>
  <c r="H114" i="41" s="1"/>
  <c r="H103" i="41" a="1"/>
  <c r="H103" i="41" s="1"/>
  <c r="F110" i="41"/>
  <c r="F100" i="41"/>
  <c r="D105" i="41" a="1"/>
  <c r="D105" i="41" s="1"/>
  <c r="C110" i="41"/>
  <c r="C100" i="41"/>
  <c r="S332" i="31"/>
  <c r="T332" i="31" s="1"/>
  <c r="S333" i="31"/>
  <c r="T333" i="31" s="1"/>
  <c r="S247" i="33"/>
  <c r="J247" i="33"/>
  <c r="K247" i="33"/>
  <c r="Q247" i="33"/>
  <c r="R247" i="33" s="1"/>
  <c r="L448" i="35"/>
  <c r="H448" i="35"/>
  <c r="M448" i="35"/>
  <c r="L447" i="35"/>
  <c r="M447" i="35"/>
  <c r="H447" i="35"/>
  <c r="M92" i="35"/>
  <c r="L446" i="35"/>
  <c r="M446" i="35"/>
  <c r="H446" i="35"/>
  <c r="M93" i="35"/>
  <c r="M395" i="35"/>
  <c r="M444" i="35"/>
  <c r="I99" i="35"/>
  <c r="L445" i="35"/>
  <c r="H444" i="35"/>
  <c r="I445" i="35"/>
  <c r="H445" i="35"/>
  <c r="M99" i="35"/>
  <c r="L444" i="35"/>
  <c r="L443" i="35"/>
  <c r="H433" i="35"/>
  <c r="H443" i="35"/>
  <c r="H442" i="35"/>
  <c r="L442" i="35"/>
  <c r="L441" i="35"/>
  <c r="M86" i="35"/>
  <c r="H441" i="35"/>
  <c r="L440" i="35"/>
  <c r="H440" i="35"/>
  <c r="L439" i="35"/>
  <c r="M439" i="35"/>
  <c r="H439" i="35"/>
  <c r="H407" i="35"/>
  <c r="M90" i="35"/>
  <c r="L438" i="35"/>
  <c r="H438" i="35"/>
  <c r="M438" i="35"/>
  <c r="L437" i="35"/>
  <c r="AD333" i="31"/>
  <c r="X332" i="31"/>
  <c r="Y332" i="31" s="1"/>
  <c r="X333" i="31"/>
  <c r="Y333" i="31" s="1"/>
  <c r="Z333" i="31"/>
  <c r="Z332" i="31"/>
  <c r="AD332" i="31"/>
  <c r="H332" i="35"/>
  <c r="H435" i="35"/>
  <c r="H436" i="35"/>
  <c r="M436" i="35"/>
  <c r="L433" i="35"/>
  <c r="L436" i="35"/>
  <c r="L435" i="35"/>
  <c r="S152" i="31"/>
  <c r="T152" i="31" s="1"/>
  <c r="N131" i="6"/>
  <c r="H411" i="35"/>
  <c r="L177" i="6"/>
  <c r="M170" i="6"/>
  <c r="M169" i="6"/>
  <c r="H71" i="35"/>
  <c r="L171" i="6"/>
  <c r="M178" i="6"/>
  <c r="N127" i="6"/>
  <c r="S187" i="31"/>
  <c r="T187" i="31" s="1"/>
  <c r="L178" i="6"/>
  <c r="O131" i="6"/>
  <c r="O176" i="6"/>
  <c r="M177" i="6"/>
  <c r="N176" i="6"/>
  <c r="L170" i="6"/>
  <c r="M173" i="6"/>
  <c r="N174" i="6"/>
  <c r="M176" i="6"/>
  <c r="Q430" i="35"/>
  <c r="L176" i="6"/>
  <c r="I199" i="35"/>
  <c r="M172" i="6"/>
  <c r="L172" i="6"/>
  <c r="M175" i="6"/>
  <c r="M434" i="35"/>
  <c r="O172" i="6"/>
  <c r="M171" i="6"/>
  <c r="N172" i="6"/>
  <c r="AD152" i="31"/>
  <c r="M174" i="6"/>
  <c r="Q429" i="35"/>
  <c r="L174" i="6"/>
  <c r="Q431" i="35"/>
  <c r="M921" i="31"/>
  <c r="L434" i="35"/>
  <c r="I434" i="35"/>
  <c r="H434" i="35"/>
  <c r="Z989" i="31"/>
  <c r="I414" i="35"/>
  <c r="AD187" i="31"/>
  <c r="X152" i="31"/>
  <c r="Y152" i="31" s="1"/>
  <c r="Z152" i="31"/>
  <c r="X187" i="31"/>
  <c r="Y187" i="31" s="1"/>
  <c r="Z187" i="31"/>
  <c r="S212" i="31"/>
  <c r="T212" i="31" s="1"/>
  <c r="S165" i="31"/>
  <c r="T165" i="31" s="1"/>
  <c r="AD165" i="31"/>
  <c r="X212" i="31"/>
  <c r="Y212" i="31" s="1"/>
  <c r="X165" i="31"/>
  <c r="Y165" i="31" s="1"/>
  <c r="Z165" i="31"/>
  <c r="Z212" i="31"/>
  <c r="L920" i="31"/>
  <c r="AD212" i="31"/>
  <c r="AD327" i="31"/>
  <c r="Z327" i="31"/>
  <c r="S327" i="31"/>
  <c r="T327" i="31" s="1"/>
  <c r="X327" i="31"/>
  <c r="Y327" i="31" s="1"/>
  <c r="AD326" i="31"/>
  <c r="Z326" i="31"/>
  <c r="S326" i="31"/>
  <c r="T326" i="31" s="1"/>
  <c r="X326" i="31"/>
  <c r="Y326" i="31" s="1"/>
  <c r="I47" i="34"/>
  <c r="L432" i="35"/>
  <c r="H432" i="35"/>
  <c r="S106" i="33"/>
  <c r="S273" i="33"/>
  <c r="P13" i="41"/>
  <c r="M948" i="31"/>
  <c r="S450" i="33"/>
  <c r="S390" i="33"/>
  <c r="M954" i="31"/>
  <c r="S427" i="33"/>
  <c r="S284" i="33"/>
  <c r="Q921" i="31"/>
  <c r="R921" i="31"/>
  <c r="Y921" i="31"/>
  <c r="AA921" i="31"/>
  <c r="R954" i="31"/>
  <c r="AA954" i="31"/>
  <c r="Q954" i="31"/>
  <c r="Y954" i="31"/>
  <c r="M964" i="31"/>
  <c r="B92" i="41"/>
  <c r="O98" i="41"/>
  <c r="N98" i="41" s="1"/>
  <c r="B99" i="41"/>
  <c r="K90" i="41"/>
  <c r="H92" i="41" a="1"/>
  <c r="H92" i="41" s="1"/>
  <c r="F93" i="41"/>
  <c r="D94" i="41" a="1"/>
  <c r="D94" i="41" s="1"/>
  <c r="C96" i="41"/>
  <c r="K99" i="41"/>
  <c r="F92" i="41"/>
  <c r="C95" i="41"/>
  <c r="O90" i="41"/>
  <c r="N90" i="41" s="1"/>
  <c r="B90" i="41"/>
  <c r="B95" i="41"/>
  <c r="K98" i="41"/>
  <c r="H99" i="41" a="1"/>
  <c r="H99" i="41" s="1"/>
  <c r="H91" i="41" a="1"/>
  <c r="H91" i="41" s="1"/>
  <c r="F91" i="41"/>
  <c r="D93" i="41" a="1"/>
  <c r="D93" i="41" s="1"/>
  <c r="C94" i="41"/>
  <c r="B94" i="41"/>
  <c r="K97" i="41"/>
  <c r="H98" i="41" a="1"/>
  <c r="H98" i="41" s="1"/>
  <c r="H90" i="41" a="1"/>
  <c r="H90" i="41" s="1"/>
  <c r="F90" i="41"/>
  <c r="D92" i="41" a="1"/>
  <c r="D92" i="41" s="1"/>
  <c r="C93" i="41"/>
  <c r="O91" i="41"/>
  <c r="N91" i="41" s="1"/>
  <c r="B91" i="41"/>
  <c r="O95" i="41"/>
  <c r="N95" i="41" s="1"/>
  <c r="B93" i="41"/>
  <c r="B98" i="41"/>
  <c r="K96" i="41"/>
  <c r="H97" i="41" a="1"/>
  <c r="H97" i="41" s="1"/>
  <c r="F99" i="41"/>
  <c r="D99" i="41" a="1"/>
  <c r="D99" i="41" s="1"/>
  <c r="C92" i="41"/>
  <c r="O94" i="41"/>
  <c r="N94" i="41" s="1"/>
  <c r="K95" i="41"/>
  <c r="F98" i="41"/>
  <c r="D98" i="41" a="1"/>
  <c r="D98" i="41" s="1"/>
  <c r="D91" i="41" a="1"/>
  <c r="D91" i="41" s="1"/>
  <c r="C91" i="41"/>
  <c r="O92" i="41"/>
  <c r="N92" i="41" s="1"/>
  <c r="O93" i="41"/>
  <c r="N93" i="41" s="1"/>
  <c r="O99" i="41"/>
  <c r="N99" i="41" s="1"/>
  <c r="K94" i="41"/>
  <c r="H96" i="41" a="1"/>
  <c r="H96" i="41" s="1"/>
  <c r="F97" i="41"/>
  <c r="D97" i="41" a="1"/>
  <c r="D97" i="41" s="1"/>
  <c r="D90" i="41" a="1"/>
  <c r="D90" i="41" s="1"/>
  <c r="C90" i="41"/>
  <c r="O97" i="41"/>
  <c r="N97" i="41" s="1"/>
  <c r="B97" i="41"/>
  <c r="K93" i="41"/>
  <c r="H95" i="41" a="1"/>
  <c r="H95" i="41" s="1"/>
  <c r="F96" i="41"/>
  <c r="C99" i="41"/>
  <c r="O96" i="41"/>
  <c r="N96" i="41" s="1"/>
  <c r="B96" i="41"/>
  <c r="K92" i="41"/>
  <c r="H94" i="41" a="1"/>
  <c r="H94" i="41" s="1"/>
  <c r="F95" i="41"/>
  <c r="D96" i="41" a="1"/>
  <c r="D96" i="41" s="1"/>
  <c r="C98" i="41"/>
  <c r="K91" i="41"/>
  <c r="H93" i="41" a="1"/>
  <c r="H93" i="41" s="1"/>
  <c r="F94" i="41"/>
  <c r="D95" i="41" a="1"/>
  <c r="D95" i="41" s="1"/>
  <c r="C97" i="41"/>
  <c r="Q223" i="33"/>
  <c r="R223" i="33" s="1"/>
  <c r="Q442" i="33"/>
  <c r="R442" i="33" s="1"/>
  <c r="J442" i="33"/>
  <c r="K442" i="33"/>
  <c r="S442" i="33"/>
  <c r="J284" i="33"/>
  <c r="K284" i="33"/>
  <c r="Q284" i="33"/>
  <c r="R284" i="33" s="1"/>
  <c r="S223" i="33"/>
  <c r="Q234" i="33"/>
  <c r="R234" i="33" s="1"/>
  <c r="J223" i="33"/>
  <c r="K223" i="33"/>
  <c r="S234" i="33"/>
  <c r="J234" i="33"/>
  <c r="K234" i="33"/>
  <c r="J427" i="33"/>
  <c r="Q427" i="33"/>
  <c r="R427" i="33" s="1"/>
  <c r="J240" i="33"/>
  <c r="Q240" i="33"/>
  <c r="R240" i="33" s="1"/>
  <c r="K427" i="33"/>
  <c r="S240" i="33"/>
  <c r="K240" i="33"/>
  <c r="Q325" i="33"/>
  <c r="J390" i="33"/>
  <c r="K390" i="33"/>
  <c r="Q390" i="33"/>
  <c r="R390" i="33" s="1"/>
  <c r="J325" i="33"/>
  <c r="K325" i="33"/>
  <c r="S325" i="33"/>
  <c r="M961" i="31"/>
  <c r="J468" i="33"/>
  <c r="K468" i="33"/>
  <c r="Q468" i="33"/>
  <c r="R468" i="33" s="1"/>
  <c r="S468" i="33"/>
  <c r="Q212" i="33"/>
  <c r="R212" i="33" s="1"/>
  <c r="S473" i="33"/>
  <c r="J273" i="33"/>
  <c r="K273" i="33"/>
  <c r="Q273" i="33"/>
  <c r="R273" i="33" s="1"/>
  <c r="Q269" i="33"/>
  <c r="R269" i="33" s="1"/>
  <c r="J450" i="33"/>
  <c r="K450" i="33"/>
  <c r="Q450" i="33"/>
  <c r="R450" i="33" s="1"/>
  <c r="J350" i="33"/>
  <c r="K350" i="33"/>
  <c r="Q350" i="33"/>
  <c r="R350" i="33" s="1"/>
  <c r="S350" i="33"/>
  <c r="J106" i="33"/>
  <c r="K106" i="33"/>
  <c r="Q106" i="33"/>
  <c r="R106" i="33" s="1"/>
  <c r="S415" i="33"/>
  <c r="J415" i="33"/>
  <c r="K415" i="33"/>
  <c r="Q415" i="33"/>
  <c r="R415" i="33" s="1"/>
  <c r="Q417" i="33"/>
  <c r="R417" i="33" s="1"/>
  <c r="J473" i="33"/>
  <c r="K473" i="33"/>
  <c r="Q473" i="33"/>
  <c r="R473" i="33" s="1"/>
  <c r="Q107" i="33"/>
  <c r="R107" i="33" s="1"/>
  <c r="J417" i="33"/>
  <c r="K417" i="33"/>
  <c r="S417" i="33"/>
  <c r="J269" i="33"/>
  <c r="K269" i="33"/>
  <c r="S269" i="33"/>
  <c r="M989" i="31"/>
  <c r="Y964" i="31"/>
  <c r="AA964" i="31"/>
  <c r="Q964" i="31"/>
  <c r="R964" i="31"/>
  <c r="M1010" i="31"/>
  <c r="Y1010" i="31"/>
  <c r="AA1010" i="31"/>
  <c r="Q1010" i="31"/>
  <c r="R1010" i="31"/>
  <c r="Q961" i="31"/>
  <c r="R961" i="31"/>
  <c r="AA961" i="31"/>
  <c r="E945" i="31"/>
  <c r="E961" i="31"/>
  <c r="E989" i="31"/>
  <c r="AA989" i="31"/>
  <c r="Y961" i="31"/>
  <c r="Y989" i="31"/>
  <c r="F945" i="31"/>
  <c r="R989" i="31"/>
  <c r="F961" i="31"/>
  <c r="E1019" i="31"/>
  <c r="M906" i="31"/>
  <c r="R945" i="31"/>
  <c r="AA945" i="31"/>
  <c r="M945" i="31"/>
  <c r="AA1007" i="31"/>
  <c r="Q1007" i="31"/>
  <c r="Y1007" i="31"/>
  <c r="R1007" i="31"/>
  <c r="Q948" i="31"/>
  <c r="Y948" i="31"/>
  <c r="R948" i="31"/>
  <c r="AA948" i="31"/>
  <c r="Y945" i="31"/>
  <c r="F1019" i="31"/>
  <c r="Q945" i="31"/>
  <c r="M1019" i="31"/>
  <c r="F993" i="31"/>
  <c r="Y906" i="31"/>
  <c r="AA906" i="31"/>
  <c r="Q906" i="31"/>
  <c r="R906" i="31"/>
  <c r="M993" i="31"/>
  <c r="Y993" i="31"/>
  <c r="AA993" i="31"/>
  <c r="Q993" i="31"/>
  <c r="R993" i="31"/>
  <c r="Y1019" i="31"/>
  <c r="AA1019" i="31"/>
  <c r="Q1019" i="31"/>
  <c r="R1019" i="31"/>
  <c r="O88" i="41"/>
  <c r="N88" i="41" s="1"/>
  <c r="K87" i="41"/>
  <c r="H87" i="41" a="1"/>
  <c r="H87" i="41" s="1"/>
  <c r="O87" i="41"/>
  <c r="N87" i="41" s="1"/>
  <c r="F89" i="41"/>
  <c r="F88" i="41"/>
  <c r="F87" i="41"/>
  <c r="D89" i="41" a="1"/>
  <c r="D89" i="41" s="1"/>
  <c r="D88" i="41" a="1"/>
  <c r="D88" i="41" s="1"/>
  <c r="B89" i="41"/>
  <c r="D87" i="41" a="1"/>
  <c r="D87" i="41" s="1"/>
  <c r="B88" i="41"/>
  <c r="C89" i="41"/>
  <c r="B87" i="41"/>
  <c r="K89" i="41"/>
  <c r="H89" i="41" a="1"/>
  <c r="H89" i="41" s="1"/>
  <c r="C88" i="41"/>
  <c r="O89" i="41"/>
  <c r="N89" i="41" s="1"/>
  <c r="K88" i="41"/>
  <c r="H88" i="41" a="1"/>
  <c r="H88" i="41" s="1"/>
  <c r="C87" i="41"/>
  <c r="L428" i="35"/>
  <c r="H428" i="35"/>
  <c r="L427" i="35"/>
  <c r="H427" i="35"/>
  <c r="L425" i="35"/>
  <c r="L426" i="35"/>
  <c r="H425" i="35"/>
  <c r="H426" i="35"/>
  <c r="H424" i="35"/>
  <c r="L424" i="35"/>
  <c r="L423" i="35"/>
  <c r="H423" i="35"/>
  <c r="L421" i="35"/>
  <c r="L422" i="35"/>
  <c r="H335" i="35"/>
  <c r="H421" i="35"/>
  <c r="Y963" i="31"/>
  <c r="AA963" i="31"/>
  <c r="Q963" i="31"/>
  <c r="R963" i="31"/>
  <c r="Q520" i="33"/>
  <c r="L420" i="35"/>
  <c r="H420" i="35"/>
  <c r="L419" i="35"/>
  <c r="H419" i="35"/>
  <c r="H25" i="35"/>
  <c r="L418" i="35"/>
  <c r="H418" i="35"/>
  <c r="S217" i="33"/>
  <c r="S110" i="33"/>
  <c r="J217" i="33"/>
  <c r="K217" i="33"/>
  <c r="Q217" i="33"/>
  <c r="J110" i="33"/>
  <c r="K110" i="33"/>
  <c r="Q110" i="33"/>
  <c r="R110" i="33" s="1"/>
  <c r="M1012" i="31"/>
  <c r="K418" i="33"/>
  <c r="Y1012" i="31"/>
  <c r="Q1012" i="31"/>
  <c r="R1012" i="31"/>
  <c r="AA1012" i="31"/>
  <c r="K349" i="33"/>
  <c r="K324" i="33"/>
  <c r="K363" i="33"/>
  <c r="K408" i="33"/>
  <c r="K259" i="33"/>
  <c r="K290" i="33"/>
  <c r="K381" i="33"/>
  <c r="K466" i="33"/>
  <c r="K465" i="33"/>
  <c r="K219" i="33"/>
  <c r="K412" i="33"/>
  <c r="K536" i="33"/>
  <c r="K477" i="33"/>
  <c r="K343" i="33"/>
  <c r="K457" i="33"/>
  <c r="K400" i="33"/>
  <c r="K312" i="33"/>
  <c r="K535" i="33"/>
  <c r="K537" i="33"/>
  <c r="K162" i="33"/>
  <c r="K478" i="33"/>
  <c r="K356" i="33"/>
  <c r="K476" i="33"/>
  <c r="K491" i="33"/>
  <c r="K425" i="33"/>
  <c r="Q271" i="33"/>
  <c r="K490" i="33"/>
  <c r="K257" i="33"/>
  <c r="K288" i="33"/>
  <c r="K497" i="33"/>
  <c r="K339" i="33"/>
  <c r="K119" i="33"/>
  <c r="K420" i="33"/>
  <c r="K424" i="33"/>
  <c r="K281" i="33"/>
  <c r="K386" i="33"/>
  <c r="K358" i="33"/>
  <c r="K50" i="33"/>
  <c r="K296" i="33"/>
  <c r="K327" i="33"/>
  <c r="K388" i="33"/>
  <c r="K318" i="33"/>
  <c r="K370" i="33"/>
  <c r="K326" i="33"/>
  <c r="K313" i="33"/>
  <c r="K319" i="33"/>
  <c r="K289" i="33"/>
  <c r="K393" i="33"/>
  <c r="K413" i="33"/>
  <c r="K469" i="33"/>
  <c r="K503" i="33"/>
  <c r="K403" i="33"/>
  <c r="K365" i="33"/>
  <c r="K233" i="33"/>
  <c r="K394" i="33"/>
  <c r="K407" i="33"/>
  <c r="K483" i="33"/>
  <c r="K455" i="33"/>
  <c r="K391" i="33"/>
  <c r="K460" i="33"/>
  <c r="K416" i="33"/>
  <c r="K426" i="33"/>
  <c r="K397" i="33"/>
  <c r="K353" i="33"/>
  <c r="K272" i="33"/>
  <c r="K271" i="33"/>
  <c r="K295" i="33"/>
  <c r="K323" i="33"/>
  <c r="K250" i="33"/>
  <c r="K294" i="33"/>
  <c r="K398" i="33"/>
  <c r="K511" i="33"/>
  <c r="K384" i="33"/>
  <c r="K211" i="33"/>
  <c r="K507" i="33"/>
  <c r="K402" i="33"/>
  <c r="K364" i="33"/>
  <c r="K334" i="33"/>
  <c r="K239" i="33"/>
  <c r="K338" i="33"/>
  <c r="K161" i="33"/>
  <c r="K380" i="33"/>
  <c r="K451" i="33"/>
  <c r="Y928" i="31"/>
  <c r="Y925" i="31"/>
  <c r="Y1013" i="31"/>
  <c r="Y927" i="31"/>
  <c r="Y972" i="31"/>
  <c r="Y939" i="31"/>
  <c r="Y920" i="31"/>
  <c r="Y949" i="31"/>
  <c r="P15" i="41" s="1"/>
  <c r="Y933" i="31"/>
  <c r="Y987" i="31"/>
  <c r="Y955" i="31"/>
  <c r="Y983" i="31"/>
  <c r="Y943" i="31"/>
  <c r="Y952" i="31"/>
  <c r="Y999" i="31"/>
  <c r="Y981" i="31"/>
  <c r="Y1005" i="31"/>
  <c r="P14" i="41" s="1"/>
  <c r="Y958" i="31"/>
  <c r="Y994" i="31"/>
  <c r="Y1001" i="31"/>
  <c r="Y982" i="31"/>
  <c r="Y941" i="31"/>
  <c r="Y938" i="31"/>
  <c r="Y976" i="31"/>
  <c r="Y907" i="31"/>
  <c r="Y919" i="31"/>
  <c r="Y992" i="31"/>
  <c r="Y986" i="31"/>
  <c r="Y923" i="31"/>
  <c r="Y979" i="31"/>
  <c r="Y967" i="31"/>
  <c r="Y956" i="31"/>
  <c r="Y970" i="31"/>
  <c r="Y1022" i="31"/>
  <c r="Y947" i="31"/>
  <c r="Y971" i="31"/>
  <c r="Y929" i="31"/>
  <c r="Y997" i="31"/>
  <c r="Y926" i="31"/>
  <c r="J271" i="33"/>
  <c r="S271" i="33"/>
  <c r="H85" i="41" a="1"/>
  <c r="H85" i="41" s="1"/>
  <c r="H75" i="41" a="1"/>
  <c r="H75" i="41" s="1"/>
  <c r="H65" i="41" a="1"/>
  <c r="H65" i="41" s="1"/>
  <c r="H55" i="41" a="1"/>
  <c r="H55" i="41" s="1"/>
  <c r="H45" i="41" a="1"/>
  <c r="H45" i="41" s="1"/>
  <c r="H35" i="41" a="1"/>
  <c r="H35" i="41" s="1"/>
  <c r="H25" i="41" a="1"/>
  <c r="H25" i="41" s="1"/>
  <c r="H15" i="41" a="1"/>
  <c r="H15" i="41" s="1"/>
  <c r="H5" i="41" a="1"/>
  <c r="H5" i="41" s="1"/>
  <c r="D8" i="41" a="1"/>
  <c r="D8" i="41" s="1"/>
  <c r="D70" i="41" a="1"/>
  <c r="D70" i="41" s="1"/>
  <c r="D60" i="41" a="1"/>
  <c r="D60" i="41" s="1"/>
  <c r="D50" i="41" a="1"/>
  <c r="D50" i="41" s="1"/>
  <c r="D58" i="41" a="1"/>
  <c r="D58" i="41" s="1"/>
  <c r="D31" i="41" a="1"/>
  <c r="D31" i="41" s="1"/>
  <c r="D21" i="41" a="1"/>
  <c r="D21" i="41" s="1"/>
  <c r="D11" i="41" a="1"/>
  <c r="D11" i="41" s="1"/>
  <c r="H12" i="41" a="1"/>
  <c r="H12" i="41" s="1"/>
  <c r="H74" i="41" a="1"/>
  <c r="H74" i="41" s="1"/>
  <c r="H64" i="41" a="1"/>
  <c r="H64" i="41" s="1"/>
  <c r="H80" i="41" a="1"/>
  <c r="H80" i="41" s="1"/>
  <c r="H63" i="41" a="1"/>
  <c r="H63" i="41" s="1"/>
  <c r="H54" i="41" a="1"/>
  <c r="H54" i="41" s="1"/>
  <c r="H24" i="41" a="1"/>
  <c r="H24" i="41" s="1"/>
  <c r="H14" i="41" a="1"/>
  <c r="H14" i="41" s="1"/>
  <c r="H19" i="41" a="1"/>
  <c r="H19" i="41" s="1"/>
  <c r="D79" i="41" a="1"/>
  <c r="D79" i="41" s="1"/>
  <c r="D69" i="41" a="1"/>
  <c r="D69" i="41" s="1"/>
  <c r="D59" i="41" a="1"/>
  <c r="D59" i="41" s="1"/>
  <c r="D49" i="41" a="1"/>
  <c r="D49" i="41" s="1"/>
  <c r="D57" i="41" a="1"/>
  <c r="D57" i="41" s="1"/>
  <c r="D44" i="41" a="1"/>
  <c r="D44" i="41" s="1"/>
  <c r="D20" i="41" a="1"/>
  <c r="D20" i="41" s="1"/>
  <c r="D10" i="41" a="1"/>
  <c r="D10" i="41" s="1"/>
  <c r="H83" i="41" a="1"/>
  <c r="H83" i="41" s="1"/>
  <c r="H73" i="41" a="1"/>
  <c r="H73" i="41" s="1"/>
  <c r="H4" i="41" a="1"/>
  <c r="H4" i="41" s="1"/>
  <c r="H53" i="41" a="1"/>
  <c r="H53" i="41" s="1"/>
  <c r="H43" i="41" a="1"/>
  <c r="H43" i="41" s="1"/>
  <c r="H33" i="41" a="1"/>
  <c r="H33" i="41" s="1"/>
  <c r="H40" i="41" a="1"/>
  <c r="H40" i="41" s="1"/>
  <c r="H13" i="41" a="1"/>
  <c r="H13" i="41" s="1"/>
  <c r="H18" i="41" a="1"/>
  <c r="H18" i="41" s="1"/>
  <c r="D78" i="41" a="1"/>
  <c r="D78" i="41" s="1"/>
  <c r="D68" i="41" a="1"/>
  <c r="D68" i="41" s="1"/>
  <c r="D3" i="41" a="1"/>
  <c r="D3" i="41" s="1"/>
  <c r="D48" i="41" a="1"/>
  <c r="D48" i="41" s="1"/>
  <c r="D56" i="41" a="1"/>
  <c r="D56" i="41" s="1"/>
  <c r="D29" i="41" a="1"/>
  <c r="D29" i="41" s="1"/>
  <c r="D39" i="41" a="1"/>
  <c r="D39" i="41" s="1"/>
  <c r="D32" i="41" a="1"/>
  <c r="D32" i="41" s="1"/>
  <c r="H82" i="41" a="1"/>
  <c r="H82" i="41" s="1"/>
  <c r="H72" i="41" a="1"/>
  <c r="H72" i="41" s="1"/>
  <c r="H62" i="41" a="1"/>
  <c r="H62" i="41" s="1"/>
  <c r="H52" i="41" a="1"/>
  <c r="H52" i="41" s="1"/>
  <c r="H42" i="41" a="1"/>
  <c r="H42" i="41" s="1"/>
  <c r="H47" i="41" a="1"/>
  <c r="H47" i="41" s="1"/>
  <c r="H22" i="41" a="1"/>
  <c r="H22" i="41" s="1"/>
  <c r="H34" i="41" a="1"/>
  <c r="H34" i="41" s="1"/>
  <c r="D77" i="41" a="1"/>
  <c r="D77" i="41" s="1"/>
  <c r="D6" i="41" a="1"/>
  <c r="D6" i="41" s="1"/>
  <c r="D84" i="41" a="1"/>
  <c r="D84" i="41" s="1"/>
  <c r="D67" i="41" a="1"/>
  <c r="D67" i="41" s="1"/>
  <c r="D37" i="41" a="1"/>
  <c r="D37" i="41" s="1"/>
  <c r="D28" i="41" a="1"/>
  <c r="D28" i="41" s="1"/>
  <c r="D38" i="41" a="1"/>
  <c r="D38" i="41" s="1"/>
  <c r="D30" i="41" a="1"/>
  <c r="D30" i="41" s="1"/>
  <c r="H9" i="41" a="1"/>
  <c r="H9" i="41" s="1"/>
  <c r="H71" i="41" a="1"/>
  <c r="H71" i="41" s="1"/>
  <c r="H61" i="41" a="1"/>
  <c r="H61" i="41" s="1"/>
  <c r="H51" i="41" a="1"/>
  <c r="H51" i="41" s="1"/>
  <c r="H41" i="41" a="1"/>
  <c r="H41" i="41" s="1"/>
  <c r="H31" i="41" a="1"/>
  <c r="H31" i="41" s="1"/>
  <c r="H21" i="41" a="1"/>
  <c r="H21" i="41" s="1"/>
  <c r="H11" i="41" a="1"/>
  <c r="H11" i="41" s="1"/>
  <c r="D86" i="41" a="1"/>
  <c r="D86" i="41" s="1"/>
  <c r="D76" i="41" a="1"/>
  <c r="D76" i="41" s="1"/>
  <c r="D66" i="41" a="1"/>
  <c r="D66" i="41" s="1"/>
  <c r="D81" i="41" a="1"/>
  <c r="D81" i="41" s="1"/>
  <c r="D46" i="41" a="1"/>
  <c r="D46" i="41" s="1"/>
  <c r="D36" i="41" a="1"/>
  <c r="D36" i="41" s="1"/>
  <c r="D27" i="41" a="1"/>
  <c r="D27" i="41" s="1"/>
  <c r="D17" i="41" a="1"/>
  <c r="D17" i="41" s="1"/>
  <c r="D7" i="41" a="1"/>
  <c r="D7" i="41" s="1"/>
  <c r="H8" i="41" a="1"/>
  <c r="H8" i="41" s="1"/>
  <c r="H70" i="41" a="1"/>
  <c r="H70" i="41" s="1"/>
  <c r="H60" i="41" a="1"/>
  <c r="H60" i="41" s="1"/>
  <c r="H50" i="41" a="1"/>
  <c r="H50" i="41" s="1"/>
  <c r="H58" i="41" a="1"/>
  <c r="H58" i="41" s="1"/>
  <c r="H44" i="41" a="1"/>
  <c r="H44" i="41" s="1"/>
  <c r="H20" i="41" a="1"/>
  <c r="H20" i="41" s="1"/>
  <c r="H10" i="41" a="1"/>
  <c r="H10" i="41" s="1"/>
  <c r="D85" i="41" a="1"/>
  <c r="D85" i="41" s="1"/>
  <c r="D75" i="41" a="1"/>
  <c r="D75" i="41" s="1"/>
  <c r="D65" i="41" a="1"/>
  <c r="D65" i="41" s="1"/>
  <c r="D55" i="41" a="1"/>
  <c r="D55" i="41" s="1"/>
  <c r="D45" i="41" a="1"/>
  <c r="D45" i="41" s="1"/>
  <c r="D35" i="41" a="1"/>
  <c r="D35" i="41" s="1"/>
  <c r="D26" i="41" a="1"/>
  <c r="D26" i="41" s="1"/>
  <c r="D16" i="41" a="1"/>
  <c r="D16" i="41" s="1"/>
  <c r="D23" i="41" a="1"/>
  <c r="D23" i="41" s="1"/>
  <c r="H79" i="41" a="1"/>
  <c r="H79" i="41" s="1"/>
  <c r="H69" i="41" a="1"/>
  <c r="H69" i="41" s="1"/>
  <c r="H59" i="41" a="1"/>
  <c r="H59" i="41" s="1"/>
  <c r="H49" i="41" a="1"/>
  <c r="H49" i="41" s="1"/>
  <c r="H57" i="41" a="1"/>
  <c r="H57" i="41" s="1"/>
  <c r="H29" i="41" a="1"/>
  <c r="H29" i="41" s="1"/>
  <c r="H39" i="41" a="1"/>
  <c r="H39" i="41" s="1"/>
  <c r="H32" i="41" a="1"/>
  <c r="H32" i="41" s="1"/>
  <c r="D12" i="41" a="1"/>
  <c r="D12" i="41" s="1"/>
  <c r="D74" i="41" a="1"/>
  <c r="D74" i="41" s="1"/>
  <c r="D64" i="41" a="1"/>
  <c r="D64" i="41" s="1"/>
  <c r="D80" i="41" a="1"/>
  <c r="D80" i="41" s="1"/>
  <c r="D63" i="41" a="1"/>
  <c r="D63" i="41" s="1"/>
  <c r="D54" i="41" a="1"/>
  <c r="D54" i="41" s="1"/>
  <c r="D25" i="41" a="1"/>
  <c r="D25" i="41" s="1"/>
  <c r="D15" i="41" a="1"/>
  <c r="D15" i="41" s="1"/>
  <c r="D5" i="41" a="1"/>
  <c r="D5" i="41" s="1"/>
  <c r="H78" i="41" a="1"/>
  <c r="H78" i="41" s="1"/>
  <c r="H68" i="41" a="1"/>
  <c r="H68" i="41" s="1"/>
  <c r="H3" i="41" a="1"/>
  <c r="H3" i="41" s="1"/>
  <c r="H48" i="41" a="1"/>
  <c r="H48" i="41" s="1"/>
  <c r="H56" i="41" a="1"/>
  <c r="H56" i="41" s="1"/>
  <c r="H28" i="41" a="1"/>
  <c r="H28" i="41" s="1"/>
  <c r="H38" i="41" a="1"/>
  <c r="H38" i="41" s="1"/>
  <c r="H30" i="41" a="1"/>
  <c r="H30" i="41" s="1"/>
  <c r="D83" i="41" a="1"/>
  <c r="D83" i="41" s="1"/>
  <c r="D73" i="41" a="1"/>
  <c r="D73" i="41" s="1"/>
  <c r="D4" i="41" a="1"/>
  <c r="D4" i="41" s="1"/>
  <c r="D53" i="41" a="1"/>
  <c r="D53" i="41" s="1"/>
  <c r="D43" i="41" a="1"/>
  <c r="D43" i="41" s="1"/>
  <c r="D33" i="41" a="1"/>
  <c r="D33" i="41" s="1"/>
  <c r="D24" i="41" a="1"/>
  <c r="D24" i="41" s="1"/>
  <c r="D14" i="41" a="1"/>
  <c r="D14" i="41" s="1"/>
  <c r="D19" i="41" a="1"/>
  <c r="D19" i="41" s="1"/>
  <c r="H77" i="41" a="1"/>
  <c r="H77" i="41" s="1"/>
  <c r="H6" i="41" a="1"/>
  <c r="H6" i="41" s="1"/>
  <c r="H84" i="41" a="1"/>
  <c r="H84" i="41" s="1"/>
  <c r="H67" i="41" a="1"/>
  <c r="H67" i="41" s="1"/>
  <c r="H37" i="41" a="1"/>
  <c r="H37" i="41" s="1"/>
  <c r="H27" i="41" a="1"/>
  <c r="H27" i="41" s="1"/>
  <c r="H17" i="41" a="1"/>
  <c r="H17" i="41" s="1"/>
  <c r="H7" i="41" a="1"/>
  <c r="H7" i="41" s="1"/>
  <c r="D82" i="41" a="1"/>
  <c r="D82" i="41" s="1"/>
  <c r="D72" i="41" a="1"/>
  <c r="D72" i="41" s="1"/>
  <c r="D62" i="41" a="1"/>
  <c r="D62" i="41" s="1"/>
  <c r="D52" i="41" a="1"/>
  <c r="D52" i="41" s="1"/>
  <c r="D42" i="41" a="1"/>
  <c r="D42" i="41" s="1"/>
  <c r="D40" i="41" a="1"/>
  <c r="D40" i="41" s="1"/>
  <c r="D13" i="41" a="1"/>
  <c r="D13" i="41" s="1"/>
  <c r="D18" i="41" a="1"/>
  <c r="D18" i="41" s="1"/>
  <c r="H86" i="41" a="1"/>
  <c r="H86" i="41" s="1"/>
  <c r="H76" i="41" a="1"/>
  <c r="H76" i="41" s="1"/>
  <c r="H66" i="41" a="1"/>
  <c r="H66" i="41" s="1"/>
  <c r="H81" i="41" a="1"/>
  <c r="H81" i="41" s="1"/>
  <c r="H46" i="41" a="1"/>
  <c r="H46" i="41" s="1"/>
  <c r="H36" i="41" a="1"/>
  <c r="H36" i="41" s="1"/>
  <c r="H26" i="41" a="1"/>
  <c r="H26" i="41" s="1"/>
  <c r="H16" i="41" a="1"/>
  <c r="H16" i="41" s="1"/>
  <c r="H23" i="41" a="1"/>
  <c r="H23" i="41" s="1"/>
  <c r="D9" i="41" a="1"/>
  <c r="D9" i="41" s="1"/>
  <c r="D71" i="41" a="1"/>
  <c r="D71" i="41" s="1"/>
  <c r="D61" i="41" a="1"/>
  <c r="D61" i="41" s="1"/>
  <c r="D51" i="41" a="1"/>
  <c r="D51" i="41" s="1"/>
  <c r="D41" i="41" a="1"/>
  <c r="D41" i="41" s="1"/>
  <c r="D47" i="41" a="1"/>
  <c r="D47" i="41" s="1"/>
  <c r="D22" i="41" a="1"/>
  <c r="D22" i="41" s="1"/>
  <c r="AA971" i="31"/>
  <c r="AA995" i="31"/>
  <c r="AA977" i="31"/>
  <c r="AA908" i="31"/>
  <c r="AA953" i="31"/>
  <c r="AA929" i="31"/>
  <c r="AA997" i="31"/>
  <c r="AA926" i="31"/>
  <c r="AA978" i="31"/>
  <c r="AA916" i="31"/>
  <c r="AA1018" i="31"/>
  <c r="AA936" i="31"/>
  <c r="AA944" i="31"/>
  <c r="AA928" i="31"/>
  <c r="AA925" i="31"/>
  <c r="AA1013" i="31"/>
  <c r="AA942" i="31"/>
  <c r="AA904" i="31"/>
  <c r="AA940" i="31"/>
  <c r="AA950" i="31"/>
  <c r="AA980" i="31"/>
  <c r="AA927" i="31"/>
  <c r="AA972" i="31"/>
  <c r="AA939" i="31"/>
  <c r="AA959" i="31"/>
  <c r="AA1011" i="31"/>
  <c r="AA920" i="31"/>
  <c r="AA949" i="31"/>
  <c r="AA957" i="31"/>
  <c r="AA933" i="31"/>
  <c r="AA987" i="31"/>
  <c r="AA996" i="31"/>
  <c r="AA1003" i="31"/>
  <c r="AA1015" i="31"/>
  <c r="AA955" i="31"/>
  <c r="AA917" i="31"/>
  <c r="AA983" i="31"/>
  <c r="AA943" i="31"/>
  <c r="AA952" i="31"/>
  <c r="AA960" i="31"/>
  <c r="AA999" i="31"/>
  <c r="AA909" i="31"/>
  <c r="AA1002" i="31"/>
  <c r="AA1009" i="31"/>
  <c r="AA924" i="31"/>
  <c r="AA981" i="31"/>
  <c r="AA1005" i="31"/>
  <c r="AA958" i="31"/>
  <c r="AA994" i="31"/>
  <c r="AA1004" i="31"/>
  <c r="AA969" i="31"/>
  <c r="AA966" i="31"/>
  <c r="AA934" i="31"/>
  <c r="AA1001" i="31"/>
  <c r="AA982" i="31"/>
  <c r="AA941" i="31"/>
  <c r="AA984" i="31"/>
  <c r="AA938" i="31"/>
  <c r="AA912" i="31"/>
  <c r="AA991" i="31"/>
  <c r="AA976" i="31"/>
  <c r="AA907" i="31"/>
  <c r="AA919" i="31"/>
  <c r="AA992" i="31"/>
  <c r="AA986" i="31"/>
  <c r="AA914" i="31"/>
  <c r="AA930" i="31"/>
  <c r="AA913" i="31"/>
  <c r="AA951" i="31"/>
  <c r="AA923" i="31"/>
  <c r="AA1000" i="31"/>
  <c r="AA979" i="31"/>
  <c r="AA911" i="31"/>
  <c r="AA965" i="31"/>
  <c r="AA1020" i="31"/>
  <c r="AA922" i="31"/>
  <c r="AA967" i="31"/>
  <c r="AA956" i="31"/>
  <c r="AA970" i="31"/>
  <c r="AA1022" i="31"/>
  <c r="AA947" i="31"/>
  <c r="Z986" i="31"/>
  <c r="Z959" i="31"/>
  <c r="Z1011" i="31"/>
  <c r="Z920" i="31"/>
  <c r="Z949" i="31"/>
  <c r="Z957" i="31"/>
  <c r="Z933" i="31"/>
  <c r="Z911" i="31"/>
  <c r="Z996" i="31"/>
  <c r="Z1003" i="31"/>
  <c r="Z1015" i="31"/>
  <c r="Z955" i="31"/>
  <c r="Z917" i="31"/>
  <c r="Z983" i="31"/>
  <c r="Z943" i="31"/>
  <c r="Z960" i="31"/>
  <c r="Z999" i="31"/>
  <c r="Z909" i="31"/>
  <c r="Z1002" i="31"/>
  <c r="Z1009" i="31"/>
  <c r="Z924" i="31"/>
  <c r="Z981" i="31"/>
  <c r="Z1005" i="31"/>
  <c r="Z994" i="31"/>
  <c r="Z1004" i="31"/>
  <c r="Z969" i="31"/>
  <c r="Z966" i="31"/>
  <c r="Z934" i="31"/>
  <c r="Z1001" i="31"/>
  <c r="Z982" i="31"/>
  <c r="Z984" i="31"/>
  <c r="Z938" i="31"/>
  <c r="Z912" i="31"/>
  <c r="Z991" i="31"/>
  <c r="Z976" i="31"/>
  <c r="Z907" i="31"/>
  <c r="Z919" i="31"/>
  <c r="Z992" i="31"/>
  <c r="Z947" i="31"/>
  <c r="Z914" i="31"/>
  <c r="Z930" i="31"/>
  <c r="Z913" i="31"/>
  <c r="Z951" i="31"/>
  <c r="Z923" i="31"/>
  <c r="Z1000" i="31"/>
  <c r="Z979" i="31"/>
  <c r="Z987" i="31"/>
  <c r="Z965" i="31"/>
  <c r="Z1020" i="31"/>
  <c r="Z922" i="31"/>
  <c r="Z967" i="31"/>
  <c r="Z956" i="31"/>
  <c r="Z970" i="31"/>
  <c r="Z1022" i="31"/>
  <c r="Z952" i="31"/>
  <c r="Z971" i="31"/>
  <c r="Z995" i="31"/>
  <c r="Z977" i="31"/>
  <c r="Z908" i="31"/>
  <c r="Z953" i="31"/>
  <c r="Z929" i="31"/>
  <c r="Z997" i="31"/>
  <c r="Z926" i="31"/>
  <c r="Z958" i="31"/>
  <c r="Z978" i="31"/>
  <c r="Z916" i="31"/>
  <c r="Z1018" i="31"/>
  <c r="Z936" i="31"/>
  <c r="Z944" i="31"/>
  <c r="Z928" i="31"/>
  <c r="Z925" i="31"/>
  <c r="Z1013" i="31"/>
  <c r="Z941" i="31"/>
  <c r="Z942" i="31"/>
  <c r="Z904" i="31"/>
  <c r="Z940" i="31"/>
  <c r="Z950" i="31"/>
  <c r="Z980" i="31"/>
  <c r="Z927" i="31"/>
  <c r="Z972" i="31"/>
  <c r="Z939" i="31"/>
  <c r="B12" i="41"/>
  <c r="B74" i="41"/>
  <c r="B64" i="41"/>
  <c r="O78" i="41"/>
  <c r="N78" i="41" s="1"/>
  <c r="O68" i="41"/>
  <c r="N68" i="41" s="1"/>
  <c r="K77" i="41"/>
  <c r="K6" i="41"/>
  <c r="F83" i="41"/>
  <c r="F73" i="41"/>
  <c r="F4" i="41"/>
  <c r="C9" i="41"/>
  <c r="C71" i="41"/>
  <c r="C61" i="41"/>
  <c r="C86" i="41"/>
  <c r="B83" i="41"/>
  <c r="B73" i="41"/>
  <c r="B4" i="41"/>
  <c r="O77" i="41"/>
  <c r="N77" i="41" s="1"/>
  <c r="O6" i="41"/>
  <c r="N6" i="41" s="1"/>
  <c r="K76" i="41"/>
  <c r="K66" i="41"/>
  <c r="F82" i="41"/>
  <c r="F72" i="41"/>
  <c r="F62" i="41"/>
  <c r="C8" i="41"/>
  <c r="C70" i="41"/>
  <c r="B86" i="41"/>
  <c r="C85" i="41"/>
  <c r="B82" i="41"/>
  <c r="B72" i="41"/>
  <c r="B62" i="41"/>
  <c r="O76" i="41"/>
  <c r="N76" i="41" s="1"/>
  <c r="O66" i="41"/>
  <c r="N66" i="41" s="1"/>
  <c r="K75" i="41"/>
  <c r="K65" i="41"/>
  <c r="F9" i="41"/>
  <c r="F71" i="41"/>
  <c r="F61" i="41"/>
  <c r="C79" i="41"/>
  <c r="C69" i="41"/>
  <c r="B85" i="41"/>
  <c r="B9" i="41"/>
  <c r="B71" i="41"/>
  <c r="B61" i="41"/>
  <c r="O75" i="41"/>
  <c r="N75" i="41" s="1"/>
  <c r="O65" i="41"/>
  <c r="N65" i="41" s="1"/>
  <c r="K12" i="41"/>
  <c r="K74" i="41"/>
  <c r="K64" i="41"/>
  <c r="F8" i="41"/>
  <c r="F70" i="41"/>
  <c r="C78" i="41"/>
  <c r="C68" i="41"/>
  <c r="O86" i="41"/>
  <c r="N86" i="41" s="1"/>
  <c r="B8" i="41"/>
  <c r="B70" i="41"/>
  <c r="O12" i="41"/>
  <c r="N12" i="41" s="1"/>
  <c r="O74" i="41"/>
  <c r="N74" i="41" s="1"/>
  <c r="O64" i="41"/>
  <c r="N64" i="41" s="1"/>
  <c r="K83" i="41"/>
  <c r="K73" i="41"/>
  <c r="K4" i="41"/>
  <c r="F79" i="41"/>
  <c r="F69" i="41"/>
  <c r="C77" i="41"/>
  <c r="C6" i="41"/>
  <c r="O85" i="41"/>
  <c r="N85" i="41" s="1"/>
  <c r="B79" i="41"/>
  <c r="B69" i="41"/>
  <c r="O83" i="41"/>
  <c r="N83" i="41" s="1"/>
  <c r="O73" i="41"/>
  <c r="N73" i="41" s="1"/>
  <c r="O4" i="41"/>
  <c r="N4" i="41" s="1"/>
  <c r="K82" i="41"/>
  <c r="K72" i="41"/>
  <c r="K62" i="41"/>
  <c r="F78" i="41"/>
  <c r="F68" i="41"/>
  <c r="C76" i="41"/>
  <c r="C66" i="41"/>
  <c r="B78" i="41"/>
  <c r="B68" i="41"/>
  <c r="O82" i="41"/>
  <c r="N82" i="41" s="1"/>
  <c r="O72" i="41"/>
  <c r="N72" i="41" s="1"/>
  <c r="O62" i="41"/>
  <c r="N62" i="41" s="1"/>
  <c r="K9" i="41"/>
  <c r="K71" i="41"/>
  <c r="K61" i="41"/>
  <c r="F77" i="41"/>
  <c r="F6" i="41"/>
  <c r="C75" i="41"/>
  <c r="C65" i="41"/>
  <c r="F86" i="41"/>
  <c r="B77" i="41"/>
  <c r="B6" i="41"/>
  <c r="O9" i="41"/>
  <c r="N9" i="41" s="1"/>
  <c r="O71" i="41"/>
  <c r="N71" i="41" s="1"/>
  <c r="O61" i="41"/>
  <c r="N61" i="41" s="1"/>
  <c r="K8" i="41"/>
  <c r="K70" i="41"/>
  <c r="F76" i="41"/>
  <c r="F66" i="41"/>
  <c r="C12" i="41"/>
  <c r="C74" i="41"/>
  <c r="C64" i="41"/>
  <c r="F85" i="41"/>
  <c r="B76" i="41"/>
  <c r="B66" i="41"/>
  <c r="O8" i="41"/>
  <c r="N8" i="41" s="1"/>
  <c r="O70" i="41"/>
  <c r="N70" i="41" s="1"/>
  <c r="K79" i="41"/>
  <c r="K69" i="41"/>
  <c r="F75" i="41"/>
  <c r="F65" i="41"/>
  <c r="C83" i="41"/>
  <c r="C73" i="41"/>
  <c r="C4" i="41"/>
  <c r="K86" i="41"/>
  <c r="B75" i="41"/>
  <c r="B65" i="41"/>
  <c r="O79" i="41"/>
  <c r="N79" i="41" s="1"/>
  <c r="O69" i="41"/>
  <c r="N69" i="41" s="1"/>
  <c r="K78" i="41"/>
  <c r="K68" i="41"/>
  <c r="F12" i="41"/>
  <c r="F74" i="41"/>
  <c r="F64" i="41"/>
  <c r="C82" i="41"/>
  <c r="C72" i="41"/>
  <c r="C62" i="41"/>
  <c r="K85" i="41"/>
  <c r="M960" i="31"/>
  <c r="H417" i="35"/>
  <c r="L417" i="35"/>
  <c r="L416" i="35"/>
  <c r="H416" i="35"/>
  <c r="S272" i="33"/>
  <c r="Q469" i="33"/>
  <c r="R469" i="33" s="1"/>
  <c r="S469" i="33"/>
  <c r="J469" i="33"/>
  <c r="Q960" i="31"/>
  <c r="R960" i="31"/>
  <c r="Q272" i="33"/>
  <c r="R272" i="33" s="1"/>
  <c r="J272" i="33"/>
  <c r="Q994" i="31"/>
  <c r="M914" i="31"/>
  <c r="M984" i="31"/>
  <c r="M994" i="31"/>
  <c r="Q984" i="31"/>
  <c r="R984" i="31"/>
  <c r="Q914" i="31"/>
  <c r="R914" i="31"/>
  <c r="M965" i="31"/>
  <c r="Q425" i="33"/>
  <c r="R425" i="33" s="1"/>
  <c r="S339" i="33"/>
  <c r="Q965" i="31"/>
  <c r="R965" i="31"/>
  <c r="J339" i="33"/>
  <c r="Q339" i="33"/>
  <c r="M978" i="31"/>
  <c r="J425" i="33"/>
  <c r="S425" i="33"/>
  <c r="Q978" i="31"/>
  <c r="R978" i="31"/>
  <c r="M971" i="31"/>
  <c r="Q971" i="31"/>
  <c r="M942" i="31"/>
  <c r="Q942" i="31"/>
  <c r="R942" i="31"/>
  <c r="M959" i="31"/>
  <c r="M996" i="31"/>
  <c r="Q959" i="31"/>
  <c r="R959" i="31"/>
  <c r="M938" i="31"/>
  <c r="M999" i="31"/>
  <c r="Q996" i="31"/>
  <c r="R996" i="31"/>
  <c r="R999" i="31"/>
  <c r="M1004" i="31"/>
  <c r="Q1004" i="31"/>
  <c r="R1004" i="31"/>
  <c r="Q938" i="31"/>
  <c r="M930" i="31"/>
  <c r="Q930" i="31"/>
  <c r="R930" i="31"/>
  <c r="M1020" i="31"/>
  <c r="Q1020" i="31"/>
  <c r="R1020" i="31"/>
  <c r="M995" i="31"/>
  <c r="Q995" i="31"/>
  <c r="R995" i="31"/>
  <c r="AD197" i="31"/>
  <c r="I261" i="33"/>
  <c r="I262" i="33"/>
  <c r="H414" i="35"/>
  <c r="H415" i="35"/>
  <c r="I395" i="35"/>
  <c r="M414" i="35"/>
  <c r="L415" i="35"/>
  <c r="L414" i="35"/>
  <c r="L413" i="35"/>
  <c r="H413" i="35"/>
  <c r="M916" i="31"/>
  <c r="M904" i="31"/>
  <c r="Q916" i="31"/>
  <c r="R916" i="31"/>
  <c r="Q904" i="31"/>
  <c r="R904" i="31"/>
  <c r="F1003" i="31"/>
  <c r="M1003" i="31"/>
  <c r="Q1003" i="31"/>
  <c r="R1003" i="31"/>
  <c r="M912" i="31"/>
  <c r="C80" i="41"/>
  <c r="M909" i="31"/>
  <c r="Q909" i="31"/>
  <c r="R909" i="31"/>
  <c r="M969" i="31"/>
  <c r="Q969" i="31"/>
  <c r="R969" i="31"/>
  <c r="M922" i="31"/>
  <c r="Q912" i="31"/>
  <c r="R912" i="31"/>
  <c r="Q922" i="31"/>
  <c r="R922" i="31"/>
  <c r="L175" i="6"/>
  <c r="Q536" i="33"/>
  <c r="Q412" i="35"/>
  <c r="S206" i="31"/>
  <c r="T206" i="31" s="1"/>
  <c r="S536" i="33"/>
  <c r="J536" i="33"/>
  <c r="M977" i="31"/>
  <c r="Q977" i="31"/>
  <c r="R977" i="31"/>
  <c r="S197" i="31"/>
  <c r="T197" i="31" s="1"/>
  <c r="S237" i="31"/>
  <c r="T237" i="31" s="1"/>
  <c r="AD206" i="31"/>
  <c r="X206" i="31"/>
  <c r="Y206" i="31" s="1"/>
  <c r="Z206" i="31"/>
  <c r="X197" i="31"/>
  <c r="Y197" i="31" s="1"/>
  <c r="Z197" i="31"/>
  <c r="L411" i="35"/>
  <c r="I334" i="35"/>
  <c r="L406" i="35"/>
  <c r="H401" i="35"/>
  <c r="M410" i="35"/>
  <c r="L410" i="35"/>
  <c r="H406" i="35"/>
  <c r="I410" i="35"/>
  <c r="H410" i="35"/>
  <c r="AD237" i="31"/>
  <c r="X237" i="31"/>
  <c r="Y237" i="31" s="1"/>
  <c r="Z237" i="31"/>
  <c r="AD367" i="31"/>
  <c r="S322" i="31"/>
  <c r="T322" i="31" s="1"/>
  <c r="S321" i="31"/>
  <c r="T321" i="31" s="1"/>
  <c r="AD322" i="31"/>
  <c r="Z322" i="31"/>
  <c r="AD321" i="31"/>
  <c r="X322" i="31"/>
  <c r="Y322" i="31" s="1"/>
  <c r="X321" i="31"/>
  <c r="Y321" i="31" s="1"/>
  <c r="Z321" i="31"/>
  <c r="S367" i="31"/>
  <c r="T367" i="31" s="1"/>
  <c r="Z318" i="31"/>
  <c r="S366" i="31"/>
  <c r="T366" i="31" s="1"/>
  <c r="S317" i="31"/>
  <c r="T317" i="31" s="1"/>
  <c r="AD366" i="31"/>
  <c r="X367" i="31"/>
  <c r="Y367" i="31" s="1"/>
  <c r="Z367" i="31"/>
  <c r="S318" i="31"/>
  <c r="T318" i="31" s="1"/>
  <c r="X366" i="31"/>
  <c r="Y366" i="31" s="1"/>
  <c r="Z366" i="31"/>
  <c r="X318" i="31"/>
  <c r="Y318" i="31" s="1"/>
  <c r="AD318" i="31"/>
  <c r="AD317" i="31"/>
  <c r="F1011" i="31"/>
  <c r="X317" i="31"/>
  <c r="Y317" i="31" s="1"/>
  <c r="Z317" i="31"/>
  <c r="B60" i="41"/>
  <c r="B59" i="41"/>
  <c r="O60" i="41"/>
  <c r="N60" i="41" s="1"/>
  <c r="O59" i="41"/>
  <c r="N59" i="41" s="1"/>
  <c r="F60" i="41"/>
  <c r="F59" i="41"/>
  <c r="K60" i="41"/>
  <c r="K59" i="41"/>
  <c r="C60" i="41"/>
  <c r="C59" i="41"/>
  <c r="M1018" i="31"/>
  <c r="Q1018" i="31"/>
  <c r="R1018" i="31"/>
  <c r="M940" i="31"/>
  <c r="Q940" i="31"/>
  <c r="R940" i="31"/>
  <c r="E1011" i="31"/>
  <c r="O3" i="41"/>
  <c r="N3" i="41" s="1"/>
  <c r="O84" i="41"/>
  <c r="N84" i="41" s="1"/>
  <c r="O81" i="41"/>
  <c r="N81" i="41" s="1"/>
  <c r="O55" i="41"/>
  <c r="N55" i="41" s="1"/>
  <c r="O80" i="41"/>
  <c r="N80" i="41" s="1"/>
  <c r="B3" i="41"/>
  <c r="K3" i="41"/>
  <c r="F3" i="41"/>
  <c r="C3" i="41"/>
  <c r="B84" i="41"/>
  <c r="K84" i="41"/>
  <c r="F84" i="41"/>
  <c r="C84" i="41"/>
  <c r="B81" i="41"/>
  <c r="K81" i="41"/>
  <c r="F81" i="41"/>
  <c r="C81" i="41"/>
  <c r="B55" i="41"/>
  <c r="K55" i="41"/>
  <c r="F55" i="41"/>
  <c r="C55" i="41"/>
  <c r="B80" i="41"/>
  <c r="K80" i="41"/>
  <c r="F80" i="41"/>
  <c r="L142" i="6"/>
  <c r="M1011" i="31"/>
  <c r="Q1011" i="31"/>
  <c r="R1011" i="31"/>
  <c r="S316" i="31"/>
  <c r="T316" i="31" s="1"/>
  <c r="AD316" i="31"/>
  <c r="X316" i="31"/>
  <c r="Y316" i="31" s="1"/>
  <c r="Z316" i="31"/>
  <c r="H408" i="35"/>
  <c r="L409" i="35"/>
  <c r="L403" i="35"/>
  <c r="H409" i="35"/>
  <c r="M168" i="6"/>
  <c r="L168" i="6"/>
  <c r="E920" i="31"/>
  <c r="M1015" i="31"/>
  <c r="Q1015" i="31"/>
  <c r="R1015" i="31"/>
  <c r="J358" i="33"/>
  <c r="Q358" i="33"/>
  <c r="R358" i="33" s="1"/>
  <c r="S358" i="33"/>
  <c r="M1002" i="31"/>
  <c r="Q1002" i="31"/>
  <c r="R1002" i="31"/>
  <c r="S315" i="31"/>
  <c r="T315" i="31" s="1"/>
  <c r="M966" i="31"/>
  <c r="Q966" i="31"/>
  <c r="R966" i="31"/>
  <c r="S370" i="33"/>
  <c r="M991" i="31"/>
  <c r="Q991" i="31"/>
  <c r="R991" i="31"/>
  <c r="AD313" i="31"/>
  <c r="J455" i="33"/>
  <c r="Q455" i="33"/>
  <c r="R455" i="33" s="1"/>
  <c r="S455" i="33"/>
  <c r="J370" i="33"/>
  <c r="Q370" i="33"/>
  <c r="AD315" i="31"/>
  <c r="X315" i="31"/>
  <c r="Y315" i="31" s="1"/>
  <c r="Z315" i="31"/>
  <c r="S314" i="31"/>
  <c r="T314" i="31" s="1"/>
  <c r="L401" i="35"/>
  <c r="H360" i="35"/>
  <c r="AD314" i="31"/>
  <c r="X314" i="31"/>
  <c r="Y314" i="31" s="1"/>
  <c r="Z314" i="31"/>
  <c r="S313" i="31"/>
  <c r="T313" i="31" s="1"/>
  <c r="X313" i="31"/>
  <c r="Y313" i="31" s="1"/>
  <c r="Z313" i="31"/>
  <c r="S312" i="31"/>
  <c r="T312" i="31" s="1"/>
  <c r="G917" i="31" s="1"/>
  <c r="S163" i="31"/>
  <c r="T163" i="31" s="1"/>
  <c r="S311" i="31"/>
  <c r="T311" i="31" s="1"/>
  <c r="Z312" i="31"/>
  <c r="X312" i="31"/>
  <c r="Y312" i="31" s="1"/>
  <c r="AD312" i="31"/>
  <c r="AD311" i="31"/>
  <c r="X311" i="31"/>
  <c r="Y311" i="31" s="1"/>
  <c r="Z311" i="31"/>
  <c r="AD163" i="31"/>
  <c r="X163" i="31"/>
  <c r="Y163" i="31" s="1"/>
  <c r="Z163" i="31"/>
  <c r="Q483" i="33"/>
  <c r="J483" i="33"/>
  <c r="S483" i="33"/>
  <c r="M166" i="6"/>
  <c r="Q166" i="6" s="1"/>
  <c r="L166" i="6"/>
  <c r="S188" i="31"/>
  <c r="T188" i="31" s="1"/>
  <c r="S159" i="31"/>
  <c r="T159" i="31" s="1"/>
  <c r="L408" i="35"/>
  <c r="L407" i="35"/>
  <c r="H23" i="35"/>
  <c r="H403" i="35"/>
  <c r="Z157" i="31"/>
  <c r="AD159" i="31"/>
  <c r="Z159" i="31"/>
  <c r="X159" i="31"/>
  <c r="Y159" i="31" s="1"/>
  <c r="S157" i="31"/>
  <c r="T157" i="31" s="1"/>
  <c r="X157" i="31"/>
  <c r="Y157" i="31" s="1"/>
  <c r="AD157" i="31"/>
  <c r="AD188" i="31"/>
  <c r="X188" i="31"/>
  <c r="Y188" i="31" s="1"/>
  <c r="Z188" i="31"/>
  <c r="L405" i="35"/>
  <c r="H405" i="35"/>
  <c r="L395" i="35"/>
  <c r="L404" i="35"/>
  <c r="H404" i="35"/>
  <c r="H402" i="35"/>
  <c r="H49" i="35"/>
  <c r="H399" i="35"/>
  <c r="L402" i="35"/>
  <c r="Q39" i="33"/>
  <c r="B5" i="40" s="1"/>
  <c r="Q213" i="33"/>
  <c r="L399" i="35"/>
  <c r="H400" i="35"/>
  <c r="H395" i="35"/>
  <c r="L400" i="35"/>
  <c r="M167" i="6"/>
  <c r="S230" i="31"/>
  <c r="T230" i="31" s="1"/>
  <c r="L167" i="6"/>
  <c r="S68" i="31"/>
  <c r="T68" i="31" s="1"/>
  <c r="AD68" i="31"/>
  <c r="X68" i="31"/>
  <c r="Y68" i="31" s="1"/>
  <c r="Z68" i="31"/>
  <c r="Z54" i="31"/>
  <c r="S54" i="31"/>
  <c r="T54" i="31" s="1"/>
  <c r="AD54" i="31"/>
  <c r="X54" i="31"/>
  <c r="Y54" i="31" s="1"/>
  <c r="S156" i="31"/>
  <c r="T156" i="31" s="1"/>
  <c r="AD230" i="31"/>
  <c r="AD156" i="31"/>
  <c r="X156" i="31"/>
  <c r="Y156" i="31" s="1"/>
  <c r="Z156" i="31"/>
  <c r="Z230" i="31"/>
  <c r="X230" i="31"/>
  <c r="Y230" i="31" s="1"/>
  <c r="H394" i="35"/>
  <c r="H396" i="35"/>
  <c r="I396" i="35"/>
  <c r="M913" i="31"/>
  <c r="Q913" i="31"/>
  <c r="R913" i="31"/>
  <c r="Q393" i="35"/>
  <c r="H339" i="35"/>
  <c r="Q371" i="35"/>
  <c r="H398" i="35"/>
  <c r="H326" i="35"/>
  <c r="L396" i="35"/>
  <c r="L398" i="35"/>
  <c r="C52" i="41"/>
  <c r="S288" i="31"/>
  <c r="T288" i="31" s="1"/>
  <c r="AD288" i="31"/>
  <c r="AD287" i="31"/>
  <c r="X288" i="31"/>
  <c r="Y288" i="31" s="1"/>
  <c r="Z288" i="31"/>
  <c r="S287" i="31"/>
  <c r="T287" i="31" s="1"/>
  <c r="X287" i="31"/>
  <c r="Y287" i="31" s="1"/>
  <c r="Z287" i="31"/>
  <c r="S286" i="31"/>
  <c r="T286" i="31" s="1"/>
  <c r="M967" i="31"/>
  <c r="Q967" i="31"/>
  <c r="B52" i="41"/>
  <c r="O53" i="41"/>
  <c r="N53" i="41" s="1"/>
  <c r="O52" i="41"/>
  <c r="N52" i="41" s="1"/>
  <c r="M908" i="31"/>
  <c r="F53" i="41"/>
  <c r="F52" i="41"/>
  <c r="K53" i="41"/>
  <c r="K52" i="41"/>
  <c r="C53" i="41"/>
  <c r="B53" i="41"/>
  <c r="Q58" i="33"/>
  <c r="R58" i="33" s="1"/>
  <c r="Q908" i="31"/>
  <c r="R908" i="31"/>
  <c r="Z283" i="31"/>
  <c r="M936" i="31"/>
  <c r="C50" i="41"/>
  <c r="Q936" i="31"/>
  <c r="R936" i="31"/>
  <c r="AD283" i="31"/>
  <c r="S283" i="31"/>
  <c r="T283" i="31" s="1"/>
  <c r="Q291" i="33"/>
  <c r="R291" i="33" s="1"/>
  <c r="L397" i="35"/>
  <c r="L394" i="35"/>
  <c r="H397" i="35"/>
  <c r="M396" i="35"/>
  <c r="M394" i="35"/>
  <c r="L85" i="35"/>
  <c r="I394" i="35"/>
  <c r="Q459" i="33"/>
  <c r="R459" i="33" s="1"/>
  <c r="Q443" i="33"/>
  <c r="R443" i="33" s="1"/>
  <c r="H75" i="35"/>
  <c r="L383" i="35"/>
  <c r="H385" i="35"/>
  <c r="Z286" i="31"/>
  <c r="AD286" i="31"/>
  <c r="X286" i="31"/>
  <c r="Y286" i="31" s="1"/>
  <c r="X283" i="31"/>
  <c r="Y283" i="31" s="1"/>
  <c r="O75" i="6"/>
  <c r="Z297" i="31"/>
  <c r="S298" i="31"/>
  <c r="T298" i="31" s="1"/>
  <c r="Z298" i="31"/>
  <c r="X298" i="31"/>
  <c r="Y298" i="31" s="1"/>
  <c r="AD298" i="31"/>
  <c r="S297" i="31"/>
  <c r="T297" i="31" s="1"/>
  <c r="AD297" i="31"/>
  <c r="X297" i="31"/>
  <c r="Y297" i="31" s="1"/>
  <c r="M165" i="6"/>
  <c r="Q165" i="6" s="1"/>
  <c r="M160" i="6"/>
  <c r="N160" i="6"/>
  <c r="M164" i="6"/>
  <c r="Q164" i="6" s="1"/>
  <c r="L392" i="35"/>
  <c r="M392" i="35"/>
  <c r="Q373" i="35"/>
  <c r="M159" i="6"/>
  <c r="H392" i="35"/>
  <c r="O160" i="6"/>
  <c r="S294" i="31"/>
  <c r="T294" i="31" s="1"/>
  <c r="S291" i="31"/>
  <c r="T291" i="31" s="1"/>
  <c r="AD282" i="31"/>
  <c r="AD291" i="31"/>
  <c r="Z291" i="31"/>
  <c r="X282" i="31"/>
  <c r="Y282" i="31" s="1"/>
  <c r="X291" i="31"/>
  <c r="Y291" i="31" s="1"/>
  <c r="S282" i="31"/>
  <c r="T282" i="31" s="1"/>
  <c r="Z282" i="31"/>
  <c r="S267" i="31"/>
  <c r="T267" i="31" s="1"/>
  <c r="AD294" i="31"/>
  <c r="Z267" i="31"/>
  <c r="M72" i="35"/>
  <c r="L391" i="35"/>
  <c r="H391" i="35"/>
  <c r="H387" i="35"/>
  <c r="L387" i="35"/>
  <c r="X267" i="31"/>
  <c r="Y267" i="31" s="1"/>
  <c r="AD267" i="31"/>
  <c r="X294" i="31"/>
  <c r="Y294" i="31" s="1"/>
  <c r="Z294" i="31"/>
  <c r="S262" i="31"/>
  <c r="T262" i="31" s="1"/>
  <c r="S279" i="31"/>
  <c r="T279" i="31" s="1"/>
  <c r="AD279" i="31"/>
  <c r="X279" i="31"/>
  <c r="Y279" i="31" s="1"/>
  <c r="Z279" i="31"/>
  <c r="S293" i="31"/>
  <c r="T293" i="31" s="1"/>
  <c r="S135" i="31"/>
  <c r="T135" i="31" s="1"/>
  <c r="S137" i="31"/>
  <c r="T137" i="31" s="1"/>
  <c r="Z135" i="31"/>
  <c r="AD137" i="31"/>
  <c r="X137" i="31"/>
  <c r="Y137" i="31" s="1"/>
  <c r="Z137" i="31"/>
  <c r="X135" i="31"/>
  <c r="Y135" i="31" s="1"/>
  <c r="AD135" i="31"/>
  <c r="AD574" i="31"/>
  <c r="Z262" i="31"/>
  <c r="X262" i="31"/>
  <c r="Y262" i="31" s="1"/>
  <c r="AD262" i="31"/>
  <c r="S428" i="31"/>
  <c r="T428" i="31" s="1"/>
  <c r="S271" i="31"/>
  <c r="T271" i="31" s="1"/>
  <c r="AD428" i="31"/>
  <c r="X428" i="31"/>
  <c r="Y428" i="31" s="1"/>
  <c r="Z428" i="31"/>
  <c r="S276" i="31"/>
  <c r="T276" i="31" s="1"/>
  <c r="M439" i="33" s="1"/>
  <c r="Q390" i="35"/>
  <c r="N159" i="6"/>
  <c r="L164" i="6"/>
  <c r="P164" i="6" s="1"/>
  <c r="G33" i="36" s="1"/>
  <c r="I33" i="36" s="1"/>
  <c r="L381" i="35"/>
  <c r="L158" i="6"/>
  <c r="L161" i="6"/>
  <c r="M163" i="6"/>
  <c r="Q374" i="35"/>
  <c r="L163" i="6"/>
  <c r="S284" i="31"/>
  <c r="T284" i="31" s="1"/>
  <c r="L389" i="35"/>
  <c r="L160" i="6"/>
  <c r="M162" i="6"/>
  <c r="O159" i="6"/>
  <c r="L162" i="6"/>
  <c r="O162" i="6"/>
  <c r="H389" i="35"/>
  <c r="J373" i="35"/>
  <c r="L460" i="35" s="1"/>
  <c r="O158" i="6"/>
  <c r="L159" i="6"/>
  <c r="L165" i="6"/>
  <c r="F373" i="35"/>
  <c r="H460" i="35" s="1"/>
  <c r="N158" i="6"/>
  <c r="N162" i="6"/>
  <c r="M158" i="6"/>
  <c r="H388" i="35"/>
  <c r="L380" i="35"/>
  <c r="H380" i="35"/>
  <c r="L388" i="35"/>
  <c r="L384" i="35"/>
  <c r="H386" i="35"/>
  <c r="H383" i="35"/>
  <c r="L386" i="35"/>
  <c r="L385" i="35"/>
  <c r="H384" i="35"/>
  <c r="J353" i="33"/>
  <c r="Q353" i="33"/>
  <c r="S353" i="33"/>
  <c r="M950" i="31"/>
  <c r="Q950" i="31"/>
  <c r="R950" i="31"/>
  <c r="B51" i="41"/>
  <c r="O51" i="41"/>
  <c r="N51" i="41" s="1"/>
  <c r="K51" i="41"/>
  <c r="F51" i="41"/>
  <c r="C51" i="41"/>
  <c r="M161" i="6"/>
  <c r="M157" i="6"/>
  <c r="L157" i="6"/>
  <c r="AD271" i="31"/>
  <c r="X271" i="31"/>
  <c r="Y271" i="31" s="1"/>
  <c r="Z271" i="31"/>
  <c r="J412" i="33"/>
  <c r="Q412" i="33"/>
  <c r="S412" i="33"/>
  <c r="B50" i="41"/>
  <c r="O50" i="41"/>
  <c r="N50" i="41" s="1"/>
  <c r="K50" i="41"/>
  <c r="F50" i="41"/>
  <c r="S285" i="31"/>
  <c r="T285" i="31" s="1"/>
  <c r="H979" i="31" s="1"/>
  <c r="AD276" i="31"/>
  <c r="Z276" i="31"/>
  <c r="X276" i="31"/>
  <c r="Y276" i="31" s="1"/>
  <c r="S289" i="31"/>
  <c r="T289" i="31" s="1"/>
  <c r="J349" i="33"/>
  <c r="Q349" i="33"/>
  <c r="R349" i="33" s="1"/>
  <c r="S349" i="33"/>
  <c r="Z285" i="31"/>
  <c r="X285" i="31"/>
  <c r="Y285" i="31" s="1"/>
  <c r="Z284" i="31"/>
  <c r="AD284" i="31"/>
  <c r="AD285" i="31"/>
  <c r="X284" i="31"/>
  <c r="Y284" i="31" s="1"/>
  <c r="H381" i="35"/>
  <c r="AD289" i="31"/>
  <c r="X289" i="31"/>
  <c r="Y289" i="31" s="1"/>
  <c r="Z289" i="31"/>
  <c r="H382" i="35"/>
  <c r="L382" i="35"/>
  <c r="L375" i="35"/>
  <c r="L379" i="35"/>
  <c r="H379" i="35"/>
  <c r="H362" i="35"/>
  <c r="H375" i="35"/>
  <c r="L377" i="35"/>
  <c r="H376" i="35"/>
  <c r="S407" i="33"/>
  <c r="J407" i="33"/>
  <c r="Q407" i="33"/>
  <c r="K22" i="41"/>
  <c r="F48" i="41"/>
  <c r="O45" i="41"/>
  <c r="N45" i="41" s="1"/>
  <c r="B48" i="41"/>
  <c r="C43" i="41"/>
  <c r="F49" i="41"/>
  <c r="O46" i="41"/>
  <c r="N46" i="41" s="1"/>
  <c r="B49" i="41"/>
  <c r="C63" i="41"/>
  <c r="O67" i="41"/>
  <c r="N67" i="41" s="1"/>
  <c r="B67" i="41"/>
  <c r="O63" i="41"/>
  <c r="N63" i="41" s="1"/>
  <c r="K49" i="41"/>
  <c r="F67" i="41"/>
  <c r="B46" i="41"/>
  <c r="O43" i="41"/>
  <c r="N43" i="41" s="1"/>
  <c r="K48" i="41"/>
  <c r="F46" i="41"/>
  <c r="B45" i="41"/>
  <c r="K67" i="41"/>
  <c r="F45" i="41"/>
  <c r="C49" i="41"/>
  <c r="B63" i="41"/>
  <c r="K46" i="41"/>
  <c r="F63" i="41"/>
  <c r="C48" i="41"/>
  <c r="R920" i="31"/>
  <c r="B43" i="41"/>
  <c r="K45" i="41"/>
  <c r="F43" i="41"/>
  <c r="C67" i="41"/>
  <c r="O49" i="41"/>
  <c r="N49" i="41" s="1"/>
  <c r="K63" i="41"/>
  <c r="C46" i="41"/>
  <c r="O48" i="41"/>
  <c r="N48" i="41" s="1"/>
  <c r="K43" i="41"/>
  <c r="C45" i="41"/>
  <c r="S229" i="31"/>
  <c r="T229" i="31" s="1"/>
  <c r="S491" i="33"/>
  <c r="J491" i="33"/>
  <c r="Q491" i="33"/>
  <c r="R491" i="33" s="1"/>
  <c r="S394" i="33"/>
  <c r="J394" i="33"/>
  <c r="Q394" i="33"/>
  <c r="M955" i="31"/>
  <c r="J318" i="33"/>
  <c r="Q318" i="33"/>
  <c r="R318" i="33" s="1"/>
  <c r="S318" i="33"/>
  <c r="R955" i="31"/>
  <c r="E1009" i="31"/>
  <c r="L376" i="35"/>
  <c r="M376" i="35"/>
  <c r="M1009" i="31"/>
  <c r="F1009" i="31"/>
  <c r="Q1009" i="31"/>
  <c r="R1009" i="31"/>
  <c r="M934" i="31"/>
  <c r="Q934" i="31"/>
  <c r="R934" i="31"/>
  <c r="Z229" i="31"/>
  <c r="X229" i="31"/>
  <c r="Y229" i="31" s="1"/>
  <c r="Z293" i="31"/>
  <c r="AD229" i="31"/>
  <c r="X293" i="31"/>
  <c r="Y293" i="31" s="1"/>
  <c r="AD293" i="31"/>
  <c r="AD216" i="31"/>
  <c r="AD274" i="31"/>
  <c r="AD275" i="31"/>
  <c r="AD280" i="31"/>
  <c r="AD395" i="31"/>
  <c r="AD265" i="31"/>
  <c r="AD266" i="31"/>
  <c r="AD278" i="31"/>
  <c r="AD281" i="31"/>
  <c r="AD290" i="31"/>
  <c r="M976" i="31"/>
  <c r="R976" i="31"/>
  <c r="M951" i="31"/>
  <c r="Q951" i="31"/>
  <c r="R951" i="31"/>
  <c r="S266" i="31"/>
  <c r="T266" i="31" s="1"/>
  <c r="Z266" i="31"/>
  <c r="X266" i="31"/>
  <c r="Y266" i="31" s="1"/>
  <c r="O58" i="41"/>
  <c r="N58" i="41" s="1"/>
  <c r="O44" i="41"/>
  <c r="N44" i="41" s="1"/>
  <c r="O20" i="41"/>
  <c r="N20" i="41" s="1"/>
  <c r="O10" i="41"/>
  <c r="N10" i="41" s="1"/>
  <c r="S277" i="31"/>
  <c r="T277" i="31" s="1"/>
  <c r="D980" i="31" s="1"/>
  <c r="M980" i="31" s="1"/>
  <c r="O57" i="41"/>
  <c r="N57" i="41" s="1"/>
  <c r="O29" i="41"/>
  <c r="N29" i="41" s="1"/>
  <c r="O39" i="41"/>
  <c r="N39" i="41" s="1"/>
  <c r="O32" i="41"/>
  <c r="N32" i="41" s="1"/>
  <c r="O56" i="41"/>
  <c r="N56" i="41" s="1"/>
  <c r="O28" i="41"/>
  <c r="N28" i="41" s="1"/>
  <c r="O38" i="41"/>
  <c r="N38" i="41" s="1"/>
  <c r="O30" i="41"/>
  <c r="N30" i="41" s="1"/>
  <c r="O37" i="41"/>
  <c r="N37" i="41" s="1"/>
  <c r="O27" i="41"/>
  <c r="N27" i="41" s="1"/>
  <c r="O17" i="41"/>
  <c r="N17" i="41" s="1"/>
  <c r="O7" i="41"/>
  <c r="N7" i="41" s="1"/>
  <c r="O36" i="41"/>
  <c r="N36" i="41" s="1"/>
  <c r="O26" i="41"/>
  <c r="N26" i="41" s="1"/>
  <c r="O16" i="41"/>
  <c r="N16" i="41" s="1"/>
  <c r="O23" i="41"/>
  <c r="N23" i="41" s="1"/>
  <c r="O35" i="41"/>
  <c r="N35" i="41" s="1"/>
  <c r="O25" i="41"/>
  <c r="N25" i="41" s="1"/>
  <c r="O15" i="41"/>
  <c r="N15" i="41" s="1"/>
  <c r="O5" i="41"/>
  <c r="N5" i="41" s="1"/>
  <c r="O54" i="41"/>
  <c r="N54" i="41" s="1"/>
  <c r="O24" i="41"/>
  <c r="N24" i="41" s="1"/>
  <c r="O14" i="41"/>
  <c r="N14" i="41" s="1"/>
  <c r="O19" i="41"/>
  <c r="N19" i="41" s="1"/>
  <c r="O33" i="41"/>
  <c r="N33" i="41" s="1"/>
  <c r="O40" i="41"/>
  <c r="N40" i="41" s="1"/>
  <c r="O13" i="41"/>
  <c r="N13" i="41" s="1"/>
  <c r="O18" i="41"/>
  <c r="N18" i="41" s="1"/>
  <c r="O42" i="41"/>
  <c r="N42" i="41" s="1"/>
  <c r="O47" i="41"/>
  <c r="N47" i="41" s="1"/>
  <c r="O22" i="41"/>
  <c r="N22" i="41" s="1"/>
  <c r="O34" i="41"/>
  <c r="N34" i="41" s="1"/>
  <c r="O41" i="41"/>
  <c r="N41" i="41" s="1"/>
  <c r="O31" i="41"/>
  <c r="N31" i="41" s="1"/>
  <c r="O21" i="41"/>
  <c r="N21" i="41" s="1"/>
  <c r="O11" i="41"/>
  <c r="N11" i="41" s="1"/>
  <c r="S574" i="31"/>
  <c r="T574" i="31" s="1"/>
  <c r="S280" i="31"/>
  <c r="T280" i="31" s="1"/>
  <c r="Z574" i="31"/>
  <c r="X574" i="31"/>
  <c r="Y574" i="31" s="1"/>
  <c r="Z280" i="31"/>
  <c r="X280" i="31"/>
  <c r="Y280" i="31" s="1"/>
  <c r="X277" i="31"/>
  <c r="Y277" i="31" s="1"/>
  <c r="Z277" i="31"/>
  <c r="S274" i="31"/>
  <c r="T274" i="31" s="1"/>
  <c r="Z274" i="31"/>
  <c r="X274" i="31"/>
  <c r="Y274" i="31" s="1"/>
  <c r="H331" i="35"/>
  <c r="M953" i="31"/>
  <c r="B7" i="41"/>
  <c r="F44" i="41"/>
  <c r="B44" i="41"/>
  <c r="F7" i="41"/>
  <c r="K44" i="41"/>
  <c r="K7" i="41"/>
  <c r="C44" i="41"/>
  <c r="C7" i="41"/>
  <c r="Q953" i="31"/>
  <c r="R953" i="31"/>
  <c r="E980" i="31"/>
  <c r="M944" i="31"/>
  <c r="Q944" i="31"/>
  <c r="R944" i="31"/>
  <c r="B30" i="41"/>
  <c r="K30" i="41"/>
  <c r="F30" i="41"/>
  <c r="C30" i="41"/>
  <c r="Q980" i="31"/>
  <c r="R980" i="31"/>
  <c r="B37" i="41"/>
  <c r="F37" i="41"/>
  <c r="B15" i="41"/>
  <c r="F15" i="41"/>
  <c r="K5" i="41"/>
  <c r="K13" i="41"/>
  <c r="K37" i="41"/>
  <c r="K15" i="41"/>
  <c r="C5" i="41"/>
  <c r="C13" i="41"/>
  <c r="B5" i="41"/>
  <c r="F5" i="41"/>
  <c r="C37" i="41"/>
  <c r="B13" i="41"/>
  <c r="F13" i="41"/>
  <c r="C15" i="41"/>
  <c r="M949" i="31"/>
  <c r="Q402" i="33"/>
  <c r="R402" i="33" s="1"/>
  <c r="S364" i="33"/>
  <c r="J364" i="33"/>
  <c r="Q364" i="33"/>
  <c r="R364" i="33" s="1"/>
  <c r="R949" i="31"/>
  <c r="Q917" i="31"/>
  <c r="R917" i="31"/>
  <c r="Q924" i="31"/>
  <c r="R924" i="31"/>
  <c r="E1001" i="31"/>
  <c r="J402" i="33"/>
  <c r="S402" i="33"/>
  <c r="S397" i="33"/>
  <c r="J397" i="33"/>
  <c r="Q397" i="33"/>
  <c r="J426" i="33"/>
  <c r="Q426" i="33"/>
  <c r="R426" i="33" s="1"/>
  <c r="S426" i="33"/>
  <c r="F1001" i="31"/>
  <c r="S413" i="33"/>
  <c r="J413" i="33"/>
  <c r="Q413" i="33"/>
  <c r="R413" i="33" s="1"/>
  <c r="M1001" i="31"/>
  <c r="R1001" i="31"/>
  <c r="S222" i="31"/>
  <c r="T222" i="31" s="1"/>
  <c r="S216" i="31"/>
  <c r="T216" i="31" s="1"/>
  <c r="S290" i="31"/>
  <c r="T290" i="31" s="1"/>
  <c r="X290" i="31"/>
  <c r="Y290" i="31" s="1"/>
  <c r="X222" i="31"/>
  <c r="Y222" i="31" s="1"/>
  <c r="Z222" i="31"/>
  <c r="S265" i="31"/>
  <c r="T265" i="31" s="1"/>
  <c r="S281" i="31"/>
  <c r="T281" i="31" s="1"/>
  <c r="X281" i="31"/>
  <c r="Y281" i="31" s="1"/>
  <c r="X216" i="31"/>
  <c r="Y216" i="31" s="1"/>
  <c r="Z281" i="31"/>
  <c r="Z216" i="31"/>
  <c r="S451" i="33"/>
  <c r="S408" i="33"/>
  <c r="S295" i="33"/>
  <c r="H372" i="35"/>
  <c r="L372" i="35"/>
  <c r="S507" i="33"/>
  <c r="B28" i="41"/>
  <c r="S288" i="33"/>
  <c r="K28" i="41"/>
  <c r="F28" i="41"/>
  <c r="S259" i="33"/>
  <c r="X265" i="31"/>
  <c r="Y265" i="31" s="1"/>
  <c r="S270" i="31"/>
  <c r="T270" i="31" s="1"/>
  <c r="H986" i="31" s="1"/>
  <c r="Z265" i="31"/>
  <c r="X270" i="31"/>
  <c r="Y270" i="31" s="1"/>
  <c r="Z270" i="31"/>
  <c r="S269" i="31"/>
  <c r="T269" i="31" s="1"/>
  <c r="X269" i="31"/>
  <c r="Y269" i="31" s="1"/>
  <c r="Z269" i="31"/>
  <c r="F956" i="31"/>
  <c r="R956" i="31"/>
  <c r="M956" i="31"/>
  <c r="S119" i="33"/>
  <c r="M154" i="6"/>
  <c r="M156" i="6"/>
  <c r="L156" i="6"/>
  <c r="L153" i="6"/>
  <c r="M155" i="6"/>
  <c r="L155" i="6"/>
  <c r="L154" i="6"/>
  <c r="S278" i="31"/>
  <c r="T278" i="31" s="1"/>
  <c r="M393" i="33" s="1"/>
  <c r="L370" i="35"/>
  <c r="H370" i="35"/>
  <c r="S289" i="33"/>
  <c r="H369" i="35"/>
  <c r="L369" i="35"/>
  <c r="S327" i="33"/>
  <c r="S380" i="33"/>
  <c r="H367" i="35"/>
  <c r="H368" i="35"/>
  <c r="L368" i="35"/>
  <c r="S511" i="33"/>
  <c r="L367" i="35"/>
  <c r="S363" i="33"/>
  <c r="S393" i="33"/>
  <c r="S50" i="33"/>
  <c r="S466" i="33"/>
  <c r="S257" i="33"/>
  <c r="I38" i="34"/>
  <c r="S424" i="33"/>
  <c r="H366" i="35"/>
  <c r="B36" i="41"/>
  <c r="K36" i="41"/>
  <c r="F36" i="41"/>
  <c r="L366" i="35"/>
  <c r="S338" i="33"/>
  <c r="S324" i="33"/>
  <c r="S416" i="33"/>
  <c r="J416" i="33"/>
  <c r="Q416" i="33"/>
  <c r="R416" i="33" s="1"/>
  <c r="S294" i="33"/>
  <c r="S323" i="33"/>
  <c r="S384" i="33"/>
  <c r="S326" i="33"/>
  <c r="S290" i="33"/>
  <c r="S381" i="33"/>
  <c r="S239" i="33"/>
  <c r="S490" i="33"/>
  <c r="S465" i="33"/>
  <c r="J393" i="33"/>
  <c r="Q393" i="33"/>
  <c r="S334" i="33"/>
  <c r="S356" i="33"/>
  <c r="S313" i="33"/>
  <c r="X278" i="31"/>
  <c r="Y278" i="31" s="1"/>
  <c r="Z278" i="31"/>
  <c r="S457" i="33"/>
  <c r="S161" i="33"/>
  <c r="S211" i="33"/>
  <c r="S497" i="33"/>
  <c r="S420" i="33"/>
  <c r="S503" i="33"/>
  <c r="S296" i="33"/>
  <c r="S386" i="33"/>
  <c r="S233" i="33"/>
  <c r="S476" i="33"/>
  <c r="S219" i="33"/>
  <c r="S365" i="33"/>
  <c r="S281" i="33"/>
  <c r="S400" i="33"/>
  <c r="S312" i="33"/>
  <c r="S535" i="33"/>
  <c r="S537" i="33"/>
  <c r="S162" i="33"/>
  <c r="S478" i="33"/>
  <c r="S403" i="33"/>
  <c r="S477" i="33"/>
  <c r="S343" i="33"/>
  <c r="S391" i="33"/>
  <c r="S418" i="33"/>
  <c r="S460" i="33"/>
  <c r="S250" i="33"/>
  <c r="S398" i="33"/>
  <c r="S388" i="33"/>
  <c r="S319" i="33"/>
  <c r="S292" i="31"/>
  <c r="T292" i="31" s="1"/>
  <c r="X292" i="31"/>
  <c r="Y292" i="31" s="1"/>
  <c r="Z292" i="31"/>
  <c r="S232" i="31"/>
  <c r="T232" i="31" s="1"/>
  <c r="S275" i="31"/>
  <c r="T275" i="31" s="1"/>
  <c r="X275" i="31"/>
  <c r="Y275" i="31" s="1"/>
  <c r="Z275" i="31"/>
  <c r="L362" i="35"/>
  <c r="X232" i="31"/>
  <c r="Y232" i="31" s="1"/>
  <c r="Z232" i="31"/>
  <c r="S242" i="31"/>
  <c r="T242" i="31" s="1"/>
  <c r="Z242" i="31"/>
  <c r="X242" i="31"/>
  <c r="Y242" i="31" s="1"/>
  <c r="B18" i="41"/>
  <c r="F38" i="41"/>
  <c r="B17" i="41"/>
  <c r="F56" i="41"/>
  <c r="B38" i="41"/>
  <c r="B56" i="41"/>
  <c r="K18" i="41"/>
  <c r="K17" i="41"/>
  <c r="K38" i="41"/>
  <c r="K56" i="41"/>
  <c r="F18" i="41"/>
  <c r="F17" i="41"/>
  <c r="L358" i="35"/>
  <c r="Q911" i="31"/>
  <c r="R911" i="31"/>
  <c r="Q460" i="33"/>
  <c r="R460" i="33" s="1"/>
  <c r="M929" i="31"/>
  <c r="J460" i="33"/>
  <c r="R929" i="31"/>
  <c r="F929" i="31"/>
  <c r="E929" i="31"/>
  <c r="F928" i="31"/>
  <c r="R928" i="31"/>
  <c r="M928" i="31"/>
  <c r="L364" i="35"/>
  <c r="H364" i="35"/>
  <c r="L363" i="35"/>
  <c r="H363" i="35"/>
  <c r="H357" i="35"/>
  <c r="H358" i="35"/>
  <c r="H361" i="35"/>
  <c r="L360" i="35"/>
  <c r="L361" i="35"/>
  <c r="S273" i="31"/>
  <c r="T273" i="31" s="1"/>
  <c r="X273" i="31"/>
  <c r="Y273" i="31" s="1"/>
  <c r="Z273" i="31"/>
  <c r="S228" i="31"/>
  <c r="T228" i="31" s="1"/>
  <c r="X228" i="31"/>
  <c r="Y228" i="31" s="1"/>
  <c r="Z228" i="31"/>
  <c r="Z261" i="31"/>
  <c r="S261" i="31"/>
  <c r="T261" i="31" s="1"/>
  <c r="X261" i="31"/>
  <c r="Y261" i="31" s="1"/>
  <c r="H359" i="35"/>
  <c r="S259" i="31"/>
  <c r="T259" i="31" s="1"/>
  <c r="H1022" i="31" s="1"/>
  <c r="S241" i="31"/>
  <c r="T241" i="31" s="1"/>
  <c r="L340" i="35"/>
  <c r="K359" i="35"/>
  <c r="M959" i="35" s="1"/>
  <c r="N959" i="35" s="1"/>
  <c r="R927" i="31"/>
  <c r="E927" i="31"/>
  <c r="X241" i="31"/>
  <c r="Y241" i="31" s="1"/>
  <c r="Z241" i="31"/>
  <c r="F927" i="31"/>
  <c r="M927" i="31"/>
  <c r="B33" i="41"/>
  <c r="F33" i="41"/>
  <c r="C58" i="41"/>
  <c r="B24" i="41"/>
  <c r="F24" i="41"/>
  <c r="C25" i="41"/>
  <c r="K47" i="41"/>
  <c r="C33" i="41"/>
  <c r="K11" i="41"/>
  <c r="K58" i="41"/>
  <c r="K25" i="41"/>
  <c r="B47" i="41"/>
  <c r="K33" i="41"/>
  <c r="F47" i="41"/>
  <c r="B11" i="41"/>
  <c r="K24" i="41"/>
  <c r="F11" i="41"/>
  <c r="B58" i="41"/>
  <c r="F58" i="41"/>
  <c r="B25" i="41"/>
  <c r="F25" i="41"/>
  <c r="C11" i="41"/>
  <c r="Q497" i="33"/>
  <c r="R497" i="33" s="1"/>
  <c r="C41" i="41"/>
  <c r="K41" i="41"/>
  <c r="K54" i="41"/>
  <c r="K31" i="41"/>
  <c r="K16" i="41"/>
  <c r="K19" i="41"/>
  <c r="K21" i="41"/>
  <c r="K10" i="41"/>
  <c r="K32" i="41"/>
  <c r="K34" i="41"/>
  <c r="K27" i="41"/>
  <c r="K42" i="41"/>
  <c r="K14" i="41"/>
  <c r="K29" i="41"/>
  <c r="K23" i="41"/>
  <c r="K40" i="41"/>
  <c r="K57" i="41"/>
  <c r="K26" i="41"/>
  <c r="K35" i="41"/>
  <c r="K20" i="41"/>
  <c r="X259" i="31"/>
  <c r="Y259" i="31" s="1"/>
  <c r="Z259" i="31"/>
  <c r="J497" i="33"/>
  <c r="M957" i="31"/>
  <c r="Q957" i="31"/>
  <c r="R957" i="31"/>
  <c r="J324" i="33"/>
  <c r="Q324" i="33"/>
  <c r="R324" i="33" s="1"/>
  <c r="R981" i="31"/>
  <c r="M983" i="31"/>
  <c r="M981" i="31"/>
  <c r="R983" i="31"/>
  <c r="R923" i="31"/>
  <c r="J476" i="33"/>
  <c r="Q476" i="33"/>
  <c r="R476" i="33" s="1"/>
  <c r="E919" i="31"/>
  <c r="M919" i="31"/>
  <c r="L1013" i="31"/>
  <c r="E1000" i="31"/>
  <c r="Q1000" i="31"/>
  <c r="R1000" i="31"/>
  <c r="B34" i="41"/>
  <c r="F1000" i="31"/>
  <c r="R919" i="31"/>
  <c r="A2" i="41"/>
  <c r="P2" i="41" s="1"/>
  <c r="B54" i="41"/>
  <c r="B41" i="41"/>
  <c r="B22" i="41"/>
  <c r="B20" i="41"/>
  <c r="B35" i="41"/>
  <c r="B26" i="41"/>
  <c r="B57" i="41"/>
  <c r="B40" i="41"/>
  <c r="B23" i="41"/>
  <c r="B29" i="41"/>
  <c r="B14" i="41"/>
  <c r="B42" i="41"/>
  <c r="B27" i="41"/>
  <c r="B32" i="41"/>
  <c r="B10" i="41"/>
  <c r="B31" i="41"/>
  <c r="B16" i="41"/>
  <c r="B19" i="41"/>
  <c r="B21" i="41"/>
  <c r="F27" i="41"/>
  <c r="F42" i="41"/>
  <c r="F14" i="41"/>
  <c r="F29" i="41"/>
  <c r="F23" i="41"/>
  <c r="F40" i="41"/>
  <c r="F57" i="41"/>
  <c r="F26" i="41"/>
  <c r="F35" i="41"/>
  <c r="F20" i="41"/>
  <c r="F22" i="41"/>
  <c r="F41" i="41"/>
  <c r="F54" i="41"/>
  <c r="F31" i="41"/>
  <c r="F16" i="41"/>
  <c r="F19" i="41"/>
  <c r="F21" i="41"/>
  <c r="F10" i="41"/>
  <c r="F32" i="41"/>
  <c r="E997" i="31"/>
  <c r="Q997" i="31"/>
  <c r="Q1022" i="31"/>
  <c r="Q925" i="31"/>
  <c r="Q926" i="31"/>
  <c r="Q972" i="31"/>
  <c r="Q1013" i="31"/>
  <c r="Q933" i="31"/>
  <c r="Q939" i="31"/>
  <c r="Q943" i="31"/>
  <c r="Q987" i="31"/>
  <c r="Q1005" i="31"/>
  <c r="Q986" i="31"/>
  <c r="Q947" i="31"/>
  <c r="Q952" i="31"/>
  <c r="Q982" i="31"/>
  <c r="Q958" i="31"/>
  <c r="Q992" i="31"/>
  <c r="Q941" i="31"/>
  <c r="Q970" i="31"/>
  <c r="Q979" i="31"/>
  <c r="Q907" i="31"/>
  <c r="F997" i="31"/>
  <c r="E925" i="31"/>
  <c r="L979" i="31"/>
  <c r="F925" i="31"/>
  <c r="M925" i="31"/>
  <c r="M1005" i="31"/>
  <c r="E1005" i="31"/>
  <c r="E933" i="31"/>
  <c r="F933" i="31"/>
  <c r="M933" i="31"/>
  <c r="M943" i="31"/>
  <c r="L907" i="31"/>
  <c r="L986" i="31"/>
  <c r="F947" i="31"/>
  <c r="F982" i="31"/>
  <c r="F1005" i="31"/>
  <c r="E982" i="31"/>
  <c r="L356" i="35"/>
  <c r="S268" i="31"/>
  <c r="T268" i="31" s="1"/>
  <c r="L357" i="35"/>
  <c r="H356" i="35"/>
  <c r="H355" i="35"/>
  <c r="L354" i="35"/>
  <c r="L355" i="35"/>
  <c r="H354" i="35"/>
  <c r="X268" i="31"/>
  <c r="Y268" i="31" s="1"/>
  <c r="Z268" i="31"/>
  <c r="M982" i="31"/>
  <c r="L352" i="35"/>
  <c r="L324" i="35"/>
  <c r="H353" i="35"/>
  <c r="L353" i="35"/>
  <c r="H352" i="35"/>
  <c r="L349" i="35"/>
  <c r="L351" i="35"/>
  <c r="H351" i="35"/>
  <c r="Q196" i="33"/>
  <c r="Q385" i="33"/>
  <c r="R385" i="33" s="1"/>
  <c r="Q257" i="33"/>
  <c r="R257" i="33" s="1"/>
  <c r="Q451" i="33"/>
  <c r="R451" i="33" s="1"/>
  <c r="Q408" i="33"/>
  <c r="R408" i="33" s="1"/>
  <c r="Q359" i="33"/>
  <c r="R359" i="33" s="1"/>
  <c r="Q203" i="33"/>
  <c r="R203" i="33" s="1"/>
  <c r="Q295" i="33"/>
  <c r="R295" i="33" s="1"/>
  <c r="Q519" i="33"/>
  <c r="Q194" i="33"/>
  <c r="R194" i="33" s="1"/>
  <c r="Q288" i="33"/>
  <c r="R288" i="33" s="1"/>
  <c r="J288" i="33"/>
  <c r="Q68" i="33"/>
  <c r="Q188" i="33"/>
  <c r="R188" i="33" s="1"/>
  <c r="Q113" i="33"/>
  <c r="R113" i="33" s="1"/>
  <c r="Q204" i="33"/>
  <c r="R204" i="33" s="1"/>
  <c r="J408" i="33"/>
  <c r="J259" i="33"/>
  <c r="Q259" i="33"/>
  <c r="R259" i="33" s="1"/>
  <c r="Q253" i="33"/>
  <c r="R253" i="33" s="1"/>
  <c r="J295" i="33"/>
  <c r="J380" i="33"/>
  <c r="Q380" i="33"/>
  <c r="R380" i="33" s="1"/>
  <c r="J507" i="33"/>
  <c r="Q507" i="33"/>
  <c r="R507" i="33" s="1"/>
  <c r="Q190" i="33"/>
  <c r="R190" i="33" s="1"/>
  <c r="J257" i="33"/>
  <c r="J451" i="33"/>
  <c r="Q352" i="33"/>
  <c r="R352" i="33" s="1"/>
  <c r="Q206" i="33"/>
  <c r="R206" i="33" s="1"/>
  <c r="H350" i="35"/>
  <c r="L350" i="35"/>
  <c r="H349" i="35"/>
  <c r="L348" i="35"/>
  <c r="I234" i="35"/>
  <c r="H348" i="35"/>
  <c r="L347" i="35"/>
  <c r="I347" i="35"/>
  <c r="H347" i="35"/>
  <c r="M347" i="35"/>
  <c r="M346" i="35"/>
  <c r="I346" i="35"/>
  <c r="H346" i="35"/>
  <c r="L346" i="35"/>
  <c r="M234" i="35"/>
  <c r="H345" i="35"/>
  <c r="L345" i="35"/>
  <c r="M344" i="35"/>
  <c r="L344" i="35"/>
  <c r="H344" i="35"/>
  <c r="I344" i="35"/>
  <c r="I249" i="35"/>
  <c r="M343" i="35"/>
  <c r="L343" i="35"/>
  <c r="H343" i="35"/>
  <c r="I343" i="35"/>
  <c r="I247" i="35"/>
  <c r="L342" i="35"/>
  <c r="I342" i="35"/>
  <c r="H342" i="35"/>
  <c r="M342" i="35"/>
  <c r="L334" i="35"/>
  <c r="L337" i="35"/>
  <c r="H337" i="35"/>
  <c r="L952" i="31"/>
  <c r="L987" i="31"/>
  <c r="O105" i="6"/>
  <c r="H341" i="35"/>
  <c r="L341" i="35"/>
  <c r="F992" i="31"/>
  <c r="F1013" i="31"/>
  <c r="F987" i="31"/>
  <c r="F958" i="31"/>
  <c r="F926" i="31"/>
  <c r="F952" i="31"/>
  <c r="S257" i="31"/>
  <c r="T257" i="31" s="1"/>
  <c r="S256" i="31"/>
  <c r="T256" i="31" s="1"/>
  <c r="X257" i="31"/>
  <c r="Y257" i="31" s="1"/>
  <c r="Z257" i="31"/>
  <c r="X256" i="31"/>
  <c r="Y256" i="31" s="1"/>
  <c r="Z256" i="31"/>
  <c r="S255" i="31"/>
  <c r="T255" i="31" s="1"/>
  <c r="Z255" i="31"/>
  <c r="H329" i="35"/>
  <c r="H340" i="35"/>
  <c r="X255" i="31"/>
  <c r="Y255" i="31" s="1"/>
  <c r="D895" i="31"/>
  <c r="L329" i="35"/>
  <c r="S254" i="31"/>
  <c r="T254" i="31" s="1"/>
  <c r="L339" i="35"/>
  <c r="Q241" i="33"/>
  <c r="R241" i="33" s="1"/>
  <c r="L338" i="35"/>
  <c r="H338" i="35"/>
  <c r="H319" i="35"/>
  <c r="Z254" i="31"/>
  <c r="Z253" i="31"/>
  <c r="X254" i="31"/>
  <c r="Y254" i="31" s="1"/>
  <c r="S253" i="31"/>
  <c r="T253" i="31" s="1"/>
  <c r="X253" i="31"/>
  <c r="Y253" i="31" s="1"/>
  <c r="H334" i="35"/>
  <c r="S248" i="31"/>
  <c r="T248" i="31" s="1"/>
  <c r="Z247" i="31"/>
  <c r="X248" i="31"/>
  <c r="Y248" i="31" s="1"/>
  <c r="Z248" i="31"/>
  <c r="S247" i="31"/>
  <c r="T247" i="31" s="1"/>
  <c r="X247" i="31"/>
  <c r="Y247" i="31" s="1"/>
  <c r="S252" i="31"/>
  <c r="T252" i="31" s="1"/>
  <c r="S251" i="31"/>
  <c r="T251" i="31" s="1"/>
  <c r="X252" i="31"/>
  <c r="Y252" i="31" s="1"/>
  <c r="Z252" i="31"/>
  <c r="X251" i="31"/>
  <c r="Y251" i="31" s="1"/>
  <c r="Z251" i="31"/>
  <c r="S250" i="31"/>
  <c r="T250" i="31" s="1"/>
  <c r="Q249" i="33"/>
  <c r="L336" i="35"/>
  <c r="H336" i="35"/>
  <c r="L335" i="35"/>
  <c r="L333" i="35"/>
  <c r="H333" i="35"/>
  <c r="L332" i="35"/>
  <c r="L331" i="35"/>
  <c r="X250" i="31"/>
  <c r="Y250" i="31" s="1"/>
  <c r="Z250" i="31"/>
  <c r="S249" i="31"/>
  <c r="T249" i="31" s="1"/>
  <c r="X249" i="31"/>
  <c r="Y249" i="31" s="1"/>
  <c r="Z249" i="31"/>
  <c r="S245" i="31"/>
  <c r="T245" i="31" s="1"/>
  <c r="S246" i="31"/>
  <c r="T246" i="31" s="1"/>
  <c r="X246" i="31"/>
  <c r="Y246" i="31" s="1"/>
  <c r="Z246" i="31"/>
  <c r="X245" i="31"/>
  <c r="Y245" i="31" s="1"/>
  <c r="Z245" i="31"/>
  <c r="H324" i="35"/>
  <c r="S201" i="31"/>
  <c r="T201" i="31" s="1"/>
  <c r="S204" i="31"/>
  <c r="T204" i="31" s="1"/>
  <c r="S218" i="31"/>
  <c r="T218" i="31" s="1"/>
  <c r="Z218" i="31"/>
  <c r="X218" i="31"/>
  <c r="Y218" i="31" s="1"/>
  <c r="X204" i="31"/>
  <c r="Y204" i="31" s="1"/>
  <c r="Z204" i="31"/>
  <c r="S195" i="31"/>
  <c r="T195" i="31" s="1"/>
  <c r="X201" i="31"/>
  <c r="Y201" i="31" s="1"/>
  <c r="Z201" i="31"/>
  <c r="S215" i="31"/>
  <c r="T215" i="31" s="1"/>
  <c r="Z195" i="31"/>
  <c r="X195" i="31"/>
  <c r="Y195" i="31" s="1"/>
  <c r="L327" i="35"/>
  <c r="H327" i="35"/>
  <c r="L326" i="35"/>
  <c r="X215" i="31"/>
  <c r="Y215" i="31" s="1"/>
  <c r="Q518" i="33"/>
  <c r="R518" i="33" s="1"/>
  <c r="Z215" i="31"/>
  <c r="L315" i="35"/>
  <c r="L319" i="35"/>
  <c r="H323" i="35"/>
  <c r="L323" i="35"/>
  <c r="H322" i="35"/>
  <c r="L320" i="35"/>
  <c r="H308" i="35"/>
  <c r="H320" i="35"/>
  <c r="L309" i="35"/>
  <c r="S236" i="31"/>
  <c r="T236" i="31" s="1"/>
  <c r="X236" i="31"/>
  <c r="Y236" i="31" s="1"/>
  <c r="Z236" i="31"/>
  <c r="H315" i="35"/>
  <c r="S239" i="31"/>
  <c r="T239" i="31" s="1"/>
  <c r="Z239" i="31"/>
  <c r="X239" i="31"/>
  <c r="Y239" i="31" s="1"/>
  <c r="X238" i="31"/>
  <c r="Z238" i="31"/>
  <c r="AA238" i="31" s="1"/>
  <c r="S238" i="31"/>
  <c r="T238" i="31" s="1"/>
  <c r="S303" i="31"/>
  <c r="T303" i="31" s="1"/>
  <c r="Z303" i="31"/>
  <c r="X303" i="31"/>
  <c r="Y303" i="31" s="1"/>
  <c r="S263" i="31"/>
  <c r="T263" i="31" s="1"/>
  <c r="S219" i="31"/>
  <c r="T219" i="31" s="1"/>
  <c r="X219" i="31"/>
  <c r="Y219" i="31" s="1"/>
  <c r="Z219" i="31"/>
  <c r="N105" i="6"/>
  <c r="X263" i="31"/>
  <c r="Y263" i="31" s="1"/>
  <c r="Z264" i="31"/>
  <c r="S264" i="31"/>
  <c r="T264" i="31" s="1"/>
  <c r="Z263" i="31"/>
  <c r="X264" i="31"/>
  <c r="Y264" i="31" s="1"/>
  <c r="O152" i="6"/>
  <c r="N152" i="6"/>
  <c r="M152" i="6"/>
  <c r="L152" i="6"/>
  <c r="M318" i="35"/>
  <c r="L318" i="35"/>
  <c r="H318" i="35"/>
  <c r="M288" i="35"/>
  <c r="H20" i="35"/>
  <c r="S235" i="31"/>
  <c r="T235" i="31" s="1"/>
  <c r="L316" i="35"/>
  <c r="H316" i="35"/>
  <c r="Z235" i="31"/>
  <c r="X235" i="31"/>
  <c r="Y235" i="31" s="1"/>
  <c r="H272" i="35"/>
  <c r="H297" i="35"/>
  <c r="L298" i="35"/>
  <c r="L300" i="35"/>
  <c r="L311" i="35"/>
  <c r="H281" i="35"/>
  <c r="M280" i="35"/>
  <c r="H34" i="35"/>
  <c r="L310" i="35"/>
  <c r="M306" i="35"/>
  <c r="M313" i="35"/>
  <c r="L313" i="35"/>
  <c r="H313" i="35"/>
  <c r="I313" i="35"/>
  <c r="I306" i="35"/>
  <c r="H306" i="35"/>
  <c r="L312" i="35"/>
  <c r="H312" i="35"/>
  <c r="H311" i="35"/>
  <c r="H310" i="35"/>
  <c r="L306" i="35"/>
  <c r="L308" i="35"/>
  <c r="H309" i="35"/>
  <c r="M196" i="35"/>
  <c r="Q482" i="33"/>
  <c r="R482" i="33" s="1"/>
  <c r="H22" i="35"/>
  <c r="H4" i="35"/>
  <c r="L304" i="35"/>
  <c r="E74" i="40"/>
  <c r="F62" i="40"/>
  <c r="E52" i="40"/>
  <c r="E57" i="40"/>
  <c r="E85" i="40"/>
  <c r="F66" i="40"/>
  <c r="L148" i="6"/>
  <c r="H304" i="35"/>
  <c r="H300" i="35"/>
  <c r="L305" i="35"/>
  <c r="H305" i="35"/>
  <c r="H58" i="35"/>
  <c r="H298" i="35"/>
  <c r="L295" i="35"/>
  <c r="L303" i="35"/>
  <c r="H303" i="35"/>
  <c r="L302" i="35"/>
  <c r="H302" i="35"/>
  <c r="L301" i="35"/>
  <c r="H301" i="35"/>
  <c r="H283" i="35"/>
  <c r="L285" i="35"/>
  <c r="L299" i="35"/>
  <c r="H299" i="35"/>
  <c r="H295" i="35"/>
  <c r="H56" i="35"/>
  <c r="H64" i="35"/>
  <c r="H54" i="35"/>
  <c r="Q262" i="33"/>
  <c r="R262" i="33" s="1"/>
  <c r="L297" i="35"/>
  <c r="S395" i="31"/>
  <c r="T395" i="31" s="1"/>
  <c r="H296" i="35"/>
  <c r="M77" i="35"/>
  <c r="M296" i="35"/>
  <c r="L296" i="35"/>
  <c r="H294" i="35"/>
  <c r="L294" i="35"/>
  <c r="Q409" i="33"/>
  <c r="Q169" i="33"/>
  <c r="R169" i="33" s="1"/>
  <c r="J290" i="33"/>
  <c r="Q290" i="33"/>
  <c r="R290" i="33" s="1"/>
  <c r="Q211" i="33"/>
  <c r="J211" i="33"/>
  <c r="L291" i="35"/>
  <c r="L287" i="35"/>
  <c r="L292" i="35"/>
  <c r="H292" i="35"/>
  <c r="L293" i="35"/>
  <c r="H293" i="35"/>
  <c r="H290" i="35"/>
  <c r="H291" i="35"/>
  <c r="H287" i="35"/>
  <c r="H286" i="35"/>
  <c r="L290" i="35"/>
  <c r="M289" i="35"/>
  <c r="L289" i="35"/>
  <c r="H289" i="35"/>
  <c r="L283" i="35"/>
  <c r="L286" i="35"/>
  <c r="L288" i="35"/>
  <c r="H288" i="35"/>
  <c r="L284" i="35"/>
  <c r="Q40" i="33"/>
  <c r="R40" i="33" s="1"/>
  <c r="H285" i="35"/>
  <c r="Q267" i="33"/>
  <c r="R267" i="33" s="1"/>
  <c r="H284" i="35"/>
  <c r="Q191" i="33"/>
  <c r="R191" i="33" s="1"/>
  <c r="Q246" i="33"/>
  <c r="R246" i="33" s="1"/>
  <c r="Q236" i="33"/>
  <c r="Q198" i="33"/>
  <c r="R198" i="33" s="1"/>
  <c r="M281" i="35"/>
  <c r="L282" i="35"/>
  <c r="H282" i="35"/>
  <c r="Q224" i="33"/>
  <c r="Q363" i="33"/>
  <c r="R363" i="33" s="1"/>
  <c r="Q293" i="33"/>
  <c r="R293" i="33" s="1"/>
  <c r="Q281" i="33"/>
  <c r="R281" i="33" s="1"/>
  <c r="Q279" i="33"/>
  <c r="R279" i="33" s="1"/>
  <c r="J363" i="33"/>
  <c r="J384" i="33"/>
  <c r="Q384" i="33"/>
  <c r="J281" i="33"/>
  <c r="Q278" i="33"/>
  <c r="R278" i="33" s="1"/>
  <c r="J289" i="33"/>
  <c r="Q289" i="33"/>
  <c r="R289" i="33" s="1"/>
  <c r="Q261" i="33"/>
  <c r="R261" i="33" s="1"/>
  <c r="Q331" i="33"/>
  <c r="R331" i="33" s="1"/>
  <c r="J233" i="33"/>
  <c r="Q233" i="33"/>
  <c r="R233" i="33" s="1"/>
  <c r="J319" i="33"/>
  <c r="Q319" i="33"/>
  <c r="R319" i="33" s="1"/>
  <c r="Q366" i="33"/>
  <c r="R366" i="33" s="1"/>
  <c r="H280" i="35"/>
  <c r="L281" i="35"/>
  <c r="L280" i="35"/>
  <c r="M279" i="35"/>
  <c r="L279" i="35"/>
  <c r="H279" i="35"/>
  <c r="M278" i="35"/>
  <c r="L278" i="35"/>
  <c r="L268" i="35"/>
  <c r="H278" i="35"/>
  <c r="H277" i="35"/>
  <c r="L277" i="35"/>
  <c r="Z395" i="31"/>
  <c r="X395" i="31"/>
  <c r="Y395" i="31" s="1"/>
  <c r="S260" i="31"/>
  <c r="T260" i="31" s="1"/>
  <c r="X260" i="31"/>
  <c r="Y260" i="31" s="1"/>
  <c r="Z260" i="31"/>
  <c r="S302" i="31"/>
  <c r="T302" i="31" s="1"/>
  <c r="X302" i="31"/>
  <c r="Y302" i="31" s="1"/>
  <c r="Z302" i="31"/>
  <c r="S211" i="31"/>
  <c r="T211" i="31" s="1"/>
  <c r="L275" i="35"/>
  <c r="H275" i="35"/>
  <c r="L252" i="35"/>
  <c r="L267" i="35"/>
  <c r="L266" i="35"/>
  <c r="L274" i="35"/>
  <c r="H274" i="35"/>
  <c r="Z211" i="31"/>
  <c r="X211" i="31"/>
  <c r="Y211" i="31" s="1"/>
  <c r="S231" i="31"/>
  <c r="T231" i="31" s="1"/>
  <c r="S214" i="31"/>
  <c r="T214" i="31" s="1"/>
  <c r="G926" i="31" s="1"/>
  <c r="S202" i="31"/>
  <c r="T202" i="31" s="1"/>
  <c r="X214" i="31"/>
  <c r="Y214" i="31" s="1"/>
  <c r="Z214" i="31"/>
  <c r="L273" i="35"/>
  <c r="H273" i="35"/>
  <c r="H268" i="35"/>
  <c r="L272" i="35"/>
  <c r="L149" i="6"/>
  <c r="H70" i="35"/>
  <c r="H40" i="35"/>
  <c r="L151" i="6"/>
  <c r="L150" i="6"/>
  <c r="L271" i="35"/>
  <c r="H271" i="35"/>
  <c r="M148" i="6"/>
  <c r="H266" i="35"/>
  <c r="Z231" i="31"/>
  <c r="X231" i="31"/>
  <c r="Y231" i="31" s="1"/>
  <c r="S208" i="31"/>
  <c r="T208" i="31" s="1"/>
  <c r="X208" i="31"/>
  <c r="Y208" i="31" s="1"/>
  <c r="Z208" i="31"/>
  <c r="S221" i="31"/>
  <c r="T221" i="31" s="1"/>
  <c r="X221" i="31"/>
  <c r="Y221" i="31" s="1"/>
  <c r="Z221" i="31"/>
  <c r="S210" i="31"/>
  <c r="T210" i="31" s="1"/>
  <c r="S209" i="31"/>
  <c r="T209" i="31" s="1"/>
  <c r="X210" i="31"/>
  <c r="Y210" i="31" s="1"/>
  <c r="Z210" i="31"/>
  <c r="Z209" i="31"/>
  <c r="Q511" i="33"/>
  <c r="J511" i="33"/>
  <c r="X209" i="31"/>
  <c r="Y209" i="31" s="1"/>
  <c r="L265" i="35"/>
  <c r="L264" i="35"/>
  <c r="Z296" i="31"/>
  <c r="S296" i="31"/>
  <c r="T296" i="31" s="1"/>
  <c r="X296" i="31"/>
  <c r="Y296" i="31" s="1"/>
  <c r="S220" i="31"/>
  <c r="T220" i="31" s="1"/>
  <c r="X220" i="31"/>
  <c r="Y220" i="31" s="1"/>
  <c r="Z220" i="31"/>
  <c r="Z217" i="31"/>
  <c r="S217" i="31"/>
  <c r="T217" i="31" s="1"/>
  <c r="X217" i="31"/>
  <c r="Y217" i="31" s="1"/>
  <c r="H265" i="35"/>
  <c r="H267" i="35"/>
  <c r="H264" i="35"/>
  <c r="S196" i="31"/>
  <c r="T196" i="31" s="1"/>
  <c r="S203" i="31"/>
  <c r="T203" i="31" s="1"/>
  <c r="S192" i="31"/>
  <c r="T192" i="31" s="1"/>
  <c r="L249" i="35"/>
  <c r="H73" i="35"/>
  <c r="H57" i="35"/>
  <c r="L238" i="35"/>
  <c r="H83" i="35"/>
  <c r="M104" i="35"/>
  <c r="H69" i="35"/>
  <c r="H59" i="35"/>
  <c r="Q90" i="33"/>
  <c r="R90" i="33" s="1"/>
  <c r="Q185" i="33"/>
  <c r="Q184" i="33"/>
  <c r="R184" i="33" s="1"/>
  <c r="Q100" i="33"/>
  <c r="R100" i="33" s="1"/>
  <c r="Q388" i="33"/>
  <c r="R388" i="33" s="1"/>
  <c r="J388" i="33"/>
  <c r="Q29" i="33"/>
  <c r="R29" i="33" s="1"/>
  <c r="O146" i="6"/>
  <c r="M147" i="6"/>
  <c r="X202" i="31"/>
  <c r="Y202" i="31" s="1"/>
  <c r="X203" i="31"/>
  <c r="Y203" i="31" s="1"/>
  <c r="Z202" i="31"/>
  <c r="Z203" i="31"/>
  <c r="S198" i="31"/>
  <c r="T198" i="31" s="1"/>
  <c r="X198" i="31"/>
  <c r="Y198" i="31" s="1"/>
  <c r="Z198" i="31"/>
  <c r="X192" i="31"/>
  <c r="Y192" i="31" s="1"/>
  <c r="Z192" i="31"/>
  <c r="S193" i="31"/>
  <c r="T193" i="31" s="1"/>
  <c r="S185" i="31"/>
  <c r="T185" i="31" s="1"/>
  <c r="Z185" i="31"/>
  <c r="X196" i="31"/>
  <c r="Y196" i="31" s="1"/>
  <c r="Z196" i="31"/>
  <c r="S183" i="31"/>
  <c r="T183" i="31" s="1"/>
  <c r="X193" i="31"/>
  <c r="Y193" i="31" s="1"/>
  <c r="X185" i="31"/>
  <c r="Y185" i="31" s="1"/>
  <c r="Z193" i="31"/>
  <c r="X183" i="31"/>
  <c r="Y183" i="31" s="1"/>
  <c r="Z183" i="31"/>
  <c r="S272" i="31"/>
  <c r="T272" i="31" s="1"/>
  <c r="S323" i="31"/>
  <c r="T323" i="31" s="1"/>
  <c r="Z272" i="31"/>
  <c r="X272" i="31"/>
  <c r="Y272" i="31" s="1"/>
  <c r="L145" i="6"/>
  <c r="O13" i="6"/>
  <c r="O144" i="6"/>
  <c r="M146" i="6"/>
  <c r="N144" i="6"/>
  <c r="L146" i="6"/>
  <c r="M145" i="6"/>
  <c r="L147" i="6"/>
  <c r="N146" i="6"/>
  <c r="N145" i="6"/>
  <c r="O145" i="6"/>
  <c r="N13" i="6"/>
  <c r="O12" i="6"/>
  <c r="M144" i="6"/>
  <c r="L144" i="6"/>
  <c r="N12" i="6"/>
  <c r="X323" i="31"/>
  <c r="Y323" i="31" s="1"/>
  <c r="Z323" i="31"/>
  <c r="H262" i="35"/>
  <c r="H248" i="35"/>
  <c r="H252" i="35"/>
  <c r="M143" i="6"/>
  <c r="L262" i="35"/>
  <c r="H261" i="35"/>
  <c r="L261" i="35"/>
  <c r="S244" i="31"/>
  <c r="T244" i="31" s="1"/>
  <c r="L260" i="35"/>
  <c r="H260" i="35"/>
  <c r="L143" i="6"/>
  <c r="L259" i="35"/>
  <c r="H259" i="35"/>
  <c r="X244" i="31"/>
  <c r="Y244" i="31" s="1"/>
  <c r="Z244" i="31"/>
  <c r="L258" i="35"/>
  <c r="H258" i="35"/>
  <c r="L240" i="35"/>
  <c r="L138" i="6"/>
  <c r="S207" i="31"/>
  <c r="T207" i="31" s="1"/>
  <c r="G992" i="31" s="1"/>
  <c r="L257" i="35"/>
  <c r="H257" i="35"/>
  <c r="H38" i="35"/>
  <c r="H256" i="35"/>
  <c r="L256" i="35"/>
  <c r="H241" i="35"/>
  <c r="L247" i="35"/>
  <c r="X207" i="31"/>
  <c r="Y207" i="31" s="1"/>
  <c r="Z207" i="31"/>
  <c r="L248" i="35"/>
  <c r="H253" i="35"/>
  <c r="L253" i="35"/>
  <c r="H249" i="35"/>
  <c r="I136" i="6"/>
  <c r="K136" i="6" s="1"/>
  <c r="S377" i="31"/>
  <c r="T377" i="31" s="1"/>
  <c r="M142" i="6"/>
  <c r="O142" i="6"/>
  <c r="M125" i="6"/>
  <c r="L141" i="6"/>
  <c r="K138" i="6"/>
  <c r="L125" i="6"/>
  <c r="L120" i="6"/>
  <c r="K120" i="6"/>
  <c r="M106" i="6"/>
  <c r="M141" i="6"/>
  <c r="O99" i="6"/>
  <c r="O141" i="6"/>
  <c r="M116" i="6"/>
  <c r="M131" i="6"/>
  <c r="J140" i="6"/>
  <c r="L140" i="6"/>
  <c r="I140" i="6"/>
  <c r="J139" i="6"/>
  <c r="L139" i="6"/>
  <c r="I139" i="6"/>
  <c r="L136" i="6"/>
  <c r="J137" i="6"/>
  <c r="L137" i="6"/>
  <c r="L105" i="6"/>
  <c r="M110" i="6"/>
  <c r="O135" i="6"/>
  <c r="L129" i="6"/>
  <c r="J101" i="6"/>
  <c r="K125" i="6"/>
  <c r="O405" i="6" s="1"/>
  <c r="Q405" i="6" s="1"/>
  <c r="M135" i="6"/>
  <c r="L135" i="6"/>
  <c r="L28" i="6"/>
  <c r="L128" i="6"/>
  <c r="N111" i="6"/>
  <c r="M117" i="6"/>
  <c r="L131" i="6"/>
  <c r="M251" i="35"/>
  <c r="L251" i="35"/>
  <c r="H251" i="35"/>
  <c r="I251" i="35"/>
  <c r="H247" i="35"/>
  <c r="I119" i="35"/>
  <c r="L245" i="35"/>
  <c r="H245" i="35"/>
  <c r="L234" i="35"/>
  <c r="L244" i="35"/>
  <c r="H244" i="35"/>
  <c r="H240" i="35"/>
  <c r="L243" i="35"/>
  <c r="H243" i="35"/>
  <c r="L241" i="35"/>
  <c r="H238" i="35"/>
  <c r="Z377" i="31"/>
  <c r="Q515" i="33"/>
  <c r="R515" i="33" s="1"/>
  <c r="X377" i="31"/>
  <c r="Y377" i="31" s="1"/>
  <c r="S182" i="31"/>
  <c r="T182" i="31" s="1"/>
  <c r="S177" i="31"/>
  <c r="T177" i="31" s="1"/>
  <c r="Q161" i="33"/>
  <c r="R161" i="33" s="1"/>
  <c r="Q429" i="33"/>
  <c r="L224" i="35"/>
  <c r="L232" i="35"/>
  <c r="M71" i="35"/>
  <c r="J161" i="33"/>
  <c r="X182" i="31"/>
  <c r="Y182" i="31" s="1"/>
  <c r="Z182" i="31"/>
  <c r="Z177" i="31"/>
  <c r="X177" i="31"/>
  <c r="Y177" i="31" s="1"/>
  <c r="Q307" i="33"/>
  <c r="M105" i="6"/>
  <c r="L112" i="6"/>
  <c r="J121" i="6"/>
  <c r="M126" i="6"/>
  <c r="M133" i="6"/>
  <c r="L116" i="6"/>
  <c r="L114" i="6"/>
  <c r="M119" i="6"/>
  <c r="M134" i="6"/>
  <c r="Q134" i="6" s="1"/>
  <c r="J113" i="6"/>
  <c r="M130" i="6"/>
  <c r="L134" i="6"/>
  <c r="L133" i="6"/>
  <c r="M109" i="6"/>
  <c r="M113" i="6"/>
  <c r="L124" i="6"/>
  <c r="M121" i="6"/>
  <c r="R121" i="6" s="1"/>
  <c r="H52" i="36" s="1"/>
  <c r="J104" i="6"/>
  <c r="L106" i="6"/>
  <c r="J109" i="6"/>
  <c r="L111" i="6"/>
  <c r="K114" i="6"/>
  <c r="K118" i="6"/>
  <c r="J119" i="6"/>
  <c r="M123" i="6"/>
  <c r="K124" i="6"/>
  <c r="O119" i="6" s="1"/>
  <c r="L127" i="6"/>
  <c r="M132" i="6"/>
  <c r="Q132" i="6" s="1"/>
  <c r="K106" i="6"/>
  <c r="O111" i="6"/>
  <c r="J114" i="6"/>
  <c r="L117" i="6"/>
  <c r="J118" i="6"/>
  <c r="M122" i="6"/>
  <c r="L123" i="6"/>
  <c r="K127" i="6"/>
  <c r="L132" i="6"/>
  <c r="P132" i="6" s="1"/>
  <c r="G59" i="36" s="1"/>
  <c r="I59" i="36" s="1"/>
  <c r="J106" i="6"/>
  <c r="L113" i="6"/>
  <c r="L122" i="6"/>
  <c r="L110" i="6"/>
  <c r="M112" i="6"/>
  <c r="M115" i="6"/>
  <c r="L126" i="6"/>
  <c r="M129" i="6"/>
  <c r="L130" i="6"/>
  <c r="O107" i="6"/>
  <c r="N107" i="6"/>
  <c r="M128" i="6"/>
  <c r="L109" i="6"/>
  <c r="M114" i="6"/>
  <c r="L119" i="6"/>
  <c r="M124" i="6"/>
  <c r="J125" i="6"/>
  <c r="M111" i="6"/>
  <c r="L236" i="35"/>
  <c r="H232" i="35"/>
  <c r="H234" i="35"/>
  <c r="H236" i="35"/>
  <c r="S136" i="31"/>
  <c r="T136" i="31" s="1"/>
  <c r="Z136" i="31"/>
  <c r="X136" i="31"/>
  <c r="Y136" i="31" s="1"/>
  <c r="S172" i="31"/>
  <c r="T172" i="31" s="1"/>
  <c r="S191" i="31"/>
  <c r="T191" i="31" s="1"/>
  <c r="X191" i="31"/>
  <c r="Y191" i="31" s="1"/>
  <c r="Z191" i="31"/>
  <c r="S171" i="31"/>
  <c r="T171" i="31" s="1"/>
  <c r="L233" i="35"/>
  <c r="H233" i="35"/>
  <c r="L231" i="35"/>
  <c r="H231" i="35"/>
  <c r="X172" i="31"/>
  <c r="Y172" i="31" s="1"/>
  <c r="Z172" i="31"/>
  <c r="X171" i="31"/>
  <c r="Y171" i="31" s="1"/>
  <c r="Z171" i="31"/>
  <c r="S365" i="31"/>
  <c r="T365" i="31" s="1"/>
  <c r="S341" i="31"/>
  <c r="T341" i="31" s="1"/>
  <c r="Z341" i="31"/>
  <c r="Z365" i="31"/>
  <c r="X341" i="31"/>
  <c r="Y341" i="31" s="1"/>
  <c r="X365" i="31"/>
  <c r="Y365" i="31" s="1"/>
  <c r="Q428" i="33"/>
  <c r="M67" i="35"/>
  <c r="H230" i="35"/>
  <c r="H224" i="35"/>
  <c r="M230" i="35"/>
  <c r="L230" i="35"/>
  <c r="S234" i="31"/>
  <c r="T234" i="31" s="1"/>
  <c r="S363" i="31"/>
  <c r="T363" i="31" s="1"/>
  <c r="S340" i="31"/>
  <c r="T340" i="31" s="1"/>
  <c r="Z363" i="31"/>
  <c r="X340" i="31"/>
  <c r="Y340" i="31" s="1"/>
  <c r="Z340" i="31"/>
  <c r="S389" i="31"/>
  <c r="T389" i="31" s="1"/>
  <c r="X363" i="31"/>
  <c r="Y363" i="31" s="1"/>
  <c r="Z234" i="31"/>
  <c r="X234" i="31"/>
  <c r="Y234" i="31" s="1"/>
  <c r="S387" i="31"/>
  <c r="T387" i="31" s="1"/>
  <c r="S383" i="31"/>
  <c r="T383" i="31" s="1"/>
  <c r="S385" i="31"/>
  <c r="T385" i="31" s="1"/>
  <c r="Z383" i="31"/>
  <c r="X383" i="31"/>
  <c r="Y383" i="31" s="1"/>
  <c r="Z389" i="31"/>
  <c r="X389" i="31"/>
  <c r="Y389" i="31" s="1"/>
  <c r="S382" i="31"/>
  <c r="T382" i="31" s="1"/>
  <c r="X382" i="31"/>
  <c r="Y382" i="31" s="1"/>
  <c r="Z382" i="31"/>
  <c r="S379" i="31"/>
  <c r="T379" i="31" s="1"/>
  <c r="Z387" i="31"/>
  <c r="X387" i="31"/>
  <c r="Y387" i="31" s="1"/>
  <c r="M229" i="35"/>
  <c r="L229" i="35"/>
  <c r="H229" i="35"/>
  <c r="L213" i="35"/>
  <c r="Z385" i="31"/>
  <c r="X379" i="31"/>
  <c r="Y379" i="31" s="1"/>
  <c r="Z379" i="31"/>
  <c r="S384" i="31"/>
  <c r="T384" i="31" s="1"/>
  <c r="X385" i="31"/>
  <c r="Y385" i="31" s="1"/>
  <c r="H227" i="35"/>
  <c r="L227" i="35"/>
  <c r="H226" i="35"/>
  <c r="L226" i="35"/>
  <c r="L225" i="35"/>
  <c r="H225" i="35"/>
  <c r="H223" i="35"/>
  <c r="L223" i="35"/>
  <c r="X384" i="31"/>
  <c r="Y384" i="31" s="1"/>
  <c r="Z384" i="31"/>
  <c r="S393" i="31"/>
  <c r="T393" i="31" s="1"/>
  <c r="Z393" i="31"/>
  <c r="X393" i="31"/>
  <c r="Y393" i="31" s="1"/>
  <c r="S307" i="31"/>
  <c r="T307" i="31" s="1"/>
  <c r="S301" i="31"/>
  <c r="T301" i="31" s="1"/>
  <c r="L221" i="35"/>
  <c r="H221" i="35"/>
  <c r="X301" i="31"/>
  <c r="Y301" i="31" s="1"/>
  <c r="Z301" i="31"/>
  <c r="Z307" i="31"/>
  <c r="X307" i="31"/>
  <c r="Y307" i="31" s="1"/>
  <c r="S390" i="31"/>
  <c r="T390" i="31" s="1"/>
  <c r="S419" i="31"/>
  <c r="T419" i="31" s="1"/>
  <c r="Z419" i="31"/>
  <c r="Z390" i="31"/>
  <c r="X390" i="31"/>
  <c r="Y390" i="31" s="1"/>
  <c r="X419" i="31"/>
  <c r="Y419" i="31" s="1"/>
  <c r="S386" i="31"/>
  <c r="T386" i="31" s="1"/>
  <c r="Z386" i="31"/>
  <c r="L220" i="35"/>
  <c r="H220" i="35"/>
  <c r="X386" i="31"/>
  <c r="Y386" i="31" s="1"/>
  <c r="Z418" i="31"/>
  <c r="S418" i="31"/>
  <c r="T418" i="31" s="1"/>
  <c r="X418" i="31"/>
  <c r="Y418" i="31" s="1"/>
  <c r="S320" i="31"/>
  <c r="T320" i="31" s="1"/>
  <c r="R118" i="6"/>
  <c r="H89" i="36" s="1"/>
  <c r="L115" i="6"/>
  <c r="N110" i="6"/>
  <c r="O110" i="6"/>
  <c r="M108" i="6"/>
  <c r="L108" i="6"/>
  <c r="M107" i="6"/>
  <c r="O103" i="6"/>
  <c r="L107" i="6"/>
  <c r="K102" i="6"/>
  <c r="K104" i="6"/>
  <c r="K101" i="6"/>
  <c r="L219" i="35"/>
  <c r="M219" i="35"/>
  <c r="H219" i="35"/>
  <c r="H218" i="35"/>
  <c r="L218" i="35"/>
  <c r="N375" i="33"/>
  <c r="H217" i="35"/>
  <c r="H213" i="35"/>
  <c r="L217" i="35"/>
  <c r="Z320" i="31"/>
  <c r="X320" i="31"/>
  <c r="Y320" i="31" s="1"/>
  <c r="S357" i="31"/>
  <c r="T357" i="31" s="1"/>
  <c r="X357" i="31"/>
  <c r="Y357" i="31" s="1"/>
  <c r="Z357" i="31"/>
  <c r="H214" i="35"/>
  <c r="M214" i="35"/>
  <c r="L215" i="35"/>
  <c r="H215" i="35"/>
  <c r="L197" i="35"/>
  <c r="L214" i="35"/>
  <c r="L198" i="35"/>
  <c r="S179" i="31"/>
  <c r="T179" i="31" s="1"/>
  <c r="Z179" i="31"/>
  <c r="X179" i="31"/>
  <c r="Y179" i="31" s="1"/>
  <c r="S99" i="31"/>
  <c r="T99" i="31" s="1"/>
  <c r="G939" i="31" s="1"/>
  <c r="S178" i="31"/>
  <c r="T178" i="31" s="1"/>
  <c r="X178" i="31"/>
  <c r="Y178" i="31" s="1"/>
  <c r="Z178" i="31"/>
  <c r="S299" i="31"/>
  <c r="T299" i="31" s="1"/>
  <c r="Z334" i="31"/>
  <c r="Z299" i="31"/>
  <c r="X299" i="31"/>
  <c r="Y299" i="31" s="1"/>
  <c r="S334" i="31"/>
  <c r="T334" i="31" s="1"/>
  <c r="X334" i="31"/>
  <c r="Y334" i="31" s="1"/>
  <c r="X99" i="31"/>
  <c r="Y99" i="31" s="1"/>
  <c r="Z99" i="31"/>
  <c r="S162" i="31"/>
  <c r="T162" i="31" s="1"/>
  <c r="S190" i="31"/>
  <c r="T190" i="31" s="1"/>
  <c r="X190" i="31"/>
  <c r="Y190" i="31" s="1"/>
  <c r="Z190" i="31"/>
  <c r="Z162" i="31"/>
  <c r="X162" i="31"/>
  <c r="Y162" i="31" s="1"/>
  <c r="S184" i="31"/>
  <c r="T184" i="31" s="1"/>
  <c r="S233" i="31"/>
  <c r="T233" i="31" s="1"/>
  <c r="X233" i="31"/>
  <c r="Y233" i="31" s="1"/>
  <c r="Z233" i="31"/>
  <c r="Z184" i="31"/>
  <c r="X184" i="31"/>
  <c r="Y184" i="31" s="1"/>
  <c r="S169" i="31"/>
  <c r="T169" i="31" s="1"/>
  <c r="X169" i="31"/>
  <c r="Y169" i="31" s="1"/>
  <c r="Z169" i="31"/>
  <c r="L206" i="35"/>
  <c r="L204" i="35"/>
  <c r="H204" i="35"/>
  <c r="H210" i="35"/>
  <c r="H206" i="35"/>
  <c r="L210" i="35"/>
  <c r="M210" i="35"/>
  <c r="L209" i="35"/>
  <c r="H209" i="35"/>
  <c r="S335" i="31"/>
  <c r="T335" i="31" s="1"/>
  <c r="S300" i="31"/>
  <c r="T300" i="31" s="1"/>
  <c r="X300" i="31"/>
  <c r="Y300" i="31" s="1"/>
  <c r="Z300" i="31"/>
  <c r="Z335" i="31"/>
  <c r="X335" i="31"/>
  <c r="Y335" i="31" s="1"/>
  <c r="S101" i="31"/>
  <c r="T101" i="31" s="1"/>
  <c r="Z101" i="31"/>
  <c r="X101" i="31"/>
  <c r="Y101" i="31" s="1"/>
  <c r="S401" i="31"/>
  <c r="T401" i="31" s="1"/>
  <c r="L207" i="35"/>
  <c r="L208" i="35"/>
  <c r="H207" i="35"/>
  <c r="H202" i="35"/>
  <c r="L201" i="35"/>
  <c r="H198" i="35"/>
  <c r="H201" i="35"/>
  <c r="M102" i="35"/>
  <c r="H197" i="35"/>
  <c r="L202" i="35"/>
  <c r="Q136" i="33"/>
  <c r="X401" i="31"/>
  <c r="Y401" i="31" s="1"/>
  <c r="Z401" i="31"/>
  <c r="S420" i="31"/>
  <c r="T420" i="31" s="1"/>
  <c r="S160" i="31"/>
  <c r="T160" i="31" s="1"/>
  <c r="S150" i="31"/>
  <c r="T150" i="31" s="1"/>
  <c r="X420" i="31"/>
  <c r="Y420" i="31" s="1"/>
  <c r="Z420" i="31"/>
  <c r="M101" i="6"/>
  <c r="L101" i="6"/>
  <c r="M104" i="6"/>
  <c r="L100" i="6"/>
  <c r="L104" i="6"/>
  <c r="M103" i="6"/>
  <c r="L103" i="6"/>
  <c r="M102" i="6"/>
  <c r="L102" i="6"/>
  <c r="J102" i="6"/>
  <c r="Z150" i="31"/>
  <c r="X150" i="31"/>
  <c r="Y150" i="31" s="1"/>
  <c r="S161" i="31"/>
  <c r="T161" i="31" s="1"/>
  <c r="X161" i="31"/>
  <c r="Y161" i="31" s="1"/>
  <c r="Z161" i="31"/>
  <c r="S186" i="31"/>
  <c r="T186" i="31" s="1"/>
  <c r="S158" i="31"/>
  <c r="T158" i="31" s="1"/>
  <c r="S189" i="31"/>
  <c r="T189" i="31" s="1"/>
  <c r="Z160" i="31"/>
  <c r="X160" i="31"/>
  <c r="Y160" i="31" s="1"/>
  <c r="M64" i="35"/>
  <c r="Z189" i="31"/>
  <c r="X158" i="31"/>
  <c r="Y158" i="31" s="1"/>
  <c r="X189" i="31"/>
  <c r="Y189" i="31" s="1"/>
  <c r="Z158" i="31"/>
  <c r="X186" i="31"/>
  <c r="Y186" i="31" s="1"/>
  <c r="Z186" i="31"/>
  <c r="Q201" i="33"/>
  <c r="R201" i="33" s="1"/>
  <c r="M199" i="35"/>
  <c r="L199" i="35"/>
  <c r="I102" i="35"/>
  <c r="H199" i="35"/>
  <c r="O98" i="6"/>
  <c r="N98" i="6"/>
  <c r="S102" i="31"/>
  <c r="T102" i="31" s="1"/>
  <c r="J398" i="33"/>
  <c r="Q398" i="33"/>
  <c r="R398" i="33" s="1"/>
  <c r="Q327" i="33"/>
  <c r="R327" i="33" s="1"/>
  <c r="J327" i="33"/>
  <c r="J313" i="33"/>
  <c r="Q313" i="33"/>
  <c r="R313" i="33" s="1"/>
  <c r="Q338" i="33"/>
  <c r="R338" i="33" s="1"/>
  <c r="Q418" i="33"/>
  <c r="R418" i="33" s="1"/>
  <c r="J418" i="33"/>
  <c r="Q294" i="33"/>
  <c r="R294" i="33" s="1"/>
  <c r="J294" i="33"/>
  <c r="J338" i="33"/>
  <c r="Q250" i="33"/>
  <c r="Q326" i="33"/>
  <c r="J391" i="33"/>
  <c r="Q391" i="33"/>
  <c r="Q309" i="33"/>
  <c r="J250" i="33"/>
  <c r="J356" i="33"/>
  <c r="Q275" i="33"/>
  <c r="J424" i="33"/>
  <c r="Q264" i="33"/>
  <c r="Q424" i="33"/>
  <c r="J326" i="33"/>
  <c r="Q372" i="33"/>
  <c r="Q365" i="33"/>
  <c r="J365" i="33"/>
  <c r="Q356" i="33"/>
  <c r="S147" i="31"/>
  <c r="T147" i="31" s="1"/>
  <c r="L196" i="35"/>
  <c r="M45" i="35"/>
  <c r="H196" i="35"/>
  <c r="M31" i="35"/>
  <c r="M195" i="35"/>
  <c r="M33" i="35"/>
  <c r="H194" i="35"/>
  <c r="L195" i="35"/>
  <c r="H195" i="35"/>
  <c r="M194" i="35"/>
  <c r="M27" i="35"/>
  <c r="L194" i="35"/>
  <c r="M193" i="35"/>
  <c r="L193" i="35"/>
  <c r="H193" i="35"/>
  <c r="H192" i="35"/>
  <c r="L192" i="35"/>
  <c r="M49" i="35"/>
  <c r="M191" i="35"/>
  <c r="L191" i="35"/>
  <c r="H191" i="35"/>
  <c r="H190" i="35"/>
  <c r="M190" i="35"/>
  <c r="L190" i="35"/>
  <c r="L189" i="35"/>
  <c r="M48" i="35"/>
  <c r="H188" i="35"/>
  <c r="M188" i="35"/>
  <c r="H189" i="35"/>
  <c r="H183" i="35"/>
  <c r="L182" i="35"/>
  <c r="L188" i="35"/>
  <c r="M23" i="35"/>
  <c r="L185" i="35"/>
  <c r="L187" i="35"/>
  <c r="H182" i="35"/>
  <c r="L186" i="35"/>
  <c r="L184" i="35"/>
  <c r="H185" i="35"/>
  <c r="H184" i="35"/>
  <c r="M186" i="35"/>
  <c r="L183" i="35"/>
  <c r="H187" i="35"/>
  <c r="M183" i="35"/>
  <c r="H186" i="35"/>
  <c r="M25" i="35"/>
  <c r="M24" i="35"/>
  <c r="Z147" i="31"/>
  <c r="X147" i="31"/>
  <c r="Y147" i="31" s="1"/>
  <c r="Z102" i="31"/>
  <c r="X102" i="31"/>
  <c r="Y102" i="31" s="1"/>
  <c r="H180" i="35"/>
  <c r="H174" i="35"/>
  <c r="L180" i="35"/>
  <c r="H164" i="35"/>
  <c r="S89" i="31"/>
  <c r="T89" i="31" s="1"/>
  <c r="S94" i="31"/>
  <c r="T94" i="31" s="1"/>
  <c r="S77" i="31"/>
  <c r="T77" i="31" s="1"/>
  <c r="S76" i="31"/>
  <c r="T76" i="31" s="1"/>
  <c r="S114" i="31"/>
  <c r="T114" i="31" s="1"/>
  <c r="X114" i="31"/>
  <c r="Y114" i="31" s="1"/>
  <c r="Z114" i="31"/>
  <c r="Q147" i="33"/>
  <c r="Z76" i="31"/>
  <c r="X76" i="31"/>
  <c r="Y76" i="31" s="1"/>
  <c r="X77" i="31"/>
  <c r="Y77" i="31" s="1"/>
  <c r="Z77" i="31"/>
  <c r="X94" i="31"/>
  <c r="Y94" i="31" s="1"/>
  <c r="Z94" i="31"/>
  <c r="S80" i="31"/>
  <c r="T80" i="31" s="1"/>
  <c r="X78" i="31"/>
  <c r="Y78" i="31" s="1"/>
  <c r="Z78" i="31"/>
  <c r="X89" i="31"/>
  <c r="Y89" i="31" s="1"/>
  <c r="Z89" i="31"/>
  <c r="S78" i="31"/>
  <c r="T78" i="31" s="1"/>
  <c r="S87" i="31"/>
  <c r="T87" i="31" s="1"/>
  <c r="X87" i="31"/>
  <c r="Y87" i="31" s="1"/>
  <c r="Z87" i="31"/>
  <c r="X80" i="31"/>
  <c r="Y80" i="31" s="1"/>
  <c r="Z80" i="31"/>
  <c r="L178" i="35"/>
  <c r="H178" i="35"/>
  <c r="L167" i="35"/>
  <c r="H177" i="35"/>
  <c r="L177" i="35"/>
  <c r="M168" i="35"/>
  <c r="L175" i="35"/>
  <c r="L176" i="35"/>
  <c r="L174" i="35"/>
  <c r="H175" i="35"/>
  <c r="H176" i="35"/>
  <c r="M167" i="35"/>
  <c r="H167" i="35"/>
  <c r="Q219" i="33"/>
  <c r="R219" i="33" s="1"/>
  <c r="J219" i="33"/>
  <c r="M98" i="6"/>
  <c r="L98" i="6"/>
  <c r="N99" i="6"/>
  <c r="M99" i="6"/>
  <c r="L97" i="6"/>
  <c r="L99" i="6"/>
  <c r="N97" i="6"/>
  <c r="M97" i="6"/>
  <c r="L96" i="6"/>
  <c r="L92" i="6"/>
  <c r="L93" i="6"/>
  <c r="L94" i="6"/>
  <c r="N93" i="6"/>
  <c r="L95" i="6"/>
  <c r="N92" i="6"/>
  <c r="O93" i="6"/>
  <c r="M93" i="6"/>
  <c r="M92" i="6"/>
  <c r="M26" i="6"/>
  <c r="O28" i="6"/>
  <c r="L90" i="6"/>
  <c r="L91" i="6"/>
  <c r="N87" i="6"/>
  <c r="O88" i="6"/>
  <c r="S63" i="31"/>
  <c r="T63" i="31" s="1"/>
  <c r="X63" i="31"/>
  <c r="Y63" i="31" s="1"/>
  <c r="Z63" i="31"/>
  <c r="Q490" i="33"/>
  <c r="J490" i="33"/>
  <c r="S146" i="31"/>
  <c r="T146" i="31" s="1"/>
  <c r="X146" i="31"/>
  <c r="Y146" i="31" s="1"/>
  <c r="Z146" i="31"/>
  <c r="S83" i="31"/>
  <c r="T83" i="31" s="1"/>
  <c r="Z83" i="31"/>
  <c r="X83" i="31"/>
  <c r="Y83" i="31" s="1"/>
  <c r="S144" i="31"/>
  <c r="T144" i="31" s="1"/>
  <c r="L164" i="35"/>
  <c r="I167" i="35"/>
  <c r="L173" i="35"/>
  <c r="H168" i="35"/>
  <c r="H173" i="35"/>
  <c r="H170" i="35"/>
  <c r="M169" i="35"/>
  <c r="L171" i="35"/>
  <c r="L172" i="35"/>
  <c r="L168" i="35"/>
  <c r="H171" i="35"/>
  <c r="L170" i="35"/>
  <c r="H172" i="35"/>
  <c r="I170" i="35"/>
  <c r="I169" i="35"/>
  <c r="L169" i="35"/>
  <c r="Z144" i="31"/>
  <c r="X144" i="31"/>
  <c r="Y144" i="31" s="1"/>
  <c r="Z423" i="31"/>
  <c r="S423" i="31"/>
  <c r="T423" i="31" s="1"/>
  <c r="X423" i="31"/>
  <c r="Y423" i="31" s="1"/>
  <c r="S430" i="31"/>
  <c r="T430" i="31" s="1"/>
  <c r="Z141" i="31"/>
  <c r="X430" i="31"/>
  <c r="Y430" i="31" s="1"/>
  <c r="Z430" i="31"/>
  <c r="S141" i="31"/>
  <c r="T141" i="31" s="1"/>
  <c r="X141" i="31"/>
  <c r="Y141" i="31" s="1"/>
  <c r="S103" i="31"/>
  <c r="T103" i="31" s="1"/>
  <c r="S140" i="31"/>
  <c r="T140" i="31" s="1"/>
  <c r="X140" i="31"/>
  <c r="Y140" i="31" s="1"/>
  <c r="Z140" i="31"/>
  <c r="S143" i="31"/>
  <c r="T143" i="31" s="1"/>
  <c r="M323" i="33" s="1"/>
  <c r="Z143" i="31"/>
  <c r="X143" i="31"/>
  <c r="Y143" i="31" s="1"/>
  <c r="Q323" i="33"/>
  <c r="J323" i="33"/>
  <c r="X103" i="31"/>
  <c r="Y103" i="31" s="1"/>
  <c r="Z103" i="31"/>
  <c r="S74" i="31"/>
  <c r="T74" i="31" s="1"/>
  <c r="X74" i="31"/>
  <c r="Y74" i="31" s="1"/>
  <c r="Z74" i="31"/>
  <c r="H169" i="35"/>
  <c r="H162" i="35"/>
  <c r="S81" i="31"/>
  <c r="T81" i="31" s="1"/>
  <c r="S93" i="31"/>
  <c r="T93" i="31" s="1"/>
  <c r="S75" i="31"/>
  <c r="T75" i="31" s="1"/>
  <c r="F941" i="31" s="1"/>
  <c r="Q340" i="33"/>
  <c r="R340" i="33" s="1"/>
  <c r="L166" i="35"/>
  <c r="X75" i="31"/>
  <c r="Y75" i="31" s="1"/>
  <c r="Z75" i="31"/>
  <c r="Z81" i="31"/>
  <c r="X93" i="31"/>
  <c r="Y93" i="31" s="1"/>
  <c r="X81" i="31"/>
  <c r="Y81" i="31" s="1"/>
  <c r="Z93" i="31"/>
  <c r="S57" i="31"/>
  <c r="T57" i="31" s="1"/>
  <c r="Z57" i="31"/>
  <c r="J457" i="33"/>
  <c r="Q457" i="33"/>
  <c r="X57" i="31"/>
  <c r="Y57" i="31" s="1"/>
  <c r="S132" i="31"/>
  <c r="T132" i="31" s="1"/>
  <c r="X132" i="31"/>
  <c r="Y132" i="31" s="1"/>
  <c r="Z132" i="31"/>
  <c r="S131" i="31"/>
  <c r="T131" i="31" s="1"/>
  <c r="X131" i="31"/>
  <c r="Y131" i="31" s="1"/>
  <c r="Z131" i="31"/>
  <c r="L165" i="35"/>
  <c r="H166" i="35"/>
  <c r="S422" i="31"/>
  <c r="T422" i="31" s="1"/>
  <c r="S129" i="31"/>
  <c r="T129" i="31" s="1"/>
  <c r="X422" i="31"/>
  <c r="Y422" i="31" s="1"/>
  <c r="Z422" i="31"/>
  <c r="H165" i="35"/>
  <c r="L163" i="35"/>
  <c r="X129" i="31"/>
  <c r="Y129" i="31" s="1"/>
  <c r="Z129" i="31"/>
  <c r="H156" i="35"/>
  <c r="H163" i="35"/>
  <c r="L156" i="35"/>
  <c r="F40" i="34"/>
  <c r="Q89" i="33"/>
  <c r="Q186" i="33"/>
  <c r="M88" i="6"/>
  <c r="L152" i="35"/>
  <c r="L88" i="6"/>
  <c r="H153" i="35"/>
  <c r="N88" i="6"/>
  <c r="H152" i="35"/>
  <c r="L155" i="35"/>
  <c r="M151" i="35"/>
  <c r="M154" i="35"/>
  <c r="L151" i="35"/>
  <c r="L154" i="35"/>
  <c r="H155" i="35"/>
  <c r="M89" i="6"/>
  <c r="L157" i="35"/>
  <c r="L89" i="6"/>
  <c r="L153" i="35"/>
  <c r="H154" i="35"/>
  <c r="H151" i="35"/>
  <c r="H148" i="35"/>
  <c r="H157" i="35"/>
  <c r="L160" i="35"/>
  <c r="M147" i="35"/>
  <c r="H161" i="35"/>
  <c r="L159" i="35"/>
  <c r="H160" i="35"/>
  <c r="L158" i="35"/>
  <c r="L148" i="35"/>
  <c r="H159" i="35"/>
  <c r="L162" i="35"/>
  <c r="H158" i="35"/>
  <c r="L161" i="35"/>
  <c r="Q516" i="33"/>
  <c r="L150" i="35"/>
  <c r="H150" i="35"/>
  <c r="H149" i="35"/>
  <c r="L149" i="35"/>
  <c r="S421" i="31"/>
  <c r="T421" i="31" s="1"/>
  <c r="Z421" i="31"/>
  <c r="X421" i="31"/>
  <c r="Y421" i="31" s="1"/>
  <c r="S111" i="31"/>
  <c r="T111" i="31" s="1"/>
  <c r="S127" i="31"/>
  <c r="T127" i="31" s="1"/>
  <c r="S72" i="31"/>
  <c r="T72" i="31" s="1"/>
  <c r="Z111" i="31"/>
  <c r="X111" i="31"/>
  <c r="Y111" i="31" s="1"/>
  <c r="S154" i="31"/>
  <c r="T154" i="31" s="1"/>
  <c r="X154" i="31"/>
  <c r="Y154" i="31" s="1"/>
  <c r="Z154" i="31"/>
  <c r="Z127" i="31"/>
  <c r="X127" i="31"/>
  <c r="Y127" i="31" s="1"/>
  <c r="X72" i="31"/>
  <c r="Y72" i="31" s="1"/>
  <c r="Z72" i="31"/>
  <c r="Q209" i="33"/>
  <c r="L146" i="35"/>
  <c r="L147" i="35"/>
  <c r="M146" i="35"/>
  <c r="H146" i="35"/>
  <c r="H147" i="35"/>
  <c r="S62" i="31"/>
  <c r="T62" i="31" s="1"/>
  <c r="S79" i="31"/>
  <c r="T79" i="31" s="1"/>
  <c r="J343" i="33"/>
  <c r="Q343" i="33"/>
  <c r="L145" i="35"/>
  <c r="H145" i="35"/>
  <c r="Z79" i="31"/>
  <c r="S52" i="31"/>
  <c r="T52" i="31" s="1"/>
  <c r="X79" i="31"/>
  <c r="Y79" i="31" s="1"/>
  <c r="X52" i="31"/>
  <c r="Y52" i="31" s="1"/>
  <c r="Z52" i="31"/>
  <c r="D852" i="31"/>
  <c r="Z439" i="31"/>
  <c r="S426" i="31"/>
  <c r="T426" i="31" s="1"/>
  <c r="S439" i="31"/>
  <c r="T439" i="31" s="1"/>
  <c r="X439" i="31"/>
  <c r="Y439" i="31" s="1"/>
  <c r="Z426" i="31"/>
  <c r="X426" i="31"/>
  <c r="Y426" i="31" s="1"/>
  <c r="S65" i="31"/>
  <c r="T65" i="31" s="1"/>
  <c r="L142" i="35"/>
  <c r="H142" i="35"/>
  <c r="H138" i="35"/>
  <c r="L141" i="35"/>
  <c r="M140" i="35"/>
  <c r="H141" i="35"/>
  <c r="L140" i="35"/>
  <c r="L119" i="35"/>
  <c r="H140" i="35"/>
  <c r="M139" i="35"/>
  <c r="M138" i="35"/>
  <c r="L139" i="35"/>
  <c r="H139" i="35"/>
  <c r="L138" i="35"/>
  <c r="M137" i="35"/>
  <c r="L137" i="35"/>
  <c r="H137" i="35"/>
  <c r="S60" i="31"/>
  <c r="T60" i="31" s="1"/>
  <c r="M129" i="33" s="1"/>
  <c r="Z65" i="31"/>
  <c r="X65" i="31"/>
  <c r="Y65" i="31" s="1"/>
  <c r="X62" i="31"/>
  <c r="Y62" i="31" s="1"/>
  <c r="Z62" i="31"/>
  <c r="Z60" i="31"/>
  <c r="X60" i="31"/>
  <c r="Y60" i="31" s="1"/>
  <c r="S46" i="31"/>
  <c r="T46" i="31" s="1"/>
  <c r="M386" i="33" s="1"/>
  <c r="S104" i="31"/>
  <c r="T104" i="31" s="1"/>
  <c r="X46" i="31"/>
  <c r="Y46" i="31" s="1"/>
  <c r="Z46" i="31"/>
  <c r="S110" i="31"/>
  <c r="T110" i="31" s="1"/>
  <c r="M256" i="33" s="1"/>
  <c r="O89" i="6"/>
  <c r="N86" i="6"/>
  <c r="O86" i="6"/>
  <c r="O87" i="6"/>
  <c r="M87" i="6"/>
  <c r="L87" i="6"/>
  <c r="N9" i="6"/>
  <c r="M86" i="6"/>
  <c r="L86" i="6"/>
  <c r="M85" i="6"/>
  <c r="L85" i="6"/>
  <c r="J334" i="33"/>
  <c r="H133" i="35"/>
  <c r="N83" i="6"/>
  <c r="L83" i="6"/>
  <c r="O81" i="6"/>
  <c r="O83" i="6"/>
  <c r="M84" i="6"/>
  <c r="N41" i="6"/>
  <c r="L84" i="6"/>
  <c r="N81" i="6"/>
  <c r="M83" i="6"/>
  <c r="O41" i="6"/>
  <c r="M81" i="6"/>
  <c r="L81" i="6"/>
  <c r="M82" i="6"/>
  <c r="L82" i="6"/>
  <c r="N67" i="6"/>
  <c r="M80" i="6"/>
  <c r="L26" i="6"/>
  <c r="L80" i="6"/>
  <c r="X110" i="31"/>
  <c r="Y110" i="31" s="1"/>
  <c r="Z110" i="31"/>
  <c r="X104" i="31"/>
  <c r="Y104" i="31" s="1"/>
  <c r="Z104" i="31"/>
  <c r="S73" i="31"/>
  <c r="T73" i="31" s="1"/>
  <c r="S69" i="31"/>
  <c r="T69" i="31" s="1"/>
  <c r="X73" i="31"/>
  <c r="Y73" i="31" s="1"/>
  <c r="Z73" i="31"/>
  <c r="S116" i="31"/>
  <c r="T116" i="31" s="1"/>
  <c r="Z116" i="31"/>
  <c r="Z69" i="31"/>
  <c r="X116" i="31"/>
  <c r="Y116" i="31" s="1"/>
  <c r="S174" i="31"/>
  <c r="T174" i="31" s="1"/>
  <c r="X69" i="31"/>
  <c r="Y69" i="31" s="1"/>
  <c r="M133" i="35"/>
  <c r="S66" i="31"/>
  <c r="T66" i="31" s="1"/>
  <c r="S108" i="31"/>
  <c r="T108" i="31" s="1"/>
  <c r="Z174" i="31"/>
  <c r="X174" i="31"/>
  <c r="Y174" i="31" s="1"/>
  <c r="S47" i="31"/>
  <c r="T47" i="31" s="1"/>
  <c r="X108" i="31"/>
  <c r="Y108" i="31" s="1"/>
  <c r="Z108" i="31"/>
  <c r="S45" i="31"/>
  <c r="T45" i="31" s="1"/>
  <c r="X66" i="31"/>
  <c r="Y66" i="31" s="1"/>
  <c r="Z66" i="31"/>
  <c r="X45" i="31"/>
  <c r="Y45" i="31" s="1"/>
  <c r="Z45" i="31"/>
  <c r="J477" i="33"/>
  <c r="Q477" i="33"/>
  <c r="H132" i="35"/>
  <c r="H131" i="35"/>
  <c r="L134" i="35"/>
  <c r="H130" i="35"/>
  <c r="H118" i="35"/>
  <c r="H129" i="35"/>
  <c r="L129" i="35"/>
  <c r="H134" i="35"/>
  <c r="L133" i="35"/>
  <c r="L132" i="35"/>
  <c r="L131" i="35"/>
  <c r="L130" i="35"/>
  <c r="Q399" i="33"/>
  <c r="Q465" i="33"/>
  <c r="J465" i="33"/>
  <c r="J386" i="33"/>
  <c r="Q386" i="33"/>
  <c r="Q239" i="33"/>
  <c r="R239" i="33" s="1"/>
  <c r="S42" i="31"/>
  <c r="T42" i="31" s="1"/>
  <c r="X47" i="31"/>
  <c r="Y47" i="31" s="1"/>
  <c r="Z47" i="31"/>
  <c r="X42" i="31"/>
  <c r="Y42" i="31" s="1"/>
  <c r="Z42" i="31"/>
  <c r="J239" i="33"/>
  <c r="Q432" i="33"/>
  <c r="R432" i="33" s="1"/>
  <c r="Q512" i="33"/>
  <c r="R512" i="33" s="1"/>
  <c r="Q255" i="33"/>
  <c r="S44" i="31"/>
  <c r="T44" i="31" s="1"/>
  <c r="G958" i="31" s="1"/>
  <c r="Q466" i="33"/>
  <c r="J466" i="33"/>
  <c r="X44" i="31"/>
  <c r="Y44" i="31" s="1"/>
  <c r="Z44" i="31"/>
  <c r="K129" i="35"/>
  <c r="M65" i="6"/>
  <c r="L65" i="6"/>
  <c r="M79" i="6"/>
  <c r="L79" i="6"/>
  <c r="S304" i="31"/>
  <c r="T304" i="31" s="1"/>
  <c r="L127" i="35"/>
  <c r="L126" i="35"/>
  <c r="H127" i="35"/>
  <c r="H125" i="35"/>
  <c r="M126" i="35"/>
  <c r="H126" i="35"/>
  <c r="M38" i="35"/>
  <c r="L125" i="35"/>
  <c r="Z304" i="31"/>
  <c r="X304" i="31"/>
  <c r="Y304" i="31" s="1"/>
  <c r="S113" i="31"/>
  <c r="T113" i="31" s="1"/>
  <c r="Z113" i="31"/>
  <c r="L124" i="35"/>
  <c r="H124" i="35"/>
  <c r="H119" i="35"/>
  <c r="L123" i="35"/>
  <c r="M122" i="35"/>
  <c r="H123" i="35"/>
  <c r="M40" i="35"/>
  <c r="L122" i="35"/>
  <c r="H122" i="35"/>
  <c r="S55" i="31"/>
  <c r="T55" i="31" s="1"/>
  <c r="Z61" i="31"/>
  <c r="S61" i="31"/>
  <c r="T61" i="31" s="1"/>
  <c r="X61" i="31"/>
  <c r="Y61" i="31" s="1"/>
  <c r="X55" i="31"/>
  <c r="Y55" i="31" s="1"/>
  <c r="Z55" i="31"/>
  <c r="S82" i="31"/>
  <c r="T82" i="31" s="1"/>
  <c r="X82" i="31"/>
  <c r="Y82" i="31" s="1"/>
  <c r="Z82" i="31"/>
  <c r="X113" i="31"/>
  <c r="Y113" i="31" s="1"/>
  <c r="S164" i="31"/>
  <c r="T164" i="31" s="1"/>
  <c r="F1049" i="31" s="1"/>
  <c r="Q360" i="33"/>
  <c r="X164" i="31"/>
  <c r="Y164" i="31" s="1"/>
  <c r="Z164" i="31"/>
  <c r="S431" i="31"/>
  <c r="T431" i="31" s="1"/>
  <c r="J381" i="33"/>
  <c r="L77" i="6"/>
  <c r="M78" i="6"/>
  <c r="L78" i="6"/>
  <c r="L76" i="6"/>
  <c r="O76" i="6"/>
  <c r="M76" i="6"/>
  <c r="M77" i="6"/>
  <c r="H71" i="6"/>
  <c r="J71" i="6" s="1"/>
  <c r="N71" i="6" s="1"/>
  <c r="M69" i="6"/>
  <c r="L74" i="6"/>
  <c r="L73" i="6"/>
  <c r="J70" i="6"/>
  <c r="M75" i="6"/>
  <c r="L75" i="6"/>
  <c r="L72" i="6"/>
  <c r="M71" i="6"/>
  <c r="O73" i="6"/>
  <c r="O72" i="6"/>
  <c r="O71" i="6"/>
  <c r="N74" i="6"/>
  <c r="N73" i="6"/>
  <c r="N72" i="6"/>
  <c r="L69" i="6"/>
  <c r="M74" i="6"/>
  <c r="M73" i="6"/>
  <c r="M70" i="6"/>
  <c r="O74" i="6"/>
  <c r="M72" i="6"/>
  <c r="O69" i="6"/>
  <c r="K65" i="6"/>
  <c r="J65" i="6"/>
  <c r="N369" i="6" s="1"/>
  <c r="O68" i="6"/>
  <c r="J478" i="33"/>
  <c r="J503" i="33"/>
  <c r="J119" i="33"/>
  <c r="J296" i="33"/>
  <c r="J400" i="33"/>
  <c r="J312" i="33"/>
  <c r="J535" i="33"/>
  <c r="J537" i="33"/>
  <c r="J162" i="33"/>
  <c r="J403" i="33"/>
  <c r="J420" i="33"/>
  <c r="J50" i="33"/>
  <c r="N68" i="6"/>
  <c r="M68" i="6"/>
  <c r="L68" i="6"/>
  <c r="M66" i="6"/>
  <c r="L66" i="6"/>
  <c r="O33" i="6"/>
  <c r="O67" i="6"/>
  <c r="M62" i="6"/>
  <c r="Q62" i="6" s="1"/>
  <c r="N66" i="6"/>
  <c r="M67" i="6"/>
  <c r="L67" i="6"/>
  <c r="M64" i="6"/>
  <c r="L64" i="6"/>
  <c r="O64" i="6"/>
  <c r="O66" i="6"/>
  <c r="N33" i="6"/>
  <c r="N64" i="6"/>
  <c r="L63" i="6"/>
  <c r="K61" i="6"/>
  <c r="O433" i="6" s="1"/>
  <c r="Q433" i="6" s="1"/>
  <c r="O63" i="6"/>
  <c r="N32" i="6"/>
  <c r="N63" i="6"/>
  <c r="M63" i="6"/>
  <c r="O32" i="6"/>
  <c r="X431" i="31"/>
  <c r="Y431" i="31" s="1"/>
  <c r="Z431" i="31"/>
  <c r="S122" i="31"/>
  <c r="T122" i="31" s="1"/>
  <c r="S70" i="31"/>
  <c r="T70" i="31" s="1"/>
  <c r="X122" i="31"/>
  <c r="Y122" i="31" s="1"/>
  <c r="Z122" i="31"/>
  <c r="X70" i="31"/>
  <c r="Y70" i="31" s="1"/>
  <c r="Z70" i="31"/>
  <c r="S36" i="31"/>
  <c r="T36" i="31" s="1"/>
  <c r="S64" i="31"/>
  <c r="T64" i="31" s="1"/>
  <c r="L118" i="35"/>
  <c r="X36" i="31"/>
  <c r="Y36" i="31" s="1"/>
  <c r="X64" i="31"/>
  <c r="Y64" i="31" s="1"/>
  <c r="Z64" i="31"/>
  <c r="Z36" i="31"/>
  <c r="Q214" i="33"/>
  <c r="R214" i="33" s="1"/>
  <c r="Q296" i="33"/>
  <c r="L58" i="6"/>
  <c r="L62" i="6"/>
  <c r="P62" i="6" s="1"/>
  <c r="M61" i="6"/>
  <c r="O60" i="6"/>
  <c r="N60" i="6"/>
  <c r="M60" i="6"/>
  <c r="L60" i="6"/>
  <c r="J61" i="6"/>
  <c r="N433" i="6" s="1"/>
  <c r="P433" i="6" s="1"/>
  <c r="T433" i="6" s="1"/>
  <c r="Q403" i="33"/>
  <c r="Q355" i="33"/>
  <c r="R355" i="33" s="1"/>
  <c r="Q478" i="33"/>
  <c r="R478" i="33" s="1"/>
  <c r="Q537" i="33"/>
  <c r="R537" i="33" s="1"/>
  <c r="Q162" i="33"/>
  <c r="R162" i="33" s="1"/>
  <c r="Q535" i="33"/>
  <c r="Q312" i="33"/>
  <c r="R312" i="33" s="1"/>
  <c r="Q400" i="33"/>
  <c r="R400" i="33" s="1"/>
  <c r="Q444" i="33"/>
  <c r="Q37" i="33"/>
  <c r="Q78" i="33"/>
  <c r="H116" i="35"/>
  <c r="M59" i="6"/>
  <c r="M57" i="6"/>
  <c r="L59" i="6"/>
  <c r="O58" i="6"/>
  <c r="L57" i="6"/>
  <c r="M116" i="35"/>
  <c r="M17" i="35"/>
  <c r="L116" i="35"/>
  <c r="M115" i="35"/>
  <c r="L115" i="35"/>
  <c r="H115" i="35"/>
  <c r="L114" i="35"/>
  <c r="M15" i="35"/>
  <c r="H114" i="35"/>
  <c r="M26" i="35"/>
  <c r="J57" i="6"/>
  <c r="N6" i="6"/>
  <c r="M58" i="6"/>
  <c r="L56" i="6"/>
  <c r="K56" i="6"/>
  <c r="O57" i="6" s="1"/>
  <c r="J56" i="6"/>
  <c r="N35" i="6"/>
  <c r="M56" i="6"/>
  <c r="O29" i="6"/>
  <c r="O6" i="6"/>
  <c r="N29" i="6"/>
  <c r="O55" i="6"/>
  <c r="N55" i="6"/>
  <c r="M55" i="6"/>
  <c r="L55" i="6"/>
  <c r="O54" i="6"/>
  <c r="N54" i="6"/>
  <c r="N53" i="6"/>
  <c r="M54" i="6"/>
  <c r="L54" i="6"/>
  <c r="O53" i="6"/>
  <c r="M53" i="6"/>
  <c r="L53" i="6"/>
  <c r="N52" i="6"/>
  <c r="M35" i="6"/>
  <c r="M52" i="6"/>
  <c r="L52" i="6"/>
  <c r="O52" i="6"/>
  <c r="Q321" i="33"/>
  <c r="M105" i="35"/>
  <c r="S59" i="31"/>
  <c r="T59" i="31" s="1"/>
  <c r="L43" i="35"/>
  <c r="K85" i="35"/>
  <c r="M391" i="35" s="1"/>
  <c r="K36" i="35"/>
  <c r="M41" i="35"/>
  <c r="H113" i="35"/>
  <c r="M8" i="35"/>
  <c r="M6" i="35"/>
  <c r="M35" i="35"/>
  <c r="M5" i="35"/>
  <c r="M44" i="35"/>
  <c r="M108" i="35"/>
  <c r="M50" i="35"/>
  <c r="M10" i="35"/>
  <c r="K95" i="35"/>
  <c r="M9" i="35"/>
  <c r="M78" i="35"/>
  <c r="M28" i="35"/>
  <c r="M18" i="35"/>
  <c r="K66" i="35"/>
  <c r="M456" i="35" s="1"/>
  <c r="M7" i="35"/>
  <c r="M16" i="35"/>
  <c r="K76" i="35"/>
  <c r="M1449" i="35" s="1"/>
  <c r="L109" i="35"/>
  <c r="L100" i="35"/>
  <c r="L90" i="35"/>
  <c r="L81" i="35"/>
  <c r="L71" i="35"/>
  <c r="L61" i="35"/>
  <c r="L51" i="35"/>
  <c r="L41" i="35"/>
  <c r="L31" i="35"/>
  <c r="L21" i="35"/>
  <c r="L11" i="35"/>
  <c r="L108" i="35"/>
  <c r="L99" i="35"/>
  <c r="L89" i="35"/>
  <c r="L80" i="35"/>
  <c r="L70" i="35"/>
  <c r="L60" i="35"/>
  <c r="L50" i="35"/>
  <c r="L40" i="35"/>
  <c r="L30" i="35"/>
  <c r="L20" i="35"/>
  <c r="L10" i="35"/>
  <c r="K43" i="35"/>
  <c r="M641" i="35" s="1"/>
  <c r="L107" i="35"/>
  <c r="L98" i="35"/>
  <c r="L88" i="35"/>
  <c r="L79" i="35"/>
  <c r="L69" i="35"/>
  <c r="L59" i="35"/>
  <c r="L49" i="35"/>
  <c r="L39" i="35"/>
  <c r="L29" i="35"/>
  <c r="L19" i="35"/>
  <c r="L9" i="35"/>
  <c r="L106" i="35"/>
  <c r="N106" i="35" s="1"/>
  <c r="L97" i="35"/>
  <c r="L87" i="35"/>
  <c r="L78" i="35"/>
  <c r="L68" i="35"/>
  <c r="L58" i="35"/>
  <c r="L48" i="35"/>
  <c r="L38" i="35"/>
  <c r="L28" i="35"/>
  <c r="L18" i="35"/>
  <c r="L8" i="35"/>
  <c r="H112" i="35"/>
  <c r="L105" i="35"/>
  <c r="L96" i="35"/>
  <c r="L86" i="35"/>
  <c r="L77" i="35"/>
  <c r="L67" i="35"/>
  <c r="L57" i="35"/>
  <c r="L47" i="35"/>
  <c r="L37" i="35"/>
  <c r="L27" i="35"/>
  <c r="L17" i="35"/>
  <c r="L7" i="35"/>
  <c r="L104" i="35"/>
  <c r="L56" i="35"/>
  <c r="L46" i="35"/>
  <c r="L26" i="35"/>
  <c r="L16" i="35"/>
  <c r="L6" i="35"/>
  <c r="L113" i="35"/>
  <c r="L103" i="35"/>
  <c r="L94" i="35"/>
  <c r="L84" i="35"/>
  <c r="N84" i="35" s="1"/>
  <c r="L75" i="35"/>
  <c r="L65" i="35"/>
  <c r="L55" i="35"/>
  <c r="L45" i="35"/>
  <c r="L35" i="35"/>
  <c r="L25" i="35"/>
  <c r="L15" i="35"/>
  <c r="L5" i="35"/>
  <c r="L112" i="35"/>
  <c r="L102" i="35"/>
  <c r="L93" i="35"/>
  <c r="L74" i="35"/>
  <c r="L64" i="35"/>
  <c r="L54" i="35"/>
  <c r="L44" i="35"/>
  <c r="L34" i="35"/>
  <c r="L24" i="35"/>
  <c r="L14" i="35"/>
  <c r="L4" i="35"/>
  <c r="K91" i="35"/>
  <c r="L92" i="35"/>
  <c r="L83" i="35"/>
  <c r="L73" i="35"/>
  <c r="L53" i="35"/>
  <c r="L33" i="35"/>
  <c r="L23" i="35"/>
  <c r="L13" i="35"/>
  <c r="L110" i="35"/>
  <c r="L101" i="35"/>
  <c r="L82" i="35"/>
  <c r="L72" i="35"/>
  <c r="L62" i="35"/>
  <c r="L52" i="35"/>
  <c r="L42" i="35"/>
  <c r="L32" i="35"/>
  <c r="L22" i="35"/>
  <c r="L12" i="35"/>
  <c r="H44" i="35"/>
  <c r="H11" i="35"/>
  <c r="H110" i="35"/>
  <c r="S109" i="31"/>
  <c r="T109" i="31" s="1"/>
  <c r="Q158" i="33"/>
  <c r="H109" i="35"/>
  <c r="H107" i="35"/>
  <c r="Z109" i="31"/>
  <c r="X109" i="31"/>
  <c r="Y109" i="31" s="1"/>
  <c r="S49" i="31"/>
  <c r="T49" i="31" s="1"/>
  <c r="S97" i="31"/>
  <c r="T97" i="31" s="1"/>
  <c r="X49" i="31"/>
  <c r="Y49" i="31" s="1"/>
  <c r="Z49" i="31"/>
  <c r="S105" i="31"/>
  <c r="T105" i="31" s="1"/>
  <c r="Q34" i="33"/>
  <c r="H108" i="35"/>
  <c r="X97" i="31"/>
  <c r="Y97" i="31" s="1"/>
  <c r="Z97" i="31"/>
  <c r="X59" i="31"/>
  <c r="Y59" i="31" s="1"/>
  <c r="Z59" i="31"/>
  <c r="S58" i="31"/>
  <c r="T58" i="31" s="1"/>
  <c r="X105" i="31"/>
  <c r="Y105" i="31" s="1"/>
  <c r="Z105" i="31"/>
  <c r="X58" i="31"/>
  <c r="Y58" i="31" s="1"/>
  <c r="Z58" i="31"/>
  <c r="Q334" i="33"/>
  <c r="Q381" i="33"/>
  <c r="Q420" i="33"/>
  <c r="R420" i="33" s="1"/>
  <c r="Q50" i="33"/>
  <c r="R50" i="33" s="1"/>
  <c r="Q193" i="33"/>
  <c r="Q20" i="33"/>
  <c r="R20" i="33" s="1"/>
  <c r="Q503" i="33"/>
  <c r="S170" i="31"/>
  <c r="T170" i="31" s="1"/>
  <c r="S121" i="31"/>
  <c r="T121" i="31" s="1"/>
  <c r="L51" i="6"/>
  <c r="L49" i="6"/>
  <c r="O49" i="6"/>
  <c r="N47" i="6"/>
  <c r="O47" i="6"/>
  <c r="N50" i="6"/>
  <c r="M51" i="6"/>
  <c r="N49" i="6"/>
  <c r="M47" i="6"/>
  <c r="N48" i="6"/>
  <c r="O48" i="6"/>
  <c r="L50" i="6"/>
  <c r="M50" i="6"/>
  <c r="L48" i="6"/>
  <c r="N51" i="6"/>
  <c r="M49" i="6"/>
  <c r="L47" i="6"/>
  <c r="M48" i="6"/>
  <c r="L46" i="6"/>
  <c r="M45" i="6"/>
  <c r="O45" i="6"/>
  <c r="N39" i="6"/>
  <c r="N45" i="6"/>
  <c r="L45" i="6"/>
  <c r="O39" i="6"/>
  <c r="M41" i="6"/>
  <c r="L41" i="6"/>
  <c r="M44" i="6"/>
  <c r="L44" i="6"/>
  <c r="M43" i="6"/>
  <c r="L43" i="6"/>
  <c r="L42" i="6"/>
  <c r="M40" i="6"/>
  <c r="L40" i="6"/>
  <c r="M29" i="6"/>
  <c r="K30" i="6"/>
  <c r="O30" i="6" s="1"/>
  <c r="Q30" i="6" s="1"/>
  <c r="J38" i="6"/>
  <c r="N38" i="6" s="1"/>
  <c r="P38" i="6" s="1"/>
  <c r="G58" i="36" s="1"/>
  <c r="I58" i="36" s="1"/>
  <c r="L29" i="6"/>
  <c r="J30" i="6"/>
  <c r="N30" i="6" s="1"/>
  <c r="P30" i="6" s="1"/>
  <c r="G42" i="36" s="1"/>
  <c r="I42" i="36" s="1"/>
  <c r="O36" i="6"/>
  <c r="K26" i="6"/>
  <c r="O417" i="6" s="1"/>
  <c r="Q417" i="6" s="1"/>
  <c r="K35" i="6"/>
  <c r="M39" i="6"/>
  <c r="M33" i="6"/>
  <c r="L39" i="6"/>
  <c r="N37" i="6"/>
  <c r="J28" i="6"/>
  <c r="N449" i="6" s="1"/>
  <c r="P449" i="6" s="1"/>
  <c r="M37" i="6"/>
  <c r="M38" i="6"/>
  <c r="Q38" i="6" s="1"/>
  <c r="L37" i="6"/>
  <c r="L22" i="6"/>
  <c r="P22" i="6" s="1"/>
  <c r="G36" i="36" s="1"/>
  <c r="I36" i="36" s="1"/>
  <c r="O37" i="6"/>
  <c r="L16" i="6"/>
  <c r="M32" i="6"/>
  <c r="N36" i="6"/>
  <c r="M34" i="6"/>
  <c r="L36" i="6"/>
  <c r="M31" i="6"/>
  <c r="Q31" i="6" s="1"/>
  <c r="L32" i="6"/>
  <c r="L33" i="6"/>
  <c r="N34" i="6"/>
  <c r="M36" i="6"/>
  <c r="L31" i="6"/>
  <c r="P31" i="6" s="1"/>
  <c r="G61" i="36" s="1"/>
  <c r="I61" i="36" s="1"/>
  <c r="L35" i="6"/>
  <c r="O34" i="6"/>
  <c r="L34" i="6"/>
  <c r="R30" i="6"/>
  <c r="H42" i="36" s="1"/>
  <c r="L23" i="6"/>
  <c r="S173" i="31"/>
  <c r="T173" i="31" s="1"/>
  <c r="H26" i="35"/>
  <c r="Q182" i="33"/>
  <c r="R182" i="33" s="1"/>
  <c r="Q332" i="33"/>
  <c r="H106" i="35"/>
  <c r="O106" i="35" s="1"/>
  <c r="Z173" i="31"/>
  <c r="X121" i="31"/>
  <c r="Y121" i="31" s="1"/>
  <c r="X173" i="31"/>
  <c r="Y173" i="31" s="1"/>
  <c r="Z121" i="31"/>
  <c r="X170" i="31"/>
  <c r="Y170" i="31" s="1"/>
  <c r="Z170" i="31"/>
  <c r="S123" i="31"/>
  <c r="T123" i="31" s="1"/>
  <c r="X123" i="31"/>
  <c r="Y123" i="31" s="1"/>
  <c r="Z123" i="31"/>
  <c r="S124" i="31"/>
  <c r="T124" i="31" s="1"/>
  <c r="S32" i="31"/>
  <c r="T32" i="31" s="1"/>
  <c r="S88" i="31"/>
  <c r="T88" i="31" s="1"/>
  <c r="Z124" i="31"/>
  <c r="X124" i="31"/>
  <c r="Y124" i="31" s="1"/>
  <c r="Z88" i="31"/>
  <c r="X88" i="31"/>
  <c r="Y88" i="31" s="1"/>
  <c r="Q292" i="33"/>
  <c r="Q572" i="33"/>
  <c r="B78" i="40" s="1"/>
  <c r="H105" i="35"/>
  <c r="X32" i="31"/>
  <c r="Y32" i="31" s="1"/>
  <c r="Z32" i="31"/>
  <c r="S240" i="31"/>
  <c r="T240" i="31" s="1"/>
  <c r="H14" i="35"/>
  <c r="H6" i="35"/>
  <c r="H61" i="35"/>
  <c r="H101" i="35"/>
  <c r="G92" i="35"/>
  <c r="I92" i="35" s="1"/>
  <c r="G83" i="35"/>
  <c r="I1113" i="35" s="1"/>
  <c r="G73" i="35"/>
  <c r="G63" i="35"/>
  <c r="G53" i="35"/>
  <c r="I1877" i="35" s="1"/>
  <c r="O1877" i="35" s="1"/>
  <c r="G33" i="35"/>
  <c r="G23" i="35"/>
  <c r="G13" i="35"/>
  <c r="I1334" i="35" s="1"/>
  <c r="O1334" i="35" s="1"/>
  <c r="H41" i="35"/>
  <c r="H100" i="35"/>
  <c r="G91" i="35"/>
  <c r="G82" i="35"/>
  <c r="I82" i="35" s="1"/>
  <c r="G72" i="35"/>
  <c r="G62" i="35"/>
  <c r="I1905" i="35" s="1"/>
  <c r="G52" i="35"/>
  <c r="G42" i="35"/>
  <c r="I1979" i="35" s="1"/>
  <c r="O1979" i="35" s="1"/>
  <c r="G32" i="35"/>
  <c r="G22" i="35"/>
  <c r="I474" i="35" s="1"/>
  <c r="H99" i="35"/>
  <c r="G90" i="35"/>
  <c r="I90" i="35" s="1"/>
  <c r="O90" i="35" s="1"/>
  <c r="G81" i="35"/>
  <c r="I665" i="35" s="1"/>
  <c r="G71" i="35"/>
  <c r="G51" i="35"/>
  <c r="I765" i="35" s="1"/>
  <c r="G41" i="35"/>
  <c r="I436" i="35" s="1"/>
  <c r="G31" i="35"/>
  <c r="G21" i="35"/>
  <c r="G11" i="35"/>
  <c r="H29" i="35"/>
  <c r="H98" i="35"/>
  <c r="G89" i="35"/>
  <c r="I89" i="35" s="1"/>
  <c r="G80" i="35"/>
  <c r="G70" i="35"/>
  <c r="G60" i="35"/>
  <c r="I2020" i="35" s="1"/>
  <c r="O2020" i="35" s="1"/>
  <c r="G40" i="35"/>
  <c r="G20" i="35"/>
  <c r="H8" i="35"/>
  <c r="G88" i="35"/>
  <c r="G79" i="35"/>
  <c r="I538" i="35" s="1"/>
  <c r="G69" i="35"/>
  <c r="I1701" i="35" s="1"/>
  <c r="G59" i="35"/>
  <c r="G49" i="35"/>
  <c r="G39" i="35"/>
  <c r="G29" i="35"/>
  <c r="G19" i="35"/>
  <c r="I1332" i="35" s="1"/>
  <c r="O1332" i="35" s="1"/>
  <c r="H17" i="35"/>
  <c r="G97" i="35"/>
  <c r="G87" i="35"/>
  <c r="I924" i="35" s="1"/>
  <c r="G68" i="35"/>
  <c r="I68" i="35" s="1"/>
  <c r="G58" i="35"/>
  <c r="G48" i="35"/>
  <c r="G38" i="35"/>
  <c r="I38" i="35" s="1"/>
  <c r="G8" i="35"/>
  <c r="I376" i="35" s="1"/>
  <c r="G96" i="35"/>
  <c r="I96" i="35" s="1"/>
  <c r="G86" i="35"/>
  <c r="I86" i="35" s="1"/>
  <c r="G77" i="35"/>
  <c r="G67" i="35"/>
  <c r="I229" i="35" s="1"/>
  <c r="G57" i="35"/>
  <c r="I2012" i="35" s="1"/>
  <c r="O2012" i="35" s="1"/>
  <c r="G47" i="35"/>
  <c r="G37" i="35"/>
  <c r="G27" i="35"/>
  <c r="G17" i="35"/>
  <c r="H35" i="35"/>
  <c r="H15" i="35"/>
  <c r="H5" i="35"/>
  <c r="G104" i="35"/>
  <c r="I104" i="35" s="1"/>
  <c r="G95" i="35"/>
  <c r="I95" i="35" s="1"/>
  <c r="G85" i="35"/>
  <c r="I391" i="35" s="1"/>
  <c r="G76" i="35"/>
  <c r="G66" i="35"/>
  <c r="I456" i="35" s="1"/>
  <c r="G56" i="35"/>
  <c r="I505" i="35" s="1"/>
  <c r="G46" i="35"/>
  <c r="I726" i="35" s="1"/>
  <c r="O726" i="35" s="1"/>
  <c r="H179" i="33" s="1"/>
  <c r="G36" i="35"/>
  <c r="I2072" i="35" s="1"/>
  <c r="O2072" i="35" s="1"/>
  <c r="G26" i="35"/>
  <c r="I190" i="35" s="1"/>
  <c r="G6" i="35"/>
  <c r="I280" i="35" s="1"/>
  <c r="G103" i="35"/>
  <c r="G94" i="35"/>
  <c r="I700" i="35" s="1"/>
  <c r="G84" i="35"/>
  <c r="I84" i="35" s="1"/>
  <c r="O84" i="35" s="1"/>
  <c r="H70" i="33" s="1"/>
  <c r="G75" i="35"/>
  <c r="I748" i="35" s="1"/>
  <c r="G65" i="35"/>
  <c r="I65" i="35" s="1"/>
  <c r="G55" i="35"/>
  <c r="I1970" i="35" s="1"/>
  <c r="O1970" i="35" s="1"/>
  <c r="G45" i="35"/>
  <c r="G35" i="35"/>
  <c r="I188" i="35" s="1"/>
  <c r="G25" i="35"/>
  <c r="G15" i="35"/>
  <c r="G5" i="35"/>
  <c r="I214" i="35" s="1"/>
  <c r="H102" i="35"/>
  <c r="G93" i="35"/>
  <c r="I93" i="35" s="1"/>
  <c r="G74" i="35"/>
  <c r="G64" i="35"/>
  <c r="I289" i="35" s="1"/>
  <c r="G54" i="35"/>
  <c r="I1963" i="35" s="1"/>
  <c r="O1963" i="35" s="1"/>
  <c r="G44" i="35"/>
  <c r="G34" i="35"/>
  <c r="G24" i="35"/>
  <c r="I24" i="35" s="1"/>
  <c r="G4" i="35"/>
  <c r="I1233" i="35" s="1"/>
  <c r="H43" i="35"/>
  <c r="H13" i="35"/>
  <c r="H42" i="35"/>
  <c r="H12" i="35"/>
  <c r="H50" i="35"/>
  <c r="H30" i="35"/>
  <c r="H10" i="35"/>
  <c r="H9" i="35"/>
  <c r="H78" i="35"/>
  <c r="H28" i="35"/>
  <c r="H18" i="35"/>
  <c r="H7" i="35"/>
  <c r="H16" i="35"/>
  <c r="Z240" i="31"/>
  <c r="X240" i="31"/>
  <c r="Y240" i="31" s="1"/>
  <c r="S53" i="31"/>
  <c r="T53" i="31" s="1"/>
  <c r="L20" i="6"/>
  <c r="K22" i="6"/>
  <c r="O22" i="6" s="1"/>
  <c r="Q22" i="6" s="1"/>
  <c r="J26" i="6"/>
  <c r="N417" i="6" s="1"/>
  <c r="P417" i="6" s="1"/>
  <c r="T417" i="6" s="1"/>
  <c r="M28" i="6"/>
  <c r="Q177" i="33"/>
  <c r="Q375" i="33"/>
  <c r="S43" i="31"/>
  <c r="T43" i="31" s="1"/>
  <c r="Q119" i="33"/>
  <c r="X53" i="31"/>
  <c r="Y53" i="31" s="1"/>
  <c r="Z53" i="31"/>
  <c r="X43" i="31"/>
  <c r="Y43" i="31" s="1"/>
  <c r="Z43" i="31"/>
  <c r="S95" i="31"/>
  <c r="T95" i="31" s="1"/>
  <c r="G952" i="31" s="1"/>
  <c r="S40" i="31"/>
  <c r="T40" i="31" s="1"/>
  <c r="L24" i="6"/>
  <c r="M18" i="6"/>
  <c r="L19" i="6"/>
  <c r="P19" i="6" s="1"/>
  <c r="G32" i="36" s="1"/>
  <c r="I32" i="36" s="1"/>
  <c r="X95" i="31"/>
  <c r="Y95" i="31" s="1"/>
  <c r="Z95" i="31"/>
  <c r="S175" i="31"/>
  <c r="T175" i="31" s="1"/>
  <c r="Z175" i="31"/>
  <c r="X175" i="31"/>
  <c r="Y175" i="31" s="1"/>
  <c r="M21" i="6"/>
  <c r="K15" i="6"/>
  <c r="L21" i="6"/>
  <c r="L25" i="6"/>
  <c r="M20" i="6"/>
  <c r="O20" i="6"/>
  <c r="N20" i="6"/>
  <c r="M19" i="6"/>
  <c r="Q19" i="6" s="1"/>
  <c r="M23" i="6"/>
  <c r="I4" i="6"/>
  <c r="M4" i="6" s="1"/>
  <c r="L18" i="6"/>
  <c r="N7" i="6"/>
  <c r="O7" i="6"/>
  <c r="N17" i="6"/>
  <c r="N18" i="6"/>
  <c r="N16" i="6"/>
  <c r="O16" i="6"/>
  <c r="M16" i="6"/>
  <c r="M17" i="6"/>
  <c r="L17" i="6"/>
  <c r="O17" i="6"/>
  <c r="L15" i="6"/>
  <c r="M14" i="6"/>
  <c r="L14" i="6"/>
  <c r="L13" i="6"/>
  <c r="M13" i="6"/>
  <c r="L12" i="6"/>
  <c r="M12" i="6"/>
  <c r="J11" i="6"/>
  <c r="N11" i="6" s="1"/>
  <c r="K11" i="6"/>
  <c r="O11" i="6" s="1"/>
  <c r="H4" i="6"/>
  <c r="J10" i="6"/>
  <c r="N10" i="6" s="1"/>
  <c r="K10" i="6"/>
  <c r="O10" i="6" s="1"/>
  <c r="L10" i="6"/>
  <c r="M11" i="6"/>
  <c r="M10" i="6"/>
  <c r="L11" i="6"/>
  <c r="M9" i="6"/>
  <c r="L9" i="6"/>
  <c r="L8" i="6"/>
  <c r="M8" i="6"/>
  <c r="L7" i="6"/>
  <c r="M7" i="6"/>
  <c r="L6" i="6"/>
  <c r="M6" i="6"/>
  <c r="X40" i="31"/>
  <c r="Y40" i="31" s="1"/>
  <c r="Z40" i="31"/>
  <c r="S39" i="31"/>
  <c r="T39" i="31" s="1"/>
  <c r="X39" i="31"/>
  <c r="Y39" i="31" s="1"/>
  <c r="Z39" i="31"/>
  <c r="S125" i="31"/>
  <c r="T125" i="31" s="1"/>
  <c r="S67" i="31"/>
  <c r="T67" i="31" s="1"/>
  <c r="Z125" i="31"/>
  <c r="X125" i="31"/>
  <c r="Y125" i="31" s="1"/>
  <c r="X67" i="31"/>
  <c r="Y67" i="31" s="1"/>
  <c r="Z67" i="31"/>
  <c r="M2032" i="35" l="1"/>
  <c r="N2032" i="35" s="1"/>
  <c r="M2072" i="35"/>
  <c r="N2072" i="35" s="1"/>
  <c r="P2072" i="35" s="1"/>
  <c r="I1924" i="35"/>
  <c r="I2070" i="35"/>
  <c r="O2070" i="35" s="1"/>
  <c r="M1924" i="35"/>
  <c r="M2070" i="35"/>
  <c r="N2070" i="35" s="1"/>
  <c r="I109" i="35"/>
  <c r="I2065" i="35"/>
  <c r="O2065" i="35" s="1"/>
  <c r="M1588" i="35"/>
  <c r="N1588" i="35" s="1"/>
  <c r="M2065" i="35"/>
  <c r="N2065" i="35" s="1"/>
  <c r="I2048" i="35"/>
  <c r="O2048" i="35" s="1"/>
  <c r="I2064" i="35"/>
  <c r="O2064" i="35" s="1"/>
  <c r="M2048" i="35"/>
  <c r="N2048" i="35" s="1"/>
  <c r="M2064" i="35"/>
  <c r="N2064" i="35" s="1"/>
  <c r="I329" i="35"/>
  <c r="O329" i="35" s="1"/>
  <c r="H444" i="33" s="1"/>
  <c r="I2062" i="35"/>
  <c r="O2062" i="35" s="1"/>
  <c r="M329" i="35"/>
  <c r="N329" i="35" s="1"/>
  <c r="M2062" i="35"/>
  <c r="N2062" i="35" s="1"/>
  <c r="I117" i="35"/>
  <c r="O117" i="35" s="1"/>
  <c r="I2061" i="35"/>
  <c r="O2061" i="35" s="1"/>
  <c r="M117" i="35"/>
  <c r="N117" i="35" s="1"/>
  <c r="M2061" i="35"/>
  <c r="N2061" i="35" s="1"/>
  <c r="M2002" i="35"/>
  <c r="N2002" i="35" s="1"/>
  <c r="M2056" i="35"/>
  <c r="N2056" i="35" s="1"/>
  <c r="I2002" i="35"/>
  <c r="O2002" i="35" s="1"/>
  <c r="I2056" i="35"/>
  <c r="O2056" i="35" s="1"/>
  <c r="I2043" i="35"/>
  <c r="O2043" i="35" s="1"/>
  <c r="I2047" i="35"/>
  <c r="O2047" i="35" s="1"/>
  <c r="M2043" i="35"/>
  <c r="N2043" i="35" s="1"/>
  <c r="M2047" i="35"/>
  <c r="N2047" i="35" s="1"/>
  <c r="I1801" i="35"/>
  <c r="O1801" i="35" s="1"/>
  <c r="I2035" i="35"/>
  <c r="O2035" i="35" s="1"/>
  <c r="M1801" i="35"/>
  <c r="N1801" i="35" s="1"/>
  <c r="M2035" i="35"/>
  <c r="N2035" i="35" s="1"/>
  <c r="I1980" i="35"/>
  <c r="O1980" i="35" s="1"/>
  <c r="I2032" i="35"/>
  <c r="O2032" i="35" s="1"/>
  <c r="P2032" i="35" s="1"/>
  <c r="I1282" i="35"/>
  <c r="O1282" i="35" s="1"/>
  <c r="I2031" i="35"/>
  <c r="O2031" i="35" s="1"/>
  <c r="M1282" i="35"/>
  <c r="N1282" i="35" s="1"/>
  <c r="M2031" i="35"/>
  <c r="N2031" i="35" s="1"/>
  <c r="M1772" i="35"/>
  <c r="N1772" i="35" s="1"/>
  <c r="M2030" i="35"/>
  <c r="N2030" i="35" s="1"/>
  <c r="I1772" i="35"/>
  <c r="O1772" i="35" s="1"/>
  <c r="I2030" i="35"/>
  <c r="O2030" i="35" s="1"/>
  <c r="I2009" i="35"/>
  <c r="O2009" i="35" s="1"/>
  <c r="H609" i="33" s="1"/>
  <c r="S609" i="33" s="1"/>
  <c r="I2026" i="35"/>
  <c r="O2026" i="35" s="1"/>
  <c r="M2009" i="35"/>
  <c r="N2009" i="35" s="1"/>
  <c r="M2026" i="35"/>
  <c r="N2026" i="35" s="1"/>
  <c r="P2024" i="35"/>
  <c r="I1771" i="35"/>
  <c r="O1771" i="35" s="1"/>
  <c r="I2023" i="35"/>
  <c r="O2023" i="35" s="1"/>
  <c r="M1771" i="35"/>
  <c r="N1771" i="35" s="1"/>
  <c r="M2023" i="35"/>
  <c r="N2023" i="35" s="1"/>
  <c r="P2020" i="35"/>
  <c r="P2012" i="35"/>
  <c r="I1950" i="35"/>
  <c r="O1950" i="35" s="1"/>
  <c r="I1677" i="35"/>
  <c r="O1677" i="35" s="1"/>
  <c r="I2007" i="35"/>
  <c r="O2007" i="35" s="1"/>
  <c r="M1677" i="35"/>
  <c r="N1677" i="35" s="1"/>
  <c r="M2007" i="35"/>
  <c r="N2007" i="35" s="1"/>
  <c r="T413" i="6"/>
  <c r="O70" i="6"/>
  <c r="R449" i="6"/>
  <c r="O50" i="6"/>
  <c r="N59" i="6"/>
  <c r="R389" i="6"/>
  <c r="N135" i="6"/>
  <c r="N448" i="6"/>
  <c r="P448" i="6" s="1"/>
  <c r="T448" i="6" s="1"/>
  <c r="O23" i="6"/>
  <c r="Q23" i="6" s="1"/>
  <c r="O451" i="6"/>
  <c r="Q451" i="6" s="1"/>
  <c r="R451" i="6"/>
  <c r="S449" i="6"/>
  <c r="T449" i="6"/>
  <c r="S453" i="6"/>
  <c r="T453" i="6"/>
  <c r="N23" i="6"/>
  <c r="P23" i="6" s="1"/>
  <c r="G23" i="36" s="1"/>
  <c r="I23" i="36" s="1"/>
  <c r="N451" i="6"/>
  <c r="P451" i="6" s="1"/>
  <c r="P1992" i="35"/>
  <c r="M1950" i="35"/>
  <c r="N1950" i="35" s="1"/>
  <c r="I1716" i="35"/>
  <c r="O1716" i="35" s="1"/>
  <c r="I1991" i="35"/>
  <c r="O1991" i="35" s="1"/>
  <c r="M1716" i="35"/>
  <c r="N1716" i="35" s="1"/>
  <c r="M1991" i="35"/>
  <c r="N1991" i="35" s="1"/>
  <c r="I1867" i="35"/>
  <c r="O1867" i="35" s="1"/>
  <c r="I1988" i="35"/>
  <c r="O1988" i="35" s="1"/>
  <c r="M1867" i="35"/>
  <c r="N1867" i="35" s="1"/>
  <c r="M1988" i="35"/>
  <c r="N1988" i="35" s="1"/>
  <c r="M1922" i="35"/>
  <c r="N1922" i="35" s="1"/>
  <c r="M1986" i="35"/>
  <c r="N1986" i="35" s="1"/>
  <c r="I1922" i="35"/>
  <c r="O1922" i="35" s="1"/>
  <c r="I1986" i="35"/>
  <c r="O1986" i="35" s="1"/>
  <c r="I558" i="35"/>
  <c r="O558" i="35" s="1"/>
  <c r="I254" i="35"/>
  <c r="O254" i="35" s="1"/>
  <c r="M558" i="35"/>
  <c r="N558" i="35" s="1"/>
  <c r="M254" i="35"/>
  <c r="N254" i="35" s="1"/>
  <c r="M1903" i="35"/>
  <c r="N1903" i="35" s="1"/>
  <c r="M1980" i="35"/>
  <c r="N1980" i="35" s="1"/>
  <c r="P1979" i="35"/>
  <c r="M1974" i="35"/>
  <c r="N1974" i="35" s="1"/>
  <c r="M1978" i="35"/>
  <c r="N1978" i="35" s="1"/>
  <c r="I1974" i="35"/>
  <c r="O1974" i="35" s="1"/>
  <c r="I1978" i="35"/>
  <c r="O1978" i="35" s="1"/>
  <c r="M1952" i="35"/>
  <c r="N1952" i="35" s="1"/>
  <c r="M1977" i="35"/>
  <c r="N1977" i="35" s="1"/>
  <c r="I1952" i="35"/>
  <c r="O1952" i="35" s="1"/>
  <c r="I1977" i="35"/>
  <c r="O1977" i="35" s="1"/>
  <c r="P1970" i="35"/>
  <c r="M1965" i="35"/>
  <c r="N1965" i="35" s="1"/>
  <c r="M1967" i="35"/>
  <c r="N1967" i="35" s="1"/>
  <c r="I1965" i="35"/>
  <c r="O1965" i="35" s="1"/>
  <c r="I1967" i="35"/>
  <c r="O1967" i="35" s="1"/>
  <c r="M1880" i="35"/>
  <c r="N1880" i="35" s="1"/>
  <c r="M1963" i="35"/>
  <c r="N1963" i="35" s="1"/>
  <c r="P1963" i="35" s="1"/>
  <c r="O1905" i="35"/>
  <c r="I1953" i="35"/>
  <c r="O1953" i="35" s="1"/>
  <c r="I1959" i="35"/>
  <c r="O1959" i="35" s="1"/>
  <c r="M1953" i="35"/>
  <c r="N1953" i="35" s="1"/>
  <c r="M1959" i="35"/>
  <c r="N1959" i="35" s="1"/>
  <c r="M1724" i="35"/>
  <c r="N1724" i="35" s="1"/>
  <c r="M1949" i="35"/>
  <c r="N1949" i="35" s="1"/>
  <c r="I1724" i="35"/>
  <c r="O1724" i="35" s="1"/>
  <c r="I1949" i="35"/>
  <c r="O1949" i="35" s="1"/>
  <c r="N1924" i="35"/>
  <c r="O1924" i="35"/>
  <c r="M1632" i="35"/>
  <c r="N1632" i="35" s="1"/>
  <c r="M1933" i="35"/>
  <c r="N1933" i="35" s="1"/>
  <c r="I1632" i="35"/>
  <c r="O1632" i="35" s="1"/>
  <c r="I1933" i="35"/>
  <c r="O1933" i="35" s="1"/>
  <c r="I1884" i="35"/>
  <c r="O1884" i="35" s="1"/>
  <c r="I1929" i="35"/>
  <c r="O1929" i="35" s="1"/>
  <c r="M1884" i="35"/>
  <c r="N1884" i="35" s="1"/>
  <c r="M1929" i="35"/>
  <c r="N1929" i="35" s="1"/>
  <c r="M1911" i="35"/>
  <c r="N1911" i="35" s="1"/>
  <c r="M1912" i="35"/>
  <c r="N1912" i="35" s="1"/>
  <c r="I1911" i="35"/>
  <c r="O1911" i="35" s="1"/>
  <c r="I1912" i="35"/>
  <c r="O1912" i="35" s="1"/>
  <c r="I1836" i="35"/>
  <c r="O1836" i="35" s="1"/>
  <c r="I1910" i="35"/>
  <c r="O1910" i="35" s="1"/>
  <c r="M1836" i="35"/>
  <c r="N1836" i="35" s="1"/>
  <c r="M1910" i="35"/>
  <c r="N1910" i="35" s="1"/>
  <c r="M1859" i="35"/>
  <c r="N1859" i="35" s="1"/>
  <c r="M1905" i="35"/>
  <c r="N1905" i="35" s="1"/>
  <c r="I1898" i="35"/>
  <c r="O1898" i="35" s="1"/>
  <c r="I1903" i="35"/>
  <c r="O1903" i="35" s="1"/>
  <c r="I1872" i="35"/>
  <c r="O1872" i="35" s="1"/>
  <c r="I1902" i="35"/>
  <c r="O1902" i="35" s="1"/>
  <c r="M1872" i="35"/>
  <c r="N1872" i="35" s="1"/>
  <c r="M1902" i="35"/>
  <c r="N1902" i="35" s="1"/>
  <c r="M1895" i="35"/>
  <c r="N1895" i="35" s="1"/>
  <c r="M1898" i="35"/>
  <c r="N1898" i="35" s="1"/>
  <c r="I1864" i="35"/>
  <c r="O1864" i="35" s="1"/>
  <c r="I1895" i="35"/>
  <c r="O1895" i="35" s="1"/>
  <c r="I1890" i="35"/>
  <c r="O1890" i="35" s="1"/>
  <c r="I1892" i="35"/>
  <c r="O1892" i="35" s="1"/>
  <c r="M1890" i="35"/>
  <c r="N1890" i="35" s="1"/>
  <c r="M1892" i="35"/>
  <c r="N1892" i="35" s="1"/>
  <c r="M4" i="35"/>
  <c r="M336" i="35"/>
  <c r="N336" i="35" s="1"/>
  <c r="M345" i="35"/>
  <c r="N345" i="35" s="1"/>
  <c r="I1876" i="35"/>
  <c r="O1876" i="35" s="1"/>
  <c r="H19" i="33" s="1"/>
  <c r="I1880" i="35"/>
  <c r="O1880" i="35" s="1"/>
  <c r="P1877" i="35"/>
  <c r="N1449" i="35"/>
  <c r="M170" i="35"/>
  <c r="M171" i="35"/>
  <c r="N171" i="35" s="1"/>
  <c r="M1876" i="35"/>
  <c r="N1876" i="35" s="1"/>
  <c r="I1729" i="35"/>
  <c r="O1729" i="35" s="1"/>
  <c r="I1875" i="35"/>
  <c r="O1875" i="35" s="1"/>
  <c r="M1729" i="35"/>
  <c r="N1729" i="35" s="1"/>
  <c r="M1875" i="35"/>
  <c r="N1875" i="35" s="1"/>
  <c r="O1743" i="35"/>
  <c r="M1082" i="35"/>
  <c r="N1082" i="35" s="1"/>
  <c r="M1864" i="35"/>
  <c r="N1864" i="35" s="1"/>
  <c r="P1862" i="35"/>
  <c r="I1847" i="35"/>
  <c r="O1847" i="35" s="1"/>
  <c r="I1859" i="35"/>
  <c r="O1859" i="35" s="1"/>
  <c r="M1837" i="35"/>
  <c r="N1837" i="35" s="1"/>
  <c r="M1851" i="35"/>
  <c r="N1851" i="35" s="1"/>
  <c r="N1806" i="35"/>
  <c r="I1837" i="35"/>
  <c r="O1837" i="35" s="1"/>
  <c r="I1851" i="35"/>
  <c r="O1851" i="35" s="1"/>
  <c r="M1818" i="35"/>
  <c r="N1818" i="35" s="1"/>
  <c r="M1847" i="35"/>
  <c r="N1847" i="35" s="1"/>
  <c r="P1842" i="35"/>
  <c r="M1823" i="35"/>
  <c r="N1823" i="35" s="1"/>
  <c r="M1827" i="35"/>
  <c r="N1827" i="35" s="1"/>
  <c r="I1823" i="35"/>
  <c r="O1823" i="35" s="1"/>
  <c r="I1827" i="35"/>
  <c r="O1827" i="35" s="1"/>
  <c r="M1800" i="35"/>
  <c r="N1800" i="35" s="1"/>
  <c r="M1825" i="35"/>
  <c r="N1825" i="35" s="1"/>
  <c r="I1800" i="35"/>
  <c r="O1800" i="35" s="1"/>
  <c r="I1825" i="35"/>
  <c r="O1825" i="35" s="1"/>
  <c r="M1269" i="35"/>
  <c r="N1269" i="35" s="1"/>
  <c r="M1824" i="35"/>
  <c r="N1824" i="35" s="1"/>
  <c r="I1269" i="35"/>
  <c r="O1269" i="35" s="1"/>
  <c r="I1824" i="35"/>
  <c r="O1824" i="35" s="1"/>
  <c r="I1682" i="35"/>
  <c r="O1682" i="35" s="1"/>
  <c r="I1818" i="35"/>
  <c r="O1818" i="35" s="1"/>
  <c r="R243" i="6"/>
  <c r="I286" i="35"/>
  <c r="O286" i="35" s="1"/>
  <c r="H191" i="33" s="1"/>
  <c r="K191" i="33" s="1"/>
  <c r="I1807" i="35"/>
  <c r="O1807" i="35" s="1"/>
  <c r="M303" i="35"/>
  <c r="M1807" i="35"/>
  <c r="N1807" i="35" s="1"/>
  <c r="I1680" i="35"/>
  <c r="O1680" i="35" s="1"/>
  <c r="I1806" i="35"/>
  <c r="O1806" i="35" s="1"/>
  <c r="M369" i="35"/>
  <c r="N369" i="35" s="1"/>
  <c r="N389" i="6"/>
  <c r="P389" i="6" s="1"/>
  <c r="N442" i="6"/>
  <c r="P442" i="6" s="1"/>
  <c r="O389" i="6"/>
  <c r="Q389" i="6" s="1"/>
  <c r="O442" i="6"/>
  <c r="Q442" i="6" s="1"/>
  <c r="R442" i="6"/>
  <c r="I1753" i="35"/>
  <c r="O1753" i="35" s="1"/>
  <c r="I1798" i="35"/>
  <c r="O1798" i="35" s="1"/>
  <c r="M1753" i="35"/>
  <c r="N1753" i="35" s="1"/>
  <c r="M1798" i="35"/>
  <c r="N1798" i="35" s="1"/>
  <c r="I164" i="35"/>
  <c r="O164" i="35" s="1"/>
  <c r="H186" i="33" s="1"/>
  <c r="K186" i="33" s="1"/>
  <c r="M141" i="35"/>
  <c r="N141" i="35" s="1"/>
  <c r="I1787" i="35"/>
  <c r="O1787" i="35" s="1"/>
  <c r="I1791" i="35"/>
  <c r="O1791" i="35" s="1"/>
  <c r="M1787" i="35"/>
  <c r="N1787" i="35" s="1"/>
  <c r="M1791" i="35"/>
  <c r="N1791" i="35" s="1"/>
  <c r="M1388" i="35"/>
  <c r="N1388" i="35" s="1"/>
  <c r="M1786" i="35"/>
  <c r="N1786" i="35" s="1"/>
  <c r="I1388" i="35"/>
  <c r="O1388" i="35" s="1"/>
  <c r="I1786" i="35"/>
  <c r="O1786" i="35" s="1"/>
  <c r="M1776" i="35"/>
  <c r="N1776" i="35" s="1"/>
  <c r="M1783" i="35"/>
  <c r="N1783" i="35" s="1"/>
  <c r="I1776" i="35"/>
  <c r="O1776" i="35" s="1"/>
  <c r="I1783" i="35"/>
  <c r="O1783" i="35" s="1"/>
  <c r="I215" i="35"/>
  <c r="O215" i="35" s="1"/>
  <c r="I336" i="35"/>
  <c r="O336" i="35" s="1"/>
  <c r="M14" i="35"/>
  <c r="M69" i="35"/>
  <c r="N69" i="35" s="1"/>
  <c r="O65" i="35"/>
  <c r="H137" i="33" s="1"/>
  <c r="O1701" i="35"/>
  <c r="M209" i="35"/>
  <c r="N209" i="35" s="1"/>
  <c r="R120" i="6"/>
  <c r="H46" i="36" s="1"/>
  <c r="F46" i="36" s="1"/>
  <c r="R207" i="6"/>
  <c r="I1630" i="35"/>
  <c r="O1630" i="35" s="1"/>
  <c r="I1774" i="35"/>
  <c r="O1774" i="35" s="1"/>
  <c r="M1630" i="35"/>
  <c r="N1630" i="35" s="1"/>
  <c r="M1774" i="35"/>
  <c r="N1774" i="35" s="1"/>
  <c r="I1766" i="35"/>
  <c r="O1766" i="35" s="1"/>
  <c r="I1769" i="35"/>
  <c r="O1769" i="35" s="1"/>
  <c r="M1766" i="35"/>
  <c r="N1766" i="35" s="1"/>
  <c r="M1769" i="35"/>
  <c r="N1769" i="35" s="1"/>
  <c r="M1665" i="35"/>
  <c r="N1665" i="35" s="1"/>
  <c r="M1765" i="35"/>
  <c r="N1765" i="35" s="1"/>
  <c r="I1665" i="35"/>
  <c r="O1665" i="35" s="1"/>
  <c r="I1765" i="35"/>
  <c r="O1765" i="35" s="1"/>
  <c r="I1711" i="35"/>
  <c r="O1711" i="35" s="1"/>
  <c r="I1764" i="35"/>
  <c r="O1764" i="35" s="1"/>
  <c r="M1711" i="35"/>
  <c r="N1711" i="35" s="1"/>
  <c r="M1764" i="35"/>
  <c r="N1764" i="35" s="1"/>
  <c r="M12" i="35"/>
  <c r="N12" i="35" s="1"/>
  <c r="M1572" i="35"/>
  <c r="N1572" i="35" s="1"/>
  <c r="M1752" i="35"/>
  <c r="N1752" i="35" s="1"/>
  <c r="I1572" i="35"/>
  <c r="O1572" i="35" s="1"/>
  <c r="I1752" i="35"/>
  <c r="O1752" i="35" s="1"/>
  <c r="M1742" i="35"/>
  <c r="N1742" i="35" s="1"/>
  <c r="M1743" i="35"/>
  <c r="N1743" i="35" s="1"/>
  <c r="I1727" i="35"/>
  <c r="O1727" i="35" s="1"/>
  <c r="I1742" i="35"/>
  <c r="O1742" i="35" s="1"/>
  <c r="I1648" i="35"/>
  <c r="O1648" i="35" s="1"/>
  <c r="I1728" i="35"/>
  <c r="O1728" i="35" s="1"/>
  <c r="M1648" i="35"/>
  <c r="N1648" i="35" s="1"/>
  <c r="M1728" i="35"/>
  <c r="N1728" i="35" s="1"/>
  <c r="M1633" i="35"/>
  <c r="N1633" i="35" s="1"/>
  <c r="M1727" i="35"/>
  <c r="N1727" i="35" s="1"/>
  <c r="N1701" i="35"/>
  <c r="M960" i="35"/>
  <c r="N960" i="35" s="1"/>
  <c r="M1723" i="35"/>
  <c r="N1723" i="35" s="1"/>
  <c r="I960" i="35"/>
  <c r="O960" i="35" s="1"/>
  <c r="I1723" i="35"/>
  <c r="O1723" i="35" s="1"/>
  <c r="O700" i="35"/>
  <c r="M56" i="35"/>
  <c r="N56" i="35" s="1"/>
  <c r="N1663" i="35"/>
  <c r="I248" i="35"/>
  <c r="O248" i="35" s="1"/>
  <c r="H372" i="33" s="1"/>
  <c r="K372" i="33" s="1"/>
  <c r="M272" i="35"/>
  <c r="N272" i="35" s="1"/>
  <c r="O95" i="35"/>
  <c r="H470" i="33" s="1"/>
  <c r="M184" i="35"/>
  <c r="N184" i="35" s="1"/>
  <c r="M173" i="35"/>
  <c r="M109" i="35"/>
  <c r="N109" i="35" s="1"/>
  <c r="O92" i="35"/>
  <c r="H392" i="33" s="1"/>
  <c r="M145" i="35"/>
  <c r="N145" i="35" s="1"/>
  <c r="M21" i="35"/>
  <c r="N21" i="35" s="1"/>
  <c r="M1541" i="35"/>
  <c r="N1541" i="35" s="1"/>
  <c r="M1708" i="35"/>
  <c r="N1708" i="35" s="1"/>
  <c r="I1541" i="35"/>
  <c r="O1541" i="35" s="1"/>
  <c r="I1708" i="35"/>
  <c r="O1708" i="35" s="1"/>
  <c r="I1649" i="35"/>
  <c r="O1649" i="35" s="1"/>
  <c r="I1703" i="35"/>
  <c r="O1703" i="35" s="1"/>
  <c r="M1649" i="35"/>
  <c r="N1649" i="35" s="1"/>
  <c r="M1703" i="35"/>
  <c r="N1703" i="35" s="1"/>
  <c r="I1045" i="35"/>
  <c r="O1045" i="35" s="1"/>
  <c r="I1700" i="35"/>
  <c r="O1700" i="35" s="1"/>
  <c r="M1045" i="35"/>
  <c r="N1045" i="35" s="1"/>
  <c r="M1700" i="35"/>
  <c r="N1700" i="35" s="1"/>
  <c r="I1628" i="35"/>
  <c r="O1628" i="35" s="1"/>
  <c r="I1690" i="35"/>
  <c r="O1690" i="35" s="1"/>
  <c r="M1628" i="35"/>
  <c r="N1628" i="35" s="1"/>
  <c r="M1690" i="35"/>
  <c r="N1690" i="35" s="1"/>
  <c r="M1679" i="35"/>
  <c r="N1679" i="35" s="1"/>
  <c r="M1682" i="35"/>
  <c r="N1682" i="35" s="1"/>
  <c r="M1559" i="35"/>
  <c r="N1559" i="35" s="1"/>
  <c r="M1680" i="35"/>
  <c r="N1680" i="35" s="1"/>
  <c r="I1592" i="35"/>
  <c r="O1592" i="35" s="1"/>
  <c r="I1679" i="35"/>
  <c r="O1679" i="35" s="1"/>
  <c r="M1586" i="35"/>
  <c r="N1586" i="35" s="1"/>
  <c r="M1673" i="35"/>
  <c r="N1673" i="35" s="1"/>
  <c r="I1586" i="35"/>
  <c r="O1586" i="35" s="1"/>
  <c r="I1673" i="35"/>
  <c r="O1673" i="35" s="1"/>
  <c r="I1540" i="35"/>
  <c r="O1540" i="35" s="1"/>
  <c r="H589" i="33" s="1"/>
  <c r="J589" i="33" s="1"/>
  <c r="I1663" i="35"/>
  <c r="O1663" i="35" s="1"/>
  <c r="I1623" i="35"/>
  <c r="O1623" i="35" s="1"/>
  <c r="I1661" i="35"/>
  <c r="O1661" i="35" s="1"/>
  <c r="M1623" i="35"/>
  <c r="N1623" i="35" s="1"/>
  <c r="M1661" i="35"/>
  <c r="N1661" i="35" s="1"/>
  <c r="I1652" i="35"/>
  <c r="O1652" i="35" s="1"/>
  <c r="I1659" i="35"/>
  <c r="O1659" i="35" s="1"/>
  <c r="M1652" i="35"/>
  <c r="N1652" i="35" s="1"/>
  <c r="M1659" i="35"/>
  <c r="N1659" i="35" s="1"/>
  <c r="M1450" i="35"/>
  <c r="N1450" i="35" s="1"/>
  <c r="M1642" i="35"/>
  <c r="N1642" i="35" s="1"/>
  <c r="I1450" i="35"/>
  <c r="O1450" i="35" s="1"/>
  <c r="I1642" i="35"/>
  <c r="O1642" i="35" s="1"/>
  <c r="I1596" i="35"/>
  <c r="O1596" i="35" s="1"/>
  <c r="I1636" i="35"/>
  <c r="O1636" i="35" s="1"/>
  <c r="M1596" i="35"/>
  <c r="N1596" i="35" s="1"/>
  <c r="M1636" i="35"/>
  <c r="N1636" i="35" s="1"/>
  <c r="I1557" i="35"/>
  <c r="O1557" i="35" s="1"/>
  <c r="I1633" i="35"/>
  <c r="O1633" i="35" s="1"/>
  <c r="I1538" i="35"/>
  <c r="O1538" i="35" s="1"/>
  <c r="I1622" i="35"/>
  <c r="O1622" i="35" s="1"/>
  <c r="M1538" i="35"/>
  <c r="N1538" i="35" s="1"/>
  <c r="M1622" i="35"/>
  <c r="N1622" i="35" s="1"/>
  <c r="I1461" i="35"/>
  <c r="O1461" i="35" s="1"/>
  <c r="I1610" i="35"/>
  <c r="O1610" i="35" s="1"/>
  <c r="M1461" i="35"/>
  <c r="N1461" i="35" s="1"/>
  <c r="M1610" i="35"/>
  <c r="N1610" i="35" s="1"/>
  <c r="R395" i="6"/>
  <c r="S433" i="6"/>
  <c r="O167" i="6"/>
  <c r="R403" i="6"/>
  <c r="R421" i="6"/>
  <c r="R396" i="6"/>
  <c r="R415" i="6"/>
  <c r="R359" i="6"/>
  <c r="R428" i="6"/>
  <c r="R401" i="6"/>
  <c r="R426" i="6"/>
  <c r="I1607" i="35"/>
  <c r="O1607" i="35" s="1"/>
  <c r="I1608" i="35"/>
  <c r="O1608" i="35" s="1"/>
  <c r="M1607" i="35"/>
  <c r="N1607" i="35" s="1"/>
  <c r="M1608" i="35"/>
  <c r="N1608" i="35" s="1"/>
  <c r="R399" i="6"/>
  <c r="O431" i="6"/>
  <c r="Q431" i="6" s="1"/>
  <c r="O434" i="6"/>
  <c r="Q434" i="6" s="1"/>
  <c r="R427" i="6"/>
  <c r="N431" i="6"/>
  <c r="P431" i="6" s="1"/>
  <c r="N434" i="6"/>
  <c r="P434" i="6" s="1"/>
  <c r="I1508" i="35"/>
  <c r="O1508" i="35" s="1"/>
  <c r="I1606" i="35"/>
  <c r="O1606" i="35" s="1"/>
  <c r="M1508" i="35"/>
  <c r="N1508" i="35" s="1"/>
  <c r="M1606" i="35"/>
  <c r="N1606" i="35" s="1"/>
  <c r="M1442" i="35"/>
  <c r="N1442" i="35" s="1"/>
  <c r="M1592" i="35"/>
  <c r="N1592" i="35" s="1"/>
  <c r="I1406" i="35"/>
  <c r="O1406" i="35" s="1"/>
  <c r="I1588" i="35"/>
  <c r="O1588" i="35" s="1"/>
  <c r="I1578" i="35"/>
  <c r="O1578" i="35" s="1"/>
  <c r="I1581" i="35"/>
  <c r="O1581" i="35" s="1"/>
  <c r="M1578" i="35"/>
  <c r="N1578" i="35" s="1"/>
  <c r="M1581" i="35"/>
  <c r="N1581" i="35" s="1"/>
  <c r="I1345" i="35"/>
  <c r="O1345" i="35" s="1"/>
  <c r="I1579" i="35"/>
  <c r="O1579" i="35" s="1"/>
  <c r="M1345" i="35"/>
  <c r="N1345" i="35" s="1"/>
  <c r="M1579" i="35"/>
  <c r="N1579" i="35" s="1"/>
  <c r="I1496" i="35"/>
  <c r="O1496" i="35" s="1"/>
  <c r="I1575" i="35"/>
  <c r="O1575" i="35" s="1"/>
  <c r="M132" i="35"/>
  <c r="N132" i="35" s="1"/>
  <c r="M1575" i="35"/>
  <c r="N1575" i="35" s="1"/>
  <c r="M1436" i="35"/>
  <c r="N1436" i="35" s="1"/>
  <c r="M1573" i="35"/>
  <c r="N1573" i="35" s="1"/>
  <c r="I1436" i="35"/>
  <c r="O1436" i="35" s="1"/>
  <c r="I1573" i="35"/>
  <c r="O1573" i="35" s="1"/>
  <c r="S417" i="6"/>
  <c r="S413" i="6"/>
  <c r="R425" i="6"/>
  <c r="N429" i="6"/>
  <c r="P429" i="6" s="1"/>
  <c r="O156" i="6"/>
  <c r="Q156" i="6" s="1"/>
  <c r="O419" i="6"/>
  <c r="Q419" i="6" s="1"/>
  <c r="N395" i="6"/>
  <c r="P395" i="6" s="1"/>
  <c r="N432" i="6"/>
  <c r="P432" i="6" s="1"/>
  <c r="N421" i="6"/>
  <c r="P421" i="6" s="1"/>
  <c r="N425" i="6"/>
  <c r="P425" i="6" s="1"/>
  <c r="N418" i="6"/>
  <c r="P418" i="6" s="1"/>
  <c r="N120" i="6"/>
  <c r="N428" i="6"/>
  <c r="P428" i="6" s="1"/>
  <c r="N188" i="6"/>
  <c r="P188" i="6" s="1"/>
  <c r="N405" i="6"/>
  <c r="P405" i="6" s="1"/>
  <c r="T405" i="6" s="1"/>
  <c r="N121" i="6"/>
  <c r="P121" i="6" s="1"/>
  <c r="G52" i="36" s="1"/>
  <c r="I52" i="36" s="1"/>
  <c r="N426" i="6"/>
  <c r="P426" i="6" s="1"/>
  <c r="O395" i="6"/>
  <c r="Q395" i="6" s="1"/>
  <c r="O432" i="6"/>
  <c r="Q432" i="6" s="1"/>
  <c r="O425" i="6"/>
  <c r="Q425" i="6" s="1"/>
  <c r="S425" i="6" s="1"/>
  <c r="O421" i="6"/>
  <c r="Q421" i="6" s="1"/>
  <c r="O418" i="6"/>
  <c r="Q418" i="6" s="1"/>
  <c r="R431" i="6"/>
  <c r="R432" i="6"/>
  <c r="R420" i="6"/>
  <c r="O120" i="6"/>
  <c r="Q120" i="6" s="1"/>
  <c r="O428" i="6"/>
  <c r="Q428" i="6" s="1"/>
  <c r="O430" i="6"/>
  <c r="Q430" i="6" s="1"/>
  <c r="O427" i="6"/>
  <c r="Q427" i="6" s="1"/>
  <c r="R418" i="6"/>
  <c r="N427" i="6"/>
  <c r="P427" i="6" s="1"/>
  <c r="N430" i="6"/>
  <c r="P430" i="6" s="1"/>
  <c r="O429" i="6"/>
  <c r="Q429" i="6" s="1"/>
  <c r="N359" i="6"/>
  <c r="P359" i="6" s="1"/>
  <c r="N419" i="6"/>
  <c r="P419" i="6" s="1"/>
  <c r="T419" i="6" s="1"/>
  <c r="R429" i="6"/>
  <c r="R410" i="6"/>
  <c r="R430" i="6"/>
  <c r="O121" i="6"/>
  <c r="O426" i="6"/>
  <c r="Q426" i="6" s="1"/>
  <c r="M1506" i="35"/>
  <c r="N1506" i="35" s="1"/>
  <c r="M1569" i="35"/>
  <c r="N1569" i="35" s="1"/>
  <c r="I1506" i="35"/>
  <c r="O1506" i="35" s="1"/>
  <c r="I1569" i="35"/>
  <c r="O1569" i="35" s="1"/>
  <c r="I1562" i="35"/>
  <c r="O1562" i="35" s="1"/>
  <c r="I1566" i="35"/>
  <c r="O1566" i="35" s="1"/>
  <c r="M1562" i="35"/>
  <c r="N1562" i="35" s="1"/>
  <c r="M1566" i="35"/>
  <c r="N1566" i="35" s="1"/>
  <c r="I1519" i="35"/>
  <c r="O1519" i="35" s="1"/>
  <c r="I1559" i="35"/>
  <c r="O1559" i="35" s="1"/>
  <c r="M1111" i="35"/>
  <c r="N1111" i="35" s="1"/>
  <c r="M1557" i="35"/>
  <c r="N1557" i="35" s="1"/>
  <c r="B27" i="40"/>
  <c r="M1256" i="35"/>
  <c r="N1256" i="35" s="1"/>
  <c r="M1540" i="35"/>
  <c r="N1540" i="35" s="1"/>
  <c r="M57" i="35"/>
  <c r="N57" i="35" s="1"/>
  <c r="M131" i="35"/>
  <c r="N131" i="35" s="1"/>
  <c r="I149" i="35"/>
  <c r="O149" i="35" s="1"/>
  <c r="O82" i="35"/>
  <c r="H445" i="33" s="1"/>
  <c r="M1402" i="35"/>
  <c r="N1402" i="35" s="1"/>
  <c r="M1532" i="35"/>
  <c r="N1532" i="35" s="1"/>
  <c r="I1402" i="35"/>
  <c r="O1402" i="35" s="1"/>
  <c r="I1532" i="35"/>
  <c r="O1532" i="35" s="1"/>
  <c r="M1453" i="35"/>
  <c r="N1453" i="35" s="1"/>
  <c r="M1519" i="35"/>
  <c r="N1519" i="35" s="1"/>
  <c r="I268" i="35"/>
  <c r="O268" i="35" s="1"/>
  <c r="H90" i="33" s="1"/>
  <c r="I1517" i="35"/>
  <c r="O1517" i="35" s="1"/>
  <c r="H101" i="33" s="1"/>
  <c r="M268" i="35"/>
  <c r="N268" i="35" s="1"/>
  <c r="M1517" i="35"/>
  <c r="N1517" i="35" s="1"/>
  <c r="O1470" i="35"/>
  <c r="I910" i="35"/>
  <c r="O910" i="35" s="1"/>
  <c r="I1514" i="35"/>
  <c r="O1514" i="35" s="1"/>
  <c r="H109" i="33" s="1"/>
  <c r="M910" i="35"/>
  <c r="N910" i="35" s="1"/>
  <c r="M1514" i="35"/>
  <c r="N1514" i="35" s="1"/>
  <c r="I1488" i="35"/>
  <c r="O1488" i="35" s="1"/>
  <c r="I1511" i="35"/>
  <c r="O1511" i="35" s="1"/>
  <c r="M1488" i="35"/>
  <c r="N1488" i="35" s="1"/>
  <c r="M1511" i="35"/>
  <c r="N1511" i="35" s="1"/>
  <c r="I1359" i="35"/>
  <c r="O1359" i="35" s="1"/>
  <c r="I1500" i="35"/>
  <c r="O1500" i="35" s="1"/>
  <c r="M1359" i="35"/>
  <c r="N1359" i="35" s="1"/>
  <c r="M1500" i="35"/>
  <c r="N1500" i="35" s="1"/>
  <c r="M220" i="35"/>
  <c r="N220" i="35" s="1"/>
  <c r="M1496" i="35"/>
  <c r="N1496" i="35" s="1"/>
  <c r="I1347" i="35"/>
  <c r="O1347" i="35" s="1"/>
  <c r="I1495" i="35"/>
  <c r="O1495" i="35" s="1"/>
  <c r="M1347" i="35"/>
  <c r="N1347" i="35" s="1"/>
  <c r="M1495" i="35"/>
  <c r="N1495" i="35" s="1"/>
  <c r="F5" i="40"/>
  <c r="I652" i="35"/>
  <c r="O652" i="35" s="1"/>
  <c r="I1472" i="35"/>
  <c r="O1472" i="35" s="1"/>
  <c r="M652" i="35"/>
  <c r="N652" i="35" s="1"/>
  <c r="M1472" i="35"/>
  <c r="N1472" i="35" s="1"/>
  <c r="M1399" i="35"/>
  <c r="N1399" i="35" s="1"/>
  <c r="M1471" i="35"/>
  <c r="N1471" i="35" s="1"/>
  <c r="I1399" i="35"/>
  <c r="O1399" i="35" s="1"/>
  <c r="I1471" i="35"/>
  <c r="O1471" i="35" s="1"/>
  <c r="M1470" i="35"/>
  <c r="N1470" i="35" s="1"/>
  <c r="I1458" i="35"/>
  <c r="O1458" i="35" s="1"/>
  <c r="I1468" i="35"/>
  <c r="O1468" i="35" s="1"/>
  <c r="M1458" i="35"/>
  <c r="N1458" i="35" s="1"/>
  <c r="M1468" i="35"/>
  <c r="N1468" i="35" s="1"/>
  <c r="I1451" i="35"/>
  <c r="O1451" i="35" s="1"/>
  <c r="I1456" i="35"/>
  <c r="O1456" i="35" s="1"/>
  <c r="M1451" i="35"/>
  <c r="N1451" i="35" s="1"/>
  <c r="M1456" i="35"/>
  <c r="N1456" i="35" s="1"/>
  <c r="I1412" i="35"/>
  <c r="O1412" i="35" s="1"/>
  <c r="I1453" i="35"/>
  <c r="O1453" i="35" s="1"/>
  <c r="M187" i="35"/>
  <c r="N187" i="35" s="1"/>
  <c r="I1416" i="35"/>
  <c r="O1416" i="35" s="1"/>
  <c r="I1449" i="35"/>
  <c r="O1449" i="35" s="1"/>
  <c r="I1437" i="35"/>
  <c r="O1437" i="35" s="1"/>
  <c r="I1442" i="35"/>
  <c r="O1442" i="35" s="1"/>
  <c r="N641" i="35"/>
  <c r="O96" i="35"/>
  <c r="H378" i="33" s="1"/>
  <c r="O1413" i="35"/>
  <c r="I168" i="35"/>
  <c r="O168" i="35" s="1"/>
  <c r="H20" i="33" s="1"/>
  <c r="K20" i="33" s="1"/>
  <c r="O1233" i="35"/>
  <c r="O1113" i="35"/>
  <c r="I369" i="35"/>
  <c r="O369" i="35" s="1"/>
  <c r="M1393" i="35"/>
  <c r="N1393" i="35" s="1"/>
  <c r="M1437" i="35"/>
  <c r="N1437" i="35" s="1"/>
  <c r="M100" i="35"/>
  <c r="N100" i="35" s="1"/>
  <c r="M62" i="35"/>
  <c r="N62" i="35" s="1"/>
  <c r="I1427" i="35"/>
  <c r="O1427" i="35" s="1"/>
  <c r="I1430" i="35"/>
  <c r="O1430" i="35" s="1"/>
  <c r="M1427" i="35"/>
  <c r="N1427" i="35" s="1"/>
  <c r="M1430" i="35"/>
  <c r="N1430" i="35" s="1"/>
  <c r="I1389" i="35"/>
  <c r="O1389" i="35" s="1"/>
  <c r="I1426" i="35"/>
  <c r="O1426" i="35" s="1"/>
  <c r="M1389" i="35"/>
  <c r="N1389" i="35" s="1"/>
  <c r="M1426" i="35"/>
  <c r="N1426" i="35" s="1"/>
  <c r="I1232" i="35"/>
  <c r="O1232" i="35" s="1"/>
  <c r="I1417" i="35"/>
  <c r="O1417" i="35" s="1"/>
  <c r="M61" i="35"/>
  <c r="N61" i="35" s="1"/>
  <c r="M1417" i="35"/>
  <c r="N1417" i="35" s="1"/>
  <c r="M452" i="35"/>
  <c r="N452" i="35" s="1"/>
  <c r="M1416" i="35"/>
  <c r="N1416" i="35" s="1"/>
  <c r="M1121" i="35"/>
  <c r="N1121" i="35" s="1"/>
  <c r="M1413" i="35"/>
  <c r="N1413" i="35" s="1"/>
  <c r="M1374" i="35"/>
  <c r="N1374" i="35" s="1"/>
  <c r="M1412" i="35"/>
  <c r="N1412" i="35" s="1"/>
  <c r="M1400" i="35"/>
  <c r="N1400" i="35" s="1"/>
  <c r="M1406" i="35"/>
  <c r="N1406" i="35" s="1"/>
  <c r="I1368" i="35"/>
  <c r="O1368" i="35" s="1"/>
  <c r="I1400" i="35"/>
  <c r="O1400" i="35" s="1"/>
  <c r="M1075" i="35"/>
  <c r="N1075" i="35" s="1"/>
  <c r="M1397" i="35"/>
  <c r="N1397" i="35" s="1"/>
  <c r="I1075" i="35"/>
  <c r="O1075" i="35" s="1"/>
  <c r="I1397" i="35"/>
  <c r="O1397" i="35" s="1"/>
  <c r="I1264" i="35"/>
  <c r="O1264" i="35" s="1"/>
  <c r="I1393" i="35"/>
  <c r="O1393" i="35" s="1"/>
  <c r="M54" i="35"/>
  <c r="N54" i="35" s="1"/>
  <c r="M1320" i="35"/>
  <c r="N1320" i="35" s="1"/>
  <c r="M1390" i="35"/>
  <c r="N1390" i="35" s="1"/>
  <c r="I1320" i="35"/>
  <c r="O1320" i="35" s="1"/>
  <c r="I1390" i="35"/>
  <c r="O1390" i="35" s="1"/>
  <c r="M305" i="35"/>
  <c r="N305" i="35" s="1"/>
  <c r="M1311" i="35"/>
  <c r="N1311" i="35" s="1"/>
  <c r="M1381" i="35"/>
  <c r="N1381" i="35" s="1"/>
  <c r="I1311" i="35"/>
  <c r="O1311" i="35" s="1"/>
  <c r="I1381" i="35"/>
  <c r="O1381" i="35" s="1"/>
  <c r="I1376" i="35"/>
  <c r="O1376" i="35" s="1"/>
  <c r="I1380" i="35"/>
  <c r="O1380" i="35" s="1"/>
  <c r="M1376" i="35"/>
  <c r="N1376" i="35" s="1"/>
  <c r="M1380" i="35"/>
  <c r="N1380" i="35" s="1"/>
  <c r="I1288" i="35"/>
  <c r="O1288" i="35" s="1"/>
  <c r="I1375" i="35"/>
  <c r="O1375" i="35" s="1"/>
  <c r="M1288" i="35"/>
  <c r="N1288" i="35" s="1"/>
  <c r="M1375" i="35"/>
  <c r="N1375" i="35" s="1"/>
  <c r="I1327" i="35"/>
  <c r="O1327" i="35" s="1"/>
  <c r="I1374" i="35"/>
  <c r="O1374" i="35" s="1"/>
  <c r="I1119" i="35"/>
  <c r="O1119" i="35" s="1"/>
  <c r="I1372" i="35"/>
  <c r="O1372" i="35" s="1"/>
  <c r="M1119" i="35"/>
  <c r="N1119" i="35" s="1"/>
  <c r="M1372" i="35"/>
  <c r="N1372" i="35" s="1"/>
  <c r="M1339" i="35"/>
  <c r="N1339" i="35" s="1"/>
  <c r="M1368" i="35"/>
  <c r="N1368" i="35" s="1"/>
  <c r="N1349" i="35"/>
  <c r="B15" i="40"/>
  <c r="F15" i="40" s="1"/>
  <c r="I1352" i="35"/>
  <c r="O1352" i="35" s="1"/>
  <c r="I1353" i="35"/>
  <c r="O1353" i="35" s="1"/>
  <c r="M1352" i="35"/>
  <c r="N1352" i="35" s="1"/>
  <c r="M1353" i="35"/>
  <c r="N1353" i="35" s="1"/>
  <c r="N410" i="6"/>
  <c r="P410" i="6" s="1"/>
  <c r="N420" i="6"/>
  <c r="P420" i="6" s="1"/>
  <c r="O410" i="6"/>
  <c r="Q410" i="6" s="1"/>
  <c r="O420" i="6"/>
  <c r="Q420" i="6" s="1"/>
  <c r="N1334" i="35"/>
  <c r="P1334" i="35" s="1"/>
  <c r="O415" i="6"/>
  <c r="Q415" i="6" s="1"/>
  <c r="N415" i="6"/>
  <c r="P415" i="6" s="1"/>
  <c r="I295" i="35"/>
  <c r="O295" i="35" s="1"/>
  <c r="H169" i="33" s="1"/>
  <c r="K169" i="33" s="1"/>
  <c r="I1349" i="35"/>
  <c r="O1349" i="35" s="1"/>
  <c r="I1114" i="35"/>
  <c r="O1114" i="35" s="1"/>
  <c r="I1348" i="35"/>
  <c r="O1348" i="35" s="1"/>
  <c r="M1348" i="35"/>
  <c r="N1348" i="35" s="1"/>
  <c r="M1277" i="35"/>
  <c r="N1277" i="35" s="1"/>
  <c r="M1346" i="35"/>
  <c r="N1346" i="35" s="1"/>
  <c r="I1277" i="35"/>
  <c r="O1277" i="35" s="1"/>
  <c r="I1346" i="35"/>
  <c r="O1346" i="35" s="1"/>
  <c r="M34" i="35"/>
  <c r="N34" i="35" s="1"/>
  <c r="M204" i="35"/>
  <c r="N204" i="35" s="1"/>
  <c r="P971" i="35"/>
  <c r="I1272" i="35"/>
  <c r="O1272" i="35" s="1"/>
  <c r="I1339" i="35"/>
  <c r="O1339" i="35" s="1"/>
  <c r="M1313" i="35"/>
  <c r="N1313" i="35" s="1"/>
  <c r="M1338" i="35"/>
  <c r="N1338" i="35" s="1"/>
  <c r="I1313" i="35"/>
  <c r="O1313" i="35" s="1"/>
  <c r="I1338" i="35"/>
  <c r="O1338" i="35" s="1"/>
  <c r="M123" i="35"/>
  <c r="N123" i="35" s="1"/>
  <c r="P1335" i="35"/>
  <c r="P1332" i="35"/>
  <c r="M267" i="35"/>
  <c r="N267" i="35" s="1"/>
  <c r="I807" i="35"/>
  <c r="O807" i="35" s="1"/>
  <c r="I1330" i="35"/>
  <c r="O1330" i="35" s="1"/>
  <c r="M807" i="35"/>
  <c r="N807" i="35" s="1"/>
  <c r="M1330" i="35"/>
  <c r="N1330" i="35" s="1"/>
  <c r="M1143" i="35"/>
  <c r="N1143" i="35" s="1"/>
  <c r="M1327" i="35"/>
  <c r="N1327" i="35" s="1"/>
  <c r="M1248" i="35"/>
  <c r="N1248" i="35" s="1"/>
  <c r="M1324" i="35"/>
  <c r="N1324" i="35" s="1"/>
  <c r="I1248" i="35"/>
  <c r="O1248" i="35" s="1"/>
  <c r="I1324" i="35"/>
  <c r="O1324" i="35" s="1"/>
  <c r="I1196" i="35"/>
  <c r="O1196" i="35" s="1"/>
  <c r="I1322" i="35"/>
  <c r="O1322" i="35" s="1"/>
  <c r="M1322" i="35"/>
  <c r="N1322" i="35" s="1"/>
  <c r="M440" i="35"/>
  <c r="N440" i="35" s="1"/>
  <c r="M1318" i="35"/>
  <c r="N1318" i="35" s="1"/>
  <c r="I91" i="35"/>
  <c r="O91" i="35" s="1"/>
  <c r="H158" i="33" s="1"/>
  <c r="I1318" i="35"/>
  <c r="O1318" i="35" s="1"/>
  <c r="I530" i="35"/>
  <c r="O530" i="35" s="1"/>
  <c r="I1303" i="35"/>
  <c r="O1303" i="35" s="1"/>
  <c r="M530" i="35"/>
  <c r="N530" i="35" s="1"/>
  <c r="M1303" i="35"/>
  <c r="N1303" i="35" s="1"/>
  <c r="I112" i="35"/>
  <c r="O112" i="35" s="1"/>
  <c r="H242" i="33" s="1"/>
  <c r="I291" i="35"/>
  <c r="O291" i="35" s="1"/>
  <c r="I1291" i="35"/>
  <c r="O1291" i="35" s="1"/>
  <c r="M1201" i="35"/>
  <c r="N1201" i="35" s="1"/>
  <c r="M1291" i="35"/>
  <c r="N1291" i="35" s="1"/>
  <c r="I1204" i="35"/>
  <c r="O1204" i="35" s="1"/>
  <c r="I1287" i="35"/>
  <c r="O1287" i="35" s="1"/>
  <c r="M271" i="35"/>
  <c r="N271" i="35" s="1"/>
  <c r="M1287" i="35"/>
  <c r="N1287" i="35" s="1"/>
  <c r="M294" i="35"/>
  <c r="N294" i="35" s="1"/>
  <c r="M370" i="35"/>
  <c r="N370" i="35" s="1"/>
  <c r="M1272" i="35"/>
  <c r="N1272" i="35" s="1"/>
  <c r="M966" i="35"/>
  <c r="N966" i="35" s="1"/>
  <c r="M1271" i="35"/>
  <c r="N1271" i="35" s="1"/>
  <c r="I966" i="35"/>
  <c r="O966" i="35" s="1"/>
  <c r="I1271" i="35"/>
  <c r="O1271" i="35" s="1"/>
  <c r="N1255" i="35"/>
  <c r="M363" i="35"/>
  <c r="N363" i="35" s="1"/>
  <c r="M1264" i="35"/>
  <c r="N1264" i="35" s="1"/>
  <c r="O1255" i="35"/>
  <c r="I175" i="35"/>
  <c r="O175" i="35" s="1"/>
  <c r="N185" i="35"/>
  <c r="M1130" i="35"/>
  <c r="N1130" i="35" s="1"/>
  <c r="M1261" i="35"/>
  <c r="N1261" i="35" s="1"/>
  <c r="I1130" i="35"/>
  <c r="O1130" i="35" s="1"/>
  <c r="I1261" i="35"/>
  <c r="O1261" i="35" s="1"/>
  <c r="O68" i="35"/>
  <c r="H502" i="33" s="1"/>
  <c r="O538" i="35"/>
  <c r="O93" i="35"/>
  <c r="H496" i="33" s="1"/>
  <c r="O748" i="35"/>
  <c r="M113" i="35"/>
  <c r="N113" i="35" s="1"/>
  <c r="M30" i="35"/>
  <c r="N30" i="35" s="1"/>
  <c r="I1190" i="35"/>
  <c r="O1190" i="35" s="1"/>
  <c r="I1258" i="35"/>
  <c r="O1258" i="35" s="1"/>
  <c r="M218" i="35"/>
  <c r="N218" i="35" s="1"/>
  <c r="M1258" i="35"/>
  <c r="N1258" i="35" s="1"/>
  <c r="M101" i="35"/>
  <c r="N101" i="35" s="1"/>
  <c r="I1243" i="35"/>
  <c r="O1243" i="35" s="1"/>
  <c r="I1256" i="35"/>
  <c r="O1256" i="35" s="1"/>
  <c r="I176" i="35"/>
  <c r="O176" i="35" s="1"/>
  <c r="M208" i="35"/>
  <c r="N208" i="35" s="1"/>
  <c r="M112" i="35"/>
  <c r="N112" i="35" s="1"/>
  <c r="M114" i="35"/>
  <c r="N114" i="35" s="1"/>
  <c r="I60" i="35"/>
  <c r="O60" i="35" s="1"/>
  <c r="H63" i="33" s="1"/>
  <c r="I1244" i="35"/>
  <c r="O1244" i="35" s="1"/>
  <c r="M60" i="35"/>
  <c r="N60" i="35" s="1"/>
  <c r="M1244" i="35"/>
  <c r="N1244" i="35" s="1"/>
  <c r="M134" i="35"/>
  <c r="N134" i="35" s="1"/>
  <c r="M350" i="35"/>
  <c r="N350" i="35" s="1"/>
  <c r="M1243" i="35"/>
  <c r="N1243" i="35" s="1"/>
  <c r="I177" i="35"/>
  <c r="O177" i="35" s="1"/>
  <c r="I1238" i="35"/>
  <c r="O1238" i="35" s="1"/>
  <c r="I1239" i="35"/>
  <c r="O1239" i="35" s="1"/>
  <c r="M1238" i="35"/>
  <c r="N1238" i="35" s="1"/>
  <c r="M1239" i="35"/>
  <c r="N1239" i="35" s="1"/>
  <c r="N1233" i="35"/>
  <c r="I88" i="35"/>
  <c r="O88" i="35" s="1"/>
  <c r="H199" i="33" s="1"/>
  <c r="I1234" i="35"/>
  <c r="O1234" i="35" s="1"/>
  <c r="M88" i="35"/>
  <c r="N88" i="35" s="1"/>
  <c r="M1234" i="35"/>
  <c r="N1234" i="35" s="1"/>
  <c r="M1115" i="35"/>
  <c r="N1115" i="35" s="1"/>
  <c r="M1232" i="35"/>
  <c r="N1232" i="35" s="1"/>
  <c r="M275" i="35"/>
  <c r="N275" i="35" s="1"/>
  <c r="I1221" i="35"/>
  <c r="O1221" i="35" s="1"/>
  <c r="I1228" i="35"/>
  <c r="O1228" i="35" s="1"/>
  <c r="M1221" i="35"/>
  <c r="N1221" i="35" s="1"/>
  <c r="M1228" i="35"/>
  <c r="N1228" i="35" s="1"/>
  <c r="M81" i="35"/>
  <c r="N81" i="35" s="1"/>
  <c r="M164" i="35"/>
  <c r="N164" i="35" s="1"/>
  <c r="I370" i="35"/>
  <c r="O370" i="35" s="1"/>
  <c r="M125" i="35"/>
  <c r="N125" i="35" s="1"/>
  <c r="M127" i="35"/>
  <c r="N127" i="35" s="1"/>
  <c r="O924" i="35"/>
  <c r="M258" i="35"/>
  <c r="N258" i="35" s="1"/>
  <c r="M180" i="35"/>
  <c r="N180" i="35" s="1"/>
  <c r="I1213" i="35"/>
  <c r="O1213" i="35" s="1"/>
  <c r="I1219" i="35"/>
  <c r="O1219" i="35" s="1"/>
  <c r="M1213" i="35"/>
  <c r="N1213" i="35" s="1"/>
  <c r="M1219" i="35"/>
  <c r="N1219" i="35" s="1"/>
  <c r="I300" i="35"/>
  <c r="O300" i="35" s="1"/>
  <c r="H267" i="33" s="1"/>
  <c r="K267" i="33" s="1"/>
  <c r="I265" i="35"/>
  <c r="O265" i="35" s="1"/>
  <c r="H29" i="33" s="1"/>
  <c r="K29" i="33" s="1"/>
  <c r="I1194" i="35"/>
  <c r="O1194" i="35" s="1"/>
  <c r="I1212" i="35"/>
  <c r="O1212" i="35" s="1"/>
  <c r="M1194" i="35"/>
  <c r="N1194" i="35" s="1"/>
  <c r="M1212" i="35"/>
  <c r="N1212" i="35" s="1"/>
  <c r="M1192" i="35"/>
  <c r="N1192" i="35" s="1"/>
  <c r="M1207" i="35"/>
  <c r="N1207" i="35" s="1"/>
  <c r="I1192" i="35"/>
  <c r="O1192" i="35" s="1"/>
  <c r="I1207" i="35"/>
  <c r="O1207" i="35" s="1"/>
  <c r="P369" i="6"/>
  <c r="O401" i="6"/>
  <c r="Q401" i="6" s="1"/>
  <c r="O403" i="6"/>
  <c r="Q403" i="6" s="1"/>
  <c r="O404" i="6"/>
  <c r="Q404" i="6" s="1"/>
  <c r="N401" i="6"/>
  <c r="P401" i="6" s="1"/>
  <c r="N403" i="6"/>
  <c r="P403" i="6" s="1"/>
  <c r="N404" i="6"/>
  <c r="P404" i="6" s="1"/>
  <c r="T404" i="6" s="1"/>
  <c r="O474" i="35"/>
  <c r="O396" i="6"/>
  <c r="Q396" i="6" s="1"/>
  <c r="O399" i="6"/>
  <c r="Q399" i="6" s="1"/>
  <c r="N396" i="6"/>
  <c r="P396" i="6" s="1"/>
  <c r="N399" i="6"/>
  <c r="P399" i="6" s="1"/>
  <c r="M165" i="35"/>
  <c r="N165" i="35" s="1"/>
  <c r="M265" i="35"/>
  <c r="N265" i="35" s="1"/>
  <c r="I275" i="35"/>
  <c r="O275" i="35" s="1"/>
  <c r="M1147" i="35"/>
  <c r="N1147" i="35" s="1"/>
  <c r="M1204" i="35"/>
  <c r="N1204" i="35" s="1"/>
  <c r="M375" i="35"/>
  <c r="N375" i="35" s="1"/>
  <c r="M277" i="35"/>
  <c r="N277" i="35" s="1"/>
  <c r="O24" i="35"/>
  <c r="H299" i="33" s="1"/>
  <c r="O89" i="35"/>
  <c r="H481" i="33" s="1"/>
  <c r="M1128" i="35"/>
  <c r="N1128" i="35" s="1"/>
  <c r="M1202" i="35"/>
  <c r="N1202" i="35" s="1"/>
  <c r="I1128" i="35"/>
  <c r="O1128" i="35" s="1"/>
  <c r="I1202" i="35"/>
  <c r="O1202" i="35" s="1"/>
  <c r="I1200" i="35"/>
  <c r="O1200" i="35" s="1"/>
  <c r="I1201" i="35"/>
  <c r="O1201" i="35" s="1"/>
  <c r="M1116" i="35"/>
  <c r="N1116" i="35" s="1"/>
  <c r="M1200" i="35"/>
  <c r="N1200" i="35" s="1"/>
  <c r="I287" i="35"/>
  <c r="O287" i="35" s="1"/>
  <c r="H40" i="33" s="1"/>
  <c r="K40" i="33" s="1"/>
  <c r="M323" i="35"/>
  <c r="N323" i="35" s="1"/>
  <c r="M1196" i="35"/>
  <c r="N1196" i="35" s="1"/>
  <c r="M970" i="35"/>
  <c r="N970" i="35" s="1"/>
  <c r="M1190" i="35"/>
  <c r="N1190" i="35" s="1"/>
  <c r="I284" i="35"/>
  <c r="O284" i="35" s="1"/>
  <c r="H331" i="33" s="1"/>
  <c r="K331" i="33" s="1"/>
  <c r="M351" i="35"/>
  <c r="N351" i="35" s="1"/>
  <c r="P1186" i="35"/>
  <c r="I1175" i="35"/>
  <c r="O1175" i="35" s="1"/>
  <c r="I1185" i="35"/>
  <c r="O1185" i="35" s="1"/>
  <c r="M1175" i="35"/>
  <c r="N1175" i="35" s="1"/>
  <c r="M1185" i="35"/>
  <c r="N1185" i="35" s="1"/>
  <c r="P1178" i="35"/>
  <c r="M312" i="35"/>
  <c r="N312" i="35" s="1"/>
  <c r="M1177" i="35"/>
  <c r="N1177" i="35" s="1"/>
  <c r="M206" i="35"/>
  <c r="N206" i="35" s="1"/>
  <c r="I312" i="35"/>
  <c r="O312" i="35" s="1"/>
  <c r="H198" i="33" s="1"/>
  <c r="K198" i="33" s="1"/>
  <c r="I1177" i="35"/>
  <c r="O1177" i="35" s="1"/>
  <c r="N1153" i="35"/>
  <c r="O1153" i="35"/>
  <c r="M232" i="35"/>
  <c r="N232" i="35" s="1"/>
  <c r="I806" i="35"/>
  <c r="O806" i="35" s="1"/>
  <c r="I1168" i="35"/>
  <c r="O1168" i="35" s="1"/>
  <c r="M806" i="35"/>
  <c r="N806" i="35" s="1"/>
  <c r="M1168" i="35"/>
  <c r="N1168" i="35" s="1"/>
  <c r="O665" i="35"/>
  <c r="O86" i="35"/>
  <c r="H285" i="33" s="1"/>
  <c r="I19" i="35"/>
  <c r="O19" i="35" s="1"/>
  <c r="H165" i="33" s="1"/>
  <c r="I1155" i="35"/>
  <c r="O1155" i="35" s="1"/>
  <c r="M19" i="35"/>
  <c r="N19" i="35" s="1"/>
  <c r="M1155" i="35"/>
  <c r="N1155" i="35" s="1"/>
  <c r="I1124" i="35"/>
  <c r="O1124" i="35" s="1"/>
  <c r="I1147" i="35"/>
  <c r="O1147" i="35" s="1"/>
  <c r="I1145" i="35"/>
  <c r="O1145" i="35" s="1"/>
  <c r="M1145" i="35"/>
  <c r="N1145" i="35" s="1"/>
  <c r="R285" i="6"/>
  <c r="N103" i="6"/>
  <c r="P103" i="6" s="1"/>
  <c r="O9" i="6"/>
  <c r="Q9" i="6" s="1"/>
  <c r="O92" i="6"/>
  <c r="N156" i="6"/>
  <c r="P156" i="6" s="1"/>
  <c r="N167" i="6"/>
  <c r="P167" i="6" s="1"/>
  <c r="N394" i="6"/>
  <c r="P394" i="6" s="1"/>
  <c r="T394" i="6" s="1"/>
  <c r="R390" i="6"/>
  <c r="N393" i="6"/>
  <c r="P393" i="6" s="1"/>
  <c r="N392" i="6"/>
  <c r="P392" i="6" s="1"/>
  <c r="N390" i="6"/>
  <c r="P390" i="6" s="1"/>
  <c r="R392" i="6"/>
  <c r="R393" i="6"/>
  <c r="O393" i="6"/>
  <c r="Q393" i="6" s="1"/>
  <c r="O392" i="6"/>
  <c r="Q392" i="6" s="1"/>
  <c r="O390" i="6"/>
  <c r="Q390" i="6" s="1"/>
  <c r="R385" i="6"/>
  <c r="I1122" i="35"/>
  <c r="O1122" i="35" s="1"/>
  <c r="I1143" i="35"/>
  <c r="O1143" i="35" s="1"/>
  <c r="I1107" i="35"/>
  <c r="O1107" i="35" s="1"/>
  <c r="I1142" i="35"/>
  <c r="O1142" i="35" s="1"/>
  <c r="M1107" i="35"/>
  <c r="N1107" i="35" s="1"/>
  <c r="M1142" i="35"/>
  <c r="N1142" i="35" s="1"/>
  <c r="R386" i="6"/>
  <c r="R356" i="6"/>
  <c r="O386" i="6"/>
  <c r="Q386" i="6" s="1"/>
  <c r="O385" i="6"/>
  <c r="Q385" i="6" s="1"/>
  <c r="N386" i="6"/>
  <c r="P386" i="6" s="1"/>
  <c r="N385" i="6"/>
  <c r="P385" i="6" s="1"/>
  <c r="O238" i="35"/>
  <c r="H307" i="33" s="1"/>
  <c r="K307" i="33" s="1"/>
  <c r="M257" i="35"/>
  <c r="N257" i="35" s="1"/>
  <c r="M207" i="35"/>
  <c r="N207" i="35" s="1"/>
  <c r="M177" i="35"/>
  <c r="N177" i="35" s="1"/>
  <c r="I985" i="35"/>
  <c r="O985" i="35" s="1"/>
  <c r="I1129" i="35"/>
  <c r="O1129" i="35" s="1"/>
  <c r="M985" i="35"/>
  <c r="N985" i="35" s="1"/>
  <c r="M1129" i="35"/>
  <c r="N1129" i="35" s="1"/>
  <c r="M1094" i="35"/>
  <c r="N1094" i="35" s="1"/>
  <c r="M1124" i="35"/>
  <c r="N1124" i="35" s="1"/>
  <c r="M1100" i="35"/>
  <c r="N1100" i="35" s="1"/>
  <c r="M1123" i="35"/>
  <c r="N1123" i="35" s="1"/>
  <c r="I1100" i="35"/>
  <c r="O1100" i="35" s="1"/>
  <c r="I1123" i="35"/>
  <c r="O1123" i="35" s="1"/>
  <c r="M1099" i="35"/>
  <c r="N1099" i="35" s="1"/>
  <c r="M1122" i="35"/>
  <c r="N1122" i="35" s="1"/>
  <c r="I206" i="35"/>
  <c r="O206" i="35" s="1"/>
  <c r="H321" i="33" s="1"/>
  <c r="K321" i="33" s="1"/>
  <c r="I1121" i="35"/>
  <c r="O1121" i="35" s="1"/>
  <c r="I1096" i="35"/>
  <c r="O1096" i="35" s="1"/>
  <c r="I1116" i="35"/>
  <c r="O1116" i="35" s="1"/>
  <c r="I1062" i="35"/>
  <c r="O1062" i="35" s="1"/>
  <c r="I1115" i="35"/>
  <c r="O1115" i="35" s="1"/>
  <c r="M1114" i="35"/>
  <c r="N1114" i="35" s="1"/>
  <c r="M1077" i="35"/>
  <c r="N1077" i="35" s="1"/>
  <c r="M1113" i="35"/>
  <c r="N1113" i="35" s="1"/>
  <c r="I1108" i="35"/>
  <c r="O1108" i="35" s="1"/>
  <c r="I1112" i="35"/>
  <c r="O1112" i="35" s="1"/>
  <c r="M1108" i="35"/>
  <c r="N1108" i="35" s="1"/>
  <c r="M1112" i="35"/>
  <c r="N1112" i="35" s="1"/>
  <c r="M339" i="35"/>
  <c r="N339" i="35" s="1"/>
  <c r="I1043" i="35"/>
  <c r="O1043" i="35" s="1"/>
  <c r="I1111" i="35"/>
  <c r="O1111" i="35" s="1"/>
  <c r="M13" i="35"/>
  <c r="N13" i="35" s="1"/>
  <c r="M172" i="35"/>
  <c r="N172" i="35" s="1"/>
  <c r="M226" i="35"/>
  <c r="N226" i="35" s="1"/>
  <c r="R370" i="6"/>
  <c r="R355" i="6"/>
  <c r="O116" i="6"/>
  <c r="Q116" i="6" s="1"/>
  <c r="O109" i="6"/>
  <c r="O108" i="6"/>
  <c r="Q108" i="6" s="1"/>
  <c r="R364" i="6"/>
  <c r="R362" i="6"/>
  <c r="R384" i="6"/>
  <c r="F52" i="36"/>
  <c r="F42" i="36"/>
  <c r="F89" i="36"/>
  <c r="R369" i="6"/>
  <c r="N126" i="6"/>
  <c r="P126" i="6" s="1"/>
  <c r="N109" i="6"/>
  <c r="P109" i="6" s="1"/>
  <c r="Q372" i="6"/>
  <c r="R377" i="6"/>
  <c r="R372" i="6"/>
  <c r="N69" i="6"/>
  <c r="P69" i="6" s="1"/>
  <c r="G79" i="36" s="1"/>
  <c r="I79" i="36" s="1"/>
  <c r="N161" i="6"/>
  <c r="P161" i="6" s="1"/>
  <c r="N8" i="6"/>
  <c r="P8" i="6" s="1"/>
  <c r="G12" i="36" s="1"/>
  <c r="I12" i="36" s="1"/>
  <c r="N178" i="6"/>
  <c r="P178" i="6" s="1"/>
  <c r="R371" i="6"/>
  <c r="N177" i="6"/>
  <c r="P177" i="6" s="1"/>
  <c r="R366" i="6"/>
  <c r="R358" i="6"/>
  <c r="N368" i="6"/>
  <c r="P368" i="6" s="1"/>
  <c r="T368" i="6" s="1"/>
  <c r="N366" i="6"/>
  <c r="P366" i="6" s="1"/>
  <c r="O257" i="6"/>
  <c r="Q257" i="6" s="1"/>
  <c r="O355" i="6"/>
  <c r="Q355" i="6" s="1"/>
  <c r="O356" i="6"/>
  <c r="Q356" i="6" s="1"/>
  <c r="R361" i="6"/>
  <c r="N155" i="6"/>
  <c r="P155" i="6" s="1"/>
  <c r="G6" i="36" s="1"/>
  <c r="I6" i="36" s="1"/>
  <c r="N362" i="6"/>
  <c r="P362" i="6" s="1"/>
  <c r="O376" i="6"/>
  <c r="Q376" i="6" s="1"/>
  <c r="O383" i="6"/>
  <c r="Q383" i="6" s="1"/>
  <c r="N377" i="6"/>
  <c r="P377" i="6" s="1"/>
  <c r="T377" i="6" s="1"/>
  <c r="N364" i="6"/>
  <c r="P364" i="6" s="1"/>
  <c r="N148" i="6"/>
  <c r="P148" i="6" s="1"/>
  <c r="N384" i="6"/>
  <c r="P384" i="6" s="1"/>
  <c r="P372" i="6"/>
  <c r="N257" i="6"/>
  <c r="P257" i="6" s="1"/>
  <c r="N356" i="6"/>
  <c r="P356" i="6" s="1"/>
  <c r="N355" i="6"/>
  <c r="P355" i="6" s="1"/>
  <c r="O155" i="6"/>
  <c r="Q155" i="6" s="1"/>
  <c r="O362" i="6"/>
  <c r="Q362" i="6" s="1"/>
  <c r="Q370" i="6"/>
  <c r="N376" i="6"/>
  <c r="P376" i="6" s="1"/>
  <c r="T376" i="6" s="1"/>
  <c r="N383" i="6"/>
  <c r="P383" i="6" s="1"/>
  <c r="T383" i="6" s="1"/>
  <c r="O77" i="6"/>
  <c r="Q77" i="6" s="1"/>
  <c r="O369" i="6"/>
  <c r="Q369" i="6" s="1"/>
  <c r="O177" i="6"/>
  <c r="Q177" i="6" s="1"/>
  <c r="O377" i="6"/>
  <c r="Q377" i="6" s="1"/>
  <c r="O364" i="6"/>
  <c r="Q364" i="6" s="1"/>
  <c r="P370" i="6"/>
  <c r="Q371" i="6"/>
  <c r="O148" i="6"/>
  <c r="Q148" i="6" s="1"/>
  <c r="O384" i="6"/>
  <c r="Q384" i="6" s="1"/>
  <c r="P371" i="6"/>
  <c r="O293" i="6"/>
  <c r="Q293" i="6" s="1"/>
  <c r="O359" i="6"/>
  <c r="Q359" i="6" s="1"/>
  <c r="R357" i="6"/>
  <c r="O368" i="6"/>
  <c r="Q368" i="6" s="1"/>
  <c r="O366" i="6"/>
  <c r="Q366" i="6" s="1"/>
  <c r="M1080" i="35"/>
  <c r="N1080" i="35" s="1"/>
  <c r="I257" i="35"/>
  <c r="O257" i="35" s="1"/>
  <c r="I253" i="35"/>
  <c r="O253" i="35" s="1"/>
  <c r="M304" i="35"/>
  <c r="N304" i="35" s="1"/>
  <c r="O104" i="35"/>
  <c r="H306" i="33" s="1"/>
  <c r="E1022" i="31"/>
  <c r="I1104" i="35"/>
  <c r="O1104" i="35" s="1"/>
  <c r="I1106" i="35"/>
  <c r="O1106" i="35" s="1"/>
  <c r="M1104" i="35"/>
  <c r="N1104" i="35" s="1"/>
  <c r="M1106" i="35"/>
  <c r="N1106" i="35" s="1"/>
  <c r="I1103" i="35"/>
  <c r="O1103" i="35" s="1"/>
  <c r="I1105" i="35"/>
  <c r="O1105" i="35" s="1"/>
  <c r="M1103" i="35"/>
  <c r="N1103" i="35" s="1"/>
  <c r="M1105" i="35"/>
  <c r="N1105" i="35" s="1"/>
  <c r="R61" i="6"/>
  <c r="H10" i="36" s="1"/>
  <c r="I1092" i="35"/>
  <c r="O1092" i="35" s="1"/>
  <c r="I1099" i="35"/>
  <c r="O1099" i="35" s="1"/>
  <c r="I1058" i="35"/>
  <c r="O1058" i="35" s="1"/>
  <c r="I1098" i="35"/>
  <c r="O1098" i="35" s="1"/>
  <c r="M1058" i="35"/>
  <c r="N1058" i="35" s="1"/>
  <c r="M1098" i="35"/>
  <c r="N1098" i="35" s="1"/>
  <c r="M1088" i="35"/>
  <c r="N1088" i="35" s="1"/>
  <c r="M1096" i="35"/>
  <c r="N1096" i="35" s="1"/>
  <c r="I1074" i="35"/>
  <c r="O1074" i="35" s="1"/>
  <c r="I1094" i="35"/>
  <c r="O1094" i="35" s="1"/>
  <c r="M1073" i="35"/>
  <c r="N1073" i="35" s="1"/>
  <c r="M1092" i="35"/>
  <c r="N1092" i="35" s="1"/>
  <c r="N1081" i="35"/>
  <c r="O505" i="35"/>
  <c r="I236" i="35"/>
  <c r="O236" i="35" s="1"/>
  <c r="I294" i="35"/>
  <c r="O294" i="35" s="1"/>
  <c r="O1081" i="35"/>
  <c r="I1006" i="35"/>
  <c r="O1006" i="35" s="1"/>
  <c r="I1088" i="35"/>
  <c r="O1088" i="35" s="1"/>
  <c r="I1036" i="35"/>
  <c r="O1036" i="35" s="1"/>
  <c r="I1083" i="35"/>
  <c r="O1083" i="35" s="1"/>
  <c r="M1083" i="35"/>
  <c r="N1083" i="35" s="1"/>
  <c r="I1066" i="35"/>
  <c r="O1066" i="35" s="1"/>
  <c r="I1082" i="35"/>
  <c r="O1082" i="35" s="1"/>
  <c r="I1063" i="35"/>
  <c r="O1063" i="35" s="1"/>
  <c r="I1080" i="35"/>
  <c r="O1080" i="35" s="1"/>
  <c r="H565" i="33" s="1"/>
  <c r="I1067" i="35"/>
  <c r="O1067" i="35" s="1"/>
  <c r="I1077" i="35"/>
  <c r="O1077" i="35" s="1"/>
  <c r="I1033" i="35"/>
  <c r="O1033" i="35" s="1"/>
  <c r="I1076" i="35"/>
  <c r="O1076" i="35" s="1"/>
  <c r="M1033" i="35"/>
  <c r="N1033" i="35" s="1"/>
  <c r="M1076" i="35"/>
  <c r="N1076" i="35" s="1"/>
  <c r="M1071" i="35"/>
  <c r="N1071" i="35" s="1"/>
  <c r="M1074" i="35"/>
  <c r="N1074" i="35" s="1"/>
  <c r="I1068" i="35"/>
  <c r="O1068" i="35" s="1"/>
  <c r="I1073" i="35"/>
  <c r="O1073" i="35" s="1"/>
  <c r="I1048" i="35"/>
  <c r="O1048" i="35" s="1"/>
  <c r="I1071" i="35"/>
  <c r="O1071" i="35" s="1"/>
  <c r="M1061" i="35"/>
  <c r="N1061" i="35" s="1"/>
  <c r="M1068" i="35"/>
  <c r="N1068" i="35" s="1"/>
  <c r="M412" i="33"/>
  <c r="M714" i="35"/>
  <c r="N714" i="35" s="1"/>
  <c r="M1067" i="35"/>
  <c r="N1067" i="35" s="1"/>
  <c r="M1012" i="35"/>
  <c r="N1012" i="35" s="1"/>
  <c r="M1066" i="35"/>
  <c r="N1066" i="35" s="1"/>
  <c r="AA290" i="31"/>
  <c r="O361" i="6"/>
  <c r="Q361" i="6" s="1"/>
  <c r="O365" i="6"/>
  <c r="Q365" i="6" s="1"/>
  <c r="N361" i="6"/>
  <c r="P361" i="6" s="1"/>
  <c r="N365" i="6"/>
  <c r="P365" i="6" s="1"/>
  <c r="T365" i="6" s="1"/>
  <c r="M1056" i="35"/>
  <c r="N1056" i="35" s="1"/>
  <c r="M1063" i="35"/>
  <c r="N1063" i="35" s="1"/>
  <c r="M1054" i="35"/>
  <c r="N1054" i="35" s="1"/>
  <c r="M1062" i="35"/>
  <c r="N1062" i="35" s="1"/>
  <c r="M156" i="35"/>
  <c r="N156" i="35" s="1"/>
  <c r="I323" i="35"/>
  <c r="O323" i="35" s="1"/>
  <c r="I1061" i="35"/>
  <c r="O1061" i="35" s="1"/>
  <c r="F939" i="31"/>
  <c r="I1025" i="35"/>
  <c r="O1025" i="35" s="1"/>
  <c r="I1056" i="35"/>
  <c r="O1056" i="35" s="1"/>
  <c r="I1026" i="35"/>
  <c r="O1026" i="35" s="1"/>
  <c r="I1054" i="35"/>
  <c r="O1054" i="35" s="1"/>
  <c r="I840" i="35"/>
  <c r="O840" i="35" s="1"/>
  <c r="I1053" i="35"/>
  <c r="O1053" i="35" s="1"/>
  <c r="M295" i="35"/>
  <c r="N295" i="35" s="1"/>
  <c r="M1053" i="35"/>
  <c r="N1053" i="35" s="1"/>
  <c r="I74" i="35"/>
  <c r="O74" i="35" s="1"/>
  <c r="H461" i="33" s="1"/>
  <c r="I1052" i="35"/>
  <c r="O1052" i="35" s="1"/>
  <c r="M74" i="35"/>
  <c r="N74" i="35" s="1"/>
  <c r="M1052" i="35"/>
  <c r="N1052" i="35" s="1"/>
  <c r="M1046" i="35"/>
  <c r="N1046" i="35" s="1"/>
  <c r="M1049" i="35"/>
  <c r="N1049" i="35" s="1"/>
  <c r="I1046" i="35"/>
  <c r="O1046" i="35" s="1"/>
  <c r="I1049" i="35"/>
  <c r="O1049" i="35" s="1"/>
  <c r="M1022" i="35"/>
  <c r="N1022" i="35" s="1"/>
  <c r="M1048" i="35"/>
  <c r="N1048" i="35" s="1"/>
  <c r="M1027" i="35"/>
  <c r="N1027" i="35" s="1"/>
  <c r="M1044" i="35"/>
  <c r="N1044" i="35" s="1"/>
  <c r="I1027" i="35"/>
  <c r="O1027" i="35" s="1"/>
  <c r="I1044" i="35"/>
  <c r="O1044" i="35" s="1"/>
  <c r="M1042" i="35"/>
  <c r="N1042" i="35" s="1"/>
  <c r="M1043" i="35"/>
  <c r="N1043" i="35" s="1"/>
  <c r="I1030" i="35"/>
  <c r="O1030" i="35" s="1"/>
  <c r="I1042" i="35"/>
  <c r="O1042" i="35" s="1"/>
  <c r="P959" i="35"/>
  <c r="I1035" i="35"/>
  <c r="O1035" i="35" s="1"/>
  <c r="I1038" i="35"/>
  <c r="O1038" i="35" s="1"/>
  <c r="M1035" i="35"/>
  <c r="N1035" i="35" s="1"/>
  <c r="M1038" i="35"/>
  <c r="N1038" i="35" s="1"/>
  <c r="M1036" i="35"/>
  <c r="N1036" i="35" s="1"/>
  <c r="O357" i="6"/>
  <c r="Q357" i="6" s="1"/>
  <c r="O358" i="6"/>
  <c r="Q358" i="6" s="1"/>
  <c r="N357" i="6"/>
  <c r="P357" i="6" s="1"/>
  <c r="N358" i="6"/>
  <c r="P358" i="6" s="1"/>
  <c r="R341" i="6"/>
  <c r="E972" i="31"/>
  <c r="I982" i="35"/>
  <c r="O982" i="35" s="1"/>
  <c r="I1031" i="35"/>
  <c r="O1031" i="35" s="1"/>
  <c r="M982" i="35"/>
  <c r="N982" i="35" s="1"/>
  <c r="M1031" i="35"/>
  <c r="N1031" i="35" s="1"/>
  <c r="M1029" i="35"/>
  <c r="N1029" i="35" s="1"/>
  <c r="M1030" i="35"/>
  <c r="N1030" i="35" s="1"/>
  <c r="I919" i="35"/>
  <c r="O919" i="35" s="1"/>
  <c r="I1029" i="35"/>
  <c r="O1029" i="35" s="1"/>
  <c r="M367" i="35"/>
  <c r="N367" i="35" s="1"/>
  <c r="M1026" i="35"/>
  <c r="N1026" i="35" s="1"/>
  <c r="M1024" i="35"/>
  <c r="N1024" i="35" s="1"/>
  <c r="M1025" i="35"/>
  <c r="N1025" i="35" s="1"/>
  <c r="I1015" i="35"/>
  <c r="O1015" i="35" s="1"/>
  <c r="I1024" i="35"/>
  <c r="O1024" i="35" s="1"/>
  <c r="I856" i="35"/>
  <c r="O856" i="35" s="1"/>
  <c r="I1023" i="35"/>
  <c r="O1023" i="35" s="1"/>
  <c r="M856" i="35"/>
  <c r="N856" i="35" s="1"/>
  <c r="M1023" i="35"/>
  <c r="N1023" i="35" s="1"/>
  <c r="I1021" i="35"/>
  <c r="O1021" i="35" s="1"/>
  <c r="I1022" i="35"/>
  <c r="O1022" i="35" s="1"/>
  <c r="M1003" i="35"/>
  <c r="N1003" i="35" s="1"/>
  <c r="M1021" i="35"/>
  <c r="N1021" i="35" s="1"/>
  <c r="I362" i="35"/>
  <c r="O362" i="35" s="1"/>
  <c r="H209" i="33" s="1"/>
  <c r="I1018" i="35"/>
  <c r="O1018" i="35" s="1"/>
  <c r="M362" i="35"/>
  <c r="N362" i="35" s="1"/>
  <c r="M1018" i="35"/>
  <c r="N1018" i="35" s="1"/>
  <c r="M858" i="35"/>
  <c r="N858" i="35" s="1"/>
  <c r="M1015" i="35"/>
  <c r="N1015" i="35" s="1"/>
  <c r="I988" i="35"/>
  <c r="O988" i="35" s="1"/>
  <c r="I1014" i="35"/>
  <c r="O1014" i="35" s="1"/>
  <c r="M1014" i="35"/>
  <c r="N1014" i="35" s="1"/>
  <c r="I817" i="35"/>
  <c r="O817" i="35" s="1"/>
  <c r="I1012" i="35"/>
  <c r="O1012" i="35" s="1"/>
  <c r="R354" i="6"/>
  <c r="M979" i="35"/>
  <c r="N979" i="35" s="1"/>
  <c r="M1006" i="35"/>
  <c r="N1006" i="35" s="1"/>
  <c r="I554" i="35"/>
  <c r="O554" i="35" s="1"/>
  <c r="I1005" i="35"/>
  <c r="O1005" i="35" s="1"/>
  <c r="M554" i="35"/>
  <c r="N554" i="35" s="1"/>
  <c r="M1005" i="35"/>
  <c r="N1005" i="35" s="1"/>
  <c r="I813" i="35"/>
  <c r="O813" i="35" s="1"/>
  <c r="I1004" i="35"/>
  <c r="O1004" i="35" s="1"/>
  <c r="M813" i="35"/>
  <c r="N813" i="35" s="1"/>
  <c r="M1004" i="35"/>
  <c r="N1004" i="35" s="1"/>
  <c r="I987" i="35"/>
  <c r="O987" i="35" s="1"/>
  <c r="I1003" i="35"/>
  <c r="O1003" i="35" s="1"/>
  <c r="M273" i="35"/>
  <c r="N273" i="35" s="1"/>
  <c r="M75" i="35"/>
  <c r="N75" i="35" s="1"/>
  <c r="M129" i="35"/>
  <c r="N129" i="35" s="1"/>
  <c r="M299" i="35"/>
  <c r="N299" i="35" s="1"/>
  <c r="N96" i="35"/>
  <c r="I165" i="35"/>
  <c r="O165" i="35" s="1"/>
  <c r="H89" i="33" s="1"/>
  <c r="K89" i="33" s="1"/>
  <c r="M231" i="35"/>
  <c r="N231" i="35" s="1"/>
  <c r="M42" i="35"/>
  <c r="N42" i="35" s="1"/>
  <c r="M153" i="35"/>
  <c r="N153" i="35" s="1"/>
  <c r="I204" i="35"/>
  <c r="O204" i="35" s="1"/>
  <c r="H136" i="33" s="1"/>
  <c r="K136" i="33" s="1"/>
  <c r="M202" i="35"/>
  <c r="N202" i="35" s="1"/>
  <c r="I267" i="35"/>
  <c r="O267" i="35" s="1"/>
  <c r="H185" i="33" s="1"/>
  <c r="M302" i="35"/>
  <c r="N302" i="35" s="1"/>
  <c r="M58" i="35"/>
  <c r="N58" i="35" s="1"/>
  <c r="M988" i="35"/>
  <c r="N988" i="35" s="1"/>
  <c r="M984" i="35"/>
  <c r="N984" i="35" s="1"/>
  <c r="M987" i="35"/>
  <c r="N987" i="35" s="1"/>
  <c r="I980" i="35"/>
  <c r="O980" i="35" s="1"/>
  <c r="I984" i="35"/>
  <c r="O984" i="35" s="1"/>
  <c r="M964" i="35"/>
  <c r="N964" i="35" s="1"/>
  <c r="M980" i="35"/>
  <c r="N980" i="35" s="1"/>
  <c r="I977" i="35"/>
  <c r="O977" i="35" s="1"/>
  <c r="I979" i="35"/>
  <c r="O979" i="35" s="1"/>
  <c r="M965" i="35"/>
  <c r="N965" i="35" s="1"/>
  <c r="M977" i="35"/>
  <c r="N977" i="35" s="1"/>
  <c r="I653" i="35"/>
  <c r="O653" i="35" s="1"/>
  <c r="I976" i="35"/>
  <c r="O976" i="35" s="1"/>
  <c r="M377" i="35"/>
  <c r="N377" i="35" s="1"/>
  <c r="M976" i="35"/>
  <c r="N976" i="35" s="1"/>
  <c r="I277" i="35"/>
  <c r="O277" i="35" s="1"/>
  <c r="M291" i="35"/>
  <c r="N291" i="35" s="1"/>
  <c r="I953" i="35"/>
  <c r="O953" i="35" s="1"/>
  <c r="I970" i="35"/>
  <c r="O970" i="35" s="1"/>
  <c r="M73" i="35"/>
  <c r="N73" i="35" s="1"/>
  <c r="M968" i="35"/>
  <c r="N968" i="35" s="1"/>
  <c r="I920" i="35"/>
  <c r="O920" i="35" s="1"/>
  <c r="I968" i="35"/>
  <c r="O968" i="35" s="1"/>
  <c r="I926" i="35"/>
  <c r="O926" i="35" s="1"/>
  <c r="I965" i="35"/>
  <c r="O965" i="35" s="1"/>
  <c r="O341" i="6"/>
  <c r="Q341" i="6" s="1"/>
  <c r="O354" i="6"/>
  <c r="Q354" i="6" s="1"/>
  <c r="N341" i="6"/>
  <c r="P341" i="6" s="1"/>
  <c r="N354" i="6"/>
  <c r="P354" i="6" s="1"/>
  <c r="R351" i="6"/>
  <c r="I881" i="35"/>
  <c r="O881" i="35" s="1"/>
  <c r="I964" i="35"/>
  <c r="O964" i="35" s="1"/>
  <c r="P963" i="35"/>
  <c r="I354" i="35"/>
  <c r="O354" i="35" s="1"/>
  <c r="H190" i="33" s="1"/>
  <c r="M407" i="35"/>
  <c r="N407" i="35" s="1"/>
  <c r="M953" i="35"/>
  <c r="N953" i="35" s="1"/>
  <c r="P952" i="35"/>
  <c r="M909" i="35"/>
  <c r="N909" i="35" s="1"/>
  <c r="M945" i="35"/>
  <c r="N945" i="35" s="1"/>
  <c r="I909" i="35"/>
  <c r="O909" i="35" s="1"/>
  <c r="I945" i="35"/>
  <c r="O945" i="35" s="1"/>
  <c r="I315" i="35"/>
  <c r="O315" i="35" s="1"/>
  <c r="H125" i="33" s="1"/>
  <c r="I944" i="35"/>
  <c r="O944" i="35" s="1"/>
  <c r="M315" i="35"/>
  <c r="N315" i="35" s="1"/>
  <c r="M944" i="35"/>
  <c r="N944" i="35" s="1"/>
  <c r="P943" i="35"/>
  <c r="I398" i="35"/>
  <c r="O398" i="35" s="1"/>
  <c r="H213" i="33" s="1"/>
  <c r="I929" i="35"/>
  <c r="O929" i="35" s="1"/>
  <c r="P929" i="35" s="1"/>
  <c r="I776" i="35"/>
  <c r="O776" i="35" s="1"/>
  <c r="I928" i="35"/>
  <c r="O928" i="35" s="1"/>
  <c r="M776" i="35"/>
  <c r="N776" i="35" s="1"/>
  <c r="M928" i="35"/>
  <c r="N928" i="35" s="1"/>
  <c r="I894" i="35"/>
  <c r="O894" i="35" s="1"/>
  <c r="H292" i="33" s="1"/>
  <c r="I927" i="35"/>
  <c r="O927" i="35" s="1"/>
  <c r="M150" i="35"/>
  <c r="N150" i="35" s="1"/>
  <c r="M262" i="35"/>
  <c r="N262" i="35" s="1"/>
  <c r="I282" i="35"/>
  <c r="O282" i="35" s="1"/>
  <c r="M894" i="35"/>
  <c r="N894" i="35" s="1"/>
  <c r="M927" i="35"/>
  <c r="N927" i="35" s="1"/>
  <c r="M293" i="35"/>
  <c r="N293" i="35" s="1"/>
  <c r="M926" i="35"/>
  <c r="N926" i="35" s="1"/>
  <c r="N924" i="35"/>
  <c r="I197" i="35"/>
  <c r="O197" i="35" s="1"/>
  <c r="H512" i="33" s="1"/>
  <c r="I925" i="35"/>
  <c r="O925" i="35" s="1"/>
  <c r="M197" i="35"/>
  <c r="N197" i="35" s="1"/>
  <c r="M925" i="35"/>
  <c r="N925" i="35" s="1"/>
  <c r="I87" i="35"/>
  <c r="O87" i="35" s="1"/>
  <c r="H189" i="33" s="1"/>
  <c r="I923" i="35"/>
  <c r="O923" i="35" s="1"/>
  <c r="M87" i="35"/>
  <c r="N87" i="35" s="1"/>
  <c r="M923" i="35"/>
  <c r="N923" i="35" s="1"/>
  <c r="M704" i="35"/>
  <c r="N704" i="35" s="1"/>
  <c r="M922" i="35"/>
  <c r="N922" i="35" s="1"/>
  <c r="I704" i="35"/>
  <c r="O704" i="35" s="1"/>
  <c r="I922" i="35"/>
  <c r="O922" i="35" s="1"/>
  <c r="M802" i="35"/>
  <c r="N802" i="35" s="1"/>
  <c r="M920" i="35"/>
  <c r="N920" i="35" s="1"/>
  <c r="M253" i="35"/>
  <c r="N253" i="35" s="1"/>
  <c r="M919" i="35"/>
  <c r="N919" i="35" s="1"/>
  <c r="M777" i="35"/>
  <c r="N777" i="35" s="1"/>
  <c r="M918" i="35"/>
  <c r="N918" i="35" s="1"/>
  <c r="I777" i="35"/>
  <c r="O777" i="35" s="1"/>
  <c r="I918" i="35"/>
  <c r="O918" i="35" s="1"/>
  <c r="I157" i="35"/>
  <c r="O157" i="35" s="1"/>
  <c r="H516" i="33" s="1"/>
  <c r="I917" i="35"/>
  <c r="O917" i="35" s="1"/>
  <c r="M157" i="35"/>
  <c r="N157" i="35" s="1"/>
  <c r="M917" i="35"/>
  <c r="N917" i="35" s="1"/>
  <c r="I903" i="35"/>
  <c r="O903" i="35" s="1"/>
  <c r="I916" i="35"/>
  <c r="O916" i="35" s="1"/>
  <c r="M903" i="35"/>
  <c r="N903" i="35" s="1"/>
  <c r="M916" i="35"/>
  <c r="N916" i="35" s="1"/>
  <c r="O285" i="35"/>
  <c r="H236" i="33" s="1"/>
  <c r="K236" i="33" s="1"/>
  <c r="I198" i="35"/>
  <c r="O198" i="35" s="1"/>
  <c r="H201" i="33" s="1"/>
  <c r="I913" i="35"/>
  <c r="O913" i="35" s="1"/>
  <c r="M198" i="35"/>
  <c r="N198" i="35" s="1"/>
  <c r="M913" i="35"/>
  <c r="N913" i="35" s="1"/>
  <c r="O912" i="35"/>
  <c r="N248" i="35"/>
  <c r="N912" i="35"/>
  <c r="I37" i="35"/>
  <c r="O37" i="35" s="1"/>
  <c r="H314" i="33" s="1"/>
  <c r="I911" i="35"/>
  <c r="O911" i="35" s="1"/>
  <c r="M37" i="35"/>
  <c r="N37" i="35" s="1"/>
  <c r="M911" i="35"/>
  <c r="N911" i="35" s="1"/>
  <c r="I698" i="35"/>
  <c r="O698" i="35" s="1"/>
  <c r="I906" i="35"/>
  <c r="O906" i="35" s="1"/>
  <c r="I893" i="35"/>
  <c r="O893" i="35" s="1"/>
  <c r="I905" i="35"/>
  <c r="O905" i="35" s="1"/>
  <c r="I902" i="35"/>
  <c r="O902" i="35" s="1"/>
  <c r="M893" i="35"/>
  <c r="N893" i="35" s="1"/>
  <c r="M905" i="35"/>
  <c r="N905" i="35" s="1"/>
  <c r="M902" i="35"/>
  <c r="N902" i="35" s="1"/>
  <c r="M698" i="35"/>
  <c r="N698" i="35" s="1"/>
  <c r="M906" i="35"/>
  <c r="N906" i="35" s="1"/>
  <c r="M201" i="35"/>
  <c r="N201" i="35" s="1"/>
  <c r="M217" i="35"/>
  <c r="N217" i="35" s="1"/>
  <c r="I350" i="35"/>
  <c r="O350" i="35" s="1"/>
  <c r="M758" i="35"/>
  <c r="N758" i="35" s="1"/>
  <c r="M901" i="35"/>
  <c r="N901" i="35" s="1"/>
  <c r="I758" i="35"/>
  <c r="O758" i="35" s="1"/>
  <c r="I901" i="35"/>
  <c r="O901" i="35" s="1"/>
  <c r="I861" i="35"/>
  <c r="O861" i="35" s="1"/>
  <c r="I900" i="35"/>
  <c r="O900" i="35" s="1"/>
  <c r="M861" i="35"/>
  <c r="N861" i="35" s="1"/>
  <c r="M900" i="35"/>
  <c r="N900" i="35" s="1"/>
  <c r="I898" i="35"/>
  <c r="O898" i="35" s="1"/>
  <c r="I899" i="35"/>
  <c r="O899" i="35" s="1"/>
  <c r="M898" i="35"/>
  <c r="N898" i="35" s="1"/>
  <c r="M899" i="35"/>
  <c r="N899" i="35" s="1"/>
  <c r="M883" i="35"/>
  <c r="N883" i="35" s="1"/>
  <c r="M896" i="35"/>
  <c r="N896" i="35" s="1"/>
  <c r="M182" i="35"/>
  <c r="N182" i="35" s="1"/>
  <c r="M22" i="35"/>
  <c r="N22" i="35" s="1"/>
  <c r="M297" i="35"/>
  <c r="N297" i="35" s="1"/>
  <c r="M79" i="35"/>
  <c r="N79" i="35" s="1"/>
  <c r="O765" i="35"/>
  <c r="I114" i="35"/>
  <c r="O114" i="35" s="1"/>
  <c r="M233" i="35"/>
  <c r="N233" i="35" s="1"/>
  <c r="M290" i="35"/>
  <c r="N290" i="35" s="1"/>
  <c r="M103" i="35"/>
  <c r="N103" i="35" s="1"/>
  <c r="M130" i="35"/>
  <c r="N130" i="35" s="1"/>
  <c r="I883" i="35"/>
  <c r="O883" i="35" s="1"/>
  <c r="I896" i="35"/>
  <c r="O896" i="35" s="1"/>
  <c r="I113" i="35"/>
  <c r="O113" i="35" s="1"/>
  <c r="M287" i="35"/>
  <c r="N287" i="35" s="1"/>
  <c r="I379" i="35"/>
  <c r="O379" i="35" s="1"/>
  <c r="M175" i="35"/>
  <c r="N175" i="35" s="1"/>
  <c r="M160" i="35"/>
  <c r="N160" i="35" s="1"/>
  <c r="M245" i="35"/>
  <c r="N245" i="35" s="1"/>
  <c r="M243" i="35"/>
  <c r="N243" i="35" s="1"/>
  <c r="I291" i="33"/>
  <c r="H291" i="33"/>
  <c r="I792" i="35"/>
  <c r="O792" i="35" s="1"/>
  <c r="I889" i="35"/>
  <c r="O889" i="35" s="1"/>
  <c r="M792" i="35"/>
  <c r="N792" i="35" s="1"/>
  <c r="M889" i="35"/>
  <c r="N889" i="35" s="1"/>
  <c r="I863" i="35"/>
  <c r="O863" i="35" s="1"/>
  <c r="I885" i="35"/>
  <c r="O885" i="35" s="1"/>
  <c r="M863" i="35"/>
  <c r="N863" i="35" s="1"/>
  <c r="M885" i="35"/>
  <c r="N885" i="35" s="1"/>
  <c r="M873" i="35"/>
  <c r="N873" i="35" s="1"/>
  <c r="M881" i="35"/>
  <c r="N881" i="35" s="1"/>
  <c r="M425" i="35"/>
  <c r="N425" i="35" s="1"/>
  <c r="M399" i="35"/>
  <c r="N399" i="35" s="1"/>
  <c r="M678" i="35"/>
  <c r="N678" i="35" s="1"/>
  <c r="M878" i="35"/>
  <c r="N878" i="35" s="1"/>
  <c r="I678" i="35"/>
  <c r="O678" i="35" s="1"/>
  <c r="I878" i="35"/>
  <c r="O878" i="35" s="1"/>
  <c r="M224" i="35"/>
  <c r="N224" i="35" s="1"/>
  <c r="I866" i="35"/>
  <c r="O866" i="35" s="1"/>
  <c r="I873" i="35"/>
  <c r="O873" i="35" s="1"/>
  <c r="M864" i="35"/>
  <c r="N864" i="35" s="1"/>
  <c r="M866" i="35"/>
  <c r="N866" i="35" s="1"/>
  <c r="M689" i="35"/>
  <c r="N689" i="35" s="1"/>
  <c r="M865" i="35"/>
  <c r="N865" i="35" s="1"/>
  <c r="I689" i="35"/>
  <c r="O689" i="35" s="1"/>
  <c r="I865" i="35"/>
  <c r="O865" i="35" s="1"/>
  <c r="I271" i="35"/>
  <c r="O271" i="35" s="1"/>
  <c r="I864" i="35"/>
  <c r="O864" i="35" s="1"/>
  <c r="I859" i="35"/>
  <c r="O859" i="35" s="1"/>
  <c r="I862" i="35"/>
  <c r="O862" i="35" s="1"/>
  <c r="M859" i="35"/>
  <c r="N859" i="35" s="1"/>
  <c r="M862" i="35"/>
  <c r="N862" i="35" s="1"/>
  <c r="M443" i="35"/>
  <c r="N443" i="35" s="1"/>
  <c r="I851" i="35"/>
  <c r="O851" i="35" s="1"/>
  <c r="I858" i="35"/>
  <c r="O858" i="35" s="1"/>
  <c r="M411" i="35"/>
  <c r="N411" i="35" s="1"/>
  <c r="M461" i="35"/>
  <c r="N461" i="35" s="1"/>
  <c r="I791" i="35"/>
  <c r="O791" i="35" s="1"/>
  <c r="I857" i="35"/>
  <c r="O857" i="35" s="1"/>
  <c r="M791" i="35"/>
  <c r="N791" i="35" s="1"/>
  <c r="M857" i="35"/>
  <c r="N857" i="35" s="1"/>
  <c r="I458" i="35"/>
  <c r="O458" i="35" s="1"/>
  <c r="I854" i="35"/>
  <c r="O854" i="35" s="1"/>
  <c r="M664" i="35"/>
  <c r="N664" i="35" s="1"/>
  <c r="M854" i="35"/>
  <c r="N854" i="35" s="1"/>
  <c r="M729" i="35"/>
  <c r="N729" i="35" s="1"/>
  <c r="M851" i="35"/>
  <c r="N851" i="35" s="1"/>
  <c r="I848" i="35"/>
  <c r="O848" i="35" s="1"/>
  <c r="I849" i="35"/>
  <c r="O849" i="35" s="1"/>
  <c r="M848" i="35"/>
  <c r="N848" i="35" s="1"/>
  <c r="M849" i="35"/>
  <c r="N849" i="35" s="1"/>
  <c r="I845" i="35"/>
  <c r="O845" i="35" s="1"/>
  <c r="I847" i="35"/>
  <c r="O847" i="35" s="1"/>
  <c r="M845" i="35"/>
  <c r="N845" i="35" s="1"/>
  <c r="M847" i="35"/>
  <c r="N847" i="35" s="1"/>
  <c r="I310" i="35"/>
  <c r="O310" i="35" s="1"/>
  <c r="H293" i="33" s="1"/>
  <c r="P842" i="35"/>
  <c r="M465" i="35"/>
  <c r="N465" i="35" s="1"/>
  <c r="R344" i="6"/>
  <c r="O344" i="6"/>
  <c r="Q344" i="6" s="1"/>
  <c r="O339" i="6"/>
  <c r="Q339" i="6" s="1"/>
  <c r="O178" i="6"/>
  <c r="Q178" i="6" s="1"/>
  <c r="N157" i="6"/>
  <c r="P157" i="6" s="1"/>
  <c r="R339" i="6"/>
  <c r="O157" i="6"/>
  <c r="Q157" i="6" s="1"/>
  <c r="N344" i="6"/>
  <c r="P344" i="6" s="1"/>
  <c r="N339" i="6"/>
  <c r="P339" i="6" s="1"/>
  <c r="R347" i="6"/>
  <c r="R348" i="6"/>
  <c r="M162" i="35"/>
  <c r="N162" i="35" s="1"/>
  <c r="M841" i="35"/>
  <c r="N841" i="35" s="1"/>
  <c r="I162" i="35"/>
  <c r="O162" i="35" s="1"/>
  <c r="H93" i="33" s="1"/>
  <c r="I841" i="35"/>
  <c r="O841" i="35" s="1"/>
  <c r="M766" i="35"/>
  <c r="N766" i="35" s="1"/>
  <c r="M840" i="35"/>
  <c r="N840" i="35" s="1"/>
  <c r="I763" i="35"/>
  <c r="O763" i="35" s="1"/>
  <c r="I838" i="35"/>
  <c r="O838" i="35" s="1"/>
  <c r="M763" i="35"/>
  <c r="N763" i="35" s="1"/>
  <c r="M838" i="35"/>
  <c r="N838" i="35" s="1"/>
  <c r="M739" i="35"/>
  <c r="N739" i="35" s="1"/>
  <c r="M836" i="35"/>
  <c r="N836" i="35" s="1"/>
  <c r="I739" i="35"/>
  <c r="O739" i="35" s="1"/>
  <c r="I836" i="35"/>
  <c r="O836" i="35" s="1"/>
  <c r="O99" i="35"/>
  <c r="H251" i="33" s="1"/>
  <c r="I827" i="35"/>
  <c r="O827" i="35" s="1"/>
  <c r="I832" i="35"/>
  <c r="O832" i="35" s="1"/>
  <c r="M827" i="35"/>
  <c r="N827" i="35" s="1"/>
  <c r="M832" i="35"/>
  <c r="N832" i="35" s="1"/>
  <c r="M331" i="35"/>
  <c r="N331" i="35" s="1"/>
  <c r="M70" i="35"/>
  <c r="N70" i="35" s="1"/>
  <c r="O809" i="35"/>
  <c r="N445" i="35"/>
  <c r="M740" i="35"/>
  <c r="N740" i="35" s="1"/>
  <c r="M817" i="35"/>
  <c r="N817" i="35" s="1"/>
  <c r="I753" i="35"/>
  <c r="O753" i="35" s="1"/>
  <c r="I816" i="35"/>
  <c r="O816" i="35" s="1"/>
  <c r="M816" i="35"/>
  <c r="N816" i="35" s="1"/>
  <c r="M409" i="35"/>
  <c r="N409" i="35" s="1"/>
  <c r="M420" i="35"/>
  <c r="N420" i="35" s="1"/>
  <c r="N247" i="35"/>
  <c r="M661" i="35"/>
  <c r="N661" i="35" s="1"/>
  <c r="M809" i="35"/>
  <c r="N809" i="35" s="1"/>
  <c r="P808" i="35"/>
  <c r="M795" i="35"/>
  <c r="N795" i="35" s="1"/>
  <c r="M805" i="35"/>
  <c r="N805" i="35" s="1"/>
  <c r="I795" i="35"/>
  <c r="O795" i="35" s="1"/>
  <c r="I805" i="35"/>
  <c r="O805" i="35" s="1"/>
  <c r="I789" i="35"/>
  <c r="O789" i="35" s="1"/>
  <c r="I802" i="35"/>
  <c r="O802" i="35" s="1"/>
  <c r="M801" i="35"/>
  <c r="N801" i="35" s="1"/>
  <c r="I465" i="35"/>
  <c r="O465" i="35" s="1"/>
  <c r="I801" i="35"/>
  <c r="O801" i="35" s="1"/>
  <c r="O348" i="6"/>
  <c r="Q348" i="6" s="1"/>
  <c r="O351" i="6"/>
  <c r="Q351" i="6" s="1"/>
  <c r="N348" i="6"/>
  <c r="P348" i="6" s="1"/>
  <c r="N351" i="6"/>
  <c r="P351" i="6" s="1"/>
  <c r="M383" i="35"/>
  <c r="N383" i="35" s="1"/>
  <c r="M799" i="35"/>
  <c r="N799" i="35" s="1"/>
  <c r="I383" i="35"/>
  <c r="O383" i="35" s="1"/>
  <c r="H68" i="33" s="1"/>
  <c r="I799" i="35"/>
  <c r="O799" i="35" s="1"/>
  <c r="I738" i="35"/>
  <c r="O738" i="35" s="1"/>
  <c r="I796" i="35"/>
  <c r="O796" i="35" s="1"/>
  <c r="M738" i="35"/>
  <c r="N738" i="35" s="1"/>
  <c r="M796" i="35"/>
  <c r="N796" i="35" s="1"/>
  <c r="N119" i="35"/>
  <c r="M348" i="35"/>
  <c r="N348" i="35" s="1"/>
  <c r="M789" i="35"/>
  <c r="N789" i="35" s="1"/>
  <c r="N307" i="6"/>
  <c r="P307" i="6" s="1"/>
  <c r="N347" i="6"/>
  <c r="P347" i="6" s="1"/>
  <c r="O307" i="6"/>
  <c r="Q307" i="6" s="1"/>
  <c r="O347" i="6"/>
  <c r="Q347" i="6" s="1"/>
  <c r="I358" i="35"/>
  <c r="O358" i="35" s="1"/>
  <c r="H253" i="33" s="1"/>
  <c r="I784" i="35"/>
  <c r="O784" i="35" s="1"/>
  <c r="M358" i="35"/>
  <c r="N358" i="35" s="1"/>
  <c r="M784" i="35"/>
  <c r="N784" i="35" s="1"/>
  <c r="I380" i="35"/>
  <c r="O380" i="35" s="1"/>
  <c r="H204" i="33" s="1"/>
  <c r="I782" i="35"/>
  <c r="O782" i="35" s="1"/>
  <c r="M355" i="35"/>
  <c r="N355" i="35" s="1"/>
  <c r="M781" i="35"/>
  <c r="N781" i="35" s="1"/>
  <c r="M380" i="35"/>
  <c r="N380" i="35" s="1"/>
  <c r="M782" i="35"/>
  <c r="N782" i="35" s="1"/>
  <c r="I355" i="35"/>
  <c r="O355" i="35" s="1"/>
  <c r="H203" i="33" s="1"/>
  <c r="I781" i="35"/>
  <c r="O781" i="35" s="1"/>
  <c r="M352" i="35"/>
  <c r="N352" i="35" s="1"/>
  <c r="M783" i="35"/>
  <c r="N783" i="35" s="1"/>
  <c r="I352" i="35"/>
  <c r="O352" i="35" s="1"/>
  <c r="H206" i="33" s="1"/>
  <c r="I783" i="35"/>
  <c r="O783" i="35" s="1"/>
  <c r="I384" i="35"/>
  <c r="O384" i="35" s="1"/>
  <c r="H196" i="33" s="1"/>
  <c r="I780" i="35"/>
  <c r="O780" i="35" s="1"/>
  <c r="M384" i="35"/>
  <c r="N384" i="35" s="1"/>
  <c r="M780" i="35"/>
  <c r="N780" i="35" s="1"/>
  <c r="M359" i="35"/>
  <c r="N359" i="35" s="1"/>
  <c r="M779" i="35"/>
  <c r="N779" i="35" s="1"/>
  <c r="I359" i="35"/>
  <c r="O359" i="35" s="1"/>
  <c r="I779" i="35"/>
  <c r="O779" i="35" s="1"/>
  <c r="M357" i="35"/>
  <c r="N357" i="35" s="1"/>
  <c r="M775" i="35"/>
  <c r="N775" i="35" s="1"/>
  <c r="I357" i="35"/>
  <c r="O357" i="35" s="1"/>
  <c r="H113" i="33" s="1"/>
  <c r="I775" i="35"/>
  <c r="O775" i="35" s="1"/>
  <c r="M225" i="35"/>
  <c r="N225" i="35" s="1"/>
  <c r="M731" i="35"/>
  <c r="N731" i="35" s="1"/>
  <c r="M773" i="35"/>
  <c r="N773" i="35" s="1"/>
  <c r="I731" i="35"/>
  <c r="O731" i="35" s="1"/>
  <c r="I773" i="35"/>
  <c r="O773" i="35" s="1"/>
  <c r="I732" i="35"/>
  <c r="O732" i="35" s="1"/>
  <c r="H82" i="33" s="1"/>
  <c r="J82" i="33" s="1"/>
  <c r="M732" i="35"/>
  <c r="N732" i="35" s="1"/>
  <c r="M51" i="35"/>
  <c r="N51" i="35" s="1"/>
  <c r="O762" i="35"/>
  <c r="R307" i="6"/>
  <c r="I299" i="35"/>
  <c r="O299" i="35" s="1"/>
  <c r="I766" i="35"/>
  <c r="O766" i="35" s="1"/>
  <c r="I304" i="35"/>
  <c r="O304" i="35" s="1"/>
  <c r="M292" i="35"/>
  <c r="N292" i="35" s="1"/>
  <c r="M316" i="35"/>
  <c r="N316" i="35" s="1"/>
  <c r="M320" i="35"/>
  <c r="N320" i="35" s="1"/>
  <c r="N456" i="35"/>
  <c r="M159" i="35"/>
  <c r="N159" i="35" s="1"/>
  <c r="M46" i="35"/>
  <c r="N46" i="35" s="1"/>
  <c r="M47" i="35"/>
  <c r="N47" i="35" s="1"/>
  <c r="M221" i="35"/>
  <c r="N221" i="35" s="1"/>
  <c r="M223" i="35"/>
  <c r="N223" i="35" s="1"/>
  <c r="M260" i="35"/>
  <c r="N260" i="35" s="1"/>
  <c r="M107" i="35"/>
  <c r="N107" i="35" s="1"/>
  <c r="M327" i="35"/>
  <c r="N327" i="35" s="1"/>
  <c r="M274" i="35"/>
  <c r="N274" i="35" s="1"/>
  <c r="O456" i="35"/>
  <c r="H520" i="33" s="1"/>
  <c r="J520" i="33" s="1"/>
  <c r="M29" i="35"/>
  <c r="N29" i="35" s="1"/>
  <c r="I129" i="35"/>
  <c r="O129" i="35" s="1"/>
  <c r="M149" i="35"/>
  <c r="N149" i="35" s="1"/>
  <c r="M155" i="35"/>
  <c r="N155" i="35" s="1"/>
  <c r="I725" i="35"/>
  <c r="O725" i="35" s="1"/>
  <c r="H341" i="33" s="1"/>
  <c r="I110" i="35"/>
  <c r="O110" i="35" s="1"/>
  <c r="H32" i="33" s="1"/>
  <c r="M176" i="35"/>
  <c r="N176" i="35" s="1"/>
  <c r="I259" i="35"/>
  <c r="O259" i="35" s="1"/>
  <c r="I273" i="35"/>
  <c r="O273" i="35" s="1"/>
  <c r="I293" i="35"/>
  <c r="O293" i="35" s="1"/>
  <c r="M166" i="35"/>
  <c r="N166" i="35" s="1"/>
  <c r="M152" i="35"/>
  <c r="N152" i="35" s="1"/>
  <c r="I290" i="35"/>
  <c r="O290" i="35" s="1"/>
  <c r="I309" i="35"/>
  <c r="O309" i="35" s="1"/>
  <c r="H278" i="33" s="1"/>
  <c r="K278" i="33" s="1"/>
  <c r="M326" i="35"/>
  <c r="N326" i="35" s="1"/>
  <c r="N765" i="35"/>
  <c r="M311" i="35"/>
  <c r="N311" i="35" s="1"/>
  <c r="M286" i="35"/>
  <c r="N286" i="35" s="1"/>
  <c r="M341" i="35"/>
  <c r="N341" i="35" s="1"/>
  <c r="I462" i="35"/>
  <c r="O462" i="35" s="1"/>
  <c r="M757" i="35"/>
  <c r="N757" i="35" s="1"/>
  <c r="M762" i="35"/>
  <c r="N762" i="35" s="1"/>
  <c r="M759" i="35"/>
  <c r="N759" i="35" s="1"/>
  <c r="M761" i="35"/>
  <c r="N761" i="35" s="1"/>
  <c r="I759" i="35"/>
  <c r="O759" i="35" s="1"/>
  <c r="I761" i="35"/>
  <c r="O761" i="35" s="1"/>
  <c r="I324" i="35"/>
  <c r="O324" i="35" s="1"/>
  <c r="H518" i="33" s="1"/>
  <c r="I760" i="35"/>
  <c r="O760" i="35" s="1"/>
  <c r="M324" i="35"/>
  <c r="N324" i="35" s="1"/>
  <c r="M760" i="35"/>
  <c r="N760" i="35" s="1"/>
  <c r="I156" i="35"/>
  <c r="O156" i="35" s="1"/>
  <c r="H505" i="33" s="1"/>
  <c r="I757" i="35"/>
  <c r="O757" i="35" s="1"/>
  <c r="I674" i="35"/>
  <c r="O674" i="35" s="1"/>
  <c r="M674" i="35"/>
  <c r="N674" i="35" s="1"/>
  <c r="M754" i="35"/>
  <c r="N754" i="35" s="1"/>
  <c r="M756" i="35"/>
  <c r="N756" i="35" s="1"/>
  <c r="I754" i="35"/>
  <c r="O754" i="35" s="1"/>
  <c r="I756" i="35"/>
  <c r="O756" i="35" s="1"/>
  <c r="M702" i="35"/>
  <c r="N702" i="35" s="1"/>
  <c r="S539" i="33"/>
  <c r="J539" i="33"/>
  <c r="K539" i="33"/>
  <c r="I539" i="33"/>
  <c r="M753" i="35"/>
  <c r="N753" i="35" s="1"/>
  <c r="I730" i="35"/>
  <c r="O730" i="35" s="1"/>
  <c r="I752" i="35"/>
  <c r="O752" i="35" s="1"/>
  <c r="M405" i="35"/>
  <c r="N405" i="35" s="1"/>
  <c r="M752" i="35"/>
  <c r="N752" i="35" s="1"/>
  <c r="I721" i="35"/>
  <c r="O721" i="35" s="1"/>
  <c r="I749" i="35"/>
  <c r="O749" i="35" s="1"/>
  <c r="M721" i="35"/>
  <c r="N721" i="35" s="1"/>
  <c r="M749" i="35"/>
  <c r="N749" i="35" s="1"/>
  <c r="N748" i="35"/>
  <c r="I548" i="35"/>
  <c r="O548" i="35" s="1"/>
  <c r="I747" i="35"/>
  <c r="O747" i="35" s="1"/>
  <c r="M548" i="35"/>
  <c r="N548" i="35" s="1"/>
  <c r="M747" i="35"/>
  <c r="N747" i="35" s="1"/>
  <c r="M713" i="35"/>
  <c r="N713" i="35" s="1"/>
  <c r="M746" i="35"/>
  <c r="N746" i="35" s="1"/>
  <c r="I713" i="35"/>
  <c r="O713" i="35" s="1"/>
  <c r="I746" i="35"/>
  <c r="O746" i="35" s="1"/>
  <c r="R305" i="6"/>
  <c r="P309" i="6"/>
  <c r="R298" i="6"/>
  <c r="R318" i="6"/>
  <c r="R293" i="6"/>
  <c r="Q289" i="6"/>
  <c r="R241" i="6"/>
  <c r="R331" i="6"/>
  <c r="R270" i="6"/>
  <c r="R266" i="6"/>
  <c r="R299" i="6"/>
  <c r="R304" i="6"/>
  <c r="R300" i="6"/>
  <c r="R292" i="6"/>
  <c r="R290" i="6"/>
  <c r="R273" i="6"/>
  <c r="R282" i="6"/>
  <c r="R326" i="6"/>
  <c r="R258" i="6"/>
  <c r="R271" i="6"/>
  <c r="R261" i="6"/>
  <c r="N143" i="6"/>
  <c r="P143" i="6" s="1"/>
  <c r="G104" i="36" s="1"/>
  <c r="I104" i="36" s="1"/>
  <c r="N305" i="6"/>
  <c r="P305" i="6" s="1"/>
  <c r="R280" i="6"/>
  <c r="R269" i="6"/>
  <c r="N254" i="6"/>
  <c r="P254" i="6" s="1"/>
  <c r="N263" i="6"/>
  <c r="P263" i="6" s="1"/>
  <c r="N274" i="6"/>
  <c r="P274" i="6" s="1"/>
  <c r="P261" i="6"/>
  <c r="R281" i="6"/>
  <c r="O323" i="6"/>
  <c r="Q323" i="6" s="1"/>
  <c r="O258" i="6"/>
  <c r="Q258" i="6" s="1"/>
  <c r="N279" i="6"/>
  <c r="P279" i="6" s="1"/>
  <c r="N271" i="6"/>
  <c r="P271" i="6" s="1"/>
  <c r="N283" i="6"/>
  <c r="P283" i="6" s="1"/>
  <c r="N312" i="6"/>
  <c r="P312" i="6" s="1"/>
  <c r="N281" i="6"/>
  <c r="P281" i="6" s="1"/>
  <c r="N269" i="6"/>
  <c r="P269" i="6" s="1"/>
  <c r="N267" i="6"/>
  <c r="P267" i="6" s="1"/>
  <c r="N272" i="6"/>
  <c r="P272" i="6" s="1"/>
  <c r="O35" i="6"/>
  <c r="Q35" i="6" s="1"/>
  <c r="O278" i="6"/>
  <c r="Q278" i="6" s="1"/>
  <c r="Q309" i="6"/>
  <c r="O143" i="6"/>
  <c r="Q143" i="6" s="1"/>
  <c r="O305" i="6"/>
  <c r="Q305" i="6" s="1"/>
  <c r="O59" i="6"/>
  <c r="Q59" i="6" s="1"/>
  <c r="O261" i="6"/>
  <c r="Q261" i="6" s="1"/>
  <c r="O79" i="6"/>
  <c r="Q79" i="6" s="1"/>
  <c r="O285" i="6"/>
  <c r="Q285" i="6" s="1"/>
  <c r="O8" i="6"/>
  <c r="Q8" i="6" s="1"/>
  <c r="N241" i="6"/>
  <c r="P241" i="6" s="1"/>
  <c r="N293" i="6"/>
  <c r="P293" i="6" s="1"/>
  <c r="R278" i="6"/>
  <c r="R328" i="6"/>
  <c r="R312" i="6"/>
  <c r="O282" i="6"/>
  <c r="Q282" i="6" s="1"/>
  <c r="O298" i="6"/>
  <c r="Q298" i="6" s="1"/>
  <c r="O260" i="6"/>
  <c r="Q260" i="6" s="1"/>
  <c r="O300" i="6"/>
  <c r="Q300" i="6" s="1"/>
  <c r="O274" i="6"/>
  <c r="Q274" i="6" s="1"/>
  <c r="O263" i="6"/>
  <c r="Q263" i="6" s="1"/>
  <c r="P278" i="6"/>
  <c r="O14" i="6"/>
  <c r="Q14" i="6" s="1"/>
  <c r="O328" i="6"/>
  <c r="Q328" i="6" s="1"/>
  <c r="O292" i="6"/>
  <c r="Q292" i="6" s="1"/>
  <c r="R265" i="6"/>
  <c r="N14" i="6"/>
  <c r="P14" i="6" s="1"/>
  <c r="N328" i="6"/>
  <c r="P328" i="6" s="1"/>
  <c r="N292" i="6"/>
  <c r="P292" i="6" s="1"/>
  <c r="R279" i="6"/>
  <c r="R263" i="6"/>
  <c r="O279" i="6"/>
  <c r="Q279" i="6" s="1"/>
  <c r="O269" i="6"/>
  <c r="Q269" i="6" s="1"/>
  <c r="O272" i="6"/>
  <c r="Q272" i="6" s="1"/>
  <c r="O281" i="6"/>
  <c r="Q281" i="6" s="1"/>
  <c r="O271" i="6"/>
  <c r="Q271" i="6" s="1"/>
  <c r="O283" i="6"/>
  <c r="Q283" i="6" s="1"/>
  <c r="O312" i="6"/>
  <c r="Q312" i="6" s="1"/>
  <c r="O267" i="6"/>
  <c r="Q267" i="6" s="1"/>
  <c r="R288" i="6"/>
  <c r="R283" i="6"/>
  <c r="R260" i="6"/>
  <c r="R274" i="6"/>
  <c r="R323" i="6"/>
  <c r="R294" i="6"/>
  <c r="O331" i="6"/>
  <c r="Q331" i="6" s="1"/>
  <c r="O326" i="6"/>
  <c r="Q326" i="6" s="1"/>
  <c r="O318" i="6"/>
  <c r="Q318" i="6" s="1"/>
  <c r="R267" i="6"/>
  <c r="N300" i="6"/>
  <c r="P300" i="6" s="1"/>
  <c r="N298" i="6"/>
  <c r="P298" i="6" s="1"/>
  <c r="N282" i="6"/>
  <c r="P282" i="6" s="1"/>
  <c r="N260" i="6"/>
  <c r="P260" i="6" s="1"/>
  <c r="R289" i="6"/>
  <c r="N80" i="6"/>
  <c r="P80" i="6" s="1"/>
  <c r="N285" i="6"/>
  <c r="P285" i="6" s="1"/>
  <c r="N331" i="6"/>
  <c r="P331" i="6" s="1"/>
  <c r="N318" i="6"/>
  <c r="P318" i="6" s="1"/>
  <c r="N326" i="6"/>
  <c r="P326" i="6" s="1"/>
  <c r="N258" i="6"/>
  <c r="P258" i="6" s="1"/>
  <c r="N323" i="6"/>
  <c r="P323" i="6" s="1"/>
  <c r="R268" i="6"/>
  <c r="R272" i="6"/>
  <c r="R309" i="6"/>
  <c r="P289" i="6"/>
  <c r="I600" i="35"/>
  <c r="O600" i="35" s="1"/>
  <c r="I744" i="35"/>
  <c r="O744" i="35" s="1"/>
  <c r="H572" i="33" s="1"/>
  <c r="M600" i="35"/>
  <c r="N600" i="35" s="1"/>
  <c r="M744" i="35"/>
  <c r="N744" i="35" s="1"/>
  <c r="N192" i="35"/>
  <c r="M244" i="35"/>
  <c r="N244" i="35" s="1"/>
  <c r="I473" i="35"/>
  <c r="O473" i="35" s="1"/>
  <c r="I740" i="35"/>
  <c r="O740" i="35" s="1"/>
  <c r="M161" i="35"/>
  <c r="N161" i="35" s="1"/>
  <c r="M236" i="35"/>
  <c r="N236" i="35" s="1"/>
  <c r="M256" i="35"/>
  <c r="N256" i="35" s="1"/>
  <c r="M730" i="35"/>
  <c r="N730" i="35" s="1"/>
  <c r="O728" i="35"/>
  <c r="I403" i="35"/>
  <c r="O403" i="35" s="1"/>
  <c r="H39" i="33" s="1"/>
  <c r="I729" i="35"/>
  <c r="O729" i="35" s="1"/>
  <c r="I655" i="35"/>
  <c r="O655" i="35" s="1"/>
  <c r="I727" i="35"/>
  <c r="O727" i="35" s="1"/>
  <c r="M655" i="35"/>
  <c r="N655" i="35" s="1"/>
  <c r="M727" i="35"/>
  <c r="N727" i="35" s="1"/>
  <c r="N728" i="35"/>
  <c r="S179" i="33"/>
  <c r="J179" i="33"/>
  <c r="K179" i="33"/>
  <c r="H342" i="33"/>
  <c r="J342" i="33" s="1"/>
  <c r="H366" i="33"/>
  <c r="M725" i="35"/>
  <c r="N725" i="35" s="1"/>
  <c r="N726" i="35"/>
  <c r="P726" i="35" s="1"/>
  <c r="I179" i="33" s="1"/>
  <c r="N334" i="35"/>
  <c r="M266" i="35"/>
  <c r="N266" i="35" s="1"/>
  <c r="M724" i="35"/>
  <c r="N724" i="35" s="1"/>
  <c r="M94" i="35"/>
  <c r="N94" i="35" s="1"/>
  <c r="I266" i="35"/>
  <c r="O266" i="35" s="1"/>
  <c r="H100" i="33" s="1"/>
  <c r="I724" i="35"/>
  <c r="O724" i="35" s="1"/>
  <c r="H532" i="33" s="1"/>
  <c r="I224" i="35"/>
  <c r="O224" i="35" s="1"/>
  <c r="H55" i="33" s="1"/>
  <c r="M583" i="35"/>
  <c r="N583" i="35" s="1"/>
  <c r="M717" i="35"/>
  <c r="N717" i="35" s="1"/>
  <c r="I583" i="35"/>
  <c r="O583" i="35" s="1"/>
  <c r="I717" i="35"/>
  <c r="O717" i="35" s="1"/>
  <c r="I686" i="35"/>
  <c r="O686" i="35" s="1"/>
  <c r="I714" i="35"/>
  <c r="O714" i="35" s="1"/>
  <c r="I385" i="35"/>
  <c r="O385" i="35" s="1"/>
  <c r="I710" i="35"/>
  <c r="O710" i="35" s="1"/>
  <c r="M385" i="35"/>
  <c r="N385" i="35" s="1"/>
  <c r="M710" i="35"/>
  <c r="N710" i="35" s="1"/>
  <c r="N68" i="35"/>
  <c r="N89" i="35"/>
  <c r="N249" i="35"/>
  <c r="M707" i="35"/>
  <c r="N707" i="35" s="1"/>
  <c r="M709" i="35"/>
  <c r="N709" i="35" s="1"/>
  <c r="M442" i="35"/>
  <c r="N442" i="35" s="1"/>
  <c r="I707" i="35"/>
  <c r="O707" i="35" s="1"/>
  <c r="H104" i="33" s="1"/>
  <c r="S104" i="33" s="1"/>
  <c r="I709" i="35"/>
  <c r="O709" i="35" s="1"/>
  <c r="I241" i="35"/>
  <c r="O241" i="35" s="1"/>
  <c r="H515" i="33" s="1"/>
  <c r="I703" i="35"/>
  <c r="O703" i="35" s="1"/>
  <c r="M241" i="35"/>
  <c r="N241" i="35" s="1"/>
  <c r="M703" i="35"/>
  <c r="N703" i="35" s="1"/>
  <c r="M59" i="35"/>
  <c r="N59" i="35" s="1"/>
  <c r="I683" i="35"/>
  <c r="O683" i="35" s="1"/>
  <c r="H133" i="33" s="1"/>
  <c r="K133" i="33" s="1"/>
  <c r="I702" i="35"/>
  <c r="O702" i="35" s="1"/>
  <c r="N700" i="35"/>
  <c r="M364" i="35"/>
  <c r="N364" i="35" s="1"/>
  <c r="M400" i="35"/>
  <c r="N400" i="35" s="1"/>
  <c r="I302" i="35"/>
  <c r="O302" i="35" s="1"/>
  <c r="I687" i="35"/>
  <c r="O687" i="35" s="1"/>
  <c r="N687" i="35"/>
  <c r="M402" i="35"/>
  <c r="N402" i="35" s="1"/>
  <c r="M686" i="35"/>
  <c r="N686" i="35" s="1"/>
  <c r="M360" i="35"/>
  <c r="N360" i="35" s="1"/>
  <c r="M677" i="35"/>
  <c r="N677" i="35" s="1"/>
  <c r="M683" i="35"/>
  <c r="N683" i="35" s="1"/>
  <c r="M368" i="35"/>
  <c r="N368" i="35" s="1"/>
  <c r="N666" i="35"/>
  <c r="I416" i="35"/>
  <c r="O416" i="35" s="1"/>
  <c r="H262" i="33" s="1"/>
  <c r="K262" i="33" s="1"/>
  <c r="I202" i="35"/>
  <c r="O202" i="35" s="1"/>
  <c r="I677" i="35"/>
  <c r="O677" i="35" s="1"/>
  <c r="M386" i="35"/>
  <c r="N386" i="35" s="1"/>
  <c r="I526" i="35"/>
  <c r="O526" i="35" s="1"/>
  <c r="I676" i="35"/>
  <c r="O676" i="35" s="1"/>
  <c r="M419" i="35"/>
  <c r="N419" i="35" s="1"/>
  <c r="M676" i="35"/>
  <c r="N676" i="35" s="1"/>
  <c r="M387" i="35"/>
  <c r="N387" i="35" s="1"/>
  <c r="O299" i="6"/>
  <c r="Q299" i="6" s="1"/>
  <c r="O304" i="6"/>
  <c r="Q304" i="6" s="1"/>
  <c r="N299" i="6"/>
  <c r="P299" i="6" s="1"/>
  <c r="N304" i="6"/>
  <c r="P304" i="6" s="1"/>
  <c r="I213" i="35"/>
  <c r="O213" i="35" s="1"/>
  <c r="H134" i="33" s="1"/>
  <c r="I673" i="35"/>
  <c r="O673" i="35" s="1"/>
  <c r="M213" i="35"/>
  <c r="N213" i="35" s="1"/>
  <c r="M673" i="35"/>
  <c r="N673" i="35" s="1"/>
  <c r="M319" i="35"/>
  <c r="N319" i="35" s="1"/>
  <c r="M310" i="35"/>
  <c r="N310" i="35" s="1"/>
  <c r="M458" i="35"/>
  <c r="N458" i="35" s="1"/>
  <c r="I101" i="35"/>
  <c r="O101" i="35" s="1"/>
  <c r="H237" i="33" s="1"/>
  <c r="M300" i="35"/>
  <c r="N300" i="35" s="1"/>
  <c r="I240" i="35"/>
  <c r="O240" i="35" s="1"/>
  <c r="H429" i="33" s="1"/>
  <c r="I667" i="35"/>
  <c r="O667" i="35" s="1"/>
  <c r="M240" i="35"/>
  <c r="N240" i="35" s="1"/>
  <c r="M667" i="35"/>
  <c r="N667" i="35" s="1"/>
  <c r="I320" i="35"/>
  <c r="O320" i="35" s="1"/>
  <c r="I666" i="35"/>
  <c r="O666" i="35" s="1"/>
  <c r="M512" i="35"/>
  <c r="N512" i="35" s="1"/>
  <c r="M665" i="35"/>
  <c r="N665" i="35" s="1"/>
  <c r="I319" i="35"/>
  <c r="O319" i="35" s="1"/>
  <c r="I664" i="35"/>
  <c r="O664" i="35" s="1"/>
  <c r="O294" i="6"/>
  <c r="Q294" i="6" s="1"/>
  <c r="N294" i="6"/>
  <c r="P294" i="6" s="1"/>
  <c r="O290" i="6"/>
  <c r="Q290" i="6" s="1"/>
  <c r="O291" i="6"/>
  <c r="Q291" i="6" s="1"/>
  <c r="N290" i="6"/>
  <c r="P290" i="6" s="1"/>
  <c r="N291" i="6"/>
  <c r="P291" i="6" s="1"/>
  <c r="T291" i="6" s="1"/>
  <c r="O61" i="6"/>
  <c r="Q61" i="6" s="1"/>
  <c r="O288" i="6"/>
  <c r="Q288" i="6" s="1"/>
  <c r="N61" i="6"/>
  <c r="P61" i="6" s="1"/>
  <c r="G10" i="36" s="1"/>
  <c r="I10" i="36" s="1"/>
  <c r="N288" i="6"/>
  <c r="P288" i="6" s="1"/>
  <c r="O280" i="6"/>
  <c r="Q280" i="6" s="1"/>
  <c r="N280" i="6"/>
  <c r="P280" i="6" s="1"/>
  <c r="O273" i="6"/>
  <c r="Q273" i="6" s="1"/>
  <c r="N273" i="6"/>
  <c r="P273" i="6" s="1"/>
  <c r="P75" i="6"/>
  <c r="G84" i="36" s="1"/>
  <c r="I84" i="36" s="1"/>
  <c r="O268" i="6"/>
  <c r="Q268" i="6" s="1"/>
  <c r="O270" i="6"/>
  <c r="Q270" i="6" s="1"/>
  <c r="N270" i="6"/>
  <c r="P270" i="6" s="1"/>
  <c r="N268" i="6"/>
  <c r="P268" i="6" s="1"/>
  <c r="O265" i="6"/>
  <c r="Q265" i="6" s="1"/>
  <c r="O266" i="6"/>
  <c r="Q266" i="6" s="1"/>
  <c r="N266" i="6"/>
  <c r="P266" i="6" s="1"/>
  <c r="N265" i="6"/>
  <c r="P265" i="6" s="1"/>
  <c r="I382" i="35"/>
  <c r="O382" i="35" s="1"/>
  <c r="I661" i="35"/>
  <c r="O661" i="35" s="1"/>
  <c r="I502" i="35"/>
  <c r="O502" i="35" s="1"/>
  <c r="I660" i="35"/>
  <c r="O660" i="35" s="1"/>
  <c r="M502" i="35"/>
  <c r="N502" i="35" s="1"/>
  <c r="M660" i="35"/>
  <c r="N660" i="35" s="1"/>
  <c r="P654" i="35"/>
  <c r="I491" i="35"/>
  <c r="O491" i="35" s="1"/>
  <c r="I659" i="35"/>
  <c r="O659" i="35" s="1"/>
  <c r="M491" i="35"/>
  <c r="N491" i="35" s="1"/>
  <c r="M659" i="35"/>
  <c r="N659" i="35" s="1"/>
  <c r="M622" i="35"/>
  <c r="N622" i="35" s="1"/>
  <c r="M657" i="35"/>
  <c r="N657" i="35" s="1"/>
  <c r="I622" i="35"/>
  <c r="O622" i="35" s="1"/>
  <c r="I657" i="35"/>
  <c r="O657" i="35" s="1"/>
  <c r="M522" i="35"/>
  <c r="N522" i="35" s="1"/>
  <c r="M653" i="35"/>
  <c r="N653" i="35" s="1"/>
  <c r="M80" i="35"/>
  <c r="N80" i="35" s="1"/>
  <c r="R254" i="6"/>
  <c r="R257" i="6"/>
  <c r="O18" i="6"/>
  <c r="Q18" i="6" s="1"/>
  <c r="O254" i="6"/>
  <c r="Q254" i="6" s="1"/>
  <c r="M252" i="6"/>
  <c r="R252" i="6" s="1"/>
  <c r="N252" i="6"/>
  <c r="P252" i="6" s="1"/>
  <c r="O21" i="6"/>
  <c r="Q21" i="6" s="1"/>
  <c r="O242" i="6"/>
  <c r="Q242" i="6" s="1"/>
  <c r="R246" i="6"/>
  <c r="R242" i="6"/>
  <c r="R244" i="6"/>
  <c r="N21" i="6"/>
  <c r="P21" i="6" s="1"/>
  <c r="G72" i="36" s="1"/>
  <c r="I72" i="36" s="1"/>
  <c r="N242" i="6"/>
  <c r="P242" i="6" s="1"/>
  <c r="R245" i="6"/>
  <c r="R247" i="6"/>
  <c r="I635" i="35"/>
  <c r="O635" i="35" s="1"/>
  <c r="I651" i="35"/>
  <c r="O651" i="35" s="1"/>
  <c r="M635" i="35"/>
  <c r="N635" i="35" s="1"/>
  <c r="M651" i="35"/>
  <c r="N651" i="35" s="1"/>
  <c r="I573" i="35"/>
  <c r="O573" i="35" s="1"/>
  <c r="I649" i="35"/>
  <c r="O649" i="35" s="1"/>
  <c r="M388" i="35"/>
  <c r="N388" i="35" s="1"/>
  <c r="M649" i="35"/>
  <c r="N649" i="35" s="1"/>
  <c r="H650" i="35"/>
  <c r="L650" i="35"/>
  <c r="M361" i="35"/>
  <c r="N361" i="35" s="1"/>
  <c r="M227" i="35"/>
  <c r="N227" i="35" s="1"/>
  <c r="L647" i="35"/>
  <c r="H647" i="35"/>
  <c r="I245" i="35"/>
  <c r="O245" i="35" s="1"/>
  <c r="I642" i="35"/>
  <c r="O642" i="35" s="1"/>
  <c r="N642" i="35"/>
  <c r="I618" i="35"/>
  <c r="O618" i="35" s="1"/>
  <c r="I641" i="35"/>
  <c r="O641" i="35" s="1"/>
  <c r="H639" i="35"/>
  <c r="L639" i="35"/>
  <c r="I421" i="35"/>
  <c r="O421" i="35" s="1"/>
  <c r="I637" i="35"/>
  <c r="O637" i="35" s="1"/>
  <c r="M413" i="35"/>
  <c r="N413" i="35" s="1"/>
  <c r="M637" i="35"/>
  <c r="N637" i="35" s="1"/>
  <c r="H638" i="35"/>
  <c r="L638" i="35"/>
  <c r="I507" i="35"/>
  <c r="O507" i="35" s="1"/>
  <c r="I636" i="35"/>
  <c r="O636" i="35" s="1"/>
  <c r="M507" i="35"/>
  <c r="N507" i="35" s="1"/>
  <c r="M636" i="35"/>
  <c r="N636" i="35" s="1"/>
  <c r="I511" i="35"/>
  <c r="O511" i="35" s="1"/>
  <c r="I634" i="35"/>
  <c r="O634" i="35" s="1"/>
  <c r="M511" i="35"/>
  <c r="N511" i="35" s="1"/>
  <c r="M634" i="35"/>
  <c r="N634" i="35" s="1"/>
  <c r="R238" i="6"/>
  <c r="O247" i="6"/>
  <c r="Q247" i="6" s="1"/>
  <c r="O246" i="6"/>
  <c r="Q246" i="6" s="1"/>
  <c r="O245" i="6"/>
  <c r="Q245" i="6" s="1"/>
  <c r="N247" i="6"/>
  <c r="P247" i="6" s="1"/>
  <c r="N246" i="6"/>
  <c r="P246" i="6" s="1"/>
  <c r="N245" i="6"/>
  <c r="P245" i="6" s="1"/>
  <c r="O243" i="6"/>
  <c r="Q243" i="6" s="1"/>
  <c r="O244" i="6"/>
  <c r="Q244" i="6" s="1"/>
  <c r="N244" i="6"/>
  <c r="P244" i="6" s="1"/>
  <c r="N243" i="6"/>
  <c r="P243" i="6" s="1"/>
  <c r="P240" i="6"/>
  <c r="O237" i="6"/>
  <c r="Q237" i="6" s="1"/>
  <c r="O241" i="6"/>
  <c r="Q241" i="6" s="1"/>
  <c r="R240" i="6"/>
  <c r="N138" i="6"/>
  <c r="P138" i="6" s="1"/>
  <c r="N238" i="6"/>
  <c r="P238" i="6" s="1"/>
  <c r="O138" i="6"/>
  <c r="Q138" i="6" s="1"/>
  <c r="O238" i="6"/>
  <c r="Q238" i="6" s="1"/>
  <c r="Q240" i="6"/>
  <c r="R237" i="6"/>
  <c r="O113" i="6"/>
  <c r="Q113" i="6" s="1"/>
  <c r="N76" i="6"/>
  <c r="P76" i="6" s="1"/>
  <c r="G7" i="36" s="1"/>
  <c r="I7" i="36" s="1"/>
  <c r="N237" i="6"/>
  <c r="P237" i="6" s="1"/>
  <c r="I303" i="35"/>
  <c r="O303" i="35" s="1"/>
  <c r="M332" i="35"/>
  <c r="N332" i="35" s="1"/>
  <c r="M404" i="35"/>
  <c r="N404" i="35" s="1"/>
  <c r="I387" i="35"/>
  <c r="O387" i="35" s="1"/>
  <c r="M309" i="35"/>
  <c r="N309" i="35" s="1"/>
  <c r="I386" i="35"/>
  <c r="O386" i="35" s="1"/>
  <c r="I252" i="35"/>
  <c r="O252" i="35" s="1"/>
  <c r="I627" i="35"/>
  <c r="O627" i="35" s="1"/>
  <c r="M252" i="35"/>
  <c r="N252" i="35" s="1"/>
  <c r="M627" i="35"/>
  <c r="N627" i="35" s="1"/>
  <c r="I546" i="35"/>
  <c r="O546" i="35" s="1"/>
  <c r="I624" i="35"/>
  <c r="O624" i="35" s="1"/>
  <c r="M546" i="35"/>
  <c r="N546" i="35" s="1"/>
  <c r="M624" i="35"/>
  <c r="N624" i="35" s="1"/>
  <c r="P620" i="35"/>
  <c r="I487" i="35"/>
  <c r="O487" i="35" s="1"/>
  <c r="I619" i="35"/>
  <c r="O619" i="35" s="1"/>
  <c r="M20" i="35"/>
  <c r="N20" i="35" s="1"/>
  <c r="M619" i="35"/>
  <c r="N619" i="35" s="1"/>
  <c r="M582" i="35"/>
  <c r="N582" i="35" s="1"/>
  <c r="M618" i="35"/>
  <c r="N618" i="35" s="1"/>
  <c r="I483" i="35"/>
  <c r="O483" i="35" s="1"/>
  <c r="I616" i="35"/>
  <c r="O616" i="35" s="1"/>
  <c r="M483" i="35"/>
  <c r="N483" i="35" s="1"/>
  <c r="M616" i="35"/>
  <c r="N616" i="35" s="1"/>
  <c r="I602" i="35"/>
  <c r="O602" i="35" s="1"/>
  <c r="I353" i="35"/>
  <c r="O353" i="35" s="1"/>
  <c r="H352" i="33" s="1"/>
  <c r="I608" i="35"/>
  <c r="O608" i="35" s="1"/>
  <c r="M353" i="35"/>
  <c r="N353" i="35" s="1"/>
  <c r="M608" i="35"/>
  <c r="N608" i="35" s="1"/>
  <c r="M356" i="35"/>
  <c r="N356" i="35" s="1"/>
  <c r="M607" i="35"/>
  <c r="N607" i="35" s="1"/>
  <c r="I356" i="35"/>
  <c r="O356" i="35" s="1"/>
  <c r="H359" i="33" s="1"/>
  <c r="I607" i="35"/>
  <c r="O607" i="35" s="1"/>
  <c r="M25" i="6"/>
  <c r="R25" i="6" s="1"/>
  <c r="M15" i="6"/>
  <c r="R15" i="6" s="1"/>
  <c r="H16" i="36" s="1"/>
  <c r="R192" i="6"/>
  <c r="N25" i="6"/>
  <c r="P25" i="6" s="1"/>
  <c r="M46" i="6"/>
  <c r="R46" i="6" s="1"/>
  <c r="R235" i="6"/>
  <c r="N181" i="6"/>
  <c r="P181" i="6" s="1"/>
  <c r="R236" i="6"/>
  <c r="I578" i="35"/>
  <c r="O578" i="35" s="1"/>
  <c r="I603" i="35"/>
  <c r="O603" i="35" s="1"/>
  <c r="M578" i="35"/>
  <c r="N578" i="35" s="1"/>
  <c r="M603" i="35"/>
  <c r="N603" i="35" s="1"/>
  <c r="M563" i="35"/>
  <c r="N563" i="35" s="1"/>
  <c r="M602" i="35"/>
  <c r="N602" i="35" s="1"/>
  <c r="I586" i="35"/>
  <c r="O586" i="35" s="1"/>
  <c r="I601" i="35"/>
  <c r="O601" i="35" s="1"/>
  <c r="M586" i="35"/>
  <c r="N586" i="35" s="1"/>
  <c r="M601" i="35"/>
  <c r="N601" i="35" s="1"/>
  <c r="I559" i="35"/>
  <c r="O559" i="35" s="1"/>
  <c r="I599" i="35"/>
  <c r="O599" i="35" s="1"/>
  <c r="H598" i="35"/>
  <c r="M559" i="35"/>
  <c r="N559" i="35" s="1"/>
  <c r="M599" i="35"/>
  <c r="N599" i="35" s="1"/>
  <c r="L598" i="35"/>
  <c r="I597" i="35"/>
  <c r="O597" i="35" s="1"/>
  <c r="M597" i="35"/>
  <c r="N597" i="35" s="1"/>
  <c r="I595" i="35"/>
  <c r="O595" i="35" s="1"/>
  <c r="I596" i="35"/>
  <c r="O596" i="35" s="1"/>
  <c r="M595" i="35"/>
  <c r="N595" i="35" s="1"/>
  <c r="M596" i="35"/>
  <c r="N596" i="35" s="1"/>
  <c r="I408" i="35"/>
  <c r="O408" i="35" s="1"/>
  <c r="I593" i="35"/>
  <c r="O593" i="35" s="1"/>
  <c r="M401" i="35"/>
  <c r="N401" i="35" s="1"/>
  <c r="M593" i="35"/>
  <c r="N593" i="35" s="1"/>
  <c r="I381" i="35"/>
  <c r="O381" i="35" s="1"/>
  <c r="H385" i="33" s="1"/>
  <c r="I592" i="35"/>
  <c r="O592" i="35" s="1"/>
  <c r="M381" i="35"/>
  <c r="N381" i="35" s="1"/>
  <c r="M592" i="35"/>
  <c r="N592" i="35" s="1"/>
  <c r="I523" i="35"/>
  <c r="O523" i="35" s="1"/>
  <c r="I591" i="35"/>
  <c r="O591" i="35" s="1"/>
  <c r="M523" i="35"/>
  <c r="N523" i="35" s="1"/>
  <c r="M591" i="35"/>
  <c r="N591" i="35" s="1"/>
  <c r="I557" i="35"/>
  <c r="O557" i="35" s="1"/>
  <c r="I590" i="35"/>
  <c r="O590" i="35" s="1"/>
  <c r="M557" i="35"/>
  <c r="N557" i="35" s="1"/>
  <c r="M590" i="35"/>
  <c r="N590" i="35" s="1"/>
  <c r="M435" i="35"/>
  <c r="N435" i="35" s="1"/>
  <c r="O235" i="6"/>
  <c r="Q235" i="6" s="1"/>
  <c r="O236" i="6"/>
  <c r="Q236" i="6" s="1"/>
  <c r="N235" i="6"/>
  <c r="P235" i="6" s="1"/>
  <c r="N236" i="6"/>
  <c r="P236" i="6" s="1"/>
  <c r="I366" i="35"/>
  <c r="O366" i="35" s="1"/>
  <c r="I582" i="35"/>
  <c r="O582" i="35" s="1"/>
  <c r="R233" i="6"/>
  <c r="R234" i="6"/>
  <c r="N42" i="6"/>
  <c r="P42" i="6" s="1"/>
  <c r="I580" i="35"/>
  <c r="O580" i="35" s="1"/>
  <c r="I581" i="35"/>
  <c r="O581" i="35" s="1"/>
  <c r="M580" i="35"/>
  <c r="N580" i="35" s="1"/>
  <c r="M581" i="35"/>
  <c r="N581" i="35" s="1"/>
  <c r="N566" i="35"/>
  <c r="M560" i="35"/>
  <c r="N560" i="35" s="1"/>
  <c r="M577" i="35"/>
  <c r="N577" i="35" s="1"/>
  <c r="M549" i="35"/>
  <c r="N549" i="35" s="1"/>
  <c r="M576" i="35"/>
  <c r="N576" i="35" s="1"/>
  <c r="I560" i="35"/>
  <c r="O560" i="35" s="1"/>
  <c r="I577" i="35"/>
  <c r="O577" i="35" s="1"/>
  <c r="I549" i="35"/>
  <c r="O549" i="35" s="1"/>
  <c r="I576" i="35"/>
  <c r="O576" i="35" s="1"/>
  <c r="I467" i="35"/>
  <c r="O467" i="35" s="1"/>
  <c r="I575" i="35"/>
  <c r="O575" i="35" s="1"/>
  <c r="I574" i="35"/>
  <c r="O574" i="35" s="1"/>
  <c r="M459" i="35"/>
  <c r="N459" i="35" s="1"/>
  <c r="M574" i="35"/>
  <c r="N574" i="35" s="1"/>
  <c r="M575" i="35"/>
  <c r="N575" i="35" s="1"/>
  <c r="M354" i="35"/>
  <c r="N354" i="35" s="1"/>
  <c r="P3" i="41"/>
  <c r="M555" i="35"/>
  <c r="N555" i="35" s="1"/>
  <c r="M573" i="35"/>
  <c r="N573" i="35" s="1"/>
  <c r="O566" i="35"/>
  <c r="N15" i="6"/>
  <c r="P15" i="6" s="1"/>
  <c r="G16" i="36" s="1"/>
  <c r="I16" i="36" s="1"/>
  <c r="M24" i="6"/>
  <c r="R24" i="6" s="1"/>
  <c r="M42" i="6"/>
  <c r="R42" i="6" s="1"/>
  <c r="N232" i="6"/>
  <c r="P232" i="6" s="1"/>
  <c r="N228" i="6"/>
  <c r="P228" i="6" s="1"/>
  <c r="N229" i="6"/>
  <c r="P229" i="6" s="1"/>
  <c r="N230" i="6"/>
  <c r="P230" i="6" s="1"/>
  <c r="N231" i="6"/>
  <c r="P231" i="6" s="1"/>
  <c r="N234" i="6"/>
  <c r="P234" i="6" s="1"/>
  <c r="N233" i="6"/>
  <c r="P233" i="6" s="1"/>
  <c r="O126" i="6"/>
  <c r="Q126" i="6" s="1"/>
  <c r="O161" i="6"/>
  <c r="Q161" i="6" s="1"/>
  <c r="R229" i="6"/>
  <c r="R230" i="6"/>
  <c r="O232" i="6"/>
  <c r="Q232" i="6" s="1"/>
  <c r="O234" i="6"/>
  <c r="Q234" i="6" s="1"/>
  <c r="O230" i="6"/>
  <c r="Q230" i="6" s="1"/>
  <c r="S230" i="6" s="1"/>
  <c r="O229" i="6"/>
  <c r="Q229" i="6" s="1"/>
  <c r="O231" i="6"/>
  <c r="Q231" i="6" s="1"/>
  <c r="O228" i="6"/>
  <c r="Q228" i="6" s="1"/>
  <c r="O233" i="6"/>
  <c r="Q233" i="6" s="1"/>
  <c r="R232" i="6"/>
  <c r="R228" i="6"/>
  <c r="N24" i="6"/>
  <c r="P24" i="6" s="1"/>
  <c r="R231" i="6"/>
  <c r="R127" i="6"/>
  <c r="H90" i="36" s="1"/>
  <c r="R70" i="6"/>
  <c r="H83" i="36" s="1"/>
  <c r="R226" i="6"/>
  <c r="R211" i="6"/>
  <c r="R227" i="6"/>
  <c r="R225" i="6"/>
  <c r="O225" i="6"/>
  <c r="Q225" i="6" s="1"/>
  <c r="O227" i="6"/>
  <c r="Q227" i="6" s="1"/>
  <c r="O226" i="6"/>
  <c r="Q226" i="6" s="1"/>
  <c r="N225" i="6"/>
  <c r="P225" i="6" s="1"/>
  <c r="N227" i="6"/>
  <c r="P227" i="6" s="1"/>
  <c r="N226" i="6"/>
  <c r="P226" i="6" s="1"/>
  <c r="R212" i="6"/>
  <c r="R223" i="6"/>
  <c r="I337" i="35"/>
  <c r="O337" i="35" s="1"/>
  <c r="H249" i="33" s="1"/>
  <c r="I569" i="35"/>
  <c r="O569" i="35" s="1"/>
  <c r="M337" i="35"/>
  <c r="N337" i="35" s="1"/>
  <c r="M569" i="35"/>
  <c r="N569" i="35" s="1"/>
  <c r="R208" i="6"/>
  <c r="R219" i="6"/>
  <c r="R220" i="6"/>
  <c r="Q223" i="6"/>
  <c r="O221" i="6"/>
  <c r="Q221" i="6" s="1"/>
  <c r="O224" i="6"/>
  <c r="Q224" i="6" s="1"/>
  <c r="O222" i="6"/>
  <c r="Q222" i="6" s="1"/>
  <c r="N223" i="6"/>
  <c r="P223" i="6" s="1"/>
  <c r="R222" i="6"/>
  <c r="R221" i="6"/>
  <c r="N224" i="6"/>
  <c r="P224" i="6" s="1"/>
  <c r="N221" i="6"/>
  <c r="P221" i="6" s="1"/>
  <c r="N222" i="6"/>
  <c r="P222" i="6" s="1"/>
  <c r="R224" i="6"/>
  <c r="R217" i="6"/>
  <c r="R218" i="6"/>
  <c r="R216" i="6"/>
  <c r="R214" i="6"/>
  <c r="R206" i="6"/>
  <c r="O211" i="6"/>
  <c r="Q211" i="6" s="1"/>
  <c r="O220" i="6"/>
  <c r="Q220" i="6" s="1"/>
  <c r="O208" i="6"/>
  <c r="Q208" i="6" s="1"/>
  <c r="O215" i="6"/>
  <c r="Q215" i="6" s="1"/>
  <c r="O210" i="6"/>
  <c r="Q210" i="6" s="1"/>
  <c r="O217" i="6"/>
  <c r="Q217" i="6" s="1"/>
  <c r="O213" i="6"/>
  <c r="Q213" i="6" s="1"/>
  <c r="O219" i="6"/>
  <c r="Q219" i="6" s="1"/>
  <c r="O214" i="6"/>
  <c r="Q214" i="6" s="1"/>
  <c r="O216" i="6"/>
  <c r="Q216" i="6" s="1"/>
  <c r="O212" i="6"/>
  <c r="Q212" i="6" s="1"/>
  <c r="O218" i="6"/>
  <c r="Q218" i="6" s="1"/>
  <c r="O207" i="6"/>
  <c r="Q207" i="6" s="1"/>
  <c r="O209" i="6"/>
  <c r="Q209" i="6" s="1"/>
  <c r="O206" i="6"/>
  <c r="Q206" i="6" s="1"/>
  <c r="R213" i="6"/>
  <c r="N211" i="6"/>
  <c r="P211" i="6" s="1"/>
  <c r="T211" i="6" s="1"/>
  <c r="R209" i="6"/>
  <c r="N219" i="6"/>
  <c r="P219" i="6" s="1"/>
  <c r="N218" i="6"/>
  <c r="P218" i="6" s="1"/>
  <c r="N220" i="6"/>
  <c r="P220" i="6" s="1"/>
  <c r="N208" i="6"/>
  <c r="P208" i="6" s="1"/>
  <c r="T208" i="6" s="1"/>
  <c r="N206" i="6"/>
  <c r="P206" i="6" s="1"/>
  <c r="N217" i="6"/>
  <c r="P217" i="6" s="1"/>
  <c r="N207" i="6"/>
  <c r="P207" i="6" s="1"/>
  <c r="N216" i="6"/>
  <c r="P216" i="6" s="1"/>
  <c r="N215" i="6"/>
  <c r="P215" i="6" s="1"/>
  <c r="T215" i="6" s="1"/>
  <c r="N209" i="6"/>
  <c r="P209" i="6" s="1"/>
  <c r="T209" i="6" s="1"/>
  <c r="N210" i="6"/>
  <c r="P210" i="6" s="1"/>
  <c r="N213" i="6"/>
  <c r="P213" i="6" s="1"/>
  <c r="N214" i="6"/>
  <c r="P214" i="6" s="1"/>
  <c r="N212" i="6"/>
  <c r="P212" i="6" s="1"/>
  <c r="R210" i="6"/>
  <c r="P103" i="41"/>
  <c r="P39" i="41"/>
  <c r="R204" i="6"/>
  <c r="R190" i="6"/>
  <c r="R202" i="6"/>
  <c r="R203" i="6"/>
  <c r="R200" i="6"/>
  <c r="R197" i="6"/>
  <c r="P121" i="41"/>
  <c r="P85" i="41"/>
  <c r="P74" i="41"/>
  <c r="P22" i="41"/>
  <c r="P42" i="41"/>
  <c r="P77" i="41"/>
  <c r="N567" i="35"/>
  <c r="M468" i="35"/>
  <c r="N468" i="35" s="1"/>
  <c r="I563" i="35"/>
  <c r="O563" i="35" s="1"/>
  <c r="O567" i="35"/>
  <c r="M397" i="35"/>
  <c r="N397" i="35" s="1"/>
  <c r="I301" i="35"/>
  <c r="O301" i="35" s="1"/>
  <c r="P105" i="41"/>
  <c r="P120" i="41"/>
  <c r="P122" i="41"/>
  <c r="P65" i="41"/>
  <c r="P7" i="41"/>
  <c r="P82" i="41"/>
  <c r="P113" i="41"/>
  <c r="P59" i="41"/>
  <c r="P108" i="41"/>
  <c r="P99" i="41"/>
  <c r="P106" i="41"/>
  <c r="P70" i="41"/>
  <c r="P75" i="41"/>
  <c r="P109" i="41"/>
  <c r="P84" i="41"/>
  <c r="P43" i="41"/>
  <c r="P66" i="41"/>
  <c r="P115" i="41"/>
  <c r="P114" i="41"/>
  <c r="P97" i="41"/>
  <c r="P49" i="41"/>
  <c r="P45" i="41"/>
  <c r="P11" i="41"/>
  <c r="P92" i="41"/>
  <c r="P31" i="41"/>
  <c r="P51" i="41"/>
  <c r="L121" i="41"/>
  <c r="P98" i="41"/>
  <c r="P81" i="41"/>
  <c r="R195" i="6"/>
  <c r="R196" i="6"/>
  <c r="N96" i="6"/>
  <c r="P96" i="6" s="1"/>
  <c r="R198" i="6"/>
  <c r="O194" i="6"/>
  <c r="Q194" i="6" s="1"/>
  <c r="O203" i="6"/>
  <c r="Q203" i="6" s="1"/>
  <c r="O204" i="6"/>
  <c r="Q204" i="6" s="1"/>
  <c r="O205" i="6"/>
  <c r="Q205" i="6" s="1"/>
  <c r="O197" i="6"/>
  <c r="Q197" i="6" s="1"/>
  <c r="O190" i="6"/>
  <c r="Q190" i="6" s="1"/>
  <c r="O199" i="6"/>
  <c r="Q199" i="6" s="1"/>
  <c r="O193" i="6"/>
  <c r="Q193" i="6" s="1"/>
  <c r="O200" i="6"/>
  <c r="Q200" i="6" s="1"/>
  <c r="O196" i="6"/>
  <c r="Q196" i="6" s="1"/>
  <c r="O195" i="6"/>
  <c r="Q195" i="6" s="1"/>
  <c r="O201" i="6"/>
  <c r="Q201" i="6" s="1"/>
  <c r="O198" i="6"/>
  <c r="Q198" i="6" s="1"/>
  <c r="O202" i="6"/>
  <c r="Q202" i="6" s="1"/>
  <c r="O191" i="6"/>
  <c r="Q191" i="6" s="1"/>
  <c r="R201" i="6"/>
  <c r="N184" i="6"/>
  <c r="P184" i="6" s="1"/>
  <c r="N192" i="6"/>
  <c r="P192" i="6" s="1"/>
  <c r="R193" i="6"/>
  <c r="O184" i="6"/>
  <c r="Q184" i="6" s="1"/>
  <c r="O192" i="6"/>
  <c r="Q192" i="6" s="1"/>
  <c r="N202" i="6"/>
  <c r="P202" i="6" s="1"/>
  <c r="N196" i="6"/>
  <c r="P196" i="6" s="1"/>
  <c r="N199" i="6"/>
  <c r="P199" i="6" s="1"/>
  <c r="T199" i="6" s="1"/>
  <c r="N190" i="6"/>
  <c r="P190" i="6" s="1"/>
  <c r="N191" i="6"/>
  <c r="P191" i="6" s="1"/>
  <c r="N204" i="6"/>
  <c r="P204" i="6" s="1"/>
  <c r="N200" i="6"/>
  <c r="P200" i="6" s="1"/>
  <c r="N193" i="6"/>
  <c r="P193" i="6" s="1"/>
  <c r="T193" i="6" s="1"/>
  <c r="N205" i="6"/>
  <c r="P205" i="6" s="1"/>
  <c r="T205" i="6" s="1"/>
  <c r="N195" i="6"/>
  <c r="P195" i="6" s="1"/>
  <c r="N197" i="6"/>
  <c r="P197" i="6" s="1"/>
  <c r="N203" i="6"/>
  <c r="P203" i="6" s="1"/>
  <c r="N201" i="6"/>
  <c r="P201" i="6" s="1"/>
  <c r="N198" i="6"/>
  <c r="P198" i="6" s="1"/>
  <c r="R191" i="6"/>
  <c r="N171" i="6"/>
  <c r="P171" i="6" s="1"/>
  <c r="N194" i="6"/>
  <c r="P194" i="6" s="1"/>
  <c r="R194" i="6"/>
  <c r="N189" i="35"/>
  <c r="R169" i="6"/>
  <c r="M561" i="35"/>
  <c r="N561" i="35" s="1"/>
  <c r="M562" i="35"/>
  <c r="N562" i="35" s="1"/>
  <c r="I561" i="35"/>
  <c r="O561" i="35" s="1"/>
  <c r="I562" i="35"/>
  <c r="O562" i="35" s="1"/>
  <c r="O436" i="35"/>
  <c r="I322" i="35"/>
  <c r="O322" i="35" s="1"/>
  <c r="P107" i="41"/>
  <c r="N65" i="35"/>
  <c r="M417" i="35"/>
  <c r="N417" i="35" s="1"/>
  <c r="I283" i="35"/>
  <c r="O283" i="35" s="1"/>
  <c r="H224" i="33" s="1"/>
  <c r="I406" i="35"/>
  <c r="O406" i="35" s="1"/>
  <c r="H58" i="33" s="1"/>
  <c r="M163" i="35"/>
  <c r="N163" i="35" s="1"/>
  <c r="M282" i="35"/>
  <c r="N282" i="35" s="1"/>
  <c r="M406" i="35"/>
  <c r="N406" i="35" s="1"/>
  <c r="M432" i="35"/>
  <c r="N432" i="35" s="1"/>
  <c r="M556" i="35"/>
  <c r="N556" i="35" s="1"/>
  <c r="I118" i="35"/>
  <c r="O118" i="35" s="1"/>
  <c r="H78" i="33" s="1"/>
  <c r="K78" i="33" s="1"/>
  <c r="I556" i="35"/>
  <c r="O556" i="35" s="1"/>
  <c r="M415" i="35"/>
  <c r="N415" i="35" s="1"/>
  <c r="I388" i="35"/>
  <c r="O388" i="35" s="1"/>
  <c r="I555" i="35"/>
  <c r="O555" i="35" s="1"/>
  <c r="P67" i="41"/>
  <c r="I547" i="35"/>
  <c r="O547" i="35" s="1"/>
  <c r="I552" i="35"/>
  <c r="O552" i="35" s="1"/>
  <c r="I415" i="35"/>
  <c r="O415" i="35" s="1"/>
  <c r="M547" i="35"/>
  <c r="N547" i="35" s="1"/>
  <c r="M552" i="35"/>
  <c r="N552" i="35" s="1"/>
  <c r="I424" i="35"/>
  <c r="O424" i="35" s="1"/>
  <c r="H553" i="35"/>
  <c r="L553" i="35"/>
  <c r="O551" i="35"/>
  <c r="N551" i="35"/>
  <c r="M283" i="35"/>
  <c r="N283" i="35" s="1"/>
  <c r="M550" i="35"/>
  <c r="N550" i="35" s="1"/>
  <c r="O550" i="35"/>
  <c r="N82" i="35"/>
  <c r="I361" i="35"/>
  <c r="O361" i="35" s="1"/>
  <c r="I163" i="35"/>
  <c r="O163" i="35" s="1"/>
  <c r="H124" i="33" s="1"/>
  <c r="M124" i="35"/>
  <c r="N124" i="35" s="1"/>
  <c r="I308" i="35"/>
  <c r="O308" i="35" s="1"/>
  <c r="H279" i="33" s="1"/>
  <c r="I545" i="35"/>
  <c r="O545" i="35" s="1"/>
  <c r="M308" i="35"/>
  <c r="N308" i="35" s="1"/>
  <c r="M545" i="35"/>
  <c r="N545" i="35" s="1"/>
  <c r="I542" i="35"/>
  <c r="O542" i="35" s="1"/>
  <c r="I544" i="35"/>
  <c r="O544" i="35" s="1"/>
  <c r="M542" i="35"/>
  <c r="N542" i="35" s="1"/>
  <c r="M544" i="35"/>
  <c r="N544" i="35" s="1"/>
  <c r="O543" i="35"/>
  <c r="N543" i="35"/>
  <c r="O376" i="35"/>
  <c r="H143" i="35"/>
  <c r="M340" i="35"/>
  <c r="N340" i="35" s="1"/>
  <c r="M541" i="35"/>
  <c r="N541" i="35" s="1"/>
  <c r="I340" i="35"/>
  <c r="O340" i="35" s="1"/>
  <c r="H241" i="33" s="1"/>
  <c r="I541" i="35"/>
  <c r="O541" i="35" s="1"/>
  <c r="O539" i="35"/>
  <c r="N538" i="35"/>
  <c r="N539" i="35"/>
  <c r="I536" i="35"/>
  <c r="O536" i="35" s="1"/>
  <c r="I537" i="35"/>
  <c r="O537" i="35" s="1"/>
  <c r="M372" i="35"/>
  <c r="N372" i="35" s="1"/>
  <c r="M536" i="35"/>
  <c r="N536" i="35" s="1"/>
  <c r="M537" i="35"/>
  <c r="N537" i="35" s="1"/>
  <c r="I450" i="35"/>
  <c r="O450" i="35" s="1"/>
  <c r="H421" i="33" s="1"/>
  <c r="J421" i="33" s="1"/>
  <c r="M55" i="35"/>
  <c r="N55" i="35" s="1"/>
  <c r="M535" i="35"/>
  <c r="N535" i="35" s="1"/>
  <c r="I55" i="35"/>
  <c r="O55" i="35" s="1"/>
  <c r="H277" i="33" s="1"/>
  <c r="I535" i="35"/>
  <c r="O535" i="35" s="1"/>
  <c r="N285" i="35"/>
  <c r="N238" i="35"/>
  <c r="I519" i="35"/>
  <c r="O519" i="35" s="1"/>
  <c r="I532" i="35"/>
  <c r="O532" i="35" s="1"/>
  <c r="M519" i="35"/>
  <c r="N519" i="35" s="1"/>
  <c r="M532" i="35"/>
  <c r="N532" i="35" s="1"/>
  <c r="I509" i="35"/>
  <c r="O509" i="35" s="1"/>
  <c r="I533" i="35"/>
  <c r="O533" i="35" s="1"/>
  <c r="M509" i="35"/>
  <c r="N509" i="35" s="1"/>
  <c r="M533" i="35"/>
  <c r="N533" i="35" s="1"/>
  <c r="I427" i="35"/>
  <c r="O427" i="35" s="1"/>
  <c r="I531" i="35"/>
  <c r="O531" i="35" s="1"/>
  <c r="M493" i="35"/>
  <c r="N493" i="35" s="1"/>
  <c r="M531" i="35"/>
  <c r="N531" i="35" s="1"/>
  <c r="P46" i="41"/>
  <c r="I122" i="41"/>
  <c r="P69" i="41"/>
  <c r="P41" i="41"/>
  <c r="P71" i="41"/>
  <c r="P20" i="41"/>
  <c r="P60" i="41"/>
  <c r="P64" i="41"/>
  <c r="P96" i="41"/>
  <c r="P90" i="41"/>
  <c r="P63" i="41"/>
  <c r="P86" i="41"/>
  <c r="P27" i="41"/>
  <c r="P40" i="41"/>
  <c r="P78" i="41"/>
  <c r="P6" i="41"/>
  <c r="P101" i="41"/>
  <c r="P23" i="41"/>
  <c r="P76" i="41"/>
  <c r="P52" i="41"/>
  <c r="J122" i="41"/>
  <c r="P116" i="41"/>
  <c r="P117" i="41"/>
  <c r="P37" i="41"/>
  <c r="P54" i="41"/>
  <c r="P55" i="41"/>
  <c r="P118" i="41"/>
  <c r="P5" i="41"/>
  <c r="P19" i="41"/>
  <c r="P72" i="41"/>
  <c r="P112" i="41"/>
  <c r="L122" i="41"/>
  <c r="P56" i="41"/>
  <c r="P62" i="41"/>
  <c r="P47" i="41"/>
  <c r="P9" i="41"/>
  <c r="P87" i="41"/>
  <c r="P79" i="41"/>
  <c r="P68" i="41"/>
  <c r="P95" i="41"/>
  <c r="P8" i="41"/>
  <c r="P21" i="41"/>
  <c r="P58" i="41"/>
  <c r="P44" i="41"/>
  <c r="P88" i="41"/>
  <c r="P50" i="41"/>
  <c r="P24" i="41"/>
  <c r="P94" i="41"/>
  <c r="P38" i="41"/>
  <c r="P89" i="41"/>
  <c r="P102" i="41"/>
  <c r="P28" i="41"/>
  <c r="P35" i="41"/>
  <c r="P91" i="41"/>
  <c r="P110" i="41"/>
  <c r="P61" i="41"/>
  <c r="P100" i="41"/>
  <c r="P18" i="41"/>
  <c r="P25" i="41"/>
  <c r="P33" i="41"/>
  <c r="P53" i="41"/>
  <c r="P17" i="41"/>
  <c r="P57" i="41"/>
  <c r="P111" i="41"/>
  <c r="P83" i="41"/>
  <c r="P80" i="41"/>
  <c r="P29" i="41"/>
  <c r="P36" i="41"/>
  <c r="P32" i="41"/>
  <c r="P104" i="41"/>
  <c r="P34" i="41"/>
  <c r="P48" i="41"/>
  <c r="P93" i="41"/>
  <c r="P73" i="41"/>
  <c r="P30" i="41"/>
  <c r="P119" i="41"/>
  <c r="P26" i="41"/>
  <c r="P12" i="41"/>
  <c r="P10" i="41"/>
  <c r="P16" i="41"/>
  <c r="N86" i="35"/>
  <c r="H121" i="35"/>
  <c r="L237" i="35"/>
  <c r="M261" i="35"/>
  <c r="N261" i="35" s="1"/>
  <c r="I397" i="35"/>
  <c r="O397" i="35" s="1"/>
  <c r="M424" i="35"/>
  <c r="N424" i="35" s="1"/>
  <c r="M451" i="35"/>
  <c r="N451" i="35" s="1"/>
  <c r="M504" i="35"/>
  <c r="N504" i="35" s="1"/>
  <c r="M529" i="35"/>
  <c r="N529" i="35" s="1"/>
  <c r="I504" i="35"/>
  <c r="O504" i="35" s="1"/>
  <c r="I529" i="35"/>
  <c r="O529" i="35" s="1"/>
  <c r="M463" i="35"/>
  <c r="N463" i="35" s="1"/>
  <c r="I389" i="35"/>
  <c r="O389" i="35" s="1"/>
  <c r="M403" i="35"/>
  <c r="N403" i="35" s="1"/>
  <c r="L246" i="35"/>
  <c r="L222" i="35"/>
  <c r="L1029" i="31"/>
  <c r="M292" i="33"/>
  <c r="M513" i="35"/>
  <c r="N513" i="35" s="1"/>
  <c r="M526" i="35"/>
  <c r="N526" i="35" s="1"/>
  <c r="L205" i="35"/>
  <c r="I405" i="35"/>
  <c r="O405" i="35" s="1"/>
  <c r="M467" i="35"/>
  <c r="N467" i="35" s="1"/>
  <c r="M506" i="35"/>
  <c r="N506" i="35" s="1"/>
  <c r="M525" i="35"/>
  <c r="N525" i="35" s="1"/>
  <c r="I256" i="35"/>
  <c r="O256" i="35" s="1"/>
  <c r="M437" i="35"/>
  <c r="N437" i="35" s="1"/>
  <c r="M454" i="35"/>
  <c r="N454" i="35" s="1"/>
  <c r="M335" i="35"/>
  <c r="N335" i="35" s="1"/>
  <c r="M426" i="35"/>
  <c r="N426" i="35" s="1"/>
  <c r="I451" i="35"/>
  <c r="O451" i="35" s="1"/>
  <c r="M421" i="35"/>
  <c r="N421" i="35" s="1"/>
  <c r="I401" i="35"/>
  <c r="O401" i="35" s="1"/>
  <c r="H355" i="33" s="1"/>
  <c r="K355" i="33" s="1"/>
  <c r="I506" i="35"/>
  <c r="O506" i="35" s="1"/>
  <c r="I525" i="35"/>
  <c r="O525" i="35" s="1"/>
  <c r="M457" i="35"/>
  <c r="N457" i="35" s="1"/>
  <c r="I463" i="35"/>
  <c r="O463" i="35" s="1"/>
  <c r="P472" i="35"/>
  <c r="I441" i="33" s="1"/>
  <c r="L120" i="41"/>
  <c r="L115" i="41"/>
  <c r="L118" i="41"/>
  <c r="L119" i="41"/>
  <c r="L117" i="41"/>
  <c r="M122" i="41"/>
  <c r="L116" i="41"/>
  <c r="M121" i="41"/>
  <c r="J121" i="41"/>
  <c r="M120" i="41"/>
  <c r="G122" i="41"/>
  <c r="J115" i="41"/>
  <c r="I121" i="41"/>
  <c r="J117" i="41"/>
  <c r="J120" i="41"/>
  <c r="I120" i="41"/>
  <c r="J119" i="41"/>
  <c r="I119" i="41"/>
  <c r="M118" i="41"/>
  <c r="I115" i="41"/>
  <c r="M119" i="41"/>
  <c r="I118" i="41"/>
  <c r="M115" i="41"/>
  <c r="J118" i="41"/>
  <c r="I117" i="41"/>
  <c r="M116" i="41"/>
  <c r="M117" i="41"/>
  <c r="I116" i="41"/>
  <c r="J116" i="41"/>
  <c r="M408" i="35"/>
  <c r="N408" i="35" s="1"/>
  <c r="I417" i="35"/>
  <c r="O417" i="35" s="1"/>
  <c r="I331" i="35"/>
  <c r="O331" i="35" s="1"/>
  <c r="I522" i="35"/>
  <c r="O522" i="35" s="1"/>
  <c r="I413" i="35"/>
  <c r="O413" i="35" s="1"/>
  <c r="I426" i="35"/>
  <c r="O426" i="35" s="1"/>
  <c r="O391" i="35"/>
  <c r="H128" i="35"/>
  <c r="H181" i="35"/>
  <c r="L200" i="35"/>
  <c r="L211" i="35"/>
  <c r="R188" i="6"/>
  <c r="R186" i="6"/>
  <c r="P182" i="6"/>
  <c r="O133" i="6"/>
  <c r="Q133" i="6" s="1"/>
  <c r="O188" i="6"/>
  <c r="Q188" i="6" s="1"/>
  <c r="Q183" i="6"/>
  <c r="O186" i="6"/>
  <c r="Q186" i="6" s="1"/>
  <c r="O147" i="6"/>
  <c r="Q147" i="6" s="1"/>
  <c r="O187" i="6"/>
  <c r="Q187" i="6" s="1"/>
  <c r="O185" i="6"/>
  <c r="Q185" i="6" s="1"/>
  <c r="R184" i="6"/>
  <c r="N186" i="6"/>
  <c r="P186" i="6" s="1"/>
  <c r="T186" i="6" s="1"/>
  <c r="R183" i="6"/>
  <c r="R173" i="6"/>
  <c r="R182" i="6"/>
  <c r="O115" i="6"/>
  <c r="Q115" i="6" s="1"/>
  <c r="O189" i="6"/>
  <c r="Q189" i="6" s="1"/>
  <c r="O181" i="6"/>
  <c r="Q181" i="6" s="1"/>
  <c r="R185" i="6"/>
  <c r="N70" i="6"/>
  <c r="P70" i="6" s="1"/>
  <c r="G83" i="36" s="1"/>
  <c r="I83" i="36" s="1"/>
  <c r="N183" i="6"/>
  <c r="P183" i="6" s="1"/>
  <c r="N128" i="6"/>
  <c r="P128" i="6" s="1"/>
  <c r="N189" i="6"/>
  <c r="P189" i="6" s="1"/>
  <c r="R187" i="6"/>
  <c r="R189" i="6"/>
  <c r="Q182" i="6"/>
  <c r="N187" i="6"/>
  <c r="P187" i="6" s="1"/>
  <c r="N185" i="6"/>
  <c r="P185" i="6" s="1"/>
  <c r="H136" i="35"/>
  <c r="L250" i="35"/>
  <c r="H216" i="35"/>
  <c r="M423" i="35"/>
  <c r="N423" i="35" s="1"/>
  <c r="M428" i="35"/>
  <c r="N428" i="35" s="1"/>
  <c r="M118" i="35"/>
  <c r="N118" i="35" s="1"/>
  <c r="I32" i="35"/>
  <c r="O32" i="35" s="1"/>
  <c r="H225" i="33" s="1"/>
  <c r="I520" i="35"/>
  <c r="O520" i="35" s="1"/>
  <c r="M32" i="35"/>
  <c r="N32" i="35" s="1"/>
  <c r="M520" i="35"/>
  <c r="N520" i="35" s="1"/>
  <c r="L111" i="35"/>
  <c r="L136" i="35"/>
  <c r="L144" i="35"/>
  <c r="L179" i="35"/>
  <c r="L63" i="35"/>
  <c r="P475" i="35"/>
  <c r="O199" i="35"/>
  <c r="N99" i="35"/>
  <c r="N90" i="35"/>
  <c r="P90" i="35" s="1"/>
  <c r="I414" i="33" s="1"/>
  <c r="P471" i="35"/>
  <c r="I172" i="33" s="1"/>
  <c r="L317" i="35"/>
  <c r="L203" i="35"/>
  <c r="L121" i="35"/>
  <c r="L255" i="35"/>
  <c r="L325" i="35"/>
  <c r="L143" i="35"/>
  <c r="L239" i="35"/>
  <c r="L269" i="35"/>
  <c r="I518" i="35"/>
  <c r="O518" i="35" s="1"/>
  <c r="I517" i="35"/>
  <c r="O517" i="35" s="1"/>
  <c r="L128" i="35"/>
  <c r="L135" i="35"/>
  <c r="L181" i="35"/>
  <c r="L242" i="35"/>
  <c r="L270" i="35"/>
  <c r="L276" i="35"/>
  <c r="L120" i="35"/>
  <c r="L314" i="35"/>
  <c r="L328" i="35"/>
  <c r="M518" i="35"/>
  <c r="N518" i="35" s="1"/>
  <c r="M517" i="35"/>
  <c r="N517" i="35" s="1"/>
  <c r="L212" i="35"/>
  <c r="L228" i="35"/>
  <c r="H317" i="35"/>
  <c r="L330" i="35"/>
  <c r="L216" i="35"/>
  <c r="L235" i="35"/>
  <c r="L263" i="35"/>
  <c r="L307" i="35"/>
  <c r="H330" i="35"/>
  <c r="I98" i="35"/>
  <c r="O98" i="35" s="1"/>
  <c r="H297" i="33" s="1"/>
  <c r="I516" i="35"/>
  <c r="O516" i="35" s="1"/>
  <c r="M98" i="35"/>
  <c r="N98" i="35" s="1"/>
  <c r="M516" i="35"/>
  <c r="N516" i="35" s="1"/>
  <c r="N92" i="35"/>
  <c r="N391" i="35"/>
  <c r="O289" i="35"/>
  <c r="I423" i="35"/>
  <c r="O423" i="35" s="1"/>
  <c r="I428" i="35"/>
  <c r="O428" i="35" s="1"/>
  <c r="I432" i="35"/>
  <c r="O432" i="35" s="1"/>
  <c r="I457" i="35"/>
  <c r="O457" i="35" s="1"/>
  <c r="M97" i="35"/>
  <c r="N97" i="35" s="1"/>
  <c r="M515" i="35"/>
  <c r="N515" i="35" s="1"/>
  <c r="I97" i="35"/>
  <c r="O97" i="35" s="1"/>
  <c r="H495" i="33" s="1"/>
  <c r="I515" i="35"/>
  <c r="O515" i="35" s="1"/>
  <c r="H242" i="35"/>
  <c r="I454" i="35"/>
  <c r="O454" i="35" s="1"/>
  <c r="H107" i="33" s="1"/>
  <c r="S107" i="33" s="1"/>
  <c r="J441" i="33"/>
  <c r="S441" i="33"/>
  <c r="N395" i="35"/>
  <c r="I419" i="35"/>
  <c r="O419" i="35" s="1"/>
  <c r="I513" i="35"/>
  <c r="O513" i="35" s="1"/>
  <c r="L365" i="35"/>
  <c r="J172" i="33"/>
  <c r="S172" i="33"/>
  <c r="K1007" i="31"/>
  <c r="C1007" i="31"/>
  <c r="O100" i="35"/>
  <c r="H260" i="33" s="1"/>
  <c r="O280" i="35"/>
  <c r="O109" i="35"/>
  <c r="H34" i="33" s="1"/>
  <c r="H212" i="35"/>
  <c r="H179" i="35"/>
  <c r="H237" i="35"/>
  <c r="H270" i="35"/>
  <c r="L378" i="35"/>
  <c r="H246" i="35"/>
  <c r="H255" i="35"/>
  <c r="H314" i="35"/>
  <c r="H250" i="35"/>
  <c r="H328" i="35"/>
  <c r="M422" i="35"/>
  <c r="N422" i="35" s="1"/>
  <c r="N77" i="35"/>
  <c r="H111" i="35"/>
  <c r="H200" i="35"/>
  <c r="H222" i="35"/>
  <c r="H228" i="35"/>
  <c r="H239" i="35"/>
  <c r="H235" i="35"/>
  <c r="H269" i="35"/>
  <c r="H321" i="35"/>
  <c r="H144" i="35"/>
  <c r="H263" i="35"/>
  <c r="H307" i="35"/>
  <c r="L371" i="35"/>
  <c r="L373" i="35"/>
  <c r="H135" i="35"/>
  <c r="H120" i="35"/>
  <c r="H63" i="35"/>
  <c r="H203" i="35"/>
  <c r="H205" i="35"/>
  <c r="H211" i="35"/>
  <c r="H276" i="35"/>
  <c r="H325" i="35"/>
  <c r="N93" i="35"/>
  <c r="N72" i="35"/>
  <c r="I404" i="35"/>
  <c r="O404" i="35" s="1"/>
  <c r="I512" i="35"/>
  <c r="O512" i="35" s="1"/>
  <c r="O249" i="35"/>
  <c r="H264" i="33" s="1"/>
  <c r="J264" i="33" s="1"/>
  <c r="L321" i="35"/>
  <c r="L374" i="35"/>
  <c r="I53" i="35"/>
  <c r="O53" i="35" s="1"/>
  <c r="H462" i="33" s="1"/>
  <c r="I510" i="35"/>
  <c r="O510" i="35" s="1"/>
  <c r="M53" i="35"/>
  <c r="N53" i="35" s="1"/>
  <c r="M510" i="35"/>
  <c r="N510" i="35" s="1"/>
  <c r="D1007" i="31"/>
  <c r="M1007" i="31" s="1"/>
  <c r="P508" i="35"/>
  <c r="N503" i="35"/>
  <c r="I332" i="35"/>
  <c r="O332" i="35" s="1"/>
  <c r="N505" i="35"/>
  <c r="I360" i="35"/>
  <c r="O360" i="35" s="1"/>
  <c r="I503" i="35"/>
  <c r="O503" i="35" s="1"/>
  <c r="I499" i="35"/>
  <c r="O499" i="35" s="1"/>
  <c r="I498" i="35"/>
  <c r="O498" i="35" s="1"/>
  <c r="I500" i="35"/>
  <c r="O500" i="35" s="1"/>
  <c r="I501" i="35"/>
  <c r="O501" i="35" s="1"/>
  <c r="M499" i="35"/>
  <c r="N499" i="35" s="1"/>
  <c r="M500" i="35"/>
  <c r="N500" i="35" s="1"/>
  <c r="M501" i="35"/>
  <c r="N501" i="35" s="1"/>
  <c r="M498" i="35"/>
  <c r="N498" i="35" s="1"/>
  <c r="I497" i="35"/>
  <c r="O497" i="35" s="1"/>
  <c r="I496" i="35"/>
  <c r="O496" i="35" s="1"/>
  <c r="M497" i="35"/>
  <c r="N497" i="35" s="1"/>
  <c r="M496" i="35"/>
  <c r="N496" i="35" s="1"/>
  <c r="I495" i="35"/>
  <c r="O495" i="35" s="1"/>
  <c r="I494" i="35"/>
  <c r="O494" i="35" s="1"/>
  <c r="M495" i="35"/>
  <c r="N495" i="35" s="1"/>
  <c r="M494" i="35"/>
  <c r="N494" i="35" s="1"/>
  <c r="I466" i="35"/>
  <c r="O466" i="35" s="1"/>
  <c r="I493" i="35"/>
  <c r="O493" i="35" s="1"/>
  <c r="F1007" i="31"/>
  <c r="I174" i="35"/>
  <c r="O174" i="35" s="1"/>
  <c r="H147" i="33" s="1"/>
  <c r="I492" i="35"/>
  <c r="O492" i="35" s="1"/>
  <c r="M174" i="35"/>
  <c r="N174" i="35" s="1"/>
  <c r="M492" i="35"/>
  <c r="N492" i="35" s="1"/>
  <c r="I148" i="35"/>
  <c r="O148" i="35" s="1"/>
  <c r="H138" i="33" s="1"/>
  <c r="I490" i="35"/>
  <c r="O490" i="35" s="1"/>
  <c r="M148" i="35"/>
  <c r="N148" i="35" s="1"/>
  <c r="M490" i="35"/>
  <c r="N490" i="35" s="1"/>
  <c r="I52" i="35"/>
  <c r="O52" i="35" s="1"/>
  <c r="H453" i="33" s="1"/>
  <c r="I488" i="35"/>
  <c r="O488" i="35" s="1"/>
  <c r="M52" i="35"/>
  <c r="N52" i="35" s="1"/>
  <c r="M488" i="35"/>
  <c r="N488" i="35" s="1"/>
  <c r="M485" i="35"/>
  <c r="N485" i="35" s="1"/>
  <c r="M487" i="35"/>
  <c r="N487" i="35" s="1"/>
  <c r="I298" i="35"/>
  <c r="O298" i="35" s="1"/>
  <c r="H409" i="33" s="1"/>
  <c r="I486" i="35"/>
  <c r="O486" i="35" s="1"/>
  <c r="M298" i="35"/>
  <c r="N298" i="35" s="1"/>
  <c r="M486" i="35"/>
  <c r="N486" i="35" s="1"/>
  <c r="I20" i="35"/>
  <c r="O20" i="35" s="1"/>
  <c r="H69" i="33" s="1"/>
  <c r="I485" i="35"/>
  <c r="O485" i="35" s="1"/>
  <c r="I459" i="35"/>
  <c r="O459" i="35" s="1"/>
  <c r="I484" i="35"/>
  <c r="O484" i="35" s="1"/>
  <c r="M450" i="35"/>
  <c r="N450" i="35" s="1"/>
  <c r="M484" i="35"/>
  <c r="N484" i="35" s="1"/>
  <c r="I402" i="35"/>
  <c r="O402" i="35" s="1"/>
  <c r="I482" i="35"/>
  <c r="O482" i="35" s="1"/>
  <c r="I481" i="35"/>
  <c r="O481" i="35" s="1"/>
  <c r="M481" i="35"/>
  <c r="N481" i="35" s="1"/>
  <c r="M482" i="35"/>
  <c r="N482" i="35" s="1"/>
  <c r="O480" i="35"/>
  <c r="N480" i="35"/>
  <c r="I477" i="35"/>
  <c r="O477" i="35" s="1"/>
  <c r="I479" i="35"/>
  <c r="O479" i="35" s="1"/>
  <c r="I478" i="35"/>
  <c r="O478" i="35" s="1"/>
  <c r="M477" i="35"/>
  <c r="N477" i="35" s="1"/>
  <c r="M478" i="35"/>
  <c r="N478" i="35" s="1"/>
  <c r="M479" i="35"/>
  <c r="N479" i="35" s="1"/>
  <c r="I39" i="35"/>
  <c r="O39" i="35" s="1"/>
  <c r="H458" i="33" s="1"/>
  <c r="I476" i="35"/>
  <c r="O476" i="35" s="1"/>
  <c r="M39" i="35"/>
  <c r="N39" i="35" s="1"/>
  <c r="M476" i="35"/>
  <c r="N476" i="35" s="1"/>
  <c r="G117" i="41"/>
  <c r="E115" i="41"/>
  <c r="G119" i="41"/>
  <c r="G116" i="41"/>
  <c r="G118" i="41"/>
  <c r="E120" i="41"/>
  <c r="G115" i="41"/>
  <c r="E119" i="41"/>
  <c r="E118" i="41"/>
  <c r="G121" i="41"/>
  <c r="E122" i="41"/>
  <c r="G120" i="41"/>
  <c r="E121" i="41"/>
  <c r="E117" i="41"/>
  <c r="E116" i="41"/>
  <c r="N474" i="35"/>
  <c r="M338" i="35"/>
  <c r="N338" i="35" s="1"/>
  <c r="M473" i="35"/>
  <c r="N473" i="35" s="1"/>
  <c r="R180" i="6"/>
  <c r="I464" i="35"/>
  <c r="O464" i="35" s="1"/>
  <c r="I470" i="35"/>
  <c r="O470" i="35" s="1"/>
  <c r="M464" i="35"/>
  <c r="N464" i="35" s="1"/>
  <c r="M470" i="35"/>
  <c r="N470" i="35" s="1"/>
  <c r="I433" i="35"/>
  <c r="O433" i="35" s="1"/>
  <c r="H212" i="33" s="1"/>
  <c r="I469" i="35"/>
  <c r="O469" i="35" s="1"/>
  <c r="M433" i="35"/>
  <c r="N433" i="35" s="1"/>
  <c r="M469" i="35"/>
  <c r="N469" i="35" s="1"/>
  <c r="AA355" i="31"/>
  <c r="AA354" i="31"/>
  <c r="K939" i="31"/>
  <c r="R441" i="33"/>
  <c r="B80" i="40"/>
  <c r="O234" i="35"/>
  <c r="H275" i="33" s="1"/>
  <c r="J275" i="33" s="1"/>
  <c r="AA310" i="31"/>
  <c r="AA308" i="31"/>
  <c r="R179" i="6"/>
  <c r="H8" i="36" s="1"/>
  <c r="R181" i="6"/>
  <c r="I468" i="35"/>
  <c r="O468" i="35" s="1"/>
  <c r="F972" i="31"/>
  <c r="AA319" i="31"/>
  <c r="AA336" i="31"/>
  <c r="AA350" i="31"/>
  <c r="AA349" i="31"/>
  <c r="AA118" i="31"/>
  <c r="AA149" i="31"/>
  <c r="AA331" i="31"/>
  <c r="M427" i="35"/>
  <c r="N427" i="35" s="1"/>
  <c r="M466" i="35"/>
  <c r="N466" i="35" s="1"/>
  <c r="AA330" i="31"/>
  <c r="AA309" i="31"/>
  <c r="I411" i="35"/>
  <c r="O411" i="35" s="1"/>
  <c r="I461" i="35"/>
  <c r="O461" i="35" s="1"/>
  <c r="M462" i="35"/>
  <c r="N462" i="35" s="1"/>
  <c r="N234" i="35"/>
  <c r="J103" i="41"/>
  <c r="L102" i="41"/>
  <c r="J104" i="41"/>
  <c r="AA213" i="31"/>
  <c r="L111" i="41"/>
  <c r="L112" i="41"/>
  <c r="L113" i="41"/>
  <c r="L101" i="41"/>
  <c r="J10" i="41"/>
  <c r="L104" i="41"/>
  <c r="J109" i="41"/>
  <c r="J106" i="41"/>
  <c r="L107" i="41"/>
  <c r="I113" i="41"/>
  <c r="L110" i="41"/>
  <c r="N118" i="6"/>
  <c r="P118" i="6" s="1"/>
  <c r="T118" i="6" s="1"/>
  <c r="D89" i="36" s="1"/>
  <c r="N180" i="6"/>
  <c r="P180" i="6" s="1"/>
  <c r="O118" i="6"/>
  <c r="Q118" i="6" s="1"/>
  <c r="O180" i="6"/>
  <c r="Q180" i="6" s="1"/>
  <c r="O247" i="35"/>
  <c r="H308" i="33" s="1"/>
  <c r="G104" i="41"/>
  <c r="Q131" i="6"/>
  <c r="R170" i="6"/>
  <c r="Q176" i="6"/>
  <c r="Q179" i="6"/>
  <c r="S179" i="6" s="1"/>
  <c r="C8" i="36" s="1"/>
  <c r="R178" i="6"/>
  <c r="O444" i="35"/>
  <c r="R177" i="6"/>
  <c r="I103" i="41"/>
  <c r="H431" i="35"/>
  <c r="H455" i="35"/>
  <c r="L431" i="35"/>
  <c r="L455" i="35"/>
  <c r="I66" i="35"/>
  <c r="O66" i="35" s="1"/>
  <c r="H500" i="33" s="1"/>
  <c r="I453" i="35"/>
  <c r="O453" i="35" s="1"/>
  <c r="M66" i="35"/>
  <c r="N66" i="35" s="1"/>
  <c r="M453" i="35"/>
  <c r="N453" i="35" s="1"/>
  <c r="I76" i="35"/>
  <c r="O76" i="35" s="1"/>
  <c r="H153" i="33" s="1"/>
  <c r="I452" i="35"/>
  <c r="O452" i="35" s="1"/>
  <c r="N449" i="35"/>
  <c r="I449" i="35"/>
  <c r="O449" i="35" s="1"/>
  <c r="I110" i="41"/>
  <c r="AA153" i="31"/>
  <c r="AA168" i="31"/>
  <c r="C963" i="31"/>
  <c r="D963" i="31"/>
  <c r="M963" i="31" s="1"/>
  <c r="E963" i="31"/>
  <c r="M520" i="33"/>
  <c r="AA328" i="31"/>
  <c r="AA329" i="31"/>
  <c r="G109" i="41"/>
  <c r="AA325" i="31"/>
  <c r="AA324" i="31"/>
  <c r="N325" i="33"/>
  <c r="R325" i="33" s="1"/>
  <c r="L103" i="41"/>
  <c r="E110" i="41"/>
  <c r="I100" i="41"/>
  <c r="J105" i="41"/>
  <c r="E103" i="41"/>
  <c r="J101" i="41"/>
  <c r="M104" i="41"/>
  <c r="AA167" i="31"/>
  <c r="AA166" i="31"/>
  <c r="E107" i="41"/>
  <c r="E108" i="41"/>
  <c r="E111" i="41"/>
  <c r="J16" i="41"/>
  <c r="J107" i="41"/>
  <c r="L108" i="41"/>
  <c r="M110" i="41"/>
  <c r="M109" i="41"/>
  <c r="I101" i="41"/>
  <c r="G114" i="41"/>
  <c r="L109" i="41"/>
  <c r="L100" i="41"/>
  <c r="M114" i="41"/>
  <c r="M101" i="41"/>
  <c r="E101" i="41"/>
  <c r="J108" i="41"/>
  <c r="G103" i="41"/>
  <c r="M103" i="41"/>
  <c r="I109" i="41"/>
  <c r="I107" i="41"/>
  <c r="L114" i="41"/>
  <c r="M105" i="41"/>
  <c r="M106" i="41"/>
  <c r="I102" i="41"/>
  <c r="E106" i="41"/>
  <c r="G107" i="41"/>
  <c r="J112" i="41"/>
  <c r="J100" i="41"/>
  <c r="I105" i="41"/>
  <c r="J110" i="41"/>
  <c r="L106" i="41"/>
  <c r="M100" i="41"/>
  <c r="J102" i="41"/>
  <c r="I106" i="41"/>
  <c r="L105" i="41"/>
  <c r="M107" i="41"/>
  <c r="I112" i="41"/>
  <c r="J114" i="41"/>
  <c r="M112" i="41"/>
  <c r="J113" i="41"/>
  <c r="E100" i="41"/>
  <c r="I104" i="41"/>
  <c r="I114" i="41"/>
  <c r="M113" i="41"/>
  <c r="M111" i="41"/>
  <c r="G110" i="41"/>
  <c r="E105" i="41"/>
  <c r="M108" i="41"/>
  <c r="J111" i="41"/>
  <c r="G106" i="41"/>
  <c r="E113" i="41"/>
  <c r="I108" i="41"/>
  <c r="M102" i="41"/>
  <c r="I111" i="41"/>
  <c r="G100" i="41"/>
  <c r="E102" i="41"/>
  <c r="G113" i="41"/>
  <c r="G111" i="41"/>
  <c r="E112" i="41"/>
  <c r="E104" i="41"/>
  <c r="G101" i="41"/>
  <c r="E114" i="41"/>
  <c r="G105" i="41"/>
  <c r="G112" i="41"/>
  <c r="E109" i="41"/>
  <c r="G102" i="41"/>
  <c r="G108" i="41"/>
  <c r="L91" i="41"/>
  <c r="I96" i="41"/>
  <c r="L88" i="41"/>
  <c r="L98" i="41"/>
  <c r="L97" i="41"/>
  <c r="L95" i="41"/>
  <c r="L99" i="41"/>
  <c r="I95" i="41"/>
  <c r="L86" i="41"/>
  <c r="N448" i="35"/>
  <c r="I448" i="35"/>
  <c r="O448" i="35" s="1"/>
  <c r="N447" i="35"/>
  <c r="I447" i="35"/>
  <c r="O447" i="35" s="1"/>
  <c r="N444" i="35"/>
  <c r="I446" i="35"/>
  <c r="O446" i="35" s="1"/>
  <c r="N446" i="35"/>
  <c r="O414" i="35"/>
  <c r="O445" i="35"/>
  <c r="I94" i="35"/>
  <c r="O94" i="35" s="1"/>
  <c r="H337" i="33" s="1"/>
  <c r="I442" i="35"/>
  <c r="O442" i="35" s="1"/>
  <c r="I103" i="35"/>
  <c r="O103" i="35" s="1"/>
  <c r="H437" i="33" s="1"/>
  <c r="I443" i="35"/>
  <c r="O443" i="35" s="1"/>
  <c r="M95" i="35"/>
  <c r="N95" i="35" s="1"/>
  <c r="M441" i="35"/>
  <c r="N441" i="35" s="1"/>
  <c r="I441" i="35"/>
  <c r="O441" i="35" s="1"/>
  <c r="I440" i="35"/>
  <c r="O440" i="35" s="1"/>
  <c r="N196" i="35"/>
  <c r="N439" i="35"/>
  <c r="H371" i="35"/>
  <c r="I439" i="35"/>
  <c r="O439" i="35" s="1"/>
  <c r="N438" i="35"/>
  <c r="I438" i="35"/>
  <c r="O438" i="35" s="1"/>
  <c r="I348" i="35"/>
  <c r="O348" i="35" s="1"/>
  <c r="I437" i="35"/>
  <c r="O437" i="35" s="1"/>
  <c r="AA333" i="31"/>
  <c r="AA332" i="31"/>
  <c r="L96" i="41"/>
  <c r="N436" i="35"/>
  <c r="H365" i="35"/>
  <c r="I435" i="35"/>
  <c r="O435" i="35" s="1"/>
  <c r="N434" i="35"/>
  <c r="O395" i="35"/>
  <c r="H443" i="33" s="1"/>
  <c r="S443" i="33" s="1"/>
  <c r="H374" i="35"/>
  <c r="L94" i="41"/>
  <c r="J91" i="41"/>
  <c r="J24" i="41"/>
  <c r="L93" i="41"/>
  <c r="J87" i="41"/>
  <c r="J94" i="41"/>
  <c r="L92" i="41"/>
  <c r="L87" i="41"/>
  <c r="P4" i="41"/>
  <c r="L90" i="41"/>
  <c r="R171" i="6"/>
  <c r="J98" i="41"/>
  <c r="R175" i="6"/>
  <c r="P172" i="6"/>
  <c r="P174" i="6"/>
  <c r="R172" i="6"/>
  <c r="R176" i="6"/>
  <c r="Q172" i="6"/>
  <c r="R174" i="6"/>
  <c r="P176" i="6"/>
  <c r="J26" i="41"/>
  <c r="I97" i="41"/>
  <c r="I88" i="41"/>
  <c r="J88" i="41"/>
  <c r="J97" i="41"/>
  <c r="M95" i="41"/>
  <c r="M97" i="41"/>
  <c r="M98" i="41"/>
  <c r="O434" i="35"/>
  <c r="J21" i="41"/>
  <c r="M88" i="41"/>
  <c r="J95" i="41"/>
  <c r="L89" i="41"/>
  <c r="M92" i="41"/>
  <c r="I89" i="41"/>
  <c r="I90" i="41"/>
  <c r="I93" i="41"/>
  <c r="M89" i="41"/>
  <c r="M90" i="41"/>
  <c r="J96" i="41"/>
  <c r="I94" i="41"/>
  <c r="I98" i="41"/>
  <c r="I91" i="41"/>
  <c r="M94" i="41"/>
  <c r="I87" i="41"/>
  <c r="M91" i="41"/>
  <c r="M96" i="41"/>
  <c r="M87" i="41"/>
  <c r="M93" i="41"/>
  <c r="J99" i="41"/>
  <c r="J92" i="41"/>
  <c r="J93" i="41"/>
  <c r="I99" i="41"/>
  <c r="J89" i="41"/>
  <c r="J90" i="41"/>
  <c r="I92" i="41"/>
  <c r="M99" i="41"/>
  <c r="AA187" i="31"/>
  <c r="AA152" i="31"/>
  <c r="AA165" i="31"/>
  <c r="AA212" i="31"/>
  <c r="AA327" i="31"/>
  <c r="AA326" i="31"/>
  <c r="I1013" i="31"/>
  <c r="E99" i="41"/>
  <c r="G92" i="41"/>
  <c r="E94" i="41"/>
  <c r="G93" i="41"/>
  <c r="G96" i="41"/>
  <c r="E98" i="41"/>
  <c r="G98" i="41"/>
  <c r="G95" i="41"/>
  <c r="G97" i="41"/>
  <c r="E90" i="41"/>
  <c r="G91" i="41"/>
  <c r="G99" i="41"/>
  <c r="G90" i="41"/>
  <c r="E97" i="41"/>
  <c r="E96" i="41"/>
  <c r="G94" i="41"/>
  <c r="E93" i="41"/>
  <c r="E95" i="41"/>
  <c r="E91" i="41"/>
  <c r="E92" i="41"/>
  <c r="E49" i="41"/>
  <c r="M343" i="33"/>
  <c r="C945" i="31"/>
  <c r="C989" i="31"/>
  <c r="C961" i="31"/>
  <c r="M438" i="33"/>
  <c r="C993" i="31"/>
  <c r="J22" i="41"/>
  <c r="G89" i="41"/>
  <c r="J13" i="41"/>
  <c r="J40" i="41"/>
  <c r="E88" i="41"/>
  <c r="E89" i="41"/>
  <c r="G87" i="41"/>
  <c r="G88" i="41"/>
  <c r="E87" i="41"/>
  <c r="L5" i="41"/>
  <c r="L54" i="41"/>
  <c r="J60" i="41"/>
  <c r="J5" i="41"/>
  <c r="J7" i="41"/>
  <c r="K373" i="35"/>
  <c r="M412" i="35" s="1"/>
  <c r="L429" i="35"/>
  <c r="L430" i="35"/>
  <c r="G373" i="35"/>
  <c r="I393" i="35" s="1"/>
  <c r="H430" i="35"/>
  <c r="H429" i="35"/>
  <c r="O334" i="35"/>
  <c r="H360" i="33" s="1"/>
  <c r="S360" i="33" s="1"/>
  <c r="I425" i="35"/>
  <c r="O425" i="35" s="1"/>
  <c r="I244" i="35"/>
  <c r="O244" i="35" s="1"/>
  <c r="I422" i="35"/>
  <c r="O422" i="35" s="1"/>
  <c r="B13" i="40"/>
  <c r="J19" i="41"/>
  <c r="I81" i="41"/>
  <c r="L29" i="41"/>
  <c r="L51" i="41"/>
  <c r="L36" i="41"/>
  <c r="M84" i="41"/>
  <c r="M17" i="41"/>
  <c r="I62" i="41"/>
  <c r="I29" i="41"/>
  <c r="L11" i="41"/>
  <c r="M80" i="41"/>
  <c r="M52" i="41"/>
  <c r="J14" i="41"/>
  <c r="L39" i="41"/>
  <c r="J59" i="41"/>
  <c r="M22" i="41"/>
  <c r="I56" i="41"/>
  <c r="L22" i="41"/>
  <c r="L33" i="41"/>
  <c r="L80" i="41"/>
  <c r="M23" i="41"/>
  <c r="M56" i="41"/>
  <c r="L58" i="41"/>
  <c r="L15" i="41"/>
  <c r="L84" i="41"/>
  <c r="L19" i="41"/>
  <c r="M18" i="41"/>
  <c r="M24" i="41"/>
  <c r="M35" i="41"/>
  <c r="M46" i="41"/>
  <c r="M32" i="41"/>
  <c r="M44" i="41"/>
  <c r="M51" i="41"/>
  <c r="J32" i="41"/>
  <c r="L68" i="41"/>
  <c r="J84" i="41"/>
  <c r="L34" i="41"/>
  <c r="I48" i="41"/>
  <c r="I61" i="41"/>
  <c r="L26" i="41"/>
  <c r="L67" i="41"/>
  <c r="J23" i="41"/>
  <c r="L57" i="41"/>
  <c r="L50" i="41"/>
  <c r="L61" i="41"/>
  <c r="M13" i="41"/>
  <c r="M54" i="41"/>
  <c r="M81" i="41"/>
  <c r="M61" i="41"/>
  <c r="I24" i="41"/>
  <c r="I55" i="41"/>
  <c r="J83" i="41"/>
  <c r="L30" i="41"/>
  <c r="L24" i="41"/>
  <c r="L18" i="41"/>
  <c r="M33" i="41"/>
  <c r="M30" i="41"/>
  <c r="M60" i="41"/>
  <c r="L7" i="41"/>
  <c r="M47" i="41"/>
  <c r="J52" i="41"/>
  <c r="L17" i="41"/>
  <c r="L56" i="41"/>
  <c r="J35" i="41"/>
  <c r="L21" i="41"/>
  <c r="L47" i="41"/>
  <c r="L43" i="41"/>
  <c r="M62" i="41"/>
  <c r="M16" i="41"/>
  <c r="J30" i="41"/>
  <c r="J61" i="41"/>
  <c r="L31" i="41"/>
  <c r="M15" i="41"/>
  <c r="M37" i="41"/>
  <c r="J62" i="41"/>
  <c r="L44" i="41"/>
  <c r="L41" i="41"/>
  <c r="L52" i="41"/>
  <c r="M14" i="41"/>
  <c r="I15" i="41"/>
  <c r="I3" i="41"/>
  <c r="L60" i="41"/>
  <c r="L14" i="41"/>
  <c r="M34" i="41"/>
  <c r="M29" i="41"/>
  <c r="I60" i="41"/>
  <c r="L59" i="41"/>
  <c r="L45" i="41"/>
  <c r="M57" i="41"/>
  <c r="L13" i="41"/>
  <c r="L55" i="41"/>
  <c r="L38" i="41"/>
  <c r="M43" i="41"/>
  <c r="M38" i="41"/>
  <c r="M49" i="41"/>
  <c r="M68" i="41"/>
  <c r="J63" i="41"/>
  <c r="I84" i="41"/>
  <c r="L23" i="41"/>
  <c r="L40" i="41"/>
  <c r="L63" i="41"/>
  <c r="L28" i="41"/>
  <c r="M42" i="41"/>
  <c r="M53" i="41"/>
  <c r="M7" i="41"/>
  <c r="M28" i="41"/>
  <c r="M59" i="41"/>
  <c r="J80" i="41"/>
  <c r="J81" i="41"/>
  <c r="M11" i="41"/>
  <c r="I80" i="41"/>
  <c r="L10" i="41"/>
  <c r="L4" i="41"/>
  <c r="L27" i="41"/>
  <c r="L48" i="41"/>
  <c r="M5" i="41"/>
  <c r="M27" i="41"/>
  <c r="M48" i="41"/>
  <c r="M21" i="41"/>
  <c r="I26" i="41"/>
  <c r="I74" i="41"/>
  <c r="L32" i="41"/>
  <c r="L20" i="41"/>
  <c r="L42" i="41"/>
  <c r="L53" i="41"/>
  <c r="L16" i="41"/>
  <c r="L37" i="41"/>
  <c r="L3" i="41"/>
  <c r="M19" i="41"/>
  <c r="M26" i="41"/>
  <c r="M3" i="41"/>
  <c r="M10" i="41"/>
  <c r="M31" i="41"/>
  <c r="M25" i="41"/>
  <c r="M36" i="41"/>
  <c r="M67" i="41"/>
  <c r="M20" i="41"/>
  <c r="M41" i="41"/>
  <c r="J3" i="41"/>
  <c r="I59" i="41"/>
  <c r="L62" i="41"/>
  <c r="J55" i="41"/>
  <c r="I4" i="41"/>
  <c r="L25" i="41"/>
  <c r="L46" i="41"/>
  <c r="M45" i="41"/>
  <c r="M39" i="41"/>
  <c r="M58" i="41"/>
  <c r="J72" i="41"/>
  <c r="L49" i="41"/>
  <c r="L35" i="41"/>
  <c r="L81" i="41"/>
  <c r="M40" i="41"/>
  <c r="M63" i="41"/>
  <c r="M55" i="41"/>
  <c r="M50" i="41"/>
  <c r="E7" i="41"/>
  <c r="E10" i="41"/>
  <c r="E11" i="41"/>
  <c r="E57" i="41"/>
  <c r="I86" i="41"/>
  <c r="E38" i="41"/>
  <c r="E56" i="41"/>
  <c r="E18" i="41"/>
  <c r="E80" i="41"/>
  <c r="E44" i="41"/>
  <c r="E53" i="41"/>
  <c r="E16" i="41"/>
  <c r="E13" i="41"/>
  <c r="I407" i="35"/>
  <c r="O407" i="35" s="1"/>
  <c r="I420" i="35"/>
  <c r="O420" i="35" s="1"/>
  <c r="M418" i="35"/>
  <c r="N418" i="35" s="1"/>
  <c r="I418" i="35"/>
  <c r="O418" i="35" s="1"/>
  <c r="E19" i="41"/>
  <c r="E50" i="41"/>
  <c r="E22" i="41"/>
  <c r="E24" i="41"/>
  <c r="E21" i="41"/>
  <c r="E3" i="41"/>
  <c r="E35" i="41"/>
  <c r="E81" i="41"/>
  <c r="E29" i="41"/>
  <c r="E20" i="41"/>
  <c r="E63" i="41"/>
  <c r="E31" i="41"/>
  <c r="E23" i="41"/>
  <c r="E43" i="41"/>
  <c r="E5" i="41"/>
  <c r="E54" i="41"/>
  <c r="E14" i="41"/>
  <c r="E58" i="41"/>
  <c r="E28" i="41"/>
  <c r="E32" i="41"/>
  <c r="E41" i="41"/>
  <c r="E36" i="41"/>
  <c r="E46" i="41"/>
  <c r="E26" i="41"/>
  <c r="E40" i="41"/>
  <c r="E27" i="41"/>
  <c r="E84" i="41"/>
  <c r="E33" i="41"/>
  <c r="E48" i="41"/>
  <c r="E47" i="41"/>
  <c r="E25" i="41"/>
  <c r="E55" i="41"/>
  <c r="E67" i="41"/>
  <c r="E17" i="41"/>
  <c r="E59" i="41"/>
  <c r="E60" i="41"/>
  <c r="E42" i="41"/>
  <c r="E45" i="41"/>
  <c r="E74" i="41"/>
  <c r="E62" i="41"/>
  <c r="E83" i="41"/>
  <c r="E30" i="41"/>
  <c r="E79" i="41"/>
  <c r="E76" i="41"/>
  <c r="E15" i="41"/>
  <c r="E52" i="41"/>
  <c r="E72" i="41"/>
  <c r="E68" i="41"/>
  <c r="E65" i="41"/>
  <c r="E64" i="41"/>
  <c r="E85" i="41"/>
  <c r="E8" i="41"/>
  <c r="I85" i="41"/>
  <c r="E6" i="41"/>
  <c r="E70" i="41"/>
  <c r="E4" i="41"/>
  <c r="E69" i="41"/>
  <c r="E73" i="41"/>
  <c r="E86" i="41"/>
  <c r="E12" i="41"/>
  <c r="E66" i="41"/>
  <c r="E77" i="41"/>
  <c r="M277" i="33"/>
  <c r="M86" i="41"/>
  <c r="J86" i="41"/>
  <c r="L71" i="41"/>
  <c r="I70" i="41"/>
  <c r="L82" i="41"/>
  <c r="J12" i="41"/>
  <c r="J8" i="41"/>
  <c r="I71" i="41"/>
  <c r="M66" i="41"/>
  <c r="B42" i="40"/>
  <c r="C47" i="34"/>
  <c r="I75" i="41"/>
  <c r="L83" i="41"/>
  <c r="M78" i="41"/>
  <c r="J76" i="41"/>
  <c r="L65" i="41"/>
  <c r="E37" i="41"/>
  <c r="I68" i="41"/>
  <c r="I76" i="41"/>
  <c r="M73" i="41"/>
  <c r="M12" i="41"/>
  <c r="M8" i="41"/>
  <c r="M69" i="41"/>
  <c r="L74" i="41"/>
  <c r="J9" i="41"/>
  <c r="E75" i="41"/>
  <c r="J74" i="41"/>
  <c r="E78" i="41"/>
  <c r="L72" i="41"/>
  <c r="L6" i="41"/>
  <c r="E51" i="41"/>
  <c r="E82" i="41"/>
  <c r="M64" i="41"/>
  <c r="I79" i="41"/>
  <c r="J64" i="41"/>
  <c r="J6" i="41"/>
  <c r="J66" i="41"/>
  <c r="J69" i="41"/>
  <c r="J73" i="41"/>
  <c r="L75" i="41"/>
  <c r="J4" i="41"/>
  <c r="I82" i="41"/>
  <c r="L12" i="41"/>
  <c r="L78" i="41"/>
  <c r="M82" i="41"/>
  <c r="L70" i="41"/>
  <c r="L9" i="41"/>
  <c r="I65" i="41"/>
  <c r="I72" i="41"/>
  <c r="J77" i="41"/>
  <c r="I83" i="41"/>
  <c r="L79" i="41"/>
  <c r="M65" i="41"/>
  <c r="M76" i="41"/>
  <c r="M75" i="41"/>
  <c r="M9" i="41"/>
  <c r="J68" i="41"/>
  <c r="J79" i="41"/>
  <c r="L64" i="41"/>
  <c r="L85" i="41"/>
  <c r="M4" i="41"/>
  <c r="M74" i="41"/>
  <c r="M85" i="41"/>
  <c r="M70" i="41"/>
  <c r="I66" i="41"/>
  <c r="L73" i="41"/>
  <c r="M72" i="41"/>
  <c r="M83" i="41"/>
  <c r="I77" i="41"/>
  <c r="I9" i="41"/>
  <c r="M79" i="41"/>
  <c r="I12" i="41"/>
  <c r="I69" i="41"/>
  <c r="I73" i="41"/>
  <c r="L77" i="41"/>
  <c r="I64" i="41"/>
  <c r="J70" i="41"/>
  <c r="J78" i="41"/>
  <c r="I8" i="41"/>
  <c r="J82" i="41"/>
  <c r="L69" i="41"/>
  <c r="L8" i="41"/>
  <c r="L66" i="41"/>
  <c r="M6" i="41"/>
  <c r="I6" i="41"/>
  <c r="I78" i="41"/>
  <c r="J85" i="41"/>
  <c r="L76" i="41"/>
  <c r="M77" i="41"/>
  <c r="J65" i="41"/>
  <c r="J71" i="41"/>
  <c r="J75" i="41"/>
  <c r="M71" i="41"/>
  <c r="E71" i="41"/>
  <c r="E9" i="41"/>
  <c r="E61" i="41"/>
  <c r="B85" i="40"/>
  <c r="F85" i="40" s="1"/>
  <c r="B86" i="40"/>
  <c r="G23" i="41"/>
  <c r="G37" i="41"/>
  <c r="G68" i="41"/>
  <c r="G44" i="41"/>
  <c r="G61" i="41"/>
  <c r="G33" i="41"/>
  <c r="G64" i="41"/>
  <c r="G16" i="41"/>
  <c r="G67" i="41"/>
  <c r="G78" i="41"/>
  <c r="G32" i="41"/>
  <c r="G58" i="41"/>
  <c r="G71" i="41"/>
  <c r="G43" i="41"/>
  <c r="G74" i="41"/>
  <c r="G5" i="41"/>
  <c r="G26" i="41"/>
  <c r="G84" i="41"/>
  <c r="G50" i="41"/>
  <c r="G9" i="41"/>
  <c r="G22" i="41"/>
  <c r="G53" i="41"/>
  <c r="G12" i="41"/>
  <c r="G15" i="41"/>
  <c r="G36" i="41"/>
  <c r="G6" i="41"/>
  <c r="G29" i="41"/>
  <c r="G60" i="41"/>
  <c r="G47" i="41"/>
  <c r="G4" i="41"/>
  <c r="G25" i="41"/>
  <c r="G46" i="41"/>
  <c r="G77" i="41"/>
  <c r="G30" i="41"/>
  <c r="G57" i="41"/>
  <c r="G70" i="41"/>
  <c r="G42" i="41"/>
  <c r="G73" i="41"/>
  <c r="G19" i="41"/>
  <c r="G35" i="41"/>
  <c r="G81" i="41"/>
  <c r="G38" i="41"/>
  <c r="G49" i="41"/>
  <c r="G8" i="41"/>
  <c r="G11" i="41"/>
  <c r="G52" i="41"/>
  <c r="G83" i="41"/>
  <c r="G14" i="41"/>
  <c r="G45" i="41"/>
  <c r="G66" i="41"/>
  <c r="G28" i="41"/>
  <c r="G59" i="41"/>
  <c r="G21" i="41"/>
  <c r="G62" i="41"/>
  <c r="G24" i="41"/>
  <c r="G55" i="41"/>
  <c r="G76" i="41"/>
  <c r="G7" i="41"/>
  <c r="G56" i="41"/>
  <c r="G69" i="41"/>
  <c r="G31" i="41"/>
  <c r="G72" i="41"/>
  <c r="G18" i="41"/>
  <c r="G54" i="41"/>
  <c r="G65" i="41"/>
  <c r="G86" i="41"/>
  <c r="G17" i="41"/>
  <c r="G48" i="41"/>
  <c r="G79" i="41"/>
  <c r="G10" i="41"/>
  <c r="G41" i="41"/>
  <c r="G82" i="41"/>
  <c r="G13" i="41"/>
  <c r="G63" i="41"/>
  <c r="G75" i="41"/>
  <c r="G27" i="41"/>
  <c r="G3" i="41"/>
  <c r="G20" i="41"/>
  <c r="G51" i="41"/>
  <c r="G40" i="41"/>
  <c r="G80" i="41"/>
  <c r="G85" i="41"/>
  <c r="L2" i="41"/>
  <c r="M2" i="41"/>
  <c r="D2" i="41" a="1"/>
  <c r="D2" i="41" s="1"/>
  <c r="H2" i="41" a="1"/>
  <c r="H2" i="41" s="1"/>
  <c r="J47" i="34"/>
  <c r="N416" i="35"/>
  <c r="N414" i="35"/>
  <c r="K1022" i="31"/>
  <c r="H907" i="31"/>
  <c r="AA318" i="31"/>
  <c r="O127" i="6"/>
  <c r="Q127" i="6" s="1"/>
  <c r="O174" i="6"/>
  <c r="Q174" i="6" s="1"/>
  <c r="O173" i="6"/>
  <c r="Q173" i="6" s="1"/>
  <c r="N170" i="6"/>
  <c r="P170" i="6" s="1"/>
  <c r="O171" i="6"/>
  <c r="Q171" i="6" s="1"/>
  <c r="O170" i="6"/>
  <c r="Q170" i="6" s="1"/>
  <c r="N173" i="6"/>
  <c r="P173" i="6" s="1"/>
  <c r="N175" i="6"/>
  <c r="P175" i="6" s="1"/>
  <c r="O175" i="6"/>
  <c r="Q175" i="6" s="1"/>
  <c r="N133" i="6"/>
  <c r="P133" i="6" s="1"/>
  <c r="N169" i="6"/>
  <c r="P169" i="6" s="1"/>
  <c r="O169" i="6"/>
  <c r="Q169" i="6" s="1"/>
  <c r="P12" i="6"/>
  <c r="G31" i="36" s="1"/>
  <c r="I31" i="36" s="1"/>
  <c r="R123" i="6"/>
  <c r="O168" i="6"/>
  <c r="Q168" i="6" s="1"/>
  <c r="R168" i="6"/>
  <c r="P13" i="6"/>
  <c r="G70" i="36" s="1"/>
  <c r="I70" i="36" s="1"/>
  <c r="R142" i="6"/>
  <c r="Q75" i="6"/>
  <c r="L412" i="35"/>
  <c r="H412" i="35"/>
  <c r="AA206" i="31"/>
  <c r="AA197" i="31"/>
  <c r="O410" i="35"/>
  <c r="N410" i="35"/>
  <c r="AA237" i="31"/>
  <c r="AA322" i="31"/>
  <c r="AA321" i="31"/>
  <c r="AA367" i="31"/>
  <c r="AA366" i="31"/>
  <c r="K920" i="31"/>
  <c r="E917" i="31"/>
  <c r="AA317" i="31"/>
  <c r="G924" i="31"/>
  <c r="E924" i="31"/>
  <c r="D924" i="31"/>
  <c r="M924" i="31" s="1"/>
  <c r="C1011" i="31"/>
  <c r="C924" i="31"/>
  <c r="N168" i="6"/>
  <c r="P168" i="6" s="1"/>
  <c r="D1000" i="31"/>
  <c r="M1000" i="31" s="1"/>
  <c r="H1000" i="31"/>
  <c r="AA316" i="31"/>
  <c r="I409" i="35"/>
  <c r="O409" i="35" s="1"/>
  <c r="R166" i="6"/>
  <c r="H21" i="36" s="1"/>
  <c r="R370" i="33"/>
  <c r="AA315" i="31"/>
  <c r="AA314" i="31"/>
  <c r="AA313" i="31"/>
  <c r="AA312" i="31"/>
  <c r="AA311" i="31"/>
  <c r="AA163" i="31"/>
  <c r="P166" i="6"/>
  <c r="G21" i="36" s="1"/>
  <c r="I21" i="36" s="1"/>
  <c r="R39" i="33"/>
  <c r="B82" i="40"/>
  <c r="R483" i="33"/>
  <c r="B36" i="40"/>
  <c r="R167" i="6"/>
  <c r="K907" i="31"/>
  <c r="I987" i="31"/>
  <c r="Q167" i="6"/>
  <c r="AA157" i="31"/>
  <c r="AA159" i="31"/>
  <c r="AA188" i="31"/>
  <c r="O394" i="35"/>
  <c r="H459" i="33" s="1"/>
  <c r="I400" i="35"/>
  <c r="O400" i="35" s="1"/>
  <c r="I399" i="35"/>
  <c r="O399" i="35" s="1"/>
  <c r="Q160" i="6"/>
  <c r="R163" i="6"/>
  <c r="N40" i="6"/>
  <c r="P40" i="6" s="1"/>
  <c r="G11" i="36" s="1"/>
  <c r="I11" i="36" s="1"/>
  <c r="AA68" i="31"/>
  <c r="AA54" i="31"/>
  <c r="AA156" i="31"/>
  <c r="AA230" i="31"/>
  <c r="O396" i="35"/>
  <c r="R165" i="6"/>
  <c r="H44" i="36" s="1"/>
  <c r="P165" i="6"/>
  <c r="G44" i="36" s="1"/>
  <c r="I44" i="36" s="1"/>
  <c r="R164" i="6"/>
  <c r="H33" i="36" s="1"/>
  <c r="Q159" i="6"/>
  <c r="P159" i="6"/>
  <c r="G92" i="36" s="1"/>
  <c r="I92" i="36" s="1"/>
  <c r="N396" i="35"/>
  <c r="I50" i="41"/>
  <c r="I43" i="41"/>
  <c r="I58" i="41"/>
  <c r="J42" i="41"/>
  <c r="I49" i="41"/>
  <c r="J45" i="41"/>
  <c r="I45" i="41"/>
  <c r="I37" i="41"/>
  <c r="J49" i="41"/>
  <c r="I46" i="41"/>
  <c r="J43" i="41"/>
  <c r="J48" i="41"/>
  <c r="J50" i="41"/>
  <c r="J67" i="41"/>
  <c r="J46" i="41"/>
  <c r="I67" i="41"/>
  <c r="I63" i="41"/>
  <c r="I52" i="41"/>
  <c r="J53" i="41"/>
  <c r="I53" i="41"/>
  <c r="J51" i="41"/>
  <c r="I51" i="41"/>
  <c r="L393" i="35"/>
  <c r="M389" i="35"/>
  <c r="N389" i="35" s="1"/>
  <c r="M398" i="35"/>
  <c r="N398" i="35" s="1"/>
  <c r="Q162" i="6"/>
  <c r="D972" i="31"/>
  <c r="M972" i="31" s="1"/>
  <c r="R160" i="6"/>
  <c r="P158" i="6"/>
  <c r="AA288" i="31"/>
  <c r="AA287" i="31"/>
  <c r="AA283" i="31"/>
  <c r="F980" i="31"/>
  <c r="N394" i="35"/>
  <c r="H378" i="35"/>
  <c r="H393" i="35"/>
  <c r="H373" i="35"/>
  <c r="AA286" i="31"/>
  <c r="AA297" i="31"/>
  <c r="P162" i="6"/>
  <c r="H980" i="31"/>
  <c r="AA298" i="31"/>
  <c r="N392" i="35"/>
  <c r="I72" i="35"/>
  <c r="O72" i="35" s="1"/>
  <c r="H310" i="33" s="1"/>
  <c r="I392" i="35"/>
  <c r="O392" i="35" s="1"/>
  <c r="AA291" i="31"/>
  <c r="AA282" i="31"/>
  <c r="AA267" i="31"/>
  <c r="AA294" i="31"/>
  <c r="H920" i="31"/>
  <c r="M407" i="33"/>
  <c r="C920" i="31"/>
  <c r="D920" i="31"/>
  <c r="M920" i="31" s="1"/>
  <c r="F920" i="31"/>
  <c r="AA279" i="31"/>
  <c r="AA135" i="31"/>
  <c r="AA137" i="31"/>
  <c r="AA262" i="31"/>
  <c r="D997" i="31"/>
  <c r="M997" i="31" s="1"/>
  <c r="G997" i="31"/>
  <c r="AA428" i="31"/>
  <c r="E947" i="31"/>
  <c r="L390" i="35"/>
  <c r="H390" i="35"/>
  <c r="P160" i="6"/>
  <c r="S164" i="6"/>
  <c r="C33" i="36" s="1"/>
  <c r="R159" i="6"/>
  <c r="H92" i="36" s="1"/>
  <c r="Q158" i="6"/>
  <c r="M91" i="6"/>
  <c r="R91" i="6" s="1"/>
  <c r="O163" i="6"/>
  <c r="Q163" i="6" s="1"/>
  <c r="R162" i="6"/>
  <c r="R158" i="6"/>
  <c r="N163" i="6"/>
  <c r="P163" i="6" s="1"/>
  <c r="R353" i="33"/>
  <c r="B47" i="34"/>
  <c r="R161" i="6"/>
  <c r="Q13" i="6"/>
  <c r="R155" i="6"/>
  <c r="H6" i="36" s="1"/>
  <c r="R157" i="6"/>
  <c r="O125" i="6"/>
  <c r="Q125" i="6" s="1"/>
  <c r="R156" i="6"/>
  <c r="Q12" i="6"/>
  <c r="N153" i="6"/>
  <c r="P153" i="6" s="1"/>
  <c r="R154" i="6"/>
  <c r="AA271" i="31"/>
  <c r="AA276" i="31"/>
  <c r="AA284" i="31"/>
  <c r="AA285" i="31"/>
  <c r="O375" i="35"/>
  <c r="AA289" i="31"/>
  <c r="N382" i="35"/>
  <c r="N379" i="35"/>
  <c r="I377" i="35"/>
  <c r="O377" i="35" s="1"/>
  <c r="AA229" i="31"/>
  <c r="R394" i="33"/>
  <c r="N376" i="35"/>
  <c r="AA293" i="31"/>
  <c r="J57" i="41"/>
  <c r="AA266" i="31"/>
  <c r="O2" i="41"/>
  <c r="N2" i="41" s="1"/>
  <c r="AA574" i="31"/>
  <c r="AA280" i="31"/>
  <c r="I33" i="41"/>
  <c r="AA277" i="31"/>
  <c r="AA274" i="31"/>
  <c r="D917" i="31"/>
  <c r="M917" i="31" s="1"/>
  <c r="F917" i="31"/>
  <c r="H917" i="31"/>
  <c r="M397" i="33"/>
  <c r="C917" i="31"/>
  <c r="N196" i="33"/>
  <c r="R196" i="33" s="1"/>
  <c r="I40" i="41"/>
  <c r="F2" i="41"/>
  <c r="K2" i="41"/>
  <c r="I25" i="41"/>
  <c r="J2" i="41"/>
  <c r="I38" i="41"/>
  <c r="B2" i="41"/>
  <c r="I34" i="41"/>
  <c r="I42" i="41"/>
  <c r="I41" i="41"/>
  <c r="F34" i="41"/>
  <c r="J54" i="41"/>
  <c r="I7" i="41"/>
  <c r="I28" i="41"/>
  <c r="I31" i="41"/>
  <c r="I47" i="41"/>
  <c r="I5" i="41"/>
  <c r="J37" i="41"/>
  <c r="J44" i="41"/>
  <c r="I20" i="41"/>
  <c r="I44" i="41"/>
  <c r="I30" i="41"/>
  <c r="J15" i="41"/>
  <c r="I17" i="41"/>
  <c r="I36" i="41"/>
  <c r="I13" i="41"/>
  <c r="G941" i="31"/>
  <c r="J907" i="31"/>
  <c r="J47" i="41"/>
  <c r="J33" i="41"/>
  <c r="J41" i="41"/>
  <c r="J27" i="41"/>
  <c r="J31" i="41"/>
  <c r="J29" i="41"/>
  <c r="J20" i="41"/>
  <c r="J28" i="41"/>
  <c r="C1001" i="31"/>
  <c r="J17" i="41"/>
  <c r="I54" i="41"/>
  <c r="I18" i="41"/>
  <c r="F986" i="31"/>
  <c r="AA222" i="31"/>
  <c r="M519" i="33"/>
  <c r="C911" i="31"/>
  <c r="D911" i="31"/>
  <c r="M911" i="31" s="1"/>
  <c r="E911" i="31"/>
  <c r="G911" i="31"/>
  <c r="AA216" i="31"/>
  <c r="AA281" i="31"/>
  <c r="I35" i="41"/>
  <c r="I14" i="41"/>
  <c r="I10" i="41"/>
  <c r="J58" i="41"/>
  <c r="I27" i="41"/>
  <c r="I23" i="41"/>
  <c r="J18" i="41"/>
  <c r="I16" i="41"/>
  <c r="I32" i="41"/>
  <c r="I21" i="41"/>
  <c r="I57" i="41"/>
  <c r="J38" i="41"/>
  <c r="J36" i="41"/>
  <c r="I19" i="41"/>
  <c r="J25" i="41"/>
  <c r="I22" i="41"/>
  <c r="I2" i="41"/>
  <c r="J11" i="41"/>
  <c r="I11" i="41"/>
  <c r="J56" i="41"/>
  <c r="I372" i="35"/>
  <c r="O372" i="35" s="1"/>
  <c r="AA265" i="31"/>
  <c r="AA270" i="31"/>
  <c r="G947" i="31"/>
  <c r="D947" i="31"/>
  <c r="M947" i="31" s="1"/>
  <c r="AA269" i="31"/>
  <c r="Q1029" i="31"/>
  <c r="J34" i="41"/>
  <c r="R1029" i="31"/>
  <c r="O154" i="6"/>
  <c r="Q154" i="6" s="1"/>
  <c r="M153" i="6"/>
  <c r="R153" i="6" s="1"/>
  <c r="N154" i="6"/>
  <c r="P154" i="6" s="1"/>
  <c r="P105" i="6"/>
  <c r="G88" i="36" s="1"/>
  <c r="I88" i="36" s="1"/>
  <c r="N280" i="35"/>
  <c r="C38" i="34"/>
  <c r="I363" i="35"/>
  <c r="O363" i="35" s="1"/>
  <c r="I368" i="35"/>
  <c r="O368" i="35" s="1"/>
  <c r="I367" i="35"/>
  <c r="O367" i="35" s="1"/>
  <c r="M322" i="35"/>
  <c r="N322" i="35" s="1"/>
  <c r="M366" i="35"/>
  <c r="N366" i="35" s="1"/>
  <c r="J38" i="34"/>
  <c r="B38" i="34"/>
  <c r="B53" i="40"/>
  <c r="AA278" i="31"/>
  <c r="AA292" i="31"/>
  <c r="H923" i="31"/>
  <c r="M404" i="33"/>
  <c r="C923" i="31"/>
  <c r="D923" i="31"/>
  <c r="M923" i="31" s="1"/>
  <c r="F923" i="31"/>
  <c r="AA275" i="31"/>
  <c r="AA242" i="31"/>
  <c r="AA232" i="31"/>
  <c r="I274" i="35"/>
  <c r="O274" i="35" s="1"/>
  <c r="I364" i="35"/>
  <c r="O364" i="35" s="1"/>
  <c r="AA261" i="31"/>
  <c r="AA273" i="31"/>
  <c r="AA228" i="31"/>
  <c r="M147" i="33"/>
  <c r="C970" i="31"/>
  <c r="D970" i="31"/>
  <c r="E970" i="31"/>
  <c r="G970" i="31"/>
  <c r="AA241" i="31"/>
  <c r="K39" i="41"/>
  <c r="F39" i="41"/>
  <c r="AA259" i="31"/>
  <c r="M457" i="33"/>
  <c r="C919" i="31"/>
  <c r="I39" i="41"/>
  <c r="J39" i="41"/>
  <c r="B39" i="41"/>
  <c r="C1005" i="31"/>
  <c r="C972" i="31"/>
  <c r="G1013" i="31"/>
  <c r="C982" i="31"/>
  <c r="J979" i="31"/>
  <c r="I958" i="31"/>
  <c r="AA268" i="31"/>
  <c r="D941" i="31"/>
  <c r="M941" i="31" s="1"/>
  <c r="M349" i="35"/>
  <c r="N349" i="35" s="1"/>
  <c r="I36" i="35"/>
  <c r="O36" i="35" s="1"/>
  <c r="H28" i="33" s="1"/>
  <c r="I349" i="35"/>
  <c r="O349" i="35" s="1"/>
  <c r="I326" i="35"/>
  <c r="O326" i="35" s="1"/>
  <c r="I351" i="35"/>
  <c r="O351" i="35" s="1"/>
  <c r="N347" i="35"/>
  <c r="O347" i="35"/>
  <c r="O346" i="35"/>
  <c r="N346" i="35"/>
  <c r="O344" i="35"/>
  <c r="O345" i="35"/>
  <c r="N344" i="35"/>
  <c r="O342" i="35"/>
  <c r="N343" i="35"/>
  <c r="O343" i="35"/>
  <c r="N342" i="35"/>
  <c r="N288" i="35"/>
  <c r="AA255" i="31"/>
  <c r="I952" i="31"/>
  <c r="I258" i="35"/>
  <c r="O258" i="35" s="1"/>
  <c r="I341" i="35"/>
  <c r="O341" i="35" s="1"/>
  <c r="E979" i="31"/>
  <c r="I979" i="31"/>
  <c r="E958" i="31"/>
  <c r="D992" i="31"/>
  <c r="M992" i="31" s="1"/>
  <c r="D926" i="31"/>
  <c r="M926" i="31" s="1"/>
  <c r="E941" i="31"/>
  <c r="E926" i="31"/>
  <c r="E1013" i="31"/>
  <c r="E992" i="31"/>
  <c r="E952" i="31"/>
  <c r="C941" i="31"/>
  <c r="C992" i="31"/>
  <c r="C958" i="31"/>
  <c r="C1013" i="31"/>
  <c r="C926" i="31"/>
  <c r="M28" i="33"/>
  <c r="C952" i="31"/>
  <c r="D1013" i="31"/>
  <c r="M1013" i="31" s="1"/>
  <c r="D958" i="31"/>
  <c r="M958" i="31" s="1"/>
  <c r="D952" i="31"/>
  <c r="M952" i="31" s="1"/>
  <c r="AA257" i="31"/>
  <c r="AA256" i="31"/>
  <c r="B895" i="31"/>
  <c r="F895" i="31" s="1"/>
  <c r="B881" i="31"/>
  <c r="AA254" i="31"/>
  <c r="I272" i="35"/>
  <c r="O272" i="35" s="1"/>
  <c r="I339" i="35"/>
  <c r="O339" i="35" s="1"/>
  <c r="I338" i="35"/>
  <c r="O338" i="35" s="1"/>
  <c r="AA253" i="31"/>
  <c r="AA248" i="31"/>
  <c r="AA247" i="31"/>
  <c r="AA251" i="31"/>
  <c r="AA252" i="31"/>
  <c r="R249" i="33"/>
  <c r="B33" i="34"/>
  <c r="I262" i="35"/>
  <c r="O262" i="35" s="1"/>
  <c r="I335" i="35"/>
  <c r="O335" i="35" s="1"/>
  <c r="M36" i="35"/>
  <c r="N36" i="35" s="1"/>
  <c r="M333" i="35"/>
  <c r="N333" i="35" s="1"/>
  <c r="I333" i="35"/>
  <c r="O333" i="35" s="1"/>
  <c r="AA250" i="31"/>
  <c r="AA249" i="31"/>
  <c r="AA246" i="31"/>
  <c r="AA245" i="31"/>
  <c r="AA218" i="31"/>
  <c r="AA204" i="31"/>
  <c r="AA201" i="31"/>
  <c r="AA195" i="31"/>
  <c r="I327" i="35"/>
  <c r="O327" i="35" s="1"/>
  <c r="AA215" i="31"/>
  <c r="AA236" i="31"/>
  <c r="AA239" i="31"/>
  <c r="AA303" i="31"/>
  <c r="AA219" i="31"/>
  <c r="R152" i="6"/>
  <c r="N27" i="35"/>
  <c r="AA263" i="31"/>
  <c r="AA264" i="31"/>
  <c r="P152" i="6"/>
  <c r="Q152" i="6"/>
  <c r="N318" i="35"/>
  <c r="I318" i="35"/>
  <c r="O318" i="35" s="1"/>
  <c r="I316" i="35"/>
  <c r="O316" i="35" s="1"/>
  <c r="AA235" i="31"/>
  <c r="N306" i="35"/>
  <c r="N313" i="35"/>
  <c r="O313" i="35"/>
  <c r="M98" i="33"/>
  <c r="O306" i="35"/>
  <c r="H482" i="33" s="1"/>
  <c r="K482" i="33" s="1"/>
  <c r="N100" i="6"/>
  <c r="P100" i="6" s="1"/>
  <c r="M94" i="6"/>
  <c r="R94" i="6" s="1"/>
  <c r="O311" i="35"/>
  <c r="H246" i="33" s="1"/>
  <c r="N284" i="35"/>
  <c r="N94" i="6"/>
  <c r="P94" i="6" s="1"/>
  <c r="N46" i="6"/>
  <c r="P46" i="6" s="1"/>
  <c r="N91" i="6"/>
  <c r="P91" i="6" s="1"/>
  <c r="N125" i="6"/>
  <c r="P125" i="6" s="1"/>
  <c r="G68" i="36" s="1"/>
  <c r="I68" i="36" s="1"/>
  <c r="M95" i="6"/>
  <c r="R95" i="6" s="1"/>
  <c r="Q99" i="6"/>
  <c r="M96" i="6"/>
  <c r="R96" i="6" s="1"/>
  <c r="N106" i="6"/>
  <c r="P106" i="6" s="1"/>
  <c r="G47" i="36" s="1"/>
  <c r="I47" i="36" s="1"/>
  <c r="R224" i="33"/>
  <c r="B52" i="40"/>
  <c r="R193" i="33"/>
  <c r="B40" i="34"/>
  <c r="G40" i="34" s="1"/>
  <c r="B67" i="40"/>
  <c r="R429" i="33"/>
  <c r="R185" i="33"/>
  <c r="R490" i="33"/>
  <c r="R409" i="33"/>
  <c r="B57" i="40"/>
  <c r="R236" i="33"/>
  <c r="B74" i="40"/>
  <c r="R186" i="33"/>
  <c r="O305" i="35"/>
  <c r="N104" i="35"/>
  <c r="O102" i="35"/>
  <c r="H283" i="33" s="1"/>
  <c r="N4" i="35"/>
  <c r="O214" i="35"/>
  <c r="O170" i="35"/>
  <c r="N24" i="35"/>
  <c r="N71" i="35"/>
  <c r="O190" i="35"/>
  <c r="N33" i="35"/>
  <c r="O119" i="35"/>
  <c r="O38" i="35"/>
  <c r="H479" i="33" s="1"/>
  <c r="O188" i="35"/>
  <c r="N45" i="35"/>
  <c r="N67" i="35"/>
  <c r="N151" i="6"/>
  <c r="P151" i="6" s="1"/>
  <c r="N115" i="6"/>
  <c r="P115" i="6" s="1"/>
  <c r="N303" i="35"/>
  <c r="N301" i="35"/>
  <c r="I297" i="35"/>
  <c r="O297" i="35" s="1"/>
  <c r="N25" i="35"/>
  <c r="N296" i="35"/>
  <c r="I77" i="35"/>
  <c r="O77" i="35" s="1"/>
  <c r="H485" i="33" s="1"/>
  <c r="I296" i="35"/>
  <c r="O296" i="35" s="1"/>
  <c r="R211" i="33"/>
  <c r="I79" i="35"/>
  <c r="O79" i="35" s="1"/>
  <c r="H232" i="33" s="1"/>
  <c r="I292" i="35"/>
  <c r="O292" i="35" s="1"/>
  <c r="N289" i="35"/>
  <c r="I64" i="35"/>
  <c r="O64" i="35" s="1"/>
  <c r="H404" i="33" s="1"/>
  <c r="I288" i="35"/>
  <c r="O288" i="35" s="1"/>
  <c r="N281" i="35"/>
  <c r="H261" i="33"/>
  <c r="R384" i="33"/>
  <c r="AA395" i="31"/>
  <c r="I281" i="35"/>
  <c r="O281" i="35" s="1"/>
  <c r="N279" i="35"/>
  <c r="I279" i="35"/>
  <c r="O279" i="35" s="1"/>
  <c r="N278" i="35"/>
  <c r="I278" i="35"/>
  <c r="O278" i="35" s="1"/>
  <c r="AA260" i="31"/>
  <c r="AA302" i="31"/>
  <c r="N264" i="35"/>
  <c r="O264" i="35"/>
  <c r="H184" i="33" s="1"/>
  <c r="K184" i="33" s="1"/>
  <c r="N102" i="35"/>
  <c r="AA211" i="31"/>
  <c r="AA214" i="31"/>
  <c r="M151" i="6"/>
  <c r="R151" i="6" s="1"/>
  <c r="N150" i="6"/>
  <c r="P150" i="6" s="1"/>
  <c r="N149" i="6"/>
  <c r="P149" i="6" s="1"/>
  <c r="M149" i="6"/>
  <c r="R149" i="6" s="1"/>
  <c r="M150" i="6"/>
  <c r="R150" i="6" s="1"/>
  <c r="N101" i="6"/>
  <c r="P101" i="6" s="1"/>
  <c r="R148" i="6"/>
  <c r="H20" i="36" s="1"/>
  <c r="Q146" i="6"/>
  <c r="M511" i="33"/>
  <c r="AA231" i="31"/>
  <c r="AA208" i="31"/>
  <c r="AA221" i="31"/>
  <c r="AA209" i="31"/>
  <c r="AA210" i="31"/>
  <c r="AA296" i="31"/>
  <c r="AA217" i="31"/>
  <c r="AA220" i="31"/>
  <c r="R146" i="6"/>
  <c r="R147" i="6"/>
  <c r="H66" i="36" s="1"/>
  <c r="R145" i="6"/>
  <c r="Q144" i="6"/>
  <c r="Q145" i="6"/>
  <c r="P145" i="6"/>
  <c r="AA202" i="31"/>
  <c r="AA203" i="31"/>
  <c r="F1037" i="31"/>
  <c r="F1041" i="31"/>
  <c r="F1046" i="31"/>
  <c r="F1052" i="31"/>
  <c r="AA192" i="31"/>
  <c r="AA198" i="31"/>
  <c r="AA185" i="31"/>
  <c r="AA196" i="31"/>
  <c r="AA193" i="31"/>
  <c r="AA183" i="31"/>
  <c r="AA272" i="31"/>
  <c r="P144" i="6"/>
  <c r="N95" i="6"/>
  <c r="P95" i="6" s="1"/>
  <c r="P146" i="6"/>
  <c r="P147" i="6"/>
  <c r="R144" i="6"/>
  <c r="P120" i="6"/>
  <c r="G46" i="36" s="1"/>
  <c r="I46" i="36" s="1"/>
  <c r="R28" i="6"/>
  <c r="H9" i="36" s="1"/>
  <c r="O44" i="6"/>
  <c r="Q44" i="6" s="1"/>
  <c r="R143" i="6"/>
  <c r="H104" i="36" s="1"/>
  <c r="AA323" i="31"/>
  <c r="N129" i="6"/>
  <c r="P129" i="6" s="1"/>
  <c r="M307" i="33"/>
  <c r="O106" i="6"/>
  <c r="Q106" i="6" s="1"/>
  <c r="R110" i="6"/>
  <c r="H81" i="36" s="1"/>
  <c r="I217" i="35"/>
  <c r="O217" i="35" s="1"/>
  <c r="I261" i="35"/>
  <c r="O261" i="35" s="1"/>
  <c r="I218" i="35"/>
  <c r="O218" i="35" s="1"/>
  <c r="I260" i="35"/>
  <c r="O260" i="35" s="1"/>
  <c r="R105" i="6"/>
  <c r="H88" i="36" s="1"/>
  <c r="R125" i="6"/>
  <c r="R138" i="6"/>
  <c r="H91" i="36" s="1"/>
  <c r="Q142" i="6"/>
  <c r="M259" i="35"/>
  <c r="N259" i="35" s="1"/>
  <c r="AA244" i="31"/>
  <c r="AA207" i="31"/>
  <c r="M30" i="33"/>
  <c r="R141" i="6"/>
  <c r="N141" i="6"/>
  <c r="P141" i="6" s="1"/>
  <c r="N142" i="6"/>
  <c r="P142" i="6" s="1"/>
  <c r="N136" i="6"/>
  <c r="P136" i="6" s="1"/>
  <c r="M283" i="33"/>
  <c r="R106" i="6"/>
  <c r="H47" i="36" s="1"/>
  <c r="M100" i="6"/>
  <c r="R100" i="6" s="1"/>
  <c r="R116" i="6"/>
  <c r="N137" i="6"/>
  <c r="P137" i="6" s="1"/>
  <c r="N139" i="6"/>
  <c r="P139" i="6" s="1"/>
  <c r="Q141" i="6"/>
  <c r="N140" i="6"/>
  <c r="P140" i="6" s="1"/>
  <c r="N113" i="6"/>
  <c r="P113" i="6" s="1"/>
  <c r="O114" i="6"/>
  <c r="Q114" i="6" s="1"/>
  <c r="R131" i="6"/>
  <c r="H106" i="36" s="1"/>
  <c r="Q111" i="6"/>
  <c r="M90" i="6"/>
  <c r="R90" i="6" s="1"/>
  <c r="R119" i="6"/>
  <c r="H56" i="36" s="1"/>
  <c r="K140" i="6"/>
  <c r="M140" i="6"/>
  <c r="R140" i="6" s="1"/>
  <c r="R115" i="6"/>
  <c r="Q109" i="6"/>
  <c r="M136" i="6"/>
  <c r="R136" i="6" s="1"/>
  <c r="K139" i="6"/>
  <c r="M137" i="6"/>
  <c r="R137" i="6" s="1"/>
  <c r="M139" i="6"/>
  <c r="R139" i="6" s="1"/>
  <c r="P131" i="6"/>
  <c r="G106" i="36" s="1"/>
  <c r="I106" i="36" s="1"/>
  <c r="Q105" i="6"/>
  <c r="R126" i="6"/>
  <c r="Q110" i="6"/>
  <c r="Q117" i="6"/>
  <c r="P127" i="6"/>
  <c r="G90" i="36" s="1"/>
  <c r="I90" i="36" s="1"/>
  <c r="P111" i="6"/>
  <c r="R129" i="6"/>
  <c r="R112" i="6"/>
  <c r="H19" i="36" s="1"/>
  <c r="P110" i="6"/>
  <c r="G81" i="36" s="1"/>
  <c r="I81" i="36" s="1"/>
  <c r="R132" i="6"/>
  <c r="H59" i="36" s="1"/>
  <c r="R128" i="6"/>
  <c r="R122" i="6"/>
  <c r="R134" i="6"/>
  <c r="H45" i="36" s="1"/>
  <c r="P117" i="6"/>
  <c r="G80" i="36" s="1"/>
  <c r="I80" i="36" s="1"/>
  <c r="Q107" i="6"/>
  <c r="R135" i="6"/>
  <c r="R117" i="6"/>
  <c r="H80" i="36" s="1"/>
  <c r="O112" i="6"/>
  <c r="Q112" i="6" s="1"/>
  <c r="Q135" i="6"/>
  <c r="P134" i="6"/>
  <c r="G45" i="36" s="1"/>
  <c r="I45" i="36" s="1"/>
  <c r="Q119" i="6"/>
  <c r="R124" i="6"/>
  <c r="O129" i="6"/>
  <c r="Q129" i="6" s="1"/>
  <c r="P135" i="6"/>
  <c r="O251" i="35"/>
  <c r="N251" i="35"/>
  <c r="AA377" i="31"/>
  <c r="I160" i="35"/>
  <c r="O160" i="35" s="1"/>
  <c r="I243" i="35"/>
  <c r="O243" i="35" s="1"/>
  <c r="AA182" i="31"/>
  <c r="AA177" i="31"/>
  <c r="N68" i="33" s="1"/>
  <c r="R113" i="6"/>
  <c r="R130" i="6"/>
  <c r="S132" i="6"/>
  <c r="C59" i="36" s="1"/>
  <c r="R133" i="6"/>
  <c r="R111" i="6"/>
  <c r="R109" i="6"/>
  <c r="Q121" i="6"/>
  <c r="R114" i="6"/>
  <c r="O124" i="6"/>
  <c r="Q124" i="6" s="1"/>
  <c r="O128" i="6"/>
  <c r="Q128" i="6" s="1"/>
  <c r="O122" i="6"/>
  <c r="Q122" i="6" s="1"/>
  <c r="N108" i="6"/>
  <c r="P108" i="6" s="1"/>
  <c r="G60" i="36" s="1"/>
  <c r="I60" i="36" s="1"/>
  <c r="O130" i="6"/>
  <c r="Q130" i="6" s="1"/>
  <c r="N122" i="6"/>
  <c r="P122" i="6" s="1"/>
  <c r="N124" i="6"/>
  <c r="P124" i="6" s="1"/>
  <c r="N119" i="6"/>
  <c r="P119" i="6" s="1"/>
  <c r="G56" i="36" s="1"/>
  <c r="I56" i="36" s="1"/>
  <c r="N130" i="6"/>
  <c r="P130" i="6" s="1"/>
  <c r="N116" i="6"/>
  <c r="P116" i="6" s="1"/>
  <c r="O123" i="6"/>
  <c r="Q123" i="6" s="1"/>
  <c r="N114" i="6"/>
  <c r="P114" i="6" s="1"/>
  <c r="N112" i="6"/>
  <c r="P112" i="6" s="1"/>
  <c r="G19" i="36" s="1"/>
  <c r="I19" i="36" s="1"/>
  <c r="N123" i="6"/>
  <c r="P123" i="6" s="1"/>
  <c r="AA136" i="31"/>
  <c r="N173" i="35"/>
  <c r="N31" i="35"/>
  <c r="AA191" i="31"/>
  <c r="I152" i="35"/>
  <c r="O152" i="35" s="1"/>
  <c r="I233" i="35"/>
  <c r="O233" i="35" s="1"/>
  <c r="AA171" i="31"/>
  <c r="AA172" i="31"/>
  <c r="AA341" i="31"/>
  <c r="AA365" i="31"/>
  <c r="R428" i="33"/>
  <c r="I51" i="35"/>
  <c r="O51" i="35" s="1"/>
  <c r="H197" i="33" s="1"/>
  <c r="I232" i="35"/>
  <c r="O232" i="35" s="1"/>
  <c r="I231" i="35"/>
  <c r="O231" i="35" s="1"/>
  <c r="N230" i="35"/>
  <c r="I67" i="35"/>
  <c r="O67" i="35" s="1"/>
  <c r="H447" i="33" s="1"/>
  <c r="I230" i="35"/>
  <c r="O230" i="35" s="1"/>
  <c r="AA363" i="31"/>
  <c r="M444" i="33"/>
  <c r="AA340" i="31"/>
  <c r="AA234" i="31"/>
  <c r="AA383" i="31"/>
  <c r="O229" i="35"/>
  <c r="AA389" i="31"/>
  <c r="AA382" i="31"/>
  <c r="AA387" i="31"/>
  <c r="N229" i="35"/>
  <c r="AA379" i="31"/>
  <c r="AA385" i="31"/>
  <c r="I225" i="35"/>
  <c r="O225" i="35" s="1"/>
  <c r="I227" i="35"/>
  <c r="O227" i="35" s="1"/>
  <c r="I173" i="35"/>
  <c r="O173" i="35" s="1"/>
  <c r="I226" i="35"/>
  <c r="O226" i="35" s="1"/>
  <c r="I62" i="35"/>
  <c r="O62" i="35" s="1"/>
  <c r="H602" i="33" s="1"/>
  <c r="I223" i="35"/>
  <c r="O223" i="35" s="1"/>
  <c r="AA384" i="31"/>
  <c r="AA393" i="31"/>
  <c r="N23" i="35"/>
  <c r="N64" i="35"/>
  <c r="N48" i="35"/>
  <c r="I221" i="35"/>
  <c r="O221" i="35" s="1"/>
  <c r="AA301" i="31"/>
  <c r="AA307" i="31"/>
  <c r="AA419" i="31"/>
  <c r="AA390" i="31"/>
  <c r="AA386" i="31"/>
  <c r="I220" i="35"/>
  <c r="O220" i="35" s="1"/>
  <c r="AA418" i="31"/>
  <c r="M360" i="33"/>
  <c r="O40" i="6"/>
  <c r="Q40" i="6" s="1"/>
  <c r="P74" i="6"/>
  <c r="G26" i="36" s="1"/>
  <c r="I26" i="36" s="1"/>
  <c r="O85" i="6"/>
  <c r="Q85" i="6" s="1"/>
  <c r="O104" i="6"/>
  <c r="Q104" i="6" s="1"/>
  <c r="R108" i="6"/>
  <c r="H60" i="36" s="1"/>
  <c r="R107" i="6"/>
  <c r="Q103" i="6"/>
  <c r="P107" i="6"/>
  <c r="O102" i="6"/>
  <c r="Q102" i="6" s="1"/>
  <c r="O82" i="6"/>
  <c r="Q82" i="6" s="1"/>
  <c r="O84" i="6"/>
  <c r="Q84" i="6" s="1"/>
  <c r="N82" i="6"/>
  <c r="P82" i="6" s="1"/>
  <c r="N44" i="6"/>
  <c r="P44" i="6" s="1"/>
  <c r="N43" i="6"/>
  <c r="P43" i="6" s="1"/>
  <c r="N85" i="6"/>
  <c r="P85" i="6" s="1"/>
  <c r="N84" i="6"/>
  <c r="P84" i="6" s="1"/>
  <c r="R101" i="6"/>
  <c r="R102" i="6"/>
  <c r="R103" i="6"/>
  <c r="N219" i="35"/>
  <c r="I219" i="35"/>
  <c r="O219" i="35" s="1"/>
  <c r="AA320" i="31"/>
  <c r="AA357" i="31"/>
  <c r="N214" i="35"/>
  <c r="M215" i="35"/>
  <c r="N215" i="35" s="1"/>
  <c r="AA179" i="31"/>
  <c r="AA334" i="31"/>
  <c r="AA178" i="31"/>
  <c r="AA299" i="31"/>
  <c r="AA99" i="31"/>
  <c r="AA190" i="31"/>
  <c r="AA162" i="31"/>
  <c r="AA233" i="31"/>
  <c r="AA184" i="31"/>
  <c r="AA169" i="31"/>
  <c r="I210" i="35"/>
  <c r="O210" i="35" s="1"/>
  <c r="N210" i="35"/>
  <c r="I4" i="35"/>
  <c r="O4" i="35" s="1"/>
  <c r="H499" i="33" s="1"/>
  <c r="I209" i="35"/>
  <c r="O209" i="35" s="1"/>
  <c r="AA335" i="31"/>
  <c r="AA300" i="31"/>
  <c r="AA101" i="31"/>
  <c r="I207" i="35"/>
  <c r="O207" i="35" s="1"/>
  <c r="I208" i="35"/>
  <c r="O208" i="35" s="1"/>
  <c r="AA401" i="31"/>
  <c r="AA420" i="31"/>
  <c r="I73" i="35"/>
  <c r="O73" i="35" s="1"/>
  <c r="H87" i="33" s="1"/>
  <c r="I201" i="35"/>
  <c r="O201" i="35" s="1"/>
  <c r="R104" i="6"/>
  <c r="N104" i="6"/>
  <c r="P104" i="6" s="1"/>
  <c r="N102" i="6"/>
  <c r="P102" i="6" s="1"/>
  <c r="P98" i="6"/>
  <c r="O101" i="6"/>
  <c r="Q101" i="6" s="1"/>
  <c r="Q98" i="6"/>
  <c r="P9" i="6"/>
  <c r="G15" i="36" s="1"/>
  <c r="I15" i="36" s="1"/>
  <c r="N49" i="35"/>
  <c r="AA150" i="31"/>
  <c r="AA161" i="31"/>
  <c r="AA160" i="31"/>
  <c r="AA189" i="31"/>
  <c r="AA158" i="31"/>
  <c r="AA186" i="31"/>
  <c r="N199" i="35"/>
  <c r="M332" i="33"/>
  <c r="M37" i="33"/>
  <c r="N195" i="35"/>
  <c r="N183" i="35"/>
  <c r="N194" i="35"/>
  <c r="I45" i="35"/>
  <c r="O45" i="35" s="1"/>
  <c r="H333" i="33" s="1"/>
  <c r="I196" i="35"/>
  <c r="O196" i="35" s="1"/>
  <c r="I31" i="35"/>
  <c r="O31" i="35" s="1"/>
  <c r="I195" i="35"/>
  <c r="O195" i="35" s="1"/>
  <c r="I33" i="35"/>
  <c r="O33" i="35" s="1"/>
  <c r="H354" i="33" s="1"/>
  <c r="I194" i="35"/>
  <c r="O194" i="35" s="1"/>
  <c r="I27" i="35"/>
  <c r="O27" i="35" s="1"/>
  <c r="H316" i="33" s="1"/>
  <c r="I193" i="35"/>
  <c r="O193" i="35" s="1"/>
  <c r="N186" i="35"/>
  <c r="N188" i="35"/>
  <c r="N193" i="35"/>
  <c r="N191" i="35"/>
  <c r="I34" i="35"/>
  <c r="O34" i="35" s="1"/>
  <c r="H379" i="33" s="1"/>
  <c r="I47" i="35"/>
  <c r="O47" i="35" s="1"/>
  <c r="H322" i="33" s="1"/>
  <c r="I192" i="35"/>
  <c r="O192" i="35" s="1"/>
  <c r="N190" i="35"/>
  <c r="I49" i="35"/>
  <c r="O49" i="35" s="1"/>
  <c r="H471" i="33" s="1"/>
  <c r="I191" i="35"/>
  <c r="O191" i="35" s="1"/>
  <c r="I48" i="35"/>
  <c r="O48" i="35" s="1"/>
  <c r="H329" i="33" s="1"/>
  <c r="I189" i="35"/>
  <c r="O189" i="35" s="1"/>
  <c r="I46" i="35"/>
  <c r="O46" i="35" s="1"/>
  <c r="H419" i="33" s="1"/>
  <c r="I187" i="35"/>
  <c r="O187" i="35" s="1"/>
  <c r="I23" i="35"/>
  <c r="O23" i="35" s="1"/>
  <c r="H361" i="33" s="1"/>
  <c r="I185" i="35"/>
  <c r="O185" i="35" s="1"/>
  <c r="I25" i="35"/>
  <c r="O25" i="35" s="1"/>
  <c r="H248" i="33" s="1"/>
  <c r="I186" i="35"/>
  <c r="O186" i="35" s="1"/>
  <c r="I21" i="35"/>
  <c r="O21" i="35" s="1"/>
  <c r="I184" i="35"/>
  <c r="O184" i="35" s="1"/>
  <c r="I183" i="35"/>
  <c r="O183" i="35" s="1"/>
  <c r="H328" i="33" s="1"/>
  <c r="I22" i="35"/>
  <c r="O22" i="35" s="1"/>
  <c r="H448" i="33" s="1"/>
  <c r="I182" i="35"/>
  <c r="O182" i="35" s="1"/>
  <c r="AA147" i="31"/>
  <c r="AA102" i="31"/>
  <c r="I125" i="35"/>
  <c r="O125" i="35" s="1"/>
  <c r="I180" i="35"/>
  <c r="O180" i="35" s="1"/>
  <c r="I145" i="35"/>
  <c r="O145" i="35" s="1"/>
  <c r="H214" i="33" s="1"/>
  <c r="K214" i="33" s="1"/>
  <c r="M95" i="33"/>
  <c r="I80" i="35"/>
  <c r="O80" i="35" s="1"/>
  <c r="H401" i="33" s="1"/>
  <c r="H228" i="33"/>
  <c r="N167" i="35"/>
  <c r="AA76" i="31"/>
  <c r="AA114" i="31"/>
  <c r="AA94" i="31"/>
  <c r="AA77" i="31"/>
  <c r="AA89" i="31"/>
  <c r="AA78" i="31"/>
  <c r="AA87" i="31"/>
  <c r="N168" i="35"/>
  <c r="AA80" i="31"/>
  <c r="O167" i="35"/>
  <c r="H340" i="33" s="1"/>
  <c r="K340" i="33" s="1"/>
  <c r="M85" i="35"/>
  <c r="N85" i="35" s="1"/>
  <c r="M178" i="35"/>
  <c r="N178" i="35" s="1"/>
  <c r="I85" i="35"/>
  <c r="O85" i="35" s="1"/>
  <c r="H244" i="33" s="1"/>
  <c r="I178" i="35"/>
  <c r="O178" i="35" s="1"/>
  <c r="N170" i="35"/>
  <c r="M572" i="33"/>
  <c r="R98" i="6"/>
  <c r="R99" i="6"/>
  <c r="H41" i="36" s="1"/>
  <c r="P99" i="6"/>
  <c r="G41" i="36" s="1"/>
  <c r="I41" i="36" s="1"/>
  <c r="R97" i="6"/>
  <c r="P97" i="6"/>
  <c r="O97" i="6"/>
  <c r="Q97" i="6" s="1"/>
  <c r="P73" i="6"/>
  <c r="G38" i="36" s="1"/>
  <c r="I38" i="36" s="1"/>
  <c r="P92" i="6"/>
  <c r="G87" i="36" s="1"/>
  <c r="I87" i="36" s="1"/>
  <c r="P93" i="6"/>
  <c r="R93" i="6"/>
  <c r="P87" i="6"/>
  <c r="Q92" i="6"/>
  <c r="Q93" i="6"/>
  <c r="R92" i="6"/>
  <c r="H87" i="36" s="1"/>
  <c r="R26" i="6"/>
  <c r="H69" i="36" s="1"/>
  <c r="Q41" i="6"/>
  <c r="R89" i="6"/>
  <c r="Q88" i="6"/>
  <c r="O43" i="6"/>
  <c r="Q43" i="6" s="1"/>
  <c r="R88" i="6"/>
  <c r="P88" i="6"/>
  <c r="Q89" i="6"/>
  <c r="N28" i="6"/>
  <c r="P28" i="6" s="1"/>
  <c r="G9" i="36" s="1"/>
  <c r="I9" i="36" s="1"/>
  <c r="N90" i="6"/>
  <c r="P90" i="6" s="1"/>
  <c r="AA63" i="31"/>
  <c r="M119" i="33"/>
  <c r="M296" i="33"/>
  <c r="M177" i="33"/>
  <c r="AA146" i="31"/>
  <c r="AA423" i="31"/>
  <c r="AA83" i="31"/>
  <c r="N169" i="35"/>
  <c r="O169" i="35"/>
  <c r="I171" i="35"/>
  <c r="O171" i="35" s="1"/>
  <c r="I172" i="35"/>
  <c r="O172" i="35" s="1"/>
  <c r="AA144" i="31"/>
  <c r="AA141" i="31"/>
  <c r="AA430" i="31"/>
  <c r="O107" i="35"/>
  <c r="H182" i="33" s="1"/>
  <c r="K182" i="33" s="1"/>
  <c r="AA140" i="31"/>
  <c r="AA143" i="31"/>
  <c r="AA103" i="31"/>
  <c r="AA74" i="31"/>
  <c r="I166" i="35"/>
  <c r="O166" i="35" s="1"/>
  <c r="AA93" i="31"/>
  <c r="AA81" i="31"/>
  <c r="AA75" i="31"/>
  <c r="AA57" i="31"/>
  <c r="AA131" i="31"/>
  <c r="AA132" i="31"/>
  <c r="AA422" i="31"/>
  <c r="I147" i="35"/>
  <c r="O147" i="35" s="1"/>
  <c r="AA129" i="31"/>
  <c r="R89" i="33"/>
  <c r="N151" i="35"/>
  <c r="N154" i="35"/>
  <c r="B22" i="34"/>
  <c r="R503" i="33"/>
  <c r="R78" i="33"/>
  <c r="R209" i="33"/>
  <c r="R321" i="33"/>
  <c r="R535" i="33"/>
  <c r="R255" i="33"/>
  <c r="R381" i="33"/>
  <c r="R334" i="33"/>
  <c r="R403" i="33"/>
  <c r="I70" i="35"/>
  <c r="O70" i="35" s="1"/>
  <c r="H526" i="33" s="1"/>
  <c r="I155" i="35"/>
  <c r="O155" i="35" s="1"/>
  <c r="I71" i="35"/>
  <c r="O71" i="35" s="1"/>
  <c r="I151" i="35"/>
  <c r="O151" i="35" s="1"/>
  <c r="N89" i="6"/>
  <c r="P89" i="6" s="1"/>
  <c r="I154" i="35"/>
  <c r="O154" i="35" s="1"/>
  <c r="I58" i="35"/>
  <c r="O58" i="35" s="1"/>
  <c r="I153" i="35"/>
  <c r="O153" i="35" s="1"/>
  <c r="R34" i="33"/>
  <c r="R158" i="33"/>
  <c r="R399" i="33"/>
  <c r="R466" i="33"/>
  <c r="R375" i="33"/>
  <c r="R465" i="33"/>
  <c r="N147" i="35"/>
  <c r="N158" i="35"/>
  <c r="I81" i="35"/>
  <c r="O81" i="35" s="1"/>
  <c r="I158" i="35"/>
  <c r="O158" i="35" s="1"/>
  <c r="I59" i="35"/>
  <c r="O59" i="35" s="1"/>
  <c r="H256" i="33" s="1"/>
  <c r="I161" i="35"/>
  <c r="O161" i="35" s="1"/>
  <c r="H255" i="33"/>
  <c r="I54" i="35"/>
  <c r="O54" i="35" s="1"/>
  <c r="H208" i="33" s="1"/>
  <c r="I159" i="35"/>
  <c r="O159" i="35" s="1"/>
  <c r="I150" i="35"/>
  <c r="O150" i="35" s="1"/>
  <c r="AA421" i="31"/>
  <c r="AA111" i="31"/>
  <c r="AA127" i="31"/>
  <c r="AA154" i="31"/>
  <c r="AA72" i="31"/>
  <c r="N146" i="35"/>
  <c r="I146" i="35"/>
  <c r="O146" i="35" s="1"/>
  <c r="AA79" i="31"/>
  <c r="AA52" i="31"/>
  <c r="B852" i="31"/>
  <c r="E852" i="31" s="1"/>
  <c r="AA426" i="31"/>
  <c r="AA439" i="31"/>
  <c r="AA65" i="31"/>
  <c r="M142" i="35"/>
  <c r="N142" i="35" s="1"/>
  <c r="I69" i="35"/>
  <c r="O69" i="35" s="1"/>
  <c r="H177" i="33" s="1"/>
  <c r="K177" i="33" s="1"/>
  <c r="I142" i="35"/>
  <c r="O142" i="35" s="1"/>
  <c r="N140" i="35"/>
  <c r="I140" i="35"/>
  <c r="O140" i="35" s="1"/>
  <c r="I141" i="35"/>
  <c r="O141" i="35" s="1"/>
  <c r="N139" i="35"/>
  <c r="I138" i="35"/>
  <c r="O138" i="35" s="1"/>
  <c r="I139" i="35"/>
  <c r="O139" i="35" s="1"/>
  <c r="N138" i="35"/>
  <c r="I137" i="35"/>
  <c r="O137" i="35" s="1"/>
  <c r="N137" i="35"/>
  <c r="AA60" i="31"/>
  <c r="B1041" i="31" s="1"/>
  <c r="AA62" i="31"/>
  <c r="AA46" i="31"/>
  <c r="P41" i="6"/>
  <c r="G78" i="36" s="1"/>
  <c r="I78" i="36" s="1"/>
  <c r="R87" i="6"/>
  <c r="Q87" i="6"/>
  <c r="R85" i="6"/>
  <c r="Q86" i="6"/>
  <c r="R86" i="6"/>
  <c r="Q6" i="6"/>
  <c r="P86" i="6"/>
  <c r="M110" i="35"/>
  <c r="N110" i="35" s="1"/>
  <c r="Q81" i="6"/>
  <c r="P81" i="6"/>
  <c r="P83" i="6"/>
  <c r="R84" i="6"/>
  <c r="Q83" i="6"/>
  <c r="R83" i="6"/>
  <c r="R82" i="6"/>
  <c r="R81" i="6"/>
  <c r="R79" i="6"/>
  <c r="R65" i="6"/>
  <c r="H74" i="36" s="1"/>
  <c r="R80" i="6"/>
  <c r="N83" i="35"/>
  <c r="O26" i="6"/>
  <c r="Q26" i="6" s="1"/>
  <c r="O80" i="6"/>
  <c r="Q80" i="6" s="1"/>
  <c r="N79" i="6"/>
  <c r="P79" i="6" s="1"/>
  <c r="R78" i="6"/>
  <c r="N133" i="35"/>
  <c r="AA110" i="31"/>
  <c r="B1046" i="31" s="1"/>
  <c r="AA116" i="31"/>
  <c r="AA104" i="31"/>
  <c r="AA73" i="31"/>
  <c r="AA69" i="31"/>
  <c r="AA174" i="31"/>
  <c r="AA108" i="31"/>
  <c r="AA66" i="31"/>
  <c r="AA45" i="31"/>
  <c r="I116" i="35"/>
  <c r="O116" i="35" s="1"/>
  <c r="I133" i="35"/>
  <c r="O133" i="35" s="1"/>
  <c r="I134" i="35"/>
  <c r="O134" i="35" s="1"/>
  <c r="H399" i="33" s="1"/>
  <c r="I56" i="35"/>
  <c r="O56" i="35" s="1"/>
  <c r="H488" i="33" s="1"/>
  <c r="I130" i="35"/>
  <c r="O130" i="35" s="1"/>
  <c r="I57" i="35"/>
  <c r="O57" i="35" s="1"/>
  <c r="H51" i="33" s="1"/>
  <c r="I131" i="35"/>
  <c r="O131" i="35" s="1"/>
  <c r="I132" i="35"/>
  <c r="O132" i="35" s="1"/>
  <c r="AA42" i="31"/>
  <c r="AA47" i="31"/>
  <c r="AA44" i="31"/>
  <c r="N40" i="35"/>
  <c r="N126" i="35"/>
  <c r="AA304" i="31"/>
  <c r="I83" i="35"/>
  <c r="O83" i="35" s="1"/>
  <c r="H523" i="33" s="1"/>
  <c r="I127" i="35"/>
  <c r="O127" i="35" s="1"/>
  <c r="I126" i="35"/>
  <c r="O126" i="35" s="1"/>
  <c r="N38" i="35"/>
  <c r="AA113" i="31"/>
  <c r="I75" i="35"/>
  <c r="O75" i="35" s="1"/>
  <c r="H216" i="33" s="1"/>
  <c r="I124" i="35"/>
  <c r="O124" i="35" s="1"/>
  <c r="N122" i="35"/>
  <c r="I40" i="35"/>
  <c r="O40" i="35" s="1"/>
  <c r="H480" i="33" s="1"/>
  <c r="I123" i="35"/>
  <c r="O123" i="35" s="1"/>
  <c r="I122" i="35"/>
  <c r="O122" i="35" s="1"/>
  <c r="AA61" i="31"/>
  <c r="AA55" i="31"/>
  <c r="AA82" i="31"/>
  <c r="AA164" i="31"/>
  <c r="N15" i="35"/>
  <c r="R76" i="6"/>
  <c r="H7" i="36" s="1"/>
  <c r="N65" i="6"/>
  <c r="P65" i="6" s="1"/>
  <c r="G74" i="36" s="1"/>
  <c r="I74" i="36" s="1"/>
  <c r="N78" i="6"/>
  <c r="P78" i="6" s="1"/>
  <c r="N77" i="6"/>
  <c r="P77" i="6" s="1"/>
  <c r="O65" i="6"/>
  <c r="Q65" i="6" s="1"/>
  <c r="O78" i="6"/>
  <c r="Q78" i="6" s="1"/>
  <c r="R77" i="6"/>
  <c r="Q76" i="6"/>
  <c r="L71" i="6"/>
  <c r="R71" i="6" s="1"/>
  <c r="H34" i="36" s="1"/>
  <c r="Q69" i="6"/>
  <c r="R73" i="6"/>
  <c r="H38" i="36" s="1"/>
  <c r="R74" i="6"/>
  <c r="H26" i="36" s="1"/>
  <c r="R75" i="6"/>
  <c r="H84" i="36" s="1"/>
  <c r="Q74" i="6"/>
  <c r="R72" i="6"/>
  <c r="H18" i="36" s="1"/>
  <c r="P72" i="6"/>
  <c r="G18" i="36" s="1"/>
  <c r="I18" i="36" s="1"/>
  <c r="Q71" i="6"/>
  <c r="R69" i="6"/>
  <c r="Q70" i="6"/>
  <c r="Q72" i="6"/>
  <c r="Q73" i="6"/>
  <c r="Q68" i="6"/>
  <c r="R68" i="6"/>
  <c r="H57" i="36" s="1"/>
  <c r="N17" i="35"/>
  <c r="Q33" i="6"/>
  <c r="R67" i="6"/>
  <c r="H75" i="36" s="1"/>
  <c r="Q64" i="6"/>
  <c r="P66" i="6"/>
  <c r="P68" i="6"/>
  <c r="R64" i="6"/>
  <c r="P64" i="6"/>
  <c r="Q67" i="6"/>
  <c r="Q66" i="6"/>
  <c r="R66" i="6"/>
  <c r="P67" i="6"/>
  <c r="P32" i="6"/>
  <c r="G51" i="36" s="1"/>
  <c r="I51" i="36" s="1"/>
  <c r="Q63" i="6"/>
  <c r="P63" i="6"/>
  <c r="G82" i="36" s="1"/>
  <c r="I82" i="36" s="1"/>
  <c r="Q32" i="6"/>
  <c r="R63" i="6"/>
  <c r="H82" i="36" s="1"/>
  <c r="AA431" i="31"/>
  <c r="AA122" i="31"/>
  <c r="AA70" i="31"/>
  <c r="AA36" i="31"/>
  <c r="AA64" i="31"/>
  <c r="N26" i="35"/>
  <c r="R62" i="6"/>
  <c r="H53" i="36" s="1"/>
  <c r="G53" i="36"/>
  <c r="I53" i="36" s="1"/>
  <c r="R60" i="6"/>
  <c r="P60" i="6"/>
  <c r="Q60" i="6"/>
  <c r="S62" i="6"/>
  <c r="C53" i="36" s="1"/>
  <c r="Q57" i="6"/>
  <c r="P59" i="6"/>
  <c r="R57" i="6"/>
  <c r="H30" i="36" s="1"/>
  <c r="R59" i="6"/>
  <c r="H50" i="36" s="1"/>
  <c r="N58" i="6"/>
  <c r="P58" i="6" s="1"/>
  <c r="N57" i="6"/>
  <c r="P57" i="6" s="1"/>
  <c r="P6" i="6"/>
  <c r="G49" i="36" s="1"/>
  <c r="I49" i="36" s="1"/>
  <c r="Q58" i="6"/>
  <c r="N116" i="35"/>
  <c r="I115" i="35"/>
  <c r="O115" i="35" s="1"/>
  <c r="N115" i="35"/>
  <c r="N44" i="35"/>
  <c r="O56" i="6"/>
  <c r="Q56" i="6" s="1"/>
  <c r="N56" i="6"/>
  <c r="P56" i="6" s="1"/>
  <c r="G43" i="36" s="1"/>
  <c r="I43" i="36" s="1"/>
  <c r="R58" i="6"/>
  <c r="P29" i="6"/>
  <c r="G73" i="36" s="1"/>
  <c r="I73" i="36" s="1"/>
  <c r="Q29" i="6"/>
  <c r="R35" i="6"/>
  <c r="H48" i="36" s="1"/>
  <c r="R56" i="6"/>
  <c r="H43" i="36" s="1"/>
  <c r="Q54" i="6"/>
  <c r="P55" i="6"/>
  <c r="R55" i="6"/>
  <c r="Q53" i="6"/>
  <c r="Q55" i="6"/>
  <c r="R54" i="6"/>
  <c r="P54" i="6"/>
  <c r="P52" i="6"/>
  <c r="O51" i="6"/>
  <c r="Q51" i="6" s="1"/>
  <c r="R53" i="6"/>
  <c r="P53" i="6"/>
  <c r="Q52" i="6"/>
  <c r="R52" i="6"/>
  <c r="R49" i="6"/>
  <c r="H63" i="36" s="1"/>
  <c r="P49" i="6"/>
  <c r="G63" i="36" s="1"/>
  <c r="I63" i="36" s="1"/>
  <c r="N105" i="35"/>
  <c r="N50" i="35"/>
  <c r="N41" i="35"/>
  <c r="H414" i="33"/>
  <c r="P106" i="35"/>
  <c r="I332" i="33" s="1"/>
  <c r="H332" i="33"/>
  <c r="N6" i="35"/>
  <c r="N35" i="35"/>
  <c r="N10" i="35"/>
  <c r="N108" i="35"/>
  <c r="N11" i="35"/>
  <c r="O43" i="35"/>
  <c r="H315" i="33" s="1"/>
  <c r="M43" i="35"/>
  <c r="N43" i="35" s="1"/>
  <c r="M91" i="35"/>
  <c r="N91" i="35" s="1"/>
  <c r="P84" i="35"/>
  <c r="I70" i="33" s="1"/>
  <c r="M76" i="35"/>
  <c r="N76" i="35" s="1"/>
  <c r="N7" i="35"/>
  <c r="N18" i="35"/>
  <c r="N28" i="35"/>
  <c r="N78" i="35"/>
  <c r="N16" i="35"/>
  <c r="N9" i="35"/>
  <c r="N14" i="35"/>
  <c r="N5" i="35"/>
  <c r="N8" i="35"/>
  <c r="I15" i="35"/>
  <c r="O15" i="35" s="1"/>
  <c r="I16" i="35"/>
  <c r="O16" i="35" s="1"/>
  <c r="I6" i="35"/>
  <c r="O6" i="35" s="1"/>
  <c r="I7" i="35"/>
  <c r="O7" i="35" s="1"/>
  <c r="I41" i="35"/>
  <c r="O41" i="35" s="1"/>
  <c r="I26" i="35"/>
  <c r="O26" i="35" s="1"/>
  <c r="I28" i="35"/>
  <c r="O28" i="35" s="1"/>
  <c r="I29" i="35"/>
  <c r="O29" i="35" s="1"/>
  <c r="H98" i="33" s="1"/>
  <c r="I30" i="35"/>
  <c r="O30" i="35" s="1"/>
  <c r="I44" i="35"/>
  <c r="O44" i="35" s="1"/>
  <c r="I105" i="35"/>
  <c r="O105" i="35" s="1"/>
  <c r="I108" i="35"/>
  <c r="O108" i="35" s="1"/>
  <c r="I35" i="35"/>
  <c r="O35" i="35" s="1"/>
  <c r="I78" i="35"/>
  <c r="O78" i="35" s="1"/>
  <c r="I8" i="35"/>
  <c r="O8" i="35" s="1"/>
  <c r="H493" i="33" s="1"/>
  <c r="I9" i="35"/>
  <c r="O9" i="35" s="1"/>
  <c r="I10" i="35"/>
  <c r="O10" i="35" s="1"/>
  <c r="I17" i="35"/>
  <c r="O17" i="35" s="1"/>
  <c r="I18" i="35"/>
  <c r="O18" i="35" s="1"/>
  <c r="I13" i="35"/>
  <c r="O13" i="35" s="1"/>
  <c r="I14" i="35"/>
  <c r="O14" i="35" s="1"/>
  <c r="I12" i="35"/>
  <c r="O12" i="35" s="1"/>
  <c r="I11" i="35"/>
  <c r="O11" i="35" s="1"/>
  <c r="H77" i="33" s="1"/>
  <c r="I42" i="35"/>
  <c r="O42" i="35" s="1"/>
  <c r="I61" i="35"/>
  <c r="O61" i="35" s="1"/>
  <c r="I5" i="35"/>
  <c r="O5" i="35" s="1"/>
  <c r="H501" i="33" s="1"/>
  <c r="I50" i="35"/>
  <c r="O50" i="35" s="1"/>
  <c r="AA109" i="31"/>
  <c r="AA49" i="31"/>
  <c r="AA97" i="31"/>
  <c r="AA59" i="31"/>
  <c r="AA105" i="31"/>
  <c r="AA58" i="31"/>
  <c r="P51" i="6"/>
  <c r="R45" i="6"/>
  <c r="P48" i="6"/>
  <c r="Q50" i="6"/>
  <c r="Q45" i="6"/>
  <c r="R51" i="6"/>
  <c r="P47" i="6"/>
  <c r="G109" i="36" s="1"/>
  <c r="I109" i="36" s="1"/>
  <c r="R48" i="6"/>
  <c r="R47" i="6"/>
  <c r="H109" i="36" s="1"/>
  <c r="Q47" i="6"/>
  <c r="P39" i="6"/>
  <c r="G27" i="36" s="1"/>
  <c r="I27" i="36" s="1"/>
  <c r="Q49" i="6"/>
  <c r="R50" i="6"/>
  <c r="Q39" i="6"/>
  <c r="Q48" i="6"/>
  <c r="P50" i="6"/>
  <c r="P45" i="6"/>
  <c r="R43" i="6"/>
  <c r="R44" i="6"/>
  <c r="R41" i="6"/>
  <c r="H78" i="36" s="1"/>
  <c r="R22" i="6"/>
  <c r="H36" i="36" s="1"/>
  <c r="R40" i="6"/>
  <c r="H11" i="36" s="1"/>
  <c r="R29" i="6"/>
  <c r="H73" i="36" s="1"/>
  <c r="R33" i="6"/>
  <c r="H77" i="36" s="1"/>
  <c r="R39" i="6"/>
  <c r="H27" i="36" s="1"/>
  <c r="Q36" i="6"/>
  <c r="R38" i="6"/>
  <c r="H58" i="36" s="1"/>
  <c r="Q37" i="6"/>
  <c r="R16" i="6"/>
  <c r="H55" i="36" s="1"/>
  <c r="R34" i="6"/>
  <c r="H110" i="36" s="1"/>
  <c r="P37" i="6"/>
  <c r="Q34" i="6"/>
  <c r="P36" i="6"/>
  <c r="P16" i="6"/>
  <c r="G55" i="36" s="1"/>
  <c r="I55" i="36" s="1"/>
  <c r="S38" i="6"/>
  <c r="C58" i="36" s="1"/>
  <c r="R37" i="6"/>
  <c r="R36" i="6"/>
  <c r="P33" i="6"/>
  <c r="G77" i="36" s="1"/>
  <c r="I77" i="36" s="1"/>
  <c r="R32" i="6"/>
  <c r="H51" i="36" s="1"/>
  <c r="P35" i="6"/>
  <c r="G48" i="36" s="1"/>
  <c r="I48" i="36" s="1"/>
  <c r="R31" i="6"/>
  <c r="H61" i="36" s="1"/>
  <c r="M5" i="6"/>
  <c r="P34" i="6"/>
  <c r="S31" i="6"/>
  <c r="C61" i="36" s="1"/>
  <c r="S30" i="6"/>
  <c r="C42" i="36" s="1"/>
  <c r="T30" i="6"/>
  <c r="D42" i="36" s="1"/>
  <c r="Q28" i="6"/>
  <c r="R21" i="6"/>
  <c r="H72" i="36" s="1"/>
  <c r="AA88" i="31"/>
  <c r="AA173" i="31"/>
  <c r="AA121" i="31"/>
  <c r="AA170" i="31"/>
  <c r="AA123" i="31"/>
  <c r="AA124" i="31"/>
  <c r="AA32" i="31"/>
  <c r="AA240" i="31"/>
  <c r="J4" i="6"/>
  <c r="N5" i="6" s="1"/>
  <c r="L27" i="6"/>
  <c r="K4" i="6"/>
  <c r="O27" i="6" s="1"/>
  <c r="M27" i="6"/>
  <c r="P20" i="6"/>
  <c r="R20" i="6"/>
  <c r="S22" i="6"/>
  <c r="C36" i="36" s="1"/>
  <c r="R23" i="6"/>
  <c r="H23" i="36" s="1"/>
  <c r="R19" i="6"/>
  <c r="H32" i="36" s="1"/>
  <c r="AA175" i="31"/>
  <c r="AA53" i="31"/>
  <c r="AA43" i="31"/>
  <c r="R18" i="6"/>
  <c r="H17" i="36" s="1"/>
  <c r="Q20" i="6"/>
  <c r="AA95" i="31"/>
  <c r="N26" i="6"/>
  <c r="P26" i="6" s="1"/>
  <c r="G69" i="36" s="1"/>
  <c r="I69" i="36" s="1"/>
  <c r="S19" i="6"/>
  <c r="C32" i="36" s="1"/>
  <c r="P18" i="6"/>
  <c r="G17" i="36" s="1"/>
  <c r="I17" i="36" s="1"/>
  <c r="Q7" i="6"/>
  <c r="P17" i="6"/>
  <c r="Q16" i="6"/>
  <c r="Q17" i="6"/>
  <c r="R17" i="6"/>
  <c r="R14" i="6"/>
  <c r="H71" i="36" s="1"/>
  <c r="R12" i="6"/>
  <c r="R13" i="6"/>
  <c r="L4" i="6"/>
  <c r="R4" i="6" s="1"/>
  <c r="H54" i="36" s="1"/>
  <c r="Q10" i="6"/>
  <c r="R11" i="6"/>
  <c r="H37" i="36" s="1"/>
  <c r="Q11" i="6"/>
  <c r="R7" i="6"/>
  <c r="H5" i="36" s="1"/>
  <c r="P10" i="6"/>
  <c r="G28" i="36" s="1"/>
  <c r="I28" i="36" s="1"/>
  <c r="L5" i="6"/>
  <c r="P11" i="6"/>
  <c r="G37" i="36" s="1"/>
  <c r="I37" i="36" s="1"/>
  <c r="P7" i="6"/>
  <c r="R10" i="6"/>
  <c r="H28" i="36" s="1"/>
  <c r="R6" i="6"/>
  <c r="R8" i="6"/>
  <c r="R9" i="6"/>
  <c r="AA125" i="31"/>
  <c r="AA40" i="31"/>
  <c r="AA39" i="31"/>
  <c r="AA67" i="31"/>
  <c r="P2070" i="35" l="1"/>
  <c r="P2048" i="35"/>
  <c r="P2065" i="35"/>
  <c r="P2064" i="35"/>
  <c r="P329" i="35"/>
  <c r="I444" i="33" s="1"/>
  <c r="P2062" i="35"/>
  <c r="P2061" i="35"/>
  <c r="P2002" i="35"/>
  <c r="P2056" i="35"/>
  <c r="P2043" i="35"/>
  <c r="P2047" i="35"/>
  <c r="P1980" i="35"/>
  <c r="P1282" i="35"/>
  <c r="P2035" i="35"/>
  <c r="P1772" i="35"/>
  <c r="P2030" i="35"/>
  <c r="P2031" i="35"/>
  <c r="P1771" i="35"/>
  <c r="P2026" i="35"/>
  <c r="P2023" i="35"/>
  <c r="K609" i="33"/>
  <c r="J609" i="33"/>
  <c r="P2009" i="35"/>
  <c r="I609" i="33" s="1"/>
  <c r="P2007" i="35"/>
  <c r="P1867" i="35"/>
  <c r="T451" i="6"/>
  <c r="S23" i="6"/>
  <c r="C23" i="36" s="1"/>
  <c r="S451" i="6"/>
  <c r="S448" i="6"/>
  <c r="P1716" i="35"/>
  <c r="P1991" i="35"/>
  <c r="H37" i="33"/>
  <c r="K37" i="33" s="1"/>
  <c r="P1988" i="35"/>
  <c r="P1986" i="35"/>
  <c r="P117" i="35"/>
  <c r="I37" i="33" s="1"/>
  <c r="P558" i="35"/>
  <c r="P254" i="35"/>
  <c r="P1952" i="35"/>
  <c r="P1974" i="35"/>
  <c r="P1977" i="35"/>
  <c r="P1978" i="35"/>
  <c r="P1950" i="35"/>
  <c r="P1905" i="35"/>
  <c r="P1965" i="35"/>
  <c r="P1967" i="35"/>
  <c r="P1880" i="35"/>
  <c r="P1903" i="35"/>
  <c r="P1922" i="35"/>
  <c r="P1953" i="35"/>
  <c r="P1959" i="35"/>
  <c r="P1724" i="35"/>
  <c r="P1632" i="35"/>
  <c r="P1949" i="35"/>
  <c r="P1924" i="35"/>
  <c r="P1933" i="35"/>
  <c r="P1929" i="35"/>
  <c r="P1884" i="35"/>
  <c r="P1836" i="35"/>
  <c r="P1912" i="35"/>
  <c r="P1911" i="35"/>
  <c r="P1898" i="35"/>
  <c r="P1910" i="35"/>
  <c r="P1902" i="35"/>
  <c r="P1895" i="35"/>
  <c r="P1864" i="35"/>
  <c r="P1890" i="35"/>
  <c r="P1892" i="35"/>
  <c r="P1872" i="35"/>
  <c r="P1449" i="35"/>
  <c r="P1743" i="35"/>
  <c r="P1876" i="35"/>
  <c r="I19" i="33" s="1"/>
  <c r="P1859" i="35"/>
  <c r="P1875" i="35"/>
  <c r="P65" i="35"/>
  <c r="I137" i="33" s="1"/>
  <c r="P1847" i="35"/>
  <c r="P1806" i="35"/>
  <c r="T243" i="6"/>
  <c r="P1837" i="35"/>
  <c r="P1801" i="35"/>
  <c r="P1851" i="35"/>
  <c r="P1818" i="35"/>
  <c r="P92" i="35"/>
  <c r="I392" i="33" s="1"/>
  <c r="P1269" i="35"/>
  <c r="P1823" i="35"/>
  <c r="P1827" i="35"/>
  <c r="P1800" i="35"/>
  <c r="P1825" i="35"/>
  <c r="P1824" i="35"/>
  <c r="T442" i="6"/>
  <c r="S389" i="6"/>
  <c r="T389" i="6"/>
  <c r="P1807" i="35"/>
  <c r="P1753" i="35"/>
  <c r="S442" i="6"/>
  <c r="T207" i="6"/>
  <c r="P1798" i="35"/>
  <c r="P1787" i="35"/>
  <c r="P1791" i="35"/>
  <c r="P1786" i="35"/>
  <c r="P1729" i="35"/>
  <c r="P1776" i="35"/>
  <c r="P1783" i="35"/>
  <c r="P1701" i="35"/>
  <c r="P1630" i="35"/>
  <c r="S121" i="6"/>
  <c r="C52" i="36" s="1"/>
  <c r="P1774" i="35"/>
  <c r="P1665" i="35"/>
  <c r="P1766" i="35"/>
  <c r="P1769" i="35"/>
  <c r="P1711" i="35"/>
  <c r="P1572" i="35"/>
  <c r="P1765" i="35"/>
  <c r="P1764" i="35"/>
  <c r="P1752" i="35"/>
  <c r="P960" i="35"/>
  <c r="P82" i="35"/>
  <c r="I445" i="33" s="1"/>
  <c r="I45" i="34" s="1"/>
  <c r="P700" i="35"/>
  <c r="P1742" i="35"/>
  <c r="P1727" i="35"/>
  <c r="P1680" i="35"/>
  <c r="P1663" i="35"/>
  <c r="P1648" i="35"/>
  <c r="P1728" i="35"/>
  <c r="P1723" i="35"/>
  <c r="P95" i="35"/>
  <c r="I470" i="33" s="1"/>
  <c r="P1541" i="35"/>
  <c r="P1649" i="35"/>
  <c r="P1682" i="35"/>
  <c r="P1708" i="35"/>
  <c r="P1592" i="35"/>
  <c r="P1703" i="35"/>
  <c r="P1628" i="35"/>
  <c r="T121" i="6"/>
  <c r="D52" i="36" s="1"/>
  <c r="T403" i="6"/>
  <c r="T395" i="6"/>
  <c r="P1045" i="35"/>
  <c r="P1677" i="35"/>
  <c r="P1700" i="35"/>
  <c r="P1690" i="35"/>
  <c r="P1679" i="35"/>
  <c r="P1586" i="35"/>
  <c r="P1673" i="35"/>
  <c r="P1437" i="35"/>
  <c r="P1652" i="35"/>
  <c r="P1661" i="35"/>
  <c r="P1659" i="35"/>
  <c r="P1633" i="35"/>
  <c r="P1588" i="35"/>
  <c r="P1642" i="35"/>
  <c r="P1450" i="35"/>
  <c r="P1623" i="35"/>
  <c r="P1596" i="35"/>
  <c r="P1636" i="35"/>
  <c r="T421" i="6"/>
  <c r="T396" i="6"/>
  <c r="T401" i="6"/>
  <c r="P1557" i="35"/>
  <c r="P1622" i="35"/>
  <c r="P1610" i="35"/>
  <c r="P1607" i="35"/>
  <c r="P1559" i="35"/>
  <c r="T415" i="6"/>
  <c r="S395" i="6"/>
  <c r="T399" i="6"/>
  <c r="T359" i="6"/>
  <c r="T428" i="6"/>
  <c r="T426" i="6"/>
  <c r="S418" i="6"/>
  <c r="T434" i="6"/>
  <c r="D111" i="36" s="1"/>
  <c r="G111" i="36"/>
  <c r="I111" i="36" s="1"/>
  <c r="S431" i="6"/>
  <c r="S426" i="6"/>
  <c r="P1608" i="35"/>
  <c r="S429" i="6"/>
  <c r="T431" i="6"/>
  <c r="S427" i="6"/>
  <c r="S359" i="6"/>
  <c r="T425" i="6"/>
  <c r="S430" i="6"/>
  <c r="S432" i="6"/>
  <c r="S434" i="6"/>
  <c r="C111" i="36" s="1"/>
  <c r="S428" i="6"/>
  <c r="T427" i="6"/>
  <c r="P1606" i="35"/>
  <c r="P1578" i="35"/>
  <c r="P1538" i="35"/>
  <c r="P1496" i="35"/>
  <c r="P1581" i="35"/>
  <c r="P1579" i="35"/>
  <c r="P1436" i="35"/>
  <c r="P1575" i="35"/>
  <c r="P1573" i="35"/>
  <c r="P1506" i="35"/>
  <c r="P1508" i="35"/>
  <c r="T420" i="6"/>
  <c r="S421" i="6"/>
  <c r="T418" i="6"/>
  <c r="T432" i="6"/>
  <c r="S419" i="6"/>
  <c r="T410" i="6"/>
  <c r="T430" i="6"/>
  <c r="S405" i="6"/>
  <c r="T429" i="6"/>
  <c r="S589" i="33"/>
  <c r="P1540" i="35"/>
  <c r="I589" i="33" s="1"/>
  <c r="K589" i="33"/>
  <c r="P185" i="35"/>
  <c r="P1569" i="35"/>
  <c r="P1111" i="35"/>
  <c r="P1562" i="35"/>
  <c r="P1566" i="35"/>
  <c r="P1519" i="35"/>
  <c r="P1402" i="35"/>
  <c r="P1470" i="35"/>
  <c r="P1532" i="35"/>
  <c r="P268" i="35"/>
  <c r="I90" i="33" s="1"/>
  <c r="P910" i="35"/>
  <c r="J101" i="33"/>
  <c r="S101" i="33"/>
  <c r="K101" i="33"/>
  <c r="P1517" i="35"/>
  <c r="I101" i="33" s="1"/>
  <c r="J90" i="33"/>
  <c r="S90" i="33"/>
  <c r="K90" i="33"/>
  <c r="P1488" i="35"/>
  <c r="S109" i="33"/>
  <c r="C27" i="34" s="1"/>
  <c r="J109" i="33"/>
  <c r="K109" i="33"/>
  <c r="J27" i="34" s="1"/>
  <c r="P1514" i="35"/>
  <c r="I109" i="33" s="1"/>
  <c r="I27" i="34" s="1"/>
  <c r="P1511" i="35"/>
  <c r="P1442" i="35"/>
  <c r="P1347" i="35"/>
  <c r="P1500" i="35"/>
  <c r="P1461" i="35"/>
  <c r="P1495" i="35"/>
  <c r="P652" i="35"/>
  <c r="P1453" i="35"/>
  <c r="P1472" i="35"/>
  <c r="P1471" i="35"/>
  <c r="P1458" i="35"/>
  <c r="P1468" i="35"/>
  <c r="P1416" i="35"/>
  <c r="P96" i="35"/>
  <c r="I378" i="33" s="1"/>
  <c r="P1233" i="35"/>
  <c r="P1451" i="35"/>
  <c r="P1413" i="35"/>
  <c r="P1456" i="35"/>
  <c r="P1359" i="35"/>
  <c r="P641" i="35"/>
  <c r="P1113" i="35"/>
  <c r="P1393" i="35"/>
  <c r="P1412" i="35"/>
  <c r="P1427" i="35"/>
  <c r="P1389" i="35"/>
  <c r="P1406" i="35"/>
  <c r="P1430" i="35"/>
  <c r="P1232" i="35"/>
  <c r="P1426" i="35"/>
  <c r="P1388" i="35"/>
  <c r="P1399" i="35"/>
  <c r="P1417" i="35"/>
  <c r="P1320" i="35"/>
  <c r="P1374" i="35"/>
  <c r="P1400" i="35"/>
  <c r="P1368" i="35"/>
  <c r="P1264" i="35"/>
  <c r="P1327" i="35"/>
  <c r="P1397" i="35"/>
  <c r="P1390" i="35"/>
  <c r="P1311" i="35"/>
  <c r="P1376" i="35"/>
  <c r="P1381" i="35"/>
  <c r="P24" i="35"/>
  <c r="I299" i="33" s="1"/>
  <c r="P1380" i="35"/>
  <c r="P1119" i="35"/>
  <c r="P1375" i="35"/>
  <c r="P1349" i="35"/>
  <c r="P1372" i="35"/>
  <c r="S410" i="6"/>
  <c r="P1121" i="35"/>
  <c r="P1352" i="35"/>
  <c r="P807" i="35"/>
  <c r="P1353" i="35"/>
  <c r="P1345" i="35"/>
  <c r="P1288" i="35"/>
  <c r="S420" i="6"/>
  <c r="P1339" i="35"/>
  <c r="S415" i="6"/>
  <c r="S369" i="6"/>
  <c r="P1348" i="35"/>
  <c r="P1346" i="35"/>
  <c r="P1338" i="35"/>
  <c r="P1313" i="35"/>
  <c r="P93" i="35"/>
  <c r="I496" i="33" s="1"/>
  <c r="P1248" i="35"/>
  <c r="P1330" i="35"/>
  <c r="P104" i="35"/>
  <c r="I306" i="33" s="1"/>
  <c r="P1324" i="35"/>
  <c r="P1322" i="35"/>
  <c r="P1318" i="35"/>
  <c r="P1277" i="35"/>
  <c r="P1272" i="35"/>
  <c r="P1201" i="35"/>
  <c r="P1303" i="35"/>
  <c r="P1291" i="35"/>
  <c r="P1287" i="35"/>
  <c r="P68" i="35"/>
  <c r="I502" i="33" s="1"/>
  <c r="P538" i="35"/>
  <c r="P1271" i="35"/>
  <c r="P1255" i="35"/>
  <c r="P748" i="35"/>
  <c r="P1256" i="35"/>
  <c r="P1130" i="35"/>
  <c r="P1075" i="35"/>
  <c r="P1261" i="35"/>
  <c r="P1258" i="35"/>
  <c r="P1243" i="35"/>
  <c r="P1204" i="35"/>
  <c r="P1244" i="35"/>
  <c r="P60" i="35"/>
  <c r="I63" i="33" s="1"/>
  <c r="P1238" i="35"/>
  <c r="P1239" i="35"/>
  <c r="J307" i="33"/>
  <c r="P88" i="35"/>
  <c r="I199" i="33" s="1"/>
  <c r="P1234" i="35"/>
  <c r="P474" i="35"/>
  <c r="P1228" i="35"/>
  <c r="P1190" i="35"/>
  <c r="P1221" i="35"/>
  <c r="P924" i="35"/>
  <c r="P1219" i="35"/>
  <c r="P1194" i="35"/>
  <c r="P1213" i="35"/>
  <c r="P1212" i="35"/>
  <c r="P89" i="35"/>
  <c r="I481" i="33" s="1"/>
  <c r="S307" i="33"/>
  <c r="P238" i="35"/>
  <c r="I307" i="33" s="1"/>
  <c r="P1207" i="35"/>
  <c r="T369" i="6"/>
  <c r="P1192" i="35"/>
  <c r="P966" i="35"/>
  <c r="P1196" i="35"/>
  <c r="T384" i="6"/>
  <c r="S403" i="6"/>
  <c r="S401" i="6"/>
  <c r="S404" i="6"/>
  <c r="P1147" i="35"/>
  <c r="S399" i="6"/>
  <c r="S396" i="6"/>
  <c r="P1122" i="35"/>
  <c r="P1128" i="35"/>
  <c r="P1200" i="35"/>
  <c r="P1202" i="35"/>
  <c r="P91" i="35"/>
  <c r="I158" i="33" s="1"/>
  <c r="P806" i="35"/>
  <c r="P1175" i="35"/>
  <c r="P1185" i="35"/>
  <c r="P1116" i="35"/>
  <c r="P1153" i="35"/>
  <c r="P1177" i="35"/>
  <c r="P1143" i="35"/>
  <c r="P86" i="35"/>
  <c r="I285" i="33" s="1"/>
  <c r="I48" i="34" s="1"/>
  <c r="P665" i="35"/>
  <c r="P1082" i="35"/>
  <c r="P1168" i="35"/>
  <c r="P1124" i="35"/>
  <c r="P19" i="35"/>
  <c r="I165" i="33" s="1"/>
  <c r="P1155" i="35"/>
  <c r="P1145" i="35"/>
  <c r="T390" i="6"/>
  <c r="S392" i="6"/>
  <c r="S394" i="6"/>
  <c r="S390" i="6"/>
  <c r="T393" i="6"/>
  <c r="S393" i="6"/>
  <c r="T392" i="6"/>
  <c r="T385" i="6"/>
  <c r="P1115" i="35"/>
  <c r="T356" i="6"/>
  <c r="T386" i="6"/>
  <c r="P1107" i="35"/>
  <c r="P1142" i="35"/>
  <c r="T370" i="6"/>
  <c r="T355" i="6"/>
  <c r="S385" i="6"/>
  <c r="S386" i="6"/>
  <c r="P505" i="35"/>
  <c r="P1129" i="35"/>
  <c r="P1100" i="35"/>
  <c r="P1123" i="35"/>
  <c r="P1062" i="35"/>
  <c r="P1114" i="35"/>
  <c r="P1043" i="35"/>
  <c r="P1108" i="35"/>
  <c r="P1112" i="35"/>
  <c r="S366" i="6"/>
  <c r="T371" i="6"/>
  <c r="T372" i="6"/>
  <c r="T364" i="6"/>
  <c r="T362" i="6"/>
  <c r="T358" i="6"/>
  <c r="S279" i="6"/>
  <c r="S368" i="6"/>
  <c r="F58" i="36"/>
  <c r="F34" i="36"/>
  <c r="F60" i="36"/>
  <c r="F59" i="36"/>
  <c r="F104" i="36"/>
  <c r="F20" i="36"/>
  <c r="F61" i="36"/>
  <c r="F32" i="36"/>
  <c r="F8" i="36"/>
  <c r="F83" i="36"/>
  <c r="F54" i="36"/>
  <c r="F92" i="36"/>
  <c r="F28" i="36"/>
  <c r="F9" i="36"/>
  <c r="F90" i="36"/>
  <c r="F106" i="36"/>
  <c r="F23" i="36"/>
  <c r="F18" i="36"/>
  <c r="F69" i="36"/>
  <c r="F80" i="36"/>
  <c r="F33" i="36"/>
  <c r="F47" i="36"/>
  <c r="F19" i="36"/>
  <c r="F77" i="36"/>
  <c r="F71" i="36"/>
  <c r="F73" i="36"/>
  <c r="F87" i="36"/>
  <c r="F81" i="36"/>
  <c r="F10" i="36"/>
  <c r="F37" i="36"/>
  <c r="F50" i="36"/>
  <c r="F53" i="36"/>
  <c r="F27" i="36"/>
  <c r="F63" i="36"/>
  <c r="F75" i="36"/>
  <c r="F30" i="36"/>
  <c r="F16" i="36"/>
  <c r="F11" i="36"/>
  <c r="F57" i="36"/>
  <c r="F84" i="36"/>
  <c r="F44" i="36"/>
  <c r="F26" i="36"/>
  <c r="F66" i="36"/>
  <c r="F36" i="36"/>
  <c r="F43" i="36"/>
  <c r="F17" i="36"/>
  <c r="F78" i="36"/>
  <c r="F41" i="36"/>
  <c r="F45" i="36"/>
  <c r="F91" i="36"/>
  <c r="F110" i="36"/>
  <c r="F48" i="36"/>
  <c r="F38" i="36"/>
  <c r="F51" i="36"/>
  <c r="F55" i="36"/>
  <c r="F109" i="36"/>
  <c r="F82" i="36"/>
  <c r="F7" i="36"/>
  <c r="F74" i="36"/>
  <c r="F72" i="36"/>
  <c r="F56" i="36"/>
  <c r="F88" i="36"/>
  <c r="F6" i="36"/>
  <c r="F21" i="36"/>
  <c r="F5" i="36"/>
  <c r="T331" i="6"/>
  <c r="S364" i="6"/>
  <c r="S377" i="6"/>
  <c r="S293" i="6"/>
  <c r="T366" i="6"/>
  <c r="S371" i="6"/>
  <c r="S370" i="6"/>
  <c r="S362" i="6"/>
  <c r="S376" i="6"/>
  <c r="G20" i="36"/>
  <c r="I20" i="36" s="1"/>
  <c r="S148" i="6"/>
  <c r="C20" i="36" s="1"/>
  <c r="T357" i="6"/>
  <c r="S356" i="6"/>
  <c r="T361" i="6"/>
  <c r="S355" i="6"/>
  <c r="S383" i="6"/>
  <c r="S384" i="6"/>
  <c r="S372" i="6"/>
  <c r="P1096" i="35"/>
  <c r="P1106" i="35"/>
  <c r="P1104" i="35"/>
  <c r="P1103" i="35"/>
  <c r="P1105" i="35"/>
  <c r="P1099" i="35"/>
  <c r="P1094" i="35"/>
  <c r="T61" i="6"/>
  <c r="D10" i="36" s="1"/>
  <c r="P1058" i="35"/>
  <c r="P1088" i="35"/>
  <c r="P1092" i="35"/>
  <c r="P1098" i="35"/>
  <c r="P1074" i="35"/>
  <c r="P1081" i="35"/>
  <c r="P1066" i="35"/>
  <c r="P1077" i="35"/>
  <c r="P1083" i="35"/>
  <c r="P1067" i="35"/>
  <c r="P1080" i="35"/>
  <c r="I565" i="33" s="1"/>
  <c r="P1073" i="35"/>
  <c r="P1076" i="35"/>
  <c r="J565" i="33"/>
  <c r="S565" i="33"/>
  <c r="K565" i="33"/>
  <c r="P1068" i="35"/>
  <c r="P1071" i="35"/>
  <c r="P1063" i="35"/>
  <c r="P1061" i="35"/>
  <c r="P1048" i="35"/>
  <c r="P1012" i="35"/>
  <c r="P1056" i="35"/>
  <c r="S365" i="6"/>
  <c r="S361" i="6"/>
  <c r="P1025" i="35"/>
  <c r="P1054" i="35"/>
  <c r="P1026" i="35"/>
  <c r="P1022" i="35"/>
  <c r="P74" i="35"/>
  <c r="I461" i="33" s="1"/>
  <c r="P1052" i="35"/>
  <c r="P1053" i="35"/>
  <c r="P1046" i="35"/>
  <c r="P1049" i="35"/>
  <c r="P1006" i="35"/>
  <c r="P1036" i="35"/>
  <c r="P1030" i="35"/>
  <c r="P1044" i="35"/>
  <c r="P1042" i="35"/>
  <c r="P1027" i="35"/>
  <c r="P1035" i="35"/>
  <c r="P1038" i="35"/>
  <c r="P919" i="35"/>
  <c r="P1033" i="35"/>
  <c r="T341" i="6"/>
  <c r="P1029" i="35"/>
  <c r="S357" i="6"/>
  <c r="S358" i="6"/>
  <c r="P1031" i="35"/>
  <c r="P1024" i="35"/>
  <c r="P1015" i="35"/>
  <c r="P1003" i="35"/>
  <c r="P1023" i="35"/>
  <c r="T354" i="6"/>
  <c r="P1021" i="35"/>
  <c r="P362" i="35"/>
  <c r="I209" i="33" s="1"/>
  <c r="P856" i="35"/>
  <c r="S209" i="33"/>
  <c r="K209" i="33"/>
  <c r="J209" i="33"/>
  <c r="P1018" i="35"/>
  <c r="P817" i="35"/>
  <c r="P554" i="35"/>
  <c r="P970" i="35"/>
  <c r="P1014" i="35"/>
  <c r="P988" i="35"/>
  <c r="P653" i="35"/>
  <c r="T348" i="6"/>
  <c r="P979" i="35"/>
  <c r="P813" i="35"/>
  <c r="S354" i="6"/>
  <c r="T298" i="6"/>
  <c r="S341" i="6"/>
  <c r="T351" i="6"/>
  <c r="P987" i="35"/>
  <c r="P1005" i="35"/>
  <c r="P1004" i="35"/>
  <c r="P445" i="35"/>
  <c r="P982" i="35"/>
  <c r="P984" i="35"/>
  <c r="P964" i="35"/>
  <c r="P985" i="35"/>
  <c r="P980" i="35"/>
  <c r="P965" i="35"/>
  <c r="P977" i="35"/>
  <c r="P976" i="35"/>
  <c r="P920" i="35"/>
  <c r="P953" i="35"/>
  <c r="P968" i="35"/>
  <c r="S236" i="33"/>
  <c r="J236" i="33"/>
  <c r="P909" i="35"/>
  <c r="P777" i="35"/>
  <c r="P285" i="35"/>
  <c r="I236" i="33" s="1"/>
  <c r="P315" i="35"/>
  <c r="I125" i="33" s="1"/>
  <c r="P945" i="35"/>
  <c r="P926" i="35"/>
  <c r="P944" i="35"/>
  <c r="P197" i="35"/>
  <c r="I512" i="33" s="1"/>
  <c r="P894" i="35"/>
  <c r="I292" i="33" s="1"/>
  <c r="P928" i="35"/>
  <c r="P927" i="35"/>
  <c r="P925" i="35"/>
  <c r="K512" i="33"/>
  <c r="S512" i="33"/>
  <c r="J512" i="33"/>
  <c r="P192" i="35"/>
  <c r="P87" i="35"/>
  <c r="I189" i="33" s="1"/>
  <c r="P923" i="35"/>
  <c r="P922" i="35"/>
  <c r="P903" i="35"/>
  <c r="P157" i="35"/>
  <c r="I516" i="33" s="1"/>
  <c r="P918" i="35"/>
  <c r="P917" i="35"/>
  <c r="K516" i="33"/>
  <c r="S516" i="33"/>
  <c r="J516" i="33"/>
  <c r="P916" i="35"/>
  <c r="P913" i="35"/>
  <c r="P198" i="35"/>
  <c r="I201" i="33" s="1"/>
  <c r="K201" i="33"/>
  <c r="J201" i="33"/>
  <c r="S201" i="33"/>
  <c r="P912" i="35"/>
  <c r="P37" i="35"/>
  <c r="I314" i="33" s="1"/>
  <c r="P858" i="35"/>
  <c r="P911" i="35"/>
  <c r="P698" i="35"/>
  <c r="P906" i="35"/>
  <c r="P902" i="35"/>
  <c r="P893" i="35"/>
  <c r="P905" i="35"/>
  <c r="P456" i="35"/>
  <c r="I520" i="33" s="1"/>
  <c r="P99" i="35"/>
  <c r="I251" i="33" s="1"/>
  <c r="H498" i="33"/>
  <c r="J498" i="33" s="1"/>
  <c r="H53" i="33"/>
  <c r="P758" i="35"/>
  <c r="P861" i="35"/>
  <c r="P901" i="35"/>
  <c r="P765" i="35"/>
  <c r="P881" i="35"/>
  <c r="P900" i="35"/>
  <c r="P898" i="35"/>
  <c r="P899" i="35"/>
  <c r="P883" i="35"/>
  <c r="P896" i="35"/>
  <c r="J292" i="33"/>
  <c r="S292" i="33"/>
  <c r="K292" i="33"/>
  <c r="K291" i="33"/>
  <c r="S291" i="33"/>
  <c r="J291" i="33"/>
  <c r="P678" i="35"/>
  <c r="P294" i="35"/>
  <c r="P863" i="35"/>
  <c r="P889" i="35"/>
  <c r="P885" i="35"/>
  <c r="P873" i="35"/>
  <c r="P878" i="35"/>
  <c r="P866" i="35"/>
  <c r="P864" i="35"/>
  <c r="P689" i="35"/>
  <c r="P865" i="35"/>
  <c r="P859" i="35"/>
  <c r="P862" i="35"/>
  <c r="P851" i="35"/>
  <c r="P857" i="35"/>
  <c r="P854" i="35"/>
  <c r="P739" i="35"/>
  <c r="P848" i="35"/>
  <c r="P849" i="35"/>
  <c r="P840" i="35"/>
  <c r="P845" i="35"/>
  <c r="P847" i="35"/>
  <c r="T344" i="6"/>
  <c r="T290" i="6"/>
  <c r="T347" i="6"/>
  <c r="S339" i="6"/>
  <c r="T339" i="6"/>
  <c r="S344" i="6"/>
  <c r="P841" i="35"/>
  <c r="P162" i="35"/>
  <c r="I93" i="33" s="1"/>
  <c r="P838" i="35"/>
  <c r="P836" i="35"/>
  <c r="P827" i="35"/>
  <c r="P740" i="35"/>
  <c r="P832" i="35"/>
  <c r="P809" i="35"/>
  <c r="K520" i="33"/>
  <c r="S520" i="33"/>
  <c r="P816" i="35"/>
  <c r="P802" i="35"/>
  <c r="P789" i="35"/>
  <c r="P805" i="35"/>
  <c r="P795" i="35"/>
  <c r="P801" i="35"/>
  <c r="S351" i="6"/>
  <c r="S348" i="6"/>
  <c r="K68" i="33"/>
  <c r="S68" i="33"/>
  <c r="J68" i="33"/>
  <c r="P383" i="35"/>
  <c r="I68" i="33" s="1"/>
  <c r="P792" i="35"/>
  <c r="P799" i="35"/>
  <c r="P791" i="35"/>
  <c r="P796" i="35"/>
  <c r="T273" i="6"/>
  <c r="T318" i="6"/>
  <c r="P473" i="35"/>
  <c r="S307" i="6"/>
  <c r="S347" i="6"/>
  <c r="P380" i="35"/>
  <c r="I204" i="33" s="1"/>
  <c r="P355" i="35"/>
  <c r="I203" i="33" s="1"/>
  <c r="S82" i="33"/>
  <c r="K253" i="33"/>
  <c r="J253" i="33"/>
  <c r="S253" i="33"/>
  <c r="P358" i="35"/>
  <c r="I253" i="33" s="1"/>
  <c r="P783" i="35"/>
  <c r="P781" i="35"/>
  <c r="P784" i="35"/>
  <c r="P732" i="35"/>
  <c r="I82" i="33" s="1"/>
  <c r="P782" i="35"/>
  <c r="J206" i="33"/>
  <c r="K206" i="33"/>
  <c r="S206" i="33"/>
  <c r="K204" i="33"/>
  <c r="S204" i="33"/>
  <c r="J204" i="33"/>
  <c r="P352" i="35"/>
  <c r="I206" i="33" s="1"/>
  <c r="P384" i="35"/>
  <c r="I196" i="33" s="1"/>
  <c r="P780" i="35"/>
  <c r="K196" i="33"/>
  <c r="J196" i="33"/>
  <c r="S196" i="33"/>
  <c r="P779" i="35"/>
  <c r="P776" i="35"/>
  <c r="H194" i="33"/>
  <c r="P359" i="35"/>
  <c r="I194" i="33" s="1"/>
  <c r="K82" i="33"/>
  <c r="K113" i="33"/>
  <c r="S113" i="33"/>
  <c r="J113" i="33"/>
  <c r="P357" i="35"/>
  <c r="I113" i="33" s="1"/>
  <c r="P775" i="35"/>
  <c r="P762" i="35"/>
  <c r="P773" i="35"/>
  <c r="P766" i="35"/>
  <c r="S283" i="6"/>
  <c r="T309" i="6"/>
  <c r="S309" i="6"/>
  <c r="T307" i="6"/>
  <c r="T305" i="6"/>
  <c r="P763" i="35"/>
  <c r="P725" i="35"/>
  <c r="I341" i="33" s="1"/>
  <c r="P548" i="35"/>
  <c r="P757" i="35"/>
  <c r="P759" i="35"/>
  <c r="P761" i="35"/>
  <c r="P760" i="35"/>
  <c r="P324" i="35"/>
  <c r="I518" i="33" s="1"/>
  <c r="K518" i="33"/>
  <c r="S518" i="33"/>
  <c r="J518" i="33"/>
  <c r="P754" i="35"/>
  <c r="P756" i="35"/>
  <c r="P753" i="35"/>
  <c r="P721" i="35"/>
  <c r="P738" i="35"/>
  <c r="P752" i="35"/>
  <c r="P452" i="35"/>
  <c r="P600" i="35"/>
  <c r="P749" i="35"/>
  <c r="P746" i="35"/>
  <c r="P747" i="35"/>
  <c r="P713" i="35"/>
  <c r="P729" i="35"/>
  <c r="P730" i="35"/>
  <c r="K572" i="33"/>
  <c r="J572" i="33"/>
  <c r="S572" i="33"/>
  <c r="T293" i="6"/>
  <c r="T282" i="6"/>
  <c r="P744" i="35"/>
  <c r="I572" i="33" s="1"/>
  <c r="T241" i="6"/>
  <c r="T270" i="6"/>
  <c r="T300" i="6"/>
  <c r="T266" i="6"/>
  <c r="S241" i="6"/>
  <c r="T304" i="6"/>
  <c r="S272" i="6"/>
  <c r="T299" i="6"/>
  <c r="T271" i="6"/>
  <c r="T292" i="6"/>
  <c r="T289" i="6"/>
  <c r="T323" i="6"/>
  <c r="T265" i="6"/>
  <c r="T269" i="6"/>
  <c r="S261" i="6"/>
  <c r="T258" i="6"/>
  <c r="T326" i="6"/>
  <c r="S281" i="6"/>
  <c r="T263" i="6"/>
  <c r="T288" i="6"/>
  <c r="S292" i="6"/>
  <c r="S328" i="6"/>
  <c r="S267" i="6"/>
  <c r="S274" i="6"/>
  <c r="S278" i="6"/>
  <c r="T261" i="6"/>
  <c r="T280" i="6"/>
  <c r="S331" i="6"/>
  <c r="T328" i="6"/>
  <c r="S271" i="6"/>
  <c r="S298" i="6"/>
  <c r="T260" i="6"/>
  <c r="S305" i="6"/>
  <c r="T283" i="6"/>
  <c r="G71" i="36"/>
  <c r="I71" i="36" s="1"/>
  <c r="S14" i="6"/>
  <c r="C71" i="36" s="1"/>
  <c r="S59" i="6"/>
  <c r="C50" i="36" s="1"/>
  <c r="T312" i="6"/>
  <c r="S269" i="6"/>
  <c r="T278" i="6"/>
  <c r="T279" i="6"/>
  <c r="S263" i="6"/>
  <c r="S258" i="6"/>
  <c r="S318" i="6"/>
  <c r="S323" i="6"/>
  <c r="T294" i="6"/>
  <c r="S326" i="6"/>
  <c r="S312" i="6"/>
  <c r="S300" i="6"/>
  <c r="T272" i="6"/>
  <c r="S285" i="6"/>
  <c r="T285" i="6"/>
  <c r="S260" i="6"/>
  <c r="T267" i="6"/>
  <c r="T268" i="6"/>
  <c r="S282" i="6"/>
  <c r="T281" i="6"/>
  <c r="T274" i="6"/>
  <c r="S289" i="6"/>
  <c r="T70" i="6"/>
  <c r="D83" i="36" s="1"/>
  <c r="P731" i="35"/>
  <c r="P728" i="35"/>
  <c r="P727" i="35"/>
  <c r="P582" i="35"/>
  <c r="S342" i="33"/>
  <c r="I342" i="33"/>
  <c r="I366" i="33"/>
  <c r="K342" i="33"/>
  <c r="S366" i="33"/>
  <c r="J366" i="33"/>
  <c r="K366" i="33"/>
  <c r="P714" i="35"/>
  <c r="P724" i="35"/>
  <c r="I532" i="33" s="1"/>
  <c r="P266" i="35"/>
  <c r="I100" i="33" s="1"/>
  <c r="S532" i="33"/>
  <c r="K532" i="33"/>
  <c r="J532" i="33"/>
  <c r="P224" i="35"/>
  <c r="I55" i="33" s="1"/>
  <c r="P686" i="35"/>
  <c r="P717" i="35"/>
  <c r="P236" i="35"/>
  <c r="P385" i="35"/>
  <c r="I519" i="33" s="1"/>
  <c r="H519" i="33"/>
  <c r="K519" i="33" s="1"/>
  <c r="P710" i="35"/>
  <c r="P707" i="35"/>
  <c r="I104" i="33" s="1"/>
  <c r="K104" i="33"/>
  <c r="J104" i="33"/>
  <c r="P709" i="35"/>
  <c r="P704" i="35"/>
  <c r="P702" i="35"/>
  <c r="P241" i="35"/>
  <c r="I515" i="33" s="1"/>
  <c r="P703" i="35"/>
  <c r="K515" i="33"/>
  <c r="J515" i="33"/>
  <c r="S515" i="33"/>
  <c r="J133" i="33"/>
  <c r="S133" i="33"/>
  <c r="P683" i="35"/>
  <c r="I133" i="33" s="1"/>
  <c r="P687" i="35"/>
  <c r="P666" i="35"/>
  <c r="P674" i="35"/>
  <c r="P526" i="35"/>
  <c r="P189" i="35"/>
  <c r="P677" i="35"/>
  <c r="P213" i="35"/>
  <c r="I134" i="33" s="1"/>
  <c r="P661" i="35"/>
  <c r="P676" i="35"/>
  <c r="S299" i="6"/>
  <c r="S304" i="6"/>
  <c r="P491" i="35"/>
  <c r="P673" i="35"/>
  <c r="P240" i="35"/>
  <c r="I429" i="33" s="1"/>
  <c r="P664" i="35"/>
  <c r="K429" i="33"/>
  <c r="J429" i="33"/>
  <c r="S429" i="33"/>
  <c r="P667" i="35"/>
  <c r="P320" i="35"/>
  <c r="H143" i="33"/>
  <c r="P319" i="35"/>
  <c r="I143" i="33" s="1"/>
  <c r="P502" i="35"/>
  <c r="S61" i="6"/>
  <c r="C10" i="36" s="1"/>
  <c r="S294" i="6"/>
  <c r="S291" i="6"/>
  <c r="S290" i="6"/>
  <c r="S75" i="6"/>
  <c r="C84" i="36" s="1"/>
  <c r="S288" i="6"/>
  <c r="S280" i="6"/>
  <c r="S273" i="6"/>
  <c r="S270" i="6"/>
  <c r="S268" i="6"/>
  <c r="S266" i="6"/>
  <c r="S254" i="6"/>
  <c r="S265" i="6"/>
  <c r="T244" i="6"/>
  <c r="T167" i="6"/>
  <c r="S70" i="6"/>
  <c r="C83" i="36" s="1"/>
  <c r="T254" i="6"/>
  <c r="P660" i="35"/>
  <c r="P655" i="35"/>
  <c r="P659" i="35"/>
  <c r="P657" i="35"/>
  <c r="P573" i="35"/>
  <c r="T257" i="6"/>
  <c r="S167" i="6"/>
  <c r="O252" i="6"/>
  <c r="Q252" i="6" s="1"/>
  <c r="S252" i="6" s="1"/>
  <c r="T252" i="6"/>
  <c r="S257" i="6"/>
  <c r="T246" i="6"/>
  <c r="T242" i="6"/>
  <c r="T238" i="6"/>
  <c r="T245" i="6"/>
  <c r="T247" i="6"/>
  <c r="S242" i="6"/>
  <c r="P651" i="35"/>
  <c r="P649" i="35"/>
  <c r="M650" i="35"/>
  <c r="N650" i="35" s="1"/>
  <c r="I650" i="35"/>
  <c r="O650" i="35" s="1"/>
  <c r="I647" i="35"/>
  <c r="O647" i="35" s="1"/>
  <c r="M647" i="35"/>
  <c r="N647" i="35" s="1"/>
  <c r="P642" i="35"/>
  <c r="P635" i="35"/>
  <c r="P622" i="35"/>
  <c r="M639" i="35"/>
  <c r="N639" i="35" s="1"/>
  <c r="I639" i="35"/>
  <c r="O639" i="35" s="1"/>
  <c r="P637" i="35"/>
  <c r="M638" i="35"/>
  <c r="N638" i="35" s="1"/>
  <c r="I638" i="35"/>
  <c r="O638" i="35" s="1"/>
  <c r="P636" i="35"/>
  <c r="P634" i="35"/>
  <c r="S245" i="6"/>
  <c r="S246" i="6"/>
  <c r="S247" i="6"/>
  <c r="S231" i="6"/>
  <c r="S244" i="6"/>
  <c r="S240" i="6"/>
  <c r="S243" i="6"/>
  <c r="T237" i="6"/>
  <c r="T240" i="6"/>
  <c r="G91" i="36"/>
  <c r="I91" i="36" s="1"/>
  <c r="S138" i="6"/>
  <c r="C91" i="36" s="1"/>
  <c r="S238" i="6"/>
  <c r="P618" i="35"/>
  <c r="T192" i="6"/>
  <c r="S237" i="6"/>
  <c r="P483" i="35"/>
  <c r="H432" i="33"/>
  <c r="P252" i="35"/>
  <c r="I432" i="33" s="1"/>
  <c r="P627" i="35"/>
  <c r="P624" i="35"/>
  <c r="P619" i="35"/>
  <c r="P249" i="35"/>
  <c r="I264" i="33" s="1"/>
  <c r="P616" i="35"/>
  <c r="P608" i="35"/>
  <c r="J352" i="33"/>
  <c r="K352" i="33"/>
  <c r="S352" i="33"/>
  <c r="P353" i="35"/>
  <c r="I352" i="33" s="1"/>
  <c r="P578" i="35"/>
  <c r="J359" i="33"/>
  <c r="K359" i="33"/>
  <c r="S359" i="33"/>
  <c r="P356" i="35"/>
  <c r="I359" i="33" s="1"/>
  <c r="P607" i="35"/>
  <c r="P602" i="35"/>
  <c r="T236" i="6"/>
  <c r="T235" i="6"/>
  <c r="S232" i="6"/>
  <c r="T230" i="6"/>
  <c r="P603" i="35"/>
  <c r="P583" i="35"/>
  <c r="P601" i="35"/>
  <c r="P559" i="35"/>
  <c r="I598" i="35"/>
  <c r="O598" i="35" s="1"/>
  <c r="P599" i="35"/>
  <c r="P595" i="35"/>
  <c r="M598" i="35"/>
  <c r="N598" i="35" s="1"/>
  <c r="P566" i="35"/>
  <c r="P597" i="35"/>
  <c r="P596" i="35"/>
  <c r="P593" i="35"/>
  <c r="P592" i="35"/>
  <c r="P381" i="35"/>
  <c r="I385" i="33" s="1"/>
  <c r="K385" i="33"/>
  <c r="S385" i="33"/>
  <c r="J385" i="33"/>
  <c r="P591" i="35"/>
  <c r="P590" i="35"/>
  <c r="H18" i="33"/>
  <c r="P586" i="35"/>
  <c r="S228" i="6"/>
  <c r="T233" i="6"/>
  <c r="T234" i="6"/>
  <c r="S236" i="6"/>
  <c r="S235" i="6"/>
  <c r="S229" i="6"/>
  <c r="S188" i="6"/>
  <c r="T231" i="6"/>
  <c r="T229" i="6"/>
  <c r="T228" i="6"/>
  <c r="P370" i="35"/>
  <c r="P581" i="35"/>
  <c r="P580" i="35"/>
  <c r="P576" i="35"/>
  <c r="P436" i="35"/>
  <c r="P557" i="35"/>
  <c r="P577" i="35"/>
  <c r="P575" i="35"/>
  <c r="P574" i="35"/>
  <c r="T227" i="6"/>
  <c r="S234" i="6"/>
  <c r="T232" i="6"/>
  <c r="S233" i="6"/>
  <c r="T226" i="6"/>
  <c r="T225" i="6"/>
  <c r="G89" i="36"/>
  <c r="I89" i="36" s="1"/>
  <c r="T212" i="6"/>
  <c r="S226" i="6"/>
  <c r="T214" i="6"/>
  <c r="S227" i="6"/>
  <c r="S225" i="6"/>
  <c r="P337" i="35"/>
  <c r="I249" i="33" s="1"/>
  <c r="I33" i="34" s="1"/>
  <c r="T219" i="6"/>
  <c r="T220" i="6"/>
  <c r="T217" i="6"/>
  <c r="P493" i="35"/>
  <c r="P569" i="35"/>
  <c r="J249" i="33"/>
  <c r="K249" i="33"/>
  <c r="J33" i="34" s="1"/>
  <c r="S249" i="33"/>
  <c r="C33" i="34" s="1"/>
  <c r="S224" i="6"/>
  <c r="T222" i="6"/>
  <c r="T221" i="6"/>
  <c r="T224" i="6"/>
  <c r="S223" i="6"/>
  <c r="T223" i="6"/>
  <c r="S222" i="6"/>
  <c r="S221" i="6"/>
  <c r="T218" i="6"/>
  <c r="T216" i="6"/>
  <c r="S213" i="6"/>
  <c r="T210" i="6"/>
  <c r="T200" i="6"/>
  <c r="T206" i="6"/>
  <c r="S214" i="6"/>
  <c r="S217" i="6"/>
  <c r="S206" i="6"/>
  <c r="S208" i="6"/>
  <c r="T213" i="6"/>
  <c r="S216" i="6"/>
  <c r="S219" i="6"/>
  <c r="S210" i="6"/>
  <c r="S209" i="6"/>
  <c r="S215" i="6"/>
  <c r="S207" i="6"/>
  <c r="T204" i="6"/>
  <c r="S218" i="6"/>
  <c r="S220" i="6"/>
  <c r="S212" i="6"/>
  <c r="S211" i="6"/>
  <c r="P563" i="35"/>
  <c r="T190" i="6"/>
  <c r="T203" i="6"/>
  <c r="T69" i="6"/>
  <c r="D79" i="36" s="1"/>
  <c r="T188" i="6"/>
  <c r="T169" i="6"/>
  <c r="T198" i="6"/>
  <c r="T196" i="6"/>
  <c r="T197" i="6"/>
  <c r="T202" i="6"/>
  <c r="P567" i="35"/>
  <c r="P376" i="35"/>
  <c r="T185" i="6"/>
  <c r="T195" i="6"/>
  <c r="T194" i="6"/>
  <c r="T173" i="6"/>
  <c r="S193" i="6"/>
  <c r="T201" i="6"/>
  <c r="S198" i="6"/>
  <c r="S201" i="6"/>
  <c r="S184" i="6"/>
  <c r="S196" i="6"/>
  <c r="T171" i="6"/>
  <c r="S200" i="6"/>
  <c r="S199" i="6"/>
  <c r="T191" i="6"/>
  <c r="S190" i="6"/>
  <c r="S191" i="6"/>
  <c r="S197" i="6"/>
  <c r="S202" i="6"/>
  <c r="S205" i="6"/>
  <c r="S204" i="6"/>
  <c r="S203" i="6"/>
  <c r="S192" i="6"/>
  <c r="S195" i="6"/>
  <c r="S194" i="6"/>
  <c r="S118" i="6"/>
  <c r="C89" i="36" s="1"/>
  <c r="P177" i="35"/>
  <c r="T181" i="6"/>
  <c r="P289" i="35"/>
  <c r="P561" i="35"/>
  <c r="P562" i="35"/>
  <c r="P560" i="35"/>
  <c r="J1029" i="31"/>
  <c r="P282" i="35"/>
  <c r="P406" i="35"/>
  <c r="I58" i="33" s="1"/>
  <c r="K58" i="33"/>
  <c r="S58" i="33"/>
  <c r="J58" i="33"/>
  <c r="P199" i="35"/>
  <c r="P556" i="35"/>
  <c r="P555" i="35"/>
  <c r="P100" i="35"/>
  <c r="I260" i="33" s="1"/>
  <c r="P551" i="35"/>
  <c r="M553" i="35"/>
  <c r="N553" i="35" s="1"/>
  <c r="P552" i="35"/>
  <c r="I553" i="35"/>
  <c r="O553" i="35" s="1"/>
  <c r="P382" i="35"/>
  <c r="P549" i="35"/>
  <c r="P283" i="35"/>
  <c r="I224" i="33" s="1"/>
  <c r="P550" i="35"/>
  <c r="P302" i="35"/>
  <c r="P280" i="35"/>
  <c r="P547" i="35"/>
  <c r="P546" i="35"/>
  <c r="P20" i="35"/>
  <c r="I69" i="33" s="1"/>
  <c r="P156" i="35"/>
  <c r="I505" i="33" s="1"/>
  <c r="P545" i="35"/>
  <c r="P308" i="35"/>
  <c r="I279" i="33" s="1"/>
  <c r="K279" i="33"/>
  <c r="S279" i="33"/>
  <c r="J279" i="33"/>
  <c r="P544" i="35"/>
  <c r="I144" i="35"/>
  <c r="O144" i="35" s="1"/>
  <c r="P519" i="35"/>
  <c r="P542" i="35"/>
  <c r="P543" i="35"/>
  <c r="P109" i="35"/>
  <c r="I34" i="33" s="1"/>
  <c r="P539" i="35"/>
  <c r="J241" i="33"/>
  <c r="K241" i="33"/>
  <c r="S241" i="33"/>
  <c r="P340" i="35"/>
  <c r="I241" i="33" s="1"/>
  <c r="P541" i="35"/>
  <c r="P440" i="35"/>
  <c r="P536" i="35"/>
  <c r="P537" i="35"/>
  <c r="I63" i="35"/>
  <c r="O63" i="35" s="1"/>
  <c r="H422" i="33" s="1"/>
  <c r="P535" i="35"/>
  <c r="P55" i="35"/>
  <c r="I277" i="33" s="1"/>
  <c r="P533" i="35"/>
  <c r="P531" i="35"/>
  <c r="P532" i="35"/>
  <c r="P530" i="35"/>
  <c r="P256" i="35"/>
  <c r="T183" i="6"/>
  <c r="S171" i="6"/>
  <c r="P76" i="35"/>
  <c r="I153" i="33" s="1"/>
  <c r="S264" i="33"/>
  <c r="K264" i="33"/>
  <c r="P529" i="35"/>
  <c r="P234" i="35"/>
  <c r="I275" i="33" s="1"/>
  <c r="I111" i="35"/>
  <c r="O111" i="35" s="1"/>
  <c r="I222" i="35"/>
  <c r="O222" i="35" s="1"/>
  <c r="I276" i="35"/>
  <c r="O276" i="35" s="1"/>
  <c r="P391" i="35"/>
  <c r="P405" i="35"/>
  <c r="H1029" i="31"/>
  <c r="M970" i="31"/>
  <c r="I1029" i="31"/>
  <c r="K1029" i="31"/>
  <c r="P404" i="35"/>
  <c r="P118" i="35"/>
  <c r="I78" i="33" s="1"/>
  <c r="P465" i="35"/>
  <c r="P457" i="35"/>
  <c r="P525" i="35"/>
  <c r="S1016" i="31"/>
  <c r="P523" i="35"/>
  <c r="P331" i="35"/>
  <c r="I307" i="35"/>
  <c r="O307" i="35" s="1"/>
  <c r="I128" i="35"/>
  <c r="O128" i="35" s="1"/>
  <c r="I121" i="35"/>
  <c r="O121" i="35" s="1"/>
  <c r="I136" i="35"/>
  <c r="O136" i="35" s="1"/>
  <c r="I179" i="35"/>
  <c r="O179" i="35" s="1"/>
  <c r="P338" i="35"/>
  <c r="I120" i="35"/>
  <c r="O120" i="35" s="1"/>
  <c r="P103" i="35"/>
  <c r="I437" i="33" s="1"/>
  <c r="I135" i="35"/>
  <c r="O135" i="35" s="1"/>
  <c r="I250" i="35"/>
  <c r="O250" i="35" s="1"/>
  <c r="I203" i="35"/>
  <c r="O203" i="35" s="1"/>
  <c r="I205" i="35"/>
  <c r="O205" i="35" s="1"/>
  <c r="I216" i="35"/>
  <c r="O216" i="35" s="1"/>
  <c r="I228" i="35"/>
  <c r="O228" i="35" s="1"/>
  <c r="I181" i="35"/>
  <c r="O181" i="35" s="1"/>
  <c r="I143" i="35"/>
  <c r="O143" i="35" s="1"/>
  <c r="I212" i="35"/>
  <c r="O212" i="35" s="1"/>
  <c r="P66" i="35"/>
  <c r="I500" i="33" s="1"/>
  <c r="P522" i="35"/>
  <c r="S78" i="33"/>
  <c r="P94" i="35"/>
  <c r="I337" i="33" s="1"/>
  <c r="P360" i="35"/>
  <c r="I374" i="35"/>
  <c r="O374" i="35" s="1"/>
  <c r="S182" i="6"/>
  <c r="T189" i="6"/>
  <c r="S189" i="6"/>
  <c r="T182" i="6"/>
  <c r="T184" i="6"/>
  <c r="S185" i="6"/>
  <c r="S187" i="6"/>
  <c r="S186" i="6"/>
  <c r="T187" i="6"/>
  <c r="S183" i="6"/>
  <c r="S8" i="6"/>
  <c r="C12" i="36" s="1"/>
  <c r="P419" i="35"/>
  <c r="P411" i="35"/>
  <c r="P32" i="35"/>
  <c r="I225" i="33" s="1"/>
  <c r="P520" i="35"/>
  <c r="P388" i="35"/>
  <c r="P518" i="35"/>
  <c r="P517" i="35"/>
  <c r="P196" i="35"/>
  <c r="P98" i="35"/>
  <c r="I297" i="33" s="1"/>
  <c r="P516" i="35"/>
  <c r="I321" i="35"/>
  <c r="O321" i="35" s="1"/>
  <c r="I378" i="35"/>
  <c r="O378" i="35" s="1"/>
  <c r="I317" i="35"/>
  <c r="O317" i="35" s="1"/>
  <c r="I371" i="35"/>
  <c r="O371" i="35" s="1"/>
  <c r="I365" i="35"/>
  <c r="O365" i="35" s="1"/>
  <c r="P515" i="35"/>
  <c r="P97" i="35"/>
  <c r="I495" i="33" s="1"/>
  <c r="P432" i="35"/>
  <c r="P513" i="35"/>
  <c r="M393" i="35"/>
  <c r="N393" i="35" s="1"/>
  <c r="P332" i="35"/>
  <c r="P402" i="35"/>
  <c r="P512" i="35"/>
  <c r="P509" i="35"/>
  <c r="I242" i="35"/>
  <c r="O242" i="35" s="1"/>
  <c r="I246" i="35"/>
  <c r="O246" i="35" s="1"/>
  <c r="I263" i="35"/>
  <c r="O263" i="35" s="1"/>
  <c r="I269" i="35"/>
  <c r="O269" i="35" s="1"/>
  <c r="P511" i="35"/>
  <c r="I235" i="35"/>
  <c r="O235" i="35" s="1"/>
  <c r="I237" i="35"/>
  <c r="O237" i="35" s="1"/>
  <c r="I239" i="35"/>
  <c r="O239" i="35" s="1"/>
  <c r="I255" i="35"/>
  <c r="O255" i="35" s="1"/>
  <c r="I270" i="35"/>
  <c r="O270" i="35" s="1"/>
  <c r="I314" i="35"/>
  <c r="O314" i="35" s="1"/>
  <c r="I330" i="35"/>
  <c r="O330" i="35" s="1"/>
  <c r="I328" i="35"/>
  <c r="O328" i="35" s="1"/>
  <c r="I325" i="35"/>
  <c r="O325" i="35" s="1"/>
  <c r="M111" i="35"/>
  <c r="N111" i="35" s="1"/>
  <c r="I200" i="35"/>
  <c r="O200" i="35" s="1"/>
  <c r="I211" i="35"/>
  <c r="O211" i="35" s="1"/>
  <c r="I373" i="35"/>
  <c r="O373" i="35" s="1"/>
  <c r="I390" i="35"/>
  <c r="O390" i="35" s="1"/>
  <c r="P507" i="35"/>
  <c r="P503" i="35"/>
  <c r="P510" i="35"/>
  <c r="P53" i="35"/>
  <c r="I462" i="33" s="1"/>
  <c r="P506" i="35"/>
  <c r="P504" i="35"/>
  <c r="P498" i="35"/>
  <c r="P500" i="35"/>
  <c r="P499" i="35"/>
  <c r="P501" i="35"/>
  <c r="P496" i="35"/>
  <c r="P497" i="35"/>
  <c r="P494" i="35"/>
  <c r="P495" i="35"/>
  <c r="P466" i="35"/>
  <c r="P174" i="35"/>
  <c r="I147" i="33" s="1"/>
  <c r="K147" i="33"/>
  <c r="J147" i="33"/>
  <c r="S147" i="33"/>
  <c r="P492" i="35"/>
  <c r="P490" i="35"/>
  <c r="P148" i="35"/>
  <c r="I138" i="33" s="1"/>
  <c r="P487" i="35"/>
  <c r="P52" i="35"/>
  <c r="I453" i="33" s="1"/>
  <c r="P488" i="35"/>
  <c r="P485" i="35"/>
  <c r="P298" i="35"/>
  <c r="I409" i="33" s="1"/>
  <c r="P486" i="35"/>
  <c r="J409" i="33"/>
  <c r="K409" i="33"/>
  <c r="S409" i="33"/>
  <c r="P484" i="35"/>
  <c r="P459" i="35"/>
  <c r="P481" i="35"/>
  <c r="P480" i="35"/>
  <c r="P482" i="35"/>
  <c r="P477" i="35"/>
  <c r="P478" i="35"/>
  <c r="P479" i="35"/>
  <c r="P476" i="35"/>
  <c r="P39" i="35"/>
  <c r="I458" i="33" s="1"/>
  <c r="I41" i="34" s="1"/>
  <c r="S181" i="6"/>
  <c r="S69" i="6"/>
  <c r="C79" i="36" s="1"/>
  <c r="T170" i="6"/>
  <c r="T180" i="6"/>
  <c r="P247" i="35"/>
  <c r="I308" i="33" s="1"/>
  <c r="P422" i="35"/>
  <c r="P470" i="35"/>
  <c r="P464" i="35"/>
  <c r="P469" i="35"/>
  <c r="P433" i="35"/>
  <c r="I212" i="33" s="1"/>
  <c r="J212" i="33"/>
  <c r="S212" i="33"/>
  <c r="K212" i="33"/>
  <c r="I412" i="35"/>
  <c r="O412" i="35" s="1"/>
  <c r="T179" i="6"/>
  <c r="D8" i="36" s="1"/>
  <c r="H309" i="33"/>
  <c r="K309" i="33" s="1"/>
  <c r="P227" i="35"/>
  <c r="S275" i="33"/>
  <c r="K275" i="33"/>
  <c r="P395" i="35"/>
  <c r="I443" i="33" s="1"/>
  <c r="F80" i="40"/>
  <c r="P427" i="35"/>
  <c r="P415" i="35"/>
  <c r="P450" i="35"/>
  <c r="I421" i="33" s="1"/>
  <c r="P467" i="35"/>
  <c r="P468" i="35"/>
  <c r="P451" i="35"/>
  <c r="P454" i="35"/>
  <c r="I107" i="33" s="1"/>
  <c r="P461" i="35"/>
  <c r="K421" i="33"/>
  <c r="P462" i="35"/>
  <c r="P463" i="35"/>
  <c r="P334" i="35"/>
  <c r="I360" i="33" s="1"/>
  <c r="P458" i="35"/>
  <c r="M378" i="35"/>
  <c r="N378" i="35" s="1"/>
  <c r="M460" i="35"/>
  <c r="N460" i="35" s="1"/>
  <c r="I460" i="35"/>
  <c r="O460" i="35" s="1"/>
  <c r="S421" i="33"/>
  <c r="J107" i="33"/>
  <c r="K107" i="33"/>
  <c r="P348" i="35"/>
  <c r="S180" i="6"/>
  <c r="P439" i="35"/>
  <c r="T178" i="6"/>
  <c r="S178" i="6"/>
  <c r="T177" i="6"/>
  <c r="S177" i="6"/>
  <c r="P444" i="35"/>
  <c r="P258" i="35"/>
  <c r="P414" i="35"/>
  <c r="P453" i="35"/>
  <c r="P449" i="35"/>
  <c r="P443" i="35"/>
  <c r="I455" i="35"/>
  <c r="O455" i="35" s="1"/>
  <c r="M431" i="35"/>
  <c r="N431" i="35" s="1"/>
  <c r="M455" i="35"/>
  <c r="N455" i="35" s="1"/>
  <c r="P447" i="35"/>
  <c r="P442" i="35"/>
  <c r="P448" i="35"/>
  <c r="P322" i="35"/>
  <c r="P434" i="35"/>
  <c r="P435" i="35"/>
  <c r="P437" i="35"/>
  <c r="J443" i="33"/>
  <c r="P438" i="35"/>
  <c r="P446" i="35"/>
  <c r="P441" i="35"/>
  <c r="K443" i="33"/>
  <c r="P417" i="35"/>
  <c r="I430" i="35"/>
  <c r="O430" i="35" s="1"/>
  <c r="P421" i="35"/>
  <c r="I431" i="35"/>
  <c r="O431" i="35" s="1"/>
  <c r="P428" i="35"/>
  <c r="S172" i="6"/>
  <c r="T172" i="6"/>
  <c r="S174" i="6"/>
  <c r="T174" i="6"/>
  <c r="S169" i="6"/>
  <c r="T176" i="6"/>
  <c r="I429" i="35"/>
  <c r="O429" i="35" s="1"/>
  <c r="S176" i="6"/>
  <c r="J360" i="33"/>
  <c r="K360" i="33"/>
  <c r="S989" i="31"/>
  <c r="P424" i="35"/>
  <c r="P425" i="35"/>
  <c r="M390" i="35"/>
  <c r="N390" i="35" s="1"/>
  <c r="M429" i="35"/>
  <c r="N429" i="35" s="1"/>
  <c r="M430" i="35"/>
  <c r="N430" i="35" s="1"/>
  <c r="M205" i="35"/>
  <c r="N205" i="35" s="1"/>
  <c r="M373" i="35"/>
  <c r="N373" i="35" s="1"/>
  <c r="M269" i="35"/>
  <c r="N269" i="35" s="1"/>
  <c r="M200" i="35"/>
  <c r="N200" i="35" s="1"/>
  <c r="M121" i="35"/>
  <c r="N121" i="35" s="1"/>
  <c r="M128" i="35"/>
  <c r="N128" i="35" s="1"/>
  <c r="M63" i="35"/>
  <c r="N63" i="35" s="1"/>
  <c r="M330" i="35"/>
  <c r="N330" i="35" s="1"/>
  <c r="M276" i="35"/>
  <c r="N276" i="35" s="1"/>
  <c r="M246" i="35"/>
  <c r="N246" i="35" s="1"/>
  <c r="M239" i="35"/>
  <c r="N239" i="35" s="1"/>
  <c r="M228" i="35"/>
  <c r="N228" i="35" s="1"/>
  <c r="M136" i="35"/>
  <c r="N136" i="35" s="1"/>
  <c r="M371" i="35"/>
  <c r="N371" i="35" s="1"/>
  <c r="M321" i="35"/>
  <c r="N321" i="35" s="1"/>
  <c r="M255" i="35"/>
  <c r="N255" i="35" s="1"/>
  <c r="M203" i="35"/>
  <c r="N203" i="35" s="1"/>
  <c r="M120" i="35"/>
  <c r="N120" i="35" s="1"/>
  <c r="M328" i="35"/>
  <c r="N328" i="35" s="1"/>
  <c r="M317" i="35"/>
  <c r="N317" i="35" s="1"/>
  <c r="M222" i="35"/>
  <c r="N222" i="35" s="1"/>
  <c r="M135" i="35"/>
  <c r="N135" i="35" s="1"/>
  <c r="M325" i="35"/>
  <c r="N325" i="35" s="1"/>
  <c r="M263" i="35"/>
  <c r="N263" i="35" s="1"/>
  <c r="M144" i="35"/>
  <c r="N144" i="35" s="1"/>
  <c r="M143" i="35"/>
  <c r="N143" i="35" s="1"/>
  <c r="M314" i="35"/>
  <c r="N314" i="35" s="1"/>
  <c r="M307" i="35"/>
  <c r="N307" i="35" s="1"/>
  <c r="M237" i="35"/>
  <c r="N237" i="35" s="1"/>
  <c r="M181" i="35"/>
  <c r="N181" i="35" s="1"/>
  <c r="M374" i="35"/>
  <c r="N374" i="35" s="1"/>
  <c r="M235" i="35"/>
  <c r="N235" i="35" s="1"/>
  <c r="M211" i="35"/>
  <c r="N211" i="35" s="1"/>
  <c r="M365" i="35"/>
  <c r="N365" i="35" s="1"/>
  <c r="M270" i="35"/>
  <c r="N270" i="35" s="1"/>
  <c r="M250" i="35"/>
  <c r="N250" i="35" s="1"/>
  <c r="M242" i="35"/>
  <c r="N242" i="35" s="1"/>
  <c r="M216" i="35"/>
  <c r="N216" i="35" s="1"/>
  <c r="M212" i="35"/>
  <c r="N212" i="35" s="1"/>
  <c r="M179" i="35"/>
  <c r="N179" i="35" s="1"/>
  <c r="P426" i="35"/>
  <c r="P423" i="35"/>
  <c r="P420" i="35"/>
  <c r="P413" i="35"/>
  <c r="P407" i="35"/>
  <c r="P418" i="35"/>
  <c r="S173" i="6"/>
  <c r="S13" i="6"/>
  <c r="C70" i="36" s="1"/>
  <c r="S170" i="6"/>
  <c r="P409" i="35"/>
  <c r="P403" i="35"/>
  <c r="I39" i="33" s="1"/>
  <c r="E2" i="41"/>
  <c r="K47" i="34"/>
  <c r="N213" i="33"/>
  <c r="R213" i="33" s="1"/>
  <c r="F36" i="40"/>
  <c r="S261" i="33"/>
  <c r="K261" i="33"/>
  <c r="S158" i="33"/>
  <c r="K158" i="33"/>
  <c r="S34" i="33"/>
  <c r="K34" i="33"/>
  <c r="S444" i="33"/>
  <c r="K444" i="33"/>
  <c r="S203" i="33"/>
  <c r="K203" i="33"/>
  <c r="S246" i="33"/>
  <c r="K246" i="33"/>
  <c r="S293" i="33"/>
  <c r="K293" i="33"/>
  <c r="S255" i="33"/>
  <c r="K255" i="33"/>
  <c r="S100" i="33"/>
  <c r="K100" i="33"/>
  <c r="S185" i="33"/>
  <c r="K185" i="33"/>
  <c r="J459" i="33"/>
  <c r="K459" i="33"/>
  <c r="J39" i="33"/>
  <c r="K39" i="33"/>
  <c r="J190" i="33"/>
  <c r="K190" i="33"/>
  <c r="J213" i="33"/>
  <c r="K213" i="33"/>
  <c r="S332" i="33"/>
  <c r="K332" i="33"/>
  <c r="S399" i="33"/>
  <c r="C40" i="34" s="1"/>
  <c r="K399" i="33"/>
  <c r="J40" i="34" s="1"/>
  <c r="S224" i="33"/>
  <c r="K224" i="33"/>
  <c r="F86" i="40"/>
  <c r="G39" i="41"/>
  <c r="E39" i="41"/>
  <c r="G34" i="41"/>
  <c r="E34" i="41"/>
  <c r="G2" i="41"/>
  <c r="S39" i="33"/>
  <c r="P401" i="35"/>
  <c r="I355" i="33" s="1"/>
  <c r="P416" i="35"/>
  <c r="J262" i="33"/>
  <c r="S262" i="33"/>
  <c r="P163" i="35"/>
  <c r="I124" i="33" s="1"/>
  <c r="O393" i="35"/>
  <c r="S355" i="33"/>
  <c r="J355" i="33"/>
  <c r="T142" i="6"/>
  <c r="S12" i="6"/>
  <c r="C31" i="36" s="1"/>
  <c r="T123" i="6"/>
  <c r="T175" i="6"/>
  <c r="S175" i="6"/>
  <c r="T168" i="6"/>
  <c r="T163" i="6"/>
  <c r="S160" i="6"/>
  <c r="T166" i="6"/>
  <c r="D21" i="36" s="1"/>
  <c r="S168" i="6"/>
  <c r="N412" i="35"/>
  <c r="P410" i="35"/>
  <c r="P408" i="35"/>
  <c r="S158" i="6"/>
  <c r="S166" i="6"/>
  <c r="C21" i="36" s="1"/>
  <c r="P398" i="35"/>
  <c r="I213" i="33" s="1"/>
  <c r="P72" i="35"/>
  <c r="I310" i="33" s="1"/>
  <c r="P394" i="35"/>
  <c r="I459" i="33" s="1"/>
  <c r="T157" i="6"/>
  <c r="P399" i="35"/>
  <c r="P400" i="35"/>
  <c r="F82" i="40"/>
  <c r="S157" i="6"/>
  <c r="S213" i="33"/>
  <c r="S459" i="33"/>
  <c r="P354" i="35"/>
  <c r="I190" i="33" s="1"/>
  <c r="P396" i="35"/>
  <c r="S162" i="6"/>
  <c r="T164" i="6"/>
  <c r="D33" i="36" s="1"/>
  <c r="T165" i="6"/>
  <c r="D44" i="36" s="1"/>
  <c r="P36" i="35"/>
  <c r="I28" i="33" s="1"/>
  <c r="P375" i="35"/>
  <c r="I188" i="33" s="1"/>
  <c r="P389" i="35"/>
  <c r="T159" i="6"/>
  <c r="D92" i="36" s="1"/>
  <c r="T161" i="6"/>
  <c r="T156" i="6"/>
  <c r="T162" i="6"/>
  <c r="S159" i="6"/>
  <c r="C92" i="36" s="1"/>
  <c r="S165" i="6"/>
  <c r="C44" i="36" s="1"/>
  <c r="S161" i="6"/>
  <c r="T160" i="6"/>
  <c r="T158" i="6"/>
  <c r="P248" i="35"/>
  <c r="I372" i="33" s="1"/>
  <c r="P386" i="35"/>
  <c r="P397" i="35"/>
  <c r="S190" i="33"/>
  <c r="P387" i="35"/>
  <c r="P392" i="35"/>
  <c r="P367" i="35"/>
  <c r="O153" i="6"/>
  <c r="Q153" i="6" s="1"/>
  <c r="S153" i="6" s="1"/>
  <c r="J372" i="33"/>
  <c r="S163" i="6"/>
  <c r="S155" i="6"/>
  <c r="C6" i="36" s="1"/>
  <c r="S141" i="6"/>
  <c r="T155" i="6"/>
  <c r="D6" i="36" s="1"/>
  <c r="T153" i="6"/>
  <c r="O94" i="6"/>
  <c r="Q94" i="6" s="1"/>
  <c r="S94" i="6" s="1"/>
  <c r="O15" i="6"/>
  <c r="Q15" i="6" s="1"/>
  <c r="S15" i="6" s="1"/>
  <c r="C16" i="36" s="1"/>
  <c r="O24" i="6"/>
  <c r="Q24" i="6" s="1"/>
  <c r="S24" i="6" s="1"/>
  <c r="O96" i="6"/>
  <c r="Q96" i="6" s="1"/>
  <c r="S96" i="6" s="1"/>
  <c r="O90" i="6"/>
  <c r="Q90" i="6" s="1"/>
  <c r="S90" i="6" s="1"/>
  <c r="O46" i="6"/>
  <c r="Q46" i="6" s="1"/>
  <c r="S46" i="6" s="1"/>
  <c r="O42" i="6"/>
  <c r="Q42" i="6" s="1"/>
  <c r="S42" i="6" s="1"/>
  <c r="O25" i="6"/>
  <c r="Q25" i="6" s="1"/>
  <c r="S25" i="6" s="1"/>
  <c r="S105" i="6"/>
  <c r="C88" i="36" s="1"/>
  <c r="H193" i="33"/>
  <c r="H188" i="33"/>
  <c r="P377" i="35"/>
  <c r="P379" i="35"/>
  <c r="S372" i="33"/>
  <c r="P372" i="35"/>
  <c r="P369" i="35"/>
  <c r="P351" i="35"/>
  <c r="S156" i="6"/>
  <c r="S154" i="6"/>
  <c r="T154" i="6"/>
  <c r="P366" i="35"/>
  <c r="P288" i="35"/>
  <c r="P368" i="35"/>
  <c r="P363" i="35"/>
  <c r="K38" i="34"/>
  <c r="C18" i="41"/>
  <c r="J186" i="33"/>
  <c r="S186" i="33"/>
  <c r="S136" i="33"/>
  <c r="S321" i="33"/>
  <c r="S29" i="33"/>
  <c r="S89" i="33"/>
  <c r="S184" i="33"/>
  <c r="J169" i="33"/>
  <c r="S169" i="33"/>
  <c r="S340" i="33"/>
  <c r="S20" i="33"/>
  <c r="S267" i="33"/>
  <c r="J177" i="33"/>
  <c r="S177" i="33"/>
  <c r="J331" i="33"/>
  <c r="S331" i="33"/>
  <c r="J182" i="33"/>
  <c r="S182" i="33"/>
  <c r="S482" i="33"/>
  <c r="S40" i="33"/>
  <c r="S278" i="33"/>
  <c r="J214" i="33"/>
  <c r="S214" i="33"/>
  <c r="S191" i="33"/>
  <c r="S198" i="33"/>
  <c r="P361" i="35"/>
  <c r="P364" i="35"/>
  <c r="P335" i="35"/>
  <c r="P339" i="35"/>
  <c r="P274" i="35"/>
  <c r="F881" i="31"/>
  <c r="B1052" i="31"/>
  <c r="J203" i="33"/>
  <c r="P349" i="35"/>
  <c r="P326" i="35"/>
  <c r="R68" i="33"/>
  <c r="P350" i="35"/>
  <c r="P347" i="35"/>
  <c r="P346" i="35"/>
  <c r="P345" i="35"/>
  <c r="P344" i="35"/>
  <c r="P342" i="35"/>
  <c r="P343" i="35"/>
  <c r="P341" i="35"/>
  <c r="H525" i="33"/>
  <c r="P71" i="35"/>
  <c r="I83" i="33" s="1"/>
  <c r="P214" i="35"/>
  <c r="P119" i="35"/>
  <c r="I525" i="33" s="1"/>
  <c r="P272" i="35"/>
  <c r="P336" i="35"/>
  <c r="G33" i="34"/>
  <c r="P333" i="35"/>
  <c r="P327" i="35"/>
  <c r="J444" i="33"/>
  <c r="O95" i="6"/>
  <c r="Q95" i="6" s="1"/>
  <c r="S95" i="6" s="1"/>
  <c r="P297" i="35"/>
  <c r="T152" i="6"/>
  <c r="P323" i="35"/>
  <c r="P58" i="35"/>
  <c r="I54" i="33" s="1"/>
  <c r="S152" i="6"/>
  <c r="P77" i="35"/>
  <c r="I485" i="33" s="1"/>
  <c r="P79" i="35"/>
  <c r="I232" i="33" s="1"/>
  <c r="P102" i="35"/>
  <c r="I283" i="33" s="1"/>
  <c r="P316" i="35"/>
  <c r="P190" i="35"/>
  <c r="P38" i="35"/>
  <c r="I479" i="33" s="1"/>
  <c r="P170" i="35"/>
  <c r="P318" i="35"/>
  <c r="S92" i="6"/>
  <c r="C87" i="36" s="1"/>
  <c r="P267" i="35"/>
  <c r="I185" i="33" s="1"/>
  <c r="P306" i="35"/>
  <c r="I482" i="33" s="1"/>
  <c r="P313" i="35"/>
  <c r="P312" i="35"/>
  <c r="I198" i="33" s="1"/>
  <c r="J198" i="33"/>
  <c r="J482" i="33"/>
  <c r="O100" i="6"/>
  <c r="Q100" i="6" s="1"/>
  <c r="S100" i="6" s="1"/>
  <c r="P311" i="35"/>
  <c r="I246" i="33" s="1"/>
  <c r="J246" i="33"/>
  <c r="P309" i="35"/>
  <c r="I278" i="33" s="1"/>
  <c r="P310" i="35"/>
  <c r="I293" i="33" s="1"/>
  <c r="J293" i="33"/>
  <c r="J278" i="33"/>
  <c r="P244" i="35"/>
  <c r="P304" i="35"/>
  <c r="S125" i="6"/>
  <c r="C68" i="36" s="1"/>
  <c r="T151" i="6"/>
  <c r="P300" i="35"/>
  <c r="I267" i="33" s="1"/>
  <c r="J267" i="33"/>
  <c r="P202" i="35"/>
  <c r="F52" i="40"/>
  <c r="F74" i="40"/>
  <c r="F67" i="40"/>
  <c r="F57" i="40"/>
  <c r="P305" i="35"/>
  <c r="P180" i="35"/>
  <c r="P101" i="35"/>
  <c r="I237" i="33" s="1"/>
  <c r="P81" i="35"/>
  <c r="I452" i="33" s="1"/>
  <c r="P188" i="35"/>
  <c r="P245" i="35"/>
  <c r="P64" i="35"/>
  <c r="I404" i="33" s="1"/>
  <c r="P284" i="35"/>
  <c r="I331" i="33" s="1"/>
  <c r="P296" i="35"/>
  <c r="P286" i="35"/>
  <c r="I191" i="33" s="1"/>
  <c r="P262" i="35"/>
  <c r="P303" i="35"/>
  <c r="P293" i="35"/>
  <c r="T149" i="6"/>
  <c r="O151" i="6"/>
  <c r="Q151" i="6" s="1"/>
  <c r="S151" i="6" s="1"/>
  <c r="P278" i="35"/>
  <c r="P301" i="35"/>
  <c r="J191" i="33"/>
  <c r="P295" i="35"/>
  <c r="I169" i="33" s="1"/>
  <c r="P299" i="35"/>
  <c r="P292" i="35"/>
  <c r="P291" i="35"/>
  <c r="P287" i="35"/>
  <c r="I40" i="33" s="1"/>
  <c r="J40" i="33"/>
  <c r="P290" i="35"/>
  <c r="P279" i="35"/>
  <c r="P277" i="35"/>
  <c r="P281" i="35"/>
  <c r="J224" i="33"/>
  <c r="J261" i="33"/>
  <c r="P265" i="35"/>
  <c r="I29" i="33" s="1"/>
  <c r="P275" i="35"/>
  <c r="J29" i="33"/>
  <c r="P264" i="35"/>
  <c r="I184" i="33" s="1"/>
  <c r="P273" i="35"/>
  <c r="J184" i="33"/>
  <c r="P271" i="35"/>
  <c r="O149" i="6"/>
  <c r="Q149" i="6" s="1"/>
  <c r="S149" i="6" s="1"/>
  <c r="T150" i="6"/>
  <c r="O150" i="6"/>
  <c r="Q150" i="6" s="1"/>
  <c r="S150" i="6" s="1"/>
  <c r="T146" i="6"/>
  <c r="T148" i="6"/>
  <c r="D20" i="36" s="1"/>
  <c r="T106" i="6"/>
  <c r="D47" i="36" s="1"/>
  <c r="S120" i="6"/>
  <c r="C46" i="36" s="1"/>
  <c r="T145" i="6"/>
  <c r="P67" i="35"/>
  <c r="I447" i="33" s="1"/>
  <c r="P260" i="35"/>
  <c r="P259" i="35"/>
  <c r="J185" i="33"/>
  <c r="J100" i="33"/>
  <c r="P243" i="35"/>
  <c r="T144" i="6"/>
  <c r="S144" i="6"/>
  <c r="S145" i="6"/>
  <c r="S146" i="6"/>
  <c r="P152" i="35"/>
  <c r="T100" i="6"/>
  <c r="T120" i="6"/>
  <c r="D46" i="36" s="1"/>
  <c r="G66" i="36"/>
  <c r="I66" i="36" s="1"/>
  <c r="T147" i="6"/>
  <c r="D66" i="36" s="1"/>
  <c r="S147" i="6"/>
  <c r="C66" i="36" s="1"/>
  <c r="T116" i="6"/>
  <c r="P261" i="35"/>
  <c r="S111" i="6"/>
  <c r="S127" i="6"/>
  <c r="C90" i="36" s="1"/>
  <c r="T111" i="6"/>
  <c r="S106" i="6"/>
  <c r="C47" i="36" s="1"/>
  <c r="T105" i="6"/>
  <c r="D88" i="36" s="1"/>
  <c r="T125" i="6"/>
  <c r="D68" i="36" s="1"/>
  <c r="P218" i="35"/>
  <c r="T143" i="6"/>
  <c r="D104" i="36" s="1"/>
  <c r="S143" i="6"/>
  <c r="C104" i="36" s="1"/>
  <c r="T141" i="6"/>
  <c r="H68" i="36"/>
  <c r="T138" i="6"/>
  <c r="D91" i="36" s="1"/>
  <c r="P217" i="35"/>
  <c r="P155" i="35"/>
  <c r="P253" i="35"/>
  <c r="P257" i="35"/>
  <c r="T122" i="6"/>
  <c r="S142" i="6"/>
  <c r="S129" i="6"/>
  <c r="T140" i="6"/>
  <c r="O140" i="6"/>
  <c r="Q140" i="6" s="1"/>
  <c r="S140" i="6" s="1"/>
  <c r="T110" i="6"/>
  <c r="D81" i="36" s="1"/>
  <c r="T132" i="6"/>
  <c r="D59" i="36" s="1"/>
  <c r="S117" i="6"/>
  <c r="C80" i="36" s="1"/>
  <c r="S131" i="6"/>
  <c r="C106" i="36" s="1"/>
  <c r="T131" i="6"/>
  <c r="D106" i="36" s="1"/>
  <c r="S110" i="6"/>
  <c r="C81" i="36" s="1"/>
  <c r="T128" i="6"/>
  <c r="S114" i="6"/>
  <c r="S128" i="6"/>
  <c r="T126" i="6"/>
  <c r="T129" i="6"/>
  <c r="S109" i="6"/>
  <c r="T115" i="6"/>
  <c r="T139" i="6"/>
  <c r="O137" i="6"/>
  <c r="Q137" i="6" s="1"/>
  <c r="S137" i="6" s="1"/>
  <c r="O139" i="6"/>
  <c r="Q139" i="6" s="1"/>
  <c r="S139" i="6" s="1"/>
  <c r="O136" i="6"/>
  <c r="Q136" i="6" s="1"/>
  <c r="S136" i="6" s="1"/>
  <c r="O91" i="6"/>
  <c r="Q91" i="6" s="1"/>
  <c r="S91" i="6" s="1"/>
  <c r="T127" i="6"/>
  <c r="D90" i="36" s="1"/>
  <c r="P206" i="35"/>
  <c r="S113" i="6"/>
  <c r="T80" i="6"/>
  <c r="T117" i="6"/>
  <c r="D80" i="36" s="1"/>
  <c r="T133" i="6"/>
  <c r="T135" i="6"/>
  <c r="T113" i="6"/>
  <c r="S133" i="6"/>
  <c r="S116" i="6"/>
  <c r="S126" i="6"/>
  <c r="T137" i="6"/>
  <c r="S112" i="6"/>
  <c r="C19" i="36" s="1"/>
  <c r="T136" i="6"/>
  <c r="T109" i="6"/>
  <c r="T134" i="6"/>
  <c r="D45" i="36" s="1"/>
  <c r="T114" i="6"/>
  <c r="S134" i="6"/>
  <c r="C45" i="36" s="1"/>
  <c r="S124" i="6"/>
  <c r="S135" i="6"/>
  <c r="P251" i="35"/>
  <c r="P231" i="35"/>
  <c r="P51" i="35"/>
  <c r="I197" i="33" s="1"/>
  <c r="P173" i="35"/>
  <c r="P31" i="35"/>
  <c r="I238" i="33" s="1"/>
  <c r="J321" i="33"/>
  <c r="P62" i="35"/>
  <c r="I602" i="33" s="1"/>
  <c r="T130" i="6"/>
  <c r="T112" i="6"/>
  <c r="D19" i="36" s="1"/>
  <c r="S9" i="6"/>
  <c r="C15" i="36" s="1"/>
  <c r="T124" i="6"/>
  <c r="S130" i="6"/>
  <c r="T119" i="6"/>
  <c r="D56" i="36" s="1"/>
  <c r="S119" i="6"/>
  <c r="C56" i="36" s="1"/>
  <c r="S122" i="6"/>
  <c r="S123" i="6"/>
  <c r="S108" i="6"/>
  <c r="C60" i="36" s="1"/>
  <c r="P233" i="35"/>
  <c r="P226" i="35"/>
  <c r="P230" i="35"/>
  <c r="P232" i="35"/>
  <c r="I428" i="33" s="1"/>
  <c r="I49" i="34" s="1"/>
  <c r="H428" i="33"/>
  <c r="P223" i="35"/>
  <c r="P229" i="35"/>
  <c r="P225" i="35"/>
  <c r="P221" i="35"/>
  <c r="P220" i="35"/>
  <c r="S74" i="6"/>
  <c r="C26" i="36" s="1"/>
  <c r="S115" i="6"/>
  <c r="S80" i="6"/>
  <c r="T108" i="6"/>
  <c r="D60" i="36" s="1"/>
  <c r="T107" i="6"/>
  <c r="T102" i="6"/>
  <c r="S107" i="6"/>
  <c r="S101" i="6"/>
  <c r="T101" i="6"/>
  <c r="P219" i="35"/>
  <c r="P23" i="35"/>
  <c r="I361" i="33" s="1"/>
  <c r="H238" i="33"/>
  <c r="P25" i="35"/>
  <c r="I248" i="33" s="1"/>
  <c r="T103" i="6"/>
  <c r="S98" i="6"/>
  <c r="T104" i="6"/>
  <c r="S103" i="6"/>
  <c r="P160" i="35"/>
  <c r="P215" i="35"/>
  <c r="J136" i="33"/>
  <c r="P204" i="35"/>
  <c r="I136" i="33" s="1"/>
  <c r="P210" i="35"/>
  <c r="P4" i="35"/>
  <c r="I499" i="33" s="1"/>
  <c r="P21" i="35"/>
  <c r="I126" i="33" s="1"/>
  <c r="P209" i="35"/>
  <c r="P201" i="35"/>
  <c r="P208" i="35"/>
  <c r="P207" i="35"/>
  <c r="H126" i="33"/>
  <c r="P182" i="35"/>
  <c r="P48" i="35"/>
  <c r="I329" i="33" s="1"/>
  <c r="P45" i="35"/>
  <c r="I333" i="33" s="1"/>
  <c r="P73" i="35"/>
  <c r="I87" i="33" s="1"/>
  <c r="P49" i="35"/>
  <c r="I471" i="33" s="1"/>
  <c r="P168" i="35"/>
  <c r="I20" i="33" s="1"/>
  <c r="J20" i="33"/>
  <c r="S104" i="6"/>
  <c r="S102" i="6"/>
  <c r="T98" i="6"/>
  <c r="T28" i="6"/>
  <c r="D9" i="36" s="1"/>
  <c r="S28" i="6"/>
  <c r="C9" i="36" s="1"/>
  <c r="P22" i="35"/>
  <c r="I448" i="33" s="1"/>
  <c r="P34" i="35"/>
  <c r="I379" i="33" s="1"/>
  <c r="P27" i="35"/>
  <c r="I316" i="33" s="1"/>
  <c r="P33" i="35"/>
  <c r="I354" i="33" s="1"/>
  <c r="P46" i="35"/>
  <c r="I419" i="33" s="1"/>
  <c r="P47" i="35"/>
  <c r="I322" i="33" s="1"/>
  <c r="P186" i="35"/>
  <c r="P194" i="35"/>
  <c r="P195" i="35"/>
  <c r="P184" i="35"/>
  <c r="S41" i="6"/>
  <c r="C78" i="36" s="1"/>
  <c r="P187" i="35"/>
  <c r="P191" i="35"/>
  <c r="P193" i="35"/>
  <c r="P183" i="35"/>
  <c r="P80" i="35"/>
  <c r="I401" i="33" s="1"/>
  <c r="P164" i="35"/>
  <c r="I186" i="33" s="1"/>
  <c r="P145" i="35"/>
  <c r="I214" i="33" s="1"/>
  <c r="P85" i="35"/>
  <c r="I244" i="33" s="1"/>
  <c r="P167" i="35"/>
  <c r="I340" i="33" s="1"/>
  <c r="J340" i="33"/>
  <c r="P178" i="35"/>
  <c r="P176" i="35"/>
  <c r="P175" i="35"/>
  <c r="T87" i="6"/>
  <c r="S73" i="6"/>
  <c r="C38" i="36" s="1"/>
  <c r="T97" i="6"/>
  <c r="T99" i="6"/>
  <c r="D41" i="36" s="1"/>
  <c r="S97" i="6"/>
  <c r="T94" i="6"/>
  <c r="T96" i="6"/>
  <c r="T95" i="6"/>
  <c r="S99" i="6"/>
  <c r="C41" i="36" s="1"/>
  <c r="T89" i="6"/>
  <c r="T93" i="6"/>
  <c r="T92" i="6"/>
  <c r="D87" i="36" s="1"/>
  <c r="S87" i="6"/>
  <c r="S93" i="6"/>
  <c r="T91" i="6"/>
  <c r="S89" i="6"/>
  <c r="S88" i="6"/>
  <c r="T88" i="6"/>
  <c r="T90" i="6"/>
  <c r="P171" i="35"/>
  <c r="P166" i="35"/>
  <c r="P172" i="35"/>
  <c r="P169" i="35"/>
  <c r="P107" i="35"/>
  <c r="I182" i="33" s="1"/>
  <c r="P110" i="35"/>
  <c r="I32" i="33" s="1"/>
  <c r="H83" i="33"/>
  <c r="P151" i="35"/>
  <c r="B1037" i="31"/>
  <c r="B1049" i="31"/>
  <c r="P165" i="35"/>
  <c r="I89" i="33" s="1"/>
  <c r="J89" i="33"/>
  <c r="P147" i="35"/>
  <c r="P154" i="35"/>
  <c r="P54" i="35"/>
  <c r="I208" i="33" s="1"/>
  <c r="P158" i="35"/>
  <c r="P70" i="35"/>
  <c r="I526" i="33" s="1"/>
  <c r="P59" i="35"/>
  <c r="I256" i="33" s="1"/>
  <c r="H54" i="33"/>
  <c r="P161" i="35"/>
  <c r="P153" i="35"/>
  <c r="P159" i="35"/>
  <c r="H452" i="33"/>
  <c r="T85" i="6"/>
  <c r="P146" i="35"/>
  <c r="J255" i="33"/>
  <c r="P150" i="35"/>
  <c r="P149" i="35"/>
  <c r="P141" i="35"/>
  <c r="H852" i="31"/>
  <c r="P139" i="35"/>
  <c r="P142" i="35"/>
  <c r="P138" i="35"/>
  <c r="P69" i="35"/>
  <c r="I177" i="33" s="1"/>
  <c r="P140" i="35"/>
  <c r="P137" i="35"/>
  <c r="T78" i="6"/>
  <c r="T86" i="6"/>
  <c r="S86" i="6"/>
  <c r="S85" i="6"/>
  <c r="S81" i="6"/>
  <c r="T81" i="6"/>
  <c r="T84" i="6"/>
  <c r="T83" i="6"/>
  <c r="S83" i="6"/>
  <c r="T82" i="6"/>
  <c r="S82" i="6"/>
  <c r="S84" i="6"/>
  <c r="T79" i="6"/>
  <c r="P133" i="35"/>
  <c r="P57" i="35"/>
  <c r="I51" i="33" s="1"/>
  <c r="P129" i="35"/>
  <c r="P56" i="35"/>
  <c r="I488" i="33" s="1"/>
  <c r="P132" i="35"/>
  <c r="P131" i="35"/>
  <c r="P130" i="35"/>
  <c r="J399" i="33"/>
  <c r="P116" i="35"/>
  <c r="P134" i="35"/>
  <c r="I399" i="33" s="1"/>
  <c r="I40" i="34" s="1"/>
  <c r="P127" i="35"/>
  <c r="P125" i="35"/>
  <c r="S65" i="6"/>
  <c r="C74" i="36" s="1"/>
  <c r="S76" i="6"/>
  <c r="C7" i="36" s="1"/>
  <c r="T76" i="6"/>
  <c r="D7" i="36" s="1"/>
  <c r="T65" i="6"/>
  <c r="D74" i="36" s="1"/>
  <c r="S79" i="6"/>
  <c r="P83" i="35"/>
  <c r="I523" i="33" s="1"/>
  <c r="P126" i="35"/>
  <c r="P123" i="35"/>
  <c r="P122" i="35"/>
  <c r="P75" i="35"/>
  <c r="I216" i="33" s="1"/>
  <c r="P124" i="35"/>
  <c r="P40" i="35"/>
  <c r="I480" i="33" s="1"/>
  <c r="P28" i="35"/>
  <c r="S77" i="6"/>
  <c r="T77" i="6"/>
  <c r="T74" i="6"/>
  <c r="D26" i="36" s="1"/>
  <c r="S78" i="6"/>
  <c r="T73" i="6"/>
  <c r="D38" i="36" s="1"/>
  <c r="P71" i="6"/>
  <c r="S71" i="6" s="1"/>
  <c r="C34" i="36" s="1"/>
  <c r="T75" i="6"/>
  <c r="H79" i="36"/>
  <c r="T72" i="6"/>
  <c r="D18" i="36" s="1"/>
  <c r="S72" i="6"/>
  <c r="C18" i="36" s="1"/>
  <c r="T64" i="6"/>
  <c r="T66" i="6"/>
  <c r="S66" i="6"/>
  <c r="J158" i="33"/>
  <c r="J332" i="33"/>
  <c r="J34" i="33"/>
  <c r="T68" i="6"/>
  <c r="D57" i="36" s="1"/>
  <c r="G57" i="36"/>
  <c r="I57" i="36" s="1"/>
  <c r="S68" i="6"/>
  <c r="C57" i="36" s="1"/>
  <c r="S64" i="6"/>
  <c r="S32" i="6"/>
  <c r="C51" i="36" s="1"/>
  <c r="T67" i="6"/>
  <c r="D75" i="36" s="1"/>
  <c r="G75" i="36"/>
  <c r="I75" i="36" s="1"/>
  <c r="S67" i="6"/>
  <c r="C75" i="36" s="1"/>
  <c r="S63" i="6"/>
  <c r="C82" i="36" s="1"/>
  <c r="T63" i="6"/>
  <c r="D82" i="36" s="1"/>
  <c r="T62" i="6"/>
  <c r="D53" i="36" s="1"/>
  <c r="P114" i="35"/>
  <c r="S60" i="6"/>
  <c r="T60" i="6"/>
  <c r="G50" i="36"/>
  <c r="I50" i="36" s="1"/>
  <c r="T57" i="6"/>
  <c r="D30" i="36" s="1"/>
  <c r="T59" i="6"/>
  <c r="D50" i="36" s="1"/>
  <c r="T58" i="6"/>
  <c r="P30" i="35"/>
  <c r="P18" i="35"/>
  <c r="S58" i="6"/>
  <c r="S57" i="6"/>
  <c r="C30" i="36" s="1"/>
  <c r="G30" i="36"/>
  <c r="I30" i="36" s="1"/>
  <c r="S6" i="6"/>
  <c r="C49" i="36" s="1"/>
  <c r="P115" i="35"/>
  <c r="S29" i="6"/>
  <c r="C73" i="36" s="1"/>
  <c r="T56" i="6"/>
  <c r="D43" i="36" s="1"/>
  <c r="S56" i="6"/>
  <c r="C43" i="36" s="1"/>
  <c r="S55" i="6"/>
  <c r="T55" i="6"/>
  <c r="T52" i="6"/>
  <c r="S52" i="6"/>
  <c r="T54" i="6"/>
  <c r="S54" i="6"/>
  <c r="T53" i="6"/>
  <c r="S53" i="6"/>
  <c r="P113" i="35"/>
  <c r="T49" i="6"/>
  <c r="D63" i="36" s="1"/>
  <c r="T51" i="6"/>
  <c r="S51" i="6"/>
  <c r="S49" i="6"/>
  <c r="C63" i="36" s="1"/>
  <c r="P61" i="35"/>
  <c r="P112" i="35"/>
  <c r="I242" i="33" s="1"/>
  <c r="P50" i="35"/>
  <c r="P105" i="35"/>
  <c r="P10" i="35"/>
  <c r="P26" i="35"/>
  <c r="I220" i="33" s="1"/>
  <c r="H220" i="33"/>
  <c r="P42" i="35"/>
  <c r="I95" i="33" s="1"/>
  <c r="H95" i="33"/>
  <c r="P41" i="35"/>
  <c r="I573" i="33" s="1"/>
  <c r="H573" i="33"/>
  <c r="P35" i="35"/>
  <c r="I230" i="33" s="1"/>
  <c r="H230" i="33"/>
  <c r="P13" i="35"/>
  <c r="I156" i="33" s="1"/>
  <c r="H156" i="33"/>
  <c r="P44" i="35"/>
  <c r="I375" i="33" s="1"/>
  <c r="I43" i="34" s="1"/>
  <c r="H375" i="33"/>
  <c r="P6" i="35"/>
  <c r="P17" i="35"/>
  <c r="I274" i="33" s="1"/>
  <c r="H274" i="33"/>
  <c r="P15" i="35"/>
  <c r="I226" i="33" s="1"/>
  <c r="H226" i="33"/>
  <c r="P78" i="35"/>
  <c r="P11" i="35"/>
  <c r="I77" i="33" s="1"/>
  <c r="P8" i="35"/>
  <c r="I493" i="33" s="1"/>
  <c r="P12" i="35"/>
  <c r="P108" i="35"/>
  <c r="P7" i="35"/>
  <c r="P5" i="35"/>
  <c r="I501" i="33" s="1"/>
  <c r="P29" i="35"/>
  <c r="I98" i="33" s="1"/>
  <c r="P14" i="35"/>
  <c r="P9" i="35"/>
  <c r="P16" i="35"/>
  <c r="P43" i="35"/>
  <c r="I315" i="33" s="1"/>
  <c r="T41" i="6"/>
  <c r="D78" i="36" s="1"/>
  <c r="S50" i="6"/>
  <c r="S48" i="6"/>
  <c r="T48" i="6"/>
  <c r="T22" i="6"/>
  <c r="D36" i="36" s="1"/>
  <c r="T42" i="6"/>
  <c r="T46" i="6"/>
  <c r="S39" i="6"/>
  <c r="C27" i="36" s="1"/>
  <c r="S47" i="6"/>
  <c r="C109" i="36" s="1"/>
  <c r="T47" i="6"/>
  <c r="D109" i="36" s="1"/>
  <c r="T50" i="6"/>
  <c r="T43" i="6"/>
  <c r="S45" i="6"/>
  <c r="T45" i="6"/>
  <c r="S40" i="6"/>
  <c r="C11" i="36" s="1"/>
  <c r="S44" i="6"/>
  <c r="T44" i="6"/>
  <c r="S43" i="6"/>
  <c r="S16" i="6"/>
  <c r="C55" i="36" s="1"/>
  <c r="T29" i="6"/>
  <c r="D73" i="36" s="1"/>
  <c r="T40" i="6"/>
  <c r="D11" i="36" s="1"/>
  <c r="T39" i="6"/>
  <c r="D27" i="36" s="1"/>
  <c r="S36" i="6"/>
  <c r="S37" i="6"/>
  <c r="T16" i="6"/>
  <c r="D55" i="36" s="1"/>
  <c r="T38" i="6"/>
  <c r="D58" i="36" s="1"/>
  <c r="T32" i="6"/>
  <c r="D51" i="36" s="1"/>
  <c r="T36" i="6"/>
  <c r="T37" i="6"/>
  <c r="S33" i="6"/>
  <c r="C77" i="36" s="1"/>
  <c r="S35" i="6"/>
  <c r="C48" i="36" s="1"/>
  <c r="T33" i="6"/>
  <c r="D77" i="36" s="1"/>
  <c r="T35" i="6"/>
  <c r="D48" i="36" s="1"/>
  <c r="T31" i="6"/>
  <c r="D61" i="36" s="1"/>
  <c r="R5" i="6"/>
  <c r="G110" i="36"/>
  <c r="I110" i="36" s="1"/>
  <c r="T34" i="6"/>
  <c r="D110" i="36" s="1"/>
  <c r="S34" i="6"/>
  <c r="C110" i="36" s="1"/>
  <c r="T24" i="6"/>
  <c r="T20" i="6"/>
  <c r="Q27" i="6"/>
  <c r="R27" i="6"/>
  <c r="O4" i="6"/>
  <c r="Q4" i="6" s="1"/>
  <c r="O5" i="6"/>
  <c r="Q5" i="6" s="1"/>
  <c r="S20" i="6"/>
  <c r="N4" i="6"/>
  <c r="P4" i="6" s="1"/>
  <c r="N27" i="6"/>
  <c r="P27" i="6" s="1"/>
  <c r="T21" i="6"/>
  <c r="D72" i="36" s="1"/>
  <c r="S21" i="6"/>
  <c r="C72" i="36" s="1"/>
  <c r="T25" i="6"/>
  <c r="T23" i="6"/>
  <c r="D23" i="36" s="1"/>
  <c r="T19" i="6"/>
  <c r="D32" i="36" s="1"/>
  <c r="S26" i="6"/>
  <c r="C69" i="36" s="1"/>
  <c r="T26" i="6"/>
  <c r="D69" i="36" s="1"/>
  <c r="T18" i="6"/>
  <c r="D17" i="36" s="1"/>
  <c r="S7" i="6"/>
  <c r="C5" i="36" s="1"/>
  <c r="S18" i="6"/>
  <c r="C17" i="36" s="1"/>
  <c r="T17" i="6"/>
  <c r="S17" i="6"/>
  <c r="T15" i="6"/>
  <c r="D16" i="36" s="1"/>
  <c r="S11" i="6"/>
  <c r="C37" i="36" s="1"/>
  <c r="S10" i="6"/>
  <c r="C28" i="36" s="1"/>
  <c r="T14" i="6"/>
  <c r="D71" i="36" s="1"/>
  <c r="T9" i="6"/>
  <c r="D15" i="36" s="1"/>
  <c r="H15" i="36"/>
  <c r="T8" i="6"/>
  <c r="D12" i="36" s="1"/>
  <c r="H12" i="36"/>
  <c r="T6" i="6"/>
  <c r="D49" i="36" s="1"/>
  <c r="H49" i="36"/>
  <c r="T13" i="6"/>
  <c r="D70" i="36" s="1"/>
  <c r="H70" i="36"/>
  <c r="G5" i="36"/>
  <c r="I5" i="36" s="1"/>
  <c r="T12" i="6"/>
  <c r="D31" i="36" s="1"/>
  <c r="H31" i="36"/>
  <c r="T10" i="6"/>
  <c r="D28" i="36" s="1"/>
  <c r="T7" i="6"/>
  <c r="D5" i="36" s="1"/>
  <c r="T11" i="6"/>
  <c r="D37" i="36" s="1"/>
  <c r="P5" i="6"/>
  <c r="S37" i="33" l="1"/>
  <c r="J37" i="33"/>
  <c r="I30" i="34"/>
  <c r="K27" i="34"/>
  <c r="I17" i="34"/>
  <c r="F79" i="36"/>
  <c r="F68" i="36"/>
  <c r="F31" i="36"/>
  <c r="F15" i="36"/>
  <c r="F70" i="36"/>
  <c r="F12" i="36"/>
  <c r="F49" i="36"/>
  <c r="I32" i="34"/>
  <c r="I31" i="34"/>
  <c r="P203" i="35"/>
  <c r="P242" i="35"/>
  <c r="P314" i="35"/>
  <c r="P63" i="35"/>
  <c r="I422" i="33" s="1"/>
  <c r="I39" i="34" s="1"/>
  <c r="I309" i="33"/>
  <c r="I42" i="34" s="1"/>
  <c r="S519" i="33"/>
  <c r="P263" i="35"/>
  <c r="P330" i="35"/>
  <c r="P111" i="35"/>
  <c r="P216" i="35"/>
  <c r="J519" i="33"/>
  <c r="S498" i="33"/>
  <c r="K498" i="33"/>
  <c r="I498" i="33"/>
  <c r="I19" i="34" s="1"/>
  <c r="I53" i="33"/>
  <c r="I12" i="34" s="1"/>
  <c r="J53" i="33"/>
  <c r="K53" i="33"/>
  <c r="S53" i="33"/>
  <c r="I21" i="34"/>
  <c r="J194" i="33"/>
  <c r="S194" i="33"/>
  <c r="K194" i="33"/>
  <c r="P307" i="35"/>
  <c r="P121" i="35"/>
  <c r="P200" i="35"/>
  <c r="P205" i="35"/>
  <c r="P650" i="35"/>
  <c r="P647" i="35"/>
  <c r="P639" i="35"/>
  <c r="P638" i="35"/>
  <c r="J432" i="33"/>
  <c r="S432" i="33"/>
  <c r="K432" i="33"/>
  <c r="K33" i="34"/>
  <c r="P598" i="35"/>
  <c r="I18" i="33"/>
  <c r="I15" i="34" s="1"/>
  <c r="J18" i="33"/>
  <c r="K18" i="33"/>
  <c r="S18" i="33"/>
  <c r="P276" i="35"/>
  <c r="P270" i="35"/>
  <c r="P135" i="35"/>
  <c r="P553" i="35"/>
  <c r="P222" i="35"/>
  <c r="P128" i="35"/>
  <c r="P144" i="35"/>
  <c r="P143" i="35"/>
  <c r="P250" i="35"/>
  <c r="P136" i="35"/>
  <c r="P228" i="35"/>
  <c r="P317" i="35"/>
  <c r="P179" i="35"/>
  <c r="P181" i="35"/>
  <c r="I18" i="34"/>
  <c r="P120" i="35"/>
  <c r="P212" i="35"/>
  <c r="P321" i="35"/>
  <c r="P235" i="35"/>
  <c r="P237" i="35"/>
  <c r="P269" i="35"/>
  <c r="P328" i="35"/>
  <c r="P325" i="35"/>
  <c r="P246" i="35"/>
  <c r="P211" i="35"/>
  <c r="P255" i="35"/>
  <c r="P239" i="35"/>
  <c r="P365" i="35"/>
  <c r="P371" i="35"/>
  <c r="P374" i="35"/>
  <c r="S309" i="33"/>
  <c r="C42" i="34" s="1"/>
  <c r="J309" i="33"/>
  <c r="J42" i="34"/>
  <c r="I28" i="34"/>
  <c r="P373" i="35"/>
  <c r="P378" i="35"/>
  <c r="P460" i="35"/>
  <c r="P455" i="35"/>
  <c r="P431" i="35"/>
  <c r="P390" i="35"/>
  <c r="P430" i="35"/>
  <c r="P429" i="35"/>
  <c r="K40" i="34"/>
  <c r="I16" i="34"/>
  <c r="S428" i="33"/>
  <c r="K428" i="33"/>
  <c r="S375" i="33"/>
  <c r="K375" i="33"/>
  <c r="S188" i="33"/>
  <c r="K188" i="33"/>
  <c r="S193" i="33"/>
  <c r="K193" i="33"/>
  <c r="P393" i="35"/>
  <c r="P412" i="35"/>
  <c r="I14" i="34"/>
  <c r="I193" i="33"/>
  <c r="I11" i="34" s="1"/>
  <c r="J193" i="33"/>
  <c r="J188" i="33"/>
  <c r="I29" i="34"/>
  <c r="I23" i="34"/>
  <c r="I22" i="34"/>
  <c r="I20" i="34"/>
  <c r="I35" i="34"/>
  <c r="I26" i="34"/>
  <c r="I37" i="34"/>
  <c r="I24" i="34"/>
  <c r="I13" i="34"/>
  <c r="I44" i="34"/>
  <c r="J428" i="33"/>
  <c r="T71" i="6"/>
  <c r="D34" i="36" s="1"/>
  <c r="G34" i="36"/>
  <c r="I34" i="36" s="1"/>
  <c r="D84" i="36"/>
  <c r="J375" i="33"/>
  <c r="T5" i="6"/>
  <c r="S4" i="6"/>
  <c r="T27" i="6"/>
  <c r="S27" i="6"/>
  <c r="S5" i="6"/>
  <c r="T4" i="6"/>
  <c r="D54" i="36" s="1"/>
  <c r="G54" i="36"/>
  <c r="I54" i="36" s="1"/>
  <c r="C54" i="36" l="1"/>
  <c r="G1" i="36"/>
  <c r="D1" i="36"/>
  <c r="C22" i="34"/>
  <c r="J22" i="34"/>
  <c r="K42" i="34"/>
  <c r="B11" i="33"/>
  <c r="I36" i="34"/>
  <c r="H8" i="34" s="1"/>
  <c r="C42" i="35" a="1"/>
  <c r="C42" i="35" s="1"/>
  <c r="Q42" i="35"/>
  <c r="C117" i="31" a="1"/>
  <c r="C117" i="31" s="1"/>
  <c r="D117" i="31" a="1"/>
  <c r="D117" i="31" s="1"/>
  <c r="Q117" i="31"/>
  <c r="R117" i="31"/>
  <c r="U117" i="31"/>
  <c r="V117" i="31"/>
  <c r="AD117" i="31" s="1"/>
  <c r="W117" i="31"/>
  <c r="C96" i="31" a="1"/>
  <c r="C96" i="31" s="1"/>
  <c r="D96" i="31" a="1"/>
  <c r="D96" i="31" s="1"/>
  <c r="Q96" i="31"/>
  <c r="R96" i="31"/>
  <c r="U96" i="31"/>
  <c r="V96" i="31"/>
  <c r="AD96" i="31" s="1"/>
  <c r="W96" i="31"/>
  <c r="C181" i="31" a="1"/>
  <c r="C181" i="31" s="1"/>
  <c r="D181" i="31" a="1"/>
  <c r="D181" i="31" s="1"/>
  <c r="Q181" i="31"/>
  <c r="R181" i="31"/>
  <c r="U181" i="31"/>
  <c r="V181" i="31"/>
  <c r="AD181" i="31" s="1"/>
  <c r="W181" i="31"/>
  <c r="C180" i="31" a="1"/>
  <c r="C180" i="31" s="1"/>
  <c r="D180" i="31" a="1"/>
  <c r="D180" i="31" s="1"/>
  <c r="Q180" i="31"/>
  <c r="R180" i="31"/>
  <c r="U180" i="31"/>
  <c r="V180" i="31"/>
  <c r="AD180" i="31" s="1"/>
  <c r="W180" i="31"/>
  <c r="C41" i="35" a="1"/>
  <c r="C41" i="35" s="1"/>
  <c r="Q41" i="35"/>
  <c r="C40" i="35" a="1"/>
  <c r="C40" i="35" s="1"/>
  <c r="Q40" i="35"/>
  <c r="C38" i="35" a="1"/>
  <c r="C38" i="35" s="1"/>
  <c r="C39" i="35" a="1"/>
  <c r="C39" i="35" s="1"/>
  <c r="Q38" i="35"/>
  <c r="Q39" i="35"/>
  <c r="C37" i="35" a="1"/>
  <c r="C37" i="35" s="1"/>
  <c r="Q37" i="35"/>
  <c r="C36" i="35" a="1"/>
  <c r="C36" i="35" s="1"/>
  <c r="Q36" i="35"/>
  <c r="B28" i="33" a="1"/>
  <c r="B28" i="33" s="1"/>
  <c r="E28" i="33" a="1"/>
  <c r="E28" i="33" s="1"/>
  <c r="F28" i="33" a="1"/>
  <c r="F28" i="33" s="1"/>
  <c r="G28" i="33" a="1"/>
  <c r="G28" i="33" s="1"/>
  <c r="L28" i="33" a="1"/>
  <c r="L28" i="33" s="1"/>
  <c r="P28" i="33"/>
  <c r="S28" i="33" s="1"/>
  <c r="C295" i="31" a="1"/>
  <c r="C295" i="31" s="1"/>
  <c r="D295" i="31" a="1"/>
  <c r="D295" i="31" s="1"/>
  <c r="Q295" i="31"/>
  <c r="R295" i="31"/>
  <c r="U295" i="31"/>
  <c r="V295" i="31"/>
  <c r="AD295" i="31" s="1"/>
  <c r="W295" i="31"/>
  <c r="C56" i="31" a="1"/>
  <c r="C56" i="31" s="1"/>
  <c r="D56" i="31" a="1"/>
  <c r="D56" i="31" s="1"/>
  <c r="Q56" i="31"/>
  <c r="R56" i="31"/>
  <c r="U56" i="31"/>
  <c r="V56" i="31"/>
  <c r="AD56" i="31" s="1"/>
  <c r="W56" i="31"/>
  <c r="B357" i="33" a="1"/>
  <c r="B357" i="33" s="1"/>
  <c r="E357" i="33" a="1"/>
  <c r="E357" i="33" s="1"/>
  <c r="F357" i="33" a="1"/>
  <c r="F357" i="33" s="1"/>
  <c r="G357" i="33" a="1"/>
  <c r="G357" i="33" s="1"/>
  <c r="L357" i="33" a="1"/>
  <c r="L357" i="33" s="1"/>
  <c r="P357" i="33"/>
  <c r="S357" i="33" s="1"/>
  <c r="B157" i="33" a="1"/>
  <c r="B157" i="33" s="1"/>
  <c r="E157" i="33" a="1"/>
  <c r="E157" i="33" s="1"/>
  <c r="F157" i="33" a="1"/>
  <c r="F157" i="33" s="1"/>
  <c r="G157" i="33" a="1"/>
  <c r="G157" i="33" s="1"/>
  <c r="L157" i="33" a="1"/>
  <c r="L157" i="33" s="1"/>
  <c r="N157" i="33"/>
  <c r="P157" i="33"/>
  <c r="S157" i="33" s="1"/>
  <c r="B438" i="33" a="1"/>
  <c r="B438" i="33" s="1"/>
  <c r="E438" i="33" a="1"/>
  <c r="E438" i="33" s="1"/>
  <c r="F438" i="33" a="1"/>
  <c r="F438" i="33" s="1"/>
  <c r="G438" i="33" a="1"/>
  <c r="G438" i="33" s="1"/>
  <c r="L438" i="33" a="1"/>
  <c r="L438" i="33" s="1"/>
  <c r="P438" i="33"/>
  <c r="S438" i="33" s="1"/>
  <c r="C31" i="31" a="1"/>
  <c r="C31" i="31" s="1"/>
  <c r="D31" i="31" a="1"/>
  <c r="D31" i="31" s="1"/>
  <c r="Q31" i="31"/>
  <c r="R31" i="31"/>
  <c r="U31" i="31"/>
  <c r="V31" i="31"/>
  <c r="AD31" i="31" s="1"/>
  <c r="W31" i="31"/>
  <c r="C30" i="31" a="1"/>
  <c r="C30" i="31" s="1"/>
  <c r="D30" i="31" a="1"/>
  <c r="D30" i="31" s="1"/>
  <c r="Q30" i="31"/>
  <c r="R30" i="31"/>
  <c r="U30" i="31"/>
  <c r="D880" i="31" s="1"/>
  <c r="V30" i="31"/>
  <c r="AD30" i="31" s="1"/>
  <c r="W30" i="31"/>
  <c r="B122" i="33" a="1"/>
  <c r="B122" i="33" s="1"/>
  <c r="E122" i="33" a="1"/>
  <c r="E122" i="33" s="1"/>
  <c r="F122" i="33" a="1"/>
  <c r="F122" i="33" s="1"/>
  <c r="G122" i="33" a="1"/>
  <c r="G122" i="33" s="1"/>
  <c r="L122" i="33" a="1"/>
  <c r="L122" i="33" s="1"/>
  <c r="P122" i="33"/>
  <c r="S122" i="33" s="1"/>
  <c r="C176" i="31" a="1"/>
  <c r="C176" i="31" s="1"/>
  <c r="D176" i="31" a="1"/>
  <c r="D176" i="31" s="1"/>
  <c r="Q176" i="31"/>
  <c r="R176" i="31"/>
  <c r="U176" i="31"/>
  <c r="V176" i="31"/>
  <c r="AD176" i="31" s="1"/>
  <c r="W176" i="31"/>
  <c r="C205" i="31" a="1"/>
  <c r="C205" i="31" s="1"/>
  <c r="D205" i="31" a="1"/>
  <c r="D205" i="31" s="1"/>
  <c r="Q205" i="31"/>
  <c r="R205" i="31"/>
  <c r="U205" i="31"/>
  <c r="V205" i="31"/>
  <c r="AD205" i="31" s="1"/>
  <c r="W205" i="31"/>
  <c r="C35" i="35" a="1"/>
  <c r="C35" i="35" s="1"/>
  <c r="Q35" i="35"/>
  <c r="B230" i="33" a="1"/>
  <c r="B230" i="33" s="1"/>
  <c r="E230" i="33" a="1"/>
  <c r="E230" i="33" s="1"/>
  <c r="F230" i="33" a="1"/>
  <c r="F230" i="33" s="1"/>
  <c r="G230" i="33" a="1"/>
  <c r="G230" i="33" s="1"/>
  <c r="L230" i="33" a="1"/>
  <c r="L230" i="33" s="1"/>
  <c r="N230" i="33"/>
  <c r="P230" i="33"/>
  <c r="S230" i="33" s="1"/>
  <c r="B341" i="33" a="1"/>
  <c r="B341" i="33" s="1"/>
  <c r="E341" i="33" a="1"/>
  <c r="E341" i="33" s="1"/>
  <c r="F341" i="33" a="1"/>
  <c r="F341" i="33" s="1"/>
  <c r="G341" i="33" a="1"/>
  <c r="G341" i="33" s="1"/>
  <c r="L341" i="33" a="1"/>
  <c r="L341" i="33" s="1"/>
  <c r="N341" i="33"/>
  <c r="P341" i="33"/>
  <c r="S341" i="33" s="1"/>
  <c r="C34" i="35" a="1"/>
  <c r="C34" i="35" s="1"/>
  <c r="Q34" i="35"/>
  <c r="B379" i="33" a="1"/>
  <c r="B379" i="33" s="1"/>
  <c r="E379" i="33" a="1"/>
  <c r="E379" i="33" s="1"/>
  <c r="F379" i="33" a="1"/>
  <c r="F379" i="33" s="1"/>
  <c r="G379" i="33" a="1"/>
  <c r="G379" i="33" s="1"/>
  <c r="L379" i="33" a="1"/>
  <c r="L379" i="33" s="1"/>
  <c r="N379" i="33"/>
  <c r="P379" i="33"/>
  <c r="S379" i="33" s="1"/>
  <c r="B362" i="33" a="1"/>
  <c r="B362" i="33" s="1"/>
  <c r="E362" i="33" a="1"/>
  <c r="E362" i="33" s="1"/>
  <c r="F362" i="33" a="1"/>
  <c r="F362" i="33" s="1"/>
  <c r="G362" i="33" a="1"/>
  <c r="G362" i="33" s="1"/>
  <c r="L362" i="33" a="1"/>
  <c r="L362" i="33" s="1"/>
  <c r="N362" i="33"/>
  <c r="P362" i="33"/>
  <c r="S362" i="33" s="1"/>
  <c r="B346" i="33" a="1"/>
  <c r="B346" i="33" s="1"/>
  <c r="E346" i="33" a="1"/>
  <c r="E346" i="33" s="1"/>
  <c r="F346" i="33" a="1"/>
  <c r="F346" i="33" s="1"/>
  <c r="G346" i="33" a="1"/>
  <c r="G346" i="33" s="1"/>
  <c r="L346" i="33" a="1"/>
  <c r="L346" i="33" s="1"/>
  <c r="N346" i="33"/>
  <c r="P346" i="33"/>
  <c r="S346" i="33" s="1"/>
  <c r="B258" i="33" a="1"/>
  <c r="B258" i="33" s="1"/>
  <c r="E258" i="33" a="1"/>
  <c r="E258" i="33" s="1"/>
  <c r="F258" i="33" a="1"/>
  <c r="F258" i="33" s="1"/>
  <c r="G258" i="33" a="1"/>
  <c r="G258" i="33" s="1"/>
  <c r="L258" i="33" a="1"/>
  <c r="L258" i="33" s="1"/>
  <c r="N258" i="33"/>
  <c r="P258" i="33"/>
  <c r="S258" i="33" s="1"/>
  <c r="C33" i="35" a="1"/>
  <c r="C33" i="35" s="1"/>
  <c r="Q33" i="35"/>
  <c r="C32" i="35" a="1"/>
  <c r="C32" i="35" s="1"/>
  <c r="Q32" i="35"/>
  <c r="B354" i="33" a="1"/>
  <c r="B354" i="33" s="1"/>
  <c r="E354" i="33" a="1"/>
  <c r="E354" i="33" s="1"/>
  <c r="F354" i="33" a="1"/>
  <c r="F354" i="33" s="1"/>
  <c r="G354" i="33" a="1"/>
  <c r="G354" i="33" s="1"/>
  <c r="L354" i="33" a="1"/>
  <c r="L354" i="33" s="1"/>
  <c r="N354" i="33"/>
  <c r="P354" i="33"/>
  <c r="S354" i="33" s="1"/>
  <c r="C31" i="35" a="1"/>
  <c r="C31" i="35" s="1"/>
  <c r="Q31" i="35"/>
  <c r="B238" i="33" a="1"/>
  <c r="B238" i="33" s="1"/>
  <c r="E238" i="33" a="1"/>
  <c r="E238" i="33" s="1"/>
  <c r="F238" i="33" a="1"/>
  <c r="F238" i="33" s="1"/>
  <c r="G238" i="33" a="1"/>
  <c r="G238" i="33" s="1"/>
  <c r="L238" i="33" a="1"/>
  <c r="L238" i="33" s="1"/>
  <c r="N238" i="33"/>
  <c r="P238" i="33"/>
  <c r="S238" i="33" s="1"/>
  <c r="B302" i="33" a="1"/>
  <c r="B302" i="33" s="1"/>
  <c r="E302" i="33" a="1"/>
  <c r="E302" i="33" s="1"/>
  <c r="F302" i="33" a="1"/>
  <c r="F302" i="33" s="1"/>
  <c r="G302" i="33" a="1"/>
  <c r="G302" i="33" s="1"/>
  <c r="L302" i="33" a="1"/>
  <c r="L302" i="33" s="1"/>
  <c r="N302" i="33"/>
  <c r="P302" i="33"/>
  <c r="S302" i="33" s="1"/>
  <c r="B440" i="33" a="1"/>
  <c r="B440" i="33" s="1"/>
  <c r="E440" i="33" a="1"/>
  <c r="E440" i="33" s="1"/>
  <c r="F440" i="33" a="1"/>
  <c r="F440" i="33" s="1"/>
  <c r="G440" i="33" a="1"/>
  <c r="G440" i="33" s="1"/>
  <c r="L440" i="33" a="1"/>
  <c r="L440" i="33" s="1"/>
  <c r="N440" i="33"/>
  <c r="P440" i="33"/>
  <c r="S440" i="33" s="1"/>
  <c r="C98" i="31" a="1"/>
  <c r="C98" i="31" s="1"/>
  <c r="D98" i="31" a="1"/>
  <c r="D98" i="31" s="1"/>
  <c r="Q98" i="31"/>
  <c r="R98" i="31"/>
  <c r="U98" i="31"/>
  <c r="V98" i="31"/>
  <c r="AD98" i="31" s="1"/>
  <c r="W98" i="31"/>
  <c r="C443" i="31" a="1"/>
  <c r="C443" i="31" s="1"/>
  <c r="D443" i="31" a="1"/>
  <c r="D443" i="31" s="1"/>
  <c r="Q443" i="31"/>
  <c r="R443" i="31"/>
  <c r="U443" i="31"/>
  <c r="V443" i="31"/>
  <c r="AD443" i="31" s="1"/>
  <c r="W443" i="31"/>
  <c r="C30" i="35" a="1"/>
  <c r="C30" i="35" s="1"/>
  <c r="Q30" i="35"/>
  <c r="C29" i="35" a="1"/>
  <c r="C29" i="35" s="1"/>
  <c r="Q29" i="35"/>
  <c r="Q4" i="35"/>
  <c r="Q5" i="35"/>
  <c r="Q6" i="35"/>
  <c r="Q7" i="35"/>
  <c r="Q8" i="35"/>
  <c r="Q9" i="35"/>
  <c r="Q10" i="35"/>
  <c r="Q11" i="35"/>
  <c r="Q12" i="35"/>
  <c r="Q13" i="35"/>
  <c r="Q14" i="35"/>
  <c r="Q15" i="35"/>
  <c r="Q16" i="35"/>
  <c r="Q17" i="35"/>
  <c r="Q18" i="35"/>
  <c r="Q19" i="35"/>
  <c r="Q20" i="35"/>
  <c r="Q21" i="35"/>
  <c r="Q22" i="35"/>
  <c r="Q23" i="35"/>
  <c r="Q24" i="35"/>
  <c r="Q25" i="35"/>
  <c r="Q26" i="35"/>
  <c r="Q27" i="35"/>
  <c r="Q28" i="35"/>
  <c r="C28" i="35" a="1"/>
  <c r="C28" i="35" s="1"/>
  <c r="C51" i="31" a="1"/>
  <c r="C51" i="31" s="1"/>
  <c r="D51" i="31" a="1"/>
  <c r="D51" i="31" s="1"/>
  <c r="Q51" i="31"/>
  <c r="R51" i="31"/>
  <c r="U51" i="31"/>
  <c r="V51" i="31"/>
  <c r="AD51" i="31" s="1"/>
  <c r="W51" i="31"/>
  <c r="C35" i="31" a="1"/>
  <c r="C35" i="31" s="1"/>
  <c r="D35" i="31" a="1"/>
  <c r="D35" i="31" s="1"/>
  <c r="Q35" i="31"/>
  <c r="R35" i="31"/>
  <c r="U35" i="31"/>
  <c r="V35" i="31"/>
  <c r="AD35" i="31" s="1"/>
  <c r="W35" i="31"/>
  <c r="C28" i="31" a="1"/>
  <c r="C28" i="31" s="1"/>
  <c r="D28" i="31" a="1"/>
  <c r="D28" i="31" s="1"/>
  <c r="Q28" i="31"/>
  <c r="R28" i="31"/>
  <c r="U28" i="31"/>
  <c r="V28" i="31"/>
  <c r="AD28" i="31" s="1"/>
  <c r="W28" i="31"/>
  <c r="B454" i="33" a="1"/>
  <c r="B454" i="33" s="1"/>
  <c r="E454" i="33" a="1"/>
  <c r="E454" i="33" s="1"/>
  <c r="F454" i="33" a="1"/>
  <c r="F454" i="33" s="1"/>
  <c r="G454" i="33" a="1"/>
  <c r="G454" i="33" s="1"/>
  <c r="L454" i="33" a="1"/>
  <c r="L454" i="33" s="1"/>
  <c r="N454" i="33"/>
  <c r="P454" i="33"/>
  <c r="S454" i="33" s="1"/>
  <c r="C27" i="31" a="1"/>
  <c r="C27" i="31" s="1"/>
  <c r="D27" i="31" a="1"/>
  <c r="D27" i="31" s="1"/>
  <c r="Q27" i="31"/>
  <c r="R27" i="31"/>
  <c r="U27" i="31"/>
  <c r="V27" i="31"/>
  <c r="AD27" i="31" s="1"/>
  <c r="W27" i="31"/>
  <c r="C27" i="35" a="1"/>
  <c r="C27" i="35" s="1"/>
  <c r="B316" i="33" a="1"/>
  <c r="B316" i="33" s="1"/>
  <c r="E316" i="33" a="1"/>
  <c r="E316" i="33" s="1"/>
  <c r="F316" i="33" a="1"/>
  <c r="F316" i="33" s="1"/>
  <c r="G316" i="33" a="1"/>
  <c r="G316" i="33" s="1"/>
  <c r="L316" i="33" a="1"/>
  <c r="L316" i="33" s="1"/>
  <c r="N316" i="33"/>
  <c r="P316" i="33"/>
  <c r="S316" i="33" s="1"/>
  <c r="B314" i="33" a="1"/>
  <c r="B314" i="33" s="1"/>
  <c r="E314" i="33" a="1"/>
  <c r="E314" i="33" s="1"/>
  <c r="F314" i="33" a="1"/>
  <c r="F314" i="33" s="1"/>
  <c r="G314" i="33" a="1"/>
  <c r="G314" i="33" s="1"/>
  <c r="L314" i="33" a="1"/>
  <c r="L314" i="33" s="1"/>
  <c r="N314" i="33"/>
  <c r="P314" i="33"/>
  <c r="S314" i="33" s="1"/>
  <c r="B436" i="33" a="1"/>
  <c r="B436" i="33" s="1"/>
  <c r="E436" i="33" a="1"/>
  <c r="E436" i="33" s="1"/>
  <c r="F436" i="33" a="1"/>
  <c r="F436" i="33" s="1"/>
  <c r="G436" i="33" a="1"/>
  <c r="G436" i="33" s="1"/>
  <c r="L436" i="33" a="1"/>
  <c r="L436" i="33" s="1"/>
  <c r="N436" i="33"/>
  <c r="P436" i="33"/>
  <c r="S436" i="33" s="1"/>
  <c r="B430" i="33" a="1"/>
  <c r="B430" i="33" s="1"/>
  <c r="E430" i="33" a="1"/>
  <c r="E430" i="33" s="1"/>
  <c r="F430" i="33" a="1"/>
  <c r="F430" i="33" s="1"/>
  <c r="G430" i="33" a="1"/>
  <c r="G430" i="33" s="1"/>
  <c r="L430" i="33" a="1"/>
  <c r="L430" i="33" s="1"/>
  <c r="N430" i="33"/>
  <c r="P430" i="33"/>
  <c r="S430" i="33" s="1"/>
  <c r="B95" i="33" a="1"/>
  <c r="B95" i="33" s="1"/>
  <c r="E95" i="33" a="1"/>
  <c r="E95" i="33" s="1"/>
  <c r="F95" i="33" a="1"/>
  <c r="F95" i="33" s="1"/>
  <c r="G95" i="33" a="1"/>
  <c r="G95" i="33" s="1"/>
  <c r="L95" i="33" a="1"/>
  <c r="L95" i="33" s="1"/>
  <c r="P95" i="33"/>
  <c r="S95" i="33" s="1"/>
  <c r="B60" i="33" a="1"/>
  <c r="B60" i="33" s="1"/>
  <c r="E60" i="33" a="1"/>
  <c r="E60" i="33" s="1"/>
  <c r="F60" i="33" a="1"/>
  <c r="F60" i="33" s="1"/>
  <c r="G60" i="33" a="1"/>
  <c r="G60" i="33" s="1"/>
  <c r="L60" i="33" a="1"/>
  <c r="L60" i="33" s="1"/>
  <c r="P60" i="33"/>
  <c r="S60" i="33" s="1"/>
  <c r="B129" i="33" a="1"/>
  <c r="B129" i="33" s="1"/>
  <c r="E129" i="33" a="1"/>
  <c r="E129" i="33" s="1"/>
  <c r="F129" i="33" a="1"/>
  <c r="F129" i="33" s="1"/>
  <c r="G129" i="33" a="1"/>
  <c r="G129" i="33" s="1"/>
  <c r="L129" i="33" a="1"/>
  <c r="L129" i="33" s="1"/>
  <c r="P129" i="33"/>
  <c r="S129" i="33" s="1"/>
  <c r="C34" i="34" s="1"/>
  <c r="C440" i="31" a="1"/>
  <c r="C440" i="31" s="1"/>
  <c r="D440" i="31" a="1"/>
  <c r="D440" i="31" s="1"/>
  <c r="Q440" i="31"/>
  <c r="R440" i="31"/>
  <c r="U440" i="31"/>
  <c r="V440" i="31"/>
  <c r="AD440" i="31" s="1"/>
  <c r="W440" i="31"/>
  <c r="B220" i="33" a="1"/>
  <c r="B220" i="33" s="1"/>
  <c r="E220" i="33" a="1"/>
  <c r="E220" i="33" s="1"/>
  <c r="F220" i="33" a="1"/>
  <c r="F220" i="33" s="1"/>
  <c r="G220" i="33" a="1"/>
  <c r="G220" i="33" s="1"/>
  <c r="L220" i="33" a="1"/>
  <c r="L220" i="33" s="1"/>
  <c r="N220" i="33"/>
  <c r="P220" i="33"/>
  <c r="S220" i="33" s="1"/>
  <c r="C26" i="35" a="1"/>
  <c r="C26" i="35" s="1"/>
  <c r="P55" i="33"/>
  <c r="S55" i="33" s="1"/>
  <c r="C17" i="34" s="1"/>
  <c r="P183" i="33"/>
  <c r="S183" i="33" s="1"/>
  <c r="P124" i="33"/>
  <c r="S124" i="33" s="1"/>
  <c r="P602" i="33"/>
  <c r="S602" i="33" s="1"/>
  <c r="P315" i="33"/>
  <c r="S315" i="33" s="1"/>
  <c r="P139" i="33"/>
  <c r="S139" i="33" s="1"/>
  <c r="C43" i="34" s="1"/>
  <c r="P383" i="33"/>
  <c r="S383" i="33" s="1"/>
  <c r="P84" i="33"/>
  <c r="S84" i="33" s="1"/>
  <c r="P51" i="33"/>
  <c r="S51" i="33" s="1"/>
  <c r="P24" i="33"/>
  <c r="S24" i="33" s="1"/>
  <c r="P143" i="33"/>
  <c r="S143" i="33" s="1"/>
  <c r="P54" i="33"/>
  <c r="S54" i="33" s="1"/>
  <c r="P125" i="33"/>
  <c r="S125" i="33" s="1"/>
  <c r="P140" i="33"/>
  <c r="S140" i="33" s="1"/>
  <c r="P464" i="33"/>
  <c r="S464" i="33" s="1"/>
  <c r="P411" i="33"/>
  <c r="S411" i="33" s="1"/>
  <c r="P32" i="33"/>
  <c r="S32" i="33" s="1"/>
  <c r="P333" i="33"/>
  <c r="S333" i="33" s="1"/>
  <c r="P419" i="33"/>
  <c r="S419" i="33" s="1"/>
  <c r="P322" i="33"/>
  <c r="S322" i="33" s="1"/>
  <c r="P463" i="33"/>
  <c r="S463" i="33" s="1"/>
  <c r="P329" i="33"/>
  <c r="S329" i="33" s="1"/>
  <c r="P471" i="33"/>
  <c r="S471" i="33" s="1"/>
  <c r="P126" i="33"/>
  <c r="S126" i="33" s="1"/>
  <c r="P268" i="33"/>
  <c r="S268" i="33" s="1"/>
  <c r="P423" i="33"/>
  <c r="S423" i="33" s="1"/>
  <c r="P431" i="33"/>
  <c r="S431" i="33" s="1"/>
  <c r="P433" i="33"/>
  <c r="S433" i="33" s="1"/>
  <c r="P248" i="33"/>
  <c r="S248" i="33" s="1"/>
  <c r="P304" i="33"/>
  <c r="S304" i="33" s="1"/>
  <c r="P484" i="33"/>
  <c r="S484" i="33" s="1"/>
  <c r="P21" i="33"/>
  <c r="S21" i="33" s="1"/>
  <c r="P410" i="33"/>
  <c r="S410" i="33" s="1"/>
  <c r="P317" i="33"/>
  <c r="S317" i="33" s="1"/>
  <c r="P396" i="33"/>
  <c r="S396" i="33" s="1"/>
  <c r="P299" i="33"/>
  <c r="S299" i="33" s="1"/>
  <c r="P328" i="33"/>
  <c r="S328" i="33" s="1"/>
  <c r="P306" i="33"/>
  <c r="S306" i="33" s="1"/>
  <c r="P448" i="33"/>
  <c r="S448" i="33" s="1"/>
  <c r="P475" i="33"/>
  <c r="S475" i="33" s="1"/>
  <c r="P374" i="33"/>
  <c r="S374" i="33" s="1"/>
  <c r="P573" i="33"/>
  <c r="S573" i="33" s="1"/>
  <c r="P361" i="33"/>
  <c r="S361" i="33" s="1"/>
  <c r="P367" i="33"/>
  <c r="S367" i="33" s="1"/>
  <c r="P308" i="33"/>
  <c r="S308" i="33" s="1"/>
  <c r="P369" i="33"/>
  <c r="S369" i="33" s="1"/>
  <c r="P480" i="33"/>
  <c r="S480" i="33" s="1"/>
  <c r="P344" i="33"/>
  <c r="S344" i="33" s="1"/>
  <c r="P282" i="33"/>
  <c r="S282" i="33" s="1"/>
  <c r="P283" i="33"/>
  <c r="S283" i="33" s="1"/>
  <c r="P285" i="33"/>
  <c r="S285" i="33" s="1"/>
  <c r="C48" i="34" s="1"/>
  <c r="P493" i="33"/>
  <c r="S493" i="33" s="1"/>
  <c r="P208" i="33"/>
  <c r="S208" i="33" s="1"/>
  <c r="P216" i="33"/>
  <c r="S216" i="33" s="1"/>
  <c r="P502" i="33"/>
  <c r="S502" i="33" s="1"/>
  <c r="P526" i="33"/>
  <c r="S526" i="33" s="1"/>
  <c r="P499" i="33"/>
  <c r="S499" i="33" s="1"/>
  <c r="P501" i="33"/>
  <c r="S501" i="33" s="1"/>
  <c r="P461" i="33"/>
  <c r="S461" i="33" s="1"/>
  <c r="P500" i="33"/>
  <c r="S500" i="33" s="1"/>
  <c r="P488" i="33"/>
  <c r="S488" i="33" s="1"/>
  <c r="P70" i="33"/>
  <c r="S70" i="33" s="1"/>
  <c r="P69" i="33"/>
  <c r="S69" i="33" s="1"/>
  <c r="P481" i="33"/>
  <c r="S481" i="33" s="1"/>
  <c r="P93" i="33"/>
  <c r="S93" i="33" s="1"/>
  <c r="P199" i="33"/>
  <c r="S199" i="33" s="1"/>
  <c r="P479" i="33"/>
  <c r="S479" i="33" s="1"/>
  <c r="P401" i="33"/>
  <c r="S401" i="33" s="1"/>
  <c r="P77" i="33"/>
  <c r="S77" i="33" s="1"/>
  <c r="P445" i="33"/>
  <c r="S445" i="33" s="1"/>
  <c r="C45" i="34" s="1"/>
  <c r="P523" i="33"/>
  <c r="S523" i="33" s="1"/>
  <c r="P505" i="33"/>
  <c r="S505" i="33" s="1"/>
  <c r="P434" i="33"/>
  <c r="S434" i="33" s="1"/>
  <c r="P446" i="33"/>
  <c r="S446" i="33" s="1"/>
  <c r="P83" i="33"/>
  <c r="S83" i="33" s="1"/>
  <c r="P485" i="33"/>
  <c r="S485" i="33" s="1"/>
  <c r="P30" i="33"/>
  <c r="S30" i="33" s="1"/>
  <c r="P345" i="33"/>
  <c r="S345" i="33" s="1"/>
  <c r="P337" i="33"/>
  <c r="S337" i="33" s="1"/>
  <c r="P470" i="33"/>
  <c r="S470" i="33" s="1"/>
  <c r="P437" i="33"/>
  <c r="S437" i="33" s="1"/>
  <c r="P378" i="33"/>
  <c r="S378" i="33" s="1"/>
  <c r="P495" i="33"/>
  <c r="S495" i="33" s="1"/>
  <c r="P297" i="33"/>
  <c r="S297" i="33" s="1"/>
  <c r="P392" i="33"/>
  <c r="S392" i="33" s="1"/>
  <c r="P414" i="33"/>
  <c r="S414" i="33" s="1"/>
  <c r="P189" i="33"/>
  <c r="S189" i="33" s="1"/>
  <c r="P496" i="33"/>
  <c r="S496" i="33" s="1"/>
  <c r="P251" i="33"/>
  <c r="S251" i="33" s="1"/>
  <c r="P310" i="33"/>
  <c r="S310" i="33" s="1"/>
  <c r="P449" i="33"/>
  <c r="S449" i="33" s="1"/>
  <c r="P404" i="33"/>
  <c r="S404" i="33" s="1"/>
  <c r="P453" i="33"/>
  <c r="S453" i="33" s="1"/>
  <c r="P351" i="33"/>
  <c r="S351" i="33" s="1"/>
  <c r="P494" i="33"/>
  <c r="S494" i="33" s="1"/>
  <c r="P141" i="33"/>
  <c r="S141" i="33" s="1"/>
  <c r="P63" i="33"/>
  <c r="S63" i="33" s="1"/>
  <c r="P197" i="33"/>
  <c r="S197" i="33" s="1"/>
  <c r="P98" i="33"/>
  <c r="S98" i="33" s="1"/>
  <c r="P462" i="33"/>
  <c r="S462" i="33" s="1"/>
  <c r="P458" i="33"/>
  <c r="S458" i="33" s="1"/>
  <c r="C41" i="34" s="1"/>
  <c r="P153" i="33"/>
  <c r="S153" i="33" s="1"/>
  <c r="P489" i="33"/>
  <c r="S489" i="33" s="1"/>
  <c r="P422" i="33"/>
  <c r="S422" i="33" s="1"/>
  <c r="C39" i="34" s="1"/>
  <c r="P256" i="33"/>
  <c r="S256" i="33" s="1"/>
  <c r="P228" i="33"/>
  <c r="S228" i="33" s="1"/>
  <c r="P242" i="33"/>
  <c r="S242" i="33" s="1"/>
  <c r="P260" i="33"/>
  <c r="S260" i="33" s="1"/>
  <c r="P19" i="33"/>
  <c r="S19" i="33" s="1"/>
  <c r="P244" i="33"/>
  <c r="S244" i="33" s="1"/>
  <c r="P237" i="33"/>
  <c r="S237" i="33" s="1"/>
  <c r="P226" i="33"/>
  <c r="S226" i="33" s="1"/>
  <c r="P232" i="33"/>
  <c r="S232" i="33" s="1"/>
  <c r="P274" i="33"/>
  <c r="S274" i="33" s="1"/>
  <c r="P277" i="33"/>
  <c r="S277" i="33" s="1"/>
  <c r="P138" i="33"/>
  <c r="S138" i="33" s="1"/>
  <c r="P452" i="33"/>
  <c r="S452" i="33" s="1"/>
  <c r="P447" i="33"/>
  <c r="S447" i="33" s="1"/>
  <c r="P156" i="33"/>
  <c r="S156" i="33" s="1"/>
  <c r="P472" i="33"/>
  <c r="S472" i="33" s="1"/>
  <c r="P266" i="33"/>
  <c r="S266" i="33" s="1"/>
  <c r="P486" i="33"/>
  <c r="S486" i="33" s="1"/>
  <c r="P221" i="33"/>
  <c r="S221" i="33" s="1"/>
  <c r="P373" i="33"/>
  <c r="S373" i="33" s="1"/>
  <c r="P371" i="33"/>
  <c r="S371" i="33" s="1"/>
  <c r="P335" i="33"/>
  <c r="S335" i="33" s="1"/>
  <c r="P76" i="33"/>
  <c r="S76" i="33" s="1"/>
  <c r="P243" i="33"/>
  <c r="S243" i="33" s="1"/>
  <c r="P287" i="33"/>
  <c r="S287" i="33" s="1"/>
  <c r="P276" i="33"/>
  <c r="S276" i="33" s="1"/>
  <c r="P286" i="33"/>
  <c r="S286" i="33" s="1"/>
  <c r="P280" i="33"/>
  <c r="S280" i="33" s="1"/>
  <c r="P492" i="33"/>
  <c r="S492" i="33" s="1"/>
  <c r="P254" i="33"/>
  <c r="S254" i="33" s="1"/>
  <c r="P263" i="33"/>
  <c r="S263" i="33" s="1"/>
  <c r="P229" i="33"/>
  <c r="S229" i="33" s="1"/>
  <c r="P525" i="33"/>
  <c r="S525" i="33" s="1"/>
  <c r="C14" i="34" s="1"/>
  <c r="P225" i="33"/>
  <c r="S225" i="33" s="1"/>
  <c r="P301" i="33"/>
  <c r="S301" i="33" s="1"/>
  <c r="P405" i="33"/>
  <c r="S405" i="33" s="1"/>
  <c r="P330" i="33"/>
  <c r="S330" i="33" s="1"/>
  <c r="P165" i="33"/>
  <c r="S165" i="33" s="1"/>
  <c r="P303" i="33"/>
  <c r="S303" i="33" s="1"/>
  <c r="P376" i="33"/>
  <c r="S376" i="33" s="1"/>
  <c r="P348" i="33"/>
  <c r="S348" i="33" s="1"/>
  <c r="P270" i="33"/>
  <c r="S270" i="33" s="1"/>
  <c r="P395" i="33"/>
  <c r="S395" i="33" s="1"/>
  <c r="P137" i="33"/>
  <c r="S137" i="33" s="1"/>
  <c r="P17" i="33"/>
  <c r="S17" i="33" s="1"/>
  <c r="P134" i="33"/>
  <c r="S134" i="33" s="1"/>
  <c r="P575" i="33"/>
  <c r="S575" i="33" s="1"/>
  <c r="P377" i="33"/>
  <c r="S377" i="33" s="1"/>
  <c r="P439" i="33"/>
  <c r="S439" i="33" s="1"/>
  <c r="P406" i="33"/>
  <c r="S406" i="33" s="1"/>
  <c r="P387" i="33"/>
  <c r="S387" i="33" s="1"/>
  <c r="P382" i="33"/>
  <c r="S382" i="33" s="1"/>
  <c r="P298" i="33"/>
  <c r="S298" i="33" s="1"/>
  <c r="P435" i="33"/>
  <c r="S435" i="33" s="1"/>
  <c r="P320" i="33"/>
  <c r="S320" i="33" s="1"/>
  <c r="P336" i="33"/>
  <c r="S336" i="33" s="1"/>
  <c r="P265" i="33"/>
  <c r="S265" i="33" s="1"/>
  <c r="P87" i="33"/>
  <c r="S87" i="33" s="1"/>
  <c r="B265" i="33" a="1"/>
  <c r="B265" i="33" s="1"/>
  <c r="E265" i="33" a="1"/>
  <c r="E265" i="33" s="1"/>
  <c r="F265" i="33" a="1"/>
  <c r="F265" i="33" s="1"/>
  <c r="G265" i="33" a="1"/>
  <c r="G265" i="33" s="1"/>
  <c r="L265" i="33" a="1"/>
  <c r="L265" i="33" s="1"/>
  <c r="N265" i="33"/>
  <c r="C25" i="35" a="1"/>
  <c r="C25" i="35" s="1"/>
  <c r="C24" i="35" a="1"/>
  <c r="C24" i="35" s="1"/>
  <c r="C23" i="35" a="1"/>
  <c r="C23" i="35" s="1"/>
  <c r="C22" i="35" a="1"/>
  <c r="C22" i="35" s="1"/>
  <c r="C21" i="35" a="1"/>
  <c r="C21" i="35" s="1"/>
  <c r="C20" i="35" a="1"/>
  <c r="C20" i="35" s="1"/>
  <c r="C19" i="35" a="1"/>
  <c r="C19" i="35" s="1"/>
  <c r="C18" i="35" a="1"/>
  <c r="C18" i="35" s="1"/>
  <c r="C17" i="35" a="1"/>
  <c r="C17" i="35" s="1"/>
  <c r="C16" i="35" a="1"/>
  <c r="C16" i="35" s="1"/>
  <c r="C15" i="35" a="1"/>
  <c r="C15" i="35" s="1"/>
  <c r="B336" i="33" a="1"/>
  <c r="B336" i="33" s="1"/>
  <c r="E336" i="33" a="1"/>
  <c r="E336" i="33" s="1"/>
  <c r="F336" i="33" a="1"/>
  <c r="F336" i="33" s="1"/>
  <c r="G336" i="33" a="1"/>
  <c r="G336" i="33" s="1"/>
  <c r="L336" i="33" a="1"/>
  <c r="L336" i="33" s="1"/>
  <c r="N336" i="33"/>
  <c r="B320" i="33" a="1"/>
  <c r="B320" i="33" s="1"/>
  <c r="E320" i="33" a="1"/>
  <c r="E320" i="33" s="1"/>
  <c r="F320" i="33" a="1"/>
  <c r="F320" i="33" s="1"/>
  <c r="G320" i="33" a="1"/>
  <c r="G320" i="33" s="1"/>
  <c r="L320" i="33" a="1"/>
  <c r="L320" i="33" s="1"/>
  <c r="N320" i="33"/>
  <c r="B435" i="33" a="1"/>
  <c r="B435" i="33" s="1"/>
  <c r="E435" i="33" a="1"/>
  <c r="E435" i="33" s="1"/>
  <c r="F435" i="33" a="1"/>
  <c r="F435" i="33" s="1"/>
  <c r="G435" i="33" a="1"/>
  <c r="G435" i="33" s="1"/>
  <c r="L435" i="33" a="1"/>
  <c r="L435" i="33" s="1"/>
  <c r="N435" i="33"/>
  <c r="B298" i="33" a="1"/>
  <c r="B298" i="33" s="1"/>
  <c r="E298" i="33" a="1"/>
  <c r="E298" i="33" s="1"/>
  <c r="F298" i="33" a="1"/>
  <c r="F298" i="33" s="1"/>
  <c r="G298" i="33" a="1"/>
  <c r="G298" i="33" s="1"/>
  <c r="L298" i="33" a="1"/>
  <c r="L298" i="33" s="1"/>
  <c r="N298" i="33"/>
  <c r="B382" i="33" a="1"/>
  <c r="B382" i="33" s="1"/>
  <c r="E382" i="33" a="1"/>
  <c r="E382" i="33" s="1"/>
  <c r="F382" i="33" a="1"/>
  <c r="F382" i="33" s="1"/>
  <c r="G382" i="33" a="1"/>
  <c r="G382" i="33" s="1"/>
  <c r="L382" i="33" a="1"/>
  <c r="L382" i="33" s="1"/>
  <c r="N382" i="33"/>
  <c r="B387" i="33" a="1"/>
  <c r="B387" i="33" s="1"/>
  <c r="E387" i="33" a="1"/>
  <c r="E387" i="33" s="1"/>
  <c r="F387" i="33" a="1"/>
  <c r="F387" i="33" s="1"/>
  <c r="G387" i="33" a="1"/>
  <c r="G387" i="33" s="1"/>
  <c r="L387" i="33" a="1"/>
  <c r="L387" i="33" s="1"/>
  <c r="N387" i="33"/>
  <c r="B406" i="33" a="1"/>
  <c r="B406" i="33" s="1"/>
  <c r="E406" i="33" a="1"/>
  <c r="E406" i="33" s="1"/>
  <c r="F406" i="33" a="1"/>
  <c r="F406" i="33" s="1"/>
  <c r="G406" i="33" a="1"/>
  <c r="G406" i="33" s="1"/>
  <c r="L406" i="33" a="1"/>
  <c r="L406" i="33" s="1"/>
  <c r="N406" i="33"/>
  <c r="B439" i="33" a="1"/>
  <c r="B439" i="33" s="1"/>
  <c r="E439" i="33" a="1"/>
  <c r="E439" i="33" s="1"/>
  <c r="F439" i="33" a="1"/>
  <c r="F439" i="33" s="1"/>
  <c r="G439" i="33" a="1"/>
  <c r="G439" i="33" s="1"/>
  <c r="L439" i="33" a="1"/>
  <c r="L439" i="33" s="1"/>
  <c r="C19" i="31" a="1"/>
  <c r="C19" i="31" s="1"/>
  <c r="D19" i="31" a="1"/>
  <c r="D19" i="31" s="1"/>
  <c r="Q19" i="31"/>
  <c r="R19" i="31"/>
  <c r="U19" i="31"/>
  <c r="V19" i="31"/>
  <c r="AD19" i="31" s="1"/>
  <c r="W19" i="31"/>
  <c r="C14" i="35" a="1"/>
  <c r="C14" i="35" s="1"/>
  <c r="C13" i="35" a="1"/>
  <c r="C13" i="35" s="1"/>
  <c r="C12" i="35" a="1"/>
  <c r="C12" i="35" s="1"/>
  <c r="C11" i="35" a="1"/>
  <c r="C11" i="35" s="1"/>
  <c r="C50" i="31" a="1"/>
  <c r="C50" i="31" s="1"/>
  <c r="D50" i="31" a="1"/>
  <c r="D50" i="31" s="1"/>
  <c r="Q50" i="31"/>
  <c r="R50" i="31"/>
  <c r="U50" i="31"/>
  <c r="V50" i="31"/>
  <c r="AD50" i="31" s="1"/>
  <c r="W50" i="31"/>
  <c r="C10" i="35" a="1"/>
  <c r="C10" i="35" s="1"/>
  <c r="C9" i="35" a="1"/>
  <c r="C9" i="35" s="1"/>
  <c r="C8" i="35" a="1"/>
  <c r="C8" i="35" s="1"/>
  <c r="C7" i="35" a="1"/>
  <c r="C7" i="35" s="1"/>
  <c r="C6" i="35" a="1"/>
  <c r="C6" i="35" s="1"/>
  <c r="C5" i="35" a="1"/>
  <c r="C5" i="35" s="1"/>
  <c r="C4" i="35" a="1"/>
  <c r="C4" i="35" s="1"/>
  <c r="B3" i="33" a="1"/>
  <c r="B3" i="33" s="1"/>
  <c r="B395" i="33" a="1"/>
  <c r="B395" i="33" s="1"/>
  <c r="E395" i="33" a="1"/>
  <c r="E395" i="33" s="1"/>
  <c r="F395" i="33" a="1"/>
  <c r="F395" i="33" s="1"/>
  <c r="G395" i="33" a="1"/>
  <c r="G395" i="33" s="1"/>
  <c r="L395" i="33" a="1"/>
  <c r="L395" i="33" s="1"/>
  <c r="N395" i="33"/>
  <c r="B270" i="33" a="1"/>
  <c r="B270" i="33" s="1"/>
  <c r="E270" i="33" a="1"/>
  <c r="E270" i="33" s="1"/>
  <c r="F270" i="33" a="1"/>
  <c r="F270" i="33" s="1"/>
  <c r="G270" i="33" a="1"/>
  <c r="G270" i="33" s="1"/>
  <c r="L270" i="33" a="1"/>
  <c r="L270" i="33" s="1"/>
  <c r="B348" i="33" a="1"/>
  <c r="B348" i="33" s="1"/>
  <c r="E348" i="33" a="1"/>
  <c r="E348" i="33" s="1"/>
  <c r="F348" i="33" a="1"/>
  <c r="F348" i="33" s="1"/>
  <c r="G348" i="33" a="1"/>
  <c r="G348" i="33" s="1"/>
  <c r="L348" i="33" a="1"/>
  <c r="L348" i="33" s="1"/>
  <c r="B376" i="33" a="1"/>
  <c r="B376" i="33" s="1"/>
  <c r="E376" i="33" a="1"/>
  <c r="E376" i="33" s="1"/>
  <c r="F376" i="33" a="1"/>
  <c r="F376" i="33" s="1"/>
  <c r="G376" i="33" a="1"/>
  <c r="G376" i="33" s="1"/>
  <c r="L376" i="33" a="1"/>
  <c r="L376" i="33" s="1"/>
  <c r="N376" i="33"/>
  <c r="B303" i="33" a="1"/>
  <c r="B303" i="33" s="1"/>
  <c r="E303" i="33" a="1"/>
  <c r="E303" i="33" s="1"/>
  <c r="F303" i="33" a="1"/>
  <c r="F303" i="33" s="1"/>
  <c r="G303" i="33" a="1"/>
  <c r="G303" i="33" s="1"/>
  <c r="L303" i="33" a="1"/>
  <c r="L303" i="33" s="1"/>
  <c r="N303" i="33"/>
  <c r="E17" i="40" s="1"/>
  <c r="B165" i="33" a="1"/>
  <c r="B165" i="33" s="1"/>
  <c r="E165" i="33" a="1"/>
  <c r="E165" i="33" s="1"/>
  <c r="F165" i="33" a="1"/>
  <c r="F165" i="33" s="1"/>
  <c r="G165" i="33" a="1"/>
  <c r="G165" i="33" s="1"/>
  <c r="L165" i="33" a="1"/>
  <c r="L165" i="33" s="1"/>
  <c r="N165" i="33"/>
  <c r="B330" i="33" a="1"/>
  <c r="B330" i="33" s="1"/>
  <c r="E330" i="33" a="1"/>
  <c r="E330" i="33" s="1"/>
  <c r="F330" i="33" a="1"/>
  <c r="F330" i="33" s="1"/>
  <c r="G330" i="33" a="1"/>
  <c r="G330" i="33" s="1"/>
  <c r="L330" i="33" a="1"/>
  <c r="L330" i="33" s="1"/>
  <c r="N330" i="33"/>
  <c r="B405" i="33" a="1"/>
  <c r="B405" i="33" s="1"/>
  <c r="E405" i="33" a="1"/>
  <c r="E405" i="33" s="1"/>
  <c r="F405" i="33" a="1"/>
  <c r="F405" i="33" s="1"/>
  <c r="G405" i="33" a="1"/>
  <c r="G405" i="33" s="1"/>
  <c r="L405" i="33" a="1"/>
  <c r="L405" i="33" s="1"/>
  <c r="N405" i="33"/>
  <c r="B301" i="33" a="1"/>
  <c r="B301" i="33" s="1"/>
  <c r="E301" i="33" a="1"/>
  <c r="E301" i="33" s="1"/>
  <c r="F301" i="33" a="1"/>
  <c r="F301" i="33" s="1"/>
  <c r="G301" i="33" a="1"/>
  <c r="G301" i="33" s="1"/>
  <c r="L301" i="33" a="1"/>
  <c r="L301" i="33" s="1"/>
  <c r="N301" i="33"/>
  <c r="B225" i="33" a="1"/>
  <c r="B225" i="33" s="1"/>
  <c r="E225" i="33" a="1"/>
  <c r="E225" i="33" s="1"/>
  <c r="F225" i="33" a="1"/>
  <c r="F225" i="33" s="1"/>
  <c r="G225" i="33" a="1"/>
  <c r="G225" i="33" s="1"/>
  <c r="L225" i="33" a="1"/>
  <c r="L225" i="33" s="1"/>
  <c r="N225" i="33"/>
  <c r="B525" i="33" a="1"/>
  <c r="B525" i="33" s="1"/>
  <c r="E525" i="33" a="1"/>
  <c r="E525" i="33" s="1"/>
  <c r="F525" i="33" a="1"/>
  <c r="F525" i="33" s="1"/>
  <c r="G525" i="33" a="1"/>
  <c r="G525" i="33" s="1"/>
  <c r="L525" i="33" a="1"/>
  <c r="L525" i="33" s="1"/>
  <c r="N525" i="33"/>
  <c r="B229" i="33" a="1"/>
  <c r="B229" i="33" s="1"/>
  <c r="E229" i="33" a="1"/>
  <c r="E229" i="33" s="1"/>
  <c r="F229" i="33" a="1"/>
  <c r="F229" i="33" s="1"/>
  <c r="G229" i="33" a="1"/>
  <c r="G229" i="33" s="1"/>
  <c r="L229" i="33" a="1"/>
  <c r="L229" i="33" s="1"/>
  <c r="N229" i="33"/>
  <c r="B263" i="33" a="1"/>
  <c r="B263" i="33" s="1"/>
  <c r="E263" i="33" a="1"/>
  <c r="E263" i="33" s="1"/>
  <c r="F263" i="33" a="1"/>
  <c r="F263" i="33" s="1"/>
  <c r="G263" i="33" a="1"/>
  <c r="G263" i="33" s="1"/>
  <c r="L263" i="33" a="1"/>
  <c r="L263" i="33" s="1"/>
  <c r="N263" i="33"/>
  <c r="B254" i="33" a="1"/>
  <c r="B254" i="33" s="1"/>
  <c r="E254" i="33" a="1"/>
  <c r="E254" i="33" s="1"/>
  <c r="F254" i="33" a="1"/>
  <c r="F254" i="33" s="1"/>
  <c r="G254" i="33" a="1"/>
  <c r="G254" i="33" s="1"/>
  <c r="L254" i="33" a="1"/>
  <c r="L254" i="33" s="1"/>
  <c r="N254" i="33"/>
  <c r="B492" i="33" a="1"/>
  <c r="B492" i="33" s="1"/>
  <c r="E492" i="33" a="1"/>
  <c r="E492" i="33" s="1"/>
  <c r="F492" i="33" a="1"/>
  <c r="F492" i="33" s="1"/>
  <c r="G492" i="33" a="1"/>
  <c r="G492" i="33" s="1"/>
  <c r="L492" i="33" a="1"/>
  <c r="L492" i="33" s="1"/>
  <c r="N492" i="33"/>
  <c r="B280" i="33" a="1"/>
  <c r="B280" i="33" s="1"/>
  <c r="E280" i="33" a="1"/>
  <c r="E280" i="33" s="1"/>
  <c r="F280" i="33" a="1"/>
  <c r="F280" i="33" s="1"/>
  <c r="G280" i="33" a="1"/>
  <c r="G280" i="33" s="1"/>
  <c r="L280" i="33" a="1"/>
  <c r="L280" i="33" s="1"/>
  <c r="N280" i="33"/>
  <c r="B286" i="33" a="1"/>
  <c r="B286" i="33" s="1"/>
  <c r="E286" i="33" a="1"/>
  <c r="E286" i="33" s="1"/>
  <c r="F286" i="33" a="1"/>
  <c r="F286" i="33" s="1"/>
  <c r="G286" i="33" a="1"/>
  <c r="G286" i="33" s="1"/>
  <c r="L286" i="33" a="1"/>
  <c r="L286" i="33" s="1"/>
  <c r="N286" i="33"/>
  <c r="B276" i="33" a="1"/>
  <c r="B276" i="33" s="1"/>
  <c r="E276" i="33" a="1"/>
  <c r="E276" i="33" s="1"/>
  <c r="F276" i="33" a="1"/>
  <c r="F276" i="33" s="1"/>
  <c r="G276" i="33" a="1"/>
  <c r="G276" i="33" s="1"/>
  <c r="L276" i="33" a="1"/>
  <c r="L276" i="33" s="1"/>
  <c r="N276" i="33"/>
  <c r="B287" i="33" a="1"/>
  <c r="B287" i="33" s="1"/>
  <c r="E287" i="33" a="1"/>
  <c r="E287" i="33" s="1"/>
  <c r="F287" i="33" a="1"/>
  <c r="F287" i="33" s="1"/>
  <c r="G287" i="33" a="1"/>
  <c r="G287" i="33" s="1"/>
  <c r="L287" i="33" a="1"/>
  <c r="L287" i="33" s="1"/>
  <c r="N287" i="33"/>
  <c r="B243" i="33" a="1"/>
  <c r="B243" i="33" s="1"/>
  <c r="E243" i="33" a="1"/>
  <c r="E243" i="33" s="1"/>
  <c r="F243" i="33" a="1"/>
  <c r="F243" i="33" s="1"/>
  <c r="G243" i="33" a="1"/>
  <c r="G243" i="33" s="1"/>
  <c r="L243" i="33" a="1"/>
  <c r="L243" i="33" s="1"/>
  <c r="N243" i="33"/>
  <c r="B76" i="33" a="1"/>
  <c r="B76" i="33" s="1"/>
  <c r="E76" i="33" a="1"/>
  <c r="E76" i="33" s="1"/>
  <c r="F76" i="33" a="1"/>
  <c r="F76" i="33" s="1"/>
  <c r="G76" i="33" a="1"/>
  <c r="G76" i="33" s="1"/>
  <c r="L76" i="33" a="1"/>
  <c r="L76" i="33" s="1"/>
  <c r="N76" i="33"/>
  <c r="B335" i="33" a="1"/>
  <c r="B335" i="33" s="1"/>
  <c r="E335" i="33" a="1"/>
  <c r="E335" i="33" s="1"/>
  <c r="F335" i="33" a="1"/>
  <c r="F335" i="33" s="1"/>
  <c r="G335" i="33" a="1"/>
  <c r="G335" i="33" s="1"/>
  <c r="L335" i="33" a="1"/>
  <c r="L335" i="33" s="1"/>
  <c r="N335" i="33"/>
  <c r="B371" i="33" a="1"/>
  <c r="B371" i="33" s="1"/>
  <c r="E371" i="33" a="1"/>
  <c r="E371" i="33" s="1"/>
  <c r="F371" i="33" a="1"/>
  <c r="F371" i="33" s="1"/>
  <c r="G371" i="33" a="1"/>
  <c r="G371" i="33" s="1"/>
  <c r="L371" i="33" a="1"/>
  <c r="L371" i="33" s="1"/>
  <c r="N371" i="33"/>
  <c r="B373" i="33" a="1"/>
  <c r="B373" i="33" s="1"/>
  <c r="E373" i="33" a="1"/>
  <c r="E373" i="33" s="1"/>
  <c r="F373" i="33" a="1"/>
  <c r="F373" i="33" s="1"/>
  <c r="G373" i="33" a="1"/>
  <c r="G373" i="33" s="1"/>
  <c r="L373" i="33" a="1"/>
  <c r="L373" i="33" s="1"/>
  <c r="N373" i="33"/>
  <c r="B221" i="33" a="1"/>
  <c r="B221" i="33" s="1"/>
  <c r="E221" i="33" a="1"/>
  <c r="E221" i="33" s="1"/>
  <c r="F221" i="33" a="1"/>
  <c r="F221" i="33" s="1"/>
  <c r="G221" i="33" a="1"/>
  <c r="G221" i="33" s="1"/>
  <c r="L221" i="33" a="1"/>
  <c r="L221" i="33" s="1"/>
  <c r="N221" i="33"/>
  <c r="B486" i="33" a="1"/>
  <c r="B486" i="33" s="1"/>
  <c r="E486" i="33" a="1"/>
  <c r="E486" i="33" s="1"/>
  <c r="F486" i="33" a="1"/>
  <c r="F486" i="33" s="1"/>
  <c r="G486" i="33" a="1"/>
  <c r="G486" i="33" s="1"/>
  <c r="L486" i="33" a="1"/>
  <c r="L486" i="33" s="1"/>
  <c r="N486" i="33"/>
  <c r="B266" i="33" a="1"/>
  <c r="B266" i="33" s="1"/>
  <c r="E266" i="33" a="1"/>
  <c r="E266" i="33" s="1"/>
  <c r="F266" i="33" a="1"/>
  <c r="F266" i="33" s="1"/>
  <c r="G266" i="33" a="1"/>
  <c r="G266" i="33" s="1"/>
  <c r="L266" i="33" a="1"/>
  <c r="L266" i="33" s="1"/>
  <c r="N266" i="33"/>
  <c r="B472" i="33" a="1"/>
  <c r="B472" i="33" s="1"/>
  <c r="E472" i="33" a="1"/>
  <c r="E472" i="33" s="1"/>
  <c r="F472" i="33" a="1"/>
  <c r="F472" i="33" s="1"/>
  <c r="G472" i="33" a="1"/>
  <c r="G472" i="33" s="1"/>
  <c r="L472" i="33" a="1"/>
  <c r="L472" i="33" s="1"/>
  <c r="N472" i="33"/>
  <c r="L51" i="33" a="1"/>
  <c r="L51" i="33" s="1"/>
  <c r="L87" i="33" a="1"/>
  <c r="L87" i="33" s="1"/>
  <c r="L377" i="33" a="1"/>
  <c r="L377" i="33" s="1"/>
  <c r="L55" i="33" a="1"/>
  <c r="L55" i="33" s="1"/>
  <c r="L134" i="33" a="1"/>
  <c r="L134" i="33" s="1"/>
  <c r="L602" i="33" a="1"/>
  <c r="L602" i="33" s="1"/>
  <c r="L124" i="33" a="1"/>
  <c r="L124" i="33" s="1"/>
  <c r="L315" i="33" a="1"/>
  <c r="L315" i="33" s="1"/>
  <c r="L24" i="33" a="1"/>
  <c r="L24" i="33" s="1"/>
  <c r="L383" i="33" a="1"/>
  <c r="L383" i="33" s="1"/>
  <c r="L17" i="33" a="1"/>
  <c r="L17" i="33" s="1"/>
  <c r="L143" i="33" a="1"/>
  <c r="L143" i="33" s="1"/>
  <c r="L84" i="33" a="1"/>
  <c r="L84" i="33" s="1"/>
  <c r="L137" i="33" a="1"/>
  <c r="L137" i="33" s="1"/>
  <c r="L139" i="33" a="1"/>
  <c r="L139" i="33" s="1"/>
  <c r="L54" i="33" a="1"/>
  <c r="L54" i="33" s="1"/>
  <c r="L411" i="33" a="1"/>
  <c r="L411" i="33" s="1"/>
  <c r="L464" i="33" a="1"/>
  <c r="L464" i="33" s="1"/>
  <c r="L125" i="33" a="1"/>
  <c r="L125" i="33" s="1"/>
  <c r="L140" i="33" a="1"/>
  <c r="L140" i="33" s="1"/>
  <c r="L499" i="33" a="1"/>
  <c r="L499" i="33" s="1"/>
  <c r="L501" i="33" a="1"/>
  <c r="L501" i="33" s="1"/>
  <c r="L197" i="33" a="1"/>
  <c r="L197" i="33" s="1"/>
  <c r="L479" i="33" a="1"/>
  <c r="L479" i="33" s="1"/>
  <c r="L458" i="33" a="1"/>
  <c r="L458" i="33" s="1"/>
  <c r="L453" i="33" a="1"/>
  <c r="L453" i="33" s="1"/>
  <c r="L462" i="33" a="1"/>
  <c r="L462" i="33" s="1"/>
  <c r="L208" i="33" a="1"/>
  <c r="L208" i="33" s="1"/>
  <c r="L277" i="33" a="1"/>
  <c r="L277" i="33" s="1"/>
  <c r="L488" i="33" a="1"/>
  <c r="L488" i="33" s="1"/>
  <c r="L256" i="33" a="1"/>
  <c r="L256" i="33" s="1"/>
  <c r="L228" i="33" a="1"/>
  <c r="L228" i="33" s="1"/>
  <c r="L138" i="33" a="1"/>
  <c r="L138" i="33" s="1"/>
  <c r="L494" i="33" a="1"/>
  <c r="L494" i="33" s="1"/>
  <c r="L63" i="33" a="1"/>
  <c r="L63" i="33" s="1"/>
  <c r="L98" i="33" a="1"/>
  <c r="L98" i="33" s="1"/>
  <c r="L422" i="33" a="1"/>
  <c r="L422" i="33" s="1"/>
  <c r="L19" i="33" a="1"/>
  <c r="L19" i="33" s="1"/>
  <c r="L404" i="33" a="1"/>
  <c r="L404" i="33" s="1"/>
  <c r="L446" i="33" a="1"/>
  <c r="L446" i="33" s="1"/>
  <c r="L447" i="33" a="1"/>
  <c r="L447" i="33" s="1"/>
  <c r="L500" i="33" a="1"/>
  <c r="L500" i="33" s="1"/>
  <c r="L502" i="33" a="1"/>
  <c r="L502" i="33" s="1"/>
  <c r="L526" i="33" a="1"/>
  <c r="L526" i="33" s="1"/>
  <c r="L83" i="33" a="1"/>
  <c r="L83" i="33" s="1"/>
  <c r="L505" i="33" a="1"/>
  <c r="L505" i="33" s="1"/>
  <c r="L310" i="33" a="1"/>
  <c r="L310" i="33" s="1"/>
  <c r="L461" i="33" a="1"/>
  <c r="L461" i="33" s="1"/>
  <c r="L216" i="33" a="1"/>
  <c r="L216" i="33" s="1"/>
  <c r="L153" i="33" a="1"/>
  <c r="L153" i="33" s="1"/>
  <c r="L434" i="33" a="1"/>
  <c r="L434" i="33" s="1"/>
  <c r="L485" i="33" a="1"/>
  <c r="L485" i="33" s="1"/>
  <c r="L232" i="33" a="1"/>
  <c r="L232" i="33" s="1"/>
  <c r="L329" i="33" a="1"/>
  <c r="L329" i="33" s="1"/>
  <c r="L419" i="33" a="1"/>
  <c r="L419" i="33" s="1"/>
  <c r="L322" i="33" a="1"/>
  <c r="L322" i="33" s="1"/>
  <c r="L471" i="33" a="1"/>
  <c r="L471" i="33" s="1"/>
  <c r="L333" i="33" a="1"/>
  <c r="L333" i="33" s="1"/>
  <c r="L156" i="33" a="1"/>
  <c r="L156" i="33" s="1"/>
  <c r="L449" i="33" a="1"/>
  <c r="L449" i="33" s="1"/>
  <c r="L77" i="33" a="1"/>
  <c r="L77" i="33" s="1"/>
  <c r="L401" i="33" a="1"/>
  <c r="L401" i="33" s="1"/>
  <c r="L452" i="33" a="1"/>
  <c r="L452" i="33" s="1"/>
  <c r="L69" i="33" a="1"/>
  <c r="L69" i="33" s="1"/>
  <c r="L445" i="33" a="1"/>
  <c r="L445" i="33" s="1"/>
  <c r="L523" i="33" a="1"/>
  <c r="L523" i="33" s="1"/>
  <c r="L70" i="33" a="1"/>
  <c r="L70" i="33" s="1"/>
  <c r="L244" i="33" a="1"/>
  <c r="L244" i="33" s="1"/>
  <c r="L493" i="33" a="1"/>
  <c r="L493" i="33" s="1"/>
  <c r="L285" i="33" a="1"/>
  <c r="L285" i="33" s="1"/>
  <c r="L274" i="33" a="1"/>
  <c r="L274" i="33" s="1"/>
  <c r="L226" i="33" a="1"/>
  <c r="L226" i="33" s="1"/>
  <c r="L189" i="33" a="1"/>
  <c r="L189" i="33" s="1"/>
  <c r="L199" i="33" a="1"/>
  <c r="L199" i="33" s="1"/>
  <c r="L481" i="33" a="1"/>
  <c r="L481" i="33" s="1"/>
  <c r="L414" i="33" a="1"/>
  <c r="L414" i="33" s="1"/>
  <c r="L392" i="33" a="1"/>
  <c r="L392" i="33" s="1"/>
  <c r="L496" i="33" a="1"/>
  <c r="L496" i="33" s="1"/>
  <c r="L337" i="33" a="1"/>
  <c r="L337" i="33" s="1"/>
  <c r="L470" i="33" a="1"/>
  <c r="L470" i="33" s="1"/>
  <c r="L378" i="33" a="1"/>
  <c r="L378" i="33" s="1"/>
  <c r="L495" i="33" a="1"/>
  <c r="L495" i="33" s="1"/>
  <c r="L297" i="33" a="1"/>
  <c r="L297" i="33" s="1"/>
  <c r="L251" i="33" a="1"/>
  <c r="L251" i="33" s="1"/>
  <c r="L489" i="33" a="1"/>
  <c r="L489" i="33" s="1"/>
  <c r="L260" i="33" a="1"/>
  <c r="L260" i="33" s="1"/>
  <c r="L242" i="33" a="1"/>
  <c r="L242" i="33" s="1"/>
  <c r="L237" i="33" a="1"/>
  <c r="L237" i="33" s="1"/>
  <c r="L93" i="33" a="1"/>
  <c r="L93" i="33" s="1"/>
  <c r="L283" i="33" a="1"/>
  <c r="L283" i="33" s="1"/>
  <c r="L32" i="33" a="1"/>
  <c r="L32" i="33" s="1"/>
  <c r="L437" i="33" a="1"/>
  <c r="L437" i="33" s="1"/>
  <c r="L183" i="33" a="1"/>
  <c r="L183" i="33" s="1"/>
  <c r="L328" i="33" a="1"/>
  <c r="L328" i="33" s="1"/>
  <c r="L367" i="33" a="1"/>
  <c r="L367" i="33" s="1"/>
  <c r="L374" i="33" a="1"/>
  <c r="L374" i="33" s="1"/>
  <c r="L306" i="33" a="1"/>
  <c r="L306" i="33" s="1"/>
  <c r="L480" i="33" a="1"/>
  <c r="L480" i="33" s="1"/>
  <c r="L345" i="33" a="1"/>
  <c r="L345" i="33" s="1"/>
  <c r="L141" i="33" a="1"/>
  <c r="L141" i="33" s="1"/>
  <c r="L30" i="33" a="1"/>
  <c r="L30" i="33" s="1"/>
  <c r="L351" i="33" a="1"/>
  <c r="L351" i="33" s="1"/>
  <c r="L317" i="33" a="1"/>
  <c r="L317" i="33" s="1"/>
  <c r="L344" i="33" a="1"/>
  <c r="L344" i="33" s="1"/>
  <c r="L369" i="33" a="1"/>
  <c r="L369" i="33" s="1"/>
  <c r="L484" i="33" a="1"/>
  <c r="L484" i="33" s="1"/>
  <c r="L396" i="33" a="1"/>
  <c r="L396" i="33" s="1"/>
  <c r="L463" i="33" a="1"/>
  <c r="L463" i="33" s="1"/>
  <c r="L126" i="33" a="1"/>
  <c r="L126" i="33" s="1"/>
  <c r="L573" i="33" a="1"/>
  <c r="L573" i="33" s="1"/>
  <c r="L448" i="33" a="1"/>
  <c r="L448" i="33" s="1"/>
  <c r="L299" i="33" a="1"/>
  <c r="L299" i="33" s="1"/>
  <c r="L423" i="33" a="1"/>
  <c r="L423" i="33" s="1"/>
  <c r="L361" i="33" a="1"/>
  <c r="L361" i="33" s="1"/>
  <c r="L475" i="33" a="1"/>
  <c r="L475" i="33" s="1"/>
  <c r="L268" i="33" a="1"/>
  <c r="L268" i="33" s="1"/>
  <c r="L410" i="33" a="1"/>
  <c r="L410" i="33" s="1"/>
  <c r="L308" i="33" a="1"/>
  <c r="L308" i="33" s="1"/>
  <c r="L433" i="33" a="1"/>
  <c r="L433" i="33" s="1"/>
  <c r="L431" i="33" a="1"/>
  <c r="L431" i="33" s="1"/>
  <c r="L21" i="33" a="1"/>
  <c r="L21" i="33" s="1"/>
  <c r="L282" i="33" a="1"/>
  <c r="L282" i="33" s="1"/>
  <c r="L248" i="33" a="1"/>
  <c r="L248" i="33" s="1"/>
  <c r="L304" i="33" a="1"/>
  <c r="L304" i="33" s="1"/>
  <c r="L575" i="33" a="1"/>
  <c r="L575" i="33" s="1"/>
  <c r="G575" i="33" a="1"/>
  <c r="G575" i="33" s="1"/>
  <c r="G51" i="33" a="1"/>
  <c r="G51" i="33" s="1"/>
  <c r="G87" i="33" a="1"/>
  <c r="G87" i="33" s="1"/>
  <c r="G377" i="33" a="1"/>
  <c r="G377" i="33" s="1"/>
  <c r="G55" i="33" a="1"/>
  <c r="G55" i="33" s="1"/>
  <c r="G134" i="33" a="1"/>
  <c r="G134" i="33" s="1"/>
  <c r="G602" i="33" a="1"/>
  <c r="G602" i="33" s="1"/>
  <c r="G124" i="33" a="1"/>
  <c r="G124" i="33" s="1"/>
  <c r="G315" i="33" a="1"/>
  <c r="G315" i="33" s="1"/>
  <c r="G24" i="33" a="1"/>
  <c r="G24" i="33" s="1"/>
  <c r="G383" i="33" a="1"/>
  <c r="G383" i="33" s="1"/>
  <c r="G17" i="33" a="1"/>
  <c r="G17" i="33" s="1"/>
  <c r="G143" i="33" a="1"/>
  <c r="G143" i="33" s="1"/>
  <c r="G84" i="33" a="1"/>
  <c r="G84" i="33" s="1"/>
  <c r="G137" i="33" a="1"/>
  <c r="G137" i="33" s="1"/>
  <c r="G139" i="33" a="1"/>
  <c r="G139" i="33" s="1"/>
  <c r="G54" i="33" a="1"/>
  <c r="G54" i="33" s="1"/>
  <c r="G411" i="33" a="1"/>
  <c r="G411" i="33" s="1"/>
  <c r="G464" i="33" a="1"/>
  <c r="G464" i="33" s="1"/>
  <c r="G125" i="33" a="1"/>
  <c r="G125" i="33" s="1"/>
  <c r="G140" i="33" a="1"/>
  <c r="G140" i="33" s="1"/>
  <c r="G499" i="33" a="1"/>
  <c r="G499" i="33" s="1"/>
  <c r="G501" i="33" a="1"/>
  <c r="G501" i="33" s="1"/>
  <c r="G197" i="33" a="1"/>
  <c r="G197" i="33" s="1"/>
  <c r="G479" i="33" a="1"/>
  <c r="G479" i="33" s="1"/>
  <c r="G458" i="33" a="1"/>
  <c r="G458" i="33" s="1"/>
  <c r="G453" i="33" a="1"/>
  <c r="G453" i="33" s="1"/>
  <c r="G462" i="33" a="1"/>
  <c r="G462" i="33" s="1"/>
  <c r="G208" i="33" a="1"/>
  <c r="G208" i="33" s="1"/>
  <c r="G277" i="33" a="1"/>
  <c r="G277" i="33" s="1"/>
  <c r="G488" i="33" a="1"/>
  <c r="G488" i="33" s="1"/>
  <c r="G256" i="33" a="1"/>
  <c r="G256" i="33" s="1"/>
  <c r="G228" i="33" a="1"/>
  <c r="G228" i="33" s="1"/>
  <c r="G138" i="33" a="1"/>
  <c r="G138" i="33" s="1"/>
  <c r="G494" i="33" a="1"/>
  <c r="G494" i="33" s="1"/>
  <c r="G63" i="33" a="1"/>
  <c r="G63" i="33" s="1"/>
  <c r="G98" i="33" a="1"/>
  <c r="G98" i="33" s="1"/>
  <c r="G422" i="33" a="1"/>
  <c r="G422" i="33" s="1"/>
  <c r="G19" i="33" a="1"/>
  <c r="G19" i="33" s="1"/>
  <c r="G404" i="33" a="1"/>
  <c r="G404" i="33" s="1"/>
  <c r="G446" i="33" a="1"/>
  <c r="G446" i="33" s="1"/>
  <c r="G447" i="33" a="1"/>
  <c r="G447" i="33" s="1"/>
  <c r="G500" i="33" a="1"/>
  <c r="G500" i="33" s="1"/>
  <c r="G502" i="33" a="1"/>
  <c r="G502" i="33" s="1"/>
  <c r="G526" i="33" a="1"/>
  <c r="G526" i="33" s="1"/>
  <c r="G83" i="33" a="1"/>
  <c r="G83" i="33" s="1"/>
  <c r="G505" i="33" a="1"/>
  <c r="G505" i="33" s="1"/>
  <c r="G310" i="33" a="1"/>
  <c r="G310" i="33" s="1"/>
  <c r="G461" i="33" a="1"/>
  <c r="G461" i="33" s="1"/>
  <c r="G216" i="33" a="1"/>
  <c r="G216" i="33" s="1"/>
  <c r="G153" i="33" a="1"/>
  <c r="G153" i="33" s="1"/>
  <c r="G434" i="33" a="1"/>
  <c r="G434" i="33" s="1"/>
  <c r="G485" i="33" a="1"/>
  <c r="G485" i="33" s="1"/>
  <c r="G232" i="33" a="1"/>
  <c r="G232" i="33" s="1"/>
  <c r="G329" i="33" a="1"/>
  <c r="G329" i="33" s="1"/>
  <c r="G419" i="33" a="1"/>
  <c r="G419" i="33" s="1"/>
  <c r="G322" i="33" a="1"/>
  <c r="G322" i="33" s="1"/>
  <c r="G471" i="33" a="1"/>
  <c r="G471" i="33" s="1"/>
  <c r="G333" i="33" a="1"/>
  <c r="G333" i="33" s="1"/>
  <c r="G156" i="33" a="1"/>
  <c r="G156" i="33" s="1"/>
  <c r="G449" i="33" a="1"/>
  <c r="G449" i="33" s="1"/>
  <c r="G77" i="33" a="1"/>
  <c r="G77" i="33" s="1"/>
  <c r="G401" i="33" a="1"/>
  <c r="G401" i="33" s="1"/>
  <c r="G452" i="33" a="1"/>
  <c r="G452" i="33" s="1"/>
  <c r="G69" i="33" a="1"/>
  <c r="G69" i="33" s="1"/>
  <c r="G445" i="33" a="1"/>
  <c r="G445" i="33" s="1"/>
  <c r="G523" i="33" a="1"/>
  <c r="G523" i="33" s="1"/>
  <c r="G70" i="33" a="1"/>
  <c r="G70" i="33" s="1"/>
  <c r="G244" i="33" a="1"/>
  <c r="G244" i="33" s="1"/>
  <c r="G493" i="33" a="1"/>
  <c r="G493" i="33" s="1"/>
  <c r="G285" i="33" a="1"/>
  <c r="G285" i="33" s="1"/>
  <c r="G274" i="33" a="1"/>
  <c r="G274" i="33" s="1"/>
  <c r="G226" i="33" a="1"/>
  <c r="G226" i="33" s="1"/>
  <c r="G189" i="33" a="1"/>
  <c r="G189" i="33" s="1"/>
  <c r="G199" i="33" a="1"/>
  <c r="G199" i="33" s="1"/>
  <c r="G481" i="33" a="1"/>
  <c r="G481" i="33" s="1"/>
  <c r="G414" i="33" a="1"/>
  <c r="G414" i="33" s="1"/>
  <c r="G392" i="33" a="1"/>
  <c r="G392" i="33" s="1"/>
  <c r="G496" i="33" a="1"/>
  <c r="G496" i="33" s="1"/>
  <c r="G337" i="33" a="1"/>
  <c r="G337" i="33" s="1"/>
  <c r="G470" i="33" a="1"/>
  <c r="G470" i="33" s="1"/>
  <c r="G378" i="33" a="1"/>
  <c r="G378" i="33" s="1"/>
  <c r="G495" i="33" a="1"/>
  <c r="G495" i="33" s="1"/>
  <c r="G297" i="33" a="1"/>
  <c r="G297" i="33" s="1"/>
  <c r="G251" i="33" a="1"/>
  <c r="G251" i="33" s="1"/>
  <c r="G489" i="33" a="1"/>
  <c r="G489" i="33" s="1"/>
  <c r="G260" i="33" a="1"/>
  <c r="G260" i="33" s="1"/>
  <c r="G242" i="33" a="1"/>
  <c r="G242" i="33" s="1"/>
  <c r="G237" i="33" a="1"/>
  <c r="G237" i="33" s="1"/>
  <c r="G93" i="33" a="1"/>
  <c r="G93" i="33" s="1"/>
  <c r="G283" i="33" a="1"/>
  <c r="G283" i="33" s="1"/>
  <c r="G32" i="33" a="1"/>
  <c r="G32" i="33" s="1"/>
  <c r="G437" i="33" a="1"/>
  <c r="G437" i="33" s="1"/>
  <c r="G183" i="33" a="1"/>
  <c r="G183" i="33" s="1"/>
  <c r="G328" i="33" a="1"/>
  <c r="G328" i="33" s="1"/>
  <c r="G367" i="33" a="1"/>
  <c r="G367" i="33" s="1"/>
  <c r="G374" i="33" a="1"/>
  <c r="G374" i="33" s="1"/>
  <c r="G306" i="33" a="1"/>
  <c r="G306" i="33" s="1"/>
  <c r="G480" i="33" a="1"/>
  <c r="G480" i="33" s="1"/>
  <c r="G345" i="33" a="1"/>
  <c r="G345" i="33" s="1"/>
  <c r="G141" i="33" a="1"/>
  <c r="G141" i="33" s="1"/>
  <c r="G30" i="33" a="1"/>
  <c r="G30" i="33" s="1"/>
  <c r="G351" i="33" a="1"/>
  <c r="G351" i="33" s="1"/>
  <c r="G317" i="33" a="1"/>
  <c r="G317" i="33" s="1"/>
  <c r="G344" i="33" a="1"/>
  <c r="G344" i="33" s="1"/>
  <c r="G369" i="33" a="1"/>
  <c r="G369" i="33" s="1"/>
  <c r="G484" i="33" a="1"/>
  <c r="G484" i="33" s="1"/>
  <c r="G396" i="33" a="1"/>
  <c r="G396" i="33" s="1"/>
  <c r="G463" i="33" a="1"/>
  <c r="G463" i="33" s="1"/>
  <c r="G126" i="33" a="1"/>
  <c r="G126" i="33" s="1"/>
  <c r="G573" i="33" a="1"/>
  <c r="G573" i="33" s="1"/>
  <c r="G448" i="33" a="1"/>
  <c r="G448" i="33" s="1"/>
  <c r="G299" i="33" a="1"/>
  <c r="G299" i="33" s="1"/>
  <c r="G423" i="33" a="1"/>
  <c r="G423" i="33" s="1"/>
  <c r="G361" i="33" a="1"/>
  <c r="G361" i="33" s="1"/>
  <c r="G475" i="33" a="1"/>
  <c r="G475" i="33" s="1"/>
  <c r="G268" i="33" a="1"/>
  <c r="G268" i="33" s="1"/>
  <c r="G410" i="33" a="1"/>
  <c r="G410" i="33" s="1"/>
  <c r="G308" i="33" a="1"/>
  <c r="G308" i="33" s="1"/>
  <c r="G433" i="33" a="1"/>
  <c r="G433" i="33" s="1"/>
  <c r="G431" i="33" a="1"/>
  <c r="G431" i="33" s="1"/>
  <c r="G21" i="33" a="1"/>
  <c r="G21" i="33" s="1"/>
  <c r="G282" i="33" a="1"/>
  <c r="G282" i="33" s="1"/>
  <c r="G248" i="33" a="1"/>
  <c r="G248" i="33" s="1"/>
  <c r="G304" i="33" a="1"/>
  <c r="G304" i="33" s="1"/>
  <c r="B304" i="33" a="1"/>
  <c r="B304" i="33" s="1"/>
  <c r="E304" i="33" a="1"/>
  <c r="E304" i="33" s="1"/>
  <c r="F304" i="33" a="1"/>
  <c r="F304" i="33" s="1"/>
  <c r="N304" i="33"/>
  <c r="B248" i="33" a="1"/>
  <c r="B248" i="33" s="1"/>
  <c r="E248" i="33" a="1"/>
  <c r="E248" i="33" s="1"/>
  <c r="F248" i="33" a="1"/>
  <c r="F248" i="33" s="1"/>
  <c r="N248" i="33"/>
  <c r="B282" i="33" a="1"/>
  <c r="B282" i="33" s="1"/>
  <c r="E282" i="33" a="1"/>
  <c r="E282" i="33" s="1"/>
  <c r="F282" i="33" a="1"/>
  <c r="F282" i="33" s="1"/>
  <c r="N282" i="33"/>
  <c r="B21" i="33" a="1"/>
  <c r="B21" i="33" s="1"/>
  <c r="E21" i="33" a="1"/>
  <c r="E21" i="33" s="1"/>
  <c r="F21" i="33" a="1"/>
  <c r="F21" i="33" s="1"/>
  <c r="N21" i="33"/>
  <c r="B431" i="33" a="1"/>
  <c r="B431" i="33" s="1"/>
  <c r="E431" i="33" a="1"/>
  <c r="E431" i="33" s="1"/>
  <c r="F431" i="33" a="1"/>
  <c r="F431" i="33" s="1"/>
  <c r="N431" i="33"/>
  <c r="B433" i="33" a="1"/>
  <c r="B433" i="33" s="1"/>
  <c r="E433" i="33" a="1"/>
  <c r="E433" i="33" s="1"/>
  <c r="F433" i="33" a="1"/>
  <c r="F433" i="33" s="1"/>
  <c r="N433" i="33"/>
  <c r="B308" i="33" a="1"/>
  <c r="B308" i="33" s="1"/>
  <c r="E308" i="33" a="1"/>
  <c r="E308" i="33" s="1"/>
  <c r="F308" i="33" a="1"/>
  <c r="F308" i="33" s="1"/>
  <c r="N308" i="33"/>
  <c r="B410" i="33" a="1"/>
  <c r="B410" i="33" s="1"/>
  <c r="E410" i="33" a="1"/>
  <c r="E410" i="33" s="1"/>
  <c r="F410" i="33" a="1"/>
  <c r="F410" i="33" s="1"/>
  <c r="N410" i="33"/>
  <c r="B268" i="33" a="1"/>
  <c r="B268" i="33" s="1"/>
  <c r="E268" i="33" a="1"/>
  <c r="E268" i="33" s="1"/>
  <c r="F268" i="33" a="1"/>
  <c r="F268" i="33" s="1"/>
  <c r="N268" i="33"/>
  <c r="B475" i="33" a="1"/>
  <c r="B475" i="33" s="1"/>
  <c r="E475" i="33" a="1"/>
  <c r="E475" i="33" s="1"/>
  <c r="F475" i="33" a="1"/>
  <c r="F475" i="33" s="1"/>
  <c r="N475" i="33"/>
  <c r="B361" i="33" a="1"/>
  <c r="B361" i="33" s="1"/>
  <c r="E361" i="33" a="1"/>
  <c r="E361" i="33" s="1"/>
  <c r="F361" i="33" a="1"/>
  <c r="F361" i="33" s="1"/>
  <c r="N361" i="33"/>
  <c r="E83" i="40" s="1"/>
  <c r="B423" i="33" a="1"/>
  <c r="B423" i="33" s="1"/>
  <c r="E423" i="33" a="1"/>
  <c r="E423" i="33" s="1"/>
  <c r="F423" i="33" a="1"/>
  <c r="F423" i="33" s="1"/>
  <c r="N423" i="33"/>
  <c r="E75" i="40" s="1"/>
  <c r="B299" i="33" a="1"/>
  <c r="B299" i="33" s="1"/>
  <c r="E299" i="33" a="1"/>
  <c r="E299" i="33" s="1"/>
  <c r="F299" i="33" a="1"/>
  <c r="F299" i="33" s="1"/>
  <c r="N299" i="33"/>
  <c r="B448" i="33" a="1"/>
  <c r="B448" i="33" s="1"/>
  <c r="E448" i="33" a="1"/>
  <c r="E448" i="33" s="1"/>
  <c r="F448" i="33" a="1"/>
  <c r="F448" i="33" s="1"/>
  <c r="N448" i="33"/>
  <c r="E43" i="40" s="1"/>
  <c r="B573" i="33" a="1"/>
  <c r="B573" i="33" s="1"/>
  <c r="E573" i="33" a="1"/>
  <c r="E573" i="33" s="1"/>
  <c r="F573" i="33" a="1"/>
  <c r="F573" i="33" s="1"/>
  <c r="N573" i="33"/>
  <c r="B126" i="33" a="1"/>
  <c r="B126" i="33" s="1"/>
  <c r="E126" i="33" a="1"/>
  <c r="E126" i="33" s="1"/>
  <c r="F126" i="33" a="1"/>
  <c r="F126" i="33" s="1"/>
  <c r="N126" i="33"/>
  <c r="B463" i="33" a="1"/>
  <c r="B463" i="33" s="1"/>
  <c r="E463" i="33" a="1"/>
  <c r="E463" i="33" s="1"/>
  <c r="F463" i="33" a="1"/>
  <c r="F463" i="33" s="1"/>
  <c r="N463" i="33"/>
  <c r="B396" i="33" a="1"/>
  <c r="B396" i="33" s="1"/>
  <c r="E396" i="33" a="1"/>
  <c r="E396" i="33" s="1"/>
  <c r="F396" i="33" a="1"/>
  <c r="F396" i="33" s="1"/>
  <c r="N396" i="33"/>
  <c r="B484" i="33" a="1"/>
  <c r="B484" i="33" s="1"/>
  <c r="E484" i="33" a="1"/>
  <c r="E484" i="33" s="1"/>
  <c r="F484" i="33" a="1"/>
  <c r="F484" i="33" s="1"/>
  <c r="N484" i="33"/>
  <c r="B369" i="33" a="1"/>
  <c r="B369" i="33" s="1"/>
  <c r="E369" i="33" a="1"/>
  <c r="E369" i="33" s="1"/>
  <c r="F369" i="33" a="1"/>
  <c r="F369" i="33" s="1"/>
  <c r="N369" i="33"/>
  <c r="B344" i="33" a="1"/>
  <c r="B344" i="33" s="1"/>
  <c r="E344" i="33" a="1"/>
  <c r="E344" i="33" s="1"/>
  <c r="F344" i="33" a="1"/>
  <c r="F344" i="33" s="1"/>
  <c r="N344" i="33"/>
  <c r="B317" i="33" a="1"/>
  <c r="B317" i="33" s="1"/>
  <c r="E317" i="33" a="1"/>
  <c r="E317" i="33" s="1"/>
  <c r="F317" i="33" a="1"/>
  <c r="F317" i="33" s="1"/>
  <c r="N317" i="33"/>
  <c r="B351" i="33" a="1"/>
  <c r="B351" i="33" s="1"/>
  <c r="E351" i="33" a="1"/>
  <c r="E351" i="33" s="1"/>
  <c r="F351" i="33" a="1"/>
  <c r="F351" i="33" s="1"/>
  <c r="N351" i="33"/>
  <c r="B30" i="33" a="1"/>
  <c r="B30" i="33" s="1"/>
  <c r="E30" i="33" a="1"/>
  <c r="E30" i="33" s="1"/>
  <c r="F30" i="33" a="1"/>
  <c r="F30" i="33" s="1"/>
  <c r="B141" i="33" a="1"/>
  <c r="B141" i="33" s="1"/>
  <c r="E141" i="33" a="1"/>
  <c r="E141" i="33" s="1"/>
  <c r="F141" i="33" a="1"/>
  <c r="F141" i="33" s="1"/>
  <c r="N141" i="33"/>
  <c r="B345" i="33" a="1"/>
  <c r="B345" i="33" s="1"/>
  <c r="E345" i="33" a="1"/>
  <c r="E345" i="33" s="1"/>
  <c r="F345" i="33" a="1"/>
  <c r="F345" i="33" s="1"/>
  <c r="N345" i="33"/>
  <c r="C18" i="31" a="1"/>
  <c r="C18" i="31" s="1"/>
  <c r="D18" i="31" a="1"/>
  <c r="D18" i="31" s="1"/>
  <c r="Q18" i="31"/>
  <c r="R18" i="31"/>
  <c r="U18" i="31"/>
  <c r="V18" i="31"/>
  <c r="AD18" i="31" s="1"/>
  <c r="W18" i="31"/>
  <c r="C452" i="31" a="1"/>
  <c r="C452" i="31" s="1"/>
  <c r="D452" i="31" a="1"/>
  <c r="D452" i="31" s="1"/>
  <c r="Q452" i="31"/>
  <c r="R452" i="31"/>
  <c r="U452" i="31"/>
  <c r="V452" i="31"/>
  <c r="AD452" i="31" s="1"/>
  <c r="W452" i="31"/>
  <c r="C444" i="31" a="1"/>
  <c r="C444" i="31" s="1"/>
  <c r="D444" i="31" a="1"/>
  <c r="D444" i="31" s="1"/>
  <c r="Q444" i="31"/>
  <c r="R444" i="31"/>
  <c r="U444" i="31"/>
  <c r="V444" i="31"/>
  <c r="AD444" i="31" s="1"/>
  <c r="W444" i="31"/>
  <c r="N499" i="33"/>
  <c r="N501" i="33"/>
  <c r="N197" i="33"/>
  <c r="N479" i="33"/>
  <c r="N458" i="33"/>
  <c r="F41" i="34" s="1"/>
  <c r="N453" i="33"/>
  <c r="N462" i="33"/>
  <c r="N488" i="33"/>
  <c r="N228" i="33"/>
  <c r="N138" i="33"/>
  <c r="N494" i="33"/>
  <c r="N63" i="33"/>
  <c r="N422" i="33"/>
  <c r="N19" i="33"/>
  <c r="N446" i="33"/>
  <c r="N447" i="33"/>
  <c r="N500" i="33"/>
  <c r="N502" i="33"/>
  <c r="N526" i="33"/>
  <c r="N83" i="33"/>
  <c r="N505" i="33"/>
  <c r="N310" i="33"/>
  <c r="N461" i="33"/>
  <c r="N216" i="33"/>
  <c r="N434" i="33"/>
  <c r="N485" i="33"/>
  <c r="N232" i="33"/>
  <c r="N329" i="33"/>
  <c r="N419" i="33"/>
  <c r="N322" i="33"/>
  <c r="N471" i="33"/>
  <c r="N333" i="33"/>
  <c r="N156" i="33"/>
  <c r="N449" i="33"/>
  <c r="N77" i="33"/>
  <c r="N401" i="33"/>
  <c r="N452" i="33"/>
  <c r="N69" i="33"/>
  <c r="N445" i="33"/>
  <c r="F45" i="34" s="1"/>
  <c r="N70" i="33"/>
  <c r="E19" i="40" s="1"/>
  <c r="N244" i="33"/>
  <c r="N493" i="33"/>
  <c r="N285" i="33"/>
  <c r="F48" i="34" s="1"/>
  <c r="N274" i="33"/>
  <c r="N226" i="33"/>
  <c r="N189" i="33"/>
  <c r="N199" i="33"/>
  <c r="N481" i="33"/>
  <c r="N414" i="33"/>
  <c r="N392" i="33"/>
  <c r="N496" i="33"/>
  <c r="N337" i="33"/>
  <c r="N470" i="33"/>
  <c r="N378" i="33"/>
  <c r="N495" i="33"/>
  <c r="E23" i="40" s="1"/>
  <c r="N297" i="33"/>
  <c r="N251" i="33"/>
  <c r="N489" i="33"/>
  <c r="N260" i="33"/>
  <c r="N237" i="33"/>
  <c r="N93" i="33"/>
  <c r="N437" i="33"/>
  <c r="E71" i="40" s="1"/>
  <c r="N328" i="33"/>
  <c r="N367" i="33"/>
  <c r="N374" i="33"/>
  <c r="N306" i="33"/>
  <c r="N480" i="33"/>
  <c r="C200" i="31" a="1"/>
  <c r="C200" i="31" s="1"/>
  <c r="D200" i="31" a="1"/>
  <c r="D200" i="31" s="1"/>
  <c r="Q200" i="31"/>
  <c r="R200" i="31"/>
  <c r="U200" i="31"/>
  <c r="V200" i="31"/>
  <c r="AD200" i="31" s="1"/>
  <c r="W200" i="31"/>
  <c r="C226" i="31" a="1"/>
  <c r="C226" i="31" s="1"/>
  <c r="C225" i="31" a="1"/>
  <c r="C225" i="31" s="1"/>
  <c r="C223" i="31" a="1"/>
  <c r="C223" i="31" s="1"/>
  <c r="D226" i="31" a="1"/>
  <c r="D226" i="31" s="1"/>
  <c r="D225" i="31" a="1"/>
  <c r="D225" i="31" s="1"/>
  <c r="D223" i="31" a="1"/>
  <c r="D223" i="31" s="1"/>
  <c r="Q226" i="31"/>
  <c r="Q225" i="31"/>
  <c r="Q223" i="31"/>
  <c r="R226" i="31"/>
  <c r="R225" i="31"/>
  <c r="R223" i="31"/>
  <c r="U226" i="31"/>
  <c r="U225" i="31"/>
  <c r="U223" i="31"/>
  <c r="V226" i="31"/>
  <c r="AD226" i="31" s="1"/>
  <c r="V225" i="31"/>
  <c r="AD225" i="31" s="1"/>
  <c r="V223" i="31"/>
  <c r="AD223" i="31" s="1"/>
  <c r="W226" i="31"/>
  <c r="W225" i="31"/>
  <c r="W223" i="31"/>
  <c r="C227" i="31" a="1"/>
  <c r="C227" i="31" s="1"/>
  <c r="D227" i="31" a="1"/>
  <c r="D227" i="31" s="1"/>
  <c r="Q227" i="31"/>
  <c r="R227" i="31"/>
  <c r="U227" i="31"/>
  <c r="V227" i="31"/>
  <c r="AD227" i="31" s="1"/>
  <c r="W227" i="31"/>
  <c r="C128" i="31" a="1"/>
  <c r="C128" i="31" s="1"/>
  <c r="D128" i="31" a="1"/>
  <c r="D128" i="31" s="1"/>
  <c r="Q128" i="31"/>
  <c r="R128" i="31"/>
  <c r="U128" i="31"/>
  <c r="V128" i="31"/>
  <c r="AD128" i="31" s="1"/>
  <c r="W128" i="31"/>
  <c r="C199" i="31" a="1"/>
  <c r="C199" i="31" s="1"/>
  <c r="D199" i="31" a="1"/>
  <c r="D199" i="31" s="1"/>
  <c r="Q199" i="31"/>
  <c r="R199" i="31"/>
  <c r="U199" i="31"/>
  <c r="V199" i="31"/>
  <c r="AD199" i="31" s="1"/>
  <c r="W199" i="31"/>
  <c r="C224" i="31" a="1"/>
  <c r="C224" i="31" s="1"/>
  <c r="D224" i="31" a="1"/>
  <c r="D224" i="31" s="1"/>
  <c r="Q224" i="31"/>
  <c r="R224" i="31"/>
  <c r="U224" i="31"/>
  <c r="V224" i="31"/>
  <c r="AD224" i="31" s="1"/>
  <c r="W224" i="31"/>
  <c r="C447" i="31" a="1"/>
  <c r="C447" i="31" s="1"/>
  <c r="D447" i="31" a="1"/>
  <c r="D447" i="31" s="1"/>
  <c r="Q447" i="31"/>
  <c r="R447" i="31"/>
  <c r="U447" i="31"/>
  <c r="V447" i="31"/>
  <c r="AD447" i="31" s="1"/>
  <c r="W447" i="31"/>
  <c r="C20" i="31" a="1"/>
  <c r="C20" i="31" s="1"/>
  <c r="D20" i="31" a="1"/>
  <c r="D20" i="31" s="1"/>
  <c r="Q20" i="31"/>
  <c r="R20" i="31"/>
  <c r="U20" i="31"/>
  <c r="V20" i="31"/>
  <c r="W20" i="31"/>
  <c r="C37" i="31" a="1"/>
  <c r="C37" i="31" s="1"/>
  <c r="D37" i="31" a="1"/>
  <c r="D37" i="31" s="1"/>
  <c r="Q37" i="31"/>
  <c r="R37" i="31"/>
  <c r="U37" i="31"/>
  <c r="V37" i="31"/>
  <c r="W37" i="31"/>
  <c r="C41" i="31" a="1"/>
  <c r="C41" i="31" s="1"/>
  <c r="D41" i="31" a="1"/>
  <c r="D41" i="31" s="1"/>
  <c r="Q41" i="31"/>
  <c r="R41" i="31"/>
  <c r="U41" i="31"/>
  <c r="V41" i="31"/>
  <c r="W41" i="31"/>
  <c r="C48" i="31" a="1"/>
  <c r="C48" i="31" s="1"/>
  <c r="D48" i="31" a="1"/>
  <c r="D48" i="31" s="1"/>
  <c r="Q48" i="31"/>
  <c r="R48" i="31"/>
  <c r="U48" i="31"/>
  <c r="V48" i="31"/>
  <c r="W48" i="31"/>
  <c r="C194" i="31" a="1"/>
  <c r="C194" i="31" s="1"/>
  <c r="D194" i="31" a="1"/>
  <c r="D194" i="31" s="1"/>
  <c r="Q194" i="31"/>
  <c r="R194" i="31"/>
  <c r="U194" i="31"/>
  <c r="V194" i="31"/>
  <c r="AD194" i="31" s="1"/>
  <c r="W194" i="31"/>
  <c r="C8" i="31" a="1"/>
  <c r="C8" i="31" s="1"/>
  <c r="D8" i="31" a="1"/>
  <c r="D8" i="31" s="1"/>
  <c r="Q8" i="31"/>
  <c r="R8" i="31"/>
  <c r="U8" i="31"/>
  <c r="V8" i="31"/>
  <c r="AD8" i="31" s="1"/>
  <c r="W8" i="31"/>
  <c r="B480" i="33" a="1"/>
  <c r="B480" i="33" s="1"/>
  <c r="E480" i="33" a="1"/>
  <c r="E480" i="33" s="1"/>
  <c r="F480" i="33" a="1"/>
  <c r="F480" i="33" s="1"/>
  <c r="B306" i="33" a="1"/>
  <c r="B306" i="33" s="1"/>
  <c r="E306" i="33" a="1"/>
  <c r="E306" i="33" s="1"/>
  <c r="F306" i="33" a="1"/>
  <c r="F306" i="33" s="1"/>
  <c r="B374" i="33" a="1"/>
  <c r="B374" i="33" s="1"/>
  <c r="E374" i="33" a="1"/>
  <c r="E374" i="33" s="1"/>
  <c r="F374" i="33" a="1"/>
  <c r="F374" i="33" s="1"/>
  <c r="B367" i="33" a="1"/>
  <c r="B367" i="33" s="1"/>
  <c r="E367" i="33" a="1"/>
  <c r="E367" i="33" s="1"/>
  <c r="F367" i="33" a="1"/>
  <c r="F367" i="33" s="1"/>
  <c r="B328" i="33" a="1"/>
  <c r="B328" i="33" s="1"/>
  <c r="E328" i="33" a="1"/>
  <c r="E328" i="33" s="1"/>
  <c r="F328" i="33" a="1"/>
  <c r="F328" i="33" s="1"/>
  <c r="C33" i="31" a="1"/>
  <c r="C33" i="31" s="1"/>
  <c r="D33" i="31" a="1"/>
  <c r="D33" i="31" s="1"/>
  <c r="Q33" i="31"/>
  <c r="R33" i="31"/>
  <c r="U33" i="31"/>
  <c r="V33" i="31"/>
  <c r="AD33" i="31" s="1"/>
  <c r="W33" i="31"/>
  <c r="B183" i="33" a="1"/>
  <c r="B183" i="33" s="1"/>
  <c r="E183" i="33" a="1"/>
  <c r="E183" i="33" s="1"/>
  <c r="F183" i="33" a="1"/>
  <c r="F183" i="33" s="1"/>
  <c r="C243" i="31" a="1"/>
  <c r="C243" i="31" s="1"/>
  <c r="D243" i="31" a="1"/>
  <c r="D243" i="31" s="1"/>
  <c r="Q243" i="31"/>
  <c r="R243" i="31"/>
  <c r="U243" i="31"/>
  <c r="V243" i="31"/>
  <c r="AD243" i="31" s="1"/>
  <c r="W243" i="31"/>
  <c r="C306" i="31" a="1"/>
  <c r="C306" i="31" s="1"/>
  <c r="D306" i="31" a="1"/>
  <c r="D306" i="31" s="1"/>
  <c r="Q306" i="31"/>
  <c r="R306" i="31"/>
  <c r="U306" i="31"/>
  <c r="V306" i="31"/>
  <c r="AD306" i="31" s="1"/>
  <c r="W306" i="31"/>
  <c r="C258" i="31" a="1"/>
  <c r="C258" i="31" s="1"/>
  <c r="D258" i="31" a="1"/>
  <c r="D258" i="31" s="1"/>
  <c r="Q258" i="31"/>
  <c r="R258" i="31"/>
  <c r="U258" i="31"/>
  <c r="V258" i="31"/>
  <c r="AD258" i="31" s="1"/>
  <c r="W258" i="31"/>
  <c r="C86" i="31" a="1"/>
  <c r="C86" i="31" s="1"/>
  <c r="D86" i="31" a="1"/>
  <c r="D86" i="31" s="1"/>
  <c r="Q86" i="31"/>
  <c r="R86" i="31"/>
  <c r="U86" i="31"/>
  <c r="V86" i="31"/>
  <c r="AD86" i="31" s="1"/>
  <c r="W86" i="31"/>
  <c r="C145" i="31" a="1"/>
  <c r="C145" i="31" s="1"/>
  <c r="D145" i="31" a="1"/>
  <c r="D145" i="31" s="1"/>
  <c r="Q145" i="31"/>
  <c r="R145" i="31"/>
  <c r="U145" i="31"/>
  <c r="V145" i="31"/>
  <c r="AD145" i="31" s="1"/>
  <c r="W145" i="31"/>
  <c r="C139" i="31" a="1"/>
  <c r="C139" i="31" s="1"/>
  <c r="D139" i="31" a="1"/>
  <c r="D139" i="31" s="1"/>
  <c r="Q139" i="31"/>
  <c r="R139" i="31"/>
  <c r="U139" i="31"/>
  <c r="V139" i="31"/>
  <c r="AD139" i="31" s="1"/>
  <c r="W139" i="31"/>
  <c r="C91" i="31" a="1"/>
  <c r="C91" i="31" s="1"/>
  <c r="D91" i="31" a="1"/>
  <c r="D91" i="31" s="1"/>
  <c r="Q91" i="31"/>
  <c r="R91" i="31"/>
  <c r="U91" i="31"/>
  <c r="V91" i="31"/>
  <c r="AD91" i="31" s="1"/>
  <c r="W91" i="31"/>
  <c r="C305" i="31" a="1"/>
  <c r="C305" i="31" s="1"/>
  <c r="D305" i="31" a="1"/>
  <c r="D305" i="31" s="1"/>
  <c r="Q305" i="31"/>
  <c r="R305" i="31"/>
  <c r="U305" i="31"/>
  <c r="V305" i="31"/>
  <c r="AD305" i="31" s="1"/>
  <c r="W305" i="31"/>
  <c r="C126" i="31" a="1"/>
  <c r="C126" i="31" s="1"/>
  <c r="D126" i="31" a="1"/>
  <c r="D126" i="31" s="1"/>
  <c r="Q126" i="31"/>
  <c r="R126" i="31"/>
  <c r="U126" i="31"/>
  <c r="V126" i="31"/>
  <c r="AD126" i="31" s="1"/>
  <c r="W126" i="31"/>
  <c r="C29" i="31" a="1"/>
  <c r="C29" i="31" s="1"/>
  <c r="D29" i="31" a="1"/>
  <c r="D29" i="31" s="1"/>
  <c r="Q29" i="31"/>
  <c r="R29" i="31"/>
  <c r="U29" i="31"/>
  <c r="V29" i="31"/>
  <c r="AD29" i="31" s="1"/>
  <c r="W29" i="31"/>
  <c r="C38" i="31" a="1"/>
  <c r="C38" i="31" s="1"/>
  <c r="D38" i="31" a="1"/>
  <c r="D38" i="31" s="1"/>
  <c r="Q38" i="31"/>
  <c r="R38" i="31"/>
  <c r="U38" i="31"/>
  <c r="V38" i="31"/>
  <c r="AD38" i="31" s="1"/>
  <c r="W38" i="31"/>
  <c r="C34" i="31" a="1"/>
  <c r="C34" i="31" s="1"/>
  <c r="D34" i="31" a="1"/>
  <c r="D34" i="31" s="1"/>
  <c r="Q34" i="31"/>
  <c r="R34" i="31"/>
  <c r="U34" i="31"/>
  <c r="V34" i="31"/>
  <c r="AD34" i="31" s="1"/>
  <c r="W34" i="31"/>
  <c r="C24" i="31" a="1"/>
  <c r="C24" i="31" s="1"/>
  <c r="D24" i="31" a="1"/>
  <c r="D24" i="31" s="1"/>
  <c r="Q24" i="31"/>
  <c r="R24" i="31"/>
  <c r="U24" i="31"/>
  <c r="V24" i="31"/>
  <c r="AD24" i="31" s="1"/>
  <c r="W24" i="31"/>
  <c r="C23" i="31" a="1"/>
  <c r="C23" i="31" s="1"/>
  <c r="D23" i="31" a="1"/>
  <c r="D23" i="31" s="1"/>
  <c r="Q23" i="31"/>
  <c r="R23" i="31"/>
  <c r="U23" i="31"/>
  <c r="V23" i="31"/>
  <c r="AD23" i="31" s="1"/>
  <c r="W23" i="31"/>
  <c r="C26" i="31" a="1"/>
  <c r="C26" i="31" s="1"/>
  <c r="D26" i="31" a="1"/>
  <c r="D26" i="31" s="1"/>
  <c r="Q26" i="31"/>
  <c r="R26" i="31"/>
  <c r="U26" i="31"/>
  <c r="V26" i="31"/>
  <c r="AD26" i="31" s="1"/>
  <c r="W26" i="31"/>
  <c r="C25" i="31" a="1"/>
  <c r="C25" i="31" s="1"/>
  <c r="D25" i="31" a="1"/>
  <c r="D25" i="31" s="1"/>
  <c r="Q25" i="31"/>
  <c r="R25" i="31"/>
  <c r="U25" i="31"/>
  <c r="V25" i="31"/>
  <c r="AD25" i="31" s="1"/>
  <c r="W25" i="31"/>
  <c r="C22" i="31" a="1"/>
  <c r="C22" i="31" s="1"/>
  <c r="D22" i="31" a="1"/>
  <c r="D22" i="31" s="1"/>
  <c r="Q22" i="31"/>
  <c r="R22" i="31"/>
  <c r="U22" i="31"/>
  <c r="V22" i="31"/>
  <c r="AD22" i="31" s="1"/>
  <c r="W22" i="31"/>
  <c r="C112" i="31" a="1"/>
  <c r="C112" i="31" s="1"/>
  <c r="D112" i="31" a="1"/>
  <c r="D112" i="31" s="1"/>
  <c r="Q112" i="31"/>
  <c r="R112" i="31"/>
  <c r="U112" i="31"/>
  <c r="D893" i="31" s="1"/>
  <c r="V112" i="31"/>
  <c r="AD112" i="31" s="1"/>
  <c r="W112" i="31"/>
  <c r="C21" i="31" a="1"/>
  <c r="C21" i="31" s="1"/>
  <c r="D21" i="31" a="1"/>
  <c r="D21" i="31" s="1"/>
  <c r="Q21" i="31"/>
  <c r="R21" i="31"/>
  <c r="U21" i="31"/>
  <c r="V21" i="31"/>
  <c r="AD21" i="31" s="1"/>
  <c r="W21" i="31"/>
  <c r="C17" i="31" a="1"/>
  <c r="C17" i="31" s="1"/>
  <c r="D17" i="31" a="1"/>
  <c r="D17" i="31" s="1"/>
  <c r="Q17" i="31"/>
  <c r="R17" i="31"/>
  <c r="U17" i="31"/>
  <c r="V17" i="31"/>
  <c r="AD17" i="31" s="1"/>
  <c r="W17" i="31"/>
  <c r="U6" i="31"/>
  <c r="U7" i="31"/>
  <c r="U12" i="31"/>
  <c r="U13" i="31"/>
  <c r="U14" i="31"/>
  <c r="U15" i="31"/>
  <c r="U16" i="31"/>
  <c r="C16" i="31" a="1"/>
  <c r="C16" i="31" s="1"/>
  <c r="D16" i="31" a="1"/>
  <c r="D16" i="31" s="1"/>
  <c r="Q16" i="31"/>
  <c r="R16" i="31"/>
  <c r="V16" i="31"/>
  <c r="AD16" i="31" s="1"/>
  <c r="W16" i="31"/>
  <c r="C15" i="31" a="1"/>
  <c r="C15" i="31" s="1"/>
  <c r="D15" i="31" a="1"/>
  <c r="D15" i="31" s="1"/>
  <c r="Q15" i="31"/>
  <c r="R15" i="31"/>
  <c r="V15" i="31"/>
  <c r="AD15" i="31" s="1"/>
  <c r="W15" i="31"/>
  <c r="C14" i="31" a="1"/>
  <c r="C14" i="31" s="1"/>
  <c r="D14" i="31" a="1"/>
  <c r="D14" i="31" s="1"/>
  <c r="Q14" i="31"/>
  <c r="R14" i="31"/>
  <c r="V14" i="31"/>
  <c r="AD14" i="31" s="1"/>
  <c r="W14" i="31"/>
  <c r="C13" i="31" a="1"/>
  <c r="C13" i="31" s="1"/>
  <c r="D13" i="31" a="1"/>
  <c r="D13" i="31" s="1"/>
  <c r="Q13" i="31"/>
  <c r="R13" i="31"/>
  <c r="V13" i="31"/>
  <c r="AD13" i="31" s="1"/>
  <c r="W13" i="31"/>
  <c r="B437" i="33" a="1"/>
  <c r="B437" i="33" s="1"/>
  <c r="E437" i="33" a="1"/>
  <c r="E437" i="33" s="1"/>
  <c r="F437" i="33" a="1"/>
  <c r="F437" i="33" s="1"/>
  <c r="W12" i="31"/>
  <c r="W6" i="31"/>
  <c r="W7" i="31"/>
  <c r="V7" i="31"/>
  <c r="AD7" i="31" s="1"/>
  <c r="V12" i="31"/>
  <c r="AD12" i="31" s="1"/>
  <c r="V6" i="31"/>
  <c r="AD6" i="31" s="1"/>
  <c r="C7" i="31" a="1"/>
  <c r="C7" i="31" s="1"/>
  <c r="D7" i="31" a="1"/>
  <c r="D7" i="31" s="1"/>
  <c r="Q7" i="31"/>
  <c r="R7" i="31"/>
  <c r="C12" i="31" a="1"/>
  <c r="C12" i="31" s="1"/>
  <c r="D12" i="31" a="1"/>
  <c r="D12" i="31" s="1"/>
  <c r="Q12" i="31"/>
  <c r="R12" i="31"/>
  <c r="E69" i="40" l="1"/>
  <c r="E9" i="40"/>
  <c r="K51" i="33"/>
  <c r="K411" i="33"/>
  <c r="K22" i="34"/>
  <c r="K84" i="33"/>
  <c r="K268" i="33"/>
  <c r="K361" i="33"/>
  <c r="K367" i="33"/>
  <c r="K481" i="33"/>
  <c r="K437" i="33"/>
  <c r="K54" i="33"/>
  <c r="K124" i="33"/>
  <c r="K21" i="33"/>
  <c r="K573" i="33"/>
  <c r="K446" i="33"/>
  <c r="K140" i="33"/>
  <c r="K315" i="33"/>
  <c r="K126" i="33"/>
  <c r="K216" i="33"/>
  <c r="K308" i="33"/>
  <c r="K464" i="33"/>
  <c r="K396" i="33"/>
  <c r="K463" i="33"/>
  <c r="K208" i="33"/>
  <c r="K24" i="33"/>
  <c r="K93" i="33"/>
  <c r="K493" i="33"/>
  <c r="K125" i="33"/>
  <c r="K285" i="33"/>
  <c r="J48" i="34" s="1"/>
  <c r="K48" i="34" s="1"/>
  <c r="K488" i="33"/>
  <c r="K484" i="33"/>
  <c r="K410" i="33"/>
  <c r="K471" i="33"/>
  <c r="K129" i="33"/>
  <c r="J34" i="34" s="1"/>
  <c r="K34" i="34" s="1"/>
  <c r="K329" i="33"/>
  <c r="K70" i="33"/>
  <c r="K505" i="33"/>
  <c r="K374" i="33"/>
  <c r="K143" i="33"/>
  <c r="K317" i="33"/>
  <c r="K183" i="33"/>
  <c r="K55" i="33"/>
  <c r="J17" i="34" s="1"/>
  <c r="K17" i="34" s="1"/>
  <c r="K523" i="33"/>
  <c r="K461" i="33"/>
  <c r="K453" i="33"/>
  <c r="K351" i="33"/>
  <c r="K139" i="33"/>
  <c r="K602" i="33"/>
  <c r="B869" i="31"/>
  <c r="K221" i="33"/>
  <c r="K434" i="33"/>
  <c r="K423" i="33"/>
  <c r="K449" i="33"/>
  <c r="K283" i="33"/>
  <c r="K322" i="33"/>
  <c r="K369" i="33"/>
  <c r="K502" i="33"/>
  <c r="K419" i="33"/>
  <c r="K475" i="33"/>
  <c r="K445" i="33"/>
  <c r="J45" i="34" s="1"/>
  <c r="K45" i="34" s="1"/>
  <c r="K304" i="33"/>
  <c r="K494" i="33"/>
  <c r="K83" i="33"/>
  <c r="AD37" i="31"/>
  <c r="AD48" i="31"/>
  <c r="K489" i="33"/>
  <c r="K328" i="33"/>
  <c r="K199" i="33"/>
  <c r="K526" i="33"/>
  <c r="K297" i="33"/>
  <c r="K492" i="33"/>
  <c r="K287" i="33"/>
  <c r="K301" i="33"/>
  <c r="K19" i="33"/>
  <c r="K392" i="33"/>
  <c r="K244" i="33"/>
  <c r="K333" i="33"/>
  <c r="K310" i="33"/>
  <c r="K422" i="33"/>
  <c r="J39" i="34" s="1"/>
  <c r="K39" i="34" s="1"/>
  <c r="K462" i="33"/>
  <c r="K485" i="33"/>
  <c r="K500" i="33"/>
  <c r="C19" i="34"/>
  <c r="K98" i="33"/>
  <c r="K378" i="33"/>
  <c r="K337" i="33"/>
  <c r="K458" i="33"/>
  <c r="J41" i="34" s="1"/>
  <c r="K41" i="34" s="1"/>
  <c r="K248" i="33"/>
  <c r="K69" i="33"/>
  <c r="K303" i="33"/>
  <c r="K448" i="33"/>
  <c r="K260" i="33"/>
  <c r="K251" i="33"/>
  <c r="K414" i="33"/>
  <c r="K479" i="33"/>
  <c r="K32" i="33"/>
  <c r="K134" i="33"/>
  <c r="K470" i="33"/>
  <c r="K226" i="33"/>
  <c r="K237" i="33"/>
  <c r="K404" i="33"/>
  <c r="K383" i="33"/>
  <c r="K373" i="33"/>
  <c r="K254" i="33"/>
  <c r="K60" i="33"/>
  <c r="K480" i="33"/>
  <c r="K431" i="33"/>
  <c r="K495" i="33"/>
  <c r="K153" i="33"/>
  <c r="K371" i="33"/>
  <c r="K87" i="33"/>
  <c r="K486" i="33"/>
  <c r="K280" i="33"/>
  <c r="K243" i="33"/>
  <c r="K282" i="33"/>
  <c r="K77" i="33"/>
  <c r="K499" i="33"/>
  <c r="K225" i="33"/>
  <c r="K165" i="33"/>
  <c r="K156" i="33"/>
  <c r="K17" i="33"/>
  <c r="K472" i="33"/>
  <c r="K276" i="33"/>
  <c r="K277" i="33"/>
  <c r="K306" i="33"/>
  <c r="K242" i="33"/>
  <c r="K344" i="33"/>
  <c r="K63" i="33"/>
  <c r="K387" i="33"/>
  <c r="K299" i="33"/>
  <c r="K232" i="33"/>
  <c r="K401" i="33"/>
  <c r="K501" i="33"/>
  <c r="K256" i="33"/>
  <c r="K433" i="33"/>
  <c r="K345" i="33"/>
  <c r="K189" i="33"/>
  <c r="K496" i="33"/>
  <c r="K197" i="33"/>
  <c r="K30" i="33"/>
  <c r="K377" i="33"/>
  <c r="K122" i="33"/>
  <c r="K76" i="33"/>
  <c r="K266" i="33"/>
  <c r="K286" i="33"/>
  <c r="K330" i="33"/>
  <c r="K575" i="33"/>
  <c r="K265" i="33"/>
  <c r="K263" i="33"/>
  <c r="K452" i="33"/>
  <c r="K405" i="33"/>
  <c r="K439" i="33"/>
  <c r="K95" i="33"/>
  <c r="K525" i="33"/>
  <c r="J14" i="34" s="1"/>
  <c r="K14" i="34" s="1"/>
  <c r="K274" i="33"/>
  <c r="K382" i="33"/>
  <c r="K336" i="33"/>
  <c r="K454" i="33"/>
  <c r="K138" i="33"/>
  <c r="K137" i="33"/>
  <c r="K228" i="33"/>
  <c r="K335" i="33"/>
  <c r="K141" i="33"/>
  <c r="K447" i="33"/>
  <c r="K348" i="33"/>
  <c r="K435" i="33"/>
  <c r="K314" i="33"/>
  <c r="K440" i="33"/>
  <c r="K362" i="33"/>
  <c r="K341" i="33"/>
  <c r="K436" i="33"/>
  <c r="K346" i="33"/>
  <c r="K376" i="33"/>
  <c r="K298" i="33"/>
  <c r="K430" i="33"/>
  <c r="K258" i="33"/>
  <c r="K395" i="33"/>
  <c r="K357" i="33"/>
  <c r="K157" i="33"/>
  <c r="K229" i="33"/>
  <c r="K270" i="33"/>
  <c r="K406" i="33"/>
  <c r="K320" i="33"/>
  <c r="K238" i="33"/>
  <c r="K438" i="33"/>
  <c r="K220" i="33"/>
  <c r="K316" i="33"/>
  <c r="K302" i="33"/>
  <c r="K354" i="33"/>
  <c r="K379" i="33"/>
  <c r="K230" i="33"/>
  <c r="K28" i="33"/>
  <c r="C12" i="34"/>
  <c r="C18" i="34"/>
  <c r="C29" i="34"/>
  <c r="AD20" i="31"/>
  <c r="AD41" i="31"/>
  <c r="C20" i="34"/>
  <c r="C31" i="34"/>
  <c r="C21" i="34"/>
  <c r="C32" i="34"/>
  <c r="C16" i="34"/>
  <c r="C11" i="34"/>
  <c r="C49" i="34"/>
  <c r="C35" i="34"/>
  <c r="C28" i="34"/>
  <c r="C44" i="34"/>
  <c r="C15" i="34"/>
  <c r="C30" i="34"/>
  <c r="C26" i="34"/>
  <c r="C37" i="34"/>
  <c r="C36" i="34"/>
  <c r="C13" i="34"/>
  <c r="C23" i="34"/>
  <c r="C24" i="34"/>
  <c r="D875" i="31"/>
  <c r="D876" i="31"/>
  <c r="D882" i="31"/>
  <c r="D878" i="31"/>
  <c r="D879" i="31"/>
  <c r="D877" i="31"/>
  <c r="D853" i="31"/>
  <c r="D896" i="31"/>
  <c r="D894" i="31"/>
  <c r="D889" i="31"/>
  <c r="D892" i="31"/>
  <c r="D890" i="31"/>
  <c r="D891" i="31"/>
  <c r="E40" i="40"/>
  <c r="E70" i="40"/>
  <c r="E81" i="40"/>
  <c r="F39" i="34"/>
  <c r="E59" i="40"/>
  <c r="E65" i="40"/>
  <c r="E54" i="40"/>
  <c r="E73" i="40"/>
  <c r="F21" i="34"/>
  <c r="D851" i="31"/>
  <c r="F16" i="34"/>
  <c r="F26" i="34"/>
  <c r="F35" i="34"/>
  <c r="F37" i="34"/>
  <c r="F44" i="34"/>
  <c r="D850" i="31"/>
  <c r="D849" i="31"/>
  <c r="D847" i="31"/>
  <c r="D848" i="31"/>
  <c r="D846" i="31"/>
  <c r="J248" i="33"/>
  <c r="J423" i="33"/>
  <c r="J317" i="33"/>
  <c r="J367" i="33"/>
  <c r="J260" i="33"/>
  <c r="J310" i="33"/>
  <c r="J373" i="33"/>
  <c r="J287" i="33"/>
  <c r="J254" i="33"/>
  <c r="J301" i="33"/>
  <c r="J376" i="33"/>
  <c r="J298" i="33"/>
  <c r="J238" i="33"/>
  <c r="J70" i="33"/>
  <c r="J471" i="33"/>
  <c r="J422" i="33"/>
  <c r="J462" i="33"/>
  <c r="J411" i="33"/>
  <c r="J24" i="33"/>
  <c r="J282" i="33"/>
  <c r="J299" i="33"/>
  <c r="J351" i="33"/>
  <c r="J328" i="33"/>
  <c r="J489" i="33"/>
  <c r="J414" i="33"/>
  <c r="J523" i="33"/>
  <c r="J322" i="33"/>
  <c r="J505" i="33"/>
  <c r="J98" i="33"/>
  <c r="J453" i="33"/>
  <c r="J54" i="33"/>
  <c r="J315" i="33"/>
  <c r="J220" i="33"/>
  <c r="J316" i="33"/>
  <c r="J302" i="33"/>
  <c r="J354" i="33"/>
  <c r="J379" i="33"/>
  <c r="J230" i="33"/>
  <c r="J21" i="33"/>
  <c r="J448" i="33"/>
  <c r="J30" i="33"/>
  <c r="J183" i="33"/>
  <c r="J251" i="33"/>
  <c r="J481" i="33"/>
  <c r="J445" i="33"/>
  <c r="J419" i="33"/>
  <c r="J83" i="33"/>
  <c r="J63" i="33"/>
  <c r="J458" i="33"/>
  <c r="J139" i="33"/>
  <c r="J43" i="34"/>
  <c r="K43" i="34" s="1"/>
  <c r="J124" i="33"/>
  <c r="J221" i="33"/>
  <c r="J243" i="33"/>
  <c r="J492" i="33"/>
  <c r="J225" i="33"/>
  <c r="J303" i="33"/>
  <c r="J382" i="33"/>
  <c r="J314" i="33"/>
  <c r="J440" i="33"/>
  <c r="J362" i="33"/>
  <c r="J341" i="33"/>
  <c r="J431" i="33"/>
  <c r="J573" i="33"/>
  <c r="J141" i="33"/>
  <c r="J297" i="33"/>
  <c r="J199" i="33"/>
  <c r="J69" i="33"/>
  <c r="J329" i="33"/>
  <c r="J526" i="33"/>
  <c r="J494" i="33"/>
  <c r="J479" i="33"/>
  <c r="J602" i="33"/>
  <c r="J265" i="33"/>
  <c r="J436" i="33"/>
  <c r="J346" i="33"/>
  <c r="J357" i="33"/>
  <c r="J433" i="33"/>
  <c r="J126" i="33"/>
  <c r="J437" i="33"/>
  <c r="J495" i="33"/>
  <c r="J189" i="33"/>
  <c r="J452" i="33"/>
  <c r="J232" i="33"/>
  <c r="J502" i="33"/>
  <c r="J138" i="33"/>
  <c r="J197" i="33"/>
  <c r="J137" i="33"/>
  <c r="J134" i="33"/>
  <c r="J486" i="33"/>
  <c r="J76" i="33"/>
  <c r="J280" i="33"/>
  <c r="J525" i="33"/>
  <c r="J165" i="33"/>
  <c r="J395" i="33"/>
  <c r="J387" i="33"/>
  <c r="J336" i="33"/>
  <c r="J430" i="33"/>
  <c r="J258" i="33"/>
  <c r="J157" i="33"/>
  <c r="J308" i="33"/>
  <c r="J463" i="33"/>
  <c r="J345" i="33"/>
  <c r="J32" i="33"/>
  <c r="J378" i="33"/>
  <c r="J226" i="33"/>
  <c r="J401" i="33"/>
  <c r="J485" i="33"/>
  <c r="J500" i="33"/>
  <c r="J228" i="33"/>
  <c r="J501" i="33"/>
  <c r="J84" i="33"/>
  <c r="J55" i="33"/>
  <c r="J95" i="33"/>
  <c r="J122" i="33"/>
  <c r="J438" i="33"/>
  <c r="J410" i="33"/>
  <c r="J396" i="33"/>
  <c r="J283" i="33"/>
  <c r="J470" i="33"/>
  <c r="J274" i="33"/>
  <c r="J77" i="33"/>
  <c r="J434" i="33"/>
  <c r="J447" i="33"/>
  <c r="J256" i="33"/>
  <c r="J499" i="33"/>
  <c r="J143" i="33"/>
  <c r="J377" i="33"/>
  <c r="J266" i="33"/>
  <c r="J335" i="33"/>
  <c r="J286" i="33"/>
  <c r="J229" i="33"/>
  <c r="J330" i="33"/>
  <c r="J270" i="33"/>
  <c r="J406" i="33"/>
  <c r="J320" i="33"/>
  <c r="J60" i="33"/>
  <c r="J28" i="33"/>
  <c r="J268" i="33"/>
  <c r="J484" i="33"/>
  <c r="J480" i="33"/>
  <c r="J93" i="33"/>
  <c r="J337" i="33"/>
  <c r="J285" i="33"/>
  <c r="J449" i="33"/>
  <c r="J153" i="33"/>
  <c r="J446" i="33"/>
  <c r="J488" i="33"/>
  <c r="J140" i="33"/>
  <c r="J17" i="33"/>
  <c r="J87" i="33"/>
  <c r="J129" i="33"/>
  <c r="J475" i="33"/>
  <c r="J369" i="33"/>
  <c r="J306" i="33"/>
  <c r="J237" i="33"/>
  <c r="J496" i="33"/>
  <c r="J493" i="33"/>
  <c r="J156" i="33"/>
  <c r="J216" i="33"/>
  <c r="J404" i="33"/>
  <c r="J277" i="33"/>
  <c r="J125" i="33"/>
  <c r="J51" i="33"/>
  <c r="J472" i="33"/>
  <c r="J371" i="33"/>
  <c r="J276" i="33"/>
  <c r="J263" i="33"/>
  <c r="J405" i="33"/>
  <c r="J348" i="33"/>
  <c r="J439" i="33"/>
  <c r="J435" i="33"/>
  <c r="J454" i="33"/>
  <c r="J304" i="33"/>
  <c r="J361" i="33"/>
  <c r="J344" i="33"/>
  <c r="J374" i="33"/>
  <c r="J242" i="33"/>
  <c r="J392" i="33"/>
  <c r="J244" i="33"/>
  <c r="J333" i="33"/>
  <c r="J461" i="33"/>
  <c r="J19" i="33"/>
  <c r="J208" i="33"/>
  <c r="J464" i="33"/>
  <c r="J383" i="33"/>
  <c r="J575" i="33"/>
  <c r="U2" i="31"/>
  <c r="S117" i="31"/>
  <c r="T117" i="31" s="1"/>
  <c r="Z96" i="31"/>
  <c r="S181" i="31"/>
  <c r="T181" i="31" s="1"/>
  <c r="S96" i="31"/>
  <c r="T96" i="31" s="1"/>
  <c r="X117" i="31"/>
  <c r="Y117" i="31" s="1"/>
  <c r="Z117" i="31"/>
  <c r="S180" i="31"/>
  <c r="T180" i="31" s="1"/>
  <c r="S295" i="31"/>
  <c r="T295" i="31" s="1"/>
  <c r="X96" i="31"/>
  <c r="Y96" i="31" s="1"/>
  <c r="X181" i="31"/>
  <c r="Y181" i="31" s="1"/>
  <c r="Z181" i="31"/>
  <c r="S56" i="31"/>
  <c r="T56" i="31" s="1"/>
  <c r="X180" i="31"/>
  <c r="Y180" i="31" s="1"/>
  <c r="Z180" i="31"/>
  <c r="Q28" i="33"/>
  <c r="X295" i="31"/>
  <c r="Y295" i="31" s="1"/>
  <c r="Z295" i="31"/>
  <c r="X56" i="31"/>
  <c r="Y56" i="31" s="1"/>
  <c r="Z56" i="31"/>
  <c r="S30" i="31"/>
  <c r="T30" i="31" s="1"/>
  <c r="Q357" i="33"/>
  <c r="Q157" i="33"/>
  <c r="Q438" i="33"/>
  <c r="S31" i="31"/>
  <c r="T31" i="31" s="1"/>
  <c r="Z31" i="31"/>
  <c r="X31" i="31"/>
  <c r="Y31" i="31" s="1"/>
  <c r="X30" i="31"/>
  <c r="Y30" i="31" s="1"/>
  <c r="Z30" i="31"/>
  <c r="S205" i="31"/>
  <c r="T205" i="31" s="1"/>
  <c r="Z176" i="31"/>
  <c r="S176" i="31"/>
  <c r="T176" i="31" s="1"/>
  <c r="M122" i="33" s="1"/>
  <c r="Q122" i="33"/>
  <c r="X176" i="31"/>
  <c r="Y176" i="31" s="1"/>
  <c r="Z205" i="31"/>
  <c r="X205" i="31"/>
  <c r="Y205" i="31" s="1"/>
  <c r="S200" i="31"/>
  <c r="T200" i="31" s="1"/>
  <c r="C1003" i="31" s="1"/>
  <c r="S19" i="31"/>
  <c r="T19" i="31" s="1"/>
  <c r="Q230" i="33"/>
  <c r="Q341" i="33"/>
  <c r="R341" i="33" s="1"/>
  <c r="Q379" i="33"/>
  <c r="R379" i="33" s="1"/>
  <c r="Q362" i="33"/>
  <c r="Q346" i="33"/>
  <c r="R346" i="33" s="1"/>
  <c r="Q258" i="33"/>
  <c r="R258" i="33" s="1"/>
  <c r="Q302" i="33"/>
  <c r="Q354" i="33"/>
  <c r="R354" i="33" s="1"/>
  <c r="Q238" i="33"/>
  <c r="R238" i="33" s="1"/>
  <c r="S443" i="31"/>
  <c r="T443" i="31" s="1"/>
  <c r="S98" i="31"/>
  <c r="T98" i="31" s="1"/>
  <c r="Q440" i="33"/>
  <c r="B79" i="40" s="1"/>
  <c r="Q314" i="33"/>
  <c r="Z98" i="31"/>
  <c r="X98" i="31"/>
  <c r="Y98" i="31" s="1"/>
  <c r="S51" i="31"/>
  <c r="T51" i="31" s="1"/>
  <c r="Z443" i="31"/>
  <c r="X443" i="31"/>
  <c r="Y443" i="31" s="1"/>
  <c r="Z51" i="31"/>
  <c r="X51" i="31"/>
  <c r="Y51" i="31" s="1"/>
  <c r="S35" i="31"/>
  <c r="T35" i="31" s="1"/>
  <c r="X35" i="31"/>
  <c r="Y35" i="31" s="1"/>
  <c r="Z35" i="31"/>
  <c r="S28" i="31"/>
  <c r="T28" i="31" s="1"/>
  <c r="S50" i="31"/>
  <c r="T50" i="31" s="1"/>
  <c r="Z28" i="31"/>
  <c r="X28" i="31"/>
  <c r="Y28" i="31" s="1"/>
  <c r="S440" i="31"/>
  <c r="T440" i="31" s="1"/>
  <c r="S27" i="31"/>
  <c r="T27" i="31" s="1"/>
  <c r="Q454" i="33"/>
  <c r="X27" i="31"/>
  <c r="Y27" i="31" s="1"/>
  <c r="Z27" i="31"/>
  <c r="Q436" i="33"/>
  <c r="R436" i="33" s="1"/>
  <c r="Q316" i="33"/>
  <c r="Q430" i="33"/>
  <c r="R430" i="33" s="1"/>
  <c r="Q129" i="33"/>
  <c r="Q95" i="33"/>
  <c r="Q220" i="33"/>
  <c r="R220" i="33" s="1"/>
  <c r="Q60" i="33"/>
  <c r="Z440" i="31"/>
  <c r="X440" i="31"/>
  <c r="Y440" i="31" s="1"/>
  <c r="Q336" i="33"/>
  <c r="R336" i="33" s="1"/>
  <c r="Q265" i="33"/>
  <c r="R265" i="33" s="1"/>
  <c r="Q406" i="33"/>
  <c r="R406" i="33" s="1"/>
  <c r="Q348" i="33"/>
  <c r="Q435" i="33"/>
  <c r="Q387" i="33"/>
  <c r="Q87" i="33"/>
  <c r="Q377" i="33"/>
  <c r="Q303" i="33"/>
  <c r="B17" i="40" s="1"/>
  <c r="Q492" i="33"/>
  <c r="R492" i="33" s="1"/>
  <c r="Q221" i="33"/>
  <c r="Q232" i="33"/>
  <c r="R232" i="33" s="1"/>
  <c r="Q489" i="33"/>
  <c r="R489" i="33" s="1"/>
  <c r="Q453" i="33"/>
  <c r="Q495" i="33"/>
  <c r="B23" i="40" s="1"/>
  <c r="F23" i="40" s="1"/>
  <c r="Q446" i="33"/>
  <c r="Q481" i="33"/>
  <c r="Q216" i="33"/>
  <c r="Q369" i="33"/>
  <c r="R369" i="33" s="1"/>
  <c r="Q299" i="33"/>
  <c r="Q423" i="33"/>
  <c r="B75" i="40" s="1"/>
  <c r="Q32" i="33"/>
  <c r="B8" i="40" s="1"/>
  <c r="Q383" i="33"/>
  <c r="Q575" i="33"/>
  <c r="Q165" i="33"/>
  <c r="R165" i="33" s="1"/>
  <c r="Q280" i="33"/>
  <c r="R280" i="33" s="1"/>
  <c r="Q486" i="33"/>
  <c r="Q226" i="33"/>
  <c r="R226" i="33" s="1"/>
  <c r="Q153" i="33"/>
  <c r="Q404" i="33"/>
  <c r="Q378" i="33"/>
  <c r="R378" i="33" s="1"/>
  <c r="Q434" i="33"/>
  <c r="R434" i="33" s="1"/>
  <c r="Q69" i="33"/>
  <c r="Q208" i="33"/>
  <c r="Q308" i="33"/>
  <c r="Q396" i="33"/>
  <c r="Q268" i="33"/>
  <c r="R268" i="33" s="1"/>
  <c r="Q411" i="33"/>
  <c r="Q139" i="33"/>
  <c r="Q134" i="33"/>
  <c r="Q330" i="33"/>
  <c r="Q286" i="33"/>
  <c r="R286" i="33" s="1"/>
  <c r="Q266" i="33"/>
  <c r="Q237" i="33"/>
  <c r="Q458" i="33"/>
  <c r="Q449" i="33"/>
  <c r="Q437" i="33"/>
  <c r="B71" i="40" s="1"/>
  <c r="Q505" i="33"/>
  <c r="Q70" i="33"/>
  <c r="B19" i="40" s="1"/>
  <c r="Q367" i="33"/>
  <c r="R367" i="33" s="1"/>
  <c r="Q317" i="33"/>
  <c r="Q126" i="33"/>
  <c r="Q464" i="33"/>
  <c r="Q320" i="33"/>
  <c r="R320" i="33" s="1"/>
  <c r="Q405" i="33"/>
  <c r="B68" i="40" s="1"/>
  <c r="Q276" i="33"/>
  <c r="R276" i="33" s="1"/>
  <c r="Q472" i="33"/>
  <c r="R472" i="33" s="1"/>
  <c r="Q244" i="33"/>
  <c r="R244" i="33" s="1"/>
  <c r="Q462" i="33"/>
  <c r="Q310" i="33"/>
  <c r="Q470" i="33"/>
  <c r="Q523" i="33"/>
  <c r="Q488" i="33"/>
  <c r="Q493" i="33"/>
  <c r="Q361" i="33"/>
  <c r="B83" i="40" s="1"/>
  <c r="Q410" i="33"/>
  <c r="R410" i="33" s="1"/>
  <c r="Q471" i="33"/>
  <c r="Q140" i="33"/>
  <c r="Q315" i="33"/>
  <c r="Q17" i="33"/>
  <c r="Q301" i="33"/>
  <c r="Q287" i="33"/>
  <c r="R287" i="33" s="1"/>
  <c r="Q156" i="33"/>
  <c r="R156" i="33" s="1"/>
  <c r="Q19" i="33"/>
  <c r="R19" i="33" s="1"/>
  <c r="Q98" i="33"/>
  <c r="B20" i="40" s="1"/>
  <c r="Q251" i="33"/>
  <c r="R251" i="33" s="1"/>
  <c r="Q337" i="33"/>
  <c r="R337" i="33" s="1"/>
  <c r="Q445" i="33"/>
  <c r="Q500" i="33"/>
  <c r="Q573" i="33"/>
  <c r="Q21" i="33"/>
  <c r="R21" i="33" s="1"/>
  <c r="Q329" i="33"/>
  <c r="R329" i="33" s="1"/>
  <c r="Q125" i="33"/>
  <c r="Q602" i="33"/>
  <c r="Q298" i="33"/>
  <c r="Q137" i="33"/>
  <c r="Q225" i="33"/>
  <c r="R225" i="33" s="1"/>
  <c r="Q243" i="33"/>
  <c r="R243" i="33" s="1"/>
  <c r="Q447" i="33"/>
  <c r="Q260" i="33"/>
  <c r="Q197" i="33"/>
  <c r="Q496" i="33"/>
  <c r="R496" i="33" s="1"/>
  <c r="Q77" i="33"/>
  <c r="Q461" i="33"/>
  <c r="R461" i="33" s="1"/>
  <c r="Q285" i="33"/>
  <c r="B48" i="34" s="1"/>
  <c r="Q374" i="33"/>
  <c r="R374" i="33" s="1"/>
  <c r="Q484" i="33"/>
  <c r="R484" i="33" s="1"/>
  <c r="Q463" i="33"/>
  <c r="R463" i="33" s="1"/>
  <c r="Q54" i="33"/>
  <c r="Q124" i="33"/>
  <c r="Q382" i="33"/>
  <c r="R382" i="33" s="1"/>
  <c r="Q395" i="33"/>
  <c r="Q525" i="33"/>
  <c r="B14" i="34" s="1"/>
  <c r="Q76" i="33"/>
  <c r="Q452" i="33"/>
  <c r="Q242" i="33"/>
  <c r="Q63" i="33"/>
  <c r="Q189" i="33"/>
  <c r="Q345" i="33"/>
  <c r="Q401" i="33"/>
  <c r="Q501" i="33"/>
  <c r="Q283" i="33"/>
  <c r="Q475" i="33"/>
  <c r="Q304" i="33"/>
  <c r="Q322" i="33"/>
  <c r="R322" i="33" s="1"/>
  <c r="Q143" i="33"/>
  <c r="Q183" i="33"/>
  <c r="Q270" i="33"/>
  <c r="Q229" i="33"/>
  <c r="R229" i="33" s="1"/>
  <c r="Q335" i="33"/>
  <c r="Q138" i="33"/>
  <c r="R138" i="33" s="1"/>
  <c r="Q228" i="33"/>
  <c r="R228" i="33" s="1"/>
  <c r="Q141" i="33"/>
  <c r="R141" i="33" s="1"/>
  <c r="Q414" i="33"/>
  <c r="Q30" i="33"/>
  <c r="B22" i="40" s="1"/>
  <c r="Q479" i="33"/>
  <c r="R479" i="33" s="1"/>
  <c r="Q499" i="33"/>
  <c r="R499" i="33" s="1"/>
  <c r="Q282" i="33"/>
  <c r="R282" i="33" s="1"/>
  <c r="Q448" i="33"/>
  <c r="B43" i="40" s="1"/>
  <c r="Q248" i="33"/>
  <c r="R248" i="33" s="1"/>
  <c r="Q419" i="33"/>
  <c r="Q24" i="33"/>
  <c r="B18" i="40" s="1"/>
  <c r="Q55" i="33"/>
  <c r="B17" i="34" s="1"/>
  <c r="Q263" i="33"/>
  <c r="R263" i="33" s="1"/>
  <c r="Q371" i="33"/>
  <c r="Q277" i="33"/>
  <c r="Q256" i="33"/>
  <c r="Q494" i="33"/>
  <c r="Q392" i="33"/>
  <c r="Q485" i="33"/>
  <c r="R485" i="33" s="1"/>
  <c r="Q199" i="33"/>
  <c r="Q526" i="33"/>
  <c r="R526" i="33" s="1"/>
  <c r="Q344" i="33"/>
  <c r="Q306" i="33"/>
  <c r="R306" i="33" s="1"/>
  <c r="Q433" i="33"/>
  <c r="R433" i="33" s="1"/>
  <c r="Q333" i="33"/>
  <c r="R333" i="33" s="1"/>
  <c r="Q51" i="33"/>
  <c r="Q439" i="33"/>
  <c r="Q376" i="33"/>
  <c r="R376" i="33" s="1"/>
  <c r="Q254" i="33"/>
  <c r="Q373" i="33"/>
  <c r="Q274" i="33"/>
  <c r="R274" i="33" s="1"/>
  <c r="Q422" i="33"/>
  <c r="Q351" i="33"/>
  <c r="Q297" i="33"/>
  <c r="R297" i="33" s="1"/>
  <c r="Q83" i="33"/>
  <c r="Q93" i="33"/>
  <c r="R93" i="33" s="1"/>
  <c r="Q502" i="33"/>
  <c r="R502" i="33" s="1"/>
  <c r="Q480" i="33"/>
  <c r="Q328" i="33"/>
  <c r="Q431" i="33"/>
  <c r="R431" i="33" s="1"/>
  <c r="Q84" i="33"/>
  <c r="Z19" i="31"/>
  <c r="X19" i="31"/>
  <c r="Y19" i="31" s="1"/>
  <c r="Z50" i="31"/>
  <c r="X50" i="31"/>
  <c r="Y50" i="31" s="1"/>
  <c r="S18" i="31"/>
  <c r="T18" i="31" s="1"/>
  <c r="Z18" i="31"/>
  <c r="X18" i="31"/>
  <c r="Y18" i="31" s="1"/>
  <c r="S452" i="31"/>
  <c r="T452" i="31" s="1"/>
  <c r="X452" i="31"/>
  <c r="Y452" i="31" s="1"/>
  <c r="Z452" i="31"/>
  <c r="S128" i="31"/>
  <c r="T128" i="31" s="1"/>
  <c r="F1033" i="31" s="1"/>
  <c r="S444" i="31"/>
  <c r="T444" i="31" s="1"/>
  <c r="Z444" i="31"/>
  <c r="X444" i="31"/>
  <c r="Y444" i="31" s="1"/>
  <c r="S225" i="31"/>
  <c r="T225" i="31" s="1"/>
  <c r="X200" i="31"/>
  <c r="Y200" i="31" s="1"/>
  <c r="Z200" i="31"/>
  <c r="S223" i="31"/>
  <c r="T223" i="31" s="1"/>
  <c r="S226" i="31"/>
  <c r="T226" i="31" s="1"/>
  <c r="X225" i="31"/>
  <c r="Y225" i="31" s="1"/>
  <c r="Z225" i="31"/>
  <c r="Z227" i="31"/>
  <c r="X227" i="31"/>
  <c r="Y227" i="31" s="1"/>
  <c r="Z223" i="31"/>
  <c r="X223" i="31"/>
  <c r="Y223" i="31" s="1"/>
  <c r="X226" i="31"/>
  <c r="Y226" i="31" s="1"/>
  <c r="Z226" i="31"/>
  <c r="S227" i="31"/>
  <c r="T227" i="31" s="1"/>
  <c r="X128" i="31"/>
  <c r="Y128" i="31" s="1"/>
  <c r="Z128" i="31"/>
  <c r="S199" i="31"/>
  <c r="T199" i="31" s="1"/>
  <c r="X199" i="31"/>
  <c r="Y199" i="31" s="1"/>
  <c r="Z199" i="31"/>
  <c r="S224" i="31"/>
  <c r="T224" i="31" s="1"/>
  <c r="S20" i="31"/>
  <c r="T20" i="31" s="1"/>
  <c r="X224" i="31"/>
  <c r="Y224" i="31" s="1"/>
  <c r="Z224" i="31"/>
  <c r="S41" i="31"/>
  <c r="T41" i="31" s="1"/>
  <c r="S447" i="31"/>
  <c r="T447" i="31" s="1"/>
  <c r="X447" i="31"/>
  <c r="Y447" i="31" s="1"/>
  <c r="Z447" i="31"/>
  <c r="X13" i="31"/>
  <c r="Y13" i="31" s="1"/>
  <c r="Z20" i="31"/>
  <c r="X20" i="31"/>
  <c r="Y20" i="31" s="1"/>
  <c r="S37" i="31"/>
  <c r="T37" i="31" s="1"/>
  <c r="X37" i="31"/>
  <c r="Y37" i="31" s="1"/>
  <c r="Z37" i="31"/>
  <c r="X41" i="31"/>
  <c r="Y41" i="31" s="1"/>
  <c r="Z41" i="31"/>
  <c r="S8" i="31"/>
  <c r="T8" i="31" s="1"/>
  <c r="S258" i="31"/>
  <c r="T258" i="31" s="1"/>
  <c r="S194" i="31"/>
  <c r="T194" i="31" s="1"/>
  <c r="C956" i="31" s="1"/>
  <c r="S48" i="31"/>
  <c r="T48" i="31" s="1"/>
  <c r="X48" i="31"/>
  <c r="Y48" i="31" s="1"/>
  <c r="Z48" i="31"/>
  <c r="Z194" i="31"/>
  <c r="X258" i="31"/>
  <c r="Y258" i="31" s="1"/>
  <c r="Z8" i="31"/>
  <c r="X194" i="31"/>
  <c r="Y194" i="31" s="1"/>
  <c r="X15" i="31"/>
  <c r="Y15" i="31" s="1"/>
  <c r="X126" i="31"/>
  <c r="Y126" i="31" s="1"/>
  <c r="X112" i="31"/>
  <c r="Y112" i="31" s="1"/>
  <c r="X24" i="31"/>
  <c r="Y24" i="31" s="1"/>
  <c r="X8" i="31"/>
  <c r="Y8" i="31" s="1"/>
  <c r="X12" i="31"/>
  <c r="Y12" i="31" s="1"/>
  <c r="X306" i="31"/>
  <c r="Y306" i="31" s="1"/>
  <c r="S33" i="31"/>
  <c r="T33" i="31" s="1"/>
  <c r="C1019" i="31" s="1"/>
  <c r="X91" i="31"/>
  <c r="Y91" i="31" s="1"/>
  <c r="X145" i="31"/>
  <c r="Y145" i="31" s="1"/>
  <c r="X16" i="31"/>
  <c r="Y16" i="31" s="1"/>
  <c r="X25" i="31"/>
  <c r="Y25" i="31" s="1"/>
  <c r="X139" i="31"/>
  <c r="Y139" i="31" s="1"/>
  <c r="X29" i="31"/>
  <c r="Y29" i="31" s="1"/>
  <c r="X21" i="31"/>
  <c r="Y21" i="31" s="1"/>
  <c r="X22" i="31"/>
  <c r="Y22" i="31" s="1"/>
  <c r="X34" i="31"/>
  <c r="Y34" i="31" s="1"/>
  <c r="X17" i="31"/>
  <c r="Y17" i="31" s="1"/>
  <c r="X26" i="31"/>
  <c r="Y26" i="31" s="1"/>
  <c r="X243" i="31"/>
  <c r="Y243" i="31" s="1"/>
  <c r="X33" i="31"/>
  <c r="Y33" i="31" s="1"/>
  <c r="X7" i="31"/>
  <c r="Y7" i="31" s="1"/>
  <c r="X14" i="31"/>
  <c r="Y14" i="31" s="1"/>
  <c r="X23" i="31"/>
  <c r="Y23" i="31" s="1"/>
  <c r="X86" i="31"/>
  <c r="Y86" i="31" s="1"/>
  <c r="X38" i="31"/>
  <c r="Y38" i="31" s="1"/>
  <c r="X305" i="31"/>
  <c r="Y305" i="31" s="1"/>
  <c r="Z33" i="31"/>
  <c r="S243" i="31"/>
  <c r="T243" i="31" s="1"/>
  <c r="Z243" i="31"/>
  <c r="S145" i="31"/>
  <c r="T145" i="31" s="1"/>
  <c r="S306" i="31"/>
  <c r="T306" i="31" s="1"/>
  <c r="Z306" i="31"/>
  <c r="S139" i="31"/>
  <c r="T139" i="31" s="1"/>
  <c r="Z86" i="31"/>
  <c r="Z258" i="31"/>
  <c r="S91" i="31"/>
  <c r="T91" i="31" s="1"/>
  <c r="S86" i="31"/>
  <c r="T86" i="31" s="1"/>
  <c r="M84" i="33" s="1"/>
  <c r="Z305" i="31"/>
  <c r="Z145" i="31"/>
  <c r="Z139" i="31"/>
  <c r="Z91" i="31"/>
  <c r="S13" i="31"/>
  <c r="T13" i="31" s="1"/>
  <c r="S305" i="31"/>
  <c r="T305" i="31" s="1"/>
  <c r="S126" i="31"/>
  <c r="T126" i="31" s="1"/>
  <c r="M271" i="33" s="1"/>
  <c r="S34" i="31"/>
  <c r="T34" i="31" s="1"/>
  <c r="Z126" i="31"/>
  <c r="S29" i="31"/>
  <c r="T29" i="31" s="1"/>
  <c r="S23" i="31"/>
  <c r="T23" i="31" s="1"/>
  <c r="Z29" i="31"/>
  <c r="S38" i="31"/>
  <c r="T38" i="31" s="1"/>
  <c r="Z38" i="31"/>
  <c r="S17" i="31"/>
  <c r="T17" i="31" s="1"/>
  <c r="Z34" i="31"/>
  <c r="S24" i="31"/>
  <c r="T24" i="31" s="1"/>
  <c r="S26" i="31"/>
  <c r="T26" i="31" s="1"/>
  <c r="Z24" i="31"/>
  <c r="Z23" i="31"/>
  <c r="S25" i="31"/>
  <c r="T25" i="31" s="1"/>
  <c r="Z26" i="31"/>
  <c r="S22" i="31"/>
  <c r="T22" i="31" s="1"/>
  <c r="S21" i="31"/>
  <c r="T21" i="31" s="1"/>
  <c r="Z25" i="31"/>
  <c r="S112" i="31"/>
  <c r="T112" i="31" s="1"/>
  <c r="Z22" i="31"/>
  <c r="S14" i="31"/>
  <c r="T14" i="31" s="1"/>
  <c r="Z12" i="31"/>
  <c r="Z112" i="31"/>
  <c r="Z21" i="31"/>
  <c r="S16" i="31"/>
  <c r="T16" i="31" s="1"/>
  <c r="Z17" i="31"/>
  <c r="Z16" i="31"/>
  <c r="S15" i="31"/>
  <c r="T15" i="31" s="1"/>
  <c r="Z15" i="31"/>
  <c r="Z14" i="31"/>
  <c r="Z13" i="31"/>
  <c r="Z7" i="31"/>
  <c r="S12" i="31"/>
  <c r="T12" i="31" s="1"/>
  <c r="S7" i="31"/>
  <c r="T7" i="31" s="1"/>
  <c r="R76" i="33" l="1"/>
  <c r="B29" i="40"/>
  <c r="B69" i="40"/>
  <c r="F69" i="40" s="1"/>
  <c r="B9" i="40"/>
  <c r="F9" i="40" s="1"/>
  <c r="G48" i="34"/>
  <c r="C1009" i="31"/>
  <c r="B862" i="31"/>
  <c r="C927" i="31"/>
  <c r="C980" i="31"/>
  <c r="J19" i="34"/>
  <c r="K19" i="34" s="1"/>
  <c r="B19" i="34"/>
  <c r="B41" i="40"/>
  <c r="J12" i="34"/>
  <c r="K12" i="34" s="1"/>
  <c r="J18" i="34"/>
  <c r="K18" i="34" s="1"/>
  <c r="B32" i="40"/>
  <c r="C997" i="31"/>
  <c r="B38" i="40"/>
  <c r="B39" i="40"/>
  <c r="J29" i="34"/>
  <c r="K29" i="34" s="1"/>
  <c r="J20" i="34"/>
  <c r="K20" i="34" s="1"/>
  <c r="C9" i="33"/>
  <c r="J23" i="34"/>
  <c r="K23" i="34" s="1"/>
  <c r="J30" i="34"/>
  <c r="K30" i="34" s="1"/>
  <c r="J31" i="34"/>
  <c r="K31" i="34" s="1"/>
  <c r="J16" i="34"/>
  <c r="K16" i="34" s="1"/>
  <c r="J21" i="34"/>
  <c r="K21" i="34" s="1"/>
  <c r="J15" i="34"/>
  <c r="K15" i="34" s="1"/>
  <c r="J11" i="34"/>
  <c r="K11" i="34" s="1"/>
  <c r="J28" i="34"/>
  <c r="K28" i="34" s="1"/>
  <c r="J13" i="34"/>
  <c r="K13" i="34" s="1"/>
  <c r="J35" i="34"/>
  <c r="K35" i="34" s="1"/>
  <c r="J37" i="34"/>
  <c r="K37" i="34" s="1"/>
  <c r="J44" i="34"/>
  <c r="K44" i="34" s="1"/>
  <c r="J49" i="34"/>
  <c r="K49" i="34" s="1"/>
  <c r="J32" i="34"/>
  <c r="K32" i="34" s="1"/>
  <c r="J36" i="34"/>
  <c r="K36" i="34" s="1"/>
  <c r="J24" i="34"/>
  <c r="K24" i="34" s="1"/>
  <c r="J26" i="34"/>
  <c r="K26" i="34" s="1"/>
  <c r="C1000" i="31"/>
  <c r="M315" i="33"/>
  <c r="C928" i="31"/>
  <c r="C929" i="31"/>
  <c r="M55" i="33"/>
  <c r="C925" i="31"/>
  <c r="C933" i="31"/>
  <c r="M17" i="33"/>
  <c r="C947" i="31"/>
  <c r="B32" i="34"/>
  <c r="B60" i="40"/>
  <c r="D986" i="31"/>
  <c r="M986" i="31" s="1"/>
  <c r="G986" i="31"/>
  <c r="E986" i="31"/>
  <c r="D939" i="31"/>
  <c r="M939" i="31" s="1"/>
  <c r="E939" i="31"/>
  <c r="D987" i="31"/>
  <c r="M987" i="31" s="1"/>
  <c r="G987" i="31"/>
  <c r="E987" i="31"/>
  <c r="D1022" i="31"/>
  <c r="M1022" i="31" s="1"/>
  <c r="F1022" i="31"/>
  <c r="D907" i="31"/>
  <c r="F907" i="31"/>
  <c r="G907" i="31"/>
  <c r="E907" i="31"/>
  <c r="C939" i="31"/>
  <c r="C987" i="31"/>
  <c r="B863" i="31"/>
  <c r="C1022" i="31"/>
  <c r="C986" i="31"/>
  <c r="B853" i="31"/>
  <c r="E853" i="31" s="1"/>
  <c r="C907" i="31"/>
  <c r="B896" i="31"/>
  <c r="F896" i="31" s="1"/>
  <c r="B877" i="31"/>
  <c r="B891" i="31"/>
  <c r="F891" i="31" s="1"/>
  <c r="B893" i="31"/>
  <c r="F893" i="31" s="1"/>
  <c r="B879" i="31"/>
  <c r="B878" i="31"/>
  <c r="D884" i="31"/>
  <c r="E875" i="31" s="1"/>
  <c r="B876" i="31"/>
  <c r="B882" i="31"/>
  <c r="B894" i="31"/>
  <c r="F894" i="31" s="1"/>
  <c r="B880" i="31"/>
  <c r="D898" i="31"/>
  <c r="E889" i="31" s="1"/>
  <c r="B890" i="31"/>
  <c r="B892" i="31"/>
  <c r="F19" i="40"/>
  <c r="F75" i="40"/>
  <c r="F71" i="40"/>
  <c r="F17" i="40"/>
  <c r="F43" i="40"/>
  <c r="F83" i="40"/>
  <c r="R254" i="33"/>
  <c r="B41" i="34"/>
  <c r="G41" i="34" s="1"/>
  <c r="R435" i="33"/>
  <c r="R266" i="33"/>
  <c r="B21" i="40"/>
  <c r="B14" i="40"/>
  <c r="R480" i="33"/>
  <c r="B81" i="40"/>
  <c r="R237" i="33"/>
  <c r="B12" i="40"/>
  <c r="B54" i="40"/>
  <c r="R157" i="33"/>
  <c r="B6" i="40"/>
  <c r="B18" i="34"/>
  <c r="R63" i="33"/>
  <c r="B61" i="40"/>
  <c r="R310" i="33"/>
  <c r="B65" i="40"/>
  <c r="R83" i="33"/>
  <c r="B37" i="40"/>
  <c r="B64" i="40"/>
  <c r="B10" i="40"/>
  <c r="R452" i="33"/>
  <c r="B70" i="40"/>
  <c r="B45" i="34"/>
  <c r="G45" i="34" s="1"/>
  <c r="B20" i="34"/>
  <c r="B73" i="40"/>
  <c r="R471" i="33"/>
  <c r="B7" i="40"/>
  <c r="B43" i="34"/>
  <c r="B51" i="40"/>
  <c r="B39" i="34"/>
  <c r="G39" i="34" s="1"/>
  <c r="B59" i="40"/>
  <c r="R344" i="33"/>
  <c r="B47" i="40"/>
  <c r="R475" i="33"/>
  <c r="B29" i="34"/>
  <c r="B26" i="40"/>
  <c r="B72" i="40"/>
  <c r="B11" i="40"/>
  <c r="B58" i="40"/>
  <c r="B25" i="40"/>
  <c r="B45" i="40"/>
  <c r="B40" i="40"/>
  <c r="B34" i="34"/>
  <c r="B49" i="40"/>
  <c r="B16" i="40"/>
  <c r="F1045" i="31"/>
  <c r="M139" i="33"/>
  <c r="F1035" i="31"/>
  <c r="M411" i="33"/>
  <c r="F1048" i="31"/>
  <c r="M125" i="33"/>
  <c r="F1043" i="31"/>
  <c r="F1047" i="31"/>
  <c r="M140" i="33"/>
  <c r="F1042" i="31"/>
  <c r="M183" i="33"/>
  <c r="F1039" i="31"/>
  <c r="M32" i="33"/>
  <c r="F1038" i="31"/>
  <c r="F1036" i="31"/>
  <c r="M464" i="33"/>
  <c r="F1044" i="31"/>
  <c r="F1040" i="31"/>
  <c r="M377" i="33"/>
  <c r="F1053" i="31"/>
  <c r="F1051" i="31"/>
  <c r="M137" i="33"/>
  <c r="F1050" i="31"/>
  <c r="B12" i="34"/>
  <c r="B42" i="34"/>
  <c r="M383" i="33"/>
  <c r="M602" i="33"/>
  <c r="AD2" i="31"/>
  <c r="B30" i="34"/>
  <c r="M51" i="33"/>
  <c r="M87" i="33"/>
  <c r="M54" i="33"/>
  <c r="M575" i="33"/>
  <c r="M143" i="33"/>
  <c r="M24" i="33"/>
  <c r="M124" i="33"/>
  <c r="B13" i="34"/>
  <c r="B23" i="34"/>
  <c r="B49" i="34"/>
  <c r="B26" i="34"/>
  <c r="G26" i="34" s="1"/>
  <c r="B44" i="34"/>
  <c r="G44" i="34" s="1"/>
  <c r="B35" i="34"/>
  <c r="G35" i="34" s="1"/>
  <c r="B16" i="34"/>
  <c r="G16" i="34" s="1"/>
  <c r="B36" i="34"/>
  <c r="B21" i="34"/>
  <c r="G21" i="34" s="1"/>
  <c r="B11" i="34"/>
  <c r="B28" i="34"/>
  <c r="B31" i="34"/>
  <c r="B24" i="34"/>
  <c r="B37" i="34"/>
  <c r="G37" i="34" s="1"/>
  <c r="B15" i="34"/>
  <c r="R298" i="33"/>
  <c r="R77" i="33"/>
  <c r="R345" i="33"/>
  <c r="R330" i="33"/>
  <c r="R303" i="33"/>
  <c r="R405" i="33"/>
  <c r="R494" i="33"/>
  <c r="R423" i="33"/>
  <c r="R505" i="33"/>
  <c r="R316" i="33"/>
  <c r="R373" i="33"/>
  <c r="R199" i="33"/>
  <c r="R488" i="33"/>
  <c r="R396" i="33"/>
  <c r="R387" i="33"/>
  <c r="R308" i="33"/>
  <c r="R495" i="33"/>
  <c r="R573" i="33"/>
  <c r="R301" i="33"/>
  <c r="R314" i="33"/>
  <c r="R454" i="33"/>
  <c r="R230" i="33"/>
  <c r="R500" i="33"/>
  <c r="R302" i="33"/>
  <c r="R317" i="33"/>
  <c r="R371" i="33"/>
  <c r="R221" i="33"/>
  <c r="R414" i="33"/>
  <c r="R304" i="33"/>
  <c r="R299" i="33"/>
  <c r="R470" i="33"/>
  <c r="R448" i="33"/>
  <c r="R126" i="33"/>
  <c r="R189" i="33"/>
  <c r="R362" i="33"/>
  <c r="R70" i="33"/>
  <c r="R361" i="33"/>
  <c r="R437" i="33"/>
  <c r="R392" i="33"/>
  <c r="R447" i="33"/>
  <c r="R69" i="33"/>
  <c r="R440" i="33"/>
  <c r="R462" i="33"/>
  <c r="R197" i="33"/>
  <c r="R458" i="33"/>
  <c r="R445" i="33"/>
  <c r="R351" i="33"/>
  <c r="R285" i="33"/>
  <c r="R260" i="33"/>
  <c r="R453" i="33"/>
  <c r="R422" i="33"/>
  <c r="R525" i="33"/>
  <c r="R216" i="33"/>
  <c r="R419" i="33"/>
  <c r="R501" i="33"/>
  <c r="R493" i="33"/>
  <c r="R486" i="33"/>
  <c r="R481" i="33"/>
  <c r="R395" i="33"/>
  <c r="R328" i="33"/>
  <c r="R335" i="33"/>
  <c r="R401" i="33"/>
  <c r="R449" i="33"/>
  <c r="R446" i="33"/>
  <c r="B12" i="33"/>
  <c r="B851" i="31"/>
  <c r="E851" i="31" s="1"/>
  <c r="B849" i="31"/>
  <c r="E849" i="31" s="1"/>
  <c r="B850" i="31"/>
  <c r="E850" i="31" s="1"/>
  <c r="B847" i="31"/>
  <c r="E847" i="31" s="1"/>
  <c r="B856" i="31"/>
  <c r="B848" i="31"/>
  <c r="E848" i="31" s="1"/>
  <c r="AA96" i="31"/>
  <c r="AA117" i="31"/>
  <c r="AA181" i="31"/>
  <c r="AA180" i="31"/>
  <c r="AA295" i="31"/>
  <c r="AA56" i="31"/>
  <c r="AA31" i="31"/>
  <c r="AA30" i="31"/>
  <c r="AA205" i="31"/>
  <c r="AA176" i="31"/>
  <c r="AA98" i="31"/>
  <c r="AA51" i="31"/>
  <c r="AA443" i="31"/>
  <c r="AA28" i="31"/>
  <c r="AA35" i="31"/>
  <c r="AA27" i="31"/>
  <c r="AA440" i="31"/>
  <c r="B9" i="33"/>
  <c r="D5" i="34" s="1"/>
  <c r="D50" i="34" s="1"/>
  <c r="AA19" i="31"/>
  <c r="AA50" i="31"/>
  <c r="AA444" i="31"/>
  <c r="AA18" i="31"/>
  <c r="AA452" i="31"/>
  <c r="AA200" i="31"/>
  <c r="AA225" i="31"/>
  <c r="AA226" i="31"/>
  <c r="AA227" i="31"/>
  <c r="AA223" i="31"/>
  <c r="AA128" i="31"/>
  <c r="AA199" i="31"/>
  <c r="AA20" i="31"/>
  <c r="AA224" i="31"/>
  <c r="AA447" i="31"/>
  <c r="AA37" i="31"/>
  <c r="AA41" i="31"/>
  <c r="AA194" i="31"/>
  <c r="AA48" i="31"/>
  <c r="AA8" i="31"/>
  <c r="AA91" i="31"/>
  <c r="AA25" i="31"/>
  <c r="AA145" i="31"/>
  <c r="AA306" i="31"/>
  <c r="AA139" i="31"/>
  <c r="AA112" i="31"/>
  <c r="AA17" i="31"/>
  <c r="AA305" i="31"/>
  <c r="AA34" i="31"/>
  <c r="AA38" i="31"/>
  <c r="AA12" i="31"/>
  <c r="AA13" i="31"/>
  <c r="AA15" i="31"/>
  <c r="AA243" i="31"/>
  <c r="AA16" i="31"/>
  <c r="AA26" i="31"/>
  <c r="AA258" i="31"/>
  <c r="AA29" i="31"/>
  <c r="E58" i="40" s="1"/>
  <c r="AA86" i="31"/>
  <c r="AA24" i="31"/>
  <c r="AA23" i="31"/>
  <c r="AA22" i="31"/>
  <c r="AA14" i="31"/>
  <c r="AA21" i="31"/>
  <c r="AA126" i="31"/>
  <c r="AA7" i="31"/>
  <c r="AA33" i="31"/>
  <c r="C93" i="40" l="1"/>
  <c r="L50" i="34"/>
  <c r="D25" i="34"/>
  <c r="L25" i="34" s="1"/>
  <c r="C92" i="40"/>
  <c r="C44" i="40"/>
  <c r="C35" i="40"/>
  <c r="C27" i="40"/>
  <c r="C29" i="40"/>
  <c r="C46" i="40"/>
  <c r="C90" i="40"/>
  <c r="D27" i="34"/>
  <c r="L27" i="34" s="1"/>
  <c r="C89" i="40"/>
  <c r="C48" i="40"/>
  <c r="C5" i="40"/>
  <c r="C50" i="40"/>
  <c r="C30" i="40"/>
  <c r="C88" i="40"/>
  <c r="C87" i="40"/>
  <c r="C34" i="40"/>
  <c r="C55" i="40"/>
  <c r="C28" i="40"/>
  <c r="C18" i="40"/>
  <c r="D17" i="34"/>
  <c r="L17" i="34" s="1"/>
  <c r="C84" i="40"/>
  <c r="C15" i="40"/>
  <c r="D48" i="34"/>
  <c r="L48" i="34" s="1"/>
  <c r="C72" i="40"/>
  <c r="C33" i="40"/>
  <c r="C31" i="40"/>
  <c r="C9" i="40"/>
  <c r="C91" i="40"/>
  <c r="C63" i="40"/>
  <c r="C24" i="40"/>
  <c r="C56" i="40"/>
  <c r="C77" i="40"/>
  <c r="C8" i="40"/>
  <c r="C76" i="40"/>
  <c r="C80" i="40"/>
  <c r="C13" i="40"/>
  <c r="C20" i="40"/>
  <c r="C79" i="40"/>
  <c r="E1029" i="31"/>
  <c r="G1029" i="31"/>
  <c r="D46" i="34"/>
  <c r="L46" i="34" s="1"/>
  <c r="D24" i="34"/>
  <c r="L24" i="34" s="1"/>
  <c r="D19" i="34"/>
  <c r="L19" i="34" s="1"/>
  <c r="D47" i="34"/>
  <c r="L47" i="34" s="1"/>
  <c r="D30" i="34"/>
  <c r="L30" i="34" s="1"/>
  <c r="C39" i="40"/>
  <c r="C42" i="40"/>
  <c r="C82" i="40"/>
  <c r="C53" i="40"/>
  <c r="C86" i="40"/>
  <c r="C36" i="40"/>
  <c r="C32" i="40"/>
  <c r="C22" i="40"/>
  <c r="D38" i="34"/>
  <c r="L38" i="34" s="1"/>
  <c r="D33" i="34"/>
  <c r="L33" i="34" s="1"/>
  <c r="I8" i="34"/>
  <c r="S929" i="31"/>
  <c r="C38" i="41" s="1"/>
  <c r="B1033" i="31"/>
  <c r="F877" i="31"/>
  <c r="F878" i="31"/>
  <c r="F879" i="31"/>
  <c r="M907" i="31"/>
  <c r="H853" i="31"/>
  <c r="E880" i="31"/>
  <c r="F882" i="31"/>
  <c r="F876" i="31"/>
  <c r="E881" i="31"/>
  <c r="E877" i="31"/>
  <c r="E878" i="31"/>
  <c r="E882" i="31"/>
  <c r="E879" i="31"/>
  <c r="E876" i="31"/>
  <c r="F880" i="31"/>
  <c r="E894" i="31"/>
  <c r="E895" i="31"/>
  <c r="E896" i="31"/>
  <c r="E893" i="31"/>
  <c r="E892" i="31"/>
  <c r="E890" i="31"/>
  <c r="E891" i="31"/>
  <c r="F892" i="31"/>
  <c r="F890" i="31"/>
  <c r="F58" i="40"/>
  <c r="C43" i="40"/>
  <c r="C68" i="40"/>
  <c r="C25" i="40"/>
  <c r="C47" i="40"/>
  <c r="C58" i="40"/>
  <c r="C17" i="40"/>
  <c r="C69" i="40"/>
  <c r="C16" i="40"/>
  <c r="C71" i="40"/>
  <c r="C11" i="40"/>
  <c r="C51" i="40"/>
  <c r="C10" i="40"/>
  <c r="C14" i="40"/>
  <c r="C83" i="40"/>
  <c r="C49" i="40"/>
  <c r="C6" i="40"/>
  <c r="C21" i="40"/>
  <c r="C75" i="40"/>
  <c r="C64" i="40"/>
  <c r="D32" i="34"/>
  <c r="L32" i="34" s="1"/>
  <c r="C66" i="40"/>
  <c r="C62" i="40"/>
  <c r="C78" i="40"/>
  <c r="C23" i="40"/>
  <c r="C85" i="40"/>
  <c r="C38" i="40"/>
  <c r="C60" i="40"/>
  <c r="C41" i="40"/>
  <c r="C52" i="40"/>
  <c r="C74" i="40"/>
  <c r="C67" i="40"/>
  <c r="C57" i="40"/>
  <c r="C37" i="40"/>
  <c r="C19" i="40"/>
  <c r="C73" i="40"/>
  <c r="F73" i="40"/>
  <c r="C45" i="40"/>
  <c r="C12" i="40"/>
  <c r="C61" i="40"/>
  <c r="C65" i="40"/>
  <c r="F65" i="40"/>
  <c r="C59" i="40"/>
  <c r="F59" i="40"/>
  <c r="C70" i="40"/>
  <c r="F70" i="40"/>
  <c r="C81" i="40"/>
  <c r="F81" i="40"/>
  <c r="C7" i="40"/>
  <c r="C40" i="40"/>
  <c r="F40" i="40"/>
  <c r="C26" i="40"/>
  <c r="C54" i="40"/>
  <c r="F54" i="40"/>
  <c r="D14" i="34"/>
  <c r="L14" i="34" s="1"/>
  <c r="N275" i="33"/>
  <c r="R275" i="33" s="1"/>
  <c r="N250" i="33"/>
  <c r="R250" i="33" s="1"/>
  <c r="N309" i="33"/>
  <c r="R309" i="33" s="1"/>
  <c r="N391" i="33"/>
  <c r="R391" i="33" s="1"/>
  <c r="N365" i="33"/>
  <c r="R365" i="33" s="1"/>
  <c r="N326" i="33"/>
  <c r="R326" i="33" s="1"/>
  <c r="N264" i="33"/>
  <c r="R264" i="33" s="1"/>
  <c r="N372" i="33"/>
  <c r="R372" i="33" s="1"/>
  <c r="N424" i="33"/>
  <c r="R424" i="33" s="1"/>
  <c r="N356" i="33"/>
  <c r="D42" i="34"/>
  <c r="L42" i="34" s="1"/>
  <c r="B1045" i="31"/>
  <c r="B1040" i="31"/>
  <c r="B1050" i="31"/>
  <c r="B1048" i="31"/>
  <c r="B1044" i="31"/>
  <c r="B1053" i="31"/>
  <c r="B1042" i="31"/>
  <c r="B1035" i="31"/>
  <c r="B1039" i="31"/>
  <c r="B1036" i="31"/>
  <c r="B1051" i="31"/>
  <c r="B1043" i="31"/>
  <c r="B1038" i="31"/>
  <c r="B1047" i="31"/>
  <c r="D13" i="34"/>
  <c r="L13" i="34" s="1"/>
  <c r="D28" i="34"/>
  <c r="L28" i="34" s="1"/>
  <c r="D36" i="34"/>
  <c r="L36" i="34" s="1"/>
  <c r="D34" i="34"/>
  <c r="L34" i="34" s="1"/>
  <c r="D31" i="34"/>
  <c r="L31" i="34" s="1"/>
  <c r="D16" i="34"/>
  <c r="L16" i="34" s="1"/>
  <c r="D45" i="34"/>
  <c r="L45" i="34" s="1"/>
  <c r="D12" i="34"/>
  <c r="L12" i="34" s="1"/>
  <c r="D35" i="34"/>
  <c r="L35" i="34" s="1"/>
  <c r="D39" i="34"/>
  <c r="L39" i="34" s="1"/>
  <c r="D40" i="34"/>
  <c r="L40" i="34" s="1"/>
  <c r="D22" i="34"/>
  <c r="L22" i="34" s="1"/>
  <c r="D11" i="34"/>
  <c r="D44" i="34"/>
  <c r="L44" i="34" s="1"/>
  <c r="D49" i="34"/>
  <c r="L49" i="34" s="1"/>
  <c r="D26" i="34"/>
  <c r="L26" i="34" s="1"/>
  <c r="D41" i="34"/>
  <c r="L41" i="34" s="1"/>
  <c r="D29" i="34"/>
  <c r="L29" i="34" s="1"/>
  <c r="D43" i="34"/>
  <c r="L43" i="34" s="1"/>
  <c r="D23" i="34"/>
  <c r="L23" i="34" s="1"/>
  <c r="D15" i="34"/>
  <c r="L15" i="34" s="1"/>
  <c r="D20" i="34"/>
  <c r="L20" i="34" s="1"/>
  <c r="D37" i="34"/>
  <c r="L37" i="34" s="1"/>
  <c r="D21" i="34"/>
  <c r="L21" i="34" s="1"/>
  <c r="D18" i="34"/>
  <c r="L18" i="34" s="1"/>
  <c r="C5" i="34"/>
  <c r="B5" i="34"/>
  <c r="N477" i="33"/>
  <c r="N516" i="33"/>
  <c r="H851" i="31"/>
  <c r="H850" i="31"/>
  <c r="H848" i="31"/>
  <c r="H847" i="31"/>
  <c r="H849" i="31"/>
  <c r="L11" i="34" l="1"/>
  <c r="D8" i="34"/>
  <c r="F23" i="34"/>
  <c r="G23" i="34" s="1"/>
  <c r="F43" i="34"/>
  <c r="G43" i="34" s="1"/>
  <c r="F42" i="34"/>
  <c r="G42" i="34" s="1"/>
  <c r="R356" i="33"/>
  <c r="R477" i="33"/>
  <c r="R516" i="33"/>
  <c r="D6" i="31" a="1"/>
  <c r="D6" i="31" s="1"/>
  <c r="R6" i="31"/>
  <c r="Q6" i="31"/>
  <c r="C6" i="31" a="1"/>
  <c r="C6" i="31" s="1"/>
  <c r="AE836" i="31" s="1"/>
  <c r="B32" i="33" a="1"/>
  <c r="B32" i="33" s="1"/>
  <c r="E32" i="33" a="1"/>
  <c r="E32" i="33" s="1"/>
  <c r="F32" i="33" a="1"/>
  <c r="F32" i="33" s="1"/>
  <c r="B283" i="33" a="1"/>
  <c r="B283" i="33" s="1"/>
  <c r="E283" i="33" a="1"/>
  <c r="E283" i="33" s="1"/>
  <c r="F283" i="33" a="1"/>
  <c r="F283" i="33" s="1"/>
  <c r="B93" i="33" a="1"/>
  <c r="B93" i="33" s="1"/>
  <c r="E93" i="33" a="1"/>
  <c r="E93" i="33" s="1"/>
  <c r="F93" i="33" a="1"/>
  <c r="F93" i="33" s="1"/>
  <c r="B237" i="33" a="1"/>
  <c r="B237" i="33" s="1"/>
  <c r="E237" i="33" a="1"/>
  <c r="E237" i="33" s="1"/>
  <c r="F237" i="33" a="1"/>
  <c r="F237" i="33" s="1"/>
  <c r="B242" i="33" a="1"/>
  <c r="B242" i="33" s="1"/>
  <c r="E242" i="33" a="1"/>
  <c r="E242" i="33" s="1"/>
  <c r="F242" i="33" a="1"/>
  <c r="F242" i="33" s="1"/>
  <c r="B260" i="33" a="1"/>
  <c r="B260" i="33" s="1"/>
  <c r="E260" i="33" a="1"/>
  <c r="E260" i="33" s="1"/>
  <c r="F260" i="33" a="1"/>
  <c r="F260" i="33" s="1"/>
  <c r="B489" i="33" a="1"/>
  <c r="B489" i="33" s="1"/>
  <c r="E489" i="33" a="1"/>
  <c r="E489" i="33" s="1"/>
  <c r="F489" i="33" a="1"/>
  <c r="F489" i="33" s="1"/>
  <c r="B251" i="33" a="1"/>
  <c r="B251" i="33" s="1"/>
  <c r="E251" i="33" a="1"/>
  <c r="E251" i="33" s="1"/>
  <c r="F251" i="33" a="1"/>
  <c r="F251" i="33" s="1"/>
  <c r="B297" i="33" a="1"/>
  <c r="B297" i="33" s="1"/>
  <c r="E297" i="33" a="1"/>
  <c r="E297" i="33" s="1"/>
  <c r="F297" i="33" a="1"/>
  <c r="F297" i="33" s="1"/>
  <c r="B495" i="33" a="1"/>
  <c r="B495" i="33" s="1"/>
  <c r="E495" i="33" a="1"/>
  <c r="E495" i="33" s="1"/>
  <c r="F495" i="33" a="1"/>
  <c r="F495" i="33" s="1"/>
  <c r="B378" i="33" a="1"/>
  <c r="B378" i="33" s="1"/>
  <c r="E378" i="33" a="1"/>
  <c r="E378" i="33" s="1"/>
  <c r="F378" i="33" a="1"/>
  <c r="F378" i="33" s="1"/>
  <c r="B470" i="33" a="1"/>
  <c r="B470" i="33" s="1"/>
  <c r="E470" i="33" a="1"/>
  <c r="E470" i="33" s="1"/>
  <c r="F470" i="33" a="1"/>
  <c r="F470" i="33" s="1"/>
  <c r="B337" i="33" a="1"/>
  <c r="B337" i="33" s="1"/>
  <c r="E337" i="33" a="1"/>
  <c r="E337" i="33" s="1"/>
  <c r="F337" i="33" a="1"/>
  <c r="F337" i="33" s="1"/>
  <c r="B496" i="33" a="1"/>
  <c r="B496" i="33" s="1"/>
  <c r="E496" i="33" a="1"/>
  <c r="E496" i="33" s="1"/>
  <c r="F496" i="33" a="1"/>
  <c r="F496" i="33" s="1"/>
  <c r="B392" i="33" a="1"/>
  <c r="B392" i="33" s="1"/>
  <c r="E392" i="33" a="1"/>
  <c r="E392" i="33" s="1"/>
  <c r="F392" i="33" a="1"/>
  <c r="F392" i="33" s="1"/>
  <c r="B414" i="33" a="1"/>
  <c r="B414" i="33" s="1"/>
  <c r="E414" i="33" a="1"/>
  <c r="E414" i="33" s="1"/>
  <c r="F414" i="33" a="1"/>
  <c r="F414" i="33" s="1"/>
  <c r="B481" i="33" a="1"/>
  <c r="B481" i="33" s="1"/>
  <c r="E481" i="33" a="1"/>
  <c r="E481" i="33" s="1"/>
  <c r="F481" i="33" a="1"/>
  <c r="F481" i="33" s="1"/>
  <c r="B199" i="33" a="1"/>
  <c r="B199" i="33" s="1"/>
  <c r="E199" i="33" a="1"/>
  <c r="E199" i="33" s="1"/>
  <c r="F199" i="33" a="1"/>
  <c r="F199" i="33" s="1"/>
  <c r="B189" i="33" a="1"/>
  <c r="B189" i="33" s="1"/>
  <c r="E189" i="33" a="1"/>
  <c r="E189" i="33" s="1"/>
  <c r="F189" i="33" a="1"/>
  <c r="F189" i="33" s="1"/>
  <c r="B226" i="33" a="1"/>
  <c r="B226" i="33" s="1"/>
  <c r="E226" i="33" a="1"/>
  <c r="E226" i="33" s="1"/>
  <c r="F226" i="33" a="1"/>
  <c r="F226" i="33" s="1"/>
  <c r="B274" i="33" a="1"/>
  <c r="B274" i="33" s="1"/>
  <c r="E274" i="33" a="1"/>
  <c r="E274" i="33" s="1"/>
  <c r="F274" i="33" a="1"/>
  <c r="F274" i="33" s="1"/>
  <c r="B285" i="33" a="1"/>
  <c r="B285" i="33" s="1"/>
  <c r="E285" i="33" a="1"/>
  <c r="E285" i="33" s="1"/>
  <c r="F285" i="33" a="1"/>
  <c r="F285" i="33" s="1"/>
  <c r="B493" i="33" a="1"/>
  <c r="B493" i="33" s="1"/>
  <c r="E493" i="33" a="1"/>
  <c r="E493" i="33" s="1"/>
  <c r="F493" i="33" a="1"/>
  <c r="F493" i="33" s="1"/>
  <c r="B244" i="33" a="1"/>
  <c r="B244" i="33" s="1"/>
  <c r="E244" i="33" a="1"/>
  <c r="E244" i="33" s="1"/>
  <c r="F244" i="33" a="1"/>
  <c r="F244" i="33" s="1"/>
  <c r="B70" i="33" a="1"/>
  <c r="B70" i="33" s="1"/>
  <c r="E70" i="33" a="1"/>
  <c r="E70" i="33" s="1"/>
  <c r="F70" i="33" a="1"/>
  <c r="F70" i="33" s="1"/>
  <c r="B523" i="33" a="1"/>
  <c r="B523" i="33" s="1"/>
  <c r="E523" i="33" a="1"/>
  <c r="E523" i="33" s="1"/>
  <c r="F523" i="33" a="1"/>
  <c r="F523" i="33" s="1"/>
  <c r="B445" i="33" a="1"/>
  <c r="B445" i="33" s="1"/>
  <c r="E445" i="33" a="1"/>
  <c r="E445" i="33" s="1"/>
  <c r="F445" i="33" a="1"/>
  <c r="F445" i="33" s="1"/>
  <c r="B69" i="33" a="1"/>
  <c r="B69" i="33" s="1"/>
  <c r="E69" i="33" a="1"/>
  <c r="E69" i="33" s="1"/>
  <c r="F69" i="33" a="1"/>
  <c r="F69" i="33" s="1"/>
  <c r="B452" i="33" a="1"/>
  <c r="B452" i="33" s="1"/>
  <c r="E452" i="33" a="1"/>
  <c r="E452" i="33" s="1"/>
  <c r="F452" i="33" a="1"/>
  <c r="F452" i="33" s="1"/>
  <c r="B401" i="33" a="1"/>
  <c r="B401" i="33" s="1"/>
  <c r="E401" i="33" a="1"/>
  <c r="E401" i="33" s="1"/>
  <c r="F401" i="33" a="1"/>
  <c r="F401" i="33" s="1"/>
  <c r="B77" i="33" a="1"/>
  <c r="B77" i="33" s="1"/>
  <c r="E77" i="33" a="1"/>
  <c r="E77" i="33" s="1"/>
  <c r="F77" i="33" a="1"/>
  <c r="F77" i="33" s="1"/>
  <c r="B449" i="33" a="1"/>
  <c r="B449" i="33" s="1"/>
  <c r="E449" i="33" a="1"/>
  <c r="E449" i="33" s="1"/>
  <c r="F449" i="33" a="1"/>
  <c r="F449" i="33" s="1"/>
  <c r="B156" i="33" a="1"/>
  <c r="B156" i="33" s="1"/>
  <c r="E156" i="33" a="1"/>
  <c r="E156" i="33" s="1"/>
  <c r="F156" i="33" a="1"/>
  <c r="F156" i="33" s="1"/>
  <c r="B333" i="33" a="1"/>
  <c r="B333" i="33" s="1"/>
  <c r="E333" i="33" a="1"/>
  <c r="E333" i="33" s="1"/>
  <c r="F333" i="33" a="1"/>
  <c r="F333" i="33" s="1"/>
  <c r="B471" i="33" a="1"/>
  <c r="B471" i="33" s="1"/>
  <c r="E471" i="33" a="1"/>
  <c r="E471" i="33" s="1"/>
  <c r="F471" i="33" a="1"/>
  <c r="F471" i="33" s="1"/>
  <c r="B322" i="33" a="1"/>
  <c r="B322" i="33" s="1"/>
  <c r="E322" i="33" a="1"/>
  <c r="E322" i="33" s="1"/>
  <c r="F322" i="33" a="1"/>
  <c r="F322" i="33" s="1"/>
  <c r="B419" i="33" a="1"/>
  <c r="B419" i="33" s="1"/>
  <c r="E419" i="33" a="1"/>
  <c r="E419" i="33" s="1"/>
  <c r="F419" i="33" a="1"/>
  <c r="F419" i="33" s="1"/>
  <c r="B329" i="33" a="1"/>
  <c r="B329" i="33" s="1"/>
  <c r="E329" i="33" a="1"/>
  <c r="E329" i="33" s="1"/>
  <c r="F329" i="33" a="1"/>
  <c r="F329" i="33" s="1"/>
  <c r="B232" i="33" a="1"/>
  <c r="B232" i="33" s="1"/>
  <c r="E232" i="33" a="1"/>
  <c r="E232" i="33" s="1"/>
  <c r="F232" i="33" a="1"/>
  <c r="F232" i="33" s="1"/>
  <c r="B485" i="33" a="1"/>
  <c r="B485" i="33" s="1"/>
  <c r="E485" i="33" a="1"/>
  <c r="E485" i="33" s="1"/>
  <c r="F485" i="33" a="1"/>
  <c r="F485" i="33" s="1"/>
  <c r="B434" i="33" a="1"/>
  <c r="B434" i="33" s="1"/>
  <c r="E434" i="33" a="1"/>
  <c r="E434" i="33" s="1"/>
  <c r="F434" i="33" a="1"/>
  <c r="F434" i="33" s="1"/>
  <c r="B153" i="33" a="1"/>
  <c r="B153" i="33" s="1"/>
  <c r="E153" i="33" a="1"/>
  <c r="E153" i="33" s="1"/>
  <c r="F153" i="33" a="1"/>
  <c r="F153" i="33" s="1"/>
  <c r="B216" i="33" a="1"/>
  <c r="B216" i="33" s="1"/>
  <c r="E216" i="33" a="1"/>
  <c r="E216" i="33" s="1"/>
  <c r="F216" i="33" a="1"/>
  <c r="F216" i="33" s="1"/>
  <c r="B461" i="33" a="1"/>
  <c r="B461" i="33" s="1"/>
  <c r="E461" i="33" a="1"/>
  <c r="E461" i="33" s="1"/>
  <c r="F461" i="33" a="1"/>
  <c r="F461" i="33" s="1"/>
  <c r="B310" i="33" a="1"/>
  <c r="B310" i="33" s="1"/>
  <c r="E310" i="33" a="1"/>
  <c r="E310" i="33" s="1"/>
  <c r="F310" i="33" a="1"/>
  <c r="F310" i="33" s="1"/>
  <c r="B505" i="33" a="1"/>
  <c r="B505" i="33" s="1"/>
  <c r="E505" i="33" a="1"/>
  <c r="E505" i="33" s="1"/>
  <c r="F505" i="33" a="1"/>
  <c r="F505" i="33" s="1"/>
  <c r="B83" i="33" a="1"/>
  <c r="B83" i="33" s="1"/>
  <c r="E83" i="33" a="1"/>
  <c r="E83" i="33" s="1"/>
  <c r="F83" i="33" a="1"/>
  <c r="F83" i="33" s="1"/>
  <c r="B526" i="33" a="1"/>
  <c r="B526" i="33" s="1"/>
  <c r="E526" i="33" a="1"/>
  <c r="E526" i="33" s="1"/>
  <c r="F526" i="33" a="1"/>
  <c r="F526" i="33" s="1"/>
  <c r="B502" i="33" a="1"/>
  <c r="B502" i="33" s="1"/>
  <c r="E502" i="33" a="1"/>
  <c r="E502" i="33" s="1"/>
  <c r="F502" i="33" a="1"/>
  <c r="F502" i="33" s="1"/>
  <c r="B500" i="33" a="1"/>
  <c r="B500" i="33" s="1"/>
  <c r="E500" i="33" a="1"/>
  <c r="E500" i="33" s="1"/>
  <c r="F500" i="33" a="1"/>
  <c r="F500" i="33" s="1"/>
  <c r="B447" i="33" a="1"/>
  <c r="B447" i="33" s="1"/>
  <c r="E447" i="33" a="1"/>
  <c r="E447" i="33" s="1"/>
  <c r="F447" i="33" a="1"/>
  <c r="F447" i="33" s="1"/>
  <c r="B446" i="33" a="1"/>
  <c r="B446" i="33" s="1"/>
  <c r="E446" i="33" a="1"/>
  <c r="E446" i="33" s="1"/>
  <c r="F446" i="33" a="1"/>
  <c r="F446" i="33" s="1"/>
  <c r="B404" i="33" a="1"/>
  <c r="B404" i="33" s="1"/>
  <c r="E404" i="33" a="1"/>
  <c r="E404" i="33" s="1"/>
  <c r="F404" i="33" a="1"/>
  <c r="F404" i="33" s="1"/>
  <c r="B19" i="33" a="1"/>
  <c r="B19" i="33" s="1"/>
  <c r="E19" i="33" a="1"/>
  <c r="E19" i="33" s="1"/>
  <c r="F19" i="33" a="1"/>
  <c r="F19" i="33" s="1"/>
  <c r="B422" i="33" a="1"/>
  <c r="B422" i="33" s="1"/>
  <c r="E422" i="33" a="1"/>
  <c r="E422" i="33" s="1"/>
  <c r="F422" i="33" a="1"/>
  <c r="F422" i="33" s="1"/>
  <c r="B98" i="33" a="1"/>
  <c r="B98" i="33" s="1"/>
  <c r="E98" i="33" a="1"/>
  <c r="E98" i="33" s="1"/>
  <c r="F98" i="33" a="1"/>
  <c r="F98" i="33" s="1"/>
  <c r="B63" i="33" a="1"/>
  <c r="B63" i="33" s="1"/>
  <c r="E63" i="33" a="1"/>
  <c r="E63" i="33" s="1"/>
  <c r="F63" i="33" a="1"/>
  <c r="F63" i="33" s="1"/>
  <c r="B494" i="33" a="1"/>
  <c r="B494" i="33" s="1"/>
  <c r="E494" i="33" a="1"/>
  <c r="E494" i="33" s="1"/>
  <c r="F494" i="33" a="1"/>
  <c r="F494" i="33" s="1"/>
  <c r="B138" i="33" a="1"/>
  <c r="B138" i="33" s="1"/>
  <c r="E138" i="33" a="1"/>
  <c r="E138" i="33" s="1"/>
  <c r="F138" i="33" a="1"/>
  <c r="F138" i="33" s="1"/>
  <c r="B228" i="33" a="1"/>
  <c r="B228" i="33" s="1"/>
  <c r="E228" i="33" a="1"/>
  <c r="E228" i="33" s="1"/>
  <c r="F228" i="33" a="1"/>
  <c r="F228" i="33" s="1"/>
  <c r="B256" i="33" a="1"/>
  <c r="B256" i="33" s="1"/>
  <c r="E256" i="33" a="1"/>
  <c r="E256" i="33" s="1"/>
  <c r="F256" i="33" a="1"/>
  <c r="F256" i="33" s="1"/>
  <c r="B488" i="33" a="1"/>
  <c r="B488" i="33" s="1"/>
  <c r="E488" i="33" a="1"/>
  <c r="E488" i="33" s="1"/>
  <c r="F488" i="33" a="1"/>
  <c r="F488" i="33" s="1"/>
  <c r="B277" i="33" a="1"/>
  <c r="B277" i="33" s="1"/>
  <c r="E277" i="33" a="1"/>
  <c r="E277" i="33" s="1"/>
  <c r="F277" i="33" a="1"/>
  <c r="F277" i="33" s="1"/>
  <c r="B208" i="33" a="1"/>
  <c r="B208" i="33" s="1"/>
  <c r="E208" i="33" a="1"/>
  <c r="E208" i="33" s="1"/>
  <c r="F208" i="33" a="1"/>
  <c r="F208" i="33" s="1"/>
  <c r="B462" i="33" a="1"/>
  <c r="B462" i="33" s="1"/>
  <c r="E462" i="33" a="1"/>
  <c r="E462" i="33" s="1"/>
  <c r="F462" i="33" a="1"/>
  <c r="F462" i="33" s="1"/>
  <c r="B453" i="33" a="1"/>
  <c r="B453" i="33" s="1"/>
  <c r="E453" i="33" a="1"/>
  <c r="E453" i="33" s="1"/>
  <c r="F453" i="33" a="1"/>
  <c r="F453" i="33" s="1"/>
  <c r="B458" i="33" a="1"/>
  <c r="B458" i="33" s="1"/>
  <c r="E458" i="33" a="1"/>
  <c r="E458" i="33" s="1"/>
  <c r="F458" i="33" a="1"/>
  <c r="F458" i="33" s="1"/>
  <c r="B479" i="33" a="1"/>
  <c r="B479" i="33" s="1"/>
  <c r="E479" i="33" a="1"/>
  <c r="E479" i="33" s="1"/>
  <c r="F479" i="33" a="1"/>
  <c r="F479" i="33" s="1"/>
  <c r="B197" i="33" a="1"/>
  <c r="B197" i="33" s="1"/>
  <c r="E197" i="33" a="1"/>
  <c r="E197" i="33" s="1"/>
  <c r="F197" i="33" a="1"/>
  <c r="F197" i="33" s="1"/>
  <c r="B501" i="33" a="1"/>
  <c r="B501" i="33" s="1"/>
  <c r="E501" i="33" a="1"/>
  <c r="E501" i="33" s="1"/>
  <c r="F501" i="33" a="1"/>
  <c r="F501" i="33" s="1"/>
  <c r="B499" i="33" a="1"/>
  <c r="B499" i="33" s="1"/>
  <c r="E499" i="33" a="1"/>
  <c r="E499" i="33" s="1"/>
  <c r="F499" i="33" a="1"/>
  <c r="F499" i="33" s="1"/>
  <c r="B140" i="33" a="1"/>
  <c r="B140" i="33" s="1"/>
  <c r="E140" i="33" a="1"/>
  <c r="E140" i="33" s="1"/>
  <c r="F140" i="33" a="1"/>
  <c r="F140" i="33" s="1"/>
  <c r="B125" i="33" a="1"/>
  <c r="B125" i="33" s="1"/>
  <c r="E125" i="33" a="1"/>
  <c r="E125" i="33" s="1"/>
  <c r="F125" i="33" a="1"/>
  <c r="F125" i="33" s="1"/>
  <c r="B464" i="33" a="1"/>
  <c r="B464" i="33" s="1"/>
  <c r="E464" i="33" a="1"/>
  <c r="E464" i="33" s="1"/>
  <c r="F464" i="33" a="1"/>
  <c r="F464" i="33" s="1"/>
  <c r="B411" i="33" a="1"/>
  <c r="B411" i="33" s="1"/>
  <c r="E411" i="33" a="1"/>
  <c r="E411" i="33" s="1"/>
  <c r="F411" i="33" a="1"/>
  <c r="F411" i="33" s="1"/>
  <c r="B54" i="33" a="1"/>
  <c r="B54" i="33" s="1"/>
  <c r="E54" i="33" a="1"/>
  <c r="E54" i="33" s="1"/>
  <c r="F54" i="33" a="1"/>
  <c r="F54" i="33" s="1"/>
  <c r="B139" i="33" a="1"/>
  <c r="B139" i="33" s="1"/>
  <c r="E139" i="33" a="1"/>
  <c r="E139" i="33" s="1"/>
  <c r="F139" i="33" a="1"/>
  <c r="F139" i="33" s="1"/>
  <c r="B137" i="33" a="1"/>
  <c r="B137" i="33" s="1"/>
  <c r="E137" i="33" a="1"/>
  <c r="E137" i="33" s="1"/>
  <c r="F137" i="33" a="1"/>
  <c r="F137" i="33" s="1"/>
  <c r="B84" i="33" a="1"/>
  <c r="B84" i="33" s="1"/>
  <c r="E84" i="33" a="1"/>
  <c r="E84" i="33" s="1"/>
  <c r="F84" i="33" a="1"/>
  <c r="F84" i="33" s="1"/>
  <c r="B143" i="33" a="1"/>
  <c r="B143" i="33" s="1"/>
  <c r="E143" i="33" a="1"/>
  <c r="E143" i="33" s="1"/>
  <c r="F143" i="33" a="1"/>
  <c r="F143" i="33" s="1"/>
  <c r="B17" i="33" a="1"/>
  <c r="B17" i="33" s="1"/>
  <c r="E17" i="33" a="1"/>
  <c r="E17" i="33" s="1"/>
  <c r="F17" i="33" a="1"/>
  <c r="F17" i="33" s="1"/>
  <c r="E575" i="33" a="1"/>
  <c r="E575" i="33" s="1"/>
  <c r="E51" i="33" a="1"/>
  <c r="E51" i="33" s="1"/>
  <c r="E87" i="33" a="1"/>
  <c r="E87" i="33" s="1"/>
  <c r="E377" i="33" a="1"/>
  <c r="E377" i="33" s="1"/>
  <c r="E55" i="33" a="1"/>
  <c r="E55" i="33" s="1"/>
  <c r="E134" i="33" a="1"/>
  <c r="E134" i="33" s="1"/>
  <c r="E602" i="33" a="1"/>
  <c r="E602" i="33" s="1"/>
  <c r="E124" i="33" a="1"/>
  <c r="E124" i="33" s="1"/>
  <c r="E315" i="33" a="1"/>
  <c r="E315" i="33" s="1"/>
  <c r="E24" i="33" a="1"/>
  <c r="E24" i="33" s="1"/>
  <c r="E383" i="33" a="1"/>
  <c r="E383" i="33" s="1"/>
  <c r="B383" i="33" a="1"/>
  <c r="B383" i="33" s="1"/>
  <c r="F383" i="33" a="1"/>
  <c r="F383" i="33" s="1"/>
  <c r="B24" i="33" a="1"/>
  <c r="B24" i="33" s="1"/>
  <c r="F24" i="33" a="1"/>
  <c r="F24" i="33" s="1"/>
  <c r="B315" i="33" a="1"/>
  <c r="B315" i="33" s="1"/>
  <c r="F315" i="33" a="1"/>
  <c r="F315" i="33" s="1"/>
  <c r="B124" i="33" a="1"/>
  <c r="B124" i="33" s="1"/>
  <c r="F124" i="33" a="1"/>
  <c r="F124" i="33" s="1"/>
  <c r="B602" i="33" a="1"/>
  <c r="B602" i="33" s="1"/>
  <c r="F602" i="33" a="1"/>
  <c r="F602" i="33" s="1"/>
  <c r="B134" i="33" a="1"/>
  <c r="B134" i="33" s="1"/>
  <c r="F134" i="33" a="1"/>
  <c r="F134" i="33" s="1"/>
  <c r="B55" i="33" a="1"/>
  <c r="B55" i="33" s="1"/>
  <c r="F55" i="33" a="1"/>
  <c r="F55" i="33" s="1"/>
  <c r="B377" i="33" a="1"/>
  <c r="B377" i="33" s="1"/>
  <c r="F377" i="33" a="1"/>
  <c r="F377" i="33" s="1"/>
  <c r="B87" i="33" a="1"/>
  <c r="B87" i="33" s="1"/>
  <c r="F87" i="33" a="1"/>
  <c r="F87" i="33" s="1"/>
  <c r="B51" i="33" a="1"/>
  <c r="B51" i="33" s="1"/>
  <c r="F51" i="33" a="1"/>
  <c r="F51" i="33" s="1"/>
  <c r="F575" i="33" a="1"/>
  <c r="F575" i="33" s="1"/>
  <c r="B575" i="33" a="1"/>
  <c r="B575" i="33" s="1"/>
  <c r="AE835" i="31" l="1"/>
  <c r="AE833" i="31"/>
  <c r="AE834" i="31"/>
  <c r="AE831" i="31"/>
  <c r="AE832" i="31"/>
  <c r="AE829" i="31"/>
  <c r="AE830" i="31"/>
  <c r="AE827" i="31"/>
  <c r="AE828" i="31"/>
  <c r="AE825" i="31"/>
  <c r="AE826" i="31"/>
  <c r="AE823" i="31"/>
  <c r="AE824" i="31"/>
  <c r="AE821" i="31"/>
  <c r="AE822" i="31"/>
  <c r="AE819" i="31"/>
  <c r="AE820" i="31"/>
  <c r="AE817" i="31"/>
  <c r="AE818" i="31"/>
  <c r="AE815" i="31"/>
  <c r="AE816" i="31"/>
  <c r="AE813" i="31"/>
  <c r="AE814" i="31"/>
  <c r="AE811" i="31"/>
  <c r="AE812" i="31"/>
  <c r="AE809" i="31"/>
  <c r="AE810" i="31"/>
  <c r="AE807" i="31"/>
  <c r="AE808" i="31"/>
  <c r="AE805" i="31"/>
  <c r="AE806" i="31"/>
  <c r="AE803" i="31"/>
  <c r="AE804" i="31"/>
  <c r="AE801" i="31"/>
  <c r="AE802" i="31"/>
  <c r="AE799" i="31"/>
  <c r="AE800" i="31"/>
  <c r="AE796" i="31"/>
  <c r="AE798" i="31"/>
  <c r="AE797" i="31"/>
  <c r="AE795" i="31"/>
  <c r="AE794" i="31"/>
  <c r="AE792" i="31"/>
  <c r="AE793" i="31"/>
  <c r="AE762" i="31"/>
  <c r="AE791" i="31"/>
  <c r="AE717" i="31"/>
  <c r="AE743" i="31"/>
  <c r="AE709" i="31"/>
  <c r="AE759" i="31"/>
  <c r="AE742" i="31"/>
  <c r="AE741" i="31"/>
  <c r="AE758" i="31"/>
  <c r="AE781" i="31"/>
  <c r="AE782" i="31"/>
  <c r="AE779" i="31"/>
  <c r="AE790" i="31"/>
  <c r="AE691" i="31"/>
  <c r="AE708" i="31"/>
  <c r="AE767" i="31"/>
  <c r="AE785" i="31"/>
  <c r="AE772" i="31"/>
  <c r="AE774" i="31"/>
  <c r="AE773" i="31"/>
  <c r="AE770" i="31"/>
  <c r="AE771" i="31"/>
  <c r="AE768" i="31"/>
  <c r="AE769" i="31"/>
  <c r="AE754" i="31"/>
  <c r="AE757" i="31"/>
  <c r="AE764" i="31"/>
  <c r="AE765" i="31"/>
  <c r="AE763" i="31"/>
  <c r="AE761" i="31"/>
  <c r="AE789" i="31"/>
  <c r="AE788" i="31"/>
  <c r="AE760" i="31"/>
  <c r="AE737" i="31"/>
  <c r="AE739" i="31"/>
  <c r="AE755" i="31"/>
  <c r="AE756" i="31"/>
  <c r="AE735" i="31"/>
  <c r="AE753" i="31"/>
  <c r="AE751" i="31"/>
  <c r="AE752" i="31"/>
  <c r="AE749" i="31"/>
  <c r="AE750" i="31"/>
  <c r="AE747" i="31"/>
  <c r="AE748" i="31"/>
  <c r="AE720" i="31"/>
  <c r="AE725" i="31"/>
  <c r="AE676" i="31"/>
  <c r="AE690" i="31"/>
  <c r="AE744" i="31"/>
  <c r="AE745" i="31"/>
  <c r="AE740" i="31"/>
  <c r="AE738" i="31"/>
  <c r="AE787" i="31"/>
  <c r="AE736" i="31"/>
  <c r="AE719" i="31"/>
  <c r="AE734" i="31"/>
  <c r="AE669" i="31"/>
  <c r="AE732" i="31"/>
  <c r="AE733" i="31"/>
  <c r="AE731" i="31"/>
  <c r="AE729" i="31"/>
  <c r="AE730" i="31"/>
  <c r="AE727" i="31"/>
  <c r="AE728" i="31"/>
  <c r="AE784" i="31"/>
  <c r="AE726" i="31"/>
  <c r="AE723" i="31"/>
  <c r="AE724" i="31"/>
  <c r="AE672" i="31"/>
  <c r="AE722" i="31"/>
  <c r="AE721" i="31"/>
  <c r="AE718" i="31"/>
  <c r="AE766" i="31"/>
  <c r="AE716" i="31"/>
  <c r="AE786" i="31"/>
  <c r="AE714" i="31"/>
  <c r="AE715" i="31"/>
  <c r="AE712" i="31"/>
  <c r="AE713" i="31"/>
  <c r="AE710" i="31"/>
  <c r="AE711" i="31"/>
  <c r="AE670" i="31"/>
  <c r="AE746" i="31"/>
  <c r="AE706" i="31"/>
  <c r="AE707" i="31"/>
  <c r="AE704" i="31"/>
  <c r="AE705" i="31"/>
  <c r="AE702" i="31"/>
  <c r="AE703" i="31"/>
  <c r="AE700" i="31"/>
  <c r="AE701" i="31"/>
  <c r="AE698" i="31"/>
  <c r="AE699" i="31"/>
  <c r="AE696" i="31"/>
  <c r="AE697" i="31"/>
  <c r="AE694" i="31"/>
  <c r="AE695" i="31"/>
  <c r="AE692" i="31"/>
  <c r="AE693" i="31"/>
  <c r="AE780" i="31"/>
  <c r="AE783" i="31"/>
  <c r="AE688" i="31"/>
  <c r="AE689" i="31"/>
  <c r="AE686" i="31"/>
  <c r="AE687" i="31"/>
  <c r="AE684" i="31"/>
  <c r="AE685" i="31"/>
  <c r="AE682" i="31"/>
  <c r="AE683" i="31"/>
  <c r="AE681" i="31"/>
  <c r="AE680" i="31"/>
  <c r="AE679" i="31"/>
  <c r="AE560" i="31"/>
  <c r="AE646" i="31"/>
  <c r="AE647" i="31"/>
  <c r="AE664" i="31"/>
  <c r="AE653" i="31"/>
  <c r="AE636" i="31"/>
  <c r="AE639" i="31"/>
  <c r="AE677" i="31"/>
  <c r="AE678" i="31"/>
  <c r="AE654" i="31"/>
  <c r="AE652" i="31"/>
  <c r="AE649" i="31"/>
  <c r="AE650" i="31"/>
  <c r="AE634" i="31"/>
  <c r="AE663" i="31"/>
  <c r="AE661" i="31"/>
  <c r="AE667" i="31"/>
  <c r="AE662" i="31"/>
  <c r="AE658" i="31"/>
  <c r="AE660" i="31"/>
  <c r="AE656" i="31"/>
  <c r="AE657" i="31"/>
  <c r="AE645" i="31"/>
  <c r="AE640" i="31"/>
  <c r="AE615" i="31"/>
  <c r="AE613" i="31"/>
  <c r="AE668" i="31"/>
  <c r="AE651" i="31"/>
  <c r="AE621" i="31"/>
  <c r="AE659" i="31"/>
  <c r="AE612" i="31"/>
  <c r="AE620" i="31"/>
  <c r="AE778" i="31"/>
  <c r="AE643" i="31"/>
  <c r="AE644" i="31"/>
  <c r="AE605" i="31"/>
  <c r="AE606" i="31"/>
  <c r="AE616" i="31"/>
  <c r="AE633" i="31"/>
  <c r="AE637" i="31"/>
  <c r="AE638" i="31"/>
  <c r="AE655" i="31"/>
  <c r="AE607" i="31"/>
  <c r="AE559" i="31"/>
  <c r="AE611" i="31"/>
  <c r="AE631" i="31"/>
  <c r="AE632" i="31"/>
  <c r="AE629" i="31"/>
  <c r="AE630" i="31"/>
  <c r="AE627" i="31"/>
  <c r="AE628" i="31"/>
  <c r="AE625" i="31"/>
  <c r="AE626" i="31"/>
  <c r="AE595" i="31"/>
  <c r="AE596" i="31"/>
  <c r="AE642" i="31"/>
  <c r="AE622" i="31"/>
  <c r="AE619" i="31"/>
  <c r="AE641" i="31"/>
  <c r="AE618" i="31"/>
  <c r="AE521" i="31"/>
  <c r="AE617" i="31"/>
  <c r="AE500" i="31"/>
  <c r="AE609" i="31"/>
  <c r="AE597" i="31"/>
  <c r="AE598" i="31"/>
  <c r="AE623" i="31"/>
  <c r="AE624" i="31"/>
  <c r="AE527" i="31"/>
  <c r="AE675" i="31"/>
  <c r="AE603" i="31"/>
  <c r="AE523" i="31"/>
  <c r="AE635" i="31"/>
  <c r="AE588" i="31"/>
  <c r="AE602" i="31"/>
  <c r="AE614" i="31"/>
  <c r="AE587" i="31"/>
  <c r="AE601" i="31"/>
  <c r="AE666" i="31"/>
  <c r="AE599" i="31"/>
  <c r="AE584" i="31"/>
  <c r="AE665" i="31"/>
  <c r="AE594" i="31"/>
  <c r="AE579" i="31"/>
  <c r="AE592" i="31"/>
  <c r="AE593" i="31"/>
  <c r="AE590" i="31"/>
  <c r="AE591" i="31"/>
  <c r="AE610" i="31"/>
  <c r="AE589" i="31"/>
  <c r="AE586" i="31"/>
  <c r="AE600" i="31"/>
  <c r="AE496" i="31"/>
  <c r="AE585" i="31"/>
  <c r="AE582" i="31"/>
  <c r="AE583" i="31"/>
  <c r="AE580" i="31"/>
  <c r="AE581" i="31"/>
  <c r="AE578" i="31"/>
  <c r="AE608" i="31"/>
  <c r="AE576" i="31"/>
  <c r="AE577" i="31"/>
  <c r="AE604" i="31"/>
  <c r="AE674" i="31"/>
  <c r="AE573" i="31"/>
  <c r="AE571" i="31"/>
  <c r="AE572" i="31"/>
  <c r="AE569" i="31"/>
  <c r="AE570" i="31"/>
  <c r="AE567" i="31"/>
  <c r="AE568" i="31"/>
  <c r="AE565" i="31"/>
  <c r="AE566" i="31"/>
  <c r="AE564" i="31"/>
  <c r="AE563" i="31"/>
  <c r="AE561" i="31"/>
  <c r="AE562" i="31"/>
  <c r="AE557" i="31"/>
  <c r="AE558" i="31"/>
  <c r="AE555" i="31"/>
  <c r="AE556" i="31"/>
  <c r="AE553" i="31"/>
  <c r="AE554" i="31"/>
  <c r="AE551" i="31"/>
  <c r="AE552" i="31"/>
  <c r="AE549" i="31"/>
  <c r="AE550" i="31"/>
  <c r="AE547" i="31"/>
  <c r="AE548" i="31"/>
  <c r="AE545" i="31"/>
  <c r="AE546" i="31"/>
  <c r="AE543" i="31"/>
  <c r="AE544" i="31"/>
  <c r="AE541" i="31"/>
  <c r="AE542" i="31"/>
  <c r="AE539" i="31"/>
  <c r="AE540" i="31"/>
  <c r="AE537" i="31"/>
  <c r="AE534" i="31"/>
  <c r="AE536" i="31"/>
  <c r="AE535" i="31"/>
  <c r="AE673" i="31"/>
  <c r="AE533" i="31"/>
  <c r="AE530" i="31"/>
  <c r="AE531" i="31"/>
  <c r="AE528" i="31"/>
  <c r="AE529" i="31"/>
  <c r="AE526" i="31"/>
  <c r="AE494" i="31"/>
  <c r="AE524" i="31"/>
  <c r="AE525" i="31"/>
  <c r="AE497" i="31"/>
  <c r="AE493" i="31"/>
  <c r="AE532" i="31"/>
  <c r="AE522" i="31"/>
  <c r="AE519" i="31"/>
  <c r="AE520" i="31"/>
  <c r="AE517" i="31"/>
  <c r="AE518" i="31"/>
  <c r="AE515" i="31"/>
  <c r="AE516" i="31"/>
  <c r="AE513" i="31"/>
  <c r="AE514" i="31"/>
  <c r="AE511" i="31"/>
  <c r="AE512" i="31"/>
  <c r="AE509" i="31"/>
  <c r="AE510" i="31"/>
  <c r="AE507" i="31"/>
  <c r="AE508" i="31"/>
  <c r="AE505" i="31"/>
  <c r="AE506" i="31"/>
  <c r="AE503" i="31"/>
  <c r="AE504" i="31"/>
  <c r="AE501" i="31"/>
  <c r="AE502" i="31"/>
  <c r="AE499" i="31"/>
  <c r="AE777" i="31"/>
  <c r="AE498" i="31"/>
  <c r="AE479" i="31"/>
  <c r="AE480" i="31"/>
  <c r="AE478" i="31"/>
  <c r="AE487" i="31"/>
  <c r="AE488" i="31"/>
  <c r="AE483" i="31"/>
  <c r="AE486" i="31"/>
  <c r="AE489" i="31"/>
  <c r="AE491" i="31"/>
  <c r="AE475" i="31"/>
  <c r="AE477" i="31"/>
  <c r="AE471" i="31"/>
  <c r="AE474" i="31"/>
  <c r="AE484" i="31"/>
  <c r="AE485" i="31"/>
  <c r="AE490" i="31"/>
  <c r="AE492" i="31"/>
  <c r="AE481" i="31"/>
  <c r="AE469" i="31"/>
  <c r="AE465" i="31"/>
  <c r="AE495" i="31"/>
  <c r="AE468" i="31"/>
  <c r="AE464" i="31"/>
  <c r="AE476" i="31"/>
  <c r="AE473" i="31"/>
  <c r="AE482" i="31"/>
  <c r="AE671" i="31"/>
  <c r="AE472" i="31"/>
  <c r="AE776" i="31"/>
  <c r="AE470" i="31"/>
  <c r="AE463" i="31"/>
  <c r="AE460" i="31"/>
  <c r="AE454" i="31"/>
  <c r="AE427" i="31"/>
  <c r="AE459" i="31"/>
  <c r="AE453" i="31"/>
  <c r="AE451" i="31"/>
  <c r="AE458" i="31"/>
  <c r="AE445" i="31"/>
  <c r="AE446" i="31"/>
  <c r="AE775" i="31"/>
  <c r="AE435" i="31"/>
  <c r="AE455" i="31"/>
  <c r="AE456" i="31"/>
  <c r="AE429" i="31"/>
  <c r="AE467" i="31"/>
  <c r="AE462" i="31"/>
  <c r="AE11" i="31"/>
  <c r="AE448" i="31"/>
  <c r="AE450" i="31"/>
  <c r="AE449" i="31"/>
  <c r="AE106" i="31"/>
  <c r="AE84" i="31"/>
  <c r="AE90" i="31"/>
  <c r="AE442" i="31"/>
  <c r="AE85" i="31"/>
  <c r="AE71" i="31"/>
  <c r="AE441" i="31"/>
  <c r="AE438" i="31"/>
  <c r="AE107" i="31"/>
  <c r="AE436" i="31"/>
  <c r="AE437" i="31"/>
  <c r="AE434" i="31"/>
  <c r="AE417" i="31"/>
  <c r="AE432" i="31"/>
  <c r="AE433" i="31"/>
  <c r="AE466" i="31"/>
  <c r="AE416" i="31"/>
  <c r="AE392" i="31"/>
  <c r="AE457" i="31"/>
  <c r="AE404" i="31"/>
  <c r="AE399" i="31"/>
  <c r="AE408" i="31"/>
  <c r="AE409" i="31"/>
  <c r="AE115" i="31"/>
  <c r="AE424" i="31"/>
  <c r="AE100" i="31"/>
  <c r="AE133" i="31"/>
  <c r="AE92" i="31"/>
  <c r="AE130" i="31"/>
  <c r="AE425" i="31"/>
  <c r="AE120" i="31"/>
  <c r="AE414" i="31"/>
  <c r="AE415" i="31"/>
  <c r="AE369" i="31"/>
  <c r="AE380" i="31"/>
  <c r="AE9" i="31"/>
  <c r="AE10" i="31"/>
  <c r="AE461" i="31"/>
  <c r="AE396" i="31"/>
  <c r="AE142" i="31"/>
  <c r="AE119" i="31"/>
  <c r="AE406" i="31"/>
  <c r="AE407" i="31"/>
  <c r="AE138" i="31"/>
  <c r="AE134" i="31"/>
  <c r="AE391" i="31"/>
  <c r="AE411" i="31"/>
  <c r="AE413" i="31"/>
  <c r="AE402" i="31"/>
  <c r="AE575" i="31"/>
  <c r="AE412" i="31"/>
  <c r="AE364" i="31"/>
  <c r="AE398" i="31"/>
  <c r="AE148" i="31"/>
  <c r="AE151" i="31"/>
  <c r="AE353" i="31"/>
  <c r="AE356" i="31"/>
  <c r="AE373" i="31"/>
  <c r="AE372" i="31"/>
  <c r="AE348" i="31"/>
  <c r="AE352" i="31"/>
  <c r="AE362" i="31"/>
  <c r="AE388" i="31"/>
  <c r="AE361" i="31"/>
  <c r="AE381" i="31"/>
  <c r="AE371" i="31"/>
  <c r="AE394" i="31"/>
  <c r="AE351" i="31"/>
  <c r="AE155" i="31"/>
  <c r="AE370" i="31"/>
  <c r="AE410" i="31"/>
  <c r="AE347" i="31"/>
  <c r="AE360" i="31"/>
  <c r="AE358" i="31"/>
  <c r="AE397" i="31"/>
  <c r="AE374" i="31"/>
  <c r="AE375" i="31"/>
  <c r="AE345" i="31"/>
  <c r="AE346" i="31"/>
  <c r="AE405" i="31"/>
  <c r="AE344" i="31"/>
  <c r="AE343" i="31"/>
  <c r="AE368" i="31"/>
  <c r="AE359" i="31"/>
  <c r="AE339" i="31"/>
  <c r="AE342" i="31"/>
  <c r="AE400" i="31"/>
  <c r="AE403" i="31"/>
  <c r="AE337" i="31"/>
  <c r="AE338" i="31"/>
  <c r="AE378" i="31"/>
  <c r="AE376" i="31"/>
  <c r="AE354" i="31"/>
  <c r="AE355" i="31"/>
  <c r="AE310" i="31"/>
  <c r="AE319" i="31"/>
  <c r="AE350" i="31"/>
  <c r="AE336" i="31"/>
  <c r="AE118" i="31"/>
  <c r="AE349" i="31"/>
  <c r="AE149" i="31"/>
  <c r="AE331" i="31"/>
  <c r="AE309" i="31"/>
  <c r="AE330" i="31"/>
  <c r="AE213" i="31"/>
  <c r="AE308" i="31"/>
  <c r="AE168" i="31"/>
  <c r="AE153" i="31"/>
  <c r="AE328" i="31"/>
  <c r="AE329" i="31"/>
  <c r="AE324" i="31"/>
  <c r="AE325" i="31"/>
  <c r="AE166" i="31"/>
  <c r="AE167" i="31"/>
  <c r="AE333" i="31"/>
  <c r="AE152" i="31"/>
  <c r="AE332" i="31"/>
  <c r="AE165" i="31"/>
  <c r="AE187" i="31"/>
  <c r="AE327" i="31"/>
  <c r="AE212" i="31"/>
  <c r="AE326" i="31"/>
  <c r="AE197" i="31"/>
  <c r="AE206" i="31"/>
  <c r="AE322" i="31"/>
  <c r="AE237" i="31"/>
  <c r="AE321" i="31"/>
  <c r="AE366" i="31"/>
  <c r="AE367" i="31"/>
  <c r="AE317" i="31"/>
  <c r="AE318" i="31"/>
  <c r="AE315" i="31"/>
  <c r="AE316" i="31"/>
  <c r="AE313" i="31"/>
  <c r="AE314" i="31"/>
  <c r="AE311" i="31"/>
  <c r="AE312" i="31"/>
  <c r="AE159" i="31"/>
  <c r="AE163" i="31"/>
  <c r="AE188" i="31"/>
  <c r="AE157" i="31"/>
  <c r="AE54" i="31"/>
  <c r="AE68" i="31"/>
  <c r="AE230" i="31"/>
  <c r="AE156" i="31"/>
  <c r="AE287" i="31"/>
  <c r="AE288" i="31"/>
  <c r="AE283" i="31"/>
  <c r="AE286" i="31"/>
  <c r="AE297" i="31"/>
  <c r="AE298" i="31"/>
  <c r="AE282" i="31"/>
  <c r="AE291" i="31"/>
  <c r="AE294" i="31"/>
  <c r="AE267" i="31"/>
  <c r="AE137" i="31"/>
  <c r="AE279" i="31"/>
  <c r="AE262" i="31"/>
  <c r="AE135" i="31"/>
  <c r="AE271" i="31"/>
  <c r="AE428" i="31"/>
  <c r="AE276" i="31"/>
  <c r="AE289" i="31"/>
  <c r="AE284" i="31"/>
  <c r="AE293" i="31"/>
  <c r="AE229" i="31"/>
  <c r="AE266" i="31"/>
  <c r="B867" i="31"/>
  <c r="B866" i="31"/>
  <c r="AE280" i="31"/>
  <c r="AE574" i="31"/>
  <c r="AE274" i="31"/>
  <c r="AE277" i="31"/>
  <c r="AE216" i="31"/>
  <c r="AE222" i="31"/>
  <c r="AE290" i="31"/>
  <c r="AE265" i="31"/>
  <c r="AE281" i="31"/>
  <c r="AE269" i="31"/>
  <c r="AE270" i="31"/>
  <c r="AE292" i="31"/>
  <c r="AE278" i="31"/>
  <c r="AE232" i="31"/>
  <c r="AE275" i="31"/>
  <c r="AE273" i="31"/>
  <c r="AE242" i="31"/>
  <c r="AE261" i="31"/>
  <c r="AE228" i="31"/>
  <c r="AE259" i="31"/>
  <c r="AE241" i="31"/>
  <c r="AE257" i="31"/>
  <c r="AE268" i="31"/>
  <c r="AE255" i="31"/>
  <c r="AE256" i="31"/>
  <c r="AE253" i="31"/>
  <c r="AE254" i="31"/>
  <c r="AE247" i="31"/>
  <c r="AE248" i="31"/>
  <c r="AE251" i="31"/>
  <c r="AE252" i="31"/>
  <c r="AE204" i="31"/>
  <c r="AE218" i="31"/>
  <c r="AE236" i="31"/>
  <c r="AE215" i="31"/>
  <c r="AE238" i="31"/>
  <c r="AE239" i="31"/>
  <c r="AE219" i="31"/>
  <c r="AE303" i="31"/>
  <c r="AE264" i="31"/>
  <c r="AE263" i="31"/>
  <c r="AE395" i="31"/>
  <c r="AE235" i="31"/>
  <c r="AE302" i="31"/>
  <c r="AE260" i="31"/>
  <c r="AE214" i="31"/>
  <c r="AE211" i="31"/>
  <c r="AE208" i="31"/>
  <c r="AE231" i="31"/>
  <c r="AE210" i="31"/>
  <c r="AE221" i="31"/>
  <c r="AE209" i="31"/>
  <c r="AE220" i="31"/>
  <c r="AE296" i="31"/>
  <c r="AE217" i="31"/>
  <c r="AE202" i="31"/>
  <c r="AE203" i="31"/>
  <c r="AE198" i="31"/>
  <c r="AE365" i="31"/>
  <c r="AE47" i="31"/>
  <c r="AE169" i="31"/>
  <c r="AE418" i="31"/>
  <c r="AE64" i="31"/>
  <c r="AE430" i="31"/>
  <c r="AE103" i="31"/>
  <c r="AE389" i="31"/>
  <c r="AE75" i="31"/>
  <c r="AE58" i="31"/>
  <c r="AE244" i="31"/>
  <c r="AE110" i="31"/>
  <c r="AE77" i="31"/>
  <c r="AE122" i="31"/>
  <c r="AE185" i="31"/>
  <c r="AE341" i="31"/>
  <c r="AE111" i="31"/>
  <c r="AE184" i="31"/>
  <c r="AE386" i="31"/>
  <c r="AE74" i="31"/>
  <c r="AE423" i="31"/>
  <c r="AE43" i="31"/>
  <c r="AE191" i="31"/>
  <c r="AE390" i="31"/>
  <c r="AE97" i="31"/>
  <c r="AE49" i="31"/>
  <c r="AE46" i="31"/>
  <c r="AE76" i="31"/>
  <c r="AE44" i="31"/>
  <c r="AE196" i="31"/>
  <c r="AE171" i="31"/>
  <c r="AE131" i="31"/>
  <c r="AE233" i="31"/>
  <c r="AE393" i="31"/>
  <c r="AE154" i="31"/>
  <c r="AE144" i="31"/>
  <c r="AE164" i="31"/>
  <c r="AE69" i="31"/>
  <c r="AE307" i="31"/>
  <c r="AE109" i="31"/>
  <c r="AE140" i="31"/>
  <c r="AE426" i="31"/>
  <c r="AE114" i="31"/>
  <c r="AE174" i="31"/>
  <c r="AE192" i="31"/>
  <c r="AE172" i="31"/>
  <c r="AE62" i="31"/>
  <c r="AE162" i="31"/>
  <c r="AE384" i="31"/>
  <c r="AE125" i="31"/>
  <c r="AE387" i="31"/>
  <c r="AE304" i="31"/>
  <c r="AE104" i="31"/>
  <c r="AE301" i="31"/>
  <c r="AE116" i="31"/>
  <c r="AE323" i="31"/>
  <c r="AE421" i="31"/>
  <c r="AE186" i="31"/>
  <c r="AE65" i="31"/>
  <c r="AE160" i="31"/>
  <c r="AE146" i="31"/>
  <c r="AE190" i="31"/>
  <c r="AE234" i="31"/>
  <c r="AE121" i="31"/>
  <c r="AE382" i="31"/>
  <c r="AE66" i="31"/>
  <c r="AE55" i="31"/>
  <c r="AE379" i="31"/>
  <c r="AE79" i="31"/>
  <c r="AE61" i="31"/>
  <c r="AE422" i="31"/>
  <c r="AE158" i="31"/>
  <c r="AE52" i="31"/>
  <c r="AE161" i="31"/>
  <c r="AE124" i="31"/>
  <c r="AE99" i="31"/>
  <c r="AE363" i="31"/>
  <c r="AE105" i="31"/>
  <c r="AE177" i="31"/>
  <c r="AE60" i="31"/>
  <c r="AE88" i="31"/>
  <c r="AE175" i="31"/>
  <c r="AE57" i="31"/>
  <c r="AE67" i="31"/>
  <c r="AE63" i="31"/>
  <c r="AE189" i="31"/>
  <c r="AE143" i="31"/>
  <c r="AE150" i="31"/>
  <c r="AE42" i="31"/>
  <c r="AE334" i="31"/>
  <c r="AE340" i="31"/>
  <c r="AE36" i="31"/>
  <c r="AE182" i="31"/>
  <c r="AE439" i="31"/>
  <c r="AE431" i="31"/>
  <c r="AE102" i="31"/>
  <c r="AE94" i="31"/>
  <c r="AE40" i="31"/>
  <c r="AE80" i="31"/>
  <c r="AE108" i="31"/>
  <c r="AE420" i="31"/>
  <c r="AE377" i="31"/>
  <c r="AE101" i="31"/>
  <c r="AE299" i="31"/>
  <c r="AE32" i="31"/>
  <c r="AE73" i="31"/>
  <c r="AE147" i="31"/>
  <c r="AE129" i="31"/>
  <c r="AE72" i="31"/>
  <c r="AE53" i="31"/>
  <c r="AE419" i="31"/>
  <c r="AE59" i="31"/>
  <c r="AE87" i="31"/>
  <c r="AE83" i="31"/>
  <c r="AE401" i="31"/>
  <c r="AE207" i="31"/>
  <c r="AE335" i="31"/>
  <c r="AE178" i="31"/>
  <c r="AE132" i="31"/>
  <c r="AE127" i="31"/>
  <c r="AE39" i="31"/>
  <c r="AE357" i="31"/>
  <c r="AE81" i="31"/>
  <c r="AE70" i="31"/>
  <c r="AE385" i="31"/>
  <c r="AE82" i="31"/>
  <c r="AE78" i="31"/>
  <c r="AE95" i="31"/>
  <c r="AE136" i="31"/>
  <c r="AE123" i="31"/>
  <c r="AE300" i="31"/>
  <c r="AE179" i="31"/>
  <c r="AE173" i="31"/>
  <c r="AE141" i="31"/>
  <c r="AE113" i="31"/>
  <c r="AE320" i="31"/>
  <c r="AE93" i="31"/>
  <c r="AE170" i="31"/>
  <c r="AE383" i="31"/>
  <c r="AE45" i="31"/>
  <c r="AE89" i="31"/>
  <c r="AE240" i="31"/>
  <c r="AE272" i="31"/>
  <c r="AE12" i="31"/>
  <c r="AE18" i="31"/>
  <c r="AE27" i="31"/>
  <c r="AE223" i="31"/>
  <c r="AE14" i="31"/>
  <c r="AE258" i="31"/>
  <c r="AE86" i="31"/>
  <c r="AE38" i="31"/>
  <c r="AE440" i="31"/>
  <c r="AE452" i="31"/>
  <c r="AE17" i="31"/>
  <c r="AE226" i="31"/>
  <c r="AE48" i="31"/>
  <c r="AE20" i="31"/>
  <c r="AE29" i="31"/>
  <c r="AE31" i="31"/>
  <c r="AE19" i="31"/>
  <c r="AE25" i="31"/>
  <c r="AE447" i="31"/>
  <c r="AE443" i="31"/>
  <c r="AE176" i="31"/>
  <c r="AE180" i="31"/>
  <c r="AE295" i="31"/>
  <c r="AE139" i="31"/>
  <c r="AE91" i="31"/>
  <c r="AE181" i="31"/>
  <c r="AE34" i="31"/>
  <c r="AE305" i="31"/>
  <c r="AE50" i="31"/>
  <c r="AE35" i="31"/>
  <c r="AE8" i="31"/>
  <c r="AE128" i="31"/>
  <c r="AE306" i="31"/>
  <c r="AE199" i="31"/>
  <c r="AE205" i="31"/>
  <c r="AE30" i="31"/>
  <c r="AE227" i="31"/>
  <c r="AE28" i="31"/>
  <c r="AE243" i="31"/>
  <c r="AE21" i="31"/>
  <c r="AE117" i="31"/>
  <c r="AE22" i="31"/>
  <c r="AE225" i="31"/>
  <c r="AE13" i="31"/>
  <c r="AE33" i="31"/>
  <c r="AE26" i="31"/>
  <c r="AE7" i="31"/>
  <c r="AE41" i="31"/>
  <c r="AE444" i="31"/>
  <c r="AE16" i="31"/>
  <c r="AE37" i="31"/>
  <c r="AE145" i="31"/>
  <c r="AE126" i="31"/>
  <c r="AE98" i="31"/>
  <c r="AE56" i="31"/>
  <c r="AE112" i="31"/>
  <c r="AE200" i="31"/>
  <c r="AE194" i="31"/>
  <c r="AE224" i="31"/>
  <c r="AE96" i="31"/>
  <c r="AE24" i="31"/>
  <c r="AE23" i="31"/>
  <c r="Z6" i="31"/>
  <c r="Z2" i="31" s="1"/>
  <c r="X6" i="31"/>
  <c r="Y6" i="31" s="1"/>
  <c r="S6" i="31"/>
  <c r="B868" i="31" l="1"/>
  <c r="T6" i="31"/>
  <c r="AA6" i="31"/>
  <c r="AE538" i="31" l="1"/>
  <c r="AE648" i="31"/>
  <c r="N556" i="33"/>
  <c r="S937" i="31"/>
  <c r="N130" i="33"/>
  <c r="R130" i="33" s="1"/>
  <c r="N342" i="33"/>
  <c r="R342" i="33" s="1"/>
  <c r="S1024" i="31"/>
  <c r="S1023" i="31"/>
  <c r="N474" i="33"/>
  <c r="N18" i="33"/>
  <c r="R18" i="33" s="1"/>
  <c r="S1012" i="31"/>
  <c r="N136" i="33"/>
  <c r="S965" i="31"/>
  <c r="S948" i="31"/>
  <c r="S934" i="31"/>
  <c r="S976" i="31"/>
  <c r="N217" i="33"/>
  <c r="S1015" i="31"/>
  <c r="S1010" i="31"/>
  <c r="N339" i="33"/>
  <c r="S943" i="31"/>
  <c r="S977" i="31"/>
  <c r="N536" i="33"/>
  <c r="R536" i="33" s="1"/>
  <c r="N386" i="33"/>
  <c r="S920" i="31"/>
  <c r="S941" i="31"/>
  <c r="C21" i="41" s="1"/>
  <c r="N457" i="33"/>
  <c r="R457" i="33" s="1"/>
  <c r="N177" i="33"/>
  <c r="N37" i="33"/>
  <c r="N292" i="33"/>
  <c r="R292" i="33" s="1"/>
  <c r="N332" i="33"/>
  <c r="N323" i="33"/>
  <c r="S1011" i="31"/>
  <c r="S926" i="31"/>
  <c r="C23" i="41" s="1"/>
  <c r="S1013" i="31"/>
  <c r="C57" i="41" s="1"/>
  <c r="N572" i="33"/>
  <c r="N307" i="33"/>
  <c r="R307" i="33" s="1"/>
  <c r="S924" i="31"/>
  <c r="S1007" i="31"/>
  <c r="N407" i="33"/>
  <c r="R407" i="33" s="1"/>
  <c r="S911" i="31"/>
  <c r="C27" i="41" s="1"/>
  <c r="N397" i="33"/>
  <c r="S917" i="31"/>
  <c r="S992" i="31"/>
  <c r="C10" i="41" s="1"/>
  <c r="S993" i="31"/>
  <c r="S961" i="31"/>
  <c r="N147" i="33"/>
  <c r="S1005" i="31"/>
  <c r="C31" i="41" s="1"/>
  <c r="N511" i="33"/>
  <c r="R511" i="33" s="1"/>
  <c r="N444" i="33"/>
  <c r="R444" i="33" s="1"/>
  <c r="N119" i="33"/>
  <c r="N343" i="33"/>
  <c r="S1001" i="31"/>
  <c r="N360" i="33"/>
  <c r="S945" i="31"/>
  <c r="S919" i="31"/>
  <c r="C24" i="41" s="1"/>
  <c r="N296" i="33"/>
  <c r="S958" i="31"/>
  <c r="C16" i="41" s="1"/>
  <c r="N519" i="33"/>
  <c r="S952" i="31"/>
  <c r="C54" i="41" s="1"/>
  <c r="S982" i="31"/>
  <c r="C19" i="41" s="1"/>
  <c r="S963" i="31"/>
  <c r="N412" i="33"/>
  <c r="R412" i="33" s="1"/>
  <c r="N393" i="33"/>
  <c r="S970" i="31"/>
  <c r="C42" i="41" s="1"/>
  <c r="S972" i="31"/>
  <c r="C26" i="41" s="1"/>
  <c r="N520" i="33"/>
  <c r="R520" i="33" s="1"/>
  <c r="S923" i="31"/>
  <c r="C36" i="41" s="1"/>
  <c r="N439" i="33"/>
  <c r="R439" i="33" s="1"/>
  <c r="N348" i="33"/>
  <c r="R348" i="33" s="1"/>
  <c r="N98" i="33"/>
  <c r="N523" i="33"/>
  <c r="R523" i="33" s="1"/>
  <c r="N270" i="33"/>
  <c r="N242" i="33"/>
  <c r="N208" i="33"/>
  <c r="R208" i="33" s="1"/>
  <c r="N277" i="33"/>
  <c r="N404" i="33"/>
  <c r="R404" i="33" s="1"/>
  <c r="N28" i="33"/>
  <c r="N153" i="33"/>
  <c r="R153" i="33" s="1"/>
  <c r="N283" i="33"/>
  <c r="N438" i="33"/>
  <c r="R438" i="33" s="1"/>
  <c r="N30" i="33"/>
  <c r="R30" i="33" s="1"/>
  <c r="N256" i="33"/>
  <c r="N129" i="33"/>
  <c r="N357" i="33"/>
  <c r="R357" i="33" s="1"/>
  <c r="N60" i="33"/>
  <c r="R60" i="33" s="1"/>
  <c r="N95" i="33"/>
  <c r="R95" i="33" s="1"/>
  <c r="N271" i="33"/>
  <c r="N464" i="33"/>
  <c r="N84" i="33"/>
  <c r="R84" i="33" s="1"/>
  <c r="N122" i="33"/>
  <c r="R122" i="33" s="1"/>
  <c r="S986" i="31"/>
  <c r="C32" i="41" s="1"/>
  <c r="S933" i="31"/>
  <c r="C20" i="41" s="1"/>
  <c r="N125" i="33"/>
  <c r="N575" i="33"/>
  <c r="R575" i="33" s="1"/>
  <c r="N383" i="33"/>
  <c r="R383" i="33" s="1"/>
  <c r="N143" i="33"/>
  <c r="S1000" i="31"/>
  <c r="C34" i="41" s="1"/>
  <c r="N139" i="33"/>
  <c r="N51" i="33"/>
  <c r="S927" i="31"/>
  <c r="C47" i="41" s="1"/>
  <c r="S907" i="31"/>
  <c r="C28" i="41" s="1"/>
  <c r="N140" i="33"/>
  <c r="N602" i="33"/>
  <c r="N87" i="33"/>
  <c r="S997" i="31"/>
  <c r="C29" i="41" s="1"/>
  <c r="S1022" i="31"/>
  <c r="C14" i="41" s="1"/>
  <c r="N32" i="33"/>
  <c r="R32" i="33" s="1"/>
  <c r="N137" i="33"/>
  <c r="R137" i="33" s="1"/>
  <c r="N24" i="33"/>
  <c r="E18" i="40" s="1"/>
  <c r="F18" i="40" s="1"/>
  <c r="S1003" i="31"/>
  <c r="N315" i="33"/>
  <c r="R315" i="33" s="1"/>
  <c r="N17" i="33"/>
  <c r="R17" i="33" s="1"/>
  <c r="N54" i="33"/>
  <c r="S947" i="31"/>
  <c r="C39" i="41" s="1"/>
  <c r="N183" i="33"/>
  <c r="R183" i="33" s="1"/>
  <c r="S925" i="31"/>
  <c r="C40" i="41" s="1"/>
  <c r="S1009" i="31"/>
  <c r="S928" i="31"/>
  <c r="C56" i="41" s="1"/>
  <c r="S980" i="31"/>
  <c r="N55" i="33"/>
  <c r="F17" i="34" s="1"/>
  <c r="G17" i="34" s="1"/>
  <c r="N377" i="33"/>
  <c r="R377" i="33" s="1"/>
  <c r="N411" i="33"/>
  <c r="S956" i="31"/>
  <c r="C17" i="41" s="1"/>
  <c r="S1019" i="31"/>
  <c r="S939" i="31"/>
  <c r="C35" i="41" s="1"/>
  <c r="N124" i="33"/>
  <c r="S987" i="31"/>
  <c r="C22" i="41" s="1"/>
  <c r="F1034" i="31"/>
  <c r="AE285" i="31"/>
  <c r="S979" i="31"/>
  <c r="C2" i="41" s="1"/>
  <c r="B1034" i="31"/>
  <c r="F979" i="31"/>
  <c r="F1029" i="31" s="1"/>
  <c r="D979" i="31"/>
  <c r="D1029" i="31" s="1"/>
  <c r="B864" i="31"/>
  <c r="C979" i="31"/>
  <c r="C1029" i="31" s="1"/>
  <c r="B865" i="31"/>
  <c r="B889" i="31"/>
  <c r="B875" i="31"/>
  <c r="AE249" i="31"/>
  <c r="AE250" i="31"/>
  <c r="AE245" i="31"/>
  <c r="AE246" i="31"/>
  <c r="C10" i="33"/>
  <c r="C8" i="33" s="1"/>
  <c r="AE195" i="31"/>
  <c r="AE201" i="31"/>
  <c r="AE6" i="31"/>
  <c r="AE183" i="31"/>
  <c r="AE193" i="31"/>
  <c r="AE51" i="31"/>
  <c r="AE15" i="31"/>
  <c r="M134" i="33"/>
  <c r="H846" i="31"/>
  <c r="B858" i="31" s="1"/>
  <c r="B859" i="31" s="1"/>
  <c r="B846" i="31"/>
  <c r="B857" i="31"/>
  <c r="B7" i="33"/>
  <c r="T2" i="31"/>
  <c r="N134" i="33"/>
  <c r="AA2" i="31"/>
  <c r="T614" i="33" l="1"/>
  <c r="T615" i="33"/>
  <c r="T612" i="33"/>
  <c r="T613" i="33"/>
  <c r="T610" i="33"/>
  <c r="T611" i="33"/>
  <c r="T608" i="33"/>
  <c r="T609" i="33"/>
  <c r="T606" i="33"/>
  <c r="T607" i="33"/>
  <c r="T604" i="33"/>
  <c r="T605" i="33"/>
  <c r="T64" i="33"/>
  <c r="T603" i="33"/>
  <c r="T61" i="33"/>
  <c r="T49" i="33"/>
  <c r="R87" i="33"/>
  <c r="T87" i="33" s="1"/>
  <c r="E93" i="40"/>
  <c r="F93" i="40" s="1"/>
  <c r="T74" i="33"/>
  <c r="T94" i="33"/>
  <c r="T44" i="33"/>
  <c r="T599" i="33"/>
  <c r="T600" i="33"/>
  <c r="T33" i="33"/>
  <c r="T97" i="33"/>
  <c r="T72" i="33"/>
  <c r="T598" i="33"/>
  <c r="T47" i="33"/>
  <c r="T597" i="33"/>
  <c r="T42" i="33"/>
  <c r="T43" i="33"/>
  <c r="T25" i="33"/>
  <c r="T596" i="33"/>
  <c r="T81" i="33"/>
  <c r="T594" i="33"/>
  <c r="T595" i="33"/>
  <c r="T592" i="33"/>
  <c r="T593" i="33"/>
  <c r="T91" i="33"/>
  <c r="T26" i="33"/>
  <c r="T590" i="33"/>
  <c r="T591" i="33"/>
  <c r="T35" i="33"/>
  <c r="T31" i="33"/>
  <c r="T71" i="33"/>
  <c r="T132" i="33"/>
  <c r="T116" i="33"/>
  <c r="T45" i="33"/>
  <c r="T117" i="33"/>
  <c r="T128" i="33"/>
  <c r="R119" i="33"/>
  <c r="T119" i="33" s="1"/>
  <c r="E27" i="40"/>
  <c r="F27" i="40" s="1"/>
  <c r="T56" i="33"/>
  <c r="T96" i="33"/>
  <c r="E44" i="40"/>
  <c r="F44" i="40" s="1"/>
  <c r="E29" i="40"/>
  <c r="F29" i="40" s="1"/>
  <c r="T589" i="33"/>
  <c r="T601" i="33"/>
  <c r="T101" i="33"/>
  <c r="T120" i="33"/>
  <c r="T588" i="33"/>
  <c r="T109" i="33"/>
  <c r="T36" i="33"/>
  <c r="T92" i="33"/>
  <c r="T67" i="33"/>
  <c r="T587" i="33"/>
  <c r="T586" i="33"/>
  <c r="T112" i="33"/>
  <c r="T79" i="33"/>
  <c r="T121" i="33"/>
  <c r="T584" i="33"/>
  <c r="T585" i="33"/>
  <c r="T38" i="33"/>
  <c r="T131" i="33"/>
  <c r="T583" i="33"/>
  <c r="T108" i="33"/>
  <c r="T88" i="33"/>
  <c r="T127" i="33"/>
  <c r="R602" i="33"/>
  <c r="T602" i="33" s="1"/>
  <c r="E34" i="40"/>
  <c r="F34" i="40" s="1"/>
  <c r="T581" i="33"/>
  <c r="T582" i="33"/>
  <c r="T579" i="33"/>
  <c r="T580" i="33"/>
  <c r="T46" i="33"/>
  <c r="T578" i="33"/>
  <c r="T576" i="33"/>
  <c r="T577" i="33"/>
  <c r="R24" i="33"/>
  <c r="T24" i="33" s="1"/>
  <c r="T148" i="33"/>
  <c r="T174" i="33"/>
  <c r="T180" i="33"/>
  <c r="T167" i="33"/>
  <c r="T166" i="33"/>
  <c r="T144" i="33"/>
  <c r="T574" i="33"/>
  <c r="T73" i="33"/>
  <c r="T53" i="33"/>
  <c r="T40" i="33"/>
  <c r="T111" i="33"/>
  <c r="T39" i="33"/>
  <c r="T151" i="33"/>
  <c r="T173" i="33"/>
  <c r="T189" i="33"/>
  <c r="T198" i="33"/>
  <c r="T208" i="33"/>
  <c r="T227" i="33"/>
  <c r="T236" i="33"/>
  <c r="T245" i="33"/>
  <c r="T253" i="33"/>
  <c r="T263" i="33"/>
  <c r="T281" i="33"/>
  <c r="T290" i="33"/>
  <c r="T300" i="33"/>
  <c r="T308" i="33"/>
  <c r="T317" i="33"/>
  <c r="T327" i="33"/>
  <c r="T335" i="33"/>
  <c r="T345" i="33"/>
  <c r="T354" i="33"/>
  <c r="T364" i="33"/>
  <c r="T374" i="33"/>
  <c r="T158" i="33"/>
  <c r="T390" i="33"/>
  <c r="T400" i="33"/>
  <c r="T409" i="33"/>
  <c r="T419" i="33"/>
  <c r="T428" i="33"/>
  <c r="T437" i="33"/>
  <c r="T20" i="33"/>
  <c r="T455" i="33"/>
  <c r="T484" i="33"/>
  <c r="T50" i="33"/>
  <c r="T503" i="33"/>
  <c r="T122" i="33"/>
  <c r="T520" i="33"/>
  <c r="T528" i="33"/>
  <c r="T135" i="33"/>
  <c r="T547" i="33"/>
  <c r="T566" i="33"/>
  <c r="T99" i="33"/>
  <c r="T48" i="33"/>
  <c r="T172" i="33"/>
  <c r="T29" i="33"/>
  <c r="T66" i="33"/>
  <c r="T183" i="33"/>
  <c r="T70" i="33"/>
  <c r="T163" i="33"/>
  <c r="T190" i="33"/>
  <c r="T199" i="33"/>
  <c r="T209" i="33"/>
  <c r="T218" i="33"/>
  <c r="T228" i="33"/>
  <c r="T237" i="33"/>
  <c r="T246" i="33"/>
  <c r="T254" i="33"/>
  <c r="T30" i="33"/>
  <c r="T272" i="33"/>
  <c r="T282" i="33"/>
  <c r="T291" i="33"/>
  <c r="T301" i="33"/>
  <c r="T309" i="33"/>
  <c r="T318" i="33"/>
  <c r="T328" i="33"/>
  <c r="T336" i="33"/>
  <c r="T346" i="33"/>
  <c r="T355" i="33"/>
  <c r="T365" i="33"/>
  <c r="T375" i="33"/>
  <c r="T383" i="33"/>
  <c r="T391" i="33"/>
  <c r="T60" i="33"/>
  <c r="T410" i="33"/>
  <c r="T420" i="33"/>
  <c r="T429" i="33"/>
  <c r="T438" i="33"/>
  <c r="T447" i="33"/>
  <c r="T456" i="33"/>
  <c r="T465" i="33"/>
  <c r="T475" i="33"/>
  <c r="T485" i="33"/>
  <c r="T494" i="33"/>
  <c r="T504" i="33"/>
  <c r="T512" i="33"/>
  <c r="T521" i="33"/>
  <c r="T529" i="33"/>
  <c r="T538" i="33"/>
  <c r="T548" i="33"/>
  <c r="T557" i="33"/>
  <c r="T567" i="33"/>
  <c r="T63" i="33"/>
  <c r="T104" i="33"/>
  <c r="T83" i="33"/>
  <c r="T69" i="33"/>
  <c r="T32" i="33"/>
  <c r="T161" i="33"/>
  <c r="T165" i="33"/>
  <c r="T191" i="33"/>
  <c r="T200" i="33"/>
  <c r="T210" i="33"/>
  <c r="T219" i="33"/>
  <c r="T229" i="33"/>
  <c r="T238" i="33"/>
  <c r="T19" i="33"/>
  <c r="T255" i="33"/>
  <c r="T264" i="33"/>
  <c r="T273" i="33"/>
  <c r="T292" i="33"/>
  <c r="T302" i="33"/>
  <c r="T310" i="33"/>
  <c r="T319" i="33"/>
  <c r="T329" i="33"/>
  <c r="T337" i="33"/>
  <c r="T347" i="33"/>
  <c r="T356" i="33"/>
  <c r="T366" i="33"/>
  <c r="T376" i="33"/>
  <c r="T384" i="33"/>
  <c r="T392" i="33"/>
  <c r="T401" i="33"/>
  <c r="T421" i="33"/>
  <c r="T430" i="33"/>
  <c r="T439" i="33"/>
  <c r="T448" i="33"/>
  <c r="T457" i="33"/>
  <c r="T466" i="33"/>
  <c r="T476" i="33"/>
  <c r="T486" i="33"/>
  <c r="T495" i="33"/>
  <c r="T505" i="33"/>
  <c r="T513" i="33"/>
  <c r="T149" i="33"/>
  <c r="T530" i="33"/>
  <c r="T539" i="33"/>
  <c r="T549" i="33"/>
  <c r="T558" i="33"/>
  <c r="T115" i="33"/>
  <c r="T159" i="33"/>
  <c r="T176" i="33"/>
  <c r="T145" i="33"/>
  <c r="T41" i="33"/>
  <c r="T82" i="33"/>
  <c r="T182" i="33"/>
  <c r="T168" i="33"/>
  <c r="T192" i="33"/>
  <c r="T201" i="33"/>
  <c r="T27" i="33"/>
  <c r="T220" i="33"/>
  <c r="T230" i="33"/>
  <c r="T239" i="33"/>
  <c r="T247" i="33"/>
  <c r="T265" i="33"/>
  <c r="T274" i="33"/>
  <c r="T573" i="33"/>
  <c r="T293" i="33"/>
  <c r="T311" i="33"/>
  <c r="T320" i="33"/>
  <c r="T330" i="33"/>
  <c r="T338" i="33"/>
  <c r="T348" i="33"/>
  <c r="T357" i="33"/>
  <c r="T367" i="33"/>
  <c r="T377" i="33"/>
  <c r="T385" i="33"/>
  <c r="T402" i="33"/>
  <c r="T412" i="33"/>
  <c r="T422" i="33"/>
  <c r="T58" i="33"/>
  <c r="T440" i="33"/>
  <c r="T449" i="33"/>
  <c r="T85" i="33"/>
  <c r="T467" i="33"/>
  <c r="T477" i="33"/>
  <c r="T487" i="33"/>
  <c r="T496" i="33"/>
  <c r="T506" i="33"/>
  <c r="T514" i="33"/>
  <c r="T522" i="33"/>
  <c r="T531" i="33"/>
  <c r="T540" i="33"/>
  <c r="T550" i="33"/>
  <c r="T559" i="33"/>
  <c r="T568" i="33"/>
  <c r="T100" i="33"/>
  <c r="T103" i="33"/>
  <c r="T80" i="33"/>
  <c r="T22" i="33"/>
  <c r="T169" i="33"/>
  <c r="T178" i="33"/>
  <c r="T65" i="33"/>
  <c r="T184" i="33"/>
  <c r="T193" i="33"/>
  <c r="T106" i="33"/>
  <c r="T211" i="33"/>
  <c r="T221" i="33"/>
  <c r="T248" i="33"/>
  <c r="T257" i="33"/>
  <c r="T266" i="33"/>
  <c r="T275" i="33"/>
  <c r="T284" i="33"/>
  <c r="T294" i="33"/>
  <c r="T303" i="33"/>
  <c r="T312" i="33"/>
  <c r="T321" i="33"/>
  <c r="T349" i="33"/>
  <c r="T358" i="33"/>
  <c r="T368" i="33"/>
  <c r="T378" i="33"/>
  <c r="T394" i="33"/>
  <c r="T403" i="33"/>
  <c r="T413" i="33"/>
  <c r="T78" i="33"/>
  <c r="T431" i="33"/>
  <c r="T441" i="33"/>
  <c r="T458" i="33"/>
  <c r="T468" i="33"/>
  <c r="T478" i="33"/>
  <c r="T488" i="33"/>
  <c r="T497" i="33"/>
  <c r="T507" i="33"/>
  <c r="T515" i="33"/>
  <c r="T523" i="33"/>
  <c r="T532" i="33"/>
  <c r="T541" i="33"/>
  <c r="T551" i="33"/>
  <c r="T560" i="33"/>
  <c r="T569" i="33"/>
  <c r="T175" i="33"/>
  <c r="T179" i="33"/>
  <c r="T102" i="33"/>
  <c r="T156" i="33"/>
  <c r="T155" i="33"/>
  <c r="T93" i="33"/>
  <c r="T154" i="33"/>
  <c r="T185" i="33"/>
  <c r="T194" i="33"/>
  <c r="T203" i="33"/>
  <c r="T212" i="33"/>
  <c r="T222" i="33"/>
  <c r="T231" i="33"/>
  <c r="T240" i="33"/>
  <c r="T249" i="33"/>
  <c r="T258" i="33"/>
  <c r="T157" i="33"/>
  <c r="T276" i="33"/>
  <c r="T285" i="33"/>
  <c r="T295" i="33"/>
  <c r="T304" i="33"/>
  <c r="T313" i="33"/>
  <c r="T322" i="33"/>
  <c r="T331" i="33"/>
  <c r="T340" i="33"/>
  <c r="T350" i="33"/>
  <c r="T359" i="33"/>
  <c r="T369" i="33"/>
  <c r="T379" i="33"/>
  <c r="T387" i="33"/>
  <c r="T395" i="33"/>
  <c r="T404" i="33"/>
  <c r="T414" i="33"/>
  <c r="T423" i="33"/>
  <c r="T432" i="33"/>
  <c r="T442" i="33"/>
  <c r="T450" i="33"/>
  <c r="T459" i="33"/>
  <c r="T469" i="33"/>
  <c r="T479" i="33"/>
  <c r="T489" i="33"/>
  <c r="T498" i="33"/>
  <c r="T508" i="33"/>
  <c r="T516" i="33"/>
  <c r="T524" i="33"/>
  <c r="T533" i="33"/>
  <c r="T542" i="33"/>
  <c r="T552" i="33"/>
  <c r="T561" i="33"/>
  <c r="T570" i="33"/>
  <c r="T95" i="33"/>
  <c r="T133" i="33"/>
  <c r="T150" i="33"/>
  <c r="T23" i="33"/>
  <c r="T52" i="33"/>
  <c r="T160" i="33"/>
  <c r="T76" i="33"/>
  <c r="T186" i="33"/>
  <c r="T195" i="33"/>
  <c r="T204" i="33"/>
  <c r="T213" i="33"/>
  <c r="T223" i="33"/>
  <c r="T232" i="33"/>
  <c r="T241" i="33"/>
  <c r="T107" i="33"/>
  <c r="T259" i="33"/>
  <c r="T267" i="33"/>
  <c r="T286" i="33"/>
  <c r="T341" i="33"/>
  <c r="T351" i="33"/>
  <c r="T370" i="33"/>
  <c r="T380" i="33"/>
  <c r="T84" i="33"/>
  <c r="T396" i="33"/>
  <c r="T405" i="33"/>
  <c r="T415" i="33"/>
  <c r="T424" i="33"/>
  <c r="T433" i="33"/>
  <c r="T443" i="33"/>
  <c r="T451" i="33"/>
  <c r="T460" i="33"/>
  <c r="T470" i="33"/>
  <c r="T480" i="33"/>
  <c r="T490" i="33"/>
  <c r="T499" i="33"/>
  <c r="T509" i="33"/>
  <c r="T525" i="33"/>
  <c r="T534" i="33"/>
  <c r="T543" i="33"/>
  <c r="T553" i="33"/>
  <c r="T562" i="33"/>
  <c r="T571" i="33"/>
  <c r="T57" i="33"/>
  <c r="T170" i="33"/>
  <c r="T75" i="33"/>
  <c r="T34" i="33"/>
  <c r="T21" i="33"/>
  <c r="T202" i="33"/>
  <c r="T113" i="33"/>
  <c r="T196" i="33"/>
  <c r="T205" i="33"/>
  <c r="T214" i="33"/>
  <c r="T224" i="33"/>
  <c r="T233" i="33"/>
  <c r="T250" i="33"/>
  <c r="T260" i="33"/>
  <c r="T268" i="33"/>
  <c r="T278" i="33"/>
  <c r="T287" i="33"/>
  <c r="T297" i="33"/>
  <c r="T305" i="33"/>
  <c r="T314" i="33"/>
  <c r="T324" i="33"/>
  <c r="T333" i="33"/>
  <c r="T342" i="33"/>
  <c r="T352" i="33"/>
  <c r="T361" i="33"/>
  <c r="T371" i="33"/>
  <c r="T381" i="33"/>
  <c r="T388" i="33"/>
  <c r="T406" i="33"/>
  <c r="T416" i="33"/>
  <c r="T425" i="33"/>
  <c r="T434" i="33"/>
  <c r="T444" i="33"/>
  <c r="T452" i="33"/>
  <c r="T461" i="33"/>
  <c r="T471" i="33"/>
  <c r="T481" i="33"/>
  <c r="T491" i="33"/>
  <c r="T500" i="33"/>
  <c r="T510" i="33"/>
  <c r="T517" i="33"/>
  <c r="T535" i="33"/>
  <c r="T544" i="33"/>
  <c r="T554" i="33"/>
  <c r="T563" i="33"/>
  <c r="T59" i="33"/>
  <c r="T389" i="33"/>
  <c r="T118" i="33"/>
  <c r="T89" i="33"/>
  <c r="T105" i="33"/>
  <c r="T114" i="33"/>
  <c r="T171" i="33"/>
  <c r="T162" i="33"/>
  <c r="T123" i="33"/>
  <c r="T187" i="33"/>
  <c r="T68" i="33"/>
  <c r="T206" i="33"/>
  <c r="T215" i="33"/>
  <c r="T225" i="33"/>
  <c r="T234" i="33"/>
  <c r="T243" i="33"/>
  <c r="T251" i="33"/>
  <c r="T261" i="33"/>
  <c r="T269" i="33"/>
  <c r="T279" i="33"/>
  <c r="T288" i="33"/>
  <c r="T298" i="33"/>
  <c r="T306" i="33"/>
  <c r="T315" i="33"/>
  <c r="T325" i="33"/>
  <c r="T141" i="33"/>
  <c r="T353" i="33"/>
  <c r="T362" i="33"/>
  <c r="T372" i="33"/>
  <c r="T575" i="33"/>
  <c r="T126" i="33"/>
  <c r="T398" i="33"/>
  <c r="T407" i="33"/>
  <c r="T417" i="33"/>
  <c r="T426" i="33"/>
  <c r="T435" i="33"/>
  <c r="T445" i="33"/>
  <c r="T453" i="33"/>
  <c r="T462" i="33"/>
  <c r="T472" i="33"/>
  <c r="T482" i="33"/>
  <c r="T492" i="33"/>
  <c r="T501" i="33"/>
  <c r="T130" i="33"/>
  <c r="T518" i="33"/>
  <c r="T526" i="33"/>
  <c r="T536" i="33"/>
  <c r="T545" i="33"/>
  <c r="T555" i="33"/>
  <c r="T564" i="33"/>
  <c r="T138" i="33"/>
  <c r="T164" i="33"/>
  <c r="T181" i="33"/>
  <c r="T18" i="33"/>
  <c r="T77" i="33"/>
  <c r="T62" i="33"/>
  <c r="T142" i="33"/>
  <c r="T17" i="33"/>
  <c r="T110" i="33"/>
  <c r="T188" i="33"/>
  <c r="T197" i="33"/>
  <c r="T207" i="33"/>
  <c r="T216" i="33"/>
  <c r="T226" i="33"/>
  <c r="T235" i="33"/>
  <c r="T244" i="33"/>
  <c r="T252" i="33"/>
  <c r="T262" i="33"/>
  <c r="T280" i="33"/>
  <c r="T289" i="33"/>
  <c r="T299" i="33"/>
  <c r="T307" i="33"/>
  <c r="T316" i="33"/>
  <c r="T326" i="33"/>
  <c r="T334" i="33"/>
  <c r="T344" i="33"/>
  <c r="T363" i="33"/>
  <c r="T373" i="33"/>
  <c r="T382" i="33"/>
  <c r="T153" i="33"/>
  <c r="T399" i="33"/>
  <c r="T408" i="33"/>
  <c r="T418" i="33"/>
  <c r="T427" i="33"/>
  <c r="T436" i="33"/>
  <c r="T446" i="33"/>
  <c r="T454" i="33"/>
  <c r="T463" i="33"/>
  <c r="T473" i="33"/>
  <c r="T483" i="33"/>
  <c r="T493" i="33"/>
  <c r="T502" i="33"/>
  <c r="T511" i="33"/>
  <c r="T146" i="33"/>
  <c r="T527" i="33"/>
  <c r="T537" i="33"/>
  <c r="T546" i="33"/>
  <c r="T86" i="33"/>
  <c r="T565" i="33"/>
  <c r="T137" i="33"/>
  <c r="T90" i="33"/>
  <c r="T152" i="33"/>
  <c r="B861" i="31"/>
  <c r="C1048" i="31" s="1"/>
  <c r="E11" i="40"/>
  <c r="F11" i="40" s="1"/>
  <c r="R411" i="33"/>
  <c r="T411" i="33" s="1"/>
  <c r="R343" i="33"/>
  <c r="T343" i="33" s="1"/>
  <c r="E49" i="40"/>
  <c r="F49" i="40" s="1"/>
  <c r="R397" i="33"/>
  <c r="T397" i="33" s="1"/>
  <c r="E16" i="40"/>
  <c r="F16" i="40" s="1"/>
  <c r="R323" i="33"/>
  <c r="T323" i="33" s="1"/>
  <c r="E7" i="40"/>
  <c r="F7" i="40" s="1"/>
  <c r="R136" i="33"/>
  <c r="T136" i="33" s="1"/>
  <c r="E12" i="40"/>
  <c r="F12" i="40" s="1"/>
  <c r="E47" i="40"/>
  <c r="F47" i="40" s="1"/>
  <c r="R55" i="33"/>
  <c r="T55" i="33" s="1"/>
  <c r="E20" i="40"/>
  <c r="F20" i="40" s="1"/>
  <c r="R98" i="33"/>
  <c r="T98" i="33" s="1"/>
  <c r="R332" i="33"/>
  <c r="T332" i="33" s="1"/>
  <c r="E72" i="40"/>
  <c r="F72" i="40" s="1"/>
  <c r="F49" i="34"/>
  <c r="G49" i="34" s="1"/>
  <c r="R51" i="33"/>
  <c r="T51" i="33" s="1"/>
  <c r="E38" i="40"/>
  <c r="F38" i="40" s="1"/>
  <c r="E39" i="40"/>
  <c r="F39" i="40" s="1"/>
  <c r="R283" i="33"/>
  <c r="T283" i="33" s="1"/>
  <c r="F30" i="34"/>
  <c r="G30" i="34" s="1"/>
  <c r="E25" i="40"/>
  <c r="F25" i="40" s="1"/>
  <c r="F47" i="34"/>
  <c r="G47" i="34" s="1"/>
  <c r="R339" i="33"/>
  <c r="T339" i="33" s="1"/>
  <c r="E61" i="40"/>
  <c r="F61" i="40" s="1"/>
  <c r="R139" i="33"/>
  <c r="T139" i="33" s="1"/>
  <c r="E51" i="40"/>
  <c r="F51" i="40" s="1"/>
  <c r="F18" i="34"/>
  <c r="G18" i="34" s="1"/>
  <c r="R464" i="33"/>
  <c r="T464" i="33" s="1"/>
  <c r="R519" i="33"/>
  <c r="T519" i="33" s="1"/>
  <c r="F22" i="34"/>
  <c r="G22" i="34" s="1"/>
  <c r="E6" i="40"/>
  <c r="F6" i="40" s="1"/>
  <c r="F14" i="34"/>
  <c r="G14" i="34" s="1"/>
  <c r="E13" i="40"/>
  <c r="F13" i="40" s="1"/>
  <c r="R37" i="33"/>
  <c r="T37" i="33" s="1"/>
  <c r="R474" i="33"/>
  <c r="T474" i="33" s="1"/>
  <c r="E56" i="40"/>
  <c r="F56" i="40" s="1"/>
  <c r="E22" i="40"/>
  <c r="F22" i="40" s="1"/>
  <c r="R271" i="33"/>
  <c r="T271" i="33" s="1"/>
  <c r="E60" i="40"/>
  <c r="F60" i="40" s="1"/>
  <c r="R28" i="33"/>
  <c r="T28" i="33" s="1"/>
  <c r="E42" i="40"/>
  <c r="F42" i="40" s="1"/>
  <c r="R177" i="33"/>
  <c r="T177" i="33" s="1"/>
  <c r="F32" i="34"/>
  <c r="G32" i="34" s="1"/>
  <c r="E21" i="40"/>
  <c r="F21" i="40" s="1"/>
  <c r="R124" i="33"/>
  <c r="T124" i="33" s="1"/>
  <c r="E64" i="40"/>
  <c r="F64" i="40" s="1"/>
  <c r="R143" i="33"/>
  <c r="T143" i="33" s="1"/>
  <c r="F36" i="34"/>
  <c r="G36" i="34" s="1"/>
  <c r="R296" i="33"/>
  <c r="T296" i="33" s="1"/>
  <c r="E26" i="40"/>
  <c r="F26" i="40" s="1"/>
  <c r="F29" i="34"/>
  <c r="G29" i="34" s="1"/>
  <c r="R147" i="33"/>
  <c r="T147" i="33" s="1"/>
  <c r="F20" i="34"/>
  <c r="G20" i="34" s="1"/>
  <c r="E8" i="40"/>
  <c r="F8" i="40" s="1"/>
  <c r="R217" i="33"/>
  <c r="T217" i="33" s="1"/>
  <c r="F12" i="34"/>
  <c r="G12" i="34" s="1"/>
  <c r="E10" i="40"/>
  <c r="F10" i="40" s="1"/>
  <c r="R277" i="33"/>
  <c r="T277" i="33" s="1"/>
  <c r="R572" i="33"/>
  <c r="T572" i="33" s="1"/>
  <c r="E78" i="40"/>
  <c r="F78" i="40" s="1"/>
  <c r="E32" i="40"/>
  <c r="F32" i="40" s="1"/>
  <c r="R54" i="33"/>
  <c r="T54" i="33" s="1"/>
  <c r="F13" i="34"/>
  <c r="G13" i="34" s="1"/>
  <c r="F31" i="34"/>
  <c r="G31" i="34" s="1"/>
  <c r="R125" i="33"/>
  <c r="T125" i="33" s="1"/>
  <c r="F34" i="34"/>
  <c r="G34" i="34" s="1"/>
  <c r="R129" i="33"/>
  <c r="T129" i="33" s="1"/>
  <c r="F15" i="34"/>
  <c r="G15" i="34" s="1"/>
  <c r="R242" i="33"/>
  <c r="T242" i="33" s="1"/>
  <c r="E53" i="40"/>
  <c r="F53" i="40" s="1"/>
  <c r="F38" i="34"/>
  <c r="G38" i="34" s="1"/>
  <c r="R393" i="33"/>
  <c r="T393" i="33" s="1"/>
  <c r="R360" i="33"/>
  <c r="T360" i="33" s="1"/>
  <c r="F28" i="34"/>
  <c r="G28" i="34" s="1"/>
  <c r="R386" i="33"/>
  <c r="T386" i="33" s="1"/>
  <c r="E79" i="40"/>
  <c r="F79" i="40" s="1"/>
  <c r="R140" i="33"/>
  <c r="T140" i="33" s="1"/>
  <c r="F24" i="34"/>
  <c r="G24" i="34" s="1"/>
  <c r="E37" i="40"/>
  <c r="F37" i="40" s="1"/>
  <c r="E45" i="40"/>
  <c r="F45" i="40" s="1"/>
  <c r="R256" i="33"/>
  <c r="T256" i="33" s="1"/>
  <c r="R270" i="33"/>
  <c r="T270" i="33" s="1"/>
  <c r="F19" i="34"/>
  <c r="G19" i="34" s="1"/>
  <c r="E41" i="40"/>
  <c r="F41" i="40" s="1"/>
  <c r="R556" i="33"/>
  <c r="T556" i="33" s="1"/>
  <c r="E68" i="40"/>
  <c r="F68" i="40" s="1"/>
  <c r="M979" i="31"/>
  <c r="C846" i="31"/>
  <c r="E846" i="31"/>
  <c r="C852" i="31"/>
  <c r="C847" i="31"/>
  <c r="C849" i="31"/>
  <c r="C850" i="31"/>
  <c r="C851" i="31"/>
  <c r="C848" i="31"/>
  <c r="C853" i="31"/>
  <c r="F875" i="31"/>
  <c r="B884" i="31"/>
  <c r="F889" i="31"/>
  <c r="B898" i="31"/>
  <c r="E14" i="40"/>
  <c r="F11" i="34"/>
  <c r="B860" i="31"/>
  <c r="R134" i="33"/>
  <c r="T134" i="33" s="1"/>
  <c r="B10" i="33"/>
  <c r="D6" i="34" s="1"/>
  <c r="B6" i="33"/>
  <c r="B14" i="33"/>
  <c r="B13" i="33"/>
  <c r="O614" i="33" l="1"/>
  <c r="O615" i="33"/>
  <c r="O612" i="33"/>
  <c r="O613" i="33"/>
  <c r="O610" i="33"/>
  <c r="O611" i="33"/>
  <c r="O608" i="33"/>
  <c r="O609" i="33"/>
  <c r="O606" i="33"/>
  <c r="O607" i="33"/>
  <c r="O604" i="33"/>
  <c r="O605" i="33"/>
  <c r="O64" i="33"/>
  <c r="O603" i="33"/>
  <c r="O61" i="33"/>
  <c r="O49" i="33"/>
  <c r="O74" i="33"/>
  <c r="O94" i="33"/>
  <c r="O44" i="33"/>
  <c r="O599" i="33"/>
  <c r="O600" i="33"/>
  <c r="O33" i="33"/>
  <c r="O97" i="33"/>
  <c r="O72" i="33"/>
  <c r="O598" i="33"/>
  <c r="O47" i="33"/>
  <c r="O597" i="33"/>
  <c r="O42" i="33"/>
  <c r="O43" i="33"/>
  <c r="O25" i="33"/>
  <c r="O596" i="33"/>
  <c r="O81" i="33"/>
  <c r="O594" i="33"/>
  <c r="O595" i="33"/>
  <c r="O592" i="33"/>
  <c r="O593" i="33"/>
  <c r="O91" i="33"/>
  <c r="O26" i="33"/>
  <c r="O590" i="33"/>
  <c r="O591" i="33"/>
  <c r="O35" i="33"/>
  <c r="O31" i="33"/>
  <c r="O71" i="33"/>
  <c r="O132" i="33"/>
  <c r="O116" i="33"/>
  <c r="O45" i="33"/>
  <c r="O117" i="33"/>
  <c r="O128" i="33"/>
  <c r="O56" i="33"/>
  <c r="O96" i="33"/>
  <c r="O589" i="33"/>
  <c r="O601" i="33"/>
  <c r="O101" i="33"/>
  <c r="O120" i="33"/>
  <c r="O588" i="33"/>
  <c r="O109" i="33"/>
  <c r="O36" i="33"/>
  <c r="O92" i="33"/>
  <c r="O67" i="33"/>
  <c r="O587" i="33"/>
  <c r="O586" i="33"/>
  <c r="O112" i="33"/>
  <c r="O79" i="33"/>
  <c r="O121" i="33"/>
  <c r="O584" i="33"/>
  <c r="O585" i="33"/>
  <c r="O38" i="33"/>
  <c r="O131" i="33"/>
  <c r="O583" i="33"/>
  <c r="O108" i="33"/>
  <c r="O88" i="33"/>
  <c r="O127" i="33"/>
  <c r="O581" i="33"/>
  <c r="O582" i="33"/>
  <c r="O579" i="33"/>
  <c r="O580" i="33"/>
  <c r="O46" i="33"/>
  <c r="O578" i="33"/>
  <c r="O576" i="33"/>
  <c r="O577" i="33"/>
  <c r="O180" i="33"/>
  <c r="O174" i="33"/>
  <c r="O166" i="33"/>
  <c r="O167" i="33"/>
  <c r="O574" i="33"/>
  <c r="O144" i="33"/>
  <c r="O73" i="33"/>
  <c r="O148" i="33"/>
  <c r="O202" i="33"/>
  <c r="O62" i="33"/>
  <c r="O57" i="33"/>
  <c r="O59" i="33"/>
  <c r="O151" i="33"/>
  <c r="O168" i="33"/>
  <c r="O163" i="33"/>
  <c r="O154" i="33"/>
  <c r="O571" i="33"/>
  <c r="O23" i="33"/>
  <c r="O171" i="33"/>
  <c r="O570" i="33"/>
  <c r="O105" i="33"/>
  <c r="O175" i="33"/>
  <c r="O569" i="33"/>
  <c r="O52" i="33"/>
  <c r="O115" i="33"/>
  <c r="O568" i="33"/>
  <c r="O160" i="33"/>
  <c r="O114" i="33"/>
  <c r="O155" i="33"/>
  <c r="O567" i="33"/>
  <c r="O565" i="33"/>
  <c r="O566" i="33"/>
  <c r="O176" i="33"/>
  <c r="O564" i="33"/>
  <c r="O562" i="33"/>
  <c r="O563" i="33"/>
  <c r="O560" i="33"/>
  <c r="O561" i="33"/>
  <c r="C1049" i="31"/>
  <c r="E1049" i="31" s="1"/>
  <c r="C1046" i="31"/>
  <c r="E1046" i="31" s="1"/>
  <c r="C1047" i="31"/>
  <c r="E1047" i="31" s="1"/>
  <c r="C1041" i="31"/>
  <c r="E1041" i="31" s="1"/>
  <c r="C1050" i="31"/>
  <c r="E1050" i="31" s="1"/>
  <c r="C1039" i="31"/>
  <c r="E1039" i="31" s="1"/>
  <c r="C1043" i="31"/>
  <c r="E1043" i="31" s="1"/>
  <c r="C1034" i="31"/>
  <c r="E1034" i="31" s="1"/>
  <c r="C1051" i="31"/>
  <c r="E1051" i="31" s="1"/>
  <c r="C1045" i="31"/>
  <c r="E1045" i="31" s="1"/>
  <c r="C1037" i="31"/>
  <c r="E1037" i="31" s="1"/>
  <c r="O558" i="33"/>
  <c r="O559" i="33"/>
  <c r="O22" i="33"/>
  <c r="O557" i="33"/>
  <c r="O556" i="33"/>
  <c r="O170" i="33"/>
  <c r="B8" i="33"/>
  <c r="D4" i="34" s="1"/>
  <c r="O86" i="33"/>
  <c r="O53" i="33"/>
  <c r="O389" i="33"/>
  <c r="O555" i="33"/>
  <c r="O102" i="33"/>
  <c r="O554" i="33"/>
  <c r="O552" i="33"/>
  <c r="O553" i="33"/>
  <c r="O550" i="33"/>
  <c r="O551" i="33"/>
  <c r="O548" i="33"/>
  <c r="O549" i="33"/>
  <c r="O546" i="33"/>
  <c r="O547" i="33"/>
  <c r="O164" i="33"/>
  <c r="O545" i="33"/>
  <c r="O65" i="33"/>
  <c r="O118" i="33"/>
  <c r="O544" i="33"/>
  <c r="O123" i="33"/>
  <c r="O543" i="33"/>
  <c r="O541" i="33"/>
  <c r="O542" i="33"/>
  <c r="O539" i="33"/>
  <c r="O540" i="33"/>
  <c r="O135" i="33"/>
  <c r="O538" i="33"/>
  <c r="O231" i="33"/>
  <c r="O150" i="33"/>
  <c r="O82" i="33"/>
  <c r="O222" i="33"/>
  <c r="O179" i="33"/>
  <c r="O534" i="33"/>
  <c r="O532" i="33"/>
  <c r="O533" i="33"/>
  <c r="O531" i="33"/>
  <c r="O173" i="33"/>
  <c r="O529" i="33"/>
  <c r="O530" i="33"/>
  <c r="O527" i="33"/>
  <c r="O528" i="33"/>
  <c r="O85" i="33"/>
  <c r="O104" i="33"/>
  <c r="O205" i="33"/>
  <c r="O27" i="33"/>
  <c r="O48" i="33"/>
  <c r="O514" i="33"/>
  <c r="O200" i="33"/>
  <c r="O133" i="33"/>
  <c r="O75" i="33"/>
  <c r="O149" i="33"/>
  <c r="O181" i="33"/>
  <c r="O506" i="33"/>
  <c r="O498" i="33"/>
  <c r="O142" i="33"/>
  <c r="O513" i="33"/>
  <c r="O103" i="33"/>
  <c r="O111" i="33"/>
  <c r="O517" i="33"/>
  <c r="O510" i="33"/>
  <c r="O99" i="33"/>
  <c r="O195" i="33"/>
  <c r="O145" i="33"/>
  <c r="O508" i="33"/>
  <c r="O152" i="33"/>
  <c r="O215" i="33"/>
  <c r="O192" i="33"/>
  <c r="O146" i="33"/>
  <c r="O80" i="33"/>
  <c r="O187" i="33"/>
  <c r="O130" i="33"/>
  <c r="O227" i="33"/>
  <c r="O18" i="33"/>
  <c r="O41" i="33"/>
  <c r="O235" i="33"/>
  <c r="O178" i="33"/>
  <c r="O474" i="33"/>
  <c r="O521" i="33"/>
  <c r="O66" i="33"/>
  <c r="O210" i="33"/>
  <c r="C1052" i="31"/>
  <c r="E1052" i="31" s="1"/>
  <c r="O300" i="33"/>
  <c r="O305" i="33"/>
  <c r="C1036" i="31"/>
  <c r="E1036" i="31" s="1"/>
  <c r="O252" i="33"/>
  <c r="O207" i="33"/>
  <c r="O368" i="33"/>
  <c r="O311" i="33"/>
  <c r="C1044" i="31"/>
  <c r="E1044" i="31" s="1"/>
  <c r="O524" i="33"/>
  <c r="O509" i="33"/>
  <c r="O342" i="33"/>
  <c r="O159" i="33"/>
  <c r="O456" i="33"/>
  <c r="O522" i="33"/>
  <c r="O504" i="33"/>
  <c r="O172" i="33"/>
  <c r="O487" i="33"/>
  <c r="O441" i="33"/>
  <c r="O245" i="33"/>
  <c r="O218" i="33"/>
  <c r="O347" i="33"/>
  <c r="O421" i="33"/>
  <c r="O467" i="33"/>
  <c r="C1040" i="31"/>
  <c r="E1040" i="31" s="1"/>
  <c r="O442" i="33"/>
  <c r="O247" i="33"/>
  <c r="C1042" i="31"/>
  <c r="E1042" i="31" s="1"/>
  <c r="O223" i="33"/>
  <c r="O284" i="33"/>
  <c r="O427" i="33"/>
  <c r="O234" i="33"/>
  <c r="O390" i="33"/>
  <c r="O240" i="33"/>
  <c r="O325" i="33"/>
  <c r="O212" i="33"/>
  <c r="O468" i="33"/>
  <c r="O450" i="33"/>
  <c r="O273" i="33"/>
  <c r="O106" i="33"/>
  <c r="O350" i="33"/>
  <c r="O473" i="33"/>
  <c r="O415" i="33"/>
  <c r="O417" i="33"/>
  <c r="O107" i="33"/>
  <c r="O520" i="33"/>
  <c r="O269" i="33"/>
  <c r="O217" i="33"/>
  <c r="O271" i="33"/>
  <c r="O110" i="33"/>
  <c r="O272" i="33"/>
  <c r="O469" i="33"/>
  <c r="O425" i="33"/>
  <c r="O339" i="33"/>
  <c r="O358" i="33"/>
  <c r="O536" i="33"/>
  <c r="O370" i="33"/>
  <c r="O455" i="33"/>
  <c r="O39" i="33"/>
  <c r="O483" i="33"/>
  <c r="O58" i="33"/>
  <c r="O213" i="33"/>
  <c r="O443" i="33"/>
  <c r="O291" i="33"/>
  <c r="O353" i="33"/>
  <c r="O459" i="33"/>
  <c r="O349" i="33"/>
  <c r="O412" i="33"/>
  <c r="O491" i="33"/>
  <c r="O407" i="33"/>
  <c r="G11" i="34"/>
  <c r="B4" i="34" s="1"/>
  <c r="O318" i="33"/>
  <c r="O394" i="33"/>
  <c r="O402" i="33"/>
  <c r="O364" i="33"/>
  <c r="O426" i="33"/>
  <c r="O397" i="33"/>
  <c r="O413" i="33"/>
  <c r="O393" i="33"/>
  <c r="O416" i="33"/>
  <c r="C1053" i="31"/>
  <c r="E1053" i="31" s="1"/>
  <c r="C1033" i="31"/>
  <c r="E1033" i="31" s="1"/>
  <c r="O497" i="33"/>
  <c r="O460" i="33"/>
  <c r="C881" i="31"/>
  <c r="C880" i="31"/>
  <c r="C882" i="31"/>
  <c r="C877" i="31"/>
  <c r="C876" i="31"/>
  <c r="C878" i="31"/>
  <c r="C879" i="31"/>
  <c r="C875" i="31"/>
  <c r="O476" i="33"/>
  <c r="O324" i="33"/>
  <c r="C1035" i="31"/>
  <c r="E1035" i="31" s="1"/>
  <c r="C1038" i="31"/>
  <c r="E1038" i="31" s="1"/>
  <c r="O352" i="33"/>
  <c r="O204" i="33"/>
  <c r="O113" i="33"/>
  <c r="O385" i="33"/>
  <c r="O196" i="33"/>
  <c r="O188" i="33"/>
  <c r="O68" i="33"/>
  <c r="O203" i="33"/>
  <c r="O288" i="33"/>
  <c r="O194" i="33"/>
  <c r="O451" i="33"/>
  <c r="O257" i="33"/>
  <c r="O190" i="33"/>
  <c r="O507" i="33"/>
  <c r="O380" i="33"/>
  <c r="O519" i="33"/>
  <c r="O295" i="33"/>
  <c r="O253" i="33"/>
  <c r="O259" i="33"/>
  <c r="O359" i="33"/>
  <c r="O408" i="33"/>
  <c r="O241" i="33"/>
  <c r="O206" i="33"/>
  <c r="C889" i="31"/>
  <c r="C895" i="31"/>
  <c r="C893" i="31"/>
  <c r="C896" i="31"/>
  <c r="C891" i="31"/>
  <c r="C890" i="31"/>
  <c r="C892" i="31"/>
  <c r="C894" i="31"/>
  <c r="O518" i="33"/>
  <c r="O249" i="33"/>
  <c r="O262" i="33"/>
  <c r="O482" i="33"/>
  <c r="F14" i="40"/>
  <c r="C6" i="34"/>
  <c r="C4" i="34" s="1"/>
  <c r="O290" i="33"/>
  <c r="O169" i="33"/>
  <c r="O409" i="33"/>
  <c r="O40" i="33"/>
  <c r="O211" i="33"/>
  <c r="O191" i="33"/>
  <c r="O267" i="33"/>
  <c r="O236" i="33"/>
  <c r="O246" i="33"/>
  <c r="O224" i="33"/>
  <c r="O198" i="33"/>
  <c r="O331" i="33"/>
  <c r="O279" i="33"/>
  <c r="O261" i="33"/>
  <c r="O289" i="33"/>
  <c r="O278" i="33"/>
  <c r="O293" i="33"/>
  <c r="O281" i="33"/>
  <c r="O384" i="33"/>
  <c r="O363" i="33"/>
  <c r="O319" i="33"/>
  <c r="O233" i="33"/>
  <c r="O511" i="33"/>
  <c r="O366" i="33"/>
  <c r="O185" i="33"/>
  <c r="O90" i="33"/>
  <c r="O184" i="33"/>
  <c r="O100" i="33"/>
  <c r="O29" i="33"/>
  <c r="O388" i="33"/>
  <c r="O429" i="33"/>
  <c r="O515" i="33"/>
  <c r="O307" i="33"/>
  <c r="O161" i="33"/>
  <c r="O428" i="33"/>
  <c r="O201" i="33"/>
  <c r="O136" i="33"/>
  <c r="O398" i="33"/>
  <c r="O313" i="33"/>
  <c r="O327" i="33"/>
  <c r="O338" i="33"/>
  <c r="O294" i="33"/>
  <c r="O418" i="33"/>
  <c r="O356" i="33"/>
  <c r="O309" i="33"/>
  <c r="O391" i="33"/>
  <c r="O365" i="33"/>
  <c r="O326" i="33"/>
  <c r="O264" i="33"/>
  <c r="O372" i="33"/>
  <c r="O424" i="33"/>
  <c r="O275" i="33"/>
  <c r="O250" i="33"/>
  <c r="O147" i="33"/>
  <c r="O490" i="33"/>
  <c r="O219" i="33"/>
  <c r="O340" i="33"/>
  <c r="O323" i="33"/>
  <c r="E1048" i="31"/>
  <c r="O89" i="33"/>
  <c r="O457" i="33"/>
  <c r="B6" i="34"/>
  <c r="O516" i="33"/>
  <c r="O186" i="33"/>
  <c r="O343" i="33"/>
  <c r="O209" i="33"/>
  <c r="O399" i="33"/>
  <c r="O477" i="33"/>
  <c r="O386" i="33"/>
  <c r="O465" i="33"/>
  <c r="O432" i="33"/>
  <c r="O239" i="33"/>
  <c r="O255" i="33"/>
  <c r="O512" i="33"/>
  <c r="O360" i="33"/>
  <c r="O466" i="33"/>
  <c r="O296" i="33"/>
  <c r="O403" i="33"/>
  <c r="O214" i="33"/>
  <c r="O478" i="33"/>
  <c r="O355" i="33"/>
  <c r="O537" i="33"/>
  <c r="O162" i="33"/>
  <c r="O312" i="33"/>
  <c r="O535" i="33"/>
  <c r="O444" i="33"/>
  <c r="O400" i="33"/>
  <c r="O37" i="33"/>
  <c r="O479" i="33"/>
  <c r="O78" i="33"/>
  <c r="O328" i="33"/>
  <c r="O431" i="33"/>
  <c r="O286" i="33"/>
  <c r="O266" i="33"/>
  <c r="O523" i="33"/>
  <c r="O126" i="33"/>
  <c r="O21" i="33"/>
  <c r="O125" i="33"/>
  <c r="O494" i="33"/>
  <c r="O34" i="33"/>
  <c r="O321" i="33"/>
  <c r="O575" i="33"/>
  <c r="O458" i="33"/>
  <c r="O301" i="33"/>
  <c r="O395" i="33"/>
  <c r="O376" i="33"/>
  <c r="O165" i="33"/>
  <c r="O69" i="33"/>
  <c r="O287" i="33"/>
  <c r="O63" i="33"/>
  <c r="O344" i="33"/>
  <c r="O153" i="33"/>
  <c r="O268" i="33"/>
  <c r="O337" i="33"/>
  <c r="O345" i="33"/>
  <c r="O439" i="33"/>
  <c r="O303" i="33"/>
  <c r="O404" i="33"/>
  <c r="O24" i="33"/>
  <c r="O445" i="33"/>
  <c r="O77" i="33"/>
  <c r="O129" i="33"/>
  <c r="O221" i="33"/>
  <c r="O481" i="33"/>
  <c r="O472" i="33"/>
  <c r="O361" i="33"/>
  <c r="O228" i="33"/>
  <c r="O430" i="33"/>
  <c r="O232" i="33"/>
  <c r="O216" i="33"/>
  <c r="O244" i="33"/>
  <c r="O410" i="33"/>
  <c r="O501" i="33"/>
  <c r="O314" i="33"/>
  <c r="O495" i="33"/>
  <c r="O369" i="33"/>
  <c r="O462" i="33"/>
  <c r="O225" i="33"/>
  <c r="O84" i="33"/>
  <c r="O454" i="33"/>
  <c r="O480" i="33"/>
  <c r="O330" i="33"/>
  <c r="O470" i="33"/>
  <c r="O496" i="33"/>
  <c r="O256" i="33"/>
  <c r="O238" i="33"/>
  <c r="O447" i="33"/>
  <c r="O285" i="33"/>
  <c r="O254" i="33"/>
  <c r="O362" i="33"/>
  <c r="O489" i="33"/>
  <c r="O378" i="33"/>
  <c r="O208" i="33"/>
  <c r="O464" i="33"/>
  <c r="O260" i="33"/>
  <c r="O335" i="33"/>
  <c r="O83" i="33"/>
  <c r="O230" i="33"/>
  <c r="O453" i="33"/>
  <c r="O434" i="33"/>
  <c r="O308" i="33"/>
  <c r="O137" i="33"/>
  <c r="O197" i="33"/>
  <c r="O138" i="33"/>
  <c r="O526" i="33"/>
  <c r="O28" i="33"/>
  <c r="O237" i="33"/>
  <c r="O310" i="33"/>
  <c r="O488" i="33"/>
  <c r="O183" i="33"/>
  <c r="O304" i="33"/>
  <c r="O433" i="33"/>
  <c r="O602" i="33"/>
  <c r="O392" i="33"/>
  <c r="O435" i="33"/>
  <c r="O357" i="33"/>
  <c r="O229" i="33"/>
  <c r="O485" i="33"/>
  <c r="O336" i="33"/>
  <c r="O119" i="33"/>
  <c r="O177" i="33"/>
  <c r="O322" i="33"/>
  <c r="O199" i="33"/>
  <c r="O436" i="33"/>
  <c r="O332" i="33"/>
  <c r="O383" i="33"/>
  <c r="O382" i="33"/>
  <c r="O346" i="33"/>
  <c r="O503" i="33"/>
  <c r="O32" i="33"/>
  <c r="O411" i="33"/>
  <c r="O139" i="33"/>
  <c r="O243" i="33"/>
  <c r="O189" i="33"/>
  <c r="O283" i="33"/>
  <c r="O55" i="33"/>
  <c r="O387" i="33"/>
  <c r="O258" i="33"/>
  <c r="O193" i="33"/>
  <c r="O492" i="33"/>
  <c r="O124" i="33"/>
  <c r="O51" i="33"/>
  <c r="O396" i="33"/>
  <c r="O70" i="33"/>
  <c r="O493" i="33"/>
  <c r="O329" i="33"/>
  <c r="O270" i="33"/>
  <c r="O277" i="33"/>
  <c r="O373" i="33"/>
  <c r="O298" i="33"/>
  <c r="O379" i="33"/>
  <c r="O573" i="33"/>
  <c r="O461" i="33"/>
  <c r="O475" i="33"/>
  <c r="O419" i="33"/>
  <c r="O306" i="33"/>
  <c r="O95" i="33"/>
  <c r="O438" i="33"/>
  <c r="O20" i="33"/>
  <c r="O420" i="33"/>
  <c r="O50" i="33"/>
  <c r="O156" i="33"/>
  <c r="O141" i="33"/>
  <c r="O499" i="33"/>
  <c r="O333" i="33"/>
  <c r="O316" i="33"/>
  <c r="O375" i="33"/>
  <c r="O280" i="33"/>
  <c r="O449" i="33"/>
  <c r="O140" i="33"/>
  <c r="O76" i="33"/>
  <c r="O414" i="33"/>
  <c r="O282" i="33"/>
  <c r="O220" i="33"/>
  <c r="O334" i="33"/>
  <c r="O93" i="33"/>
  <c r="O486" i="33"/>
  <c r="O423" i="33"/>
  <c r="O437" i="33"/>
  <c r="O405" i="33"/>
  <c r="O367" i="33"/>
  <c r="O98" i="33"/>
  <c r="O500" i="33"/>
  <c r="O452" i="33"/>
  <c r="O463" i="33"/>
  <c r="O30" i="33"/>
  <c r="O263" i="33"/>
  <c r="O448" i="33"/>
  <c r="O351" i="33"/>
  <c r="O87" i="33"/>
  <c r="O265" i="33"/>
  <c r="O440" i="33"/>
  <c r="O122" i="33"/>
  <c r="O572" i="33"/>
  <c r="O381" i="33"/>
  <c r="O471" i="33"/>
  <c r="O525" i="33"/>
  <c r="O374" i="33"/>
  <c r="O315" i="33"/>
  <c r="O274" i="33"/>
  <c r="O320" i="33"/>
  <c r="O341" i="33"/>
  <c r="O446" i="33"/>
  <c r="O299" i="33"/>
  <c r="O17" i="33"/>
  <c r="O19" i="33"/>
  <c r="O377" i="33"/>
  <c r="O484" i="33"/>
  <c r="O348" i="33"/>
  <c r="O422" i="33"/>
  <c r="O143" i="33"/>
  <c r="O302" i="33"/>
  <c r="O292" i="33"/>
  <c r="O502" i="33"/>
  <c r="O226" i="33"/>
  <c r="O505" i="33"/>
  <c r="O276" i="33"/>
  <c r="O317" i="33"/>
  <c r="O251" i="33"/>
  <c r="O134" i="33"/>
  <c r="O242" i="33"/>
  <c r="O54" i="33"/>
  <c r="O401" i="33"/>
  <c r="O371" i="33"/>
  <c r="O248" i="33"/>
  <c r="O297" i="33"/>
  <c r="O406" i="33"/>
  <c r="O60" i="33"/>
  <c r="O354" i="33"/>
  <c r="O157" i="33"/>
  <c r="O182" i="33"/>
  <c r="O158" i="33"/>
  <c r="H50" i="34" l="1"/>
  <c r="G92" i="40"/>
  <c r="G93" i="40"/>
  <c r="H25" i="34"/>
  <c r="G35" i="40"/>
  <c r="G44" i="40"/>
  <c r="G27" i="40"/>
  <c r="G29" i="40"/>
  <c r="G46" i="40"/>
  <c r="H27" i="34"/>
  <c r="G90" i="40"/>
  <c r="G89" i="40"/>
  <c r="G48" i="40"/>
  <c r="G5" i="40"/>
  <c r="G30" i="40"/>
  <c r="G50" i="40"/>
  <c r="G88" i="40"/>
  <c r="G34" i="40"/>
  <c r="G87" i="40"/>
  <c r="G28" i="40"/>
  <c r="G18" i="40"/>
  <c r="G55" i="40"/>
  <c r="H38" i="34"/>
  <c r="H47" i="34"/>
  <c r="H48" i="34"/>
  <c r="H19" i="34"/>
  <c r="G15" i="40"/>
  <c r="H17" i="34"/>
  <c r="G84" i="40"/>
  <c r="G31" i="40"/>
  <c r="H35" i="34"/>
  <c r="H41" i="34"/>
  <c r="H12" i="34"/>
  <c r="H13" i="34"/>
  <c r="H40" i="34"/>
  <c r="G71" i="40"/>
  <c r="G25" i="40"/>
  <c r="G64" i="40"/>
  <c r="G23" i="40"/>
  <c r="G58" i="40"/>
  <c r="G37" i="40"/>
  <c r="H37" i="34"/>
  <c r="H39" i="34"/>
  <c r="G67" i="40"/>
  <c r="H20" i="34"/>
  <c r="H43" i="34"/>
  <c r="H18" i="34"/>
  <c r="G60" i="40"/>
  <c r="G16" i="40"/>
  <c r="G38" i="40"/>
  <c r="H29" i="34"/>
  <c r="H36" i="34"/>
  <c r="H45" i="34"/>
  <c r="G47" i="40"/>
  <c r="G66" i="40"/>
  <c r="G14" i="40"/>
  <c r="H31" i="34"/>
  <c r="G52" i="40"/>
  <c r="H16" i="34"/>
  <c r="H23" i="34"/>
  <c r="H21" i="34"/>
  <c r="G70" i="40"/>
  <c r="G11" i="40"/>
  <c r="G53" i="40"/>
  <c r="H30" i="34"/>
  <c r="H26" i="34"/>
  <c r="H28" i="34"/>
  <c r="G43" i="40"/>
  <c r="G45" i="40"/>
  <c r="H34" i="34"/>
  <c r="H44" i="34"/>
  <c r="H24" i="34"/>
  <c r="H32" i="34"/>
  <c r="G61" i="40"/>
  <c r="G6" i="40"/>
  <c r="H14" i="34"/>
  <c r="G12" i="40"/>
  <c r="G49" i="40"/>
  <c r="H49" i="34"/>
  <c r="G41" i="40"/>
  <c r="G74" i="40"/>
  <c r="G26" i="40"/>
  <c r="G81" i="40"/>
  <c r="G39" i="40"/>
  <c r="G82" i="40"/>
  <c r="G59" i="40"/>
  <c r="G42" i="40"/>
  <c r="G17" i="40"/>
  <c r="G85" i="40"/>
  <c r="G72" i="40"/>
  <c r="H46" i="34"/>
  <c r="G54" i="40"/>
  <c r="G57" i="40"/>
  <c r="G51" i="40"/>
  <c r="G76" i="40"/>
  <c r="H42" i="34"/>
  <c r="G7" i="40"/>
  <c r="G21" i="40"/>
  <c r="G65" i="40"/>
  <c r="G78" i="40"/>
  <c r="H33" i="34"/>
  <c r="G36" i="40"/>
  <c r="G79" i="40"/>
  <c r="G24" i="40"/>
  <c r="G80" i="40"/>
  <c r="H15" i="34"/>
  <c r="H22" i="34"/>
  <c r="G69" i="40"/>
  <c r="G68" i="40"/>
  <c r="G10" i="40"/>
  <c r="G62" i="40"/>
  <c r="G73" i="40"/>
  <c r="G13" i="40"/>
  <c r="G8" i="40"/>
  <c r="G20" i="40"/>
  <c r="G91" i="40"/>
  <c r="G86" i="40"/>
  <c r="G63" i="40"/>
  <c r="G22" i="40"/>
  <c r="G56" i="40"/>
  <c r="G9" i="40"/>
  <c r="G83" i="40"/>
  <c r="G19" i="40"/>
  <c r="G40" i="40"/>
  <c r="G75" i="40"/>
  <c r="G32" i="40"/>
  <c r="G77" i="40"/>
  <c r="G33" i="40"/>
  <c r="H11" i="34"/>
  <c r="B5"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tc={D243A0F6-7F97-424C-9668-ADBFE7C6025B}</author>
    <author>tc={FC3C69C0-6DBC-4F48-819F-88A615C59338}</author>
    <author>tc={8F248413-2568-9547-81F3-6C7926EB6A8A}</author>
    <author>tc={66F75FE3-D150-A143-8816-DC82F330607D}</author>
    <author>tc={0F45CF8F-740A-F746-A88E-78FF63368F9A}</author>
    <author>tc={E5502C8E-736A-5243-A74B-28003C543397}</author>
    <author>tc={F5320B37-0C96-EC4C-8BF5-AC68FBAC0F94}</author>
    <author>tc={FAD4CFC4-60B8-0E4D-BDAD-A0D219AEFD06}</author>
    <author>tc={08F6F9BD-0EF4-F14F-B646-2EDE9853F5E2}</author>
    <author>tc={F0C161BE-3B6C-ED47-BE64-1FEE28363C0A}</author>
    <author>tc={E1114592-9B3F-2548-97E9-41A30F21BC50}</author>
  </authors>
  <commentList>
    <comment ref="C4" authorId="0" shapeId="0" xr:uid="{D243A0F6-7F97-424C-9668-ADBFE7C6025B}">
      <text>
        <t>[Threaded comment]
Your version of Excel allows you to read this threaded comment; however, any edits to it will get removed if the file is opened in a newer version of Excel. Learn more: https://go.microsoft.com/fwlink/?linkid=870924
Comment:
    https://tokenomics.psyfi.io/</t>
      </text>
    </comment>
    <comment ref="C6" authorId="1" shapeId="0" xr:uid="{FC3C69C0-6DBC-4F48-819F-88A615C59338}">
      <text>
        <t>[Threaded comment]
Your version of Excel allows you to read this threaded comment; however, any edits to it will get removed if the file is opened in a newer version of Excel. Learn more: https://go.microsoft.com/fwlink/?linkid=870924
Comment:
    https://app.hxro.finance/stake</t>
      </text>
    </comment>
    <comment ref="E15" authorId="2" shapeId="0" xr:uid="{8F248413-2568-9547-81F3-6C7926EB6A8A}">
      <text>
        <t>[Threaded comment]
Your version of Excel allows you to read this threaded comment; however, any edits to it will get removed if the file is opened in a newer version of Excel. Learn more: https://go.microsoft.com/fwlink/?linkid=870924
Comment:
    https://app.infinex.xyz/deposit</t>
      </text>
    </comment>
    <comment ref="D24" authorId="3" shapeId="0" xr:uid="{66F75FE3-D150-A143-8816-DC82F330607D}">
      <text>
        <t>[Threaded comment]
Your version of Excel allows you to read this threaded comment; however, any edits to it will get removed if the file is opened in a newer version of Excel. Learn more: https://go.microsoft.com/fwlink/?linkid=870924
Comment:
    https://app.circuit.trade/vault/supercharger</t>
      </text>
    </comment>
    <comment ref="C39" authorId="4" shapeId="0" xr:uid="{0F45CF8F-740A-F746-A88E-78FF63368F9A}">
      <text>
        <t>[Threaded comment]
Your version of Excel allows you to read this threaded comment; however, any edits to it will get removed if the file is opened in a newer version of Excel. Learn more: https://go.microsoft.com/fwlink/?linkid=870924
Comment:
    https://stake.futureprotocol.io/</t>
      </text>
    </comment>
    <comment ref="E40" authorId="5" shapeId="0" xr:uid="{E5502C8E-736A-5243-A74B-28003C543397}">
      <text>
        <t>[Threaded comment]
Your version of Excel allows you to read this threaded comment; however, any edits to it will get removed if the file is opened in a newer version of Excel. Learn more: https://go.microsoft.com/fwlink/?linkid=870924
Comment:
    https://app.infinex.xyz/deposit</t>
      </text>
    </comment>
    <comment ref="F135" authorId="6" shapeId="0" xr:uid="{F5320B37-0C96-EC4C-8BF5-AC68FBAC0F94}">
      <text>
        <t>[Threaded comment]
Your version of Excel allows you to read this threaded comment; however, any edits to it will get removed if the file is opened in a newer version of Excel. Learn more: https://go.microsoft.com/fwlink/?linkid=870924
Comment:
    fucking liquidated</t>
      </text>
    </comment>
    <comment ref="G149" authorId="7" shapeId="0" xr:uid="{FAD4CFC4-60B8-0E4D-BDAD-A0D219AEFD06}">
      <text>
        <t xml:space="preserve">[Threaded comment]
Your version of Excel allows you to read this threaded comment; however, any edits to it will get removed if the file is opened in a newer version of Excel. Learn more: https://go.microsoft.com/fwlink/?linkid=870924
Comment:
    hyperliquid ru deposit hiine
</t>
      </text>
    </comment>
    <comment ref="G150" authorId="8" shapeId="0" xr:uid="{08F6F9BD-0EF4-F14F-B646-2EDE9853F5E2}">
      <text>
        <t>[Threaded comment]
Your version of Excel allows you to read this threaded comment; however, any edits to it will get removed if the file is opened in a newer version of Excel. Learn more: https://go.microsoft.com/fwlink/?linkid=870924
Comment:
    depositing to robinhood</t>
      </text>
    </comment>
    <comment ref="G234" authorId="9" shapeId="0" xr:uid="{F0C161BE-3B6C-ED47-BE64-1FEE28363C0A}">
      <text>
        <t xml:space="preserve">[Threaded comment]
Your version of Excel allows you to read this threaded comment; however, any edits to it will get removed if the file is opened in a newer version of Excel. Learn more: https://go.microsoft.com/fwlink/?linkid=870924
Comment:
    ene data tentsuuleh gej oruulsan
</t>
      </text>
    </comment>
    <comment ref="D308" authorId="10" shapeId="0" xr:uid="{E1114592-9B3F-2548-97E9-41A30F21BC50}">
      <text>
        <t xml:space="preserve">[Threaded comment]
Your version of Excel allows you to read this threaded comment; however, any edits to it will get removed if the file is opened in a newer version of Excel. Learn more: https://go.microsoft.com/fwlink/?linkid=870924
Comment:
    https://holdstation.exchange/earn/HOLD-Staking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tc={93B3794C-B371-1448-A60C-3878EC5D6404}</author>
    <author>tc={13BD1AD4-B483-D045-A3CA-76CDFA4DD722}</author>
    <author>tc={1B84B50B-7108-DA49-B594-ABDACBEB4573}</author>
    <author>tc={A058E2EA-7566-914D-808D-BD41BF855504}</author>
    <author>tc={CE7372DA-A3DF-314F-9671-333C9AF5E5BC}</author>
    <author>tc={7E08A2C5-F3B8-DB4F-88DB-069AFBBCB3DA}</author>
    <author>tc={428A7BB7-3E08-B54D-924F-FB66EB29C46F}</author>
    <author>tc={D4F2B5C8-57A3-E144-A052-EA1767E9A84E}</author>
    <author>tc={79333C64-7181-A84E-AFC8-2FB57BB5B141}</author>
    <author>tc={B24A6F13-70D2-624A-A3C2-168D6ED5BABE}</author>
  </authors>
  <commentList>
    <comment ref="B126" authorId="0" shapeId="0" xr:uid="{93B3794C-B371-1448-A60C-3878EC5D6404}">
      <text>
        <t xml:space="preserve">[Threaded comment]
Your version of Excel allows you to read this threaded comment; however, any edits to it will get removed if the file is opened in a newer version of Excel. Learn more: https://go.microsoft.com/fwlink/?linkid=870924
Comment:
    Israel Defense company
</t>
      </text>
    </comment>
    <comment ref="A214" authorId="1" shapeId="0" xr:uid="{13BD1AD4-B483-D045-A3CA-76CDFA4DD722}">
      <text>
        <t>[Threaded comment]
Your version of Excel allows you to read this threaded comment; however, any edits to it will get removed if the file is opened in a newer version of Excel. Learn more: https://go.microsoft.com/fwlink/?linkid=870924
Comment:
    Was recommended by Lumida</t>
      </text>
    </comment>
    <comment ref="A219" authorId="2" shapeId="0" xr:uid="{1B84B50B-7108-DA49-B594-ABDACBEB4573}">
      <text>
        <t>[Threaded comment]
Your version of Excel allows you to read this threaded comment; however, any edits to it will get removed if the file is opened in a newer version of Excel. Learn more: https://go.microsoft.com/fwlink/?linkid=870924
Comment:
    spaceX байдаг хувьцаа</t>
      </text>
    </comment>
    <comment ref="B299" authorId="3" shapeId="0" xr:uid="{A058E2EA-7566-914D-808D-BD41BF855504}">
      <text>
        <t xml:space="preserve">[Threaded comment]
Your version of Excel allows you to read this threaded comment; however, any edits to it will get removed if the file is opened in a newer version of Excel. Learn more: https://go.microsoft.com/fwlink/?linkid=870924
Comment:
    Window, glass maker in case of increased protest
</t>
      </text>
    </comment>
    <comment ref="A307" authorId="4" shapeId="0" xr:uid="{CE7372DA-A3DF-314F-9671-333C9AF5E5BC}">
      <text>
        <t xml:space="preserve">[Threaded comment]
Your version of Excel allows you to read this threaded comment; however, any edits to it will get removed if the file is opened in a newer version of Excel. Learn more: https://go.microsoft.com/fwlink/?linkid=870924
Comment:
    Nel’s idea
</t>
      </text>
    </comment>
    <comment ref="A342" authorId="5" shapeId="0" xr:uid="{7E08A2C5-F3B8-DB4F-88DB-069AFBBCB3DA}">
      <text>
        <t xml:space="preserve">[Threaded comment]
Your version of Excel allows you to read this threaded comment; however, any edits to it will get removed if the file is opened in a newer version of Excel. Learn more: https://go.microsoft.com/fwlink/?linkid=870924
Comment:
    short idea by citrini
</t>
      </text>
    </comment>
    <comment ref="B376" authorId="6" shapeId="0" xr:uid="{428A7BB7-3E08-B54D-924F-FB66EB29C46F}">
      <text>
        <t>[Threaded comment]
Your version of Excel allows you to read this threaded comment; however, any edits to it will get removed if the file is opened in a newer version of Excel. Learn more: https://go.microsoft.com/fwlink/?linkid=870924
Comment:
    Casino stock</t>
      </text>
    </comment>
    <comment ref="A432" authorId="7" shapeId="0" xr:uid="{D4F2B5C8-57A3-E144-A052-EA1767E9A84E}">
      <text>
        <t xml:space="preserve">[Threaded comment]
Your version of Excel allows you to read this threaded comment; however, any edits to it will get removed if the file is opened in a newer version of Excel. Learn more: https://go.microsoft.com/fwlink/?linkid=870924
Comment:
    In App advertisement solution. Goy um baina. </t>
      </text>
    </comment>
    <comment ref="B448" authorId="8" shapeId="0" xr:uid="{79333C64-7181-A84E-AFC8-2FB57BB5B141}">
      <text>
        <t>[Threaded comment]
Your version of Excel allows you to read this threaded comment; however, any edits to it will get removed if the file is opened in a newer version of Excel. Learn more: https://go.microsoft.com/fwlink/?linkid=870924
Comment:
    AI based Draft One product</t>
      </text>
    </comment>
    <comment ref="A482" authorId="9" shapeId="0" xr:uid="{B24A6F13-70D2-624A-A3C2-168D6ED5BABE}">
      <text>
        <t xml:space="preserve">[Threaded comment]
Your version of Excel allows you to read this threaded comment; however, any edits to it will get removed if the file is opened in a newer version of Excel. Learn more: https://go.microsoft.com/fwlink/?linkid=870924
Comment:
    gold miner with some antimony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tc={9AF9CB41-E9B5-F744-81F9-457535DE6C32}</author>
    <author>tc={2BE25E1D-6FAF-1F48-BBE3-40BBF0A76D11}</author>
    <author>tc={8B84C118-F43A-0346-B553-001723CCFF1D}</author>
    <author>tc={5BB96A90-02D6-3E4C-876E-D02FDCADEF3E}</author>
  </authors>
  <commentList>
    <comment ref="A197" authorId="0" shapeId="0" xr:uid="{9AF9CB41-E9B5-F744-81F9-457535DE6C32}">
      <text>
        <t xml:space="preserve">[Threaded comment]
Your version of Excel allows you to read this threaded comment; however, any edits to it will get removed if the file is opened in a newer version of Excel. Learn more: https://go.microsoft.com/fwlink/?linkid=870924
Comment:
    FsInsight idea
</t>
      </text>
    </comment>
    <comment ref="A198" authorId="1" shapeId="0" xr:uid="{2BE25E1D-6FAF-1F48-BBE3-40BBF0A76D11}">
      <text>
        <t xml:space="preserve">[Threaded comment]
Your version of Excel allows you to read this threaded comment; however, any edits to it will get removed if the file is opened in a newer version of Excel. Learn more: https://go.microsoft.com/fwlink/?linkid=870924
Comment:
    FsInsight idea
</t>
      </text>
    </comment>
    <comment ref="A199" authorId="2" shapeId="0" xr:uid="{8B84C118-F43A-0346-B553-001723CCFF1D}">
      <text>
        <t>[Threaded comment]
Your version of Excel allows you to read this threaded comment; however, any edits to it will get removed if the file is opened in a newer version of Excel. Learn more: https://go.microsoft.com/fwlink/?linkid=870924
Comment:
    сүүлд FsInsight sanal bolgoson</t>
      </text>
    </comment>
    <comment ref="E1608" authorId="3" shapeId="0" xr:uid="{5BB96A90-02D6-3E4C-876E-D02FDCADEF3E}">
      <text>
        <t xml:space="preserve">[Threaded comment]
Your version of Excel allows you to read this threaded comment; however, any edits to it will get removed if the file is opened in a newer version of Excel. Learn more: https://go.microsoft.com/fwlink/?linkid=870924
Comment:
    Burtgel buruu bsan bolohoor this is adjustment made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04">
    <bk>
      <extLst>
        <ext uri="{3e2802c4-a4d2-4d8b-9148-e3be6c30e623}">
          <xlrd:rvb i="2"/>
        </ext>
      </extLst>
    </bk>
    <bk>
      <extLst>
        <ext uri="{3e2802c4-a4d2-4d8b-9148-e3be6c30e623}">
          <xlrd:rvb i="4"/>
        </ext>
      </extLst>
    </bk>
    <bk>
      <extLst>
        <ext uri="{3e2802c4-a4d2-4d8b-9148-e3be6c30e623}">
          <xlrd:rvb i="6"/>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4"/>
        </ext>
      </extLst>
    </bk>
    <bk>
      <extLst>
        <ext uri="{3e2802c4-a4d2-4d8b-9148-e3be6c30e623}">
          <xlrd:rvb i="217"/>
        </ext>
      </extLst>
    </bk>
    <bk>
      <extLst>
        <ext uri="{3e2802c4-a4d2-4d8b-9148-e3be6c30e623}">
          <xlrd:rvb i="220"/>
        </ext>
      </extLst>
    </bk>
    <bk>
      <extLst>
        <ext uri="{3e2802c4-a4d2-4d8b-9148-e3be6c30e623}">
          <xlrd:rvb i="223"/>
        </ext>
      </extLst>
    </bk>
    <bk>
      <extLst>
        <ext uri="{3e2802c4-a4d2-4d8b-9148-e3be6c30e623}">
          <xlrd:rvb i="226"/>
        </ext>
      </extLst>
    </bk>
    <bk>
      <extLst>
        <ext uri="{3e2802c4-a4d2-4d8b-9148-e3be6c30e623}">
          <xlrd:rvb i="229"/>
        </ext>
      </extLst>
    </bk>
    <bk>
      <extLst>
        <ext uri="{3e2802c4-a4d2-4d8b-9148-e3be6c30e623}">
          <xlrd:rvb i="232"/>
        </ext>
      </extLst>
    </bk>
    <bk>
      <extLst>
        <ext uri="{3e2802c4-a4d2-4d8b-9148-e3be6c30e623}">
          <xlrd:rvb i="235"/>
        </ext>
      </extLst>
    </bk>
    <bk>
      <extLst>
        <ext uri="{3e2802c4-a4d2-4d8b-9148-e3be6c30e623}">
          <xlrd:rvb i="238"/>
        </ext>
      </extLst>
    </bk>
    <bk>
      <extLst>
        <ext uri="{3e2802c4-a4d2-4d8b-9148-e3be6c30e623}">
          <xlrd:rvb i="241"/>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297"/>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09"/>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2"/>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11"/>
        </ext>
      </extLst>
    </bk>
    <bk>
      <extLst>
        <ext uri="{3e2802c4-a4d2-4d8b-9148-e3be6c30e623}">
          <xlrd:rvb i="414"/>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90"/>
        </ext>
      </extLst>
    </bk>
    <bk>
      <extLst>
        <ext uri="{3e2802c4-a4d2-4d8b-9148-e3be6c30e623}">
          <xlrd:rvb i="493"/>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7"/>
        </ext>
      </extLst>
    </bk>
    <bk>
      <extLst>
        <ext uri="{3e2802c4-a4d2-4d8b-9148-e3be6c30e623}">
          <xlrd:rvb i="540"/>
        </ext>
      </extLst>
    </bk>
    <bk>
      <extLst>
        <ext uri="{3e2802c4-a4d2-4d8b-9148-e3be6c30e623}">
          <xlrd:rvb i="543"/>
        </ext>
      </extLst>
    </bk>
    <bk>
      <extLst>
        <ext uri="{3e2802c4-a4d2-4d8b-9148-e3be6c30e623}">
          <xlrd:rvb i="546"/>
        </ext>
      </extLst>
    </bk>
    <bk>
      <extLst>
        <ext uri="{3e2802c4-a4d2-4d8b-9148-e3be6c30e623}">
          <xlrd:rvb i="549"/>
        </ext>
      </extLst>
    </bk>
    <bk>
      <extLst>
        <ext uri="{3e2802c4-a4d2-4d8b-9148-e3be6c30e623}">
          <xlrd:rvb i="552"/>
        </ext>
      </extLst>
    </bk>
    <bk>
      <extLst>
        <ext uri="{3e2802c4-a4d2-4d8b-9148-e3be6c30e623}">
          <xlrd:rvb i="555"/>
        </ext>
      </extLst>
    </bk>
    <bk>
      <extLst>
        <ext uri="{3e2802c4-a4d2-4d8b-9148-e3be6c30e623}">
          <xlrd:rvb i="558"/>
        </ext>
      </extLst>
    </bk>
    <bk>
      <extLst>
        <ext uri="{3e2802c4-a4d2-4d8b-9148-e3be6c30e623}">
          <xlrd:rvb i="561"/>
        </ext>
      </extLst>
    </bk>
    <bk>
      <extLst>
        <ext uri="{3e2802c4-a4d2-4d8b-9148-e3be6c30e623}">
          <xlrd:rvb i="564"/>
        </ext>
      </extLst>
    </bk>
    <bk>
      <extLst>
        <ext uri="{3e2802c4-a4d2-4d8b-9148-e3be6c30e623}">
          <xlrd:rvb i="567"/>
        </ext>
      </extLst>
    </bk>
    <bk>
      <extLst>
        <ext uri="{3e2802c4-a4d2-4d8b-9148-e3be6c30e623}">
          <xlrd:rvb i="570"/>
        </ext>
      </extLst>
    </bk>
    <bk>
      <extLst>
        <ext uri="{3e2802c4-a4d2-4d8b-9148-e3be6c30e623}">
          <xlrd:rvb i="573"/>
        </ext>
      </extLst>
    </bk>
    <bk>
      <extLst>
        <ext uri="{3e2802c4-a4d2-4d8b-9148-e3be6c30e623}">
          <xlrd:rvb i="576"/>
        </ext>
      </extLst>
    </bk>
    <bk>
      <extLst>
        <ext uri="{3e2802c4-a4d2-4d8b-9148-e3be6c30e623}">
          <xlrd:rvb i="579"/>
        </ext>
      </extLst>
    </bk>
    <bk>
      <extLst>
        <ext uri="{3e2802c4-a4d2-4d8b-9148-e3be6c30e623}">
          <xlrd:rvb i="582"/>
        </ext>
      </extLst>
    </bk>
    <bk>
      <extLst>
        <ext uri="{3e2802c4-a4d2-4d8b-9148-e3be6c30e623}">
          <xlrd:rvb i="585"/>
        </ext>
      </extLst>
    </bk>
    <bk>
      <extLst>
        <ext uri="{3e2802c4-a4d2-4d8b-9148-e3be6c30e623}">
          <xlrd:rvb i="588"/>
        </ext>
      </extLst>
    </bk>
    <bk>
      <extLst>
        <ext uri="{3e2802c4-a4d2-4d8b-9148-e3be6c30e623}">
          <xlrd:rvb i="591"/>
        </ext>
      </extLst>
    </bk>
    <bk>
      <extLst>
        <ext uri="{3e2802c4-a4d2-4d8b-9148-e3be6c30e623}">
          <xlrd:rvb i="593"/>
        </ext>
      </extLst>
    </bk>
    <bk>
      <extLst>
        <ext uri="{3e2802c4-a4d2-4d8b-9148-e3be6c30e623}">
          <xlrd:rvb i="596"/>
        </ext>
      </extLst>
    </bk>
    <bk>
      <extLst>
        <ext uri="{3e2802c4-a4d2-4d8b-9148-e3be6c30e623}">
          <xlrd:rvb i="599"/>
        </ext>
      </extLst>
    </bk>
    <bk>
      <extLst>
        <ext uri="{3e2802c4-a4d2-4d8b-9148-e3be6c30e623}">
          <xlrd:rvb i="602"/>
        </ext>
      </extLst>
    </bk>
    <bk>
      <extLst>
        <ext uri="{3e2802c4-a4d2-4d8b-9148-e3be6c30e623}">
          <xlrd:rvb i="604"/>
        </ext>
      </extLst>
    </bk>
    <bk>
      <extLst>
        <ext uri="{3e2802c4-a4d2-4d8b-9148-e3be6c30e623}">
          <xlrd:rvb i="607"/>
        </ext>
      </extLst>
    </bk>
    <bk>
      <extLst>
        <ext uri="{3e2802c4-a4d2-4d8b-9148-e3be6c30e623}">
          <xlrd:rvb i="609"/>
        </ext>
      </extLst>
    </bk>
    <bk>
      <extLst>
        <ext uri="{3e2802c4-a4d2-4d8b-9148-e3be6c30e623}">
          <xlrd:rvb i="612"/>
        </ext>
      </extLst>
    </bk>
    <bk>
      <extLst>
        <ext uri="{3e2802c4-a4d2-4d8b-9148-e3be6c30e623}">
          <xlrd:rvb i="615"/>
        </ext>
      </extLst>
    </bk>
    <bk>
      <extLst>
        <ext uri="{3e2802c4-a4d2-4d8b-9148-e3be6c30e623}">
          <xlrd:rvb i="618"/>
        </ext>
      </extLst>
    </bk>
    <bk>
      <extLst>
        <ext uri="{3e2802c4-a4d2-4d8b-9148-e3be6c30e623}">
          <xlrd:rvb i="621"/>
        </ext>
      </extLst>
    </bk>
    <bk>
      <extLst>
        <ext uri="{3e2802c4-a4d2-4d8b-9148-e3be6c30e623}">
          <xlrd:rvb i="627"/>
        </ext>
      </extLst>
    </bk>
    <bk>
      <extLst>
        <ext uri="{3e2802c4-a4d2-4d8b-9148-e3be6c30e623}">
          <xlrd:rvb i="630"/>
        </ext>
      </extLst>
    </bk>
    <bk>
      <extLst>
        <ext uri="{3e2802c4-a4d2-4d8b-9148-e3be6c30e623}">
          <xlrd:rvb i="633"/>
        </ext>
      </extLst>
    </bk>
    <bk>
      <extLst>
        <ext uri="{3e2802c4-a4d2-4d8b-9148-e3be6c30e623}">
          <xlrd:rvb i="636"/>
        </ext>
      </extLst>
    </bk>
    <bk>
      <extLst>
        <ext uri="{3e2802c4-a4d2-4d8b-9148-e3be6c30e623}">
          <xlrd:rvb i="639"/>
        </ext>
      </extLst>
    </bk>
    <bk>
      <extLst>
        <ext uri="{3e2802c4-a4d2-4d8b-9148-e3be6c30e623}">
          <xlrd:rvb i="642"/>
        </ext>
      </extLst>
    </bk>
    <bk>
      <extLst>
        <ext uri="{3e2802c4-a4d2-4d8b-9148-e3be6c30e623}">
          <xlrd:rvb i="645"/>
        </ext>
      </extLst>
    </bk>
    <bk>
      <extLst>
        <ext uri="{3e2802c4-a4d2-4d8b-9148-e3be6c30e623}">
          <xlrd:rvb i="648"/>
        </ext>
      </extLst>
    </bk>
    <bk>
      <extLst>
        <ext uri="{3e2802c4-a4d2-4d8b-9148-e3be6c30e623}">
          <xlrd:rvb i="651"/>
        </ext>
      </extLst>
    </bk>
    <bk>
      <extLst>
        <ext uri="{3e2802c4-a4d2-4d8b-9148-e3be6c30e623}">
          <xlrd:rvb i="654"/>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3"/>
        </ext>
      </extLst>
    </bk>
    <bk>
      <extLst>
        <ext uri="{3e2802c4-a4d2-4d8b-9148-e3be6c30e623}">
          <xlrd:rvb i="676"/>
        </ext>
      </extLst>
    </bk>
    <bk>
      <extLst>
        <ext uri="{3e2802c4-a4d2-4d8b-9148-e3be6c30e623}">
          <xlrd:rvb i="679"/>
        </ext>
      </extLst>
    </bk>
    <bk>
      <extLst>
        <ext uri="{3e2802c4-a4d2-4d8b-9148-e3be6c30e623}">
          <xlrd:rvb i="682"/>
        </ext>
      </extLst>
    </bk>
    <bk>
      <extLst>
        <ext uri="{3e2802c4-a4d2-4d8b-9148-e3be6c30e623}">
          <xlrd:rvb i="685"/>
        </ext>
      </extLst>
    </bk>
    <bk>
      <extLst>
        <ext uri="{3e2802c4-a4d2-4d8b-9148-e3be6c30e623}">
          <xlrd:rvb i="688"/>
        </ext>
      </extLst>
    </bk>
    <bk>
      <extLst>
        <ext uri="{3e2802c4-a4d2-4d8b-9148-e3be6c30e623}">
          <xlrd:rvb i="691"/>
        </ext>
      </extLst>
    </bk>
    <bk>
      <extLst>
        <ext uri="{3e2802c4-a4d2-4d8b-9148-e3be6c30e623}">
          <xlrd:rvb i="694"/>
        </ext>
      </extLst>
    </bk>
    <bk>
      <extLst>
        <ext uri="{3e2802c4-a4d2-4d8b-9148-e3be6c30e623}">
          <xlrd:rvb i="697"/>
        </ext>
      </extLst>
    </bk>
    <bk>
      <extLst>
        <ext uri="{3e2802c4-a4d2-4d8b-9148-e3be6c30e623}">
          <xlrd:rvb i="700"/>
        </ext>
      </extLst>
    </bk>
    <bk>
      <extLst>
        <ext uri="{3e2802c4-a4d2-4d8b-9148-e3be6c30e623}">
          <xlrd:rvb i="703"/>
        </ext>
      </extLst>
    </bk>
    <bk>
      <extLst>
        <ext uri="{3e2802c4-a4d2-4d8b-9148-e3be6c30e623}">
          <xlrd:rvb i="706"/>
        </ext>
      </extLst>
    </bk>
    <bk>
      <extLst>
        <ext uri="{3e2802c4-a4d2-4d8b-9148-e3be6c30e623}">
          <xlrd:rvb i="709"/>
        </ext>
      </extLst>
    </bk>
    <bk>
      <extLst>
        <ext uri="{3e2802c4-a4d2-4d8b-9148-e3be6c30e623}">
          <xlrd:rvb i="712"/>
        </ext>
      </extLst>
    </bk>
    <bk>
      <extLst>
        <ext uri="{3e2802c4-a4d2-4d8b-9148-e3be6c30e623}">
          <xlrd:rvb i="715"/>
        </ext>
      </extLst>
    </bk>
    <bk>
      <extLst>
        <ext uri="{3e2802c4-a4d2-4d8b-9148-e3be6c30e623}">
          <xlrd:rvb i="718"/>
        </ext>
      </extLst>
    </bk>
    <bk>
      <extLst>
        <ext uri="{3e2802c4-a4d2-4d8b-9148-e3be6c30e623}">
          <xlrd:rvb i="721"/>
        </ext>
      </extLst>
    </bk>
    <bk>
      <extLst>
        <ext uri="{3e2802c4-a4d2-4d8b-9148-e3be6c30e623}">
          <xlrd:rvb i="724"/>
        </ext>
      </extLst>
    </bk>
    <bk>
      <extLst>
        <ext uri="{3e2802c4-a4d2-4d8b-9148-e3be6c30e623}">
          <xlrd:rvb i="727"/>
        </ext>
      </extLst>
    </bk>
    <bk>
      <extLst>
        <ext uri="{3e2802c4-a4d2-4d8b-9148-e3be6c30e623}">
          <xlrd:rvb i="729"/>
        </ext>
      </extLst>
    </bk>
    <bk>
      <extLst>
        <ext uri="{3e2802c4-a4d2-4d8b-9148-e3be6c30e623}">
          <xlrd:rvb i="732"/>
        </ext>
      </extLst>
    </bk>
    <bk>
      <extLst>
        <ext uri="{3e2802c4-a4d2-4d8b-9148-e3be6c30e623}">
          <xlrd:rvb i="735"/>
        </ext>
      </extLst>
    </bk>
    <bk>
      <extLst>
        <ext uri="{3e2802c4-a4d2-4d8b-9148-e3be6c30e623}">
          <xlrd:rvb i="738"/>
        </ext>
      </extLst>
    </bk>
    <bk>
      <extLst>
        <ext uri="{3e2802c4-a4d2-4d8b-9148-e3be6c30e623}">
          <xlrd:rvb i="741"/>
        </ext>
      </extLst>
    </bk>
    <bk>
      <extLst>
        <ext uri="{3e2802c4-a4d2-4d8b-9148-e3be6c30e623}">
          <xlrd:rvb i="744"/>
        </ext>
      </extLst>
    </bk>
    <bk>
      <extLst>
        <ext uri="{3e2802c4-a4d2-4d8b-9148-e3be6c30e623}">
          <xlrd:rvb i="747"/>
        </ext>
      </extLst>
    </bk>
    <bk>
      <extLst>
        <ext uri="{3e2802c4-a4d2-4d8b-9148-e3be6c30e623}">
          <xlrd:rvb i="750"/>
        </ext>
      </extLst>
    </bk>
    <bk>
      <extLst>
        <ext uri="{3e2802c4-a4d2-4d8b-9148-e3be6c30e623}">
          <xlrd:rvb i="753"/>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64"/>
        </ext>
      </extLst>
    </bk>
    <bk>
      <extLst>
        <ext uri="{3e2802c4-a4d2-4d8b-9148-e3be6c30e623}">
          <xlrd:rvb i="767"/>
        </ext>
      </extLst>
    </bk>
    <bk>
      <extLst>
        <ext uri="{3e2802c4-a4d2-4d8b-9148-e3be6c30e623}">
          <xlrd:rvb i="770"/>
        </ext>
      </extLst>
    </bk>
    <bk>
      <extLst>
        <ext uri="{3e2802c4-a4d2-4d8b-9148-e3be6c30e623}">
          <xlrd:rvb i="773"/>
        </ext>
      </extLst>
    </bk>
    <bk>
      <extLst>
        <ext uri="{3e2802c4-a4d2-4d8b-9148-e3be6c30e623}">
          <xlrd:rvb i="776"/>
        </ext>
      </extLst>
    </bk>
    <bk>
      <extLst>
        <ext uri="{3e2802c4-a4d2-4d8b-9148-e3be6c30e623}">
          <xlrd:rvb i="779"/>
        </ext>
      </extLst>
    </bk>
    <bk>
      <extLst>
        <ext uri="{3e2802c4-a4d2-4d8b-9148-e3be6c30e623}">
          <xlrd:rvb i="781"/>
        </ext>
      </extLst>
    </bk>
    <bk>
      <extLst>
        <ext uri="{3e2802c4-a4d2-4d8b-9148-e3be6c30e623}">
          <xlrd:rvb i="784"/>
        </ext>
      </extLst>
    </bk>
    <bk>
      <extLst>
        <ext uri="{3e2802c4-a4d2-4d8b-9148-e3be6c30e623}">
          <xlrd:rvb i="787"/>
        </ext>
      </extLst>
    </bk>
    <bk>
      <extLst>
        <ext uri="{3e2802c4-a4d2-4d8b-9148-e3be6c30e623}">
          <xlrd:rvb i="790"/>
        </ext>
      </extLst>
    </bk>
    <bk>
      <extLst>
        <ext uri="{3e2802c4-a4d2-4d8b-9148-e3be6c30e623}">
          <xlrd:rvb i="793"/>
        </ext>
      </extLst>
    </bk>
    <bk>
      <extLst>
        <ext uri="{3e2802c4-a4d2-4d8b-9148-e3be6c30e623}">
          <xlrd:rvb i="796"/>
        </ext>
      </extLst>
    </bk>
    <bk>
      <extLst>
        <ext uri="{3e2802c4-a4d2-4d8b-9148-e3be6c30e623}">
          <xlrd:rvb i="799"/>
        </ext>
      </extLst>
    </bk>
    <bk>
      <extLst>
        <ext uri="{3e2802c4-a4d2-4d8b-9148-e3be6c30e623}">
          <xlrd:rvb i="802"/>
        </ext>
      </extLst>
    </bk>
    <bk>
      <extLst>
        <ext uri="{3e2802c4-a4d2-4d8b-9148-e3be6c30e623}">
          <xlrd:rvb i="805"/>
        </ext>
      </extLst>
    </bk>
    <bk>
      <extLst>
        <ext uri="{3e2802c4-a4d2-4d8b-9148-e3be6c30e623}">
          <xlrd:rvb i="808"/>
        </ext>
      </extLst>
    </bk>
    <bk>
      <extLst>
        <ext uri="{3e2802c4-a4d2-4d8b-9148-e3be6c30e623}">
          <xlrd:rvb i="811"/>
        </ext>
      </extLst>
    </bk>
    <bk>
      <extLst>
        <ext uri="{3e2802c4-a4d2-4d8b-9148-e3be6c30e623}">
          <xlrd:rvb i="814"/>
        </ext>
      </extLst>
    </bk>
    <bk>
      <extLst>
        <ext uri="{3e2802c4-a4d2-4d8b-9148-e3be6c30e623}">
          <xlrd:rvb i="817"/>
        </ext>
      </extLst>
    </bk>
    <bk>
      <extLst>
        <ext uri="{3e2802c4-a4d2-4d8b-9148-e3be6c30e623}">
          <xlrd:rvb i="820"/>
        </ext>
      </extLst>
    </bk>
    <bk>
      <extLst>
        <ext uri="{3e2802c4-a4d2-4d8b-9148-e3be6c30e623}">
          <xlrd:rvb i="823"/>
        </ext>
      </extLst>
    </bk>
    <bk>
      <extLst>
        <ext uri="{3e2802c4-a4d2-4d8b-9148-e3be6c30e623}">
          <xlrd:rvb i="826"/>
        </ext>
      </extLst>
    </bk>
    <bk>
      <extLst>
        <ext uri="{3e2802c4-a4d2-4d8b-9148-e3be6c30e623}">
          <xlrd:rvb i="829"/>
        </ext>
      </extLst>
    </bk>
    <bk>
      <extLst>
        <ext uri="{3e2802c4-a4d2-4d8b-9148-e3be6c30e623}">
          <xlrd:rvb i="832"/>
        </ext>
      </extLst>
    </bk>
    <bk>
      <extLst>
        <ext uri="{3e2802c4-a4d2-4d8b-9148-e3be6c30e623}">
          <xlrd:rvb i="835"/>
        </ext>
      </extLst>
    </bk>
    <bk>
      <extLst>
        <ext uri="{3e2802c4-a4d2-4d8b-9148-e3be6c30e623}">
          <xlrd:rvb i="838"/>
        </ext>
      </extLst>
    </bk>
    <bk>
      <extLst>
        <ext uri="{3e2802c4-a4d2-4d8b-9148-e3be6c30e623}">
          <xlrd:rvb i="841"/>
        </ext>
      </extLst>
    </bk>
    <bk>
      <extLst>
        <ext uri="{3e2802c4-a4d2-4d8b-9148-e3be6c30e623}">
          <xlrd:rvb i="844"/>
        </ext>
      </extLst>
    </bk>
    <bk>
      <extLst>
        <ext uri="{3e2802c4-a4d2-4d8b-9148-e3be6c30e623}">
          <xlrd:rvb i="847"/>
        </ext>
      </extLst>
    </bk>
    <bk>
      <extLst>
        <ext uri="{3e2802c4-a4d2-4d8b-9148-e3be6c30e623}">
          <xlrd:rvb i="850"/>
        </ext>
      </extLst>
    </bk>
    <bk>
      <extLst>
        <ext uri="{3e2802c4-a4d2-4d8b-9148-e3be6c30e623}">
          <xlrd:rvb i="853"/>
        </ext>
      </extLst>
    </bk>
    <bk>
      <extLst>
        <ext uri="{3e2802c4-a4d2-4d8b-9148-e3be6c30e623}">
          <xlrd:rvb i="856"/>
        </ext>
      </extLst>
    </bk>
    <bk>
      <extLst>
        <ext uri="{3e2802c4-a4d2-4d8b-9148-e3be6c30e623}">
          <xlrd:rvb i="859"/>
        </ext>
      </extLst>
    </bk>
    <bk>
      <extLst>
        <ext uri="{3e2802c4-a4d2-4d8b-9148-e3be6c30e623}">
          <xlrd:rvb i="862"/>
        </ext>
      </extLst>
    </bk>
    <bk>
      <extLst>
        <ext uri="{3e2802c4-a4d2-4d8b-9148-e3be6c30e623}">
          <xlrd:rvb i="864"/>
        </ext>
      </extLst>
    </bk>
    <bk>
      <extLst>
        <ext uri="{3e2802c4-a4d2-4d8b-9148-e3be6c30e623}">
          <xlrd:rvb i="867"/>
        </ext>
      </extLst>
    </bk>
    <bk>
      <extLst>
        <ext uri="{3e2802c4-a4d2-4d8b-9148-e3be6c30e623}">
          <xlrd:rvb i="870"/>
        </ext>
      </extLst>
    </bk>
    <bk>
      <extLst>
        <ext uri="{3e2802c4-a4d2-4d8b-9148-e3be6c30e623}">
          <xlrd:rvb i="873"/>
        </ext>
      </extLst>
    </bk>
    <bk>
      <extLst>
        <ext uri="{3e2802c4-a4d2-4d8b-9148-e3be6c30e623}">
          <xlrd:rvb i="876"/>
        </ext>
      </extLst>
    </bk>
    <bk>
      <extLst>
        <ext uri="{3e2802c4-a4d2-4d8b-9148-e3be6c30e623}">
          <xlrd:rvb i="879"/>
        </ext>
      </extLst>
    </bk>
    <bk>
      <extLst>
        <ext uri="{3e2802c4-a4d2-4d8b-9148-e3be6c30e623}">
          <xlrd:rvb i="882"/>
        </ext>
      </extLst>
    </bk>
    <bk>
      <extLst>
        <ext uri="{3e2802c4-a4d2-4d8b-9148-e3be6c30e623}">
          <xlrd:rvb i="885"/>
        </ext>
      </extLst>
    </bk>
    <bk>
      <extLst>
        <ext uri="{3e2802c4-a4d2-4d8b-9148-e3be6c30e623}">
          <xlrd:rvb i="888"/>
        </ext>
      </extLst>
    </bk>
    <bk>
      <extLst>
        <ext uri="{3e2802c4-a4d2-4d8b-9148-e3be6c30e623}">
          <xlrd:rvb i="891"/>
        </ext>
      </extLst>
    </bk>
    <bk>
      <extLst>
        <ext uri="{3e2802c4-a4d2-4d8b-9148-e3be6c30e623}">
          <xlrd:rvb i="894"/>
        </ext>
      </extLst>
    </bk>
    <bk>
      <extLst>
        <ext uri="{3e2802c4-a4d2-4d8b-9148-e3be6c30e623}">
          <xlrd:rvb i="897"/>
        </ext>
      </extLst>
    </bk>
    <bk>
      <extLst>
        <ext uri="{3e2802c4-a4d2-4d8b-9148-e3be6c30e623}">
          <xlrd:rvb i="900"/>
        </ext>
      </extLst>
    </bk>
    <bk>
      <extLst>
        <ext uri="{3e2802c4-a4d2-4d8b-9148-e3be6c30e623}">
          <xlrd:rvb i="903"/>
        </ext>
      </extLst>
    </bk>
    <bk>
      <extLst>
        <ext uri="{3e2802c4-a4d2-4d8b-9148-e3be6c30e623}">
          <xlrd:rvb i="906"/>
        </ext>
      </extLst>
    </bk>
    <bk>
      <extLst>
        <ext uri="{3e2802c4-a4d2-4d8b-9148-e3be6c30e623}">
          <xlrd:rvb i="909"/>
        </ext>
      </extLst>
    </bk>
    <bk>
      <extLst>
        <ext uri="{3e2802c4-a4d2-4d8b-9148-e3be6c30e623}">
          <xlrd:rvb i="912"/>
        </ext>
      </extLst>
    </bk>
    <bk>
      <extLst>
        <ext uri="{3e2802c4-a4d2-4d8b-9148-e3be6c30e623}">
          <xlrd:rvb i="915"/>
        </ext>
      </extLst>
    </bk>
    <bk>
      <extLst>
        <ext uri="{3e2802c4-a4d2-4d8b-9148-e3be6c30e623}">
          <xlrd:rvb i="918"/>
        </ext>
      </extLst>
    </bk>
    <bk>
      <extLst>
        <ext uri="{3e2802c4-a4d2-4d8b-9148-e3be6c30e623}">
          <xlrd:rvb i="921"/>
        </ext>
      </extLst>
    </bk>
    <bk>
      <extLst>
        <ext uri="{3e2802c4-a4d2-4d8b-9148-e3be6c30e623}">
          <xlrd:rvb i="924"/>
        </ext>
      </extLst>
    </bk>
    <bk>
      <extLst>
        <ext uri="{3e2802c4-a4d2-4d8b-9148-e3be6c30e623}">
          <xlrd:rvb i="927"/>
        </ext>
      </extLst>
    </bk>
    <bk>
      <extLst>
        <ext uri="{3e2802c4-a4d2-4d8b-9148-e3be6c30e623}">
          <xlrd:rvb i="930"/>
        </ext>
      </extLst>
    </bk>
    <bk>
      <extLst>
        <ext uri="{3e2802c4-a4d2-4d8b-9148-e3be6c30e623}">
          <xlrd:rvb i="932"/>
        </ext>
      </extLst>
    </bk>
    <bk>
      <extLst>
        <ext uri="{3e2802c4-a4d2-4d8b-9148-e3be6c30e623}">
          <xlrd:rvb i="935"/>
        </ext>
      </extLst>
    </bk>
    <bk>
      <extLst>
        <ext uri="{3e2802c4-a4d2-4d8b-9148-e3be6c30e623}">
          <xlrd:rvb i="938"/>
        </ext>
      </extLst>
    </bk>
    <bk>
      <extLst>
        <ext uri="{3e2802c4-a4d2-4d8b-9148-e3be6c30e623}">
          <xlrd:rvb i="941"/>
        </ext>
      </extLst>
    </bk>
    <bk>
      <extLst>
        <ext uri="{3e2802c4-a4d2-4d8b-9148-e3be6c30e623}">
          <xlrd:rvb i="944"/>
        </ext>
      </extLst>
    </bk>
    <bk>
      <extLst>
        <ext uri="{3e2802c4-a4d2-4d8b-9148-e3be6c30e623}">
          <xlrd:rvb i="947"/>
        </ext>
      </extLst>
    </bk>
    <bk>
      <extLst>
        <ext uri="{3e2802c4-a4d2-4d8b-9148-e3be6c30e623}">
          <xlrd:rvb i="950"/>
        </ext>
      </extLst>
    </bk>
    <bk>
      <extLst>
        <ext uri="{3e2802c4-a4d2-4d8b-9148-e3be6c30e623}">
          <xlrd:rvb i="953"/>
        </ext>
      </extLst>
    </bk>
    <bk>
      <extLst>
        <ext uri="{3e2802c4-a4d2-4d8b-9148-e3be6c30e623}">
          <xlrd:rvb i="956"/>
        </ext>
      </extLst>
    </bk>
    <bk>
      <extLst>
        <ext uri="{3e2802c4-a4d2-4d8b-9148-e3be6c30e623}">
          <xlrd:rvb i="959"/>
        </ext>
      </extLst>
    </bk>
    <bk>
      <extLst>
        <ext uri="{3e2802c4-a4d2-4d8b-9148-e3be6c30e623}">
          <xlrd:rvb i="962"/>
        </ext>
      </extLst>
    </bk>
    <bk>
      <extLst>
        <ext uri="{3e2802c4-a4d2-4d8b-9148-e3be6c30e623}">
          <xlrd:rvb i="965"/>
        </ext>
      </extLst>
    </bk>
    <bk>
      <extLst>
        <ext uri="{3e2802c4-a4d2-4d8b-9148-e3be6c30e623}">
          <xlrd:rvb i="968"/>
        </ext>
      </extLst>
    </bk>
    <bk>
      <extLst>
        <ext uri="{3e2802c4-a4d2-4d8b-9148-e3be6c30e623}">
          <xlrd:rvb i="971"/>
        </ext>
      </extLst>
    </bk>
    <bk>
      <extLst>
        <ext uri="{3e2802c4-a4d2-4d8b-9148-e3be6c30e623}">
          <xlrd:rvb i="974"/>
        </ext>
      </extLst>
    </bk>
    <bk>
      <extLst>
        <ext uri="{3e2802c4-a4d2-4d8b-9148-e3be6c30e623}">
          <xlrd:rvb i="977"/>
        </ext>
      </extLst>
    </bk>
    <bk>
      <extLst>
        <ext uri="{3e2802c4-a4d2-4d8b-9148-e3be6c30e623}">
          <xlrd:rvb i="980"/>
        </ext>
      </extLst>
    </bk>
    <bk>
      <extLst>
        <ext uri="{3e2802c4-a4d2-4d8b-9148-e3be6c30e623}">
          <xlrd:rvb i="983"/>
        </ext>
      </extLst>
    </bk>
    <bk>
      <extLst>
        <ext uri="{3e2802c4-a4d2-4d8b-9148-e3be6c30e623}">
          <xlrd:rvb i="986"/>
        </ext>
      </extLst>
    </bk>
    <bk>
      <extLst>
        <ext uri="{3e2802c4-a4d2-4d8b-9148-e3be6c30e623}">
          <xlrd:rvb i="989"/>
        </ext>
      </extLst>
    </bk>
    <bk>
      <extLst>
        <ext uri="{3e2802c4-a4d2-4d8b-9148-e3be6c30e623}">
          <xlrd:rvb i="992"/>
        </ext>
      </extLst>
    </bk>
    <bk>
      <extLst>
        <ext uri="{3e2802c4-a4d2-4d8b-9148-e3be6c30e623}">
          <xlrd:rvb i="995"/>
        </ext>
      </extLst>
    </bk>
    <bk>
      <extLst>
        <ext uri="{3e2802c4-a4d2-4d8b-9148-e3be6c30e623}">
          <xlrd:rvb i="998"/>
        </ext>
      </extLst>
    </bk>
    <bk>
      <extLst>
        <ext uri="{3e2802c4-a4d2-4d8b-9148-e3be6c30e623}">
          <xlrd:rvb i="1001"/>
        </ext>
      </extLst>
    </bk>
    <bk>
      <extLst>
        <ext uri="{3e2802c4-a4d2-4d8b-9148-e3be6c30e623}">
          <xlrd:rvb i="1004"/>
        </ext>
      </extLst>
    </bk>
    <bk>
      <extLst>
        <ext uri="{3e2802c4-a4d2-4d8b-9148-e3be6c30e623}">
          <xlrd:rvb i="1007"/>
        </ext>
      </extLst>
    </bk>
    <bk>
      <extLst>
        <ext uri="{3e2802c4-a4d2-4d8b-9148-e3be6c30e623}">
          <xlrd:rvb i="1010"/>
        </ext>
      </extLst>
    </bk>
    <bk>
      <extLst>
        <ext uri="{3e2802c4-a4d2-4d8b-9148-e3be6c30e623}">
          <xlrd:rvb i="1013"/>
        </ext>
      </extLst>
    </bk>
    <bk>
      <extLst>
        <ext uri="{3e2802c4-a4d2-4d8b-9148-e3be6c30e623}">
          <xlrd:rvb i="1016"/>
        </ext>
      </extLst>
    </bk>
    <bk>
      <extLst>
        <ext uri="{3e2802c4-a4d2-4d8b-9148-e3be6c30e623}">
          <xlrd:rvb i="1019"/>
        </ext>
      </extLst>
    </bk>
    <bk>
      <extLst>
        <ext uri="{3e2802c4-a4d2-4d8b-9148-e3be6c30e623}">
          <xlrd:rvb i="1022"/>
        </ext>
      </extLst>
    </bk>
    <bk>
      <extLst>
        <ext uri="{3e2802c4-a4d2-4d8b-9148-e3be6c30e623}">
          <xlrd:rvb i="1025"/>
        </ext>
      </extLst>
    </bk>
    <bk>
      <extLst>
        <ext uri="{3e2802c4-a4d2-4d8b-9148-e3be6c30e623}">
          <xlrd:rvb i="1028"/>
        </ext>
      </extLst>
    </bk>
    <bk>
      <extLst>
        <ext uri="{3e2802c4-a4d2-4d8b-9148-e3be6c30e623}">
          <xlrd:rvb i="1031"/>
        </ext>
      </extLst>
    </bk>
    <bk>
      <extLst>
        <ext uri="{3e2802c4-a4d2-4d8b-9148-e3be6c30e623}">
          <xlrd:rvb i="1034"/>
        </ext>
      </extLst>
    </bk>
    <bk>
      <extLst>
        <ext uri="{3e2802c4-a4d2-4d8b-9148-e3be6c30e623}">
          <xlrd:rvb i="1037"/>
        </ext>
      </extLst>
    </bk>
    <bk>
      <extLst>
        <ext uri="{3e2802c4-a4d2-4d8b-9148-e3be6c30e623}">
          <xlrd:rvb i="1040"/>
        </ext>
      </extLst>
    </bk>
    <bk>
      <extLst>
        <ext uri="{3e2802c4-a4d2-4d8b-9148-e3be6c30e623}">
          <xlrd:rvb i="1043"/>
        </ext>
      </extLst>
    </bk>
    <bk>
      <extLst>
        <ext uri="{3e2802c4-a4d2-4d8b-9148-e3be6c30e623}">
          <xlrd:rvb i="1046"/>
        </ext>
      </extLst>
    </bk>
    <bk>
      <extLst>
        <ext uri="{3e2802c4-a4d2-4d8b-9148-e3be6c30e623}">
          <xlrd:rvb i="1049"/>
        </ext>
      </extLst>
    </bk>
    <bk>
      <extLst>
        <ext uri="{3e2802c4-a4d2-4d8b-9148-e3be6c30e623}">
          <xlrd:rvb i="1052"/>
        </ext>
      </extLst>
    </bk>
    <bk>
      <extLst>
        <ext uri="{3e2802c4-a4d2-4d8b-9148-e3be6c30e623}">
          <xlrd:rvb i="1055"/>
        </ext>
      </extLst>
    </bk>
    <bk>
      <extLst>
        <ext uri="{3e2802c4-a4d2-4d8b-9148-e3be6c30e623}">
          <xlrd:rvb i="1058"/>
        </ext>
      </extLst>
    </bk>
    <bk>
      <extLst>
        <ext uri="{3e2802c4-a4d2-4d8b-9148-e3be6c30e623}">
          <xlrd:rvb i="1060"/>
        </ext>
      </extLst>
    </bk>
    <bk>
      <extLst>
        <ext uri="{3e2802c4-a4d2-4d8b-9148-e3be6c30e623}">
          <xlrd:rvb i="1063"/>
        </ext>
      </extLst>
    </bk>
    <bk>
      <extLst>
        <ext uri="{3e2802c4-a4d2-4d8b-9148-e3be6c30e623}">
          <xlrd:rvb i="1066"/>
        </ext>
      </extLst>
    </bk>
    <bk>
      <extLst>
        <ext uri="{3e2802c4-a4d2-4d8b-9148-e3be6c30e623}">
          <xlrd:rvb i="1069"/>
        </ext>
      </extLst>
    </bk>
    <bk>
      <extLst>
        <ext uri="{3e2802c4-a4d2-4d8b-9148-e3be6c30e623}">
          <xlrd:rvb i="1072"/>
        </ext>
      </extLst>
    </bk>
    <bk>
      <extLst>
        <ext uri="{3e2802c4-a4d2-4d8b-9148-e3be6c30e623}">
          <xlrd:rvb i="1075"/>
        </ext>
      </extLst>
    </bk>
    <bk>
      <extLst>
        <ext uri="{3e2802c4-a4d2-4d8b-9148-e3be6c30e623}">
          <xlrd:rvb i="1078"/>
        </ext>
      </extLst>
    </bk>
    <bk>
      <extLst>
        <ext uri="{3e2802c4-a4d2-4d8b-9148-e3be6c30e623}">
          <xlrd:rvb i="1081"/>
        </ext>
      </extLst>
    </bk>
    <bk>
      <extLst>
        <ext uri="{3e2802c4-a4d2-4d8b-9148-e3be6c30e623}">
          <xlrd:rvb i="1084"/>
        </ext>
      </extLst>
    </bk>
    <bk>
      <extLst>
        <ext uri="{3e2802c4-a4d2-4d8b-9148-e3be6c30e623}">
          <xlrd:rvb i="1087"/>
        </ext>
      </extLst>
    </bk>
    <bk>
      <extLst>
        <ext uri="{3e2802c4-a4d2-4d8b-9148-e3be6c30e623}">
          <xlrd:rvb i="1090"/>
        </ext>
      </extLst>
    </bk>
    <bk>
      <extLst>
        <ext uri="{3e2802c4-a4d2-4d8b-9148-e3be6c30e623}">
          <xlrd:rvb i="1093"/>
        </ext>
      </extLst>
    </bk>
    <bk>
      <extLst>
        <ext uri="{3e2802c4-a4d2-4d8b-9148-e3be6c30e623}">
          <xlrd:rvb i="1095"/>
        </ext>
      </extLst>
    </bk>
    <bk>
      <extLst>
        <ext uri="{3e2802c4-a4d2-4d8b-9148-e3be6c30e623}">
          <xlrd:rvb i="1098"/>
        </ext>
      </extLst>
    </bk>
    <bk>
      <extLst>
        <ext uri="{3e2802c4-a4d2-4d8b-9148-e3be6c30e623}">
          <xlrd:rvb i="1101"/>
        </ext>
      </extLst>
    </bk>
    <bk>
      <extLst>
        <ext uri="{3e2802c4-a4d2-4d8b-9148-e3be6c30e623}">
          <xlrd:rvb i="1104"/>
        </ext>
      </extLst>
    </bk>
    <bk>
      <extLst>
        <ext uri="{3e2802c4-a4d2-4d8b-9148-e3be6c30e623}">
          <xlrd:rvb i="1107"/>
        </ext>
      </extLst>
    </bk>
    <bk>
      <extLst>
        <ext uri="{3e2802c4-a4d2-4d8b-9148-e3be6c30e623}">
          <xlrd:rvb i="1110"/>
        </ext>
      </extLst>
    </bk>
    <bk>
      <extLst>
        <ext uri="{3e2802c4-a4d2-4d8b-9148-e3be6c30e623}">
          <xlrd:rvb i="1113"/>
        </ext>
      </extLst>
    </bk>
    <bk>
      <extLst>
        <ext uri="{3e2802c4-a4d2-4d8b-9148-e3be6c30e623}">
          <xlrd:rvb i="1115"/>
        </ext>
      </extLst>
    </bk>
    <bk>
      <extLst>
        <ext uri="{3e2802c4-a4d2-4d8b-9148-e3be6c30e623}">
          <xlrd:rvb i="1118"/>
        </ext>
      </extLst>
    </bk>
    <bk>
      <extLst>
        <ext uri="{3e2802c4-a4d2-4d8b-9148-e3be6c30e623}">
          <xlrd:rvb i="1121"/>
        </ext>
      </extLst>
    </bk>
    <bk>
      <extLst>
        <ext uri="{3e2802c4-a4d2-4d8b-9148-e3be6c30e623}">
          <xlrd:rvb i="1124"/>
        </ext>
      </extLst>
    </bk>
    <bk>
      <extLst>
        <ext uri="{3e2802c4-a4d2-4d8b-9148-e3be6c30e623}">
          <xlrd:rvb i="1126"/>
        </ext>
      </extLst>
    </bk>
    <bk>
      <extLst>
        <ext uri="{3e2802c4-a4d2-4d8b-9148-e3be6c30e623}">
          <xlrd:rvb i="1129"/>
        </ext>
      </extLst>
    </bk>
    <bk>
      <extLst>
        <ext uri="{3e2802c4-a4d2-4d8b-9148-e3be6c30e623}">
          <xlrd:rvb i="1132"/>
        </ext>
      </extLst>
    </bk>
    <bk>
      <extLst>
        <ext uri="{3e2802c4-a4d2-4d8b-9148-e3be6c30e623}">
          <xlrd:rvb i="1135"/>
        </ext>
      </extLst>
    </bk>
    <bk>
      <extLst>
        <ext uri="{3e2802c4-a4d2-4d8b-9148-e3be6c30e623}">
          <xlrd:rvb i="1138"/>
        </ext>
      </extLst>
    </bk>
    <bk>
      <extLst>
        <ext uri="{3e2802c4-a4d2-4d8b-9148-e3be6c30e623}">
          <xlrd:rvb i="1141"/>
        </ext>
      </extLst>
    </bk>
    <bk>
      <extLst>
        <ext uri="{3e2802c4-a4d2-4d8b-9148-e3be6c30e623}">
          <xlrd:rvb i="1144"/>
        </ext>
      </extLst>
    </bk>
    <bk>
      <extLst>
        <ext uri="{3e2802c4-a4d2-4d8b-9148-e3be6c30e623}">
          <xlrd:rvb i="1147"/>
        </ext>
      </extLst>
    </bk>
    <bk>
      <extLst>
        <ext uri="{3e2802c4-a4d2-4d8b-9148-e3be6c30e623}">
          <xlrd:rvb i="1150"/>
        </ext>
      </extLst>
    </bk>
    <bk>
      <extLst>
        <ext uri="{3e2802c4-a4d2-4d8b-9148-e3be6c30e623}">
          <xlrd:rvb i="1153"/>
        </ext>
      </extLst>
    </bk>
    <bk>
      <extLst>
        <ext uri="{3e2802c4-a4d2-4d8b-9148-e3be6c30e623}">
          <xlrd:rvb i="1156"/>
        </ext>
      </extLst>
    </bk>
    <bk>
      <extLst>
        <ext uri="{3e2802c4-a4d2-4d8b-9148-e3be6c30e623}">
          <xlrd:rvb i="1159"/>
        </ext>
      </extLst>
    </bk>
    <bk>
      <extLst>
        <ext uri="{3e2802c4-a4d2-4d8b-9148-e3be6c30e623}">
          <xlrd:rvb i="1162"/>
        </ext>
      </extLst>
    </bk>
    <bk>
      <extLst>
        <ext uri="{3e2802c4-a4d2-4d8b-9148-e3be6c30e623}">
          <xlrd:rvb i="1165"/>
        </ext>
      </extLst>
    </bk>
    <bk>
      <extLst>
        <ext uri="{3e2802c4-a4d2-4d8b-9148-e3be6c30e623}">
          <xlrd:rvb i="1168"/>
        </ext>
      </extLst>
    </bk>
    <bk>
      <extLst>
        <ext uri="{3e2802c4-a4d2-4d8b-9148-e3be6c30e623}">
          <xlrd:rvb i="1171"/>
        </ext>
      </extLst>
    </bk>
    <bk>
      <extLst>
        <ext uri="{3e2802c4-a4d2-4d8b-9148-e3be6c30e623}">
          <xlrd:rvb i="1174"/>
        </ext>
      </extLst>
    </bk>
    <bk>
      <extLst>
        <ext uri="{3e2802c4-a4d2-4d8b-9148-e3be6c30e623}">
          <xlrd:rvb i="1177"/>
        </ext>
      </extLst>
    </bk>
    <bk>
      <extLst>
        <ext uri="{3e2802c4-a4d2-4d8b-9148-e3be6c30e623}">
          <xlrd:rvb i="1180"/>
        </ext>
      </extLst>
    </bk>
    <bk>
      <extLst>
        <ext uri="{3e2802c4-a4d2-4d8b-9148-e3be6c30e623}">
          <xlrd:rvb i="1183"/>
        </ext>
      </extLst>
    </bk>
    <bk>
      <extLst>
        <ext uri="{3e2802c4-a4d2-4d8b-9148-e3be6c30e623}">
          <xlrd:rvb i="1185"/>
        </ext>
      </extLst>
    </bk>
    <bk>
      <extLst>
        <ext uri="{3e2802c4-a4d2-4d8b-9148-e3be6c30e623}">
          <xlrd:rvb i="1188"/>
        </ext>
      </extLst>
    </bk>
    <bk>
      <extLst>
        <ext uri="{3e2802c4-a4d2-4d8b-9148-e3be6c30e623}">
          <xlrd:rvb i="1191"/>
        </ext>
      </extLst>
    </bk>
    <bk>
      <extLst>
        <ext uri="{3e2802c4-a4d2-4d8b-9148-e3be6c30e623}">
          <xlrd:rvb i="1194"/>
        </ext>
      </extLst>
    </bk>
    <bk>
      <extLst>
        <ext uri="{3e2802c4-a4d2-4d8b-9148-e3be6c30e623}">
          <xlrd:rvb i="1197"/>
        </ext>
      </extLst>
    </bk>
    <bk>
      <extLst>
        <ext uri="{3e2802c4-a4d2-4d8b-9148-e3be6c30e623}">
          <xlrd:rvb i="1200"/>
        </ext>
      </extLst>
    </bk>
    <bk>
      <extLst>
        <ext uri="{3e2802c4-a4d2-4d8b-9148-e3be6c30e623}">
          <xlrd:rvb i="1203"/>
        </ext>
      </extLst>
    </bk>
    <bk>
      <extLst>
        <ext uri="{3e2802c4-a4d2-4d8b-9148-e3be6c30e623}">
          <xlrd:rvb i="1206"/>
        </ext>
      </extLst>
    </bk>
    <bk>
      <extLst>
        <ext uri="{3e2802c4-a4d2-4d8b-9148-e3be6c30e623}">
          <xlrd:rvb i="1209"/>
        </ext>
      </extLst>
    </bk>
    <bk>
      <extLst>
        <ext uri="{3e2802c4-a4d2-4d8b-9148-e3be6c30e623}">
          <xlrd:rvb i="1212"/>
        </ext>
      </extLst>
    </bk>
    <bk>
      <extLst>
        <ext uri="{3e2802c4-a4d2-4d8b-9148-e3be6c30e623}">
          <xlrd:rvb i="1214"/>
        </ext>
      </extLst>
    </bk>
    <bk>
      <extLst>
        <ext uri="{3e2802c4-a4d2-4d8b-9148-e3be6c30e623}">
          <xlrd:rvb i="1217"/>
        </ext>
      </extLst>
    </bk>
    <bk>
      <extLst>
        <ext uri="{3e2802c4-a4d2-4d8b-9148-e3be6c30e623}">
          <xlrd:rvb i="1220"/>
        </ext>
      </extLst>
    </bk>
    <bk>
      <extLst>
        <ext uri="{3e2802c4-a4d2-4d8b-9148-e3be6c30e623}">
          <xlrd:rvb i="1223"/>
        </ext>
      </extLst>
    </bk>
    <bk>
      <extLst>
        <ext uri="{3e2802c4-a4d2-4d8b-9148-e3be6c30e623}">
          <xlrd:rvb i="1225"/>
        </ext>
      </extLst>
    </bk>
    <bk>
      <extLst>
        <ext uri="{3e2802c4-a4d2-4d8b-9148-e3be6c30e623}">
          <xlrd:rvb i="1228"/>
        </ext>
      </extLst>
    </bk>
    <bk>
      <extLst>
        <ext uri="{3e2802c4-a4d2-4d8b-9148-e3be6c30e623}">
          <xlrd:rvb i="1231"/>
        </ext>
      </extLst>
    </bk>
    <bk>
      <extLst>
        <ext uri="{3e2802c4-a4d2-4d8b-9148-e3be6c30e623}">
          <xlrd:rvb i="1234"/>
        </ext>
      </extLst>
    </bk>
    <bk>
      <extLst>
        <ext uri="{3e2802c4-a4d2-4d8b-9148-e3be6c30e623}">
          <xlrd:rvb i="1240"/>
        </ext>
      </extLst>
    </bk>
    <bk>
      <extLst>
        <ext uri="{3e2802c4-a4d2-4d8b-9148-e3be6c30e623}">
          <xlrd:rvb i="1243"/>
        </ext>
      </extLst>
    </bk>
    <bk>
      <extLst>
        <ext uri="{3e2802c4-a4d2-4d8b-9148-e3be6c30e623}">
          <xlrd:rvb i="1246"/>
        </ext>
      </extLst>
    </bk>
    <bk>
      <extLst>
        <ext uri="{3e2802c4-a4d2-4d8b-9148-e3be6c30e623}">
          <xlrd:rvb i="1249"/>
        </ext>
      </extLst>
    </bk>
    <bk>
      <extLst>
        <ext uri="{3e2802c4-a4d2-4d8b-9148-e3be6c30e623}">
          <xlrd:rvb i="1252"/>
        </ext>
      </extLst>
    </bk>
    <bk>
      <extLst>
        <ext uri="{3e2802c4-a4d2-4d8b-9148-e3be6c30e623}">
          <xlrd:rvb i="1255"/>
        </ext>
      </extLst>
    </bk>
    <bk>
      <extLst>
        <ext uri="{3e2802c4-a4d2-4d8b-9148-e3be6c30e623}">
          <xlrd:rvb i="1258"/>
        </ext>
      </extLst>
    </bk>
    <bk>
      <extLst>
        <ext uri="{3e2802c4-a4d2-4d8b-9148-e3be6c30e623}">
          <xlrd:rvb i="1261"/>
        </ext>
      </extLst>
    </bk>
    <bk>
      <extLst>
        <ext uri="{3e2802c4-a4d2-4d8b-9148-e3be6c30e623}">
          <xlrd:rvb i="1264"/>
        </ext>
      </extLst>
    </bk>
    <bk>
      <extLst>
        <ext uri="{3e2802c4-a4d2-4d8b-9148-e3be6c30e623}">
          <xlrd:rvb i="1267"/>
        </ext>
      </extLst>
    </bk>
    <bk>
      <extLst>
        <ext uri="{3e2802c4-a4d2-4d8b-9148-e3be6c30e623}">
          <xlrd:rvb i="1270"/>
        </ext>
      </extLst>
    </bk>
    <bk>
      <extLst>
        <ext uri="{3e2802c4-a4d2-4d8b-9148-e3be6c30e623}">
          <xlrd:rvb i="1273"/>
        </ext>
      </extLst>
    </bk>
    <bk>
      <extLst>
        <ext uri="{3e2802c4-a4d2-4d8b-9148-e3be6c30e623}">
          <xlrd:rvb i="1276"/>
        </ext>
      </extLst>
    </bk>
    <bk>
      <extLst>
        <ext uri="{3e2802c4-a4d2-4d8b-9148-e3be6c30e623}">
          <xlrd:rvb i="1279"/>
        </ext>
      </extLst>
    </bk>
    <bk>
      <extLst>
        <ext uri="{3e2802c4-a4d2-4d8b-9148-e3be6c30e623}">
          <xlrd:rvb i="1282"/>
        </ext>
      </extLst>
    </bk>
    <bk>
      <extLst>
        <ext uri="{3e2802c4-a4d2-4d8b-9148-e3be6c30e623}">
          <xlrd:rvb i="1285"/>
        </ext>
      </extLst>
    </bk>
    <bk>
      <extLst>
        <ext uri="{3e2802c4-a4d2-4d8b-9148-e3be6c30e623}">
          <xlrd:rvb i="1288"/>
        </ext>
      </extLst>
    </bk>
    <bk>
      <extLst>
        <ext uri="{3e2802c4-a4d2-4d8b-9148-e3be6c30e623}">
          <xlrd:rvb i="1291"/>
        </ext>
      </extLst>
    </bk>
    <bk>
      <extLst>
        <ext uri="{3e2802c4-a4d2-4d8b-9148-e3be6c30e623}">
          <xlrd:rvb i="1294"/>
        </ext>
      </extLst>
    </bk>
    <bk>
      <extLst>
        <ext uri="{3e2802c4-a4d2-4d8b-9148-e3be6c30e623}">
          <xlrd:rvb i="1297"/>
        </ext>
      </extLst>
    </bk>
    <bk>
      <extLst>
        <ext uri="{3e2802c4-a4d2-4d8b-9148-e3be6c30e623}">
          <xlrd:rvb i="1300"/>
        </ext>
      </extLst>
    </bk>
    <bk>
      <extLst>
        <ext uri="{3e2802c4-a4d2-4d8b-9148-e3be6c30e623}">
          <xlrd:rvb i="1303"/>
        </ext>
      </extLst>
    </bk>
    <bk>
      <extLst>
        <ext uri="{3e2802c4-a4d2-4d8b-9148-e3be6c30e623}">
          <xlrd:rvb i="1306"/>
        </ext>
      </extLst>
    </bk>
    <bk>
      <extLst>
        <ext uri="{3e2802c4-a4d2-4d8b-9148-e3be6c30e623}">
          <xlrd:rvb i="1309"/>
        </ext>
      </extLst>
    </bk>
    <bk>
      <extLst>
        <ext uri="{3e2802c4-a4d2-4d8b-9148-e3be6c30e623}">
          <xlrd:rvb i="1312"/>
        </ext>
      </extLst>
    </bk>
    <bk>
      <extLst>
        <ext uri="{3e2802c4-a4d2-4d8b-9148-e3be6c30e623}">
          <xlrd:rvb i="1315"/>
        </ext>
      </extLst>
    </bk>
    <bk>
      <extLst>
        <ext uri="{3e2802c4-a4d2-4d8b-9148-e3be6c30e623}">
          <xlrd:rvb i="1318"/>
        </ext>
      </extLst>
    </bk>
    <bk>
      <extLst>
        <ext uri="{3e2802c4-a4d2-4d8b-9148-e3be6c30e623}">
          <xlrd:rvb i="1320"/>
        </ext>
      </extLst>
    </bk>
    <bk>
      <extLst>
        <ext uri="{3e2802c4-a4d2-4d8b-9148-e3be6c30e623}">
          <xlrd:rvb i="1323"/>
        </ext>
      </extLst>
    </bk>
    <bk>
      <extLst>
        <ext uri="{3e2802c4-a4d2-4d8b-9148-e3be6c30e623}">
          <xlrd:rvb i="1326"/>
        </ext>
      </extLst>
    </bk>
    <bk>
      <extLst>
        <ext uri="{3e2802c4-a4d2-4d8b-9148-e3be6c30e623}">
          <xlrd:rvb i="1333"/>
        </ext>
      </extLst>
    </bk>
    <bk>
      <extLst>
        <ext uri="{3e2802c4-a4d2-4d8b-9148-e3be6c30e623}">
          <xlrd:rvb i="1336"/>
        </ext>
      </extLst>
    </bk>
    <bk>
      <extLst>
        <ext uri="{3e2802c4-a4d2-4d8b-9148-e3be6c30e623}">
          <xlrd:rvb i="1339"/>
        </ext>
      </extLst>
    </bk>
    <bk>
      <extLst>
        <ext uri="{3e2802c4-a4d2-4d8b-9148-e3be6c30e623}">
          <xlrd:rvb i="1342"/>
        </ext>
      </extLst>
    </bk>
    <bk>
      <extLst>
        <ext uri="{3e2802c4-a4d2-4d8b-9148-e3be6c30e623}">
          <xlrd:rvb i="1345"/>
        </ext>
      </extLst>
    </bk>
    <bk>
      <extLst>
        <ext uri="{3e2802c4-a4d2-4d8b-9148-e3be6c30e623}">
          <xlrd:rvb i="1348"/>
        </ext>
      </extLst>
    </bk>
    <bk>
      <extLst>
        <ext uri="{3e2802c4-a4d2-4d8b-9148-e3be6c30e623}">
          <xlrd:rvb i="1351"/>
        </ext>
      </extLst>
    </bk>
    <bk>
      <extLst>
        <ext uri="{3e2802c4-a4d2-4d8b-9148-e3be6c30e623}">
          <xlrd:rvb i="1354"/>
        </ext>
      </extLst>
    </bk>
    <bk>
      <extLst>
        <ext uri="{3e2802c4-a4d2-4d8b-9148-e3be6c30e623}">
          <xlrd:rvb i="1357"/>
        </ext>
      </extLst>
    </bk>
    <bk>
      <extLst>
        <ext uri="{3e2802c4-a4d2-4d8b-9148-e3be6c30e623}">
          <xlrd:rvb i="1360"/>
        </ext>
      </extLst>
    </bk>
    <bk>
      <extLst>
        <ext uri="{3e2802c4-a4d2-4d8b-9148-e3be6c30e623}">
          <xlrd:rvb i="1363"/>
        </ext>
      </extLst>
    </bk>
    <bk>
      <extLst>
        <ext uri="{3e2802c4-a4d2-4d8b-9148-e3be6c30e623}">
          <xlrd:rvb i="1366"/>
        </ext>
      </extLst>
    </bk>
    <bk>
      <extLst>
        <ext uri="{3e2802c4-a4d2-4d8b-9148-e3be6c30e623}">
          <xlrd:rvb i="1369"/>
        </ext>
      </extLst>
    </bk>
    <bk>
      <extLst>
        <ext uri="{3e2802c4-a4d2-4d8b-9148-e3be6c30e623}">
          <xlrd:rvb i="1372"/>
        </ext>
      </extLst>
    </bk>
    <bk>
      <extLst>
        <ext uri="{3e2802c4-a4d2-4d8b-9148-e3be6c30e623}">
          <xlrd:rvb i="1375"/>
        </ext>
      </extLst>
    </bk>
    <bk>
      <extLst>
        <ext uri="{3e2802c4-a4d2-4d8b-9148-e3be6c30e623}">
          <xlrd:rvb i="1378"/>
        </ext>
      </extLst>
    </bk>
    <bk>
      <extLst>
        <ext uri="{3e2802c4-a4d2-4d8b-9148-e3be6c30e623}">
          <xlrd:rvb i="1381"/>
        </ext>
      </extLst>
    </bk>
    <bk>
      <extLst>
        <ext uri="{3e2802c4-a4d2-4d8b-9148-e3be6c30e623}">
          <xlrd:rvb i="1387"/>
        </ext>
      </extLst>
    </bk>
    <bk>
      <extLst>
        <ext uri="{3e2802c4-a4d2-4d8b-9148-e3be6c30e623}">
          <xlrd:rvb i="1390"/>
        </ext>
      </extLst>
    </bk>
    <bk>
      <extLst>
        <ext uri="{3e2802c4-a4d2-4d8b-9148-e3be6c30e623}">
          <xlrd:rvb i="1393"/>
        </ext>
      </extLst>
    </bk>
    <bk>
      <extLst>
        <ext uri="{3e2802c4-a4d2-4d8b-9148-e3be6c30e623}">
          <xlrd:rvb i="1396"/>
        </ext>
      </extLst>
    </bk>
    <bk>
      <extLst>
        <ext uri="{3e2802c4-a4d2-4d8b-9148-e3be6c30e623}">
          <xlrd:rvb i="1402"/>
        </ext>
      </extLst>
    </bk>
    <bk>
      <extLst>
        <ext uri="{3e2802c4-a4d2-4d8b-9148-e3be6c30e623}">
          <xlrd:rvb i="1405"/>
        </ext>
      </extLst>
    </bk>
    <bk>
      <extLst>
        <ext uri="{3e2802c4-a4d2-4d8b-9148-e3be6c30e623}">
          <xlrd:rvb i="1408"/>
        </ext>
      </extLst>
    </bk>
    <bk>
      <extLst>
        <ext uri="{3e2802c4-a4d2-4d8b-9148-e3be6c30e623}">
          <xlrd:rvb i="1411"/>
        </ext>
      </extLst>
    </bk>
    <bk>
      <extLst>
        <ext uri="{3e2802c4-a4d2-4d8b-9148-e3be6c30e623}">
          <xlrd:rvb i="1414"/>
        </ext>
      </extLst>
    </bk>
    <bk>
      <extLst>
        <ext uri="{3e2802c4-a4d2-4d8b-9148-e3be6c30e623}">
          <xlrd:rvb i="1417"/>
        </ext>
      </extLst>
    </bk>
    <bk>
      <extLst>
        <ext uri="{3e2802c4-a4d2-4d8b-9148-e3be6c30e623}">
          <xlrd:rvb i="1420"/>
        </ext>
      </extLst>
    </bk>
    <bk>
      <extLst>
        <ext uri="{3e2802c4-a4d2-4d8b-9148-e3be6c30e623}">
          <xlrd:rvb i="1423"/>
        </ext>
      </extLst>
    </bk>
    <bk>
      <extLst>
        <ext uri="{3e2802c4-a4d2-4d8b-9148-e3be6c30e623}">
          <xlrd:rvb i="1426"/>
        </ext>
      </extLst>
    </bk>
    <bk>
      <extLst>
        <ext uri="{3e2802c4-a4d2-4d8b-9148-e3be6c30e623}">
          <xlrd:rvb i="1429"/>
        </ext>
      </extLst>
    </bk>
    <bk>
      <extLst>
        <ext uri="{3e2802c4-a4d2-4d8b-9148-e3be6c30e623}">
          <xlrd:rvb i="1432"/>
        </ext>
      </extLst>
    </bk>
    <bk>
      <extLst>
        <ext uri="{3e2802c4-a4d2-4d8b-9148-e3be6c30e623}">
          <xlrd:rvb i="1435"/>
        </ext>
      </extLst>
    </bk>
    <bk>
      <extLst>
        <ext uri="{3e2802c4-a4d2-4d8b-9148-e3be6c30e623}">
          <xlrd:rvb i="1438"/>
        </ext>
      </extLst>
    </bk>
    <bk>
      <extLst>
        <ext uri="{3e2802c4-a4d2-4d8b-9148-e3be6c30e623}">
          <xlrd:rvb i="1441"/>
        </ext>
      </extLst>
    </bk>
    <bk>
      <extLst>
        <ext uri="{3e2802c4-a4d2-4d8b-9148-e3be6c30e623}">
          <xlrd:rvb i="1444"/>
        </ext>
      </extLst>
    </bk>
    <bk>
      <extLst>
        <ext uri="{3e2802c4-a4d2-4d8b-9148-e3be6c30e623}">
          <xlrd:rvb i="1447"/>
        </ext>
      </extLst>
    </bk>
    <bk>
      <extLst>
        <ext uri="{3e2802c4-a4d2-4d8b-9148-e3be6c30e623}">
          <xlrd:rvb i="1450"/>
        </ext>
      </extLst>
    </bk>
    <bk>
      <extLst>
        <ext uri="{3e2802c4-a4d2-4d8b-9148-e3be6c30e623}">
          <xlrd:rvb i="1453"/>
        </ext>
      </extLst>
    </bk>
    <bk>
      <extLst>
        <ext uri="{3e2802c4-a4d2-4d8b-9148-e3be6c30e623}">
          <xlrd:rvb i="1456"/>
        </ext>
      </extLst>
    </bk>
    <bk>
      <extLst>
        <ext uri="{3e2802c4-a4d2-4d8b-9148-e3be6c30e623}">
          <xlrd:rvb i="1459"/>
        </ext>
      </extLst>
    </bk>
    <bk>
      <extLst>
        <ext uri="{3e2802c4-a4d2-4d8b-9148-e3be6c30e623}">
          <xlrd:rvb i="1462"/>
        </ext>
      </extLst>
    </bk>
    <bk>
      <extLst>
        <ext uri="{3e2802c4-a4d2-4d8b-9148-e3be6c30e623}">
          <xlrd:rvb i="1465"/>
        </ext>
      </extLst>
    </bk>
    <bk>
      <extLst>
        <ext uri="{3e2802c4-a4d2-4d8b-9148-e3be6c30e623}">
          <xlrd:rvb i="1468"/>
        </ext>
      </extLst>
    </bk>
    <bk>
      <extLst>
        <ext uri="{3e2802c4-a4d2-4d8b-9148-e3be6c30e623}">
          <xlrd:rvb i="1471"/>
        </ext>
      </extLst>
    </bk>
    <bk>
      <extLst>
        <ext uri="{3e2802c4-a4d2-4d8b-9148-e3be6c30e623}">
          <xlrd:rvb i="1474"/>
        </ext>
      </extLst>
    </bk>
    <bk>
      <extLst>
        <ext uri="{3e2802c4-a4d2-4d8b-9148-e3be6c30e623}">
          <xlrd:rvb i="1477"/>
        </ext>
      </extLst>
    </bk>
    <bk>
      <extLst>
        <ext uri="{3e2802c4-a4d2-4d8b-9148-e3be6c30e623}">
          <xlrd:rvb i="1480"/>
        </ext>
      </extLst>
    </bk>
    <bk>
      <extLst>
        <ext uri="{3e2802c4-a4d2-4d8b-9148-e3be6c30e623}">
          <xlrd:rvb i="1483"/>
        </ext>
      </extLst>
    </bk>
    <bk>
      <extLst>
        <ext uri="{3e2802c4-a4d2-4d8b-9148-e3be6c30e623}">
          <xlrd:rvb i="1486"/>
        </ext>
      </extLst>
    </bk>
    <bk>
      <extLst>
        <ext uri="{3e2802c4-a4d2-4d8b-9148-e3be6c30e623}">
          <xlrd:rvb i="1489"/>
        </ext>
      </extLst>
    </bk>
    <bk>
      <extLst>
        <ext uri="{3e2802c4-a4d2-4d8b-9148-e3be6c30e623}">
          <xlrd:rvb i="1492"/>
        </ext>
      </extLst>
    </bk>
    <bk>
      <extLst>
        <ext uri="{3e2802c4-a4d2-4d8b-9148-e3be6c30e623}">
          <xlrd:rvb i="1495"/>
        </ext>
      </extLst>
    </bk>
    <bk>
      <extLst>
        <ext uri="{3e2802c4-a4d2-4d8b-9148-e3be6c30e623}">
          <xlrd:rvb i="1498"/>
        </ext>
      </extLst>
    </bk>
    <bk>
      <extLst>
        <ext uri="{3e2802c4-a4d2-4d8b-9148-e3be6c30e623}">
          <xlrd:rvb i="1504"/>
        </ext>
      </extLst>
    </bk>
    <bk>
      <extLst>
        <ext uri="{3e2802c4-a4d2-4d8b-9148-e3be6c30e623}">
          <xlrd:rvb i="1506"/>
        </ext>
      </extLst>
    </bk>
    <bk>
      <extLst>
        <ext uri="{3e2802c4-a4d2-4d8b-9148-e3be6c30e623}">
          <xlrd:rvb i="1509"/>
        </ext>
      </extLst>
    </bk>
    <bk>
      <extLst>
        <ext uri="{3e2802c4-a4d2-4d8b-9148-e3be6c30e623}">
          <xlrd:rvb i="1512"/>
        </ext>
      </extLst>
    </bk>
    <bk>
      <extLst>
        <ext uri="{3e2802c4-a4d2-4d8b-9148-e3be6c30e623}">
          <xlrd:rvb i="1515"/>
        </ext>
      </extLst>
    </bk>
    <bk>
      <extLst>
        <ext uri="{3e2802c4-a4d2-4d8b-9148-e3be6c30e623}">
          <xlrd:rvb i="1518"/>
        </ext>
      </extLst>
    </bk>
    <bk>
      <extLst>
        <ext uri="{3e2802c4-a4d2-4d8b-9148-e3be6c30e623}">
          <xlrd:rvb i="1520"/>
        </ext>
      </extLst>
    </bk>
    <bk>
      <extLst>
        <ext uri="{3e2802c4-a4d2-4d8b-9148-e3be6c30e623}">
          <xlrd:rvb i="1523"/>
        </ext>
      </extLst>
    </bk>
    <bk>
      <extLst>
        <ext uri="{3e2802c4-a4d2-4d8b-9148-e3be6c30e623}">
          <xlrd:rvb i="1525"/>
        </ext>
      </extLst>
    </bk>
    <bk>
      <extLst>
        <ext uri="{3e2802c4-a4d2-4d8b-9148-e3be6c30e623}">
          <xlrd:rvb i="1528"/>
        </ext>
      </extLst>
    </bk>
    <bk>
      <extLst>
        <ext uri="{3e2802c4-a4d2-4d8b-9148-e3be6c30e623}">
          <xlrd:rvb i="1531"/>
        </ext>
      </extLst>
    </bk>
    <bk>
      <extLst>
        <ext uri="{3e2802c4-a4d2-4d8b-9148-e3be6c30e623}">
          <xlrd:rvb i="1534"/>
        </ext>
      </extLst>
    </bk>
    <bk>
      <extLst>
        <ext uri="{3e2802c4-a4d2-4d8b-9148-e3be6c30e623}">
          <xlrd:rvb i="1537"/>
        </ext>
      </extLst>
    </bk>
    <bk>
      <extLst>
        <ext uri="{3e2802c4-a4d2-4d8b-9148-e3be6c30e623}">
          <xlrd:rvb i="1540"/>
        </ext>
      </extLst>
    </bk>
    <bk>
      <extLst>
        <ext uri="{3e2802c4-a4d2-4d8b-9148-e3be6c30e623}">
          <xlrd:rvb i="1543"/>
        </ext>
      </extLst>
    </bk>
    <bk>
      <extLst>
        <ext uri="{3e2802c4-a4d2-4d8b-9148-e3be6c30e623}">
          <xlrd:rvb i="1546"/>
        </ext>
      </extLst>
    </bk>
    <bk>
      <extLst>
        <ext uri="{3e2802c4-a4d2-4d8b-9148-e3be6c30e623}">
          <xlrd:rvb i="1549"/>
        </ext>
      </extLst>
    </bk>
    <bk>
      <extLst>
        <ext uri="{3e2802c4-a4d2-4d8b-9148-e3be6c30e623}">
          <xlrd:rvb i="1552"/>
        </ext>
      </extLst>
    </bk>
    <bk>
      <extLst>
        <ext uri="{3e2802c4-a4d2-4d8b-9148-e3be6c30e623}">
          <xlrd:rvb i="1555"/>
        </ext>
      </extLst>
    </bk>
    <bk>
      <extLst>
        <ext uri="{3e2802c4-a4d2-4d8b-9148-e3be6c30e623}">
          <xlrd:rvb i="1558"/>
        </ext>
      </extLst>
    </bk>
    <bk>
      <extLst>
        <ext uri="{3e2802c4-a4d2-4d8b-9148-e3be6c30e623}">
          <xlrd:rvb i="1561"/>
        </ext>
      </extLst>
    </bk>
    <bk>
      <extLst>
        <ext uri="{3e2802c4-a4d2-4d8b-9148-e3be6c30e623}">
          <xlrd:rvb i="1564"/>
        </ext>
      </extLst>
    </bk>
    <bk>
      <extLst>
        <ext uri="{3e2802c4-a4d2-4d8b-9148-e3be6c30e623}">
          <xlrd:rvb i="1567"/>
        </ext>
      </extLst>
    </bk>
    <bk>
      <extLst>
        <ext uri="{3e2802c4-a4d2-4d8b-9148-e3be6c30e623}">
          <xlrd:rvb i="1570"/>
        </ext>
      </extLst>
    </bk>
    <bk>
      <extLst>
        <ext uri="{3e2802c4-a4d2-4d8b-9148-e3be6c30e623}">
          <xlrd:rvb i="1573"/>
        </ext>
      </extLst>
    </bk>
    <bk>
      <extLst>
        <ext uri="{3e2802c4-a4d2-4d8b-9148-e3be6c30e623}">
          <xlrd:rvb i="1576"/>
        </ext>
      </extLst>
    </bk>
    <bk>
      <extLst>
        <ext uri="{3e2802c4-a4d2-4d8b-9148-e3be6c30e623}">
          <xlrd:rvb i="1579"/>
        </ext>
      </extLst>
    </bk>
    <bk>
      <extLst>
        <ext uri="{3e2802c4-a4d2-4d8b-9148-e3be6c30e623}">
          <xlrd:rvb i="1582"/>
        </ext>
      </extLst>
    </bk>
    <bk>
      <extLst>
        <ext uri="{3e2802c4-a4d2-4d8b-9148-e3be6c30e623}">
          <xlrd:rvb i="1585"/>
        </ext>
      </extLst>
    </bk>
    <bk>
      <extLst>
        <ext uri="{3e2802c4-a4d2-4d8b-9148-e3be6c30e623}">
          <xlrd:rvb i="1587"/>
        </ext>
      </extLst>
    </bk>
    <bk>
      <extLst>
        <ext uri="{3e2802c4-a4d2-4d8b-9148-e3be6c30e623}">
          <xlrd:rvb i="1590"/>
        </ext>
      </extLst>
    </bk>
    <bk>
      <extLst>
        <ext uri="{3e2802c4-a4d2-4d8b-9148-e3be6c30e623}">
          <xlrd:rvb i="1593"/>
        </ext>
      </extLst>
    </bk>
    <bk>
      <extLst>
        <ext uri="{3e2802c4-a4d2-4d8b-9148-e3be6c30e623}">
          <xlrd:rvb i="1596"/>
        </ext>
      </extLst>
    </bk>
    <bk>
      <extLst>
        <ext uri="{3e2802c4-a4d2-4d8b-9148-e3be6c30e623}">
          <xlrd:rvb i="1599"/>
        </ext>
      </extLst>
    </bk>
    <bk>
      <extLst>
        <ext uri="{3e2802c4-a4d2-4d8b-9148-e3be6c30e623}">
          <xlrd:rvb i="1602"/>
        </ext>
      </extLst>
    </bk>
    <bk>
      <extLst>
        <ext uri="{3e2802c4-a4d2-4d8b-9148-e3be6c30e623}">
          <xlrd:rvb i="1605"/>
        </ext>
      </extLst>
    </bk>
    <bk>
      <extLst>
        <ext uri="{3e2802c4-a4d2-4d8b-9148-e3be6c30e623}">
          <xlrd:rvb i="1608"/>
        </ext>
      </extLst>
    </bk>
    <bk>
      <extLst>
        <ext uri="{3e2802c4-a4d2-4d8b-9148-e3be6c30e623}">
          <xlrd:rvb i="1611"/>
        </ext>
      </extLst>
    </bk>
    <bk>
      <extLst>
        <ext uri="{3e2802c4-a4d2-4d8b-9148-e3be6c30e623}">
          <xlrd:rvb i="1614"/>
        </ext>
      </extLst>
    </bk>
    <bk>
      <extLst>
        <ext uri="{3e2802c4-a4d2-4d8b-9148-e3be6c30e623}">
          <xlrd:rvb i="1617"/>
        </ext>
      </extLst>
    </bk>
    <bk>
      <extLst>
        <ext uri="{3e2802c4-a4d2-4d8b-9148-e3be6c30e623}">
          <xlrd:rvb i="1620"/>
        </ext>
      </extLst>
    </bk>
    <bk>
      <extLst>
        <ext uri="{3e2802c4-a4d2-4d8b-9148-e3be6c30e623}">
          <xlrd:rvb i="1623"/>
        </ext>
      </extLst>
    </bk>
    <bk>
      <extLst>
        <ext uri="{3e2802c4-a4d2-4d8b-9148-e3be6c30e623}">
          <xlrd:rvb i="1626"/>
        </ext>
      </extLst>
    </bk>
    <bk>
      <extLst>
        <ext uri="{3e2802c4-a4d2-4d8b-9148-e3be6c30e623}">
          <xlrd:rvb i="1629"/>
        </ext>
      </extLst>
    </bk>
    <bk>
      <extLst>
        <ext uri="{3e2802c4-a4d2-4d8b-9148-e3be6c30e623}">
          <xlrd:rvb i="1632"/>
        </ext>
      </extLst>
    </bk>
    <bk>
      <extLst>
        <ext uri="{3e2802c4-a4d2-4d8b-9148-e3be6c30e623}">
          <xlrd:rvb i="1635"/>
        </ext>
      </extLst>
    </bk>
    <bk>
      <extLst>
        <ext uri="{3e2802c4-a4d2-4d8b-9148-e3be6c30e623}">
          <xlrd:rvb i="1638"/>
        </ext>
      </extLst>
    </bk>
    <bk>
      <extLst>
        <ext uri="{3e2802c4-a4d2-4d8b-9148-e3be6c30e623}">
          <xlrd:rvb i="1641"/>
        </ext>
      </extLst>
    </bk>
    <bk>
      <extLst>
        <ext uri="{3e2802c4-a4d2-4d8b-9148-e3be6c30e623}">
          <xlrd:rvb i="1643"/>
        </ext>
      </extLst>
    </bk>
    <bk>
      <extLst>
        <ext uri="{3e2802c4-a4d2-4d8b-9148-e3be6c30e623}">
          <xlrd:rvb i="1646"/>
        </ext>
      </extLst>
    </bk>
    <bk>
      <extLst>
        <ext uri="{3e2802c4-a4d2-4d8b-9148-e3be6c30e623}">
          <xlrd:rvb i="1649"/>
        </ext>
      </extLst>
    </bk>
    <bk>
      <extLst>
        <ext uri="{3e2802c4-a4d2-4d8b-9148-e3be6c30e623}">
          <xlrd:rvb i="1652"/>
        </ext>
      </extLst>
    </bk>
    <bk>
      <extLst>
        <ext uri="{3e2802c4-a4d2-4d8b-9148-e3be6c30e623}">
          <xlrd:rvb i="1655"/>
        </ext>
      </extLst>
    </bk>
    <bk>
      <extLst>
        <ext uri="{3e2802c4-a4d2-4d8b-9148-e3be6c30e623}">
          <xlrd:rvb i="1658"/>
        </ext>
      </extLst>
    </bk>
    <bk>
      <extLst>
        <ext uri="{3e2802c4-a4d2-4d8b-9148-e3be6c30e623}">
          <xlrd:rvb i="1661"/>
        </ext>
      </extLst>
    </bk>
    <bk>
      <extLst>
        <ext uri="{3e2802c4-a4d2-4d8b-9148-e3be6c30e623}">
          <xlrd:rvb i="1664"/>
        </ext>
      </extLst>
    </bk>
    <bk>
      <extLst>
        <ext uri="{3e2802c4-a4d2-4d8b-9148-e3be6c30e623}">
          <xlrd:rvb i="1667"/>
        </ext>
      </extLst>
    </bk>
    <bk>
      <extLst>
        <ext uri="{3e2802c4-a4d2-4d8b-9148-e3be6c30e623}">
          <xlrd:rvb i="1669"/>
        </ext>
      </extLst>
    </bk>
    <bk>
      <extLst>
        <ext uri="{3e2802c4-a4d2-4d8b-9148-e3be6c30e623}">
          <xlrd:rvb i="1672"/>
        </ext>
      </extLst>
    </bk>
    <bk>
      <extLst>
        <ext uri="{3e2802c4-a4d2-4d8b-9148-e3be6c30e623}">
          <xlrd:rvb i="1675"/>
        </ext>
      </extLst>
    </bk>
    <bk>
      <extLst>
        <ext uri="{3e2802c4-a4d2-4d8b-9148-e3be6c30e623}">
          <xlrd:rvb i="1678"/>
        </ext>
      </extLst>
    </bk>
    <bk>
      <extLst>
        <ext uri="{3e2802c4-a4d2-4d8b-9148-e3be6c30e623}">
          <xlrd:rvb i="1681"/>
        </ext>
      </extLst>
    </bk>
    <bk>
      <extLst>
        <ext uri="{3e2802c4-a4d2-4d8b-9148-e3be6c30e623}">
          <xlrd:rvb i="1684"/>
        </ext>
      </extLst>
    </bk>
    <bk>
      <extLst>
        <ext uri="{3e2802c4-a4d2-4d8b-9148-e3be6c30e623}">
          <xlrd:rvb i="1687"/>
        </ext>
      </extLst>
    </bk>
    <bk>
      <extLst>
        <ext uri="{3e2802c4-a4d2-4d8b-9148-e3be6c30e623}">
          <xlrd:rvb i="1690"/>
        </ext>
      </extLst>
    </bk>
    <bk>
      <extLst>
        <ext uri="{3e2802c4-a4d2-4d8b-9148-e3be6c30e623}">
          <xlrd:rvb i="1693"/>
        </ext>
      </extLst>
    </bk>
    <bk>
      <extLst>
        <ext uri="{3e2802c4-a4d2-4d8b-9148-e3be6c30e623}">
          <xlrd:rvb i="1699"/>
        </ext>
      </extLst>
    </bk>
    <bk>
      <extLst>
        <ext uri="{3e2802c4-a4d2-4d8b-9148-e3be6c30e623}">
          <xlrd:rvb i="1702"/>
        </ext>
      </extLst>
    </bk>
    <bk>
      <extLst>
        <ext uri="{3e2802c4-a4d2-4d8b-9148-e3be6c30e623}">
          <xlrd:rvb i="1705"/>
        </ext>
      </extLst>
    </bk>
    <bk>
      <extLst>
        <ext uri="{3e2802c4-a4d2-4d8b-9148-e3be6c30e623}">
          <xlrd:rvb i="1708"/>
        </ext>
      </extLst>
    </bk>
    <bk>
      <extLst>
        <ext uri="{3e2802c4-a4d2-4d8b-9148-e3be6c30e623}">
          <xlrd:rvb i="1710"/>
        </ext>
      </extLst>
    </bk>
    <bk>
      <extLst>
        <ext uri="{3e2802c4-a4d2-4d8b-9148-e3be6c30e623}">
          <xlrd:rvb i="1713"/>
        </ext>
      </extLst>
    </bk>
    <bk>
      <extLst>
        <ext uri="{3e2802c4-a4d2-4d8b-9148-e3be6c30e623}">
          <xlrd:rvb i="1716"/>
        </ext>
      </extLst>
    </bk>
    <bk>
      <extLst>
        <ext uri="{3e2802c4-a4d2-4d8b-9148-e3be6c30e623}">
          <xlrd:rvb i="1719"/>
        </ext>
      </extLst>
    </bk>
    <bk>
      <extLst>
        <ext uri="{3e2802c4-a4d2-4d8b-9148-e3be6c30e623}">
          <xlrd:rvb i="1722"/>
        </ext>
      </extLst>
    </bk>
    <bk>
      <extLst>
        <ext uri="{3e2802c4-a4d2-4d8b-9148-e3be6c30e623}">
          <xlrd:rvb i="1725"/>
        </ext>
      </extLst>
    </bk>
    <bk>
      <extLst>
        <ext uri="{3e2802c4-a4d2-4d8b-9148-e3be6c30e623}">
          <xlrd:rvb i="1728"/>
        </ext>
      </extLst>
    </bk>
    <bk>
      <extLst>
        <ext uri="{3e2802c4-a4d2-4d8b-9148-e3be6c30e623}">
          <xlrd:rvb i="1731"/>
        </ext>
      </extLst>
    </bk>
    <bk>
      <extLst>
        <ext uri="{3e2802c4-a4d2-4d8b-9148-e3be6c30e623}">
          <xlrd:rvb i="1734"/>
        </ext>
      </extLst>
    </bk>
    <bk>
      <extLst>
        <ext uri="{3e2802c4-a4d2-4d8b-9148-e3be6c30e623}">
          <xlrd:rvb i="1737"/>
        </ext>
      </extLst>
    </bk>
    <bk>
      <extLst>
        <ext uri="{3e2802c4-a4d2-4d8b-9148-e3be6c30e623}">
          <xlrd:rvb i="1740"/>
        </ext>
      </extLst>
    </bk>
    <bk>
      <extLst>
        <ext uri="{3e2802c4-a4d2-4d8b-9148-e3be6c30e623}">
          <xlrd:rvb i="1743"/>
        </ext>
      </extLst>
    </bk>
    <bk>
      <extLst>
        <ext uri="{3e2802c4-a4d2-4d8b-9148-e3be6c30e623}">
          <xlrd:rvb i="1746"/>
        </ext>
      </extLst>
    </bk>
    <bk>
      <extLst>
        <ext uri="{3e2802c4-a4d2-4d8b-9148-e3be6c30e623}">
          <xlrd:rvb i="1748"/>
        </ext>
      </extLst>
    </bk>
    <bk>
      <extLst>
        <ext uri="{3e2802c4-a4d2-4d8b-9148-e3be6c30e623}">
          <xlrd:rvb i="1751"/>
        </ext>
      </extLst>
    </bk>
    <bk>
      <extLst>
        <ext uri="{3e2802c4-a4d2-4d8b-9148-e3be6c30e623}">
          <xlrd:rvb i="1754"/>
        </ext>
      </extLst>
    </bk>
    <bk>
      <extLst>
        <ext uri="{3e2802c4-a4d2-4d8b-9148-e3be6c30e623}">
          <xlrd:rvb i="1757"/>
        </ext>
      </extLst>
    </bk>
    <bk>
      <extLst>
        <ext uri="{3e2802c4-a4d2-4d8b-9148-e3be6c30e623}">
          <xlrd:rvb i="1760"/>
        </ext>
      </extLst>
    </bk>
    <bk>
      <extLst>
        <ext uri="{3e2802c4-a4d2-4d8b-9148-e3be6c30e623}">
          <xlrd:rvb i="1763"/>
        </ext>
      </extLst>
    </bk>
    <bk>
      <extLst>
        <ext uri="{3e2802c4-a4d2-4d8b-9148-e3be6c30e623}">
          <xlrd:rvb i="1766"/>
        </ext>
      </extLst>
    </bk>
    <bk>
      <extLst>
        <ext uri="{3e2802c4-a4d2-4d8b-9148-e3be6c30e623}">
          <xlrd:rvb i="1769"/>
        </ext>
      </extLst>
    </bk>
    <bk>
      <extLst>
        <ext uri="{3e2802c4-a4d2-4d8b-9148-e3be6c30e623}">
          <xlrd:rvb i="1772"/>
        </ext>
      </extLst>
    </bk>
    <bk>
      <extLst>
        <ext uri="{3e2802c4-a4d2-4d8b-9148-e3be6c30e623}">
          <xlrd:rvb i="1775"/>
        </ext>
      </extLst>
    </bk>
    <bk>
      <extLst>
        <ext uri="{3e2802c4-a4d2-4d8b-9148-e3be6c30e623}">
          <xlrd:rvb i="1778"/>
        </ext>
      </extLst>
    </bk>
    <bk>
      <extLst>
        <ext uri="{3e2802c4-a4d2-4d8b-9148-e3be6c30e623}">
          <xlrd:rvb i="1781"/>
        </ext>
      </extLst>
    </bk>
    <bk>
      <extLst>
        <ext uri="{3e2802c4-a4d2-4d8b-9148-e3be6c30e623}">
          <xlrd:rvb i="1783"/>
        </ext>
      </extLst>
    </bk>
    <bk>
      <extLst>
        <ext uri="{3e2802c4-a4d2-4d8b-9148-e3be6c30e623}">
          <xlrd:rvb i="1785"/>
        </ext>
      </extLst>
    </bk>
    <bk>
      <extLst>
        <ext uri="{3e2802c4-a4d2-4d8b-9148-e3be6c30e623}">
          <xlrd:rvb i="1788"/>
        </ext>
      </extLst>
    </bk>
    <bk>
      <extLst>
        <ext uri="{3e2802c4-a4d2-4d8b-9148-e3be6c30e623}">
          <xlrd:rvb i="1794"/>
        </ext>
      </extLst>
    </bk>
    <bk>
      <extLst>
        <ext uri="{3e2802c4-a4d2-4d8b-9148-e3be6c30e623}">
          <xlrd:rvb i="1797"/>
        </ext>
      </extLst>
    </bk>
    <bk>
      <extLst>
        <ext uri="{3e2802c4-a4d2-4d8b-9148-e3be6c30e623}">
          <xlrd:rvb i="1800"/>
        </ext>
      </extLst>
    </bk>
    <bk>
      <extLst>
        <ext uri="{3e2802c4-a4d2-4d8b-9148-e3be6c30e623}">
          <xlrd:rvb i="1803"/>
        </ext>
      </extLst>
    </bk>
  </futureMetadata>
  <cellMetadata count="1">
    <bk>
      <rc t="1" v="0"/>
    </bk>
  </cellMetadata>
  <valueMetadata count="60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valueMetadata>
</metadata>
</file>

<file path=xl/sharedStrings.xml><?xml version="1.0" encoding="utf-8"?>
<sst xmlns="http://schemas.openxmlformats.org/spreadsheetml/2006/main" count="4774" uniqueCount="573">
  <si>
    <t>Date</t>
  </si>
  <si>
    <t>Market</t>
  </si>
  <si>
    <t>Current Price</t>
  </si>
  <si>
    <t>Platform</t>
  </si>
  <si>
    <t>LUNA</t>
  </si>
  <si>
    <t>SCRT</t>
  </si>
  <si>
    <t>Secret Network</t>
  </si>
  <si>
    <t>Osmosis</t>
  </si>
  <si>
    <t>Arbitrum</t>
  </si>
  <si>
    <t>Ethereum</t>
  </si>
  <si>
    <t>ETH</t>
  </si>
  <si>
    <t>Cosmos</t>
  </si>
  <si>
    <t>SNX</t>
  </si>
  <si>
    <t>Solana</t>
  </si>
  <si>
    <t>FUTURE</t>
  </si>
  <si>
    <t>Stargaze</t>
  </si>
  <si>
    <t>Fantom</t>
  </si>
  <si>
    <t>FTM</t>
  </si>
  <si>
    <t>NFT</t>
  </si>
  <si>
    <t>Ledger</t>
  </si>
  <si>
    <t>Sold Amount</t>
  </si>
  <si>
    <t>Expiration Date</t>
  </si>
  <si>
    <t>Thales</t>
  </si>
  <si>
    <t>Crypto</t>
  </si>
  <si>
    <t>Unrealized Profit</t>
  </si>
  <si>
    <t>Commodity</t>
  </si>
  <si>
    <t>Mining</t>
  </si>
  <si>
    <t>Volatility</t>
  </si>
  <si>
    <t>Agriculture</t>
  </si>
  <si>
    <t>Technology</t>
  </si>
  <si>
    <t>China</t>
  </si>
  <si>
    <t>Energy</t>
  </si>
  <si>
    <t>BLD</t>
  </si>
  <si>
    <t>Agoric</t>
  </si>
  <si>
    <t>Velodrome</t>
  </si>
  <si>
    <t>SOL</t>
  </si>
  <si>
    <t>Drift</t>
  </si>
  <si>
    <t>Realized:</t>
  </si>
  <si>
    <t>Defense</t>
  </si>
  <si>
    <t>Exposure</t>
  </si>
  <si>
    <t>Strategy</t>
  </si>
  <si>
    <t>Synthetix</t>
  </si>
  <si>
    <t>Current Exposure</t>
  </si>
  <si>
    <t>Current Amount</t>
  </si>
  <si>
    <t>ARB</t>
  </si>
  <si>
    <t>Total Exposure</t>
  </si>
  <si>
    <t>Keplr</t>
  </si>
  <si>
    <t>Call</t>
  </si>
  <si>
    <t>Column1</t>
  </si>
  <si>
    <t>Total Profit</t>
  </si>
  <si>
    <t>Bullish</t>
  </si>
  <si>
    <t>Bearish</t>
  </si>
  <si>
    <t>Analysis</t>
  </si>
  <si>
    <t>Health Care</t>
  </si>
  <si>
    <t>Financials</t>
  </si>
  <si>
    <t>Consumer Discretionary</t>
  </si>
  <si>
    <t>Industrials</t>
  </si>
  <si>
    <t>Consumer Staples</t>
  </si>
  <si>
    <t>Utilities</t>
  </si>
  <si>
    <t>Materials</t>
  </si>
  <si>
    <t>Ticker</t>
  </si>
  <si>
    <t>Asset</t>
  </si>
  <si>
    <t>HMX</t>
  </si>
  <si>
    <t>Total</t>
  </si>
  <si>
    <t>HNT</t>
  </si>
  <si>
    <t>put</t>
  </si>
  <si>
    <t>Remaining</t>
  </si>
  <si>
    <t>PYTH</t>
  </si>
  <si>
    <t>Jupiter</t>
  </si>
  <si>
    <t>Vertex</t>
  </si>
  <si>
    <t>TIA</t>
  </si>
  <si>
    <t>HyperLiquid</t>
  </si>
  <si>
    <t>SEI</t>
  </si>
  <si>
    <t>AXL</t>
  </si>
  <si>
    <t>VKA</t>
  </si>
  <si>
    <t>JUP</t>
  </si>
  <si>
    <t>Kamino</t>
  </si>
  <si>
    <t>Day Trading</t>
  </si>
  <si>
    <t>Assets</t>
  </si>
  <si>
    <t>Beta</t>
  </si>
  <si>
    <t>Primary theme</t>
  </si>
  <si>
    <t>Secondary theme</t>
  </si>
  <si>
    <t>Instrument type</t>
  </si>
  <si>
    <t>AI</t>
  </si>
  <si>
    <t>Semiconductor</t>
  </si>
  <si>
    <t>Portfolio</t>
  </si>
  <si>
    <t>Fintech</t>
  </si>
  <si>
    <t>Brazil</t>
  </si>
  <si>
    <t>Steel</t>
  </si>
  <si>
    <t>strike_price</t>
  </si>
  <si>
    <t>realized_profit</t>
  </si>
  <si>
    <t>avg_exit_price</t>
  </si>
  <si>
    <t>nominal_exposure</t>
  </si>
  <si>
    <t>delta_exposure</t>
  </si>
  <si>
    <t>Vol</t>
  </si>
  <si>
    <t>Number of options</t>
  </si>
  <si>
    <t>Exit1</t>
  </si>
  <si>
    <t>ex1_price</t>
  </si>
  <si>
    <t>Exit2</t>
  </si>
  <si>
    <t>ex2_price</t>
  </si>
  <si>
    <t>ex2_amnt</t>
  </si>
  <si>
    <t>ex1_amnt</t>
  </si>
  <si>
    <t>AvePrice</t>
  </si>
  <si>
    <t>Direction</t>
  </si>
  <si>
    <t>Invested</t>
  </si>
  <si>
    <t>Risk Free rate</t>
  </si>
  <si>
    <t>Time to expiration</t>
  </si>
  <si>
    <t>d1</t>
  </si>
  <si>
    <t>Delta</t>
  </si>
  <si>
    <t>Fiscal</t>
  </si>
  <si>
    <t>Manufacturing</t>
  </si>
  <si>
    <t>Buy or Sell</t>
  </si>
  <si>
    <t>put spread</t>
  </si>
  <si>
    <t>call</t>
  </si>
  <si>
    <t>call spread</t>
  </si>
  <si>
    <t>calendar spread</t>
  </si>
  <si>
    <t>date_purchased</t>
  </si>
  <si>
    <t>Cannabis</t>
  </si>
  <si>
    <t>Bitcoin mining</t>
  </si>
  <si>
    <t>Natural Gas</t>
  </si>
  <si>
    <t>Auto</t>
  </si>
  <si>
    <t>Software</t>
  </si>
  <si>
    <t>Trump</t>
  </si>
  <si>
    <t>Security</t>
  </si>
  <si>
    <t>Option Exposure</t>
  </si>
  <si>
    <t>GLP-1</t>
  </si>
  <si>
    <t>Treasury</t>
  </si>
  <si>
    <t>Refinery</t>
  </si>
  <si>
    <t>Equipment</t>
  </si>
  <si>
    <t>Fertilizer</t>
  </si>
  <si>
    <t>Entertainment</t>
  </si>
  <si>
    <t>Cash</t>
  </si>
  <si>
    <t>Real estate</t>
  </si>
  <si>
    <t>Gold and Silver</t>
  </si>
  <si>
    <t>Water Basket</t>
  </si>
  <si>
    <t>Meme</t>
  </si>
  <si>
    <t>Nuclear</t>
  </si>
  <si>
    <t>Japan</t>
  </si>
  <si>
    <t>Solar</t>
  </si>
  <si>
    <t>Transportation</t>
  </si>
  <si>
    <t>Isreal</t>
  </si>
  <si>
    <t>Mexico</t>
  </si>
  <si>
    <t>52 week high</t>
  </si>
  <si>
    <t>Price</t>
  </si>
  <si>
    <t>Price Change</t>
  </si>
  <si>
    <t>52 week low</t>
  </si>
  <si>
    <t>Homebuilding</t>
  </si>
  <si>
    <t>Education</t>
  </si>
  <si>
    <t>Main</t>
  </si>
  <si>
    <t>Stats</t>
  </si>
  <si>
    <t>Total Option exposure</t>
  </si>
  <si>
    <t xml:space="preserve">Option Trade profit </t>
  </si>
  <si>
    <t>Number of stocks with option exposure</t>
  </si>
  <si>
    <t>Perc of Op Exp</t>
  </si>
  <si>
    <t>Number of stocks</t>
  </si>
  <si>
    <t>Num of Stocks</t>
  </si>
  <si>
    <t>Stock Exposure</t>
  </si>
  <si>
    <t>Combined Exposure</t>
  </si>
  <si>
    <t>CyberSecurity</t>
  </si>
  <si>
    <t>credit call spread</t>
  </si>
  <si>
    <t>ZEX</t>
  </si>
  <si>
    <t>put calendar spread</t>
  </si>
  <si>
    <t>Equity Portfolio</t>
  </si>
  <si>
    <t>Crypto Portfolio</t>
  </si>
  <si>
    <t>Theme</t>
  </si>
  <si>
    <t>Blockchain</t>
  </si>
  <si>
    <t>Layer 1</t>
  </si>
  <si>
    <t>Transactions:</t>
  </si>
  <si>
    <t>State</t>
  </si>
  <si>
    <t>Number</t>
  </si>
  <si>
    <t>Bought number</t>
  </si>
  <si>
    <t>Sold Number</t>
  </si>
  <si>
    <t>Bought amount</t>
  </si>
  <si>
    <t>Sold amount</t>
  </si>
  <si>
    <t>Wallet</t>
  </si>
  <si>
    <t>LP</t>
  </si>
  <si>
    <t>Spot</t>
  </si>
  <si>
    <t>Meteora</t>
  </si>
  <si>
    <t>Flash Trade</t>
  </si>
  <si>
    <t>Famous Fox</t>
  </si>
  <si>
    <t>Staked</t>
  </si>
  <si>
    <t>credit put spread</t>
  </si>
  <si>
    <t>PSY</t>
  </si>
  <si>
    <t>Layer 2</t>
  </si>
  <si>
    <t>Option Trading</t>
  </si>
  <si>
    <t>Total bought Number</t>
  </si>
  <si>
    <t>Total Sold Number</t>
  </si>
  <si>
    <t>Average Entry</t>
  </si>
  <si>
    <t>Specific wallet</t>
  </si>
  <si>
    <t>Phantom 2</t>
  </si>
  <si>
    <t>HXRO</t>
  </si>
  <si>
    <t>Perpetual Exchange</t>
  </si>
  <si>
    <t>JitoSol/SOL LP</t>
  </si>
  <si>
    <t>KMNO/JitoSOL</t>
  </si>
  <si>
    <t>Defi</t>
  </si>
  <si>
    <t>Total CryptoPortfolio Value</t>
  </si>
  <si>
    <t>ZEX/JitoSol</t>
  </si>
  <si>
    <t>Whales/SOL</t>
  </si>
  <si>
    <t>W/JitoSol</t>
  </si>
  <si>
    <t>Bridge</t>
  </si>
  <si>
    <t>Total bought Amount</t>
  </si>
  <si>
    <t>Total Sold Amount</t>
  </si>
  <si>
    <t>How many tokens</t>
  </si>
  <si>
    <t>How many tokens now</t>
  </si>
  <si>
    <t>Ave Entry price</t>
  </si>
  <si>
    <t>Ave exit price</t>
  </si>
  <si>
    <t>Realized Profit</t>
  </si>
  <si>
    <t>Velo</t>
  </si>
  <si>
    <t>Optimism</t>
  </si>
  <si>
    <t>USDC</t>
  </si>
  <si>
    <t>Multi</t>
  </si>
  <si>
    <t>Perp wallet</t>
  </si>
  <si>
    <t>Velo/USDC</t>
  </si>
  <si>
    <t>SBR</t>
  </si>
  <si>
    <t>Liquid Staked</t>
  </si>
  <si>
    <t>Pyth Network</t>
  </si>
  <si>
    <t>Sol/vSOL LP</t>
  </si>
  <si>
    <t>Sol/Wen</t>
  </si>
  <si>
    <t>Ray/Sol</t>
  </si>
  <si>
    <t>Raydium</t>
  </si>
  <si>
    <t>Circuit</t>
  </si>
  <si>
    <t>FLP</t>
  </si>
  <si>
    <t>MutantMon</t>
  </si>
  <si>
    <t>MPLX</t>
  </si>
  <si>
    <t>JLP</t>
  </si>
  <si>
    <t>TRUMP</t>
  </si>
  <si>
    <t>MOTHER</t>
  </si>
  <si>
    <t>Frogana</t>
  </si>
  <si>
    <t>Apparel</t>
  </si>
  <si>
    <t>Average buy price</t>
  </si>
  <si>
    <t>Bought</t>
  </si>
  <si>
    <t>Bought Amount</t>
  </si>
  <si>
    <t>Total Amount bought</t>
  </si>
  <si>
    <t>Total number bought</t>
  </si>
  <si>
    <t>Ovols</t>
  </si>
  <si>
    <t>BAT APE</t>
  </si>
  <si>
    <t>BAT APE combined</t>
  </si>
  <si>
    <t>Marms</t>
  </si>
  <si>
    <t>Saga Monkes</t>
  </si>
  <si>
    <t>Node Aliens</t>
  </si>
  <si>
    <t>Magic Eden</t>
  </si>
  <si>
    <t>Phantom 1</t>
  </si>
  <si>
    <t>WINR</t>
  </si>
  <si>
    <t>Iphone wallet</t>
  </si>
  <si>
    <t>Ore</t>
  </si>
  <si>
    <t>POW</t>
  </si>
  <si>
    <t>Gambling</t>
  </si>
  <si>
    <t>FUTURE/SOL</t>
  </si>
  <si>
    <t>Phantom 3</t>
  </si>
  <si>
    <t>BAT</t>
  </si>
  <si>
    <t>Stars</t>
  </si>
  <si>
    <t>Dydx</t>
  </si>
  <si>
    <t>Osmo</t>
  </si>
  <si>
    <t>Atom</t>
  </si>
  <si>
    <t>LVN</t>
  </si>
  <si>
    <t>DAG</t>
  </si>
  <si>
    <t>Distance from entry</t>
  </si>
  <si>
    <t>Memory</t>
  </si>
  <si>
    <t>Connectivity</t>
  </si>
  <si>
    <t>Phone</t>
  </si>
  <si>
    <t>Electronics</t>
  </si>
  <si>
    <t>EV</t>
  </si>
  <si>
    <t>Infinex</t>
  </si>
  <si>
    <t>Infinex Wallet</t>
  </si>
  <si>
    <t>Sold</t>
  </si>
  <si>
    <t>Total Sold number of stocks</t>
  </si>
  <si>
    <t>Total sold amount</t>
  </si>
  <si>
    <t>Average sell price</t>
  </si>
  <si>
    <t>Ave Entry</t>
  </si>
  <si>
    <t>Unrealized profit percentage</t>
  </si>
  <si>
    <t>Saga Wallet</t>
  </si>
  <si>
    <t>Hxro</t>
  </si>
  <si>
    <t>Bonk</t>
  </si>
  <si>
    <t>SEND</t>
  </si>
  <si>
    <t>Foxy</t>
  </si>
  <si>
    <t>STX</t>
  </si>
  <si>
    <t>MagicEden Wallet</t>
  </si>
  <si>
    <t>Orcanaut</t>
  </si>
  <si>
    <t>Stacks</t>
  </si>
  <si>
    <t>Constellations</t>
  </si>
  <si>
    <t>Celestia</t>
  </si>
  <si>
    <t>Advertising</t>
  </si>
  <si>
    <t>Connected blockchains</t>
  </si>
  <si>
    <t>Enterprise</t>
  </si>
  <si>
    <t>Bitcoin L2</t>
  </si>
  <si>
    <t>Defi wallet</t>
  </si>
  <si>
    <t>ZK</t>
  </si>
  <si>
    <t>Aero</t>
  </si>
  <si>
    <t>Base</t>
  </si>
  <si>
    <t>Aero/USDC</t>
  </si>
  <si>
    <t>Equal</t>
  </si>
  <si>
    <t>VRTX</t>
  </si>
  <si>
    <t>Ecommerce</t>
  </si>
  <si>
    <t>Global</t>
  </si>
  <si>
    <t>HomeBuilding</t>
  </si>
  <si>
    <t>Unrealized:</t>
  </si>
  <si>
    <t xml:space="preserve">Realized </t>
  </si>
  <si>
    <t>% of Total</t>
  </si>
  <si>
    <t>Swing</t>
  </si>
  <si>
    <t>Realized</t>
  </si>
  <si>
    <t>Percentage of investment amount</t>
  </si>
  <si>
    <t>Delta Exposure</t>
  </si>
  <si>
    <t>Cyber Security</t>
  </si>
  <si>
    <t>Strategy direction</t>
  </si>
  <si>
    <t>Option Long exposure</t>
  </si>
  <si>
    <t>Option Short Exposure</t>
  </si>
  <si>
    <t>Primary</t>
  </si>
  <si>
    <t>Secondary</t>
  </si>
  <si>
    <t>From Equity Portfolio</t>
  </si>
  <si>
    <t>Percentage of Stock Exposure</t>
  </si>
  <si>
    <t>Target</t>
  </si>
  <si>
    <t>Life Science</t>
  </si>
  <si>
    <t>Percentage of Total</t>
  </si>
  <si>
    <t>Primary Theme</t>
  </si>
  <si>
    <t>Option Trades</t>
  </si>
  <si>
    <t>Long exposure</t>
  </si>
  <si>
    <t>Short Exposure</t>
  </si>
  <si>
    <t>Upperbound</t>
  </si>
  <si>
    <t>Percentage of long and short exposure</t>
  </si>
  <si>
    <t>Too much?</t>
  </si>
  <si>
    <t>Realized from option</t>
  </si>
  <si>
    <t>LP reward</t>
  </si>
  <si>
    <t>PURR</t>
  </si>
  <si>
    <t>NFT reward</t>
  </si>
  <si>
    <t>TFF (Transdimensional Fox Federation)</t>
  </si>
  <si>
    <t>Has to be same</t>
  </si>
  <si>
    <t>Geriatric</t>
  </si>
  <si>
    <t>Value at risk</t>
  </si>
  <si>
    <t>PICA/OSMO</t>
  </si>
  <si>
    <t>Restaking</t>
  </si>
  <si>
    <t>Keplr Fund wallet</t>
  </si>
  <si>
    <t>Main Keplr Wallet</t>
  </si>
  <si>
    <t>STRD</t>
  </si>
  <si>
    <t>Liquid Staking</t>
  </si>
  <si>
    <t>AtomWallet</t>
  </si>
  <si>
    <t>OSMO/USDC.axl</t>
  </si>
  <si>
    <t>MacbookAir Wallet</t>
  </si>
  <si>
    <t>Luna</t>
  </si>
  <si>
    <t>Mars</t>
  </si>
  <si>
    <t>Vix Shorting</t>
  </si>
  <si>
    <t>pyUSD/jitoSOL</t>
  </si>
  <si>
    <t>DePIN</t>
  </si>
  <si>
    <t>Privacy</t>
  </si>
  <si>
    <t>Sei Network</t>
  </si>
  <si>
    <t>Axelar</t>
  </si>
  <si>
    <t>Terra Network</t>
  </si>
  <si>
    <t>TrumpWinElection</t>
  </si>
  <si>
    <t>PredictionMarket</t>
  </si>
  <si>
    <t>Polygon</t>
  </si>
  <si>
    <t>Total realized</t>
  </si>
  <si>
    <t>Stargaze Wallet</t>
  </si>
  <si>
    <t>Vote Reward</t>
  </si>
  <si>
    <t>MedTech</t>
  </si>
  <si>
    <t>Cancer</t>
  </si>
  <si>
    <t>Primary Theme Analysis</t>
  </si>
  <si>
    <t>Secondary Theme Analysis</t>
  </si>
  <si>
    <t xml:space="preserve">Total: </t>
  </si>
  <si>
    <t>Asset Name</t>
  </si>
  <si>
    <t>Fitness</t>
  </si>
  <si>
    <t>FROM:</t>
  </si>
  <si>
    <t>TO:</t>
  </si>
  <si>
    <t>Analysis by Asset</t>
  </si>
  <si>
    <t>Don’t do day trade</t>
  </si>
  <si>
    <t>Don't rush or feel like "I have to do this now"</t>
  </si>
  <si>
    <t>Consider taking profit when profit is &gt;100%</t>
  </si>
  <si>
    <t>Cut losing trades</t>
  </si>
  <si>
    <t>Reduce bullish positions when bearish indicators light up</t>
  </si>
  <si>
    <t>Buy the stock for long term positions</t>
  </si>
  <si>
    <t>Don't buy short term options</t>
  </si>
  <si>
    <t>Do weekly analysis of the trades</t>
  </si>
  <si>
    <t>By expiration date:</t>
  </si>
  <si>
    <t>By purchase date:</t>
  </si>
  <si>
    <t>Return on investment</t>
  </si>
  <si>
    <t>By purchase date</t>
  </si>
  <si>
    <t>Only buy calls on stocks when price is very close to put wall and has good fundamentals</t>
  </si>
  <si>
    <t>Weekly analysis</t>
  </si>
  <si>
    <t>option analysis</t>
  </si>
  <si>
    <t>macro</t>
  </si>
  <si>
    <t>sector analysis</t>
  </si>
  <si>
    <t>future trading analysis</t>
  </si>
  <si>
    <t>crypto analysis</t>
  </si>
  <si>
    <t>Look at earnings that are coming up</t>
  </si>
  <si>
    <t>If event is priced on term structure, it is probably priced in. Think about it!</t>
  </si>
  <si>
    <t>Find stocks that are oversold on option levels</t>
  </si>
  <si>
    <t>I am trading too much</t>
  </si>
  <si>
    <t xml:space="preserve">Be careful around earning dates and pay attention to hiro right before earning date. </t>
  </si>
  <si>
    <t>Upcoming earnings</t>
  </si>
  <si>
    <t>Return on Investment</t>
  </si>
  <si>
    <t>Bullish or Bearish strategy</t>
  </si>
  <si>
    <t>Bullish or Bearish</t>
  </si>
  <si>
    <t>Processes to improve and learnings</t>
  </si>
  <si>
    <t>Within timeline</t>
  </si>
  <si>
    <t>sector allocation, do weekly rotation</t>
  </si>
  <si>
    <t>Term structures</t>
  </si>
  <si>
    <t>Put wall</t>
  </si>
  <si>
    <t>Call wall</t>
  </si>
  <si>
    <t>Withing 2% of put wall</t>
  </si>
  <si>
    <t>2% withing Call Wall</t>
  </si>
  <si>
    <t>Next earning</t>
  </si>
  <si>
    <t>Next Earning</t>
  </si>
  <si>
    <t>Type of asset</t>
  </si>
  <si>
    <t>Asset type</t>
  </si>
  <si>
    <t>Zarim odruuded chuhalt haalt harchaad ariljah geheer stock boldoggui bolohoor index-ee arilj. Market neegdeheer stock option-uudaa avch bolno shu de.</t>
  </si>
  <si>
    <t>Value at risk max 8000</t>
  </si>
  <si>
    <t>Consider buying on Vix spike in a negative gamma environment</t>
  </si>
  <si>
    <t>Percentage in profit</t>
  </si>
  <si>
    <t>Cost of current position</t>
  </si>
  <si>
    <t>Cost basis</t>
  </si>
  <si>
    <t>Insurance</t>
  </si>
  <si>
    <t>What is my option strategy</t>
  </si>
  <si>
    <t>Protect and hedge my main spot holding when necessary</t>
  </si>
  <si>
    <t>Try to time bottom also using volatility and gamma index by spotgamma</t>
  </si>
  <si>
    <t>Try to time market inflection using macro events and option expiration dates. </t>
  </si>
  <si>
    <t>Couple the analysis with fundamental and macro analysis so that I buy stocks with tailwind and sell ones with headwind. </t>
  </si>
  <si>
    <t>Identify future trend and buy projects that might benefit from it early on</t>
  </si>
  <si>
    <t>Buy projects with identifiable moat</t>
  </si>
  <si>
    <t>Buy projects that are sustaina</t>
  </si>
  <si>
    <t>Stocks</t>
  </si>
  <si>
    <t>Diversified portfolio of stocks that are at attractive valuation</t>
  </si>
  <si>
    <t>Identify moat, leaders, monopoly behaviour</t>
  </si>
  <si>
    <t>Identify businesses that can grow revenue</t>
  </si>
  <si>
    <t>Can buy back stock</t>
  </si>
  <si>
    <t>Free cash flow</t>
  </si>
  <si>
    <t>Find theme with secular tailwind</t>
  </si>
  <si>
    <t>Be aware of macro narratives</t>
  </si>
  <si>
    <t>Identify inflection points using volatility index, spotgamma levels and other indicators</t>
  </si>
  <si>
    <t>KMNO</t>
  </si>
  <si>
    <t>Below 20k in abs</t>
  </si>
  <si>
    <t>Distance from put wall</t>
  </si>
  <si>
    <t>Distance from call wall</t>
  </si>
  <si>
    <t>Value at risk from Market</t>
  </si>
  <si>
    <t>Value at risk from TLT</t>
  </si>
  <si>
    <t>Value at risk from stocks</t>
  </si>
  <si>
    <t>Top Stocks</t>
  </si>
  <si>
    <t>Over allocated</t>
  </si>
  <si>
    <t>Order</t>
  </si>
  <si>
    <t>Orderly Network</t>
  </si>
  <si>
    <t>Airdrop</t>
  </si>
  <si>
    <t>Brave Browser</t>
  </si>
  <si>
    <t>MadScientist</t>
  </si>
  <si>
    <t>BackBone labs</t>
  </si>
  <si>
    <t>Keplr Main</t>
  </si>
  <si>
    <t>BadKid</t>
  </si>
  <si>
    <t>Winner-uudee jaahan run hiilgehgui heterhii taking them off</t>
  </si>
  <si>
    <t>PatronNFT</t>
  </si>
  <si>
    <t>Small Cap</t>
  </si>
  <si>
    <t>Data Storage</t>
  </si>
  <si>
    <t>Sec Theme</t>
  </si>
  <si>
    <t>Update</t>
  </si>
  <si>
    <t>Signal</t>
  </si>
  <si>
    <t>From Support</t>
  </si>
  <si>
    <t>From Resistance</t>
  </si>
  <si>
    <t>Dis to 52w high</t>
  </si>
  <si>
    <t>Dis to 52 week low</t>
  </si>
  <si>
    <t>Weight Loss</t>
  </si>
  <si>
    <t>Health care</t>
  </si>
  <si>
    <t>Restaurant</t>
  </si>
  <si>
    <t>Payments</t>
  </si>
  <si>
    <t>Jto/jitoSol</t>
  </si>
  <si>
    <t>PolyMarket</t>
  </si>
  <si>
    <t>Always approach the trade with plan when to take profit and when to close the position</t>
  </si>
  <si>
    <t>Value at risk from credit spread</t>
  </si>
  <si>
    <t>Royalty</t>
  </si>
  <si>
    <t>Dex</t>
  </si>
  <si>
    <t>Nuclear Fuel</t>
  </si>
  <si>
    <t>DYDX</t>
  </si>
  <si>
    <t>Offshore Drilling</t>
  </si>
  <si>
    <t>For some reason, I am trading indices better - turns out not true -&gt; stay humble</t>
  </si>
  <si>
    <t>APX</t>
  </si>
  <si>
    <t>Airline</t>
  </si>
  <si>
    <t>Latest Update</t>
  </si>
  <si>
    <t>Delta Exposure without TLT</t>
  </si>
  <si>
    <t>When to buy calls on stocks</t>
  </si>
  <si>
    <t>Highest reward to risk ratio when: quality stock is under put wall and there is a good fundamental reason to long it</t>
  </si>
  <si>
    <t>USDS/JitoSOL</t>
  </si>
  <si>
    <t>HYPE</t>
  </si>
  <si>
    <t>Odos</t>
  </si>
  <si>
    <t>FORTH</t>
  </si>
  <si>
    <t>Kucoin</t>
  </si>
  <si>
    <t>NEXT (CLEAR)</t>
  </si>
  <si>
    <t>FUNGI</t>
  </si>
  <si>
    <t>ME</t>
  </si>
  <si>
    <t>AR</t>
  </si>
  <si>
    <t>Arweave Wallet</t>
  </si>
  <si>
    <t>JLP Multiply</t>
  </si>
  <si>
    <t>No more leverage</t>
  </si>
  <si>
    <t>PYTHENIAN</t>
  </si>
  <si>
    <t>Squidrouter</t>
  </si>
  <si>
    <t>ai16z</t>
  </si>
  <si>
    <t>zerebro</t>
  </si>
  <si>
    <t>griffain</t>
  </si>
  <si>
    <t>AI agent</t>
  </si>
  <si>
    <t>KWEEN</t>
  </si>
  <si>
    <t>HOLD</t>
  </si>
  <si>
    <t>Hold Station</t>
  </si>
  <si>
    <t>Space</t>
  </si>
  <si>
    <t>TNSR</t>
  </si>
  <si>
    <t>Tensorian</t>
  </si>
  <si>
    <t>Tensor</t>
  </si>
  <si>
    <t>L24AI</t>
  </si>
  <si>
    <t>Power Component</t>
  </si>
  <si>
    <t>STEP</t>
  </si>
  <si>
    <t>FOMO</t>
  </si>
  <si>
    <t>RBC</t>
  </si>
  <si>
    <t>Camelot Exchange</t>
  </si>
  <si>
    <t>Rubic</t>
  </si>
  <si>
    <t>GMX blueberry</t>
  </si>
  <si>
    <t>Opensea</t>
  </si>
  <si>
    <t>M3M3/SOL</t>
  </si>
  <si>
    <t>spot</t>
  </si>
  <si>
    <t>CATF</t>
  </si>
  <si>
    <t>Phantom phone wallet</t>
  </si>
  <si>
    <t>AI Agents</t>
  </si>
  <si>
    <t>Drone</t>
  </si>
  <si>
    <t>Percentage of portfolio</t>
  </si>
  <si>
    <t>Opioid</t>
  </si>
  <si>
    <t>JitoSOL</t>
  </si>
  <si>
    <t>Kam</t>
  </si>
  <si>
    <t>FAF</t>
  </si>
  <si>
    <t>TAO</t>
  </si>
  <si>
    <t>Robinhood</t>
  </si>
  <si>
    <t>Robotics</t>
  </si>
  <si>
    <t>ledger</t>
  </si>
  <si>
    <t>kucoin</t>
  </si>
  <si>
    <t>Drone Basket</t>
  </si>
  <si>
    <t>Company</t>
  </si>
  <si>
    <t>Number of shares</t>
  </si>
  <si>
    <t>Value</t>
  </si>
  <si>
    <t>Employees</t>
  </si>
  <si>
    <t>MarketCap</t>
  </si>
  <si>
    <t>P/E</t>
  </si>
  <si>
    <t>(BATS:RCAT*88+BATS:MPTI*25+BATS:UMAC*92+BATS:AVAV*3.64+BATS:KTOS*17+BATS:ONDS*448+BATS:DRS*20.77+BATS:TDY*1.77+BATS:ESLT*2.3)/BATS:SPY</t>
  </si>
  <si>
    <t>Robotics Basket</t>
  </si>
  <si>
    <t>Marketcap per employee</t>
  </si>
  <si>
    <t>Share of Portfolio</t>
  </si>
  <si>
    <t>Share of portfolio</t>
  </si>
  <si>
    <t>SemiConductors</t>
  </si>
  <si>
    <t>(NASDAQ:AMZN*5+NASDAQ:TER*11+NASDAQ:ON*17+NASDAQ:NVTS*149+NASDAQ:INDI*220+NASDAQ:GOOG*6+NYSE:VPG*40+NYSE:ST*35+NASDAQ:OUST*33)/AMEX:SPY</t>
  </si>
  <si>
    <t>Metals</t>
  </si>
  <si>
    <t>Crypto stocks</t>
  </si>
  <si>
    <t>AI inference</t>
  </si>
  <si>
    <t>AI infrastructure</t>
  </si>
  <si>
    <t>Crypto Treasury</t>
  </si>
  <si>
    <t>Total Realized:</t>
  </si>
  <si>
    <t>Clean Energy</t>
  </si>
  <si>
    <t>Semiconductor equipment</t>
  </si>
  <si>
    <t>Energy Onsite</t>
  </si>
  <si>
    <t>Health Care: Skin Tightening</t>
  </si>
  <si>
    <t>Semiconductor: Foundry</t>
  </si>
  <si>
    <t>Health Care: Value Care</t>
  </si>
  <si>
    <t>SmallCap</t>
  </si>
  <si>
    <t>Health Care: Equipment</t>
  </si>
  <si>
    <t>Industrials: Construction</t>
  </si>
  <si>
    <t>Technology: Quantum Computing</t>
  </si>
  <si>
    <t>USDC vault</t>
  </si>
  <si>
    <t>Jito/SOL</t>
  </si>
  <si>
    <t>Phantom wallet 5 (starting with $9000)</t>
  </si>
  <si>
    <t>SOL vault</t>
  </si>
  <si>
    <t>All of them on Kamino for now.</t>
  </si>
  <si>
    <t>Health Care: GLP1</t>
  </si>
  <si>
    <t>Health Care: Biotech</t>
  </si>
  <si>
    <t>Health Care: Pharma</t>
  </si>
  <si>
    <t>Technology: Networking</t>
  </si>
  <si>
    <t>Health Care: Services</t>
  </si>
  <si>
    <t>NMR</t>
  </si>
  <si>
    <t>Decentralized Hedge Fund</t>
  </si>
  <si>
    <t>PUMP</t>
  </si>
  <si>
    <t>ad</t>
  </si>
  <si>
    <t>ElizaOs</t>
  </si>
  <si>
    <t>Rare Earth</t>
  </si>
  <si>
    <t>Energy: Battery</t>
  </si>
  <si>
    <t>Semiconductor: Materials</t>
  </si>
  <si>
    <t>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</si>
</sst>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_-[$$-409]* #,##0.00_ ;_-[$$-409]* \-#,##0.00\ ;_-[$$-409]* &quot;-&quot;??_ ;_-@_ "/>
    <numFmt numFmtId="165" formatCode="_([$$-409]* #,##0.00_);_([$$-409]* \(#,##0.00\);_([$$-409]* &quot;-&quot;??_);_(@_)"/>
    <numFmt numFmtId="166" formatCode="0.0000"/>
    <numFmt numFmtId="167" formatCode="_(&quot;$&quot;* #,##0.00000_);_(&quot;$&quot;* \(#,##0.00000\);_(&quot;$&quot;* &quot;-&quot;??_);_(@_)"/>
    <numFmt numFmtId="168" formatCode="_(&quot;$&quot;* #,##0.000000_);_(&quot;$&quot;* \(#,##0.000000\);_(&quot;$&quot;* &quot;-&quot;??_);_(@_)"/>
    <numFmt numFmtId="169" formatCode="_(* #,##0_);_(* \(#,##0\);_(* &quot;-&quot;??_);_(@_)"/>
    <numFmt numFmtId="170" formatCode="0.0000%"/>
    <numFmt numFmtId="171" formatCode="_(&quot;$&quot;* #,##0.000_);_(&quot;$&quot;* \(#,##0.000\);_(&quot;$&quot;* &quot;-&quot;??_);_(@_)"/>
    <numFmt numFmtId="172" formatCode="0.0%"/>
    <numFmt numFmtId="173" formatCode="_-* #,##0.00\ [$₫-42A]_-;\-* #,##0.00\ [$₫-42A]_-;_-* &quot;-&quot;??\ [$₫-42A]_-;_-@_-"/>
    <numFmt numFmtId="174" formatCode="_([$$-409]* #,##0_);_([$$-409]* \(#,##0\);_([$$-409]* &quot;-&quot;_);_(@_)"/>
  </numFmts>
  <fonts count="41">
    <font>
      <sz val="12"/>
      <color theme="1"/>
      <name val="Calibri"/>
      <family val="2"/>
      <scheme val="minor"/>
    </font>
    <font>
      <sz val="12"/>
      <color theme="1"/>
      <name val="Calibri"/>
      <family val="2"/>
      <scheme val="minor"/>
    </font>
    <font>
      <b/>
      <sz val="12"/>
      <color theme="0"/>
      <name val="Calibri"/>
      <family val="2"/>
      <scheme val="minor"/>
    </font>
    <font>
      <b/>
      <sz val="10"/>
      <color theme="0"/>
      <name val="Arial"/>
      <family val="2"/>
    </font>
    <font>
      <sz val="14"/>
      <color theme="1"/>
      <name val="Calibri"/>
      <family val="2"/>
      <scheme val="minor"/>
    </font>
    <font>
      <sz val="14"/>
      <color theme="0"/>
      <name val="Calibri"/>
      <family val="2"/>
      <scheme val="minor"/>
    </font>
    <font>
      <b/>
      <sz val="12"/>
      <color theme="1"/>
      <name val="Calibri"/>
      <family val="2"/>
      <scheme val="minor"/>
    </font>
    <font>
      <b/>
      <sz val="16"/>
      <color theme="0"/>
      <name val="Calibri"/>
      <family val="2"/>
      <scheme val="minor"/>
    </font>
    <font>
      <b/>
      <sz val="16"/>
      <color theme="1"/>
      <name val="Calibri"/>
      <family val="2"/>
      <scheme val="minor"/>
    </font>
    <font>
      <sz val="12"/>
      <color theme="0"/>
      <name val="Calibri"/>
      <family val="2"/>
      <scheme val="minor"/>
    </font>
    <font>
      <sz val="8"/>
      <name val="Calibri"/>
      <family val="2"/>
      <scheme val="minor"/>
    </font>
    <font>
      <b/>
      <sz val="14"/>
      <color theme="1"/>
      <name val="Calibri"/>
      <family val="2"/>
      <scheme val="minor"/>
    </font>
    <font>
      <b/>
      <sz val="26"/>
      <color theme="0"/>
      <name val="Calibri"/>
      <family val="2"/>
      <scheme val="minor"/>
    </font>
    <font>
      <sz val="12"/>
      <color theme="1" tint="0.34998626667073579"/>
      <name val="Calibri"/>
      <family val="2"/>
      <scheme val="minor"/>
    </font>
    <font>
      <b/>
      <sz val="26"/>
      <color rgb="FFFFFFFF"/>
      <name val="Calibri"/>
      <family val="2"/>
      <scheme val="minor"/>
    </font>
    <font>
      <sz val="12"/>
      <color theme="1"/>
      <name val="Arial"/>
      <family val="2"/>
    </font>
    <font>
      <sz val="12"/>
      <color rgb="FF0070C0"/>
      <name val="Calibri"/>
      <family val="2"/>
      <scheme val="minor"/>
    </font>
    <font>
      <b/>
      <sz val="12"/>
      <color rgb="FF0070C0"/>
      <name val="Calibri"/>
      <family val="2"/>
      <scheme val="minor"/>
    </font>
    <font>
      <sz val="16"/>
      <color theme="0"/>
      <name val="Calibri"/>
      <family val="2"/>
      <scheme val="minor"/>
    </font>
    <font>
      <sz val="12"/>
      <name val="Calibri"/>
      <family val="2"/>
      <scheme val="minor"/>
    </font>
    <font>
      <b/>
      <u/>
      <sz val="18"/>
      <color theme="7"/>
      <name val="Helvetica Bold"/>
    </font>
    <font>
      <b/>
      <u/>
      <sz val="18"/>
      <color rgb="FFFFC000"/>
      <name val="Helvetica Bold"/>
    </font>
    <font>
      <sz val="9"/>
      <name val="Calibri"/>
      <family val="2"/>
    </font>
    <font>
      <b/>
      <sz val="14"/>
      <color theme="4"/>
      <name val="Calibri"/>
      <family val="2"/>
      <scheme val="minor"/>
    </font>
    <font>
      <b/>
      <sz val="14"/>
      <color theme="7"/>
      <name val="Calibri"/>
      <family val="2"/>
      <scheme val="minor"/>
    </font>
    <font>
      <b/>
      <sz val="18"/>
      <color theme="7"/>
      <name val="Calibri"/>
      <family val="2"/>
      <scheme val="minor"/>
    </font>
    <font>
      <sz val="16"/>
      <color rgb="FF002060"/>
      <name val="Calibri"/>
      <family val="2"/>
      <scheme val="minor"/>
    </font>
    <font>
      <sz val="12"/>
      <color theme="7"/>
      <name val="Calibri"/>
      <family val="2"/>
      <scheme val="minor"/>
    </font>
    <font>
      <sz val="18"/>
      <color theme="7"/>
      <name val="Calibri"/>
      <family val="2"/>
      <scheme val="minor"/>
    </font>
    <font>
      <b/>
      <sz val="14"/>
      <color rgb="FF002060"/>
      <name val="Calibri"/>
      <family val="2"/>
      <scheme val="minor"/>
    </font>
    <font>
      <b/>
      <sz val="14"/>
      <name val="Calibri"/>
      <family val="2"/>
      <scheme val="minor"/>
    </font>
    <font>
      <sz val="14"/>
      <color theme="4" tint="0.39997558519241921"/>
      <name val="Calibri"/>
      <family val="2"/>
      <scheme val="minor"/>
    </font>
    <font>
      <sz val="11"/>
      <color rgb="FF0070C0"/>
      <name val="Calibri"/>
      <family val="2"/>
      <scheme val="minor"/>
    </font>
    <font>
      <sz val="11"/>
      <color theme="1"/>
      <name val="Calibri"/>
      <family val="2"/>
      <scheme val="minor"/>
    </font>
    <font>
      <sz val="14"/>
      <name val="Calibri"/>
      <family val="2"/>
      <scheme val="minor"/>
    </font>
    <font>
      <sz val="12"/>
      <color rgb="FF000000"/>
      <name val="Calibri"/>
      <family val="2"/>
      <scheme val="minor"/>
    </font>
    <font>
      <sz val="11"/>
      <name val="Calibri"/>
      <family val="2"/>
      <scheme val="minor"/>
    </font>
    <font>
      <b/>
      <sz val="14"/>
      <color theme="0"/>
      <name val="Calibri Light"/>
      <family val="2"/>
      <scheme val="major"/>
    </font>
    <font>
      <sz val="14"/>
      <color theme="0"/>
      <name val="Calibri Light"/>
      <family val="2"/>
      <scheme val="major"/>
    </font>
    <font>
      <sz val="14"/>
      <color theme="1"/>
      <name val="Calibri Light"/>
      <family val="2"/>
      <scheme val="major"/>
    </font>
    <font>
      <sz val="18"/>
      <color theme="0"/>
      <name val="Calibri"/>
      <family val="2"/>
      <scheme val="minor"/>
    </font>
  </fonts>
  <fills count="19">
    <fill>
      <patternFill patternType="none"/>
    </fill>
    <fill>
      <patternFill patternType="gray125"/>
    </fill>
    <fill>
      <patternFill patternType="solid">
        <fgColor rgb="FF002060"/>
        <bgColor indexed="64"/>
      </patternFill>
    </fill>
    <fill>
      <patternFill patternType="solid">
        <fgColor theme="9" tint="0.59999389629810485"/>
        <bgColor indexed="64"/>
      </patternFill>
    </fill>
    <fill>
      <patternFill patternType="solid">
        <fgColor theme="9"/>
        <bgColor indexed="64"/>
      </patternFill>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D0D0D"/>
        <bgColor rgb="FF000000"/>
      </patternFill>
    </fill>
    <fill>
      <patternFill patternType="solid">
        <fgColor theme="5"/>
        <bgColor indexed="64"/>
      </patternFill>
    </fill>
    <fill>
      <patternFill patternType="solid">
        <fgColor theme="1"/>
        <bgColor rgb="FF000000"/>
      </patternFill>
    </fill>
    <fill>
      <patternFill patternType="solid">
        <fgColor theme="4" tint="0.79998168889431442"/>
        <bgColor indexed="64"/>
      </patternFill>
    </fill>
    <fill>
      <patternFill patternType="solid">
        <fgColor rgb="FF7030A0"/>
        <bgColor indexed="64"/>
      </patternFill>
    </fill>
    <fill>
      <patternFill patternType="solid">
        <fgColor rgb="FFD9D9D9"/>
        <bgColor rgb="FFD9D9D9"/>
      </patternFill>
    </fill>
    <fill>
      <patternFill patternType="solid">
        <fgColor theme="5" tint="0.39997558519241921"/>
        <bgColor indexed="64"/>
      </patternFill>
    </fill>
  </fills>
  <borders count="21">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style="medium">
        <color indexed="64"/>
      </left>
      <right/>
      <top style="medium">
        <color indexed="64"/>
      </top>
      <bottom/>
      <diagonal/>
    </border>
    <border>
      <left/>
      <right style="medium">
        <color indexed="64"/>
      </right>
      <top style="medium">
        <color indexed="64"/>
      </top>
      <bottom/>
      <diagonal/>
    </border>
    <border>
      <left style="thin">
        <color theme="1"/>
      </left>
      <right style="thin">
        <color theme="1"/>
      </right>
      <top/>
      <bottom style="medium">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1"/>
      </bottom>
      <diagonal/>
    </border>
    <border>
      <left/>
      <right/>
      <top style="thin">
        <color theme="1"/>
      </top>
      <bottom style="thin">
        <color theme="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medium">
        <color theme="1"/>
      </bottom>
      <diagonal/>
    </border>
    <border>
      <left/>
      <right/>
      <top/>
      <bottom style="thin">
        <color theme="0"/>
      </bottom>
      <diagonal/>
    </border>
    <border>
      <left style="hair">
        <color theme="0"/>
      </left>
      <right style="hair">
        <color theme="0"/>
      </right>
      <top style="hair">
        <color theme="0"/>
      </top>
      <bottom style="hair">
        <color theme="0"/>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2" fillId="0" borderId="0"/>
    <xf numFmtId="0" fontId="22" fillId="0" borderId="0"/>
  </cellStyleXfs>
  <cellXfs count="254">
    <xf numFmtId="0" fontId="0" fillId="0" borderId="0" xfId="0"/>
    <xf numFmtId="14" fontId="0" fillId="0" borderId="0" xfId="0" applyNumberFormat="1"/>
    <xf numFmtId="15" fontId="0" fillId="0" borderId="0" xfId="0" applyNumberFormat="1"/>
    <xf numFmtId="0" fontId="0" fillId="0" borderId="0" xfId="0" applyAlignment="1">
      <alignment horizontal="left"/>
    </xf>
    <xf numFmtId="44" fontId="0" fillId="0" borderId="0" xfId="2" applyFont="1"/>
    <xf numFmtId="44" fontId="0" fillId="0" borderId="0" xfId="0" applyNumberFormat="1"/>
    <xf numFmtId="44" fontId="0" fillId="0" borderId="0" xfId="2" applyFont="1" applyAlignment="1">
      <alignment horizontal="left"/>
    </xf>
    <xf numFmtId="164" fontId="0" fillId="0" borderId="0" xfId="0" applyNumberFormat="1"/>
    <xf numFmtId="2" fontId="0" fillId="0" borderId="0" xfId="0" applyNumberFormat="1"/>
    <xf numFmtId="165" fontId="0" fillId="0" borderId="0" xfId="0" applyNumberFormat="1"/>
    <xf numFmtId="0" fontId="0" fillId="0" borderId="2" xfId="0" applyBorder="1"/>
    <xf numFmtId="0" fontId="5" fillId="0" borderId="0" xfId="0" applyFont="1"/>
    <xf numFmtId="0" fontId="6" fillId="0" borderId="0" xfId="0" applyFont="1"/>
    <xf numFmtId="0" fontId="0" fillId="0" borderId="0" xfId="0" applyAlignment="1">
      <alignment horizontal="center" vertical="center"/>
    </xf>
    <xf numFmtId="9" fontId="0" fillId="0" borderId="0" xfId="3" applyFont="1"/>
    <xf numFmtId="44" fontId="0" fillId="0" borderId="0" xfId="2" applyFont="1" applyFill="1"/>
    <xf numFmtId="0" fontId="11" fillId="0" borderId="0" xfId="0" applyFont="1"/>
    <xf numFmtId="168" fontId="0" fillId="0" borderId="0" xfId="2" applyNumberFormat="1" applyFont="1"/>
    <xf numFmtId="165" fontId="0" fillId="0" borderId="0" xfId="0" applyNumberFormat="1" applyAlignment="1">
      <alignment horizontal="center" vertical="center"/>
    </xf>
    <xf numFmtId="4" fontId="0" fillId="0" borderId="0" xfId="0" applyNumberFormat="1" applyAlignment="1">
      <alignment horizontal="center" vertical="center"/>
    </xf>
    <xf numFmtId="0" fontId="12" fillId="9" borderId="0" xfId="0" applyFont="1" applyFill="1" applyAlignment="1">
      <alignment horizontal="left"/>
    </xf>
    <xf numFmtId="0" fontId="0" fillId="7" borderId="0" xfId="0" applyFill="1"/>
    <xf numFmtId="44" fontId="0" fillId="10" borderId="0" xfId="2" applyFont="1" applyFill="1"/>
    <xf numFmtId="0" fontId="0" fillId="11" borderId="0" xfId="0" applyFill="1"/>
    <xf numFmtId="10" fontId="0" fillId="7" borderId="0" xfId="3" applyNumberFormat="1" applyFont="1" applyFill="1"/>
    <xf numFmtId="16" fontId="0" fillId="7" borderId="0" xfId="0" applyNumberFormat="1" applyFill="1"/>
    <xf numFmtId="44" fontId="0" fillId="7" borderId="0" xfId="2" applyFont="1" applyFill="1"/>
    <xf numFmtId="0" fontId="8" fillId="0" borderId="0" xfId="0" applyFont="1"/>
    <xf numFmtId="10" fontId="4" fillId="0" borderId="0" xfId="0" applyNumberFormat="1" applyFont="1" applyAlignment="1">
      <alignment horizontal="right" vertical="center"/>
    </xf>
    <xf numFmtId="0" fontId="11" fillId="0" borderId="0" xfId="0" applyFont="1" applyAlignment="1">
      <alignment horizontal="left"/>
    </xf>
    <xf numFmtId="166" fontId="0" fillId="0" borderId="0" xfId="0" applyNumberFormat="1"/>
    <xf numFmtId="16" fontId="0" fillId="7" borderId="0" xfId="2" applyNumberFormat="1" applyFont="1" applyFill="1"/>
    <xf numFmtId="1" fontId="0" fillId="7" borderId="0" xfId="0" applyNumberFormat="1" applyFill="1" applyAlignment="1">
      <alignment horizontal="center" vertical="center"/>
    </xf>
    <xf numFmtId="1" fontId="0" fillId="7" borderId="0" xfId="2" applyNumberFormat="1" applyFont="1" applyFill="1" applyAlignment="1">
      <alignment horizontal="center" vertical="center"/>
    </xf>
    <xf numFmtId="1" fontId="0" fillId="7" borderId="0" xfId="3" applyNumberFormat="1" applyFont="1" applyFill="1" applyAlignment="1">
      <alignment horizontal="center" vertical="center"/>
    </xf>
    <xf numFmtId="14" fontId="0" fillId="7" borderId="0" xfId="0" applyNumberFormat="1" applyFill="1"/>
    <xf numFmtId="44" fontId="0" fillId="0" borderId="0" xfId="2" applyFont="1" applyAlignment="1">
      <alignment horizontal="center" vertical="center"/>
    </xf>
    <xf numFmtId="43" fontId="0" fillId="0" borderId="0" xfId="0" applyNumberFormat="1" applyAlignment="1">
      <alignment horizontal="center" vertical="center"/>
    </xf>
    <xf numFmtId="170" fontId="0" fillId="0" borderId="0" xfId="3" applyNumberFormat="1" applyFont="1" applyAlignment="1">
      <alignment horizontal="center" vertical="center"/>
    </xf>
    <xf numFmtId="10" fontId="0" fillId="0" borderId="0" xfId="3" applyNumberFormat="1" applyFont="1" applyAlignment="1">
      <alignment horizontal="center" vertical="center"/>
    </xf>
    <xf numFmtId="169" fontId="8" fillId="0" borderId="0" xfId="1" applyNumberFormat="1" applyFont="1" applyBorder="1"/>
    <xf numFmtId="10" fontId="1" fillId="0" borderId="0" xfId="3" applyNumberFormat="1" applyFont="1" applyBorder="1"/>
    <xf numFmtId="44" fontId="1" fillId="0" borderId="0" xfId="2" applyFont="1" applyBorder="1"/>
    <xf numFmtId="169" fontId="1" fillId="0" borderId="0" xfId="1" applyNumberFormat="1" applyFont="1" applyBorder="1" applyAlignment="1">
      <alignment horizontal="right" vertical="center"/>
    </xf>
    <xf numFmtId="10" fontId="13" fillId="7" borderId="0" xfId="3" applyNumberFormat="1" applyFont="1" applyFill="1" applyBorder="1" applyAlignment="1">
      <alignment horizontal="center" vertical="center"/>
    </xf>
    <xf numFmtId="0" fontId="13" fillId="7" borderId="0" xfId="0" applyFont="1" applyFill="1" applyAlignment="1">
      <alignment horizontal="left" vertical="top"/>
    </xf>
    <xf numFmtId="14" fontId="6" fillId="0" borderId="6" xfId="0" applyNumberFormat="1" applyFont="1" applyBorder="1"/>
    <xf numFmtId="0" fontId="6" fillId="0" borderId="6" xfId="0" applyFont="1" applyBorder="1"/>
    <xf numFmtId="44" fontId="6" fillId="0" borderId="6" xfId="2" applyFont="1" applyFill="1" applyBorder="1"/>
    <xf numFmtId="2" fontId="6" fillId="0" borderId="6" xfId="0" applyNumberFormat="1" applyFont="1" applyBorder="1" applyAlignment="1">
      <alignment vertical="center"/>
    </xf>
    <xf numFmtId="2" fontId="0" fillId="0" borderId="0" xfId="0" applyNumberFormat="1" applyAlignment="1">
      <alignment vertical="center"/>
    </xf>
    <xf numFmtId="2" fontId="0" fillId="0" borderId="0" xfId="3" applyNumberFormat="1" applyFont="1" applyAlignment="1">
      <alignment horizontal="center" vertical="center"/>
    </xf>
    <xf numFmtId="0" fontId="14" fillId="12" borderId="0" xfId="0" applyFont="1" applyFill="1" applyAlignment="1">
      <alignment horizontal="left"/>
    </xf>
    <xf numFmtId="44" fontId="0" fillId="0" borderId="0" xfId="2" applyFont="1" applyFill="1" applyBorder="1"/>
    <xf numFmtId="0" fontId="2" fillId="0" borderId="0" xfId="0" applyFont="1" applyAlignment="1">
      <alignment horizontal="center" vertical="center"/>
    </xf>
    <xf numFmtId="0" fontId="3" fillId="0" borderId="0" xfId="0" applyFont="1" applyAlignment="1">
      <alignment horizontal="center" vertical="center"/>
    </xf>
    <xf numFmtId="49" fontId="0" fillId="0" borderId="0" xfId="0" applyNumberFormat="1"/>
    <xf numFmtId="0" fontId="7" fillId="5" borderId="0" xfId="0" applyFont="1" applyFill="1"/>
    <xf numFmtId="167" fontId="0" fillId="0" borderId="0" xfId="2" applyNumberFormat="1" applyFont="1" applyFill="1" applyBorder="1"/>
    <xf numFmtId="167" fontId="0" fillId="0" borderId="0" xfId="0" applyNumberFormat="1"/>
    <xf numFmtId="168" fontId="0" fillId="0" borderId="0" xfId="2" applyNumberFormat="1" applyFont="1" applyFill="1" applyBorder="1"/>
    <xf numFmtId="2" fontId="0" fillId="3" borderId="0" xfId="0" applyNumberFormat="1" applyFill="1"/>
    <xf numFmtId="0" fontId="15" fillId="0" borderId="0" xfId="0" applyFont="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9" xfId="0" applyFont="1" applyBorder="1" applyAlignment="1">
      <alignment horizontal="center" vertical="center"/>
    </xf>
    <xf numFmtId="2" fontId="0" fillId="8" borderId="0" xfId="0" applyNumberFormat="1" applyFill="1"/>
    <xf numFmtId="2" fontId="0" fillId="8" borderId="0" xfId="2" applyNumberFormat="1" applyFont="1" applyFill="1" applyBorder="1"/>
    <xf numFmtId="14" fontId="0" fillId="0" borderId="0" xfId="0" applyNumberFormat="1" applyAlignment="1">
      <alignment horizontal="center" vertical="center"/>
    </xf>
    <xf numFmtId="0" fontId="6" fillId="0" borderId="7" xfId="0" applyFont="1" applyBorder="1"/>
    <xf numFmtId="44" fontId="4" fillId="0" borderId="9" xfId="0" applyNumberFormat="1" applyFont="1" applyBorder="1"/>
    <xf numFmtId="168" fontId="17" fillId="0" borderId="0" xfId="2" applyNumberFormat="1" applyFont="1"/>
    <xf numFmtId="168" fontId="2" fillId="5" borderId="0" xfId="2" applyNumberFormat="1" applyFont="1" applyFill="1"/>
    <xf numFmtId="43" fontId="0" fillId="0" borderId="0" xfId="1" applyFont="1"/>
    <xf numFmtId="43" fontId="0" fillId="0" borderId="0" xfId="1" applyFont="1" applyFill="1" applyBorder="1"/>
    <xf numFmtId="167" fontId="0" fillId="0" borderId="0" xfId="2" applyNumberFormat="1" applyFont="1" applyFill="1"/>
    <xf numFmtId="168" fontId="0" fillId="0" borderId="0" xfId="2" applyNumberFormat="1" applyFont="1" applyFill="1"/>
    <xf numFmtId="43" fontId="0" fillId="0" borderId="0" xfId="1" applyFont="1" applyAlignment="1">
      <alignment horizontal="center" vertical="center"/>
    </xf>
    <xf numFmtId="43" fontId="6" fillId="0" borderId="6" xfId="1" applyFont="1" applyBorder="1"/>
    <xf numFmtId="0" fontId="18" fillId="2" borderId="0" xfId="0" applyFont="1" applyFill="1" applyAlignment="1">
      <alignment horizontal="center"/>
    </xf>
    <xf numFmtId="0" fontId="9" fillId="13" borderId="0" xfId="0" applyFont="1" applyFill="1" applyAlignment="1">
      <alignment horizontal="center" vertical="center"/>
    </xf>
    <xf numFmtId="43" fontId="0" fillId="7" borderId="0" xfId="1" applyFont="1" applyFill="1"/>
    <xf numFmtId="164" fontId="0" fillId="0" borderId="0" xfId="0" applyNumberFormat="1" applyAlignment="1">
      <alignment horizontal="left"/>
    </xf>
    <xf numFmtId="0" fontId="16" fillId="0" borderId="0" xfId="0" applyFont="1" applyAlignment="1">
      <alignment horizontal="center" vertical="center"/>
    </xf>
    <xf numFmtId="9" fontId="0" fillId="0" borderId="0" xfId="3" applyFont="1" applyAlignment="1">
      <alignment horizontal="center" vertical="center"/>
    </xf>
    <xf numFmtId="43" fontId="0" fillId="6" borderId="0" xfId="1" applyFont="1" applyFill="1"/>
    <xf numFmtId="44" fontId="6" fillId="0" borderId="6" xfId="2" applyFont="1" applyBorder="1"/>
    <xf numFmtId="2" fontId="6" fillId="0" borderId="6" xfId="1" applyNumberFormat="1" applyFont="1" applyBorder="1"/>
    <xf numFmtId="2" fontId="0" fillId="11" borderId="0" xfId="1" applyNumberFormat="1" applyFont="1" applyFill="1"/>
    <xf numFmtId="2" fontId="6" fillId="0" borderId="6" xfId="0" applyNumberFormat="1" applyFont="1" applyBorder="1"/>
    <xf numFmtId="171" fontId="0" fillId="0" borderId="0" xfId="2" applyNumberFormat="1" applyFont="1"/>
    <xf numFmtId="171" fontId="0" fillId="0" borderId="0" xfId="2" applyNumberFormat="1" applyFont="1" applyFill="1" applyBorder="1"/>
    <xf numFmtId="165" fontId="0" fillId="0" borderId="0" xfId="3" applyNumberFormat="1" applyFont="1" applyAlignment="1">
      <alignment horizontal="center" vertical="center"/>
    </xf>
    <xf numFmtId="0" fontId="20" fillId="5" borderId="0" xfId="0" applyFont="1" applyFill="1" applyAlignment="1">
      <alignment horizontal="center" wrapText="1"/>
    </xf>
    <xf numFmtId="0" fontId="20" fillId="0" borderId="0" xfId="0" applyFont="1" applyAlignment="1">
      <alignment horizontal="center" wrapText="1"/>
    </xf>
    <xf numFmtId="166" fontId="0" fillId="10" borderId="0" xfId="2" applyNumberFormat="1" applyFont="1" applyFill="1"/>
    <xf numFmtId="9" fontId="19" fillId="0" borderId="0" xfId="3" applyFont="1" applyAlignment="1">
      <alignment horizontal="center" vertical="center"/>
    </xf>
    <xf numFmtId="44" fontId="0" fillId="0" borderId="0" xfId="2" applyFont="1" applyBorder="1"/>
    <xf numFmtId="172" fontId="0" fillId="0" borderId="0" xfId="3" applyNumberFormat="1" applyFont="1" applyAlignment="1">
      <alignment horizontal="center" vertical="center"/>
    </xf>
    <xf numFmtId="166" fontId="0" fillId="0" borderId="0" xfId="2" applyNumberFormat="1" applyFont="1" applyFill="1"/>
    <xf numFmtId="1" fontId="0" fillId="0" borderId="0" xfId="1" applyNumberFormat="1" applyFont="1"/>
    <xf numFmtId="1" fontId="0" fillId="0" borderId="0" xfId="1" applyNumberFormat="1" applyFont="1" applyAlignment="1">
      <alignment horizontal="center" vertical="center"/>
    </xf>
    <xf numFmtId="44" fontId="11" fillId="0" borderId="0" xfId="2" applyFont="1" applyFill="1" applyBorder="1"/>
    <xf numFmtId="0" fontId="6" fillId="0" borderId="10" xfId="0" applyFont="1" applyBorder="1"/>
    <xf numFmtId="44" fontId="6" fillId="0" borderId="10" xfId="2" applyFont="1" applyFill="1" applyBorder="1"/>
    <xf numFmtId="44" fontId="0" fillId="0" borderId="0" xfId="2" applyFont="1" applyFill="1" applyBorder="1" applyAlignment="1">
      <alignment horizontal="center" vertical="center"/>
    </xf>
    <xf numFmtId="9" fontId="0" fillId="0" borderId="0" xfId="3" applyFont="1" applyFill="1" applyBorder="1" applyAlignment="1">
      <alignment horizontal="center" vertical="center"/>
    </xf>
    <xf numFmtId="9" fontId="6" fillId="0" borderId="10" xfId="3" applyFont="1" applyFill="1" applyBorder="1"/>
    <xf numFmtId="44" fontId="0" fillId="0" borderId="0" xfId="0" applyNumberFormat="1" applyAlignment="1">
      <alignment horizontal="center" vertical="center"/>
    </xf>
    <xf numFmtId="0" fontId="0" fillId="7" borderId="0" xfId="0" applyFill="1" applyAlignment="1">
      <alignment horizontal="center"/>
    </xf>
    <xf numFmtId="0" fontId="0" fillId="7" borderId="0" xfId="0" applyFill="1" applyAlignment="1">
      <alignment horizontal="center" vertical="center"/>
    </xf>
    <xf numFmtId="0" fontId="0" fillId="7" borderId="0" xfId="0" applyFill="1" applyAlignment="1">
      <alignment horizontal="left" vertical="center"/>
    </xf>
    <xf numFmtId="0" fontId="0" fillId="7" borderId="0" xfId="0" applyFill="1" applyAlignment="1">
      <alignment horizontal="left"/>
    </xf>
    <xf numFmtId="1" fontId="0" fillId="7" borderId="0" xfId="3" applyNumberFormat="1" applyFont="1" applyFill="1" applyAlignment="1">
      <alignment horizontal="left" vertical="center"/>
    </xf>
    <xf numFmtId="0" fontId="20" fillId="5" borderId="0" xfId="0" applyFont="1" applyFill="1" applyAlignment="1">
      <alignment vertical="center" wrapText="1"/>
    </xf>
    <xf numFmtId="0" fontId="20" fillId="0" borderId="0" xfId="0" applyFont="1" applyAlignment="1">
      <alignment vertical="center" wrapText="1"/>
    </xf>
    <xf numFmtId="0" fontId="0" fillId="5" borderId="0" xfId="0" applyFill="1"/>
    <xf numFmtId="0" fontId="21" fillId="14" borderId="0" xfId="0" applyFont="1" applyFill="1" applyAlignment="1">
      <alignment horizontal="center" vertical="center" wrapText="1"/>
    </xf>
    <xf numFmtId="14" fontId="0" fillId="13" borderId="0" xfId="0" applyNumberFormat="1" applyFill="1"/>
    <xf numFmtId="0" fontId="0" fillId="13" borderId="0" xfId="0" applyFill="1" applyAlignment="1">
      <alignment horizontal="left" vertical="center"/>
    </xf>
    <xf numFmtId="1" fontId="0" fillId="13" borderId="0" xfId="3" applyNumberFormat="1" applyFont="1" applyFill="1" applyAlignment="1">
      <alignment horizontal="center" vertical="center"/>
    </xf>
    <xf numFmtId="0" fontId="13" fillId="7" borderId="0" xfId="0" applyFont="1" applyFill="1" applyAlignment="1">
      <alignment horizontal="center" vertical="center"/>
    </xf>
    <xf numFmtId="0" fontId="7" fillId="5" borderId="0" xfId="0" applyFont="1" applyFill="1" applyAlignment="1">
      <alignment horizontal="left"/>
    </xf>
    <xf numFmtId="10" fontId="18" fillId="5" borderId="0" xfId="0" applyNumberFormat="1" applyFont="1" applyFill="1" applyAlignment="1">
      <alignment horizontal="right" vertical="center"/>
    </xf>
    <xf numFmtId="0" fontId="18" fillId="5" borderId="0" xfId="0" applyFont="1" applyFill="1"/>
    <xf numFmtId="44" fontId="18" fillId="5" borderId="0" xfId="2" applyFont="1" applyFill="1"/>
    <xf numFmtId="165" fontId="18" fillId="5" borderId="0" xfId="0" applyNumberFormat="1" applyFont="1" applyFill="1"/>
    <xf numFmtId="44" fontId="18" fillId="5" borderId="0" xfId="0" applyNumberFormat="1" applyFont="1" applyFill="1"/>
    <xf numFmtId="44" fontId="0" fillId="0" borderId="0" xfId="2" applyFont="1" applyFill="1" applyAlignment="1">
      <alignment horizontal="center" vertical="center"/>
    </xf>
    <xf numFmtId="9" fontId="0" fillId="0" borderId="0" xfId="3" applyFont="1" applyFill="1" applyAlignment="1">
      <alignment horizontal="center" vertical="center"/>
    </xf>
    <xf numFmtId="0" fontId="11" fillId="0" borderId="4" xfId="0" applyFont="1" applyBorder="1"/>
    <xf numFmtId="0" fontId="11" fillId="0" borderId="16" xfId="0" applyFont="1" applyBorder="1" applyAlignment="1">
      <alignment horizontal="center" vertical="center"/>
    </xf>
    <xf numFmtId="0" fontId="11" fillId="0" borderId="5" xfId="0" applyFont="1" applyBorder="1" applyAlignment="1">
      <alignment horizontal="center" vertical="center"/>
    </xf>
    <xf numFmtId="0" fontId="11" fillId="0" borderId="12" xfId="0" applyFont="1" applyBorder="1"/>
    <xf numFmtId="44" fontId="4" fillId="4" borderId="0" xfId="2" applyFont="1" applyFill="1" applyBorder="1"/>
    <xf numFmtId="44" fontId="4" fillId="4" borderId="0" xfId="0" applyNumberFormat="1" applyFont="1" applyFill="1"/>
    <xf numFmtId="44" fontId="4" fillId="4" borderId="13" xfId="0" applyNumberFormat="1" applyFont="1" applyFill="1" applyBorder="1"/>
    <xf numFmtId="44" fontId="4" fillId="15" borderId="0" xfId="0" applyNumberFormat="1" applyFont="1" applyFill="1"/>
    <xf numFmtId="44" fontId="4" fillId="15" borderId="0" xfId="2" applyFont="1" applyFill="1" applyBorder="1"/>
    <xf numFmtId="44" fontId="4" fillId="15" borderId="13" xfId="0" applyNumberFormat="1" applyFont="1" applyFill="1" applyBorder="1"/>
    <xf numFmtId="0" fontId="11" fillId="0" borderId="14" xfId="0" applyFont="1" applyBorder="1"/>
    <xf numFmtId="44" fontId="4" fillId="6" borderId="17" xfId="0" applyNumberFormat="1" applyFont="1" applyFill="1" applyBorder="1"/>
    <xf numFmtId="44" fontId="4" fillId="6" borderId="15" xfId="0" applyNumberFormat="1" applyFont="1" applyFill="1" applyBorder="1"/>
    <xf numFmtId="0" fontId="0" fillId="0" borderId="19" xfId="0" applyBorder="1"/>
    <xf numFmtId="0" fontId="9" fillId="2" borderId="20" xfId="0" applyFont="1" applyFill="1" applyBorder="1" applyAlignment="1">
      <alignment horizontal="center" vertical="center"/>
    </xf>
    <xf numFmtId="9" fontId="9" fillId="2" borderId="20" xfId="3" applyFont="1" applyFill="1" applyBorder="1" applyAlignment="1">
      <alignment horizontal="center" vertical="center"/>
    </xf>
    <xf numFmtId="44" fontId="6" fillId="0" borderId="0" xfId="0" applyNumberFormat="1" applyFont="1"/>
    <xf numFmtId="0" fontId="0" fillId="0" borderId="0" xfId="0" applyAlignment="1">
      <alignment horizontal="center"/>
    </xf>
    <xf numFmtId="166" fontId="0" fillId="0" borderId="0" xfId="2" applyNumberFormat="1" applyFont="1"/>
    <xf numFmtId="0" fontId="0" fillId="2" borderId="0" xfId="0" applyFill="1"/>
    <xf numFmtId="0" fontId="24" fillId="0" borderId="0" xfId="0" applyFont="1"/>
    <xf numFmtId="16" fontId="24" fillId="0" borderId="0" xfId="0" applyNumberFormat="1" applyFont="1"/>
    <xf numFmtId="14" fontId="23" fillId="2" borderId="0" xfId="0" applyNumberFormat="1" applyFont="1" applyFill="1" applyAlignment="1">
      <alignment horizontal="center" vertical="center"/>
    </xf>
    <xf numFmtId="0" fontId="25" fillId="2" borderId="0" xfId="0" applyFont="1" applyFill="1"/>
    <xf numFmtId="0" fontId="26" fillId="0" borderId="0" xfId="0" applyFont="1" applyAlignment="1">
      <alignment horizontal="left" indent="2"/>
    </xf>
    <xf numFmtId="0" fontId="27" fillId="2" borderId="0" xfId="0" applyFont="1" applyFill="1"/>
    <xf numFmtId="1" fontId="1" fillId="7" borderId="0" xfId="0" applyNumberFormat="1" applyFont="1" applyFill="1" applyAlignment="1">
      <alignment horizontal="center" vertical="center"/>
    </xf>
    <xf numFmtId="44" fontId="1" fillId="7" borderId="0" xfId="0" applyNumberFormat="1" applyFont="1" applyFill="1"/>
    <xf numFmtId="10" fontId="1" fillId="7" borderId="0" xfId="0" applyNumberFormat="1" applyFont="1" applyFill="1"/>
    <xf numFmtId="44" fontId="1" fillId="10" borderId="0" xfId="0" applyNumberFormat="1" applyFont="1" applyFill="1"/>
    <xf numFmtId="44" fontId="1" fillId="0" borderId="0" xfId="0" applyNumberFormat="1" applyFont="1"/>
    <xf numFmtId="0" fontId="24" fillId="2" borderId="0" xfId="0" applyFont="1" applyFill="1" applyAlignment="1">
      <alignment horizontal="right"/>
    </xf>
    <xf numFmtId="0" fontId="28" fillId="2" borderId="0" xfId="0" applyFont="1" applyFill="1"/>
    <xf numFmtId="0" fontId="6" fillId="0" borderId="18" xfId="0" applyFont="1" applyBorder="1"/>
    <xf numFmtId="44" fontId="6" fillId="0" borderId="18" xfId="2" applyFont="1" applyFill="1" applyBorder="1"/>
    <xf numFmtId="9" fontId="6" fillId="0" borderId="18" xfId="3" applyFont="1" applyFill="1" applyBorder="1" applyAlignment="1">
      <alignment horizontal="center"/>
    </xf>
    <xf numFmtId="166" fontId="0" fillId="0" borderId="11" xfId="0" applyNumberFormat="1" applyBorder="1"/>
    <xf numFmtId="44" fontId="0" fillId="0" borderId="10" xfId="2" applyFont="1" applyFill="1" applyBorder="1"/>
    <xf numFmtId="9" fontId="0" fillId="0" borderId="0" xfId="3" applyFont="1" applyFill="1" applyBorder="1" applyAlignment="1">
      <alignment horizontal="center"/>
    </xf>
    <xf numFmtId="9" fontId="0" fillId="0" borderId="0" xfId="3" applyFont="1" applyFill="1" applyAlignment="1">
      <alignment horizontal="center"/>
    </xf>
    <xf numFmtId="44" fontId="0" fillId="0" borderId="11" xfId="2" applyFont="1" applyFill="1" applyBorder="1"/>
    <xf numFmtId="166" fontId="0" fillId="0" borderId="3" xfId="0" applyNumberFormat="1" applyBorder="1"/>
    <xf numFmtId="44" fontId="0" fillId="0" borderId="3" xfId="2" applyFont="1" applyFill="1" applyBorder="1"/>
    <xf numFmtId="0" fontId="26" fillId="0" borderId="1" xfId="0" applyFont="1" applyBorder="1" applyAlignment="1">
      <alignment horizontal="left" indent="2"/>
    </xf>
    <xf numFmtId="0" fontId="9" fillId="16" borderId="0" xfId="0" applyFont="1" applyFill="1"/>
    <xf numFmtId="0" fontId="27" fillId="0" borderId="0" xfId="0" applyFont="1"/>
    <xf numFmtId="0" fontId="28" fillId="0" borderId="0" xfId="0" applyFont="1"/>
    <xf numFmtId="44" fontId="29" fillId="0" borderId="2" xfId="2" applyFont="1" applyFill="1" applyBorder="1"/>
    <xf numFmtId="44" fontId="6" fillId="0" borderId="10" xfId="2" applyFont="1" applyFill="1" applyBorder="1" applyAlignment="1">
      <alignment horizontal="center" vertical="center"/>
    </xf>
    <xf numFmtId="165" fontId="0" fillId="0" borderId="0" xfId="2" applyNumberFormat="1" applyFont="1"/>
    <xf numFmtId="14" fontId="0" fillId="7" borderId="0" xfId="0" applyNumberFormat="1" applyFill="1" applyAlignment="1">
      <alignment horizontal="center"/>
    </xf>
    <xf numFmtId="14" fontId="0" fillId="13" borderId="0" xfId="0" applyNumberFormat="1" applyFill="1" applyAlignment="1">
      <alignment horizontal="center"/>
    </xf>
    <xf numFmtId="16" fontId="28" fillId="2" borderId="0" xfId="0" applyNumberFormat="1" applyFont="1" applyFill="1"/>
    <xf numFmtId="14" fontId="0" fillId="0" borderId="0" xfId="0" applyNumberFormat="1" applyAlignment="1">
      <alignment horizontal="center"/>
    </xf>
    <xf numFmtId="14" fontId="0" fillId="0" borderId="0" xfId="2" applyNumberFormat="1" applyFont="1"/>
    <xf numFmtId="44" fontId="0" fillId="0" borderId="0" xfId="0" applyNumberFormat="1" applyAlignment="1">
      <alignment horizontal="center"/>
    </xf>
    <xf numFmtId="14" fontId="31" fillId="2" borderId="0" xfId="0" applyNumberFormat="1" applyFont="1" applyFill="1"/>
    <xf numFmtId="44" fontId="0" fillId="6" borderId="0" xfId="2" applyFont="1" applyFill="1"/>
    <xf numFmtId="44" fontId="0" fillId="11" borderId="0" xfId="2" applyFont="1" applyFill="1"/>
    <xf numFmtId="0" fontId="0" fillId="0" borderId="0" xfId="2" applyNumberFormat="1" applyFont="1" applyAlignment="1">
      <alignment horizontal="center" vertical="center"/>
    </xf>
    <xf numFmtId="0" fontId="32" fillId="7" borderId="0" xfId="0" applyFont="1" applyFill="1" applyAlignment="1">
      <alignment horizontal="center" vertical="center"/>
    </xf>
    <xf numFmtId="0" fontId="18" fillId="5" borderId="20" xfId="0" applyFont="1" applyFill="1" applyBorder="1" applyAlignment="1">
      <alignment horizontal="center" vertical="center"/>
    </xf>
    <xf numFmtId="9" fontId="18" fillId="5" borderId="20" xfId="0" applyNumberFormat="1" applyFont="1" applyFill="1" applyBorder="1" applyAlignment="1">
      <alignment horizontal="center" vertical="center"/>
    </xf>
    <xf numFmtId="44" fontId="18" fillId="5" borderId="20" xfId="0" applyNumberFormat="1" applyFont="1" applyFill="1" applyBorder="1" applyAlignment="1">
      <alignment horizontal="center" vertical="center"/>
    </xf>
    <xf numFmtId="0" fontId="33" fillId="0" borderId="0" xfId="0" applyFont="1"/>
    <xf numFmtId="44" fontId="8" fillId="0" borderId="2" xfId="0" applyNumberFormat="1" applyFont="1" applyBorder="1"/>
    <xf numFmtId="9" fontId="0" fillId="0" borderId="0" xfId="2" applyNumberFormat="1" applyFont="1" applyFill="1" applyAlignment="1">
      <alignment horizontal="center" vertical="center"/>
    </xf>
    <xf numFmtId="9" fontId="0" fillId="0" borderId="0" xfId="0" applyNumberFormat="1" applyAlignment="1">
      <alignment horizontal="center" vertical="center"/>
    </xf>
    <xf numFmtId="0" fontId="32" fillId="0" borderId="0" xfId="0" applyFont="1" applyAlignment="1">
      <alignment horizontal="center" vertical="center"/>
    </xf>
    <xf numFmtId="9" fontId="0" fillId="0" borderId="0" xfId="3" applyFont="1" applyAlignment="1">
      <alignment horizontal="center"/>
    </xf>
    <xf numFmtId="0" fontId="30" fillId="0" borderId="2" xfId="0" applyFont="1" applyBorder="1"/>
    <xf numFmtId="14" fontId="0" fillId="11" borderId="0" xfId="0" applyNumberFormat="1" applyFill="1" applyAlignment="1">
      <alignment horizontal="center"/>
    </xf>
    <xf numFmtId="0" fontId="5" fillId="0" borderId="0" xfId="0" applyFont="1" applyAlignment="1">
      <alignment horizontal="center"/>
    </xf>
    <xf numFmtId="10" fontId="0" fillId="0" borderId="0" xfId="0" applyNumberFormat="1" applyAlignment="1">
      <alignment horizontal="center"/>
    </xf>
    <xf numFmtId="10" fontId="0" fillId="0" borderId="0" xfId="2" applyNumberFormat="1" applyFont="1" applyAlignment="1">
      <alignment horizontal="center"/>
    </xf>
    <xf numFmtId="10" fontId="34" fillId="0" borderId="0" xfId="0" applyNumberFormat="1" applyFont="1" applyAlignment="1">
      <alignment horizontal="center"/>
    </xf>
    <xf numFmtId="10" fontId="19" fillId="0" borderId="0" xfId="0" applyNumberFormat="1" applyFont="1" applyAlignment="1">
      <alignment horizontal="center"/>
    </xf>
    <xf numFmtId="10" fontId="19" fillId="0" borderId="0" xfId="2" applyNumberFormat="1" applyFont="1" applyAlignment="1">
      <alignment horizontal="center"/>
    </xf>
    <xf numFmtId="44" fontId="6" fillId="0" borderId="0" xfId="2" applyFont="1" applyAlignment="1">
      <alignment horizontal="center" vertical="center"/>
    </xf>
    <xf numFmtId="44" fontId="4" fillId="0" borderId="0" xfId="2" applyFont="1" applyAlignment="1">
      <alignment horizontal="center" vertical="center"/>
    </xf>
    <xf numFmtId="10" fontId="0" fillId="0" borderId="0" xfId="2" applyNumberFormat="1" applyFont="1" applyAlignment="1">
      <alignment horizontal="center" vertical="center"/>
    </xf>
    <xf numFmtId="0" fontId="2" fillId="16" borderId="0" xfId="0" applyFont="1" applyFill="1" applyAlignment="1">
      <alignment horizontal="left"/>
    </xf>
    <xf numFmtId="44" fontId="9" fillId="16" borderId="0" xfId="2" applyFont="1" applyFill="1"/>
    <xf numFmtId="44" fontId="0" fillId="0" borderId="0" xfId="2" applyFont="1" applyAlignment="1">
      <alignment horizontal="center"/>
    </xf>
    <xf numFmtId="14" fontId="0" fillId="0" borderId="0" xfId="2" applyNumberFormat="1" applyFont="1" applyAlignment="1">
      <alignment horizontal="center" vertical="center"/>
    </xf>
    <xf numFmtId="44" fontId="5" fillId="5" borderId="0" xfId="2" applyFont="1" applyFill="1"/>
    <xf numFmtId="14" fontId="0" fillId="8" borderId="0" xfId="0" applyNumberFormat="1" applyFill="1" applyAlignment="1">
      <alignment horizontal="center"/>
    </xf>
    <xf numFmtId="0" fontId="33" fillId="17" borderId="0" xfId="0" applyFont="1" applyFill="1"/>
    <xf numFmtId="0" fontId="35" fillId="17" borderId="0" xfId="0" applyFont="1" applyFill="1"/>
    <xf numFmtId="0" fontId="36" fillId="0" borderId="0" xfId="0" applyFont="1"/>
    <xf numFmtId="0" fontId="36" fillId="0" borderId="0" xfId="0" applyFont="1" applyAlignment="1">
      <alignment horizontal="center" vertical="center"/>
    </xf>
    <xf numFmtId="44" fontId="36" fillId="0" borderId="0" xfId="2" applyFont="1"/>
    <xf numFmtId="9" fontId="36" fillId="0" borderId="0" xfId="3" applyFont="1"/>
    <xf numFmtId="44" fontId="36" fillId="6" borderId="0" xfId="2" applyFont="1" applyFill="1"/>
    <xf numFmtId="165" fontId="36" fillId="0" borderId="0" xfId="2" applyNumberFormat="1" applyFont="1"/>
    <xf numFmtId="44" fontId="36" fillId="11" borderId="0" xfId="2" applyFont="1" applyFill="1"/>
    <xf numFmtId="44" fontId="36" fillId="0" borderId="0" xfId="2" applyFont="1" applyAlignment="1">
      <alignment horizontal="center" vertical="center"/>
    </xf>
    <xf numFmtId="14" fontId="36" fillId="0" borderId="0" xfId="0" applyNumberFormat="1" applyFont="1" applyAlignment="1">
      <alignment horizontal="center"/>
    </xf>
    <xf numFmtId="0" fontId="36" fillId="0" borderId="0" xfId="2" applyNumberFormat="1" applyFont="1" applyAlignment="1">
      <alignment horizontal="center" vertical="center"/>
    </xf>
    <xf numFmtId="10" fontId="36" fillId="0" borderId="0" xfId="2" applyNumberFormat="1" applyFont="1" applyAlignment="1">
      <alignment horizontal="center"/>
    </xf>
    <xf numFmtId="14" fontId="0" fillId="18" borderId="0" xfId="0" applyNumberFormat="1" applyFill="1" applyAlignment="1">
      <alignment horizontal="center"/>
    </xf>
    <xf numFmtId="14" fontId="0" fillId="6" borderId="0" xfId="0" applyNumberFormat="1" applyFill="1" applyAlignment="1">
      <alignment horizontal="center"/>
    </xf>
    <xf numFmtId="0" fontId="37" fillId="2" borderId="0" xfId="0" applyFont="1" applyFill="1" applyAlignment="1">
      <alignment horizontal="center" vertical="center"/>
    </xf>
    <xf numFmtId="0" fontId="38" fillId="2" borderId="0" xfId="0" applyFont="1" applyFill="1" applyAlignment="1">
      <alignment horizontal="center" vertical="center"/>
    </xf>
    <xf numFmtId="0" fontId="39" fillId="0" borderId="0" xfId="0" applyFont="1"/>
    <xf numFmtId="14" fontId="0" fillId="0" borderId="0" xfId="3" applyNumberFormat="1" applyFont="1" applyAlignment="1">
      <alignment horizontal="center" vertical="center"/>
    </xf>
    <xf numFmtId="0" fontId="30" fillId="0" borderId="0" xfId="0" applyFont="1"/>
    <xf numFmtId="44" fontId="29" fillId="0" borderId="0" xfId="2" applyFont="1" applyFill="1" applyBorder="1"/>
    <xf numFmtId="173" fontId="0" fillId="7" borderId="0" xfId="2" applyNumberFormat="1" applyFont="1" applyFill="1"/>
    <xf numFmtId="3" fontId="0" fillId="0" borderId="0" xfId="0" applyNumberFormat="1"/>
    <xf numFmtId="174" fontId="0" fillId="0" borderId="0" xfId="0" applyNumberFormat="1"/>
    <xf numFmtId="4" fontId="0" fillId="0" borderId="0" xfId="0" applyNumberFormat="1"/>
    <xf numFmtId="0" fontId="40" fillId="5" borderId="0" xfId="0" applyFont="1" applyFill="1"/>
    <xf numFmtId="0" fontId="9" fillId="5" borderId="0" xfId="0" applyFont="1" applyFill="1"/>
    <xf numFmtId="0" fontId="35" fillId="17" borderId="0" xfId="0" applyFont="1" applyFill="1" applyAlignment="1">
      <alignment horizontal="center" vertical="center"/>
    </xf>
    <xf numFmtId="16" fontId="0" fillId="0" borderId="0" xfId="0" applyNumberFormat="1"/>
    <xf numFmtId="44" fontId="0" fillId="0" borderId="0" xfId="3" applyNumberFormat="1" applyFont="1" applyFill="1" applyAlignment="1">
      <alignment horizontal="center" vertical="center"/>
    </xf>
    <xf numFmtId="43" fontId="0" fillId="7" borderId="0" xfId="1" applyNumberFormat="1" applyFont="1" applyFill="1"/>
    <xf numFmtId="43" fontId="0" fillId="0" borderId="0" xfId="1" applyNumberFormat="1" applyFont="1"/>
    <xf numFmtId="0" fontId="0" fillId="0" borderId="0" xfId="0" applyNumberFormat="1"/>
    <xf numFmtId="44" fontId="0" fillId="0" borderId="0" xfId="2" applyNumberFormat="1" applyFont="1"/>
    <xf numFmtId="0" fontId="0" fillId="0" borderId="0" xfId="0" applyNumberFormat="1" applyAlignment="1">
      <alignment horizontal="center" vertical="center"/>
    </xf>
    <xf numFmtId="44" fontId="0" fillId="0" borderId="0" xfId="2" applyNumberFormat="1" applyFont="1" applyAlignment="1">
      <alignment horizontal="center" vertical="center"/>
    </xf>
    <xf numFmtId="9" fontId="0" fillId="0" borderId="0" xfId="3" applyNumberFormat="1" applyFont="1" applyAlignment="1">
      <alignment horizontal="center" vertical="center"/>
    </xf>
  </cellXfs>
  <cellStyles count="6">
    <cellStyle name="Comma" xfId="1" builtinId="3"/>
    <cellStyle name="Currency" xfId="2" builtinId="4"/>
    <cellStyle name="defaultsheetstyle" xfId="5" xr:uid="{43922787-B86D-3940-9A07-83EC7919D022}"/>
    <cellStyle name="Normal" xfId="0" builtinId="0"/>
    <cellStyle name="Percent" xfId="3" builtinId="5"/>
    <cellStyle name="plainText" xfId="4" xr:uid="{EC916155-E045-864A-91FC-9B2D0424302B}"/>
  </cellStyles>
  <dxfs count="30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dxf>
    <dxf>
      <font>
        <b val="0"/>
        <i val="0"/>
        <strike val="0"/>
        <condense val="0"/>
        <extend val="0"/>
        <outline val="0"/>
        <shadow val="0"/>
        <u val="none"/>
        <vertAlign val="baseline"/>
        <sz val="12"/>
        <color theme="1"/>
        <name val="Calibri"/>
        <family val="2"/>
        <scheme val="minor"/>
      </font>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2" formatCode="0.00"/>
      <fill>
        <patternFill patternType="solid">
          <fgColor indexed="64"/>
          <bgColor theme="5" tint="0.79998168889431442"/>
        </patternFill>
      </fill>
    </dxf>
    <dxf>
      <numFmt numFmtId="0" formatCode="General"/>
    </dxf>
    <dxf>
      <numFmt numFmtId="0" formatCode="General"/>
    </dxf>
    <dxf>
      <font>
        <b val="0"/>
        <i val="0"/>
        <strike val="0"/>
        <condense val="0"/>
        <extend val="0"/>
        <outline val="0"/>
        <shadow val="0"/>
        <u val="none"/>
        <vertAlign val="baseline"/>
        <sz val="12"/>
        <color theme="1"/>
        <name val="Calibri"/>
        <family val="2"/>
        <scheme val="minor"/>
      </font>
      <numFmt numFmtId="35" formatCode="_(* #,##0.00_);_(* \(#,##0.00\);_(* &quot;-&quot;??_);_(@_)"/>
    </dxf>
    <dxf>
      <font>
        <b val="0"/>
        <i val="0"/>
        <strike val="0"/>
        <condense val="0"/>
        <extend val="0"/>
        <outline val="0"/>
        <shadow val="0"/>
        <u val="none"/>
        <vertAlign val="baseline"/>
        <sz val="12"/>
        <color theme="1"/>
        <name val="Calibri"/>
        <family val="2"/>
        <scheme val="minor"/>
      </font>
      <numFmt numFmtId="35" formatCode="_(* #,##0.00_);_(* \(#,##0.00\);_(* &quot;-&quot;??_);_(@_)"/>
      <fill>
        <patternFill patternType="solid">
          <fgColor indexed="64"/>
          <bgColor theme="9" tint="0.79998168889431442"/>
        </patternFill>
      </fill>
    </dxf>
    <dxf>
      <numFmt numFmtId="2" formatCode="0.00"/>
      <alignment horizontal="general" vertical="center" textRotation="0" wrapText="0" indent="0" justifyLastLine="0" shrinkToFit="0" readingOrder="0"/>
    </dxf>
    <dxf>
      <numFmt numFmtId="20" formatCode="d\-mmm\-yy"/>
    </dxf>
    <dxf>
      <border outline="0">
        <bottom style="medium">
          <color theme="1"/>
        </bottom>
      </border>
    </dxf>
    <dxf>
      <border outline="0">
        <top style="thin">
          <color theme="1"/>
        </top>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border diagonalUp="0" diagonalDown="0" outline="0">
        <left style="thin">
          <color theme="1"/>
        </left>
        <right style="thin">
          <color theme="1"/>
        </right>
        <top/>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9" formatCode="m/d/yy"/>
    </dxf>
    <dxf>
      <numFmt numFmtId="13" formatCode="0%"/>
    </dxf>
    <dxf>
      <alignment horizontal="center" vertical="center" textRotation="0" wrapText="0" indent="0" justifyLastLine="0" shrinkToFit="0" readingOrder="0"/>
    </dxf>
    <dxf>
      <numFmt numFmtId="34" formatCode="_(&quot;$&quot;* #,##0.00_);_(&quot;$&quot;* \(#,##0.00\);_(&quot;$&quot;* &quot;-&quot;??_);_(@_)"/>
    </dxf>
    <dxf>
      <alignment horizontal="center" vertical="center" textRotation="0" wrapText="0" indent="0" justifyLastLine="0" shrinkToFit="0" readingOrder="0"/>
    </dxf>
    <dxf>
      <numFmt numFmtId="34" formatCode="_(&quot;$&quot;* #,##0.00_);_(&quot;$&quot;* \(#,##0.00\);_(&quot;$&quot;* &quot;-&quot;??_);_(@_)"/>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19" formatCode="m/d/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alignment horizontal="center" vertical="center" textRotation="0" wrapText="0" indent="0" justifyLastLine="0" shrinkToFit="0" readingOrder="0"/>
    </dxf>
    <dxf>
      <numFmt numFmtId="0" formatCode="General"/>
    </dxf>
    <dxf>
      <numFmt numFmtId="0" formatCode="General"/>
      <fill>
        <patternFill patternType="solid">
          <fgColor indexed="64"/>
          <bgColor theme="5" tint="0.79998168889431442"/>
        </patternFill>
      </fill>
    </dxf>
    <dxf>
      <fill>
        <patternFill patternType="solid">
          <fgColor indexed="64"/>
          <bgColor theme="5" tint="0.79998168889431442"/>
        </patternFill>
      </fill>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165" formatCode="_([$$-409]* #,##0.00_);_([$$-409]* \(#,##0.00\);_([$$-409]* &quot;-&quot;??_);_(@_)"/>
    </dxf>
    <dxf>
      <numFmt numFmtId="0" formatCode="General"/>
      <fill>
        <patternFill patternType="solid">
          <fgColor indexed="64"/>
          <bgColor theme="7" tint="0.79998168889431442"/>
        </patternFill>
      </fill>
    </dxf>
    <dxf>
      <fill>
        <patternFill patternType="solid">
          <fgColor indexed="64"/>
          <bgColor theme="7" tint="0.79998168889431442"/>
        </patternFill>
      </fill>
    </dxf>
    <dxf>
      <numFmt numFmtId="0" formatCode="General"/>
    </dxf>
    <dxf>
      <numFmt numFmtId="13" formatCode="0%"/>
    </dxf>
    <dxf>
      <numFmt numFmtId="0" formatCode="General"/>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34" formatCode="_(&quot;$&quot;* #,##0.00_);_(&quot;$&quot;* \(#,##0.00\);_(&quot;$&quot;* &quot;-&quot;??_);_(@_)"/>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dxf>
    <dxf>
      <numFmt numFmtId="0" formatCode="General"/>
    </dxf>
    <dxf>
      <numFmt numFmtId="0" formatCode="General"/>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strike val="0"/>
        <outline val="0"/>
        <shadow val="0"/>
        <u val="none"/>
        <vertAlign val="baseline"/>
        <sz val="11"/>
        <color theme="1"/>
        <name val="Calibri"/>
        <family val="2"/>
        <scheme val="minor"/>
      </font>
    </dxf>
    <dxf>
      <numFmt numFmtId="13" formatCode="0%"/>
    </dxf>
    <dxf>
      <alignment horizontal="center" vertical="center" textRotation="0" wrapText="0" indent="0" justifyLastLine="0" shrinkToFit="0" readingOrder="0"/>
    </dxf>
    <dxf>
      <numFmt numFmtId="34" formatCode="_(&quot;$&quot;* #,##0.00_);_(&quot;$&quot;* \(#,##0.00\);_(&quot;$&quot;* &quot;-&quot;??_);_(@_)"/>
    </dxf>
    <dxf>
      <numFmt numFmtId="13" formatCode="0%"/>
      <alignment horizontal="center" vertical="center" textRotation="0" wrapText="0" indent="0" justifyLastLine="0" shrinkToFit="0" readingOrder="0"/>
    </dxf>
    <dxf>
      <numFmt numFmtId="34" formatCode="_(&quot;$&quot;* #,##0.00_);_(&quot;$&quot;* \(#,##0.00\);_(&quot;$&quot;* &quot;-&quot;??_);_(@_)"/>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border diagonalUp="0" diagonalDown="0" outline="0">
        <left/>
        <right/>
        <top style="thin">
          <color theme="1"/>
        </top>
        <bottom style="thin">
          <color theme="1"/>
        </bottom>
      </border>
    </dxf>
    <dxf>
      <font>
        <b val="0"/>
        <i val="0"/>
        <strike val="0"/>
        <condense val="0"/>
        <extend val="0"/>
        <outline val="0"/>
        <shadow val="0"/>
        <u val="none"/>
        <vertAlign val="baseline"/>
        <sz val="12"/>
        <color theme="1"/>
        <name val="Calibri"/>
        <family val="2"/>
        <scheme val="minor"/>
      </font>
      <numFmt numFmtId="166" formatCode="0.0000"/>
      <fill>
        <patternFill patternType="none">
          <fgColor indexed="64"/>
          <bgColor indexed="65"/>
        </patternFill>
      </fill>
      <border diagonalUp="0" diagonalDown="0" outline="0">
        <left/>
        <right/>
        <top style="thin">
          <color theme="1"/>
        </top>
        <bottom style="thin">
          <color theme="1"/>
        </bottom>
      </border>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border outline="0">
        <bottom style="medium">
          <color theme="1"/>
        </bottom>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000"/>
    </dxf>
    <dxf>
      <numFmt numFmtId="166" formatCode="0.0000"/>
    </dxf>
    <dxf>
      <numFmt numFmtId="166" formatCode="0.0000"/>
    </dxf>
    <dxf>
      <numFmt numFmtId="166" formatCode="0.0000"/>
    </dxf>
    <dxf>
      <numFmt numFmtId="166" formatCode="0.0000"/>
    </dxf>
    <dxf>
      <numFmt numFmtId="34" formatCode="_(&quot;$&quot;* #,##0.00_);_(&quot;$&quot;* \(#,##0.00\);_(&quot;$&quot;* &quot;-&quot;??_);_(@_)"/>
      <fill>
        <patternFill patternType="solid">
          <fgColor indexed="64"/>
          <bgColor theme="8" tint="0.79998168889431442"/>
        </patternFill>
      </fill>
    </dxf>
    <dxf>
      <numFmt numFmtId="165" formatCode="_([$$-409]* #,##0.00_);_([$$-409]* \(#,##0.00\);_([$$-409]* &quot;-&quot;??_);_(@_)"/>
    </dxf>
    <dxf>
      <numFmt numFmtId="166" formatCode="0.0000"/>
    </dxf>
    <dxf>
      <numFmt numFmtId="166" formatCode="0.0000"/>
    </dxf>
    <dxf>
      <numFmt numFmtId="166" formatCode="0.0000"/>
    </dxf>
    <dxf>
      <numFmt numFmtId="2" formatCode="0.00"/>
    </dxf>
    <dxf>
      <numFmt numFmtId="34" formatCode="_(&quot;$&quot;* #,##0.00_);_(&quot;$&quot;* \(#,##0.00\);_(&quot;$&quot;* &quot;-&quot;??_);_(@_)"/>
    </dxf>
    <dxf>
      <numFmt numFmtId="34" formatCode="_(&quot;$&quot;* #,##0.00_);_(&quot;$&quot;* \(#,##0.00\);_(&quot;$&quot;* &quot;-&quot;??_);_(@_)"/>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4" formatCode="0.00%"/>
      <fill>
        <patternFill patternType="solid">
          <fgColor indexed="64"/>
          <bgColor theme="9" tint="0.79998168889431442"/>
        </patternFill>
      </fill>
    </dxf>
    <dxf>
      <fill>
        <patternFill patternType="solid">
          <fgColor indexed="64"/>
          <bgColor theme="9" tint="0.79998168889431442"/>
        </patternFill>
      </fill>
    </dxf>
    <dxf>
      <numFmt numFmtId="21" formatCode="d\-mmm"/>
      <fill>
        <patternFill patternType="solid">
          <fgColor indexed="64"/>
          <bgColor theme="9" tint="0.79998168889431442"/>
        </patternFill>
      </fill>
    </dxf>
    <dxf>
      <numFmt numFmtId="1" formatCode="0"/>
      <fill>
        <patternFill patternType="solid">
          <fgColor indexed="64"/>
          <bgColor theme="9"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9" tint="0.79998168889431442"/>
        </patternFill>
      </fill>
      <alignment horizontal="center" vertical="center" textRotation="0" wrapText="0" indent="0" justifyLastLine="0" shrinkToFit="0" readingOrder="0"/>
    </dxf>
    <dxf>
      <numFmt numFmtId="1" formatCode="0"/>
      <fill>
        <patternFill patternType="solid">
          <fgColor indexed="64"/>
          <bgColor theme="9" tint="0.79998168889431442"/>
        </patternFill>
      </fill>
      <alignment horizontal="center" vertical="center" textRotation="0" wrapText="0" indent="0" justifyLastLine="0" shrinkToFit="0" readingOrder="0"/>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dxf>
    <dxf>
      <numFmt numFmtId="19" formatCode="m/d/yy"/>
      <fill>
        <patternFill patternType="solid">
          <fgColor indexed="64"/>
          <bgColor theme="9" tint="0.79998168889431442"/>
        </patternFill>
      </fill>
    </dxf>
    <dxf>
      <font>
        <b val="0"/>
        <strike val="0"/>
        <outline val="0"/>
        <shadow val="0"/>
        <u val="none"/>
        <vertAlign val="baseline"/>
        <sz val="12"/>
        <color theme="1"/>
        <name val="Calibri"/>
        <family val="2"/>
        <scheme val="minor"/>
      </font>
    </dxf>
    <dxf>
      <font>
        <b val="0"/>
        <strike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border outline="0">
        <left style="medium">
          <color indexed="64"/>
        </left>
        <right style="medium">
          <color indexed="64"/>
        </right>
        <bottom style="medium">
          <color indexed="64"/>
        </bottom>
      </border>
    </dxf>
    <dxf>
      <font>
        <b val="0"/>
        <strike val="0"/>
        <outline val="0"/>
        <shadow val="0"/>
        <u val="none"/>
        <vertAlign val="baseline"/>
        <sz val="12"/>
        <color theme="1"/>
        <name val="Calibri"/>
        <family val="2"/>
        <scheme val="minor"/>
      </font>
    </dxf>
    <dxf>
      <font>
        <b val="0"/>
        <strike val="0"/>
        <outline val="0"/>
        <shadow val="0"/>
        <u val="none"/>
        <vertAlign val="baseline"/>
        <sz val="12"/>
        <color theme="1" tint="0.34998626667073579"/>
        <name val="Calibri"/>
        <family val="2"/>
        <scheme val="minor"/>
      </font>
      <fill>
        <patternFill patternType="solid">
          <fgColor indexed="64"/>
          <bgColor theme="9" tint="0.79998168889431442"/>
        </patternFill>
      </fill>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34" formatCode="_(&quot;$&quot;* #,##0.00_);_(&quot;$&quot;* \(#,##0.00\);_(&quot;$&quot;* &quot;-&quot;??_);_(@_)"/>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0" formatCode="0.0000%"/>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0" formatCode="0.0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_([$$-409]* #,##0.00_);_([$$-409]* \(#,##0.00\);_([$$-409]* &quot;-&quot;??_);_(@_)"/>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_([$$-409]* #,##0.00_);_([$$-409]* \(#,##0.00\);_([$$-409]* &quot;-&quot;??_);_(@_)"/>
      <alignment horizontal="center" vertical="center" textRotation="0" wrapText="0" indent="0" justifyLastLine="0" shrinkToFit="0" readingOrder="0"/>
    </dxf>
    <dxf>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8" formatCode="_(&quot;$&quot;* #,##0.000000_);_(&quot;$&quot;* \(#,##0.000000\);_(&quot;$&quot;* &quot;-&quot;??_);_(@_)"/>
      <fill>
        <patternFill patternType="none">
          <fgColor indexed="64"/>
          <bgColor indexed="65"/>
        </patternFill>
      </fill>
    </dxf>
    <dxf>
      <numFmt numFmtId="34" formatCode="_(&quot;$&quot;* #,##0.00_);_(&quot;$&quot;* \(#,##0.00\);_(&quot;$&quot;* &quot;-&quot;??_);_(@_)"/>
      <fill>
        <patternFill patternType="none">
          <fgColor indexed="64"/>
          <bgColor indexed="65"/>
        </patternFill>
      </fill>
    </dxf>
    <dxf>
      <numFmt numFmtId="167" formatCode="_(&quot;$&quot;* #,##0.00000_);_(&quot;$&quot;* \(#,##0.00000\);_(&quot;$&quot;* &quot;-&quot;??_);_(@_)"/>
      <fill>
        <patternFill patternType="none">
          <fgColor indexed="64"/>
          <bgColor indexed="65"/>
        </patternFill>
      </fill>
    </dxf>
    <dxf>
      <numFmt numFmtId="0" formatCode="General"/>
      <fill>
        <patternFill patternType="solid">
          <fgColor indexed="64"/>
          <bgColor theme="9" tint="0.79998168889431442"/>
        </patternFill>
      </fill>
    </dxf>
    <dxf>
      <font>
        <b val="0"/>
        <i val="0"/>
        <strike val="0"/>
        <condense val="0"/>
        <extend val="0"/>
        <outline val="0"/>
        <shadow val="0"/>
        <u val="none"/>
        <vertAlign val="baseline"/>
        <sz val="12"/>
        <color theme="1"/>
        <name val="Calibri"/>
        <family val="2"/>
        <scheme val="minor"/>
      </font>
      <numFmt numFmtId="167" formatCode="_(&quot;$&quot;* #,##0.00000_);_(&quot;$&quot;* \(#,##0.00000\);_(&quot;$&quot;* &quot;-&quot;??_);_(@_)"/>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167" formatCode="_(&quot;$&quot;* #,##0.00000_);_(&quot;$&quot;* \(#,##0.00000\);_(&quot;$&quot;* &quot;-&quot;??_);_(@_)"/>
      <fill>
        <patternFill patternType="none">
          <fgColor indexed="64"/>
          <bgColor indexed="65"/>
        </patternFill>
      </fill>
    </dxf>
    <dxf>
      <numFmt numFmtId="34" formatCode="_(&quot;$&quot;* #,##0.00_);_(&quot;$&quot;* \(#,##0.00\);_(&quot;$&quot;* &quot;-&quot;??_);_(@_)"/>
      <fill>
        <patternFill patternType="none">
          <fgColor indexed="64"/>
          <bgColor indexed="65"/>
        </patternFill>
      </fill>
    </dxf>
    <dxf>
      <numFmt numFmtId="34" formatCode="_(&quot;$&quot;* #,##0.00_);_(&quot;$&quot;* \(#,##0.00\);_(&quot;$&quot;* &quot;-&quot;??_);_(@_)"/>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color theme="1"/>
        <name val="Calibri"/>
        <family val="2"/>
        <scheme val="minor"/>
      </font>
      <fill>
        <patternFill patternType="none">
          <fgColor indexed="64"/>
          <bgColor auto="1"/>
        </patternFill>
      </fill>
    </dxf>
    <dxf>
      <font>
        <strike val="0"/>
        <outline val="0"/>
        <shadow val="0"/>
        <u val="none"/>
        <vertAlign val="baseline"/>
        <sz val="12"/>
        <color theme="1"/>
        <name val="Calibri"/>
        <family val="2"/>
        <scheme val="minor"/>
      </font>
      <fill>
        <patternFill patternType="none">
          <fgColor indexed="64"/>
          <bgColor auto="1"/>
        </patternFill>
      </fill>
    </dxf>
    <dxf>
      <font>
        <strike val="0"/>
        <outline val="0"/>
        <shadow val="0"/>
        <u val="none"/>
        <vertAlign val="baseline"/>
        <sz val="12"/>
        <color theme="1"/>
        <name val="Calibri"/>
        <family val="2"/>
        <scheme val="minor"/>
      </font>
      <numFmt numFmtId="2" formatCode="0.00"/>
      <fill>
        <patternFill patternType="solid">
          <fgColor indexed="64"/>
          <bgColor theme="5" tint="0.59999389629810485"/>
        </patternFill>
      </fill>
    </dxf>
    <dxf>
      <font>
        <strike val="0"/>
        <outline val="0"/>
        <shadow val="0"/>
        <u val="none"/>
        <vertAlign val="baseline"/>
        <sz val="12"/>
        <color theme="1"/>
        <name val="Calibri"/>
        <family val="2"/>
        <scheme val="minor"/>
      </font>
      <numFmt numFmtId="2" formatCode="0.00"/>
      <fill>
        <patternFill patternType="solid">
          <fgColor indexed="64"/>
          <bgColor theme="9" tint="0.59999389629810485"/>
        </patternFill>
      </fill>
    </dxf>
    <dxf>
      <numFmt numFmtId="168" formatCode="_(&quot;$&quot;* #,##0.000000_);_(&quot;$&quot;* \(#,##0.000000\);_(&quot;$&quot;* &quot;-&quot;??_);_(@_)"/>
    </dxf>
    <dxf>
      <alignment horizontal="left" vertical="bottom" textRotation="0" wrapText="0" relativeIndent="-1" justifyLastLine="0" shrinkToFit="0" readingOrder="0"/>
    </dxf>
    <dxf>
      <numFmt numFmtId="19" formatCode="m/d/yy"/>
      <alignment horizontal="center" vertical="center" textRotation="0" wrapText="0" indent="0" justifyLastLine="0" shrinkToFit="0" readingOrder="0"/>
    </dxf>
    <dxf>
      <font>
        <b/>
        <strike val="0"/>
        <outline val="0"/>
        <shadow val="0"/>
        <u val="none"/>
        <vertAlign val="baseline"/>
        <sz val="12"/>
        <color rgb="FF0070C0"/>
        <name val="Calibri"/>
        <family val="2"/>
        <scheme val="minor"/>
      </font>
      <numFmt numFmtId="168" formatCode="_(&quot;$&quot;* #,##0.000000_);_(&quot;$&quot;* \(#,##0.000000\);_(&quot;$&quot;* &quot;-&quot;??_);_(@_)"/>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2"/>
        <color theme="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none">
          <bgColor auto="1"/>
        </patternFill>
      </fill>
      <alignment horizontal="center" vertical="center"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border outline="0">
        <bottom style="thin">
          <color theme="1"/>
        </bottom>
      </border>
    </dxf>
    <dxf>
      <font>
        <b/>
        <i val="0"/>
        <strike val="0"/>
        <condense val="0"/>
        <extend val="0"/>
        <outline val="0"/>
        <shadow val="0"/>
        <u val="none"/>
        <vertAlign val="baseline"/>
        <sz val="12"/>
        <color theme="1"/>
        <name val="Calibri"/>
        <family val="2"/>
        <scheme val="minor"/>
      </font>
      <fill>
        <patternFill patternType="none">
          <bgColor auto="1"/>
        </patternFill>
      </fill>
    </dxf>
    <dxf>
      <font>
        <b val="0"/>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2"/>
        <color theme="1"/>
        <name val="Calibri"/>
        <family val="2"/>
        <scheme val="minor"/>
      </font>
      <numFmt numFmtId="34" formatCode="_(&quot;$&quot;* #,##0.00_);_(&quot;$&quot;* \(#,##0.00\);_(&quot;$&quot;* &quot;-&quot;??_);_(@_)"/>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m/d/yy"/>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m/d/yy"/>
    </dxf>
    <dxf>
      <font>
        <b val="0"/>
        <i val="0"/>
        <strike val="0"/>
        <condense val="0"/>
        <extend val="0"/>
        <outline val="0"/>
        <shadow val="0"/>
        <u val="none"/>
        <vertAlign val="baseline"/>
        <sz val="12"/>
        <color theme="1"/>
        <name val="Calibri"/>
        <family val="2"/>
        <scheme val="minor"/>
      </font>
      <numFmt numFmtId="34" formatCode="_(&quot;$&quot;* #,##0.00_);_(&quot;$&quot;* \(#,##0.00\);_(&quot;$&quot;* &quot;-&quot;??_);_(@_)"/>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alignment horizontal="center" vertical="bottom" textRotation="0" wrapText="0" indent="0" justifyLastLine="0" shrinkToFit="0" readingOrder="0"/>
    </dxf>
    <dxf>
      <numFmt numFmtId="34" formatCode="_(&quot;$&quot;* #,##0.00_);_(&quot;$&quot;* \(#,##0.00\);_(&quot;$&quot;* &quot;-&quot;??_);_(@_)"/>
      <alignment horizontal="center" vertical="bottom" textRotation="0" wrapText="0" indent="0" justifyLastLine="0" shrinkToFit="0" readingOrder="0"/>
    </dxf>
    <dxf>
      <numFmt numFmtId="34" formatCode="_(&quot;$&quot;* #,##0.00_);_(&quot;$&quot;* \(#,##0.00\);_(&quot;$&quot;* &quot;-&quot;??_);_(@_)"/>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Light"/>
        <family val="2"/>
        <scheme val="major"/>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2"/>
        <color theme="1"/>
        <name val="Calibri"/>
        <family val="2"/>
        <scheme val="minor"/>
      </font>
      <fill>
        <patternFill patternType="none">
          <bgColor auto="1"/>
        </patternFill>
      </fill>
      <alignment horizontal="center" vertical="center" textRotation="0" wrapText="0" indent="0" justifyLastLine="0" shrinkToFit="0" readingOrder="0"/>
    </dxf>
    <dxf>
      <border outline="0">
        <bottom style="thin">
          <color theme="1"/>
        </bottom>
      </border>
    </dxf>
    <dxf>
      <font>
        <b/>
        <i val="0"/>
        <strike val="0"/>
        <condense val="0"/>
        <extend val="0"/>
        <outline val="0"/>
        <shadow val="0"/>
        <u val="none"/>
        <vertAlign val="baseline"/>
        <sz val="12"/>
        <color theme="1"/>
        <name val="Calibri"/>
        <family val="2"/>
        <scheme val="minor"/>
      </font>
      <fill>
        <patternFill patternType="none">
          <bgColor auto="1"/>
        </patternFill>
      </fill>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
      <alignment horizontal="center" vertical="bottom" textRotation="0" wrapText="0" indent="0" justifyLastLine="0" shrinkToFit="0" readingOrder="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Enkh-Uliral Munkhbat" id="{91FE06CC-EECA-B346-8CC5-D7B907A0C552}" userId="db2bbd0ddce4bf68"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extLst>
        <x:ext xmlns:xlrvr="http://schemas.microsoft.com/office/spreadsheetml/2020/richvaluerefresh" uri="{6D21E516-79A1-49C6-A8DF-7D825B72F6C7}">
          <xlrvr:refreshIntervals>
            <xlrvr:refreshInterval resourceIdInt="268435456" interval="-1"/>
          </xlrvr:refreshIntervals>
        </x:ext>
      </extLst>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804">
  <rv s="0">
    <v>https://www.bing.com/financeapi/forcetrigger?t=a2y55r&amp;q=XNAS%3aRCAT&amp;form=skydnc</v>
    <v>Learn more on Bing</v>
  </rv>
  <rv s="1">
    <v>0</v>
    <v>RED CAT HOLDINGS, INC. (XNAS:RCAT)</v>
    <v>2</v>
    <v>3</v>
    <v>Finance</v>
    <v>4</v>
    <v>en-US</v>
    <v>a2y55r</v>
    <v>268435456</v>
    <v>1</v>
    <v>Powered by Refinitiv</v>
    <v>18.78</v>
    <v>4.5999999999999996</v>
    <v>1.2419</v>
    <v>-0.03</v>
    <v>-1.8659999999999998E-3</v>
    <v>USD</v>
    <v>Red Cat Holdings Inc is a Puerto Rico-based provider of products, services, and solutions to the drone industry. The Company provides its services to the enterprise, military, and consumer markets via designing, developing, marketing, and drone software and products' sales. Red Cat's Golden Eagle drones are approved by the Department of Defense for reconnaissance, public safety, and inspection applications. Through its wholly owned subsidiaries, Teal Drones and FlightWave Aerospace, The Company develops American-made hardware and software that support military, government, and public safety operations across air, land, and sea. Its Family of Systems, led by Black Widow, delivers tactical capabilities in small, unmanned aircraft systems (sUAS). The Company's offering also includes uncrewed surface vessels (USVs), delivering integrated platforms designed to enhance safety and multi-domain mission effectiveness.</v>
    <v>115</v>
    <v>Nasdaq Stock Market</v>
    <v>XNAS</v>
    <v>XNAS</v>
    <v>L-2 Condominio Miramar Towers, 721 Calle Hernandez, SAN JUAN, 00907 PR</v>
    <v>16.899999999999999</v>
    <v>Aerospace &amp; Defense</v>
    <v>Stock</v>
    <v>46106.612838344532</v>
    <v>0</v>
    <v>16.02</v>
    <v>1944277740</v>
    <v>RED CAT HOLDINGS, INC.</v>
    <v>RED CAT HOLDINGS, INC.</v>
    <v>16.2</v>
    <v>0</v>
    <v>16.079999999999998</v>
    <v>16.05</v>
    <v>121138800</v>
    <v>RCAT</v>
    <v>RED CAT HOLDINGS, INC. (XNAS:RCAT)</v>
    <v>5501709</v>
    <v>20639090</v>
    <v>2001</v>
  </rv>
  <rv s="2">
    <v>1</v>
  </rv>
  <rv s="3">
    <v>5</v>
    <v>M-TRON INDUSTRIES, INC. (XNYS:MPTI)</v>
    <v>6</v>
    <v>3</v>
    <v>Finance</v>
    <v>4</v>
    <v>en-US</v>
    <v>c7gsk2</v>
    <v>268435456</v>
    <v>1</v>
    <v>Powered by Refinitiv</v>
    <v>76.685000000000002</v>
    <v>36.380000000000003</v>
    <v>0.65980000000000005</v>
    <v>7.49</v>
    <v>0.117233</v>
    <v>USD</v>
    <v>M-tron Industries, Inc. designs, manufactures and markets frequency and spectrum control products and solutions. The Company’s component-level devices and integrated modules are used in electronic systems for applications in aerospace and defense, avionics, satellites, global positioning systems, down-hole drilling, medical systems, instrumentation, and industrial devices. Its portfolio is divided into three product groupings, Frequency Control, Spectrum Control, and Integrated Microwave Assemblies. The Frequency Control product group includes a portfolio of quartz crystal resonators, clock oscillators, VCXO, TCXO OCXO and TCVCXO devices. Spectrum Control product group includes a wide array of radio frequency (RF), microwave and millimeter wave filters and diplexers covering a frequency range from 1 megahertz (MHz) to 30 gigahertz (GHz), and solid-state power amplifiers covering a frequency range from 300 MHz to 26 GHz, with power output from 10 Watts to 10 kilowatts.</v>
    <v>226</v>
    <v>New York Stock Exchange</v>
    <v>XNYS</v>
    <v>XNYS</v>
    <v>2525 SHADER ROAD, ORLANDO, FL, 32804 US</v>
    <v>76.685000000000002</v>
    <v>Electronic Equipment &amp; Parts</v>
    <v>Stock</v>
    <v>46106.612462522658</v>
    <v>70.784999999999997</v>
    <v>250688701</v>
    <v>M-TRON INDUSTRIES, INC.</v>
    <v>M-TRON INDUSTRIES, INC.</v>
    <v>70.784999999999997</v>
    <v>29.802499999999998</v>
    <v>63.89</v>
    <v>71.38</v>
    <v>3512030</v>
    <v>MPTI</v>
    <v>M-TRON INDUSTRIES, INC. (XNYS:MPTI)</v>
    <v>183500</v>
    <v>49929</v>
    <v>2000</v>
  </rv>
  <rv s="2">
    <v>3</v>
  </rv>
  <rv s="4">
    <v>7</v>
    <v>UNUSUAL MACHINES, INC. (XNYS:UMAC)</v>
    <v>6</v>
    <v>8</v>
    <v>Finance</v>
    <v>4</v>
    <v>en-US</v>
    <v>cccaw7</v>
    <v>268435456</v>
    <v>1</v>
    <v>Powered by Refinitiv</v>
    <v>23.38</v>
    <v>4.45</v>
    <v>3.3380000000000001</v>
    <v>-0.36</v>
    <v>-2.3857E-2</v>
    <v>USD</v>
    <v>Unusual Machines, Inc. is engaged in manufacturing and selling drone components and drones. The Company's products are sold across a diversified brand portfolio, such as Fat Shark. The Company also retails small, acrobatic first-person-view (FPV) drones and equipment directly to consumers through the curated Rotor Riot e-commerce store. Fat Shark is engaged in designing and manufacturing ultra-low latency video goggles for drone pilots and Rotor Riot. Rotor Riot is an e-commerce marketplace, backed by a community of FPV drone pilots. Fat Shark makes drone components and Rotor Riot sells them. It also develops electric motors and propulsion systems for unmanned aerial systems (UAS).</v>
    <v>141</v>
    <v>New York Stock Exchange</v>
    <v>XNYS</v>
    <v>XNYS</v>
    <v>4677 L B McLeod Rd, Suite J, ORLANDO, FL, 32811 US</v>
    <v>15.53</v>
    <v>Aerospace &amp; Defense</v>
    <v>Stock</v>
    <v>46106.612833147658</v>
    <v>14.66</v>
    <v>703866421</v>
    <v>UNUSUAL MACHINES, INC.</v>
    <v>UNUSUAL MACHINES, INC.</v>
    <v>15.45</v>
    <v>15.09</v>
    <v>14.73</v>
    <v>47784550</v>
    <v>UMAC</v>
    <v>UNUSUAL MACHINES, INC. (XNYS:UMAC)</v>
    <v>1706781</v>
    <v>4853153</v>
    <v>2024</v>
  </rv>
  <rv s="2">
    <v>5</v>
  </rv>
  <rv s="5">
    <v>12</v>
    <v>P/E</v>
    <v>0</v>
  </rv>
  <rv s="0">
    <v>https://www.bing.com/financeapi/forcetrigger?t=a1nytc&amp;q=XNAS%3aAVAV&amp;form=skydnc</v>
    <v>Learn more on Bing</v>
  </rv>
  <rv s="1">
    <v>0</v>
    <v>AEROVIRONMENT, INC. (XNAS:AVAV)</v>
    <v>2</v>
    <v>3</v>
    <v>Finance</v>
    <v>4</v>
    <v>en-US</v>
    <v>a1nytc</v>
    <v>268435456</v>
    <v>1</v>
    <v>Powered by Refinitiv</v>
    <v>417.86</v>
    <v>102.25</v>
    <v>1.3455999999999999</v>
    <v>5.44</v>
    <v>2.7730000000000001E-2</v>
    <v>USD</v>
    <v>AeroVironment, Inc. is a defense technology provider delivering integrated capabilities across air, land, sea, space, and cyber. The Company develops and deploys autonomous systems, precision strike systems, counter-UAS technologies, space-based platforms, directed energy systems, and cyber and electronic warfare capabilities. The Company’s segments include Autonomous Systems (AxS) and Space, Cyber, and Directed Energy (SCDE). The AxS segment focuses on the design, development, production, delivery, and support of intelligent, multi-domain robotic systems, including uncrewed aircraft systems (UAS) and ground robot systems. It includes the Company’s former Uncrewed Systems, Loitering Munitions Systems, and MacCready Works segments as well as Radio Frequency and Kinetic Counter-UAS Electronic Warfare Systems and others. The SCDE segment focuses on advanced technologies in the space domain providing space-based and ground-based platforms, cyber capabilities, and directed energy systems.</v>
    <v>1456</v>
    <v>Nasdaq Stock Market</v>
    <v>XNAS</v>
    <v>XNAS</v>
    <v>241 18Th Street South, Suite 650, ARLINGTON, VA, 22202 US</v>
    <v>204.61</v>
    <v>Aerospace &amp; Defense</v>
    <v>Stock</v>
    <v>46106.612728738284</v>
    <v>8</v>
    <v>200.7</v>
    <v>10202994213</v>
    <v>AEROVIRONMENT, INC.</v>
    <v>AEROVIRONMENT, INC.</v>
    <v>201.34</v>
    <v>0</v>
    <v>196.18</v>
    <v>201.62</v>
    <v>50605070</v>
    <v>AVAV</v>
    <v>AEROVIRONMENT, INC. (XNAS:AVAV)</v>
    <v>241144</v>
    <v>2324801</v>
    <v>2006</v>
  </rv>
  <rv s="2">
    <v>9</v>
  </rv>
  <rv s="0">
    <v>https://www.bing.com/financeapi/forcetrigger?t=a1wovh&amp;q=XNAS%3aKTOS&amp;form=skydnc</v>
    <v>Learn more on Bing</v>
  </rv>
  <rv s="1">
    <v>0</v>
    <v>KRATOS DEFENSE &amp; SECURITY SOLUTIONS, INC. (XNAS:KTOS)</v>
    <v>2</v>
    <v>3</v>
    <v>Finance</v>
    <v>4</v>
    <v>en-US</v>
    <v>a1wovh</v>
    <v>268435456</v>
    <v>1</v>
    <v>Powered by Refinitiv</v>
    <v>134</v>
    <v>25.78</v>
    <v>1.1771</v>
    <v>0.70499999999999996</v>
    <v>9.0980000000000002E-3</v>
    <v>USD</v>
    <v>Kratos Defense &amp; Security Solutions, Inc. is a technology, products, system and software company addressing the defense, national security, and commercial markets. It operates through two segments: Kratos Government Solutions (KGS) and Unmanned Systems (US). The KGS segment includes its microwave electronic products, space, satellite and cyber, training solutions, command, control, communication, computing, combat, intelligence surveillance and reconnaissance (C5ISR)/modular systems, turbine technologies, and defense and rocket support services operating segments. The US segment consists of its unmanned aerial, unmanned ground, unmanned seaborne and related command, control and communications system businesses. Its KGS and US segments provide products, solutions and services for mission-critical National Security programs. KGS and US customers primarily include National Security-related agencies, the DoD, intelligence agencies and classified agencies, and others.</v>
    <v>4300</v>
    <v>Nasdaq Stock Market</v>
    <v>XNAS</v>
    <v>XNAS</v>
    <v>1 Chisholm Trail, ROUND ROCK, TX, 92131 US</v>
    <v>80.94</v>
    <v>Aerospace &amp; Defense</v>
    <v>Stock</v>
    <v>46106.612826955468</v>
    <v>11</v>
    <v>77.709999999999994</v>
    <v>14603518351</v>
    <v>KRATOS DEFENSE &amp; SECURITY SOLUTIONS, INC.</v>
    <v>KRATOS DEFENSE &amp; SECURITY SOLUTIONS, INC.</v>
    <v>80</v>
    <v>594.63879999999995</v>
    <v>77.489999999999995</v>
    <v>78.194999999999993</v>
    <v>186757700</v>
    <v>KTOS</v>
    <v>KRATOS DEFENSE &amp; SECURITY SOLUTIONS, INC. (XNAS:KTOS)</v>
    <v>1047530</v>
    <v>4977936</v>
    <v>1997</v>
  </rv>
  <rv s="2">
    <v>12</v>
  </rv>
  <rv s="0">
    <v>https://www.bing.com/financeapi/forcetrigger?t=bkgak2&amp;q=XNAS%3aONDS&amp;form=skydnc</v>
    <v>Learn more on Bing</v>
  </rv>
  <rv s="1">
    <v>0</v>
    <v>ONDAS INC. (XNAS:ONDS)</v>
    <v>2</v>
    <v>3</v>
    <v>Finance</v>
    <v>4</v>
    <v>en-US</v>
    <v>bkgak2</v>
    <v>268435456</v>
    <v>1</v>
    <v>Powered by Refinitiv</v>
    <v>15.28</v>
    <v>0.65910000000000002</v>
    <v>2.5150999999999999</v>
    <v>-0.08</v>
    <v>-7.4910000000000003E-3</v>
    <v>USD</v>
    <v>Ondas Inc. is a provider of autonomous systems and private wireless solutions through its business units Ondas Autonomous Systems (OAS), Ondas Capital and Ondas Networks. Its technologies offer a combination of aerial intelligence and connectivity to enhance security, operational efficiency, and data-driven decision-making across essential industries. OAS delivers a portfolio of artificial-intelligence (AI)-powered defense and security platforms deployed globally to protect sensitive sites, populations, and critical infrastructure. OAS also provides an integrated suite of autonomous aerial, ground, and counter-UAS solutions through its operating companies. Ondas Networks provides software-defined wireless broadband technology through its FullMAX platform. The Company also provides Airborne Missile Protection Systems (AMPS) and airborne intelligence, surveillance and reconnaissance (ISR) solutions for military, government and homeland security customers.</v>
    <v>113</v>
    <v>Nasdaq Stock Market</v>
    <v>XNAS</v>
    <v>XNAS</v>
    <v>222 Lakeview Avenue, Suite 800, WEST PALM BEACH, FL, 33401 US</v>
    <v>11.14</v>
    <v>Communications &amp; Networking</v>
    <v>Stock</v>
    <v>46106.612818378904</v>
    <v>14</v>
    <v>10.55</v>
    <v>4943604680</v>
    <v>ONDAS INC.</v>
    <v>ONDAS INC.</v>
    <v>10.9</v>
    <v>0</v>
    <v>10.68</v>
    <v>10.6</v>
    <v>466377800</v>
    <v>ONDS</v>
    <v>ONDAS INC. (XNAS:ONDS)</v>
    <v>34650763</v>
    <v>96035782</v>
    <v>2014</v>
  </rv>
  <rv s="2">
    <v>15</v>
  </rv>
  <rv s="0">
    <v>https://www.bing.com/financeapi/forcetrigger?t=a21pjc&amp;q=XNAS%3aRADA&amp;form=skydnc</v>
    <v>Learn more on Bing</v>
  </rv>
  <rv s="1">
    <v>0</v>
    <v>LEONARDO DRS, INC. (XNAS:DRS)</v>
    <v>2</v>
    <v>3</v>
    <v>Finance</v>
    <v>4</v>
    <v>en-US</v>
    <v>a21pjc</v>
    <v>268435456</v>
    <v>1</v>
    <v>Powered by Refinitiv</v>
    <v>49.31</v>
    <v>28.170100000000001</v>
    <v>0.43890000000000001</v>
    <v>1.05</v>
    <v>2.3831000000000001E-2</v>
    <v>USD</v>
    <v>Leonardo DRS, Inc. is a provider of advanced defense technology to the United States national security customers and allies around the world. It specializes in the design, development and manufacture of advanced sensing, network computing, force protection, and electric power and propulsion, and other mission-critical technologies. It is a provider of defense products and technologies that are used across land, air, sea, space, and cyber domains. Its segments include Advanced Sensing and Computing (ASC) and Integrated Mission Systems (IMS). The ASC segment designs, develops, and manufactures sensing and network computing technology that enables real-time situational awareness required for operational decision making and execution by its customers. The IMS segment designs, develops, manufactures, and integrates power conversion, control and distribution systems, ship propulsion systems, motors and variable frequency drives, force protection systems, transportation and logistics systems.</v>
    <v>7300</v>
    <v>Nasdaq Stock Market</v>
    <v>XNAS</v>
    <v>XNAS</v>
    <v>2345 Crystal Drive, Suite 1000, ARLINGTON, VA, 22202 US</v>
    <v>45.68</v>
    <v>Aerospace &amp; Defense</v>
    <v>Stock</v>
    <v>46106.612774628906</v>
    <v>17</v>
    <v>44.65</v>
    <v>11991248464</v>
    <v>LEONARDO DRS, INC.</v>
    <v>LEONARDO DRS, INC.</v>
    <v>44.97</v>
    <v>43.584499999999998</v>
    <v>44.06</v>
    <v>45.11</v>
    <v>265822400</v>
    <v>DRS</v>
    <v>LEONARDO DRS, INC. (XNAS:DRS)</v>
    <v>146585</v>
    <v>1306793</v>
    <v>1968</v>
  </rv>
  <rv s="2">
    <v>18</v>
  </rv>
  <rv s="0">
    <v>https://www.bing.com/financeapi/forcetrigger?t=a243ec&amp;q=XNYS%3aTDY&amp;form=skydnc</v>
    <v>Learn more on Bing</v>
  </rv>
  <rv s="1">
    <v>0</v>
    <v>TELEDYNE TECHNOLOGIES INCORPORATED (XNYS:TDY)</v>
    <v>2</v>
    <v>3</v>
    <v>Finance</v>
    <v>4</v>
    <v>en-US</v>
    <v>a243ec</v>
    <v>268435456</v>
    <v>1</v>
    <v>Powered by Refinitiv</v>
    <v>693.38</v>
    <v>419</v>
    <v>0.9929</v>
    <v>2.2850000000000001</v>
    <v>3.65E-3</v>
    <v>USD</v>
    <v>Teledyne Technologies Incorporated is a provider of digital imaging products and software, instrumentation, aerospace and defense electronics, and engineered systems. Its segments include Digital Imaging, which includes sensors, cameras and systems, within the visible, infrared, ultraviolet and X-ray spectra for use in industrial, scientific, government, defense, and others; Instrumentation segment offers monitoring and control instruments for marine, environmental, industrial and other applications, and electronic test and measurement equipment; Aerospace and Defense Electronics segment provides electronic and optical components and subsystems, data acquisition and communications components and equipment, harsh environment interconnects, general aviation batteries and other components, and Engineered Systems segment provides systems engineering, integration and technology development and manufacturing solutions. It also develops and manufactures gas sensors for critical applications.</v>
    <v>15800</v>
    <v>New York Stock Exchange</v>
    <v>XNYS</v>
    <v>XNYS</v>
    <v>1049 Camino Dos Rios, THOUSAND OAKS, CA, 91360 US</v>
    <v>635.55999999999995</v>
    <v>Electronic Equipment &amp; Parts</v>
    <v>Stock</v>
    <v>46106.612699525002</v>
    <v>20</v>
    <v>625.16999999999996</v>
    <v>29103231301</v>
    <v>TELEDYNE TECHNOLOGIES INCORPORATED</v>
    <v>TELEDYNE TECHNOLOGIES INCORPORATED</v>
    <v>635.55999999999995</v>
    <v>33.285200000000003</v>
    <v>626.05999999999995</v>
    <v>628.34500000000003</v>
    <v>46317280</v>
    <v>TDY</v>
    <v>TELEDYNE TECHNOLOGIES INCORPORATED (XNYS:TDY)</v>
    <v>18164</v>
    <v>302039</v>
    <v>1999</v>
  </rv>
  <rv s="2">
    <v>21</v>
  </rv>
  <rv s="0">
    <v>https://www.bing.com/financeapi/forcetrigger?t=a1s8mw&amp;q=XNAS%3aESLT&amp;form=skydnc</v>
    <v>Learn more on Bing</v>
  </rv>
  <rv s="1">
    <v>0</v>
    <v>ELBIT SYSTEMS LTD (XNAS:ESLT)</v>
    <v>2</v>
    <v>9</v>
    <v>Finance</v>
    <v>4</v>
    <v>en-US</v>
    <v>a1s8mw</v>
    <v>268435456</v>
    <v>1</v>
    <v>Powered by Refinitiv</v>
    <v>1016.06</v>
    <v>354.68</v>
    <v>0.46439999999999998</v>
    <v>12.43</v>
    <v>1.3891000000000001E-2</v>
    <v>USD</v>
    <v>Elbit Systems Ltd. is an international technology company engaged in a range of programs across the world. The Company develops and supplies a portfolio of airborne, land and naval systems and products for defense, homeland security and commercial aviation applications. Its systems and products are installed on new platforms, and it also performs platform modernization programs. In addition, it provides a range of support services. The Company's activities include military aircraft and helicopter systems; helmet mounted systems; commercial aviation systems and aerostructures; unmanned aircraft and unmanned surface vessels; land vehicle systems; command, control, communications, computer and intelligence (C4I) systems; intelligence and cyber systems; electro-optic and countermeasures systems; electronic warfare and signal intelligence systems, and various commercial activities. It operates primarily in the defense and homeland security arenas.</v>
    <v>19712</v>
    <v>Nasdaq Stock Market</v>
    <v>XNAS</v>
    <v>XNAS</v>
    <v>Advanced Technology Center, P.O.B. 539, HAIFA, 3100401 IL</v>
    <v>910.85</v>
    <v>Aerospace &amp; Defense</v>
    <v>Stock</v>
    <v>46106.612768251565</v>
    <v>23</v>
    <v>894.8</v>
    <v>102027000000</v>
    <v>ELBIT SYSTEMS LTD</v>
    <v>ELBIT SYSTEMS LTD</v>
    <v>894.8</v>
    <v>90.437399999999997</v>
    <v>894.8</v>
    <v>907.23</v>
    <v>46462900</v>
    <v>ESLT</v>
    <v>ELBIT SYSTEMS LTD (XNAS:ESLT)</v>
    <v>25287</v>
    <v>236615</v>
    <v>1966</v>
  </rv>
  <rv s="2">
    <v>24</v>
  </rv>
  <rv s="0">
    <v>https://www.bing.com/financeapi/forcetrigger?t=a1nhlh&amp;q=XNAS%3aAMZN&amp;form=skydnc</v>
    <v>Learn more on Bing</v>
  </rv>
  <rv s="1">
    <v>0</v>
    <v>AMAZON.COM, INC. (XNAS:AMZN)</v>
    <v>2</v>
    <v>3</v>
    <v>Finance</v>
    <v>4</v>
    <v>en-US</v>
    <v>a1nhlh</v>
    <v>268435456</v>
    <v>1</v>
    <v>Powered by Refinitiv</v>
    <v>258.60000000000002</v>
    <v>161.38</v>
    <v>1.3909</v>
    <v>4.91</v>
    <v>2.3692000000000001E-2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213.07</v>
    <v>Diversified Retail</v>
    <v>Stock</v>
    <v>46106.612842198439</v>
    <v>26</v>
    <v>211.12</v>
    <v>2277413278000</v>
    <v>AMAZON.COM, INC.</v>
    <v>AMAZON.COM, INC.</v>
    <v>211.69</v>
    <v>29.579499999999999</v>
    <v>207.24</v>
    <v>212.15</v>
    <v>10734920000</v>
    <v>AMZN</v>
    <v>AMAZON.COM, INC. (XNAS:AMZN)</v>
    <v>10829947</v>
    <v>46365396</v>
    <v>1996</v>
  </rv>
  <rv s="2">
    <v>27</v>
  </rv>
  <rv s="0">
    <v>https://www.bing.com/financeapi/forcetrigger?t=a244ur&amp;q=XNAS%3aTER&amp;form=skydnc</v>
    <v>Learn more on Bing</v>
  </rv>
  <rv s="1">
    <v>0</v>
    <v>TERADYNE, INC. (XNAS:TER)</v>
    <v>2</v>
    <v>3</v>
    <v>Finance</v>
    <v>4</v>
    <v>en-US</v>
    <v>a244ur</v>
    <v>268435456</v>
    <v>1</v>
    <v>Powered by Refinitiv</v>
    <v>344.91500000000002</v>
    <v>65.77</v>
    <v>1.7619</v>
    <v>3.32</v>
    <v>1.0369999999999999E-2</v>
    <v>USD</v>
    <v>Teradyne, Inc. is a global supplier of automated test equipment and robotics solutions. It designs, develops, manufactures and sells automated test systems and robotics products. Its segment includes Semiconductor Test, Robotics, and Product Test. The Semiconductor Test segment includes operations related to the design, manufacturing and marketing of semiconductor test products and services, inclusive of storage and system level test products. The Robotics segment includes operations related to the design, manufacturing and marketing of collaborative robotic arms and autonomous mobile robots. The Product Test segment includes operations related to the design, manufacturing and marketing of products and services for defense/aerospace test, circuit-board test, wireless test systems, and silicon photonics testing. Its offerings also include defense/aerospace test instrumentation and systems, circuit-board test and inspection (production board test) systems, and wireless test systems.</v>
    <v>6600</v>
    <v>Nasdaq Stock Market</v>
    <v>XNAS</v>
    <v>XNAS</v>
    <v>600 Riverpark Dr, NORTH READING, MA, 01864-2634 US</v>
    <v>325.02499999999998</v>
    <v>Semiconductors &amp; Semiconductor Equipment</v>
    <v>Stock</v>
    <v>46106.612736145311</v>
    <v>29</v>
    <v>313.48</v>
    <v>50639603760</v>
    <v>TERADYNE, INC.</v>
    <v>TERADYNE, INC.</v>
    <v>323.05</v>
    <v>92.868200000000002</v>
    <v>320.14</v>
    <v>323.45999999999998</v>
    <v>156556000</v>
    <v>TER</v>
    <v>TERADYNE, INC. (XNAS:TER)</v>
    <v>1452272</v>
    <v>3350462</v>
    <v>1960</v>
  </rv>
  <rv s="2">
    <v>30</v>
  </rv>
  <rv s="0">
    <v>https://www.bing.com/financeapi/forcetrigger?t=a1z8jc&amp;q=XNAS%3aON&amp;form=skydnc</v>
    <v>Learn more on Bing</v>
  </rv>
  <rv s="1">
    <v>0</v>
    <v>ON SEMICONDUCTOR CORPORATION (XNAS:ON)</v>
    <v>2</v>
    <v>3</v>
    <v>Finance</v>
    <v>4</v>
    <v>en-US</v>
    <v>a1z8jc</v>
    <v>268435456</v>
    <v>1</v>
    <v>Powered by Refinitiv</v>
    <v>73.760000000000005</v>
    <v>31.04</v>
    <v>1.5246999999999999</v>
    <v>1.34</v>
    <v>2.1495E-2</v>
    <v>USD</v>
    <v>ON Semiconductor Corporation operates under the onsemi brand. It provides intelligent power and intelligent sensing solutions. Its segments include the Power Solutions Group (PSG), the Analog &amp; Mixed-Signal Group (AMG), and the Intelligent Sensing Group (ISG). PSG offers an array of discrete, module and integrated semiconductor products that perform multiple application functions, including power switching, signal conditioning, and circuit protection. AMG designs and develops analog, mixed-signal, Power Management ICs, Sensor Interface devices, Power Conversion, Signal Chain, and Voltage Regulation devices for a broad base of end-users in the automotive, industrial, computing and mobile end-markets. ISG designs and develops CMOS image sensors, image signal processors, single photon detectors, including SiPM, SPAD arrays and short-wavelength infrared products, as well as actuator drivers for autofocus and image stabilization for a broad base of end-users in the different end-markets.</v>
    <v>22600</v>
    <v>Nasdaq Stock Market</v>
    <v>XNAS</v>
    <v>XNAS</v>
    <v>5701 NORTH PIMA ROAD, SCOTTSDALE, AZ, 85250 US</v>
    <v>64.349999999999994</v>
    <v>Semiconductors &amp; Semiconductor Equipment</v>
    <v>Stock</v>
    <v>46106.612801133597</v>
    <v>32</v>
    <v>63.47</v>
    <v>25091225440</v>
    <v>ON SEMICONDUCTOR CORPORATION</v>
    <v>ON SEMICONDUCTOR CORPORATION</v>
    <v>63.68</v>
    <v>192.21250000000001</v>
    <v>62.34</v>
    <v>63.68</v>
    <v>394020500</v>
    <v>ON</v>
    <v>ON SEMICONDUCTOR CORPORATION (XNAS:ON)</v>
    <v>1424750</v>
    <v>7285879</v>
    <v>2000</v>
  </rv>
  <rv s="2">
    <v>33</v>
  </rv>
  <rv s="0">
    <v>https://www.bing.com/financeapi/forcetrigger?t=bxi7yc&amp;q=XNAS%3aNVTS&amp;form=skydnc</v>
    <v>Learn more on Bing</v>
  </rv>
  <rv s="1">
    <v>0</v>
    <v>NAVITAS SEMICONDUCTOR CORPORATION (XNAS:NVTS)</v>
    <v>2</v>
    <v>3</v>
    <v>Finance</v>
    <v>4</v>
    <v>en-US</v>
    <v>bxi7yc</v>
    <v>268435456</v>
    <v>1</v>
    <v>Powered by Refinitiv</v>
    <v>17.79</v>
    <v>1.52</v>
    <v>3.1238999999999999</v>
    <v>0.49</v>
    <v>5.2801999999999995E-2</v>
    <v>USD</v>
    <v>Navitas Semiconductor Corporation is a power-semiconductor company. The Company is engaged in designing, developing and marketing power semiconductors, including gallium nitride (GaN) power integrated circuits (ICs), silicon carbide (SiC) power devices, associated silicon system controllers and digital isolators used in power conversion and charging. Power supplies incorporating its products are used in a variety of electronics products, including fast chargers for mobile phones and laptops, consumer electronics, data centers, solar inverters and electric vehicles, among numerous other applications. Its GaNFast power ICs integrate GaN power and drive, with control, sensing, and protection to enable faster charging, higher power density and energy savings. Its GeneSiC power devices are optimized with reliable SiC solutions. It also offers a range of SiC MOSFETs and diodes, which have lower resistance at higher temperatures, 25°C cooler and have three times longer device life expectancy.</v>
    <v>190</v>
    <v>Nasdaq Stock Market</v>
    <v>XNAS</v>
    <v>XNAS</v>
    <v>3520 Challenger St., TORRANCE, CA, 90503 US</v>
    <v>10</v>
    <v>Semiconductors &amp; Semiconductor Equipment</v>
    <v>Stock</v>
    <v>46106.61283975625</v>
    <v>35</v>
    <v>9.5500000000000007</v>
    <v>2254845656</v>
    <v>NAVITAS SEMICONDUCTOR CORPORATION</v>
    <v>NAVITAS SEMICONDUCTOR CORPORATION</v>
    <v>9.5500000000000007</v>
    <v>0</v>
    <v>9.2799999999999994</v>
    <v>9.77</v>
    <v>230792800</v>
    <v>NVTS</v>
    <v>NAVITAS SEMICONDUCTOR CORPORATION (XNAS:NVTS)</v>
    <v>5581391</v>
    <v>21391149</v>
    <v>2020</v>
  </rv>
  <rv s="2">
    <v>36</v>
  </rv>
  <rv s="0">
    <v>https://www.bing.com/financeapi/forcetrigger?t=bscw1h&amp;q=XNAS%3aINDI&amp;form=skydnc</v>
    <v>Learn more on Bing</v>
  </rv>
  <rv s="1">
    <v>0</v>
    <v>INDIE SEMICONDUCTOR, INC. (XNAS:INDI)</v>
    <v>2</v>
    <v>3</v>
    <v>Finance</v>
    <v>4</v>
    <v>en-US</v>
    <v>bscw1h</v>
    <v>268435456</v>
    <v>1</v>
    <v>Powered by Refinitiv</v>
    <v>6.05</v>
    <v>1.53</v>
    <v>2.6059000000000001</v>
    <v>0.27</v>
    <v>9.2149999999999996E-2</v>
    <v>USD</v>
    <v>indie Semiconductor, Inc. offers automotive semiconductors and software solutions for advanced driver assistance systems (ADAS), driver automation, in-cabin, user experience (including connected car) and electrification applications. The Company is focused on edge sensors across multiple modalities spanning light detection and ranging (LiDAR), radar, ultrasound and computer vision. It is an approved vendor to Tier 1 automotive suppliers and its platforms can be found in marquee automotive manufacturers around the world. Through analog, digital and mixed-signal integrated circuits (ICs) with software running on the embedded processors, it develops a differentiated, portfolio of automotive products. Its products include devices for a multitude of automotive applications spanning vision and radar processors, in-cabin wireless charging and USB power delivery, device interfacing through Apple CarPlay and Android Auto, high-speed video and data connectivity, and others.</v>
    <v>800</v>
    <v>Nasdaq Stock Market</v>
    <v>XNAS</v>
    <v>XNAS</v>
    <v>32 Journey, ALISO VIEJO, CA, 92656 US</v>
    <v>3.2250000000000001</v>
    <v>Semiconductors &amp; Semiconductor Equipment</v>
    <v>Stock</v>
    <v>46106.612731272653</v>
    <v>38</v>
    <v>3.0102000000000002</v>
    <v>715714240</v>
    <v>INDIE SEMICONDUCTOR, INC.</v>
    <v>INDIE SEMICONDUCTOR, INC.</v>
    <v>3.02</v>
    <v>0</v>
    <v>2.93</v>
    <v>3.2</v>
    <v>223660700</v>
    <v>INDI</v>
    <v>INDIE SEMICONDUCTOR, INC. (XNAS:INDI)</v>
    <v>2258208</v>
    <v>6593874</v>
    <v>2020</v>
  </rv>
  <rv s="2">
    <v>39</v>
  </rv>
  <rv s="0">
    <v>https://www.bing.com/financeapi/forcetrigger?t=a1u3p2&amp;q=XNAS%3aGOOG&amp;form=skydnc</v>
    <v>Learn more on Bing</v>
  </rv>
  <rv s="1">
    <v>0</v>
    <v>ALPHABET INC. (XNAS:GOOG)</v>
    <v>2</v>
    <v>3</v>
    <v>Finance</v>
    <v>4</v>
    <v>en-US</v>
    <v>a1u3p2</v>
    <v>268435456</v>
    <v>1</v>
    <v>Powered by Refinitiv</v>
    <v>350.15</v>
    <v>142.66</v>
    <v>1.1251</v>
    <v>1.19</v>
    <v>4.1149999999999997E-3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294.66000000000003</v>
    <v>Software &amp; IT Services</v>
    <v>Stock</v>
    <v>46106.612846214841</v>
    <v>41</v>
    <v>288.83999999999997</v>
    <v>3512847830000</v>
    <v>ALPHABET INC.</v>
    <v>ALPHABET INC.</v>
    <v>291.73</v>
    <v>26.903199999999998</v>
    <v>289.2</v>
    <v>290.39</v>
    <v>12097000000</v>
    <v>GOOG</v>
    <v>ALPHABET INC. (XNAS:GOOG)</v>
    <v>6222781</v>
    <v>19873148</v>
    <v>2015</v>
  </rv>
  <rv s="2">
    <v>42</v>
  </rv>
  <rv s="0">
    <v>https://www.bing.com/financeapi/forcetrigger?t=a25i77&amp;q=XNYS%3aVPG&amp;form=skydnc</v>
    <v>Learn more on Bing</v>
  </rv>
  <rv s="1">
    <v>0</v>
    <v>VISHAY PRECISION GROUP, INC. (XNYS:VPG)</v>
    <v>2</v>
    <v>3</v>
    <v>Finance</v>
    <v>4</v>
    <v>en-US</v>
    <v>a25i77</v>
    <v>268435456</v>
    <v>1</v>
    <v>Powered by Refinitiv</v>
    <v>56.25</v>
    <v>18.57</v>
    <v>0.90190000000000003</v>
    <v>2</v>
    <v>4.6761999999999998E-2</v>
    <v>USD</v>
    <v>Vishay Precision Group, Inc. is a provider of precision measurement and sensing technologies, which include sensors, weighing solutions and measurement systems. The Company operates through three segments: Sensors, Weighing Solutions, and Measurement Systems. The Sensors segment is comprised of its precision resistor and strain gage businesses. Precision resistor products offer precision, stability, and reliability. Its resistor portfolio encompasses a variety of configurations and packages designed to meet the requirements of demanding applications. The products in the Sensors segment are primarily based on its resistive foil technology. The Weighing Solutions segment is comprised of its VPG Transducers, VPG Onboard Weighing, BLH Nobel, Stress-Tek and Vulcan businesses. The Measurement Systems segment includes specialized systems for steel production, materials development, and safety testing. This segment is comprised of its KELK, Nokra, DSI, Pacific Instruments and DTS businesses.</v>
    <v>2100</v>
    <v>New York Stock Exchange</v>
    <v>XNYS</v>
    <v>XNYS</v>
    <v>3 Great Valley Pkwy Ste 150, MALVERN, PA, 19355 US</v>
    <v>45.65</v>
    <v>Machinery, Equipment &amp; Components</v>
    <v>Stock</v>
    <v>46106.612532210158</v>
    <v>44</v>
    <v>43.45</v>
    <v>595325045</v>
    <v>VISHAY PRECISION GROUP, INC.</v>
    <v>VISHAY PRECISION GROUP, INC.</v>
    <v>43.95</v>
    <v>112.8845</v>
    <v>42.77</v>
    <v>44.77</v>
    <v>13297410</v>
    <v>VPG</v>
    <v>VISHAY PRECISION GROUP, INC. (XNYS:VPG)</v>
    <v>37486</v>
    <v>193940</v>
    <v>2009</v>
  </rv>
  <rv s="2">
    <v>45</v>
  </rv>
  <rv s="0">
    <v>https://www.bing.com/financeapi/forcetrigger?t=a23n27&amp;q=XNYS%3aST&amp;form=skydnc</v>
    <v>Learn more on Bing</v>
  </rv>
  <rv s="1">
    <v>0</v>
    <v>SENSATA TECHNOLOGIES HOLDING PLC (XNYS:ST)</v>
    <v>2</v>
    <v>3</v>
    <v>Finance</v>
    <v>4</v>
    <v>en-US</v>
    <v>a23n27</v>
    <v>268435456</v>
    <v>1</v>
    <v>Powered by Refinitiv</v>
    <v>39.090000000000003</v>
    <v>17.32</v>
    <v>1.1191</v>
    <v>0.52</v>
    <v>1.4317E-2</v>
    <v>USD</v>
    <v>Sensata Technologies Holding plc is a global industrial technology company that develops, manufactures, and sells sensors and sensor-rich solutions, electrical protection components and systems, and other products. Its Performance Sensing segment serves the automotive and heavy vehicle and off-road industries through its development and manufacture of sensors, high-voltage solutions (electrical protection components), and other solutions. Its Sensing Solutions segment serves the industrial and aerospace industries through development and manufacture of a portfolio of application specific sensor and electrical protection products used in a range of industrial markets, including the appliance, heating, ventilation, and air conditioning, water management, operator controls, charging infrastructure, renewable energy generation, green hydrogen production, and microgrid applications and markets, as well as the aerospace market, including commercial aircraft, defense, and aftermarket markets.</v>
    <v>16700</v>
    <v>New York Stock Exchange</v>
    <v>XNYS</v>
    <v>XNYS</v>
    <v>529 Pleasant Street, ATTLEBORO, MA, 02703 US</v>
    <v>37.07</v>
    <v>Electronic Equipment &amp; Parts</v>
    <v>Stock</v>
    <v>46106.612829999998</v>
    <v>47</v>
    <v>36.475000000000001</v>
    <v>5371253580</v>
    <v>SENSATA TECHNOLOGIES HOLDING PLC</v>
    <v>SENSATA TECHNOLOGIES HOLDING PLC</v>
    <v>37.07</v>
    <v>184.84700000000001</v>
    <v>36.32</v>
    <v>36.840000000000003</v>
    <v>145799500</v>
    <v>ST</v>
    <v>SENSATA TECHNOLOGIES HOLDING PLC (XNYS:ST)</v>
    <v>210162</v>
    <v>2111691</v>
    <v>2017</v>
  </rv>
  <rv s="2">
    <v>48</v>
  </rv>
  <rv s="0">
    <v>https://www.bing.com/financeapi/forcetrigger?t=bwg3gh&amp;q=XNYS%3aOUST&amp;form=skydnc</v>
    <v>Learn more on Bing</v>
  </rv>
  <rv s="1">
    <v>0</v>
    <v>OUSTER, INC. (XNAS:OUST)</v>
    <v>2</v>
    <v>3</v>
    <v>Finance</v>
    <v>4</v>
    <v>en-US</v>
    <v>bwg3gh</v>
    <v>268435456</v>
    <v>1</v>
    <v>Powered by Refinitiv</v>
    <v>41.65</v>
    <v>6.34</v>
    <v>2.9340000000000002</v>
    <v>0.63</v>
    <v>3.0627000000000001E-2</v>
    <v>USD</v>
    <v>Ouster, Inc. is a provider of high-resolution scanning and solid-state lidar sensors and software solutions for the automotive, industrial, robotics, and smart infrastructure industries. Its products include high-resolution scanning and solid-state digital lidar sensors, analog lidar sensors, and software solutions. It offers high-resolution digital lidar sensors that offer advanced three-dimensional (3D) vision to machinery, vehicles, robots, and fixed infrastructure assets, which allows each to understand and visualize the surrounding world and enable safe operation and autonomy. It also offers perception software platforms for smart infrastructure deployments. Its digital lidar sensors leverage a simplified architecture based on over two semiconductor chips. Its software enables real-time people and object detection, classification, and tracking for actionable, intuitive, and customizable insights while preserving personally identifiable information.</v>
    <v>320</v>
    <v>Nasdaq Stock Market</v>
    <v>XNAS</v>
    <v>XNAS</v>
    <v>350 Treat Avenue, SAN FRANCISCO, CA, 94110 US</v>
    <v>21.36</v>
    <v>Electronic Equipment &amp; Parts</v>
    <v>Stock</v>
    <v>46106.612596353909</v>
    <v>50</v>
    <v>20.53</v>
    <v>1331444588</v>
    <v>OUSTER, INC.</v>
    <v>OUSTER, INC.</v>
    <v>21.09</v>
    <v>0</v>
    <v>20.57</v>
    <v>21.2</v>
    <v>62803990</v>
    <v>OUST</v>
    <v>OUSTER, INC. (XNAS:OUST)</v>
    <v>455316</v>
    <v>2025057</v>
    <v>2021</v>
  </rv>
  <rv s="2">
    <v>51</v>
  </rv>
  <rv s="0">
    <v>https://www.bing.com/financeapi/forcetrigger?t=a1x4w7&amp;q=XNAS%3aLSCC&amp;form=skydnc</v>
    <v>Learn more on Bing</v>
  </rv>
  <rv s="1">
    <v>0</v>
    <v>LATTICE SEMICONDUCTOR CORPORATION (XNAS:LSCC)</v>
    <v>2</v>
    <v>3</v>
    <v>Finance</v>
    <v>4</v>
    <v>en-US</v>
    <v>a1x4w7</v>
    <v>268435456</v>
    <v>1</v>
    <v>Powered by Refinitiv</v>
    <v>108.08</v>
    <v>34.685000000000002</v>
    <v>1.629</v>
    <v>1.8149999999999999</v>
    <v>1.8432E-2</v>
    <v>USD</v>
    <v>Lattice Semiconductor Corporation develops technologies and monetizes through differentiated programmable logic semiconductor products, system solutions, design services, and licenses. The Company is focused on solving customer problems across the network, from the Edge to the Cloud, in the communications, computing, industrial, automotive and consumer markets. It also serves its customers with intellectual property (IP) licensing and various other services. The Company's product development activities include new proprietary products, advanced packaging, existing product enhancements, software development tools, soft IP, and system solutions for high-growth applications, such as Edge Artificial Intelligence (AI), fifth generation (5G) infrastructure, platform security, and factory automation. Its field programmable gate array (FPGA) devices enable it to provide its customers with a growing base of control, connect, and compute technologies.</v>
    <v>1174</v>
    <v>Nasdaq Stock Market</v>
    <v>XNAS</v>
    <v>XNAS</v>
    <v>5555 NE MOORE CT, HILLSBORO, OR, 97124 US</v>
    <v>100.6</v>
    <v>Semiconductors &amp; Semiconductor Equipment</v>
    <v>Stock</v>
    <v>46106.612757881252</v>
    <v>53</v>
    <v>98.71</v>
    <v>13725947779</v>
    <v>LATTICE SEMICONDUCTOR CORPORATION</v>
    <v>LATTICE SEMICONDUCTOR CORPORATION</v>
    <v>100</v>
    <v>4497.0852000000004</v>
    <v>98.47</v>
    <v>100.285</v>
    <v>136869400</v>
    <v>LSCC</v>
    <v>LATTICE SEMICONDUCTOR CORPORATION (XNAS:LSCC)</v>
    <v>177272</v>
    <v>1793718</v>
    <v>1985</v>
  </rv>
  <rv s="2">
    <v>54</v>
  </rv>
  <rv s="0">
    <v>https://www.bing.com/financeapi/forcetrigger?t=a1vmf2&amp;q=XNAS%3aINTC&amp;form=skydnc</v>
    <v>Learn more on Bing</v>
  </rv>
  <rv s="1">
    <v>0</v>
    <v>INTEL CORPORATION (XNAS:INTC)</v>
    <v>2</v>
    <v>3</v>
    <v>Finance</v>
    <v>4</v>
    <v>en-US</v>
    <v>a1vmf2</v>
    <v>268435456</v>
    <v>1</v>
    <v>Powered by Refinitiv</v>
    <v>54.6</v>
    <v>17.664999999999999</v>
    <v>1.3543000000000001</v>
    <v>3.2301000000000002</v>
    <v>7.3311000000000001E-2</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85100</v>
    <v>Nasdaq Stock Market</v>
    <v>XNAS</v>
    <v>XNAS</v>
    <v>2200 Mission College Blvd, Rnb-4-151, SANTA CLARA, CA, 95054 US</v>
    <v>47.290100000000002</v>
    <v>Semiconductors &amp; Semiconductor Equipment</v>
    <v>Stock</v>
    <v>46106.61281431641</v>
    <v>56</v>
    <v>45.45</v>
    <v>237444065001</v>
    <v>INTEL CORPORATION</v>
    <v>INTEL CORPORATION</v>
    <v>45.92</v>
    <v>0</v>
    <v>44.06</v>
    <v>47.290100000000002</v>
    <v>5021010000</v>
    <v>INTC</v>
    <v>INTEL CORPORATION (XNAS:INTC)</v>
    <v>36454827</v>
    <v>82554640</v>
    <v>1989</v>
  </rv>
  <rv s="2">
    <v>57</v>
  </rv>
  <rv s="0">
    <v>https://www.bing.com/financeapi/forcetrigger?t=a223lh&amp;q=XNAS%3aRMBS&amp;form=skydnc</v>
    <v>Learn more on Bing</v>
  </rv>
  <rv s="1">
    <v>0</v>
    <v>RAMBUS INC. (XNAS:RMBS)</v>
    <v>2</v>
    <v>3</v>
    <v>Finance</v>
    <v>4</v>
    <v>en-US</v>
    <v>a223lh</v>
    <v>268435456</v>
    <v>1</v>
    <v>Powered by Refinitiv</v>
    <v>135.75</v>
    <v>40.119999999999997</v>
    <v>1.5964</v>
    <v>0.38500000000000001</v>
    <v>4.1539999999999997E-3</v>
    <v>USD</v>
    <v>Rambus Inc. is a global semiconductor company dedicated to enabling data centers and artificial intelligence by delivering memory and security solutions that address the evolving needs of the industry. It offers a balanced and diverse portfolio of products encompassing chips and silicon intellectual property (IP). Its solutions maximize performance and security in computationally intensive systems. Its DDR memory interface chips for server memory modules enable increased bandwidth and expanded capacity in enterprise and cloud servers. Its portfolio includes DDR5 and DDR4 memory interface chipsets. Its DDR5 chipset solutions include the Registering Clock Driver, Multiplexed Registering Clock Driver, Multiplexed Data Buffer, Power Management Integrated Circuits, Serial Presence Detect Hubs, Temperature Sensors, and Client Clock Driver. Its Silicon IP includes interface and security IP solutions that move and protect data in advanced data center, government and automotive applications.</v>
    <v>791</v>
    <v>Nasdaq Stock Market</v>
    <v>XNAS</v>
    <v>XNAS</v>
    <v>4453 North First Street, Suite 100, SAN JOSE, CA, 95134 US</v>
    <v>94.6</v>
    <v>Semiconductors &amp; Semiconductor Equipment</v>
    <v>Stock</v>
    <v>46106.612752476562</v>
    <v>59</v>
    <v>91.608999999999995</v>
    <v>10066936155</v>
    <v>RAMBUS INC.</v>
    <v>RAMBUS INC.</v>
    <v>94.45</v>
    <v>44.075899999999997</v>
    <v>92.69</v>
    <v>93.075000000000003</v>
    <v>108159400</v>
    <v>RMBS</v>
    <v>RAMBUS INC. (XNAS:RMBS)</v>
    <v>239931</v>
    <v>1792197</v>
    <v>1997</v>
  </rv>
  <rv s="2">
    <v>60</v>
  </rv>
  <rv s="0">
    <v>https://www.bing.com/financeapi/forcetrigger?t=bwgccw&amp;q=XNAS%3aALGM&amp;form=skydnc</v>
    <v>Learn more on Bing</v>
  </rv>
  <rv s="1">
    <v>0</v>
    <v>ALLEGRO MICROSYSTEMS, INC (XNAS:ALGM)</v>
    <v>2</v>
    <v>3</v>
    <v>Finance</v>
    <v>4</v>
    <v>en-US</v>
    <v>bwgccw</v>
    <v>268435456</v>
    <v>1</v>
    <v>Powered by Refinitiv</v>
    <v>43.86</v>
    <v>16.38</v>
    <v>1.6829000000000001</v>
    <v>0.47</v>
    <v>1.4426000000000001E-2</v>
    <v>USD</v>
    <v>Allegro MicroSystems, Inc. is engaged in power and sensing semiconductor solutions for motion control and energy-efficient systems. The Company is a global designer, developer, fabless manufacturer and marketer of sensor integrated circuits (ICs) and application-specific power ICs, enabling the important emerging technologies in the automotive and industrial markets. Its sensor ICs enable its customers to measure motion, speed, position and current, while its power ICs include high-temperature and high-voltage capable motor drivers, power management ICs, light-emitting diode (LED) driver ICs and isolated gate drivers. Its product portfolio includes over 1,500 products across a range of high-performance analog mixed-signal semiconductors. The Company also offers tunneling magnetoresistance (TMR) sensor solutions that provide the highest magnetic sensitivity, lowest power consumption, and the smallest size by comparison to other magnetic technologies.</v>
    <v>4060</v>
    <v>Nasdaq Stock Market</v>
    <v>XNAS</v>
    <v>XNAS</v>
    <v>955 Perimeter Road, MANCHESTER, NH, 03103 US</v>
    <v>33.299999999999997</v>
    <v>Semiconductors &amp; Semiconductor Equipment</v>
    <v>Stock</v>
    <v>46106.612710068752</v>
    <v>62</v>
    <v>32.725000000000001</v>
    <v>6123864244</v>
    <v>ALLEGRO MICROSYSTEMS, INC</v>
    <v>ALLEGRO MICROSYSTEMS, INC</v>
    <v>33.11</v>
    <v>0</v>
    <v>32.58</v>
    <v>33.049999999999997</v>
    <v>185290900</v>
    <v>ALGM</v>
    <v>ALLEGRO MICROSYSTEMS, INC (XNAS:ALGM)</v>
    <v>232366</v>
    <v>2248247</v>
    <v>2013</v>
  </rv>
  <rv s="2">
    <v>63</v>
  </rv>
  <rv s="0">
    <v>http://en.wikipedia.org/wiki/Public_domain</v>
    <v>Public domain</v>
  </rv>
  <rv s="0">
    <v>http://en.wikipedia.org/wiki/Qualcomm</v>
    <v>Wikipedia</v>
  </rv>
  <rv s="6">
    <v>65</v>
    <v>66</v>
  </rv>
  <rv s="7">
    <v>14</v>
    <v>https://www.bing.com/th?id=AMMS_2b1c176dae370ecc0d55a1517537f595&amp;qlt=95</v>
    <v>67</v>
    <v>0</v>
    <v>https://www.bing.com/images/search?form=xlimg&amp;q=qualcomm</v>
    <v>Image of QUALCOMM INCORPORATED</v>
  </rv>
  <rv s="0">
    <v>https://www.bing.com/financeapi/forcetrigger?t=a21k2w&amp;q=XNAS%3aQCOM&amp;form=skydnc</v>
    <v>Learn more on Bing</v>
  </rv>
  <rv s="8">
    <v>10</v>
    <v>QUALCOMM INCORPORATED (XNAS:QCOM)</v>
    <v>12</v>
    <v>13</v>
    <v>Finance</v>
    <v>4</v>
    <v>en-US</v>
    <v>a21k2w</v>
    <v>268435456</v>
    <v>1</v>
    <v>Powered by Refinitiv</v>
    <v>205.95</v>
    <v>120.8019</v>
    <v>1.2816000000000001</v>
    <v>2.9649999999999999</v>
    <v>2.3043000000000001E-2</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131.92500000000001</v>
    <v>68</v>
    <v>Semiconductors &amp; Semiconductor Equipment</v>
    <v>Stock</v>
    <v>46106.612733032031</v>
    <v>69</v>
    <v>130.16</v>
    <v>140454545000</v>
    <v>QUALCOMM INCORPORATED</v>
    <v>QUALCOMM INCORPORATED</v>
    <v>130.46</v>
    <v>27.1951</v>
    <v>128.66999999999999</v>
    <v>131.63499999999999</v>
    <v>1067000000</v>
    <v>QCOM</v>
    <v>QUALCOMM INCORPORATED (XNAS:QCOM)</v>
    <v>1578566</v>
    <v>12376310</v>
    <v>1991</v>
  </rv>
  <rv s="2">
    <v>70</v>
  </rv>
  <rv s="0">
    <v>https://www.bing.com/financeapi/forcetrigger?t=a1nda2&amp;q=XNAS%3aAMAT&amp;form=skydnc</v>
    <v>Learn more on Bing</v>
  </rv>
  <rv s="1">
    <v>0</v>
    <v>APPLIED MATERIALS, INC. (XNAS:AMAT)</v>
    <v>2</v>
    <v>3</v>
    <v>Finance</v>
    <v>4</v>
    <v>en-US</v>
    <v>a1nda2</v>
    <v>268435456</v>
    <v>1</v>
    <v>Powered by Refinitiv</v>
    <v>395.95</v>
    <v>123.73650000000001</v>
    <v>1.5969</v>
    <v>0.09</v>
    <v>2.4060000000000002E-4</v>
    <v>USD</v>
    <v>Applied Materials, Inc. is a materials engineering solution company. The Company provides equipment, services and software to the semiconductor, display, and related industries. It operates in three segments: Semiconductor Systems, Applied Global Services (AGS), and Display. The Semiconductor systems segment designs, develops, manufactures and sells a range of primarily 300 mm equipment used to fabricate semiconductor chips, also referred to as integrated circuits (ICs). The AGS segment provides services, spares and factory automation software to customer fabrication plants globally. The AGS segment also manufactures and sells 200mm and other equipment. The Display segment is comprised primarily of products for manufacturing liquid crystal displays (LCDs), organic light-emitting diodes (OLEDs), and other display technologies for televisions, monitors, laptops, personal computers (PCs), tablets, smartphones, and other consumer-oriented devices.</v>
    <v>35500</v>
    <v>Nasdaq Stock Market</v>
    <v>XNAS</v>
    <v>XNAS</v>
    <v>3050 Bowers Avenue, P.O. Box 58039, SANTA CLARA, CA, 95054-3299 US</v>
    <v>374.50990000000002</v>
    <v>Semiconductors &amp; Semiconductor Equipment</v>
    <v>Stock</v>
    <v>46106.612815740627</v>
    <v>72</v>
    <v>360.66</v>
    <v>296873591392</v>
    <v>APPLIED MATERIALS, INC.</v>
    <v>APPLIED MATERIALS, INC.</v>
    <v>372.56</v>
    <v>38.328299999999999</v>
    <v>373.99</v>
    <v>374.08</v>
    <v>793609900</v>
    <v>AMAT</v>
    <v>APPLIED MATERIALS, INC. (XNAS:AMAT)</v>
    <v>1454677</v>
    <v>7161999</v>
    <v>1987</v>
  </rv>
  <rv s="2">
    <v>73</v>
  </rv>
  <rv s="0">
    <v>https://www.bing.com/financeapi/forcetrigger?t=a1mxtc&amp;q=XNAS%3aAEHR&amp;form=skydnc</v>
    <v>Learn more on Bing</v>
  </rv>
  <rv s="1">
    <v>0</v>
    <v>AEHR TEST SYSTEMS (XNAS:AEHR)</v>
    <v>2</v>
    <v>3</v>
    <v>Finance</v>
    <v>4</v>
    <v>en-US</v>
    <v>a1mxtc</v>
    <v>268435456</v>
    <v>1</v>
    <v>Powered by Refinitiv</v>
    <v>46.95</v>
    <v>6.27</v>
    <v>2.2671000000000001</v>
    <v>1.54</v>
    <v>3.9296000000000005E-2</v>
    <v>USD</v>
    <v>Aehr Test Systems, Inc. offers test solutions for testing, burning-in, and stabilizing semiconductor devices in wafer level, singulated die, and package part form. Its products include the FOX-P family of test and burn-in systems and FOX WaferPak Aligner, FOX WaferPak Contactor, FOX DiePak Carrier and FOX DiePak Loader. The FOX-XP and FOX-NP systems are full wafer contact and singulated die/module test and burn-in systems that can test, burn-in and stabilize a range of devices such as silicon carbide-based and other power semiconductors, 2D and 3D sensors used in phones, tablets and other computing devices. FOX-CP system is a single-wafer compact test solution for logic, memory and photonic devices. FOX WaferPak Contactor contains a full wafer contactor capable of testing wafers up to 300 millimeters that enables integrated circuit manufacturers to perform testing, burn-in and stabilization of full wafers on the FOX-P systems. It offers packaged part reliability/burn-in test solutions.</v>
    <v>136</v>
    <v>Nasdaq Stock Market</v>
    <v>XNAS</v>
    <v>XNAS</v>
    <v>400 Kato Ter, FREMONT, CA, 94539 US</v>
    <v>41.09</v>
    <v>Semiconductors &amp; Semiconductor Equipment</v>
    <v>Stock</v>
    <v>46106.612783517972</v>
    <v>75</v>
    <v>38.9</v>
    <v>1247451558</v>
    <v>AEHR TEST SYSTEMS</v>
    <v>AEHR TEST SYSTEMS</v>
    <v>40.159999999999997</v>
    <v>0</v>
    <v>39.19</v>
    <v>40.729999999999997</v>
    <v>30627340</v>
    <v>AEHR</v>
    <v>AEHR TEST SYSTEMS (XNAS:AEHR)</v>
    <v>401365</v>
    <v>1718404</v>
    <v>1977</v>
  </rv>
  <rv s="2">
    <v>76</v>
  </rv>
  <rv s="0">
    <v>https://www.bing.com/financeapi/forcetrigger?t=a1ntlh&amp;q=XNAS%3aASML&amp;form=skydnc</v>
    <v>Learn more on Bing</v>
  </rv>
  <rv s="1">
    <v>0</v>
    <v>ASML Holding NV (XNAS:ASML)</v>
    <v>2</v>
    <v>3</v>
    <v>Finance</v>
    <v>4</v>
    <v>en-US</v>
    <v>a1ntlh</v>
    <v>268435456</v>
    <v>1</v>
    <v>Powered by Refinitiv</v>
    <v>1547.22</v>
    <v>578.51</v>
    <v>1.8562000000000001</v>
    <v>-0.62990000000000002</v>
    <v>-4.5009999999999999E-4</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43520</v>
    <v>Nasdaq Stock Market</v>
    <v>XNAS</v>
    <v>XNAS</v>
    <v>De Run 6501, VELDHOVEN, NOORD-BRABANT, 5504 DR NL</v>
    <v>1401.56</v>
    <v>Semiconductors &amp; Semiconductor Equipment</v>
    <v>Stock</v>
    <v>46106.612758356248</v>
    <v>78</v>
    <v>1366.6849999999999</v>
    <v>542937160097</v>
    <v>ASML Holding NV</v>
    <v>ASML Holding NV</v>
    <v>1394.09</v>
    <v>48.190899999999999</v>
    <v>1399.42</v>
    <v>1398.7900999999999</v>
    <v>388147700</v>
    <v>ASML</v>
    <v>ASML Holding NV (XNAS:ASML)</v>
    <v>662637</v>
    <v>1576535</v>
    <v>1994</v>
  </rv>
  <rv s="2">
    <v>79</v>
  </rv>
  <rv s="0">
    <v>https://www.bing.com/financeapi/forcetrigger?t=a1yy2w&amp;q=XNAS%3aNXPI&amp;form=skydnc</v>
    <v>Learn more on Bing</v>
  </rv>
  <rv s="1">
    <v>0</v>
    <v>NXP Semiconductors NV (XNAS:NXPI)</v>
    <v>2</v>
    <v>3</v>
    <v>Finance</v>
    <v>4</v>
    <v>en-US</v>
    <v>a1yy2w</v>
    <v>268435456</v>
    <v>1</v>
    <v>Powered by Refinitiv</v>
    <v>256.36</v>
    <v>148.09</v>
    <v>1.4690000000000001</v>
    <v>3.444</v>
    <v>1.7627E-2</v>
    <v>USD</v>
    <v>NXP Semiconductors N.V. is a Netherlands-based holding company primarily engaged in the semiconductor industry. The Company through its subsidiaries focuses on the design, development, and manufacturing of semiconductor products used in a wide range of applications across automotive, industrial, mobile, and communication infrastructure markets. NXP Semiconductors discloses its revenue by end-markets. Automotive includes products for vehicle control, safety, infotainment, and electrification; Industrial &amp; Internet of Things (IoT) covers applications in smart home, smart city, and industrial automation. The Company has one reportable segment representing the entity as a whole, it reflects the operating decisions and allocation of resources of the Company.</v>
    <v>32169</v>
    <v>Nasdaq Stock Market</v>
    <v>XNAS</v>
    <v>XNAS</v>
    <v>High Tech Campus 60, EINDHOVEN, NOORD-BRABANT, 5656AG NL</v>
    <v>201.98</v>
    <v>Semiconductors &amp; Semiconductor Equipment</v>
    <v>Stock</v>
    <v>46106.612802337499</v>
    <v>81</v>
    <v>198.36</v>
    <v>50242929307</v>
    <v>NXP Semiconductors NV</v>
    <v>NXP Semiconductors NV</v>
    <v>199.2</v>
    <v>25.021999999999998</v>
    <v>195.386</v>
    <v>198.83</v>
    <v>252692900</v>
    <v>NXPI</v>
    <v>NXP Semiconductors NV (XNAS:NXPI)</v>
    <v>255647</v>
    <v>2572501</v>
    <v>2010</v>
  </rv>
  <rv s="2">
    <v>82</v>
  </rv>
  <rv s="0">
    <v>https://www.bing.com/financeapi/forcetrigger?t=a1yv52&amp;q=XNAS%3aNVDA&amp;form=skydnc</v>
    <v>Learn more on Bing</v>
  </rv>
  <rv s="1">
    <v>0</v>
    <v>NVIDIA CORPORATION (XNAS:NVDA)</v>
    <v>2</v>
    <v>3</v>
    <v>Finance</v>
    <v>4</v>
    <v>en-US</v>
    <v>a1yv52</v>
    <v>268435456</v>
    <v>1</v>
    <v>Powered by Refinitiv</v>
    <v>212.18989999999999</v>
    <v>86.62</v>
    <v>2.3397000000000001</v>
    <v>5.2050000000000001</v>
    <v>2.9708999999999999E-2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42000</v>
    <v>Nasdaq Stock Market</v>
    <v>XNAS</v>
    <v>XNAS</v>
    <v>2788 San Tomas Expressway, SANTA CLARA, CA, 95051 US</v>
    <v>180.44</v>
    <v>Semiconductors &amp; Semiconductor Equipment</v>
    <v>Stock</v>
    <v>46106.612801839845</v>
    <v>84</v>
    <v>176.86</v>
    <v>4383841500000</v>
    <v>NVIDIA CORPORATION</v>
    <v>NVIDIA CORPORATION</v>
    <v>177.02</v>
    <v>36.803800000000003</v>
    <v>175.2</v>
    <v>180.405</v>
    <v>24300000000</v>
    <v>NVDA</v>
    <v>NVIDIA CORPORATION (XNAS:NVDA)</v>
    <v>52846463</v>
    <v>192395665</v>
    <v>1998</v>
  </rv>
  <rv s="2">
    <v>85</v>
  </rv>
  <rv s="0">
    <v>https://www.bing.com/financeapi/forcetrigger?t=a26dyc&amp;q=XNAS%3aYNDX&amp;form=skydnc</v>
    <v>Learn more on Bing</v>
  </rv>
  <rv s="1">
    <v>0</v>
    <v>Nebius Group NV (XNAS:NBIS)</v>
    <v>2</v>
    <v>3</v>
    <v>Finance</v>
    <v>4</v>
    <v>en-US</v>
    <v>a26dyc</v>
    <v>268435456</v>
    <v>1</v>
    <v>Powered by Refinitiv</v>
    <v>141.1</v>
    <v>18.309999999999999</v>
    <v>-13.254</v>
    <v>1.4850000000000001</v>
    <v>1.2923E-2</v>
    <v>USD</v>
    <v>Nebius Group NV is a Netherlands-based infrastructure company operating in the technology industry. The Company is engaged in developing a portfolio of artificial intelligence-related technology assets. It is involved in creating an artificial intelligence-centric player to integrate the essential elements of artificial intelligence development with infrastructure, data and advisory globally. It offers products and services such as a cloud platform for artificial intelligence-related workloads, development team services for autonomous vehicles, development of generative artificial intelligence. Nebius builds full-stack infrastructure to service the growth of the global AI industry, including GPU clusters, cloud platforms and tools and services for developers. Company is developing three other businesses that operate under their own brands: Toloka AI, TripleTen and Avride.</v>
    <v>1371</v>
    <v>Nasdaq Stock Market</v>
    <v>XNAS</v>
    <v>XNAS</v>
    <v>Schiphol Boulevard 165, SCHIPHOL, NOORD-HOLLAND, 1118BG NL</v>
    <v>118.8</v>
    <v>Professional &amp; Commercial Services</v>
    <v>Stock</v>
    <v>46106.612785103905</v>
    <v>87</v>
    <v>114.06</v>
    <v>29449913715</v>
    <v>Nebius Group NV</v>
    <v>Nebius Group NV</v>
    <v>116.87</v>
    <v>698.64949999999999</v>
    <v>114.91</v>
    <v>116.395</v>
    <v>253017000</v>
    <v>NBIS</v>
    <v>Nebius Group NV (XNAS:NBIS)</v>
    <v>5234560</v>
    <v>16830687</v>
    <v>2004</v>
  </rv>
  <rv s="2">
    <v>88</v>
  </rv>
  <rv s="0">
    <v>https://www.bing.com/financeapi/forcetrigger?t=a234r7&amp;q=XNAS%3aSMCI&amp;form=skydnc</v>
    <v>Learn more on Bing</v>
  </rv>
  <rv s="1">
    <v>0</v>
    <v>SUPER MICRO COMPUTER, INC. (XNAS:SMCI)</v>
    <v>2</v>
    <v>3</v>
    <v>Finance</v>
    <v>4</v>
    <v>en-US</v>
    <v>a234r7</v>
    <v>268435456</v>
    <v>1</v>
    <v>Powered by Refinitiv</v>
    <v>62.357999999999997</v>
    <v>19.48</v>
    <v>1.6309</v>
    <v>1.6398999999999999</v>
    <v>7.3770000000000002E-2</v>
    <v>USD</v>
    <v>Super Micro Computer, Inc. provides application-optimized Total IT solutions. It delivers rack-scale solutions optimized for various workloads, including artificial intelligence and high-performance computing, where acceleration is critical. It produces a portfolio of server and storage solutions for enterprise data centers, cloud service providers and edge computing (5G Telco, Retail and embedded). Total IT Solutions include complete servers, storage systems, modular blade servers, workstations, full-rack scale solutions, networking devices, server sub-systems, server management and security software. It provides global support and services to help its customers install, upgrade and maintain their computing infrastructure, including liquid-cooling operations. It offers platforms in rackmount, blade, multi-node and embedded form factors, which support single, dual and multiprocessor architectures. Its key product lines include SuperBlade and MicroBlade, SuperStorage, Twin and others.</v>
    <v>6238</v>
    <v>Nasdaq Stock Market</v>
    <v>XNAS</v>
    <v>XNAS</v>
    <v>980 Rock Avenue, SAN JOSE, CA, 95131 US</v>
    <v>24.024999999999999</v>
    <v>Computers, Phones &amp; Household Electronics</v>
    <v>Stock</v>
    <v>46106.612778807816</v>
    <v>90</v>
    <v>22.57</v>
    <v>14333442904</v>
    <v>SUPER MICRO COMPUTER, INC.</v>
    <v>SUPER MICRO COMPUTER, INC.</v>
    <v>22.58</v>
    <v>18.196300000000001</v>
    <v>22.23</v>
    <v>23.869900000000001</v>
    <v>600481900</v>
    <v>SMCI</v>
    <v>SUPER MICRO COMPUTER, INC. (XNAS:SMCI)</v>
    <v>26909169</v>
    <v>39126866</v>
    <v>2006</v>
  </rv>
  <rv s="2">
    <v>91</v>
  </rv>
  <rv s="0">
    <v>https://www.bing.com/financeapi/forcetrigger?t=a1y4oc&amp;q=XNAS%3aMU&amp;form=skydnc</v>
    <v>Learn more on Bing</v>
  </rv>
  <rv s="1">
    <v>0</v>
    <v>MICRON TECHNOLOGY, INC. (XNAS:MU)</v>
    <v>2</v>
    <v>3</v>
    <v>Finance</v>
    <v>4</v>
    <v>en-US</v>
    <v>a1y4oc</v>
    <v>268435456</v>
    <v>1</v>
    <v>Powered by Refinitiv</v>
    <v>471.34</v>
    <v>61.54</v>
    <v>1.5364</v>
    <v>-13.96</v>
    <v>-3.5293999999999999E-2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388.92</v>
    <v>Semiconductors &amp; Semiconductor Equipment</v>
    <v>Stock</v>
    <v>46106.612809825783</v>
    <v>93</v>
    <v>371.38099999999997</v>
    <v>430309462380</v>
    <v>MICRON TECHNOLOGY, INC.</v>
    <v>MICRON TECHNOLOGY, INC.</v>
    <v>383</v>
    <v>36.270899999999997</v>
    <v>395.53</v>
    <v>381.57</v>
    <v>1127734000</v>
    <v>MU</v>
    <v>MICRON TECHNOLOGY, INC. (XNAS:MU)</v>
    <v>24691174</v>
    <v>38172015</v>
    <v>1984</v>
  </rv>
  <rv s="2">
    <v>94</v>
  </rv>
  <rv s="0">
    <v>https://www.bing.com/financeapi/forcetrigger?t=c4s6z2&amp;q=XNAS%3aCRDO&amp;form=skydnc</v>
    <v>Learn more on Bing</v>
  </rv>
  <rv s="9">
    <v>15</v>
    <v>Credo Technology Group Holding Ltd (XNAS:CRDO)</v>
    <v>2</v>
    <v>16</v>
    <v>Finance</v>
    <v>4</v>
    <v>en-US</v>
    <v>c4s6z2</v>
    <v>268435456</v>
    <v>1</v>
    <v>Powered by Refinitiv</v>
    <v>213.8</v>
    <v>29.09</v>
    <v>2.6899000000000002</v>
    <v>2.79</v>
    <v>2.7816999999999998E-2</v>
    <v>USD</v>
    <v>Credo Technology Group Holding Ltd is a Cayman Islands-based holding company. The Company delivers high-speed solutions to break bandwidth barriers on every wired connection in the data infrastructure market. It provides high-speed connectivity solutions that deliver improved power efficiency as data rates and corresponding bandwidth requirements increase exponentially throughout the data infrastructure market. Its connectivity solutions are optimized for optical and electrical Ethernet applications, including the emerging 100 gigabits per second (G), 200G, 400G, 800G and the emerging 1.6 terabits per second (T) port markets. Its products are based on its Serializer/Deserializer (SerDes) and Digital Signal Processor (DSP) technologies. Its product families include integrated circuits (ICs) for the optical and line card markets, active electrical cables (AECs) and SerDes Chiplets. The Company’s intellectual property (IP) solutions consist primarily of SerDes IP licensing.</v>
    <v>622</v>
    <v>Nasdaq Stock Market</v>
    <v>XNAS</v>
    <v>XNAS</v>
    <v>C/O Maples Corporate Services, Limited, Po Box 309, Ugland House, GRAND CAYMAN, KY1-1104 KY</v>
    <v>103.66</v>
    <v>Semiconductors &amp; Semiconductor Equipment</v>
    <v>Stock</v>
    <v>46106.612811191408</v>
    <v>96</v>
    <v>101.16</v>
    <v>19014940191</v>
    <v>Credo Technology Group Holding Ltd</v>
    <v>Credo Technology Group Holding Ltd</v>
    <v>102.2</v>
    <v>90.074299999999994</v>
    <v>100.3</v>
    <v>103.09</v>
    <v>184449900</v>
    <v>CRDO</v>
    <v>Credo Technology Group Holding Ltd (XNAS:CRDO)</v>
    <v>1623151</v>
    <v>7591483</v>
  </rv>
  <rv s="2">
    <v>97</v>
  </rv>
  <rv s="0">
    <v>https://www.bing.com/financeapi/forcetrigger?t=a24kjc&amp;q=XNYS%3aTSM&amp;form=skydnc</v>
    <v>Learn more on Bing</v>
  </rv>
  <rv s="1">
    <v>0</v>
    <v>Taiwan Semiconductor Manufacturing Company Limited (XNYS:TSM)</v>
    <v>2</v>
    <v>3</v>
    <v>Finance</v>
    <v>4</v>
    <v>en-US</v>
    <v>a24kjc</v>
    <v>268435456</v>
    <v>1</v>
    <v>Powered by Refinitiv</v>
    <v>390.20499999999998</v>
    <v>134.25</v>
    <v>1.3467</v>
    <v>5.2750000000000004</v>
    <v>1.5368E-2</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348.8</v>
    <v>Semiconductors &amp; Semiconductor Equipment</v>
    <v>Stock</v>
    <v>46106.612765786718</v>
    <v>99</v>
    <v>343.5</v>
    <v>1807626655125</v>
    <v>Taiwan Semiconductor Manufacturing Company Limited</v>
    <v>Taiwan Semiconductor Manufacturing Company Limited</v>
    <v>345.07</v>
    <v>32.967100000000002</v>
    <v>343.25</v>
    <v>348.52499999999998</v>
    <v>5186505000</v>
    <v>TSM</v>
    <v>Taiwan Semiconductor Manufacturing Company Limited (XNYS:TSM)</v>
    <v>4908859</v>
    <v>12992080</v>
    <v>1987</v>
  </rv>
  <rv s="2">
    <v>100</v>
  </rv>
  <rv s="0">
    <v>https://www.bing.com/financeapi/forcetrigger?t=b19hc7&amp;q=XNYS%3aVRT&amp;form=skydnc</v>
    <v>Learn more on Bing</v>
  </rv>
  <rv s="1">
    <v>0</v>
    <v>VERTIV HOLDINGS CO (XNYS:VRT)</v>
    <v>2</v>
    <v>3</v>
    <v>Finance</v>
    <v>4</v>
    <v>en-US</v>
    <v>b19hc7</v>
    <v>268435456</v>
    <v>1</v>
    <v>Powered by Refinitiv</v>
    <v>282</v>
    <v>53.6</v>
    <v>2.0152000000000001</v>
    <v>9.5299999999999994</v>
    <v>3.5179999999999996E-2</v>
    <v>USD</v>
    <v>Vertiv Holdings Co. provides mission-critical digital infrastructure technologies and lifecycle services primarily for data centers, communication networks, and commercial and industrial environments. The Company operates in three business segments: the Americas; Asia Pacific, and Europe, Middle East &amp; Africa. The Company's offerings include alternate current (AC) and direct current (DC) power management, thermal management, low/medium voltage switchgear, busbar, air cooled and liquid cooled thermal management products, integrated modular solutions, racks, single phase UPS, rack power distribution, rack thermal systems, configurable integrated solutions, energy storage solutions, hardware, software for managing IT equipment, management systems for monitoring and controlling digital infrastructure, and services. It also provides preventative maintenance, acceptance testing, engineering and consulting, remote monitoring, training, spare parts, specialized fluid management, and others.</v>
    <v>34000</v>
    <v>New York Stock Exchange</v>
    <v>XNYS</v>
    <v>XNYS</v>
    <v>505 N. Cleveland Ave., WESTERVILLE, OH, 43082 US</v>
    <v>282</v>
    <v>Machinery, Equipment &amp; Components</v>
    <v>Stock</v>
    <v>46106.612731250003</v>
    <v>102</v>
    <v>274.60000000000002</v>
    <v>107288243328</v>
    <v>VERTIV HOLDINGS CO</v>
    <v>VERTIV HOLDINGS CO</v>
    <v>276.49</v>
    <v>82.236999999999995</v>
    <v>270.89</v>
    <v>280.42</v>
    <v>382598400</v>
    <v>VRT</v>
    <v>VERTIV HOLDINGS CO (XNYS:VRT)</v>
    <v>1928233</v>
    <v>10339150</v>
    <v>2016</v>
  </rv>
  <rv s="2">
    <v>103</v>
  </rv>
  <rv s="0">
    <v>https://www.bing.com/financeapi/forcetrigger?t=a1pv77&amp;q=XNYS%3aCLS&amp;form=skydnc</v>
    <v>Learn more on Bing</v>
  </rv>
  <rv s="1">
    <v>0</v>
    <v>CELESTICA INC. (XNYS:CLS)</v>
    <v>2</v>
    <v>17</v>
    <v>Finance</v>
    <v>4</v>
    <v>en-US</v>
    <v>a1pv77</v>
    <v>268435456</v>
    <v>1</v>
    <v>Powered by Refinitiv</v>
    <v>363.4</v>
    <v>58.05</v>
    <v>1.2471000000000001</v>
    <v>5.82</v>
    <v>1.9302E-2</v>
    <v>USD</v>
    <v>Celestica Inc. is engaged in designing, manufacturing and providing hardware platform and supply chain solutions. It delivers supply chain solutions globally to customers in two operating segments: Advanced Technology Solutions (ATS) and Connectivity &amp; Cloud Solutions (CCS). The ATS segment consists of its ATS end market and comprises its Aerospace &amp; Defense (A&amp;D), Industrial, HealthTech, and Capital Equipment businesses. Its Capital Equipment business comprises its semiconductor, display, and robotics equipment businesses. The CCS segment consists of its communications and enterprise end markets. The enterprise end market consists of Celestica’s servers and storage businesses. It offers a range of product manufacturing and related supply chain services to customers in both of its segments, including design and development, new product introduction, engineering services, component sourcing, electronics manufacturing and assembly, testing, systems integration, among others.</v>
    <v>29591</v>
    <v>New York Stock Exchange</v>
    <v>XNYS</v>
    <v>XNYS</v>
    <v>5140 Yonge Street, Suite 1900, TORONTO, ON, M2N 6L7 CA</v>
    <v>309.38</v>
    <v>Electronic Equipment &amp; Parts</v>
    <v>Stock</v>
    <v>46106.612835902342</v>
    <v>105</v>
    <v>302</v>
    <v>52395670000</v>
    <v>CELESTICA INC.</v>
    <v>CELESTICA INC.</v>
    <v>305.77999999999997</v>
    <v>42.898200000000003</v>
    <v>301.52</v>
    <v>307.33999999999997</v>
    <v>114906800</v>
    <v>CLS</v>
    <v>CELESTICA INC. (XNYS:CLS)</v>
    <v>632638</v>
    <v>1856019</v>
    <v>1996</v>
  </rv>
  <rv s="2">
    <v>106</v>
  </rv>
  <rv s="0">
    <v>https://www.bing.com/financeapi/forcetrigger?t=a1ndww&amp;q=XNAS%3aAMD&amp;form=skydnc</v>
    <v>Learn more on Bing</v>
  </rv>
  <rv s="1">
    <v>0</v>
    <v>ADVANCED MICRO DEVICES, INC. (XNAS:AMD)</v>
    <v>2</v>
    <v>3</v>
    <v>Finance</v>
    <v>4</v>
    <v>en-US</v>
    <v>a1ndww</v>
    <v>268435456</v>
    <v>1</v>
    <v>Powered by Refinitiv</v>
    <v>267.07990000000001</v>
    <v>76.48</v>
    <v>1.9661999999999999</v>
    <v>13.54</v>
    <v>6.5930000000000002E-2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219.84</v>
    <v>Semiconductors &amp; Semiconductor Equipment</v>
    <v>Stock</v>
    <v>46106.612840763279</v>
    <v>108</v>
    <v>211.505</v>
    <v>356913272010</v>
    <v>ADVANCED MICRO DEVICES, INC.</v>
    <v>ADVANCED MICRO DEVICES, INC.</v>
    <v>211.66</v>
    <v>84.053899999999999</v>
    <v>205.37</v>
    <v>218.91</v>
    <v>1630411000</v>
    <v>AMD</v>
    <v>ADVANCED MICRO DEVICES, INC. (XNAS:AMD)</v>
    <v>17698918</v>
    <v>34353395</v>
    <v>1969</v>
  </rv>
  <rv s="2">
    <v>109</v>
  </rv>
  <rv s="0">
    <v>https://www.bing.com/financeapi/forcetrigger?t=a1tdvh&amp;q=XNAS%3aFSLR&amp;form=skydnc</v>
    <v>Learn more on Bing</v>
  </rv>
  <rv s="1">
    <v>0</v>
    <v>FIRST SOLAR, INC. (XNAS:FSLR)</v>
    <v>2</v>
    <v>3</v>
    <v>Finance</v>
    <v>4</v>
    <v>en-US</v>
    <v>a1tdvh</v>
    <v>268435456</v>
    <v>1</v>
    <v>Powered by Refinitiv</v>
    <v>285.99</v>
    <v>116.5625</v>
    <v>1.6244000000000001</v>
    <v>2.9249999999999998</v>
    <v>1.5167E-2</v>
    <v>USD</v>
    <v>First Solar, Inc. is a photovoltaic (PV) solar technology and manufacturing company. It is focused on enabling power generation needs with its advanced, thin film PV technology. The Company's primary segment is its modules business, which involves the design, manufacture, and sale of CdTe solar modules, which convert sunlight into electricity. Third-party customers of the segment include system developers, independent power producers, utilities, commercial and industrial companies, and other system owners and operators. The Company's products include the Series 7 Module and Series 6 Plus module. Its Series 6 Plus module is a glass laminate approximately 4ft x 6ft in size that encapsulates thin film PV semiconductor materials. Its Series 7 module has a larger form factor of approximately 4ft x 7ft in size. The Series 6 Plus and Series 7 modules had an average power output of 459 watts and 531 watts, respectively.</v>
    <v>7900</v>
    <v>Nasdaq Stock Market</v>
    <v>XNAS</v>
    <v>XNAS</v>
    <v>4300 E Camelback Road, Suite 220, PHOENIX, AZ, 85018 US</v>
    <v>197.14</v>
    <v>Renewable Energy</v>
    <v>Stock</v>
    <v>46106.612835914064</v>
    <v>111</v>
    <v>193.35</v>
    <v>21008811025</v>
    <v>FIRST SOLAR, INC.</v>
    <v>FIRST SOLAR, INC.</v>
    <v>195.44</v>
    <v>13.779299999999999</v>
    <v>192.85</v>
    <v>195.77500000000001</v>
    <v>107311000</v>
    <v>FSLR</v>
    <v>FIRST SOLAR, INC. (XNAS:FSLR)</v>
    <v>196934</v>
    <v>2481303</v>
    <v>2003</v>
  </rv>
  <rv s="2">
    <v>112</v>
  </rv>
  <rv s="0">
    <v>https://www.bing.com/financeapi/forcetrigger?t=a1ngm7&amp;q=XNAS%3aAMSC&amp;form=skydnc</v>
    <v>Learn more on Bing</v>
  </rv>
  <rv s="1">
    <v>0</v>
    <v>AMERICAN SUPERCONDUCTOR CORPORATION (XNAS:AMSC)</v>
    <v>2</v>
    <v>3</v>
    <v>Finance</v>
    <v>4</v>
    <v>en-US</v>
    <v>a1ngm7</v>
    <v>268435456</v>
    <v>1</v>
    <v>Powered by Refinitiv</v>
    <v>70.485699999999994</v>
    <v>13.98</v>
    <v>3.0122</v>
    <v>2.1800000000000002</v>
    <v>6.7680999999999991E-2</v>
    <v>USD</v>
    <v>American Superconductor Corporation is a provider of megawatt-scale power resiliency solutions. The Company's solutions include Gridtec, Marinetec and Windtec. The Company, through its Gridtec solutions, provides engineering planning services and advanced grid systems that optimize network reliability, efficiency and performance. The Company, through its Marinetec solutions, provides ship protection and is developing propulsion and power management solutions designed to help fleets increase system efficiencies, enhance power quality and boost operational safety. The Company, through its Windtec solutions, provides wind turbine electronic controls and systems, designs and engineering services. The Company's segments include Grid and Wind. Its products include Utility Voltage Solutions, Turbine Designs, Renewable Interconnectivity Solutions, Power Converters, Generators &amp; Drivetrains, Utility &amp; Industrial Resilience and Modernization Solutions, and Electric Control Systems.</v>
    <v>569</v>
    <v>Nasdaq Stock Market</v>
    <v>XNAS</v>
    <v>XNAS</v>
    <v>114 East Main Street, AYER, MA, 01432 US</v>
    <v>34.65</v>
    <v>Machinery, Equipment &amp; Components</v>
    <v>Stock</v>
    <v>46106.612691990624</v>
    <v>114</v>
    <v>32.573</v>
    <v>1637386653</v>
    <v>AMERICAN SUPERCONDUCTOR CORPORATION</v>
    <v>AMERICAN SUPERCONDUCTOR CORPORATION</v>
    <v>32.869999999999997</v>
    <v>11.739599999999999</v>
    <v>32.21</v>
    <v>34.39</v>
    <v>47612290</v>
    <v>AMSC</v>
    <v>AMERICAN SUPERCONDUCTOR CORPORATION (XNAS:AMSC)</v>
    <v>218100</v>
    <v>893457</v>
    <v>1987</v>
  </rv>
  <rv s="2">
    <v>115</v>
  </rv>
  <rv s="3">
    <v>5</v>
    <v>EVERUS CONSTRUCTION GROUP, INC. (XNYS:ECG)</v>
    <v>6</v>
    <v>3</v>
    <v>Finance</v>
    <v>4</v>
    <v>en-US</v>
    <v>cex3ar</v>
    <v>268435456</v>
    <v>1</v>
    <v>Powered by Refinitiv</v>
    <v>137.63999999999999</v>
    <v>31.38</v>
    <v>1.819</v>
    <v>2.6549999999999998</v>
    <v>2.198E-2</v>
    <v>USD</v>
    <v>Everus Construction Group, Inc. is a construction solutions provider offering specialty contracting services to a set of end markets across the United States. Its segments are Electrical &amp; Mechanical (E&amp;M) and Transmission &amp; Distribution (T&amp;D). Its E&amp;M segment offers a variety of specialty contracting services, including construction and maintenance of electrical and communication wiring, fire suppression systems, and mechanical piping and services to customers in both the public and private sectors. Its T&amp;D segment specializes in transmission and distribution construction and offers a set of specialty contracting services, including the construction and maintenance of overhead and underground electrical, gas and communication infrastructure. The T&amp;D segment also designs, manufactures, sells and rents overhead and underground line-stringing equipment and tools. This segment also provides solutions for excavation and underground boring, substations, signals and lighting, and others.</v>
    <v>9400</v>
    <v>New York Stock Exchange</v>
    <v>XNYS</v>
    <v>XNYS</v>
    <v>1730 Burnt Boat Drive, BISMARCK, ND, 58503 US</v>
    <v>124</v>
    <v>Construction &amp; Engineering</v>
    <v>Stock</v>
    <v>46106.612581411719</v>
    <v>120.3</v>
    <v>6296524550</v>
    <v>EVERUS CONSTRUCTION GROUP, INC.</v>
    <v>EVERUS CONSTRUCTION GROUP, INC.</v>
    <v>122.19</v>
    <v>31.279599999999999</v>
    <v>120.79</v>
    <v>123.44499999999999</v>
    <v>51006720</v>
    <v>ECG</v>
    <v>EVERUS CONSTRUCTION GROUP, INC. (XNYS:ECG)</v>
    <v>47698</v>
    <v>712373</v>
    <v>2024</v>
  </rv>
  <rv s="2">
    <v>117</v>
  </rv>
  <rv s="0">
    <v>https://www.bing.com/financeapi/forcetrigger?t=a1n4gh&amp;q=XNYS%3aAGX&amp;form=skydnc</v>
    <v>Learn more on Bing</v>
  </rv>
  <rv s="1">
    <v>0</v>
    <v>ARGAN, INC. (XNYS:AGX)</v>
    <v>2</v>
    <v>3</v>
    <v>Finance</v>
    <v>4</v>
    <v>en-US</v>
    <v>a1n4gh</v>
    <v>268435456</v>
    <v>1</v>
    <v>Powered by Refinitiv</v>
    <v>492.7</v>
    <v>111.16</v>
    <v>0.57609999999999995</v>
    <v>-4.66</v>
    <v>-1.0476000000000001E-2</v>
    <v>USD</v>
    <v>Argan, Inc. is a holding company. The Company is a construction firm that conducts operations through its subsidiaries, Gemma Power Systems, LLC and affiliates (GPS), Atlantic Projects Company Limited and affiliates (APC), The Roberts Company, Inc. (TRC), and Southern Maryland Cable, Inc. (SMC). Through GPS and APC, its power industry services, it offers a suite of engineering, procurement, construction, commissioning, maintenance, project development and technical consulting services to the power generation market, including the renewable energy sector. Through TRC, the industrial construction services provide field services and project management that support new plant construction and additions, maintenance turnarounds, shutdowns and emergency mobilizations for industrial plants. Through SMC, its telecommunications infrastructure services provide project management, construction, installation and maintenance services to commercial, local government and federal government customers.</v>
    <v>1595</v>
    <v>New York Stock Exchange</v>
    <v>XNYS</v>
    <v>XNYS</v>
    <v>4075 Wilson Boulevard Suite 440, ARLINGTON, VA, 22203 US</v>
    <v>454.55</v>
    <v>Construction &amp; Engineering</v>
    <v>Stock</v>
    <v>46106.612734930466</v>
    <v>119</v>
    <v>432.81009999999998</v>
    <v>6106658879</v>
    <v>ARGAN, INC.</v>
    <v>ARGAN, INC.</v>
    <v>454.55</v>
    <v>51.877499999999998</v>
    <v>444.83</v>
    <v>440.17</v>
    <v>13873410</v>
    <v>AGX</v>
    <v>ARGAN, INC. (XNYS:AGX)</v>
    <v>82261</v>
    <v>486419</v>
    <v>1961</v>
  </rv>
  <rv s="2">
    <v>120</v>
  </rv>
  <rv s="0">
    <v>https://www.bing.com/financeapi/forcetrigger?t=a1t2ur&amp;q=XNYS%3aFLR&amp;form=skydnc</v>
    <v>Learn more on Bing</v>
  </rv>
  <rv s="1">
    <v>0</v>
    <v>FLUOR CORPORATION. (XNYS:FLR)</v>
    <v>2</v>
    <v>3</v>
    <v>Finance</v>
    <v>4</v>
    <v>en-US</v>
    <v>a1t2ur</v>
    <v>268435456</v>
    <v>1</v>
    <v>Powered by Refinitiv</v>
    <v>57.5</v>
    <v>29.2</v>
    <v>1.2972999999999999</v>
    <v>1.25</v>
    <v>2.6332000000000001E-2</v>
    <v>USD</v>
    <v>Fluor Corporation is a holding company that provides engineering, procurement, construction (EPC), fabrication and modularization, and project management services. The Company's segments include Energy Solutions, Urban Solutions and Mission Solutions. The Energy Solutions segment provides EPC services for traditional oil and gas markets, including the production and fuels, chemicals, LNG and power markets. The segment serves these industries with comprehensive project life-cycle services. The Urban Solutions segment provides EPC and project management services to the advanced technologies and manufacturing, life sciences, mining and metals, infrastructure industries and professional staffing services. The Mission Solutions segment provides high-end technical solutions to the United States and other governments. These include, among others, the DOE, the Department of Defense, FEMA and intelligence agencies. The segment also provides services to commercial nuclear clients.</v>
    <v>22995</v>
    <v>New York Stock Exchange</v>
    <v>XNYS</v>
    <v>XNYS</v>
    <v>6700 Las Colinas Blvd, IRVING, TX, 75039 US</v>
    <v>48.899900000000002</v>
    <v>Construction &amp; Engineering</v>
    <v>Stock</v>
    <v>46106.612714212497</v>
    <v>122</v>
    <v>48.02</v>
    <v>6972138936</v>
    <v>FLUOR CORPORATION.</v>
    <v>FLUOR CORPORATION.</v>
    <v>48.49</v>
    <v>0</v>
    <v>47.47</v>
    <v>48.72</v>
    <v>143106300</v>
    <v>FLR</v>
    <v>FLUOR CORPORATION. (XNYS:FLR)</v>
    <v>302693</v>
    <v>3007633</v>
    <v>2000</v>
  </rv>
  <rv s="2">
    <v>123</v>
  </rv>
  <rv s="0">
    <v>https://www.bing.com/financeapi/forcetrigger?t=a1w36h&amp;q=XNYS%3aJ&amp;form=skydnc</v>
    <v>Learn more on Bing</v>
  </rv>
  <rv s="1">
    <v>0</v>
    <v>JACOBS SOLUTIONS INC. (XNYS:J)</v>
    <v>2</v>
    <v>3</v>
    <v>Finance</v>
    <v>4</v>
    <v>en-US</v>
    <v>a1w36h</v>
    <v>268435456</v>
    <v>1</v>
    <v>Powered by Refinitiv</v>
    <v>168.44</v>
    <v>105.14619999999999</v>
    <v>0.76849999999999996</v>
    <v>0.63</v>
    <v>4.8890000000000001E-3</v>
    <v>USD</v>
    <v>Jacobs Solutions Inc. provides end-to-end services in advanced manufacturing, cities and places, energy, environmental, life sciences, transportation and water. The Company’s segments include Infrastructure and Advanced Facilities (I&amp;AF) and PA Consulting. The I&amp;AF segment provides end-to-end solutions for its client’s complex challenges related to climate change, energy transition, connected mobility, buildings and infrastructure, integrated water management and biopharmaceutical manufacturing. It uses data science and technology-enabled expertise to deliver outcomes for its clients and communities. Its clients include national, state and local governments in Europe, the Middle East, and others. The PA Consulting segment has a diverse mix of private and public sector clients. Private sector clients include global household names like Unilever, Microsoft, and Pret A Manger, and start-ups like PulPac, which converts plant fibers into sustainable packaging to reduce single-use plastic.</v>
    <v>43000</v>
    <v>New York Stock Exchange</v>
    <v>XNYS</v>
    <v>XNYS</v>
    <v>1999 Bryan Street, Suite 3500, DALLAS, TX, 75201 US</v>
    <v>131.79</v>
    <v>Professional &amp; Commercial Services</v>
    <v>Stock</v>
    <v>46106.612769976564</v>
    <v>125</v>
    <v>128.4</v>
    <v>15209347650</v>
    <v>JACOBS SOLUTIONS INC.</v>
    <v>JACOBS SOLUTIONS INC.</v>
    <v>131.79</v>
    <v>33.818199999999997</v>
    <v>128.87</v>
    <v>129.5</v>
    <v>117446700</v>
    <v>J</v>
    <v>JACOBS SOLUTIONS INC. (XNYS:J)</v>
    <v>97293</v>
    <v>971187</v>
    <v>2022</v>
  </rv>
  <rv s="2">
    <v>126</v>
  </rv>
  <rv s="0">
    <v>https://www.bing.com/financeapi/forcetrigger?t=a1vpzr&amp;q=XNAS%3aIPWR&amp;form=skydnc</v>
    <v>Learn more on Bing</v>
  </rv>
  <rv s="1">
    <v>0</v>
    <v>IDEAL POWER INC. (XNAS:IPWR)</v>
    <v>2</v>
    <v>3</v>
    <v>Finance</v>
    <v>4</v>
    <v>en-US</v>
    <v>a1vpzr</v>
    <v>268435456</v>
    <v>1</v>
    <v>Powered by Refinitiv</v>
    <v>6.9</v>
    <v>2.6150000000000002</v>
    <v>1.1262000000000001</v>
    <v>0.12</v>
    <v>3.9604E-2</v>
    <v>USD</v>
    <v>Ideal Power, Inc. is the developer and provider of its patented bidirectional semiconductor power switch, creating energy control solutions for electric vehicle, electric vehicle charging, renewable energy, energy storage, UPS/data center, solid-state circuit breaker and other industrial and military applications. The Company is focused on its Bidirectional, Bipolar Junction Transistor (B-TRAN) semiconductor technology. Its B-TRAN can reduce conduction and switching losses, and complexity of thermal management in AC power switching and control circuitry. Its products include SymCool IQ Intelligent Power Module (IPM), SymCool Power Module and B-TRAN Discrete. SymCool IQ IPM builds on the bidirectional B-TRAN multi-die packaging design of its SymCool Power Module and adds an integrated intelligent driver optimized for bidirectional operation. SymCool Power Module is a multi-die B-TRAN module designed to meet the very low conduction loss needs of the solid-state circuit breaker market.</v>
    <v>16</v>
    <v>Nasdaq Stock Market</v>
    <v>XNAS</v>
    <v>XNAS</v>
    <v>5508 Highway 290 West, Suite 120, AUSTIN, TX, 78735 US</v>
    <v>3.25</v>
    <v>Semiconductors &amp; Semiconductor Equipment</v>
    <v>Stock</v>
    <v>46106.605236620315</v>
    <v>128</v>
    <v>3.05</v>
    <v>38081578</v>
    <v>IDEAL POWER INC.</v>
    <v>IDEAL POWER INC.</v>
    <v>3.05</v>
    <v>0</v>
    <v>3.03</v>
    <v>3.15</v>
    <v>12089390</v>
    <v>IPWR</v>
    <v>IDEAL POWER INC. (XNAS:IPWR)</v>
    <v>1954</v>
    <v>79202</v>
    <v>2013</v>
  </rv>
  <rv s="2">
    <v>129</v>
  </rv>
  <rv s="0">
    <v>https://www.bing.com/financeapi/forcetrigger?t=a1mtc7&amp;q=XNYS%3aACM&amp;form=skydnc</v>
    <v>Learn more on Bing</v>
  </rv>
  <rv s="1">
    <v>0</v>
    <v>AECOM (XNYS:ACM)</v>
    <v>2</v>
    <v>3</v>
    <v>Finance</v>
    <v>4</v>
    <v>en-US</v>
    <v>a1mtc7</v>
    <v>268435456</v>
    <v>1</v>
    <v>Powered by Refinitiv</v>
    <v>135.52000000000001</v>
    <v>85</v>
    <v>1.0647</v>
    <v>-0.28000000000000003</v>
    <v>-3.1509999999999997E-3</v>
    <v>USD</v>
    <v>AECOM is a global provider of professional infrastructure consulting and advisory services for governments, businesses and organizations throughout the world. It provides advisory, planning, consulting, architectural and engineering design, construction and program management services, and investment and development services to public and private clients worldwide in major end markets, such as transportation, facilities, water, environmental, and energy. Its Americas segment provides planning, consulting, architectural and engineering design, construction management and program management services to public and private clients in the United States, Canada, and Latin America. Its International segment provides planning, consulting, architectural and engineering design services and program management to public and private clients in Europe, the Middle East, India, Africa, and the Asia-Australia-Pacific regions. Its ACAP segment primarily invests in and develops real estate projects.</v>
    <v>51000</v>
    <v>New York Stock Exchange</v>
    <v>XNYS</v>
    <v>XNYS</v>
    <v>13355 Noel Road, Suite 400, DALLAS, TX, 75240 US</v>
    <v>90.9</v>
    <v>Construction &amp; Engineering</v>
    <v>Stock</v>
    <v>46106.612668020316</v>
    <v>131</v>
    <v>87.77</v>
    <v>11451091302</v>
    <v>AECOM</v>
    <v>AECOM</v>
    <v>90.185000000000002</v>
    <v>19.575600000000001</v>
    <v>88.85</v>
    <v>88.57</v>
    <v>129288600</v>
    <v>ACM</v>
    <v>AECOM (XNYS:ACM)</v>
    <v>112227</v>
    <v>1356854</v>
    <v>1980</v>
  </rv>
  <rv s="2">
    <v>132</v>
  </rv>
  <rv s="3">
    <v>5</v>
    <v>ASP ISOTOPES INC. (XNAS:ASPI)</v>
    <v>6</v>
    <v>3</v>
    <v>Finance</v>
    <v>4</v>
    <v>en-US</v>
    <v>c7x627</v>
    <v>268435456</v>
    <v>1</v>
    <v>Powered by Refinitiv</v>
    <v>14.49</v>
    <v>3.92</v>
    <v>3.5038999999999998</v>
    <v>0.17</v>
    <v>3.4137000000000001E-2</v>
    <v>USD</v>
    <v>ASP Isotopes Inc. is a development stage advanced materials company dedicated to the development of technology and processes to produce isotopes for use in multiple industries. Its proprietary technologies, the Aerodynamic Separation Process and Quantum Enrichment technology, are designed to enable the production of isotopes used in several industries. Its initial focus is on the production and commercialization of enriched Carbon-14 (C-14), Silicon-28 (Si-28) and Ytterbium-176 (Yb-176). It is also a provider of liquid helium with operations at the Virginia Gas Project in South Africa. Its nuclear fuels segment is focused on research and development of technologies and methods used to produce high-assay low-enriched uranium (HALEU) and Lithium-6 for the advanced nuclear fuels target end market. Its specialist isotopes and related services segment is focused on research and development of technologies and methods used to separate isotopes for highly specialized target end markets.</v>
    <v>136</v>
    <v>Nasdaq Stock Market</v>
    <v>XNAS</v>
    <v>XNAS</v>
    <v>2200 Ross Avenue, Suite 4575E, DALLAS, TX, 75201 US</v>
    <v>5.22</v>
    <v>Pharmaceuticals</v>
    <v>Stock</v>
    <v>46106.612734305469</v>
    <v>4.95</v>
    <v>644317015</v>
    <v>ASP ISOTOPES INC.</v>
    <v>ASP ISOTOPES INC.</v>
    <v>4.95</v>
    <v>0</v>
    <v>4.9800000000000004</v>
    <v>5.15</v>
    <v>125110100</v>
    <v>ASPI</v>
    <v>ASP ISOTOPES INC. (XNAS:ASPI)</v>
    <v>1313513</v>
    <v>4958318</v>
    <v>2021</v>
  </rv>
  <rv s="2">
    <v>134</v>
  </rv>
  <rv s="0">
    <v>https://www.bing.com/financeapi/forcetrigger?t=a1pcnm&amp;q=XNYS%3aCCJ&amp;form=skydnc</v>
    <v>Learn more on Bing</v>
  </rv>
  <rv s="1">
    <v>0</v>
    <v>CAMECO CORPORATION (XNYS:CCJ)</v>
    <v>2</v>
    <v>3</v>
    <v>Finance</v>
    <v>4</v>
    <v>en-US</v>
    <v>a1pcnm</v>
    <v>268435456</v>
    <v>1</v>
    <v>Powered by Refinitiv</v>
    <v>135.24</v>
    <v>35</v>
    <v>1.0182</v>
    <v>2.81</v>
    <v>2.6009000000000001E-2</v>
    <v>USD</v>
    <v>Cameco Corporation is a provider of uranium fuel to generate baseload electricity around the globe. Its segments include uranium, fuel services and Westinghouse. The uranium segment involves the exploration for, mining, milling, purchase and sale of uranium concentrate. The fuel services segment involves the refining, conversion and fabrication of uranium concentrate and the purchase and sale of conversion services. The Westinghouse segment reflects its earnings from this equity-accounted investment. Westinghouse is a nuclear reactor technology original equipment manufacturer and a global provider of products and services to commercial utilities and government agencies. It provides outage and maintenance services, engineering support, instrumentation and controls equipment, plant modification, and components and parts to nuclear reactors. It has two operating mines, Cigar Lake and McArthur River as well as a mill at Key Lake. It also has ownership interests in Global Laser Enrichment.</v>
    <v>2424</v>
    <v>New York Stock Exchange</v>
    <v>XNYS</v>
    <v>XNYS</v>
    <v>2121 11th St W, SASKATOON, SK, S7M 1J3 CA</v>
    <v>112.13</v>
    <v>Uranium</v>
    <v>Stock</v>
    <v>46106.612753587498</v>
    <v>136</v>
    <v>109.82</v>
    <v>48278833050</v>
    <v>CAMECO CORPORATION</v>
    <v>CAMECO CORPORATION</v>
    <v>110.66</v>
    <v>112.3897</v>
    <v>108.04</v>
    <v>110.85</v>
    <v>435533000</v>
    <v>CCJ</v>
    <v>CAMECO CORPORATION (XNYS:CCJ)</v>
    <v>670636</v>
    <v>3773120</v>
    <v>1997</v>
  </rv>
  <rv s="2">
    <v>137</v>
  </rv>
  <rv s="0">
    <v>https://www.bing.com/financeapi/forcetrigger?t=a1p252&amp;q=XNYS%3aBWXT&amp;form=skydnc</v>
    <v>Learn more on Bing</v>
  </rv>
  <rv s="1">
    <v>0</v>
    <v>BWX TECHNOLOGIES, INC. (XNYS:BWXT)</v>
    <v>2</v>
    <v>3</v>
    <v>Finance</v>
    <v>4</v>
    <v>en-US</v>
    <v>a1p252</v>
    <v>268435456</v>
    <v>1</v>
    <v>Powered by Refinitiv</v>
    <v>220.571</v>
    <v>84.208500000000001</v>
    <v>0.79600000000000004</v>
    <v>11.08</v>
    <v>5.4112E-2</v>
    <v>USD</v>
    <v>BWX Technologies, Inc. is a specialty manufacturer of nuclear components, a developer of nuclear technologies and a service provider. The Company also provides special nuclear materials processing, environmental site restoration services, products, and services. Its Government Operations segment manufactures naval nuclear reactors, including related nuclear fuel, for the United States Naval Nuclear Propulsion Program for use in submarines and aircraft carriers. It also fabricates fuel-bearing precision components that range in weight from a few grams to hundreds of tons, manufactures electromechanical equipment, and performs design, manufacturing, inspection, assembly, and testing activities. The Company is also a provider of advanced specialty materials, fabrication, and high-strength alloy manufacturing. Its Commercial Operations segment designs and manufactures commercial nuclear steam generators, heat exchangers, pressure vessels, reactor components, and other auxiliary equipment.</v>
    <v>10400</v>
    <v>New York Stock Exchange</v>
    <v>XNYS</v>
    <v>XNYS</v>
    <v>800 Main Street, 4Th Floor, LYNCHBURG, VA, 24504 US</v>
    <v>216.99</v>
    <v>Aerospace &amp; Defense</v>
    <v>Stock</v>
    <v>46106.612791967185</v>
    <v>139</v>
    <v>209.76</v>
    <v>19773516812</v>
    <v>BWX TECHNOLOGIES, INC.</v>
    <v>BWX TECHNOLOGIES, INC.</v>
    <v>211.28</v>
    <v>60.277000000000001</v>
    <v>204.76</v>
    <v>215.84</v>
    <v>91611920</v>
    <v>BWXT</v>
    <v>BWX TECHNOLOGIES, INC. (XNYS:BWXT)</v>
    <v>229186</v>
    <v>1012582</v>
    <v>2010</v>
  </rv>
  <rv s="2">
    <v>140</v>
  </rv>
  <rv s="0">
    <v>https://www.bing.com/financeapi/forcetrigger?t=a1wuoc&amp;q=XNYS%3aLEU&amp;form=skydnc</v>
    <v>Learn more on Bing</v>
  </rv>
  <rv s="1">
    <v>0</v>
    <v>CENTRUS ENERGY CORP. (XNYS:LEU)</v>
    <v>2</v>
    <v>3</v>
    <v>Finance</v>
    <v>4</v>
    <v>en-US</v>
    <v>a1wuoc</v>
    <v>268435456</v>
    <v>1</v>
    <v>Powered by Refinitiv</v>
    <v>464.25</v>
    <v>49.400100000000002</v>
    <v>1.3067</v>
    <v>0.72499999999999998</v>
    <v>3.7019999999999996E-3</v>
    <v>USD</v>
    <v>Centrus Energy Corp. is a supplier of nuclear fuel components for the nuclear power industry. Its segments include Low-Enriched Uranium (LEU) and Technical Solutions. Its LEU segment supplies various components of nuclear fuel to commercial customers from its global network of suppliers. The LEU segment consists of two components: SWU and natural uranium hexafluoride. It supplies LEU and its components to both domestic and international utilities for use in nuclear reactors worldwide. It provides LEU from multiple sources, including its inventory, medium- and long-term supply contracts, and spot purchases. It also sells natural uranium hexafluoride and occasionally sells uranium concentrates. The Technical Solutions segment provides advanced engineering, design, and manufacturing services to government and private sector customers. It is deploying uranium enrichment and other capabilities necessary to produce advanced nuclear fuel to power existing reactors around the world.</v>
    <v>300</v>
    <v>New York Stock Exchange</v>
    <v>XNYS</v>
    <v>XNYS</v>
    <v>6901 Rockledge Dr, Suite 800, BETHESDA, MD, 20817 US</v>
    <v>202.9999</v>
    <v>Uranium</v>
    <v>Stock</v>
    <v>46106.612785578123</v>
    <v>142</v>
    <v>195.84</v>
    <v>3865364236</v>
    <v>CENTRUS ENERGY CORP.</v>
    <v>CENTRUS ENERGY CORP.</v>
    <v>200.10499999999999</v>
    <v>47.256900000000002</v>
    <v>195.84</v>
    <v>196.565</v>
    <v>19664560</v>
    <v>LEU</v>
    <v>CENTRUS ENERGY CORP. (XNYS:LEU)</v>
    <v>181861</v>
    <v>759451</v>
    <v>1998</v>
  </rv>
  <rv s="2">
    <v>143</v>
  </rv>
  <rv s="0">
    <v>https://www.bing.com/financeapi/forcetrigger?t=a23a5r&amp;q=XNYS%3aSO&amp;form=skydnc</v>
    <v>Learn more on Bing</v>
  </rv>
  <rv s="1">
    <v>0</v>
    <v>THE SOUTHERN COMPANY (XNYS:SO)</v>
    <v>2</v>
    <v>3</v>
    <v>Finance</v>
    <v>4</v>
    <v>en-US</v>
    <v>a23a5r</v>
    <v>268435456</v>
    <v>1</v>
    <v>Powered by Refinitiv</v>
    <v>100.83499999999999</v>
    <v>83.09</v>
    <v>0.42009999999999997</v>
    <v>0.32</v>
    <v>3.405E-3</v>
    <v>USD</v>
    <v>The Southern Company is an energy provider. The Company owns three traditional electric operating companies, Southern Power Company and Southern Company Gas. The traditional electric operating companies-Alabama Power, Georgia Power and Mississippi Power-are operating public utility companies providing electric service to retail customers in three Southeastern states in addition to wholesale customers in the Southeast. The Southern Power Company develops, constructs, acquires, owns, and manages power generation assets, including renewable energy projects, and sells electricity at market-based rates in the wholesale market. The Southern Company Gas is an energy services holding company whose primary business is the distribution of natural gas in four states - Illinois, Georgia, Virginia, and Tennessee, through the natural gas distribution utilities. Southern Company Gas is also involved in several other businesses that are complementary to the distribution of natural gas.</v>
    <v>29800</v>
    <v>New York Stock Exchange</v>
    <v>XNYS</v>
    <v>XNYS</v>
    <v>30 Ivan Allen Jr. Blvd., N.W., ATLANTA, GA, 30308 US</v>
    <v>94.75</v>
    <v>Electrical Utilities &amp; IPPs</v>
    <v>Stock</v>
    <v>46106.612807950783</v>
    <v>145</v>
    <v>93.85</v>
    <v>105558571300</v>
    <v>THE SOUTHERN COMPANY</v>
    <v>THE SOUTHERN COMPANY</v>
    <v>94.72</v>
    <v>24.0745</v>
    <v>93.98</v>
    <v>94.3</v>
    <v>1119391000</v>
    <v>SO</v>
    <v>THE SOUTHERN COMPANY (XNYS:SO)</v>
    <v>360735</v>
    <v>6510703</v>
    <v>1945</v>
  </rv>
  <rv s="2">
    <v>146</v>
  </rv>
  <rv s="0">
    <v>https://www.bing.com/financeapi/forcetrigger?t=c4xjc7&amp;q=XNAS%3aCEG&amp;form=skydnc</v>
    <v>Learn more on Bing</v>
  </rv>
  <rv s="1">
    <v>0</v>
    <v>CONSTELLATION ENERGY CORPORATION. (XNAS:CEG)</v>
    <v>2</v>
    <v>3</v>
    <v>Finance</v>
    <v>4</v>
    <v>en-US</v>
    <v>c4xjc7</v>
    <v>268435456</v>
    <v>1</v>
    <v>Powered by Refinitiv</v>
    <v>412.7</v>
    <v>161.35</v>
    <v>1.1581999999999999</v>
    <v>10.48</v>
    <v>3.5542999999999998E-2</v>
    <v>USD</v>
    <v>Constellation Energy Corporation is a producer of emissions-free energy and an energy supplier to businesses, homes and public sector customers nationwide. The Company’s nuclear, hydro, wind, and solar generation facilities have the generating capacity to power the equivalent of 27 million homes, providing about 10% of the nation’s clean energy. Its segments include Mid-Atlantic, Midwest, New York, ERCOT, and Other Power Regions. Through its integrated business operations, it sells electricity, natural gas, and other energy-related products and sustainable solutions to various types of customers, including distribution utilities, municipalities, cooperatives, commercial, industrial, public sector, and residential customers in markets across multiple geographic regions. It operates approximately 55 gigawatts of capacity from nuclear, natural gas, geothermal, hydro, wind and solar facilities.</v>
    <v>15291</v>
    <v>Nasdaq Stock Market</v>
    <v>XNAS</v>
    <v>XNAS</v>
    <v>1310 Point Street, BALTIMORE, MD, 21231 US</v>
    <v>309.19</v>
    <v>Electrical Utilities &amp; IPPs</v>
    <v>Stock</v>
    <v>46106.612749860935</v>
    <v>148</v>
    <v>301.82</v>
    <v>110619440751</v>
    <v>CONSTELLATION ENERGY CORPORATION.</v>
    <v>CONSTELLATION ENERGY CORPORATION.</v>
    <v>302.77</v>
    <v>41.2898</v>
    <v>294.85000000000002</v>
    <v>305.33</v>
    <v>362294700</v>
    <v>CEG</v>
    <v>CONSTELLATION ENERGY CORPORATION. (XNAS:CEG)</v>
    <v>545563</v>
    <v>3242811</v>
    <v>2021</v>
  </rv>
  <rv s="2">
    <v>149</v>
  </rv>
  <rv s="0">
    <v>https://www.bing.com/financeapi/forcetrigger?t=bx1rdm&amp;q=XNYS%3aSMR&amp;form=skydnc</v>
    <v>Learn more on Bing</v>
  </rv>
  <rv s="10">
    <v>18</v>
    <v>NUSCALE POWER CORPORATION (XNYS:SMR)</v>
    <v>2</v>
    <v>8</v>
    <v>Finance</v>
    <v>4</v>
    <v>en-US</v>
    <v>bx1rdm</v>
    <v>268435456</v>
    <v>1</v>
    <v>Powered by Refinitiv</v>
    <v>57.42</v>
    <v>11.08</v>
    <v>2.2597</v>
    <v>0.39989999999999998</v>
    <v>3.4986999999999997E-2</v>
    <v>USD</v>
    <v>NuScale Power Corporation is a provider of proprietary advanced small modular reactor nuclear technology. The NuScale Power Module, the Company's SMR technology, is a small pressurized water reactor that can generate 77 megawatts of electricity (MWe) or 250 megawatts thermal (gross) and can be scaled to meet customer needs through an array of flexible configurations of up to 924 MWe (12 modules) of output. In addition to the sale of NPMs, it offers a diversified suite of services throughout the development and operating life of the power plant. The Company's suite of services is planned to include licensing support, testing, training, fuel supply services and program management, among others. It serves a range of customers consisting of governments, political subdivisions, state-owned enterprises, investor-owned utilities and other technology and industrial companies, both in domestic and international markets.</v>
    <v>428</v>
    <v>New York Stock Exchange</v>
    <v>XNYS</v>
    <v>XNYS</v>
    <v>1100 Ne Circle Blvd., Suite 350, CORVALLIS, OR, 97330 US</v>
    <v>12</v>
    <v>Electrical Utilities &amp; IPPs</v>
    <v>Stock</v>
    <v>46106.612732279689</v>
    <v>151</v>
    <v>11.710100000000001</v>
    <v>3998699027</v>
    <v>NUSCALE POWER CORPORATION</v>
    <v>NUSCALE POWER CORPORATION</v>
    <v>11.77</v>
    <v>11.43</v>
    <v>11.8299</v>
    <v>338016300</v>
    <v>SMR</v>
    <v>NUSCALE POWER CORPORATION (XNYS:SMR)</v>
    <v>4243614</v>
    <v>21515895</v>
    <v>2022</v>
  </rv>
  <rv s="2">
    <v>152</v>
  </rv>
  <rv s="0">
    <v>https://www.bing.com/financeapi/forcetrigger?t=a1zplh&amp;q=XNAS%3aPESI&amp;form=skydnc</v>
    <v>Learn more on Bing</v>
  </rv>
  <rv s="1">
    <v>0</v>
    <v>PERMA-FIX ENVIRONMENTAL SERVICES, INC. (XNAS:PESI)</v>
    <v>2</v>
    <v>3</v>
    <v>Finance</v>
    <v>4</v>
    <v>en-US</v>
    <v>a1zplh</v>
    <v>268435456</v>
    <v>1</v>
    <v>Powered by Refinitiv</v>
    <v>16.4999</v>
    <v>6.25</v>
    <v>0.50380000000000003</v>
    <v>0.375</v>
    <v>3.4722000000000003E-2</v>
    <v>USD</v>
    <v>Perma-Fix Environmental Services, Inc. is a nuclear services company and a provider of environmental remediation and mixed waste management services. Its segments include Treatment and Services. The Treatment segment includes nuclear, low-level radioactive, mixed waste, hazardous and non-hazardous waste treatment, processing, and disposal; and research and development activities to identify, develop and implement innovative waste processing techniques for problematic waste streams. The Services segment includes technical services, nuclear services and the Company-owned equipment calibration and maintenance laboratory that services, maintains, calibrates, and sources health physics, industrial hygiene (IH) and customized nuclear, environmental, and occupational safety and health (NEOSH) instrumentation. Its technical services include professional radiological measurement and site survey of large government and commercial installations using advanced methods, technology and engineering.</v>
    <v>293</v>
    <v>Nasdaq Stock Market</v>
    <v>XNAS</v>
    <v>XNAS</v>
    <v>8302 Dunwoody Place, Suite 250, ATLANTA, GA, 30350 US</v>
    <v>11.2873</v>
    <v>Professional &amp; Commercial Services</v>
    <v>Stock</v>
    <v>46106.612596990628</v>
    <v>154</v>
    <v>10.700100000000001</v>
    <v>206934850</v>
    <v>PERMA-FIX ENVIRONMENTAL SERVICES, INC.</v>
    <v>PERMA-FIX ENVIRONMENTAL SERVICES, INC.</v>
    <v>10.95</v>
    <v>0</v>
    <v>10.8</v>
    <v>11.175000000000001</v>
    <v>18517660</v>
    <v>PESI</v>
    <v>PERMA-FIX ENVIRONMENTAL SERVICES, INC. (XNAS:PESI)</v>
    <v>129999</v>
    <v>162755</v>
    <v>1990</v>
  </rv>
  <rv s="2">
    <v>155</v>
  </rv>
  <rv s="0">
    <v>https://www.bing.com/financeapi/forcetrigger?t=a1nnsm&amp;q=XNYS%3aAR&amp;form=skydnc</v>
    <v>Learn more on Bing</v>
  </rv>
  <rv s="1">
    <v>0</v>
    <v>ANTERO RESOURCES CORPORATION (XNYS:AR)</v>
    <v>2</v>
    <v>3</v>
    <v>Finance</v>
    <v>4</v>
    <v>en-US</v>
    <v>a1nnsm</v>
    <v>268435456</v>
    <v>1</v>
    <v>Powered by Refinitiv</v>
    <v>44.37</v>
    <v>29.1</v>
    <v>0.41420000000000001</v>
    <v>0.66</v>
    <v>1.5218000000000001E-2</v>
    <v>USD</v>
    <v>Antero Resources Corporation is an independent natural gas and natural gas liquids (NGLs) company. The Company is engaged in the acquisition, development and production of unconventional properties located in the Appalachian Basin in West Virginia and Ohio. The Company’s segments include the exploration, development and production of natural gas, NGLs and oil; marketing of excess firm transportation capacity, and midstream services through its equity method investment in Antero Midstream. The Company targets large, repeatable resource plays where horizontal drilling and advanced fracture stimulation technologies provide the means to economically develop and produce natural gas, NGLs and oil from unconventional formations. The Company holds approximately 521,000 net acres of natural gas, NGLs and oil properties located in the Appalachian Basin primarily in West Virginia and Ohio.</v>
    <v>632</v>
    <v>New York Stock Exchange</v>
    <v>XNYS</v>
    <v>XNYS</v>
    <v>1615 Wynkoop Street, DENVER, CO, 80202 US</v>
    <v>44.1</v>
    <v>Oil &amp; Gas</v>
    <v>Stock</v>
    <v>46106.612787082813</v>
    <v>157</v>
    <v>42.95</v>
    <v>13584355750</v>
    <v>ANTERO RESOURCES CORPORATION</v>
    <v>ANTERO RESOURCES CORPORATION</v>
    <v>43.02</v>
    <v>21.7121</v>
    <v>43.37</v>
    <v>44.03</v>
    <v>308525000</v>
    <v>AR</v>
    <v>ANTERO RESOURCES CORPORATION (XNYS:AR)</v>
    <v>1388695</v>
    <v>6238779</v>
    <v>2002</v>
  </rv>
  <rv s="2">
    <v>158</v>
  </rv>
  <rv s="0">
    <v>https://www.bing.com/financeapi/forcetrigger?t=a228w7&amp;q=XNYS%3aRRC&amp;form=skydnc</v>
    <v>Learn more on Bing</v>
  </rv>
  <rv s="1">
    <v>0</v>
    <v>RANGE RESOURCES CORPORATION (XNYS:RRC)</v>
    <v>2</v>
    <v>3</v>
    <v>Finance</v>
    <v>4</v>
    <v>en-US</v>
    <v>a228w7</v>
    <v>268435456</v>
    <v>1</v>
    <v>Powered by Refinitiv</v>
    <v>46.27</v>
    <v>30.32</v>
    <v>0.51180000000000003</v>
    <v>0.18</v>
    <v>3.9179999999999996E-3</v>
    <v>USD</v>
    <v>Range Resources Corporation is an independent natural gas and natural gas liquids (NGLs) producer. The Company is engaged in the exploration, development and acquisition of natural gas and oil properties in the Appalachian region of the United States. Its principal area of operations is the Marcellus Shale in Pennsylvania. Its properties consist of interests in developed and undeveloped natural gas and oil leases. It owns approximately 1,431 net producing wells in Pennsylvania. It holds a portfolio of drilling opportunities and unbooked resource potential within the Marcellus, Utica/Point Pleasant and Upper Devonian formations. Its exploration and production operations are limited to the onshore United States. It has approximately 871,000 gross (763,000 net) acres under lease. Its subsidiaries include Range Resources-Appalachia, LLC, Range Resources-Pine Mountain, LLC, Range Production Company, LLC, Range Resources-Midcontinent, LLC and Range Resources-Louisiana, Inc.</v>
    <v>564</v>
    <v>New York Stock Exchange</v>
    <v>XNYS</v>
    <v>XNYS</v>
    <v>100 Throckmorton St Ste 1200, FORT WORTH, TX, 76102-2842 US</v>
    <v>46.27</v>
    <v>Oil &amp; Gas</v>
    <v>Stock</v>
    <v>46106.612797928123</v>
    <v>160</v>
    <v>45.31</v>
    <v>10855771720</v>
    <v>RANGE RESOURCES CORPORATION</v>
    <v>RANGE RESOURCES CORPORATION</v>
    <v>45.56</v>
    <v>16.839500000000001</v>
    <v>45.94</v>
    <v>46.12</v>
    <v>235381000</v>
    <v>RRC</v>
    <v>RANGE RESOURCES CORPORATION (XNYS:RRC)</v>
    <v>613789</v>
    <v>3774152</v>
    <v>1980</v>
  </rv>
  <rv s="2">
    <v>161</v>
  </rv>
  <rv s="0">
    <v>https://www.bing.com/financeapi/forcetrigger?t=a1zi6h&amp;q=XNYS%3aPBF&amp;form=skydnc</v>
    <v>Learn more on Bing</v>
  </rv>
  <rv s="1">
    <v>0</v>
    <v>PBF ENERGY INC. (XNYS:PBF)</v>
    <v>2</v>
    <v>3</v>
    <v>Finance</v>
    <v>4</v>
    <v>en-US</v>
    <v>a1zi6h</v>
    <v>268435456</v>
    <v>1</v>
    <v>Powered by Refinitiv</v>
    <v>50.64</v>
    <v>13.615</v>
    <v>0.21129999999999999</v>
    <v>-0.76500000000000001</v>
    <v>-1.5273000000000002E-2</v>
    <v>USD</v>
    <v>PBF Energy Inc. is an independent refiner in North America, operating, through its subsidiaries, oil refineries and related facilities in California, Delaware, Louisiana, New Jersey and Ohio. The Company operates as a refiner and supplier of unbranded transportation fuels, heating oil, petrochemical feedstocks, lubricants, and other petroleum products. It operates through two segments: Refining and Logistics. The Refining segment includes the operations of its oil refineries and related facilities in Delaware City, Delaware, Paulsboro, New Jersey, Toledo, Ohio, Chalmette, Louisiana, Torrance, California and Martinez, California. The Logistics segment includes the operations of PBF Logistics LP, an indirect wholly owned subsidiary of PBF Energy and PBF LLC, which owns or leases, operates, develops, and acquires crude oil and refined petroleum products terminals, pipelines, storage facilities, and similar logistics assets.</v>
    <v>3678</v>
    <v>New York Stock Exchange</v>
    <v>XNYS</v>
    <v>XNYS</v>
    <v>1 SYLVAN WAY, PARSIPPANY, NJ, 07054 US</v>
    <v>50.12</v>
    <v>Oil &amp; Gas</v>
    <v>Stock</v>
    <v>46106.61269763828</v>
    <v>163</v>
    <v>48.05</v>
    <v>5793403752</v>
    <v>PBF ENERGY INC.</v>
    <v>PBF ENERGY INC.</v>
    <v>48.21</v>
    <v>0</v>
    <v>50.09</v>
    <v>49.325000000000003</v>
    <v>117453700</v>
    <v>PBF</v>
    <v>PBF ENERGY INC. (XNYS:PBF)</v>
    <v>664994</v>
    <v>4204481</v>
    <v>2011</v>
  </rv>
  <rv s="2">
    <v>164</v>
  </rv>
  <rv s="0">
    <v>https://www.bing.com/financeapi/forcetrigger?t=bxpkww&amp;q=XNAS%3aCHK&amp;form=skydnc</v>
    <v>Learn more on Bing</v>
  </rv>
  <rv s="1">
    <v>0</v>
    <v>EXPAND ENERGY CORPORATION (XNAS:EXE)</v>
    <v>2</v>
    <v>3</v>
    <v>Finance</v>
    <v>4</v>
    <v>en-US</v>
    <v>bxpkww</v>
    <v>268435456</v>
    <v>1</v>
    <v>Powered by Refinitiv</v>
    <v>126.62050000000001</v>
    <v>91.015000000000001</v>
    <v>0.46089999999999998</v>
    <v>2.81</v>
    <v>2.5617999999999998E-2</v>
    <v>USD</v>
    <v>Expand Energy Corporation is an independent natural gas producer in the United States. The Company is focused on developing a supply of natural gas, oil and natural gas liquids (LNG) to expand energy access for all. Its operations are located in Louisiana, in the Haynesville and Bossier Shales (Haynesville), in Pennsylvania in the Marcellus Shale (Northeast Appalachia) and in West Virginia and Ohio in the Marcellus and Utica Shales (Southwest Appalachia) and include interests in approximately 8,000 gross natural gas and oil wells. The Company's operations include drilling, completion, and production. It also operates drilling rigs and provides certain oilfield products and services, principally serving the Company’s E&amp;P operations through vertical integration. Haynesville is rich in natural gas with proximity to LNG export infrastructure. The Company's operations in Ohio and West Virginia target the Marcellus and Utica shales and provide oil and natural gas liquids.</v>
    <v>1600</v>
    <v>Nasdaq Stock Market</v>
    <v>XNAS</v>
    <v>XNAS</v>
    <v>6100 N WESTERN AVE, OKLAHOMA CITY, OK, 73118 US</v>
    <v>112.63</v>
    <v>Oil &amp; Gas</v>
    <v>Stock</v>
    <v>46106.612795000001</v>
    <v>166</v>
    <v>109.8</v>
    <v>27044808750</v>
    <v>EXPAND ENERGY CORPORATION</v>
    <v>EXPAND ENERGY CORPORATION</v>
    <v>110.49</v>
    <v>14.915100000000001</v>
    <v>109.69</v>
    <v>112.5</v>
    <v>240398300</v>
    <v>EXE</v>
    <v>EXPAND ENERGY CORPORATION (XNAS:EXE)</v>
    <v>517168</v>
    <v>4625043</v>
    <v>1996</v>
  </rv>
  <rv s="2">
    <v>167</v>
  </rv>
  <rv s="0">
    <v>https://www.bing.com/financeapi/forcetrigger?t=a1x1ec&amp;q=XNYS%3aLNG&amp;form=skydnc</v>
    <v>Learn more on Bing</v>
  </rv>
  <rv s="1">
    <v>0</v>
    <v>CHENIERE ENERGY, INC. (XNYS:LNG)</v>
    <v>2</v>
    <v>3</v>
    <v>Finance</v>
    <v>4</v>
    <v>en-US</v>
    <v>a1x1ec</v>
    <v>268435456</v>
    <v>1</v>
    <v>Powered by Refinitiv</v>
    <v>299.49</v>
    <v>186.20009999999999</v>
    <v>0.1191</v>
    <v>-9.6300000000000008</v>
    <v>-3.2690999999999998E-2</v>
    <v>USD</v>
    <v>Cheniere Energy, Inc. is the producer and exporter of liquefied natural gas (LNG) in the United States. The Company provides clean and secure LNG to integrated energy companies, utilities, and energy trading companies worldwide. It operates two natural gas liquefaction and export facilities at Sabine Pass, Louisiana (Sabine Pass LNG Terminal) and near Corpus Christi, Texas (Corpus Christi LNG Terminal). Sabine Pass LNG Terminal, which has natural gas liquefaction facilities consisting of six operational trains, for a total production capacity of approximately 30 million tons per annum (mtpa) of LNG (the SPL Project). Corpus Christi LNG Terminal near Corpus Christi, Texas, consists of three trains for a total production capacity of approximately 15 mtpa of LNG, three LNG storage tanks and two marine berths. It also owns and operates a 94-mile natural gas supply pipeline that interconnects the Sabine Pass LNG Terminal with several large interstate and intrastate pipelines.</v>
    <v>1717</v>
    <v>New York Stock Exchange</v>
    <v>XNYS</v>
    <v>XNYS</v>
    <v>845 Texas Avenue, Suite 1250, HOUSTON, TX, 77002 US</v>
    <v>289.37</v>
    <v>Oil &amp; Gas Related Equipment and Services</v>
    <v>Stock</v>
    <v>46106.612708078123</v>
    <v>169</v>
    <v>283.43</v>
    <v>59897316355</v>
    <v>CHENIERE ENERGY, INC.</v>
    <v>CHENIERE ENERGY, INC.</v>
    <v>286.5</v>
    <v>11.691700000000001</v>
    <v>294.58</v>
    <v>284.95</v>
    <v>210202900</v>
    <v>LNG</v>
    <v>CHENIERE ENERGY, INC. (XNYS:LNG)</v>
    <v>867948</v>
    <v>3762857</v>
    <v>1983</v>
  </rv>
  <rv s="2">
    <v>170</v>
  </rv>
  <rv s="0">
    <v>https://www.bing.com/financeapi/forcetrigger?t=a1s24c&amp;q=XNYS%3aEOG&amp;form=skydnc</v>
    <v>Learn more on Bing</v>
  </rv>
  <rv s="1">
    <v>0</v>
    <v>EOG RESOURCES, INC. (XNYS:EOG)</v>
    <v>2</v>
    <v>3</v>
    <v>Finance</v>
    <v>4</v>
    <v>en-US</v>
    <v>a1s24c</v>
    <v>268435456</v>
    <v>1</v>
    <v>Powered by Refinitiv</v>
    <v>143.72989999999999</v>
    <v>101.5936</v>
    <v>0.33829999999999999</v>
    <v>-0.89</v>
    <v>-6.2439999999999996E-3</v>
    <v>USD</v>
    <v>EOG Resources, Inc. is a crude oil and natural gas exploration and production company. The Company explores, develops, produces, and markets crude oil, natural gas liquids (NGLs) and natural gas primarily in major producing basins in the United States, the Republic of Trinidad and Tobago (Trinidad) and, from time to time, selects other international areas. Its operations are located in the basins of the United States with a focus on crude oil and natural gas plays. It is focused on the Wolfcamp, Bone Spring, and Leonard plays. The South Texas area includes the Eagle Ford play and the Dorado gas play. It holds approximately 535,000 total net acres in the Eagle Ford play and approximately 160,000 net acres in the Dorado gas play. In Trinidad, the Company, through its subsidiaries, including EOG Resources Trinidad Limited, holds interests in the exploration and production licenses covering the South East Coast Consortium (SECC) and Pelican Blocks, Banyan and Sercan Areas, and others.</v>
    <v>3400</v>
    <v>New York Stock Exchange</v>
    <v>XNYS</v>
    <v>XNYS</v>
    <v>1111 Bagby, Sky Lobby 2, HOUSTON, TX, 77002 US</v>
    <v>143.36000000000001</v>
    <v>Oil &amp; Gas</v>
    <v>Stock</v>
    <v>46106.612824976561</v>
    <v>172</v>
    <v>141</v>
    <v>75988656060</v>
    <v>EOG RESOURCES, INC.</v>
    <v>EOG RESOURCES, INC.</v>
    <v>141.5</v>
    <v>15.5459</v>
    <v>142.53</v>
    <v>141.63999999999999</v>
    <v>536491500</v>
    <v>EOG</v>
    <v>EOG RESOURCES, INC. (XNYS:EOG)</v>
    <v>570064</v>
    <v>6226124</v>
    <v>1985</v>
  </rv>
  <rv s="2">
    <v>173</v>
  </rv>
  <rv s="0">
    <v>https://www.bing.com/financeapi/forcetrigger?t=a269ec&amp;q=XNYS%3aXOM&amp;form=skydnc</v>
    <v>Learn more on Bing</v>
  </rv>
  <rv s="1">
    <v>0</v>
    <v>EXXON MOBIL CORPORATION (XNYS:XOM)</v>
    <v>2</v>
    <v>3</v>
    <v>Finance</v>
    <v>4</v>
    <v>en-US</v>
    <v>a269ec</v>
    <v>268435456</v>
    <v>1</v>
    <v>Powered by Refinitiv</v>
    <v>167.48</v>
    <v>97.8</v>
    <v>0.30669999999999997</v>
    <v>-1.67</v>
    <v>-1.0098000000000001E-2</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164.99940000000001</v>
    <v>Oil &amp; Gas</v>
    <v>Stock</v>
    <v>46106.612800103903</v>
    <v>175</v>
    <v>163.24</v>
    <v>682140934440</v>
    <v>EXXON MOBIL CORPORATION</v>
    <v>EXXON MOBIL CORPORATION</v>
    <v>164.21</v>
    <v>24.505700000000001</v>
    <v>165.38</v>
    <v>163.71</v>
    <v>4166764000</v>
    <v>XOM</v>
    <v>EXXON MOBIL CORPORATION (XNYS:XOM)</v>
    <v>4759252</v>
    <v>23179435</v>
    <v>1882</v>
  </rv>
  <rv s="2">
    <v>176</v>
  </rv>
  <rv s="0">
    <v>https://www.bing.com/financeapi/forcetrigger?t=b1o9h7&amp;q=XNYS%3aCEQP+PR&amp;form=skydnc</v>
    <v>Learn more on Bing</v>
  </rv>
  <rv s="10">
    <v>18</v>
    <v>ENERGY TRANSFER LP (XNYS:ET PR I)</v>
    <v>2</v>
    <v>8</v>
    <v>Finance</v>
    <v>4</v>
    <v>en-US</v>
    <v>b1o9h7</v>
    <v>268435456</v>
    <v>1</v>
    <v>Powered by Refinitiv</v>
    <v>12.28</v>
    <v>10.5</v>
    <v>0.62880000000000003</v>
    <v>0.03</v>
    <v>2.5859999999999998E-3</v>
    <v>USD</v>
    <v>Energy Transfer LP owns and operates a diversified portfolios of energy assets in the United States, with more than 140,000 miles of pipeline and associated energy infrastructure. The Company’s strategic network spans 44 states with assets in all of the major United States production basins. Its core operations include complementary natural gas midstream, intrastate and interstate transportation and storage assets; crude oil, natural gas liquids (NGL) and refined product transportation and terminalling assets; and NGL fractionation. The Company’s segments include intrastate transportation and storage, interstate transportation and storage, midstream, NGL and refined products transportation and services, crude oil transportation and services, investment in Sunoco LP, investment in USA Compression Partners, LP (USAC), and all other. It also owns Lake Charles LNG Company, LLC, its wholly owned subsidiary, which owns an LNG import terminal and regasification facility.</v>
    <v>22311</v>
    <v>New York Stock Exchange</v>
    <v>XNYS</v>
    <v>XNYS</v>
    <v>8111 Westchester Drive, Suite 600, DALLAS, TX, 75225 US</v>
    <v>11.65</v>
    <v>Oil &amp; Gas Related Equipment and Services</v>
    <v>Stock</v>
    <v>46106.608671955466</v>
    <v>178</v>
    <v>11.62</v>
    <v>40010851820</v>
    <v>ENERGY TRANSFER LP</v>
    <v>ENERGY TRANSFER LP</v>
    <v>11.65</v>
    <v>11.6</v>
    <v>11.63</v>
    <v>3440314000</v>
    <v>ET PR I</v>
    <v>ENERGY TRANSFER LP (XNYS:ET PR I)</v>
    <v>11538</v>
    <v>52955</v>
    <v>2005</v>
  </rv>
  <rv s="2">
    <v>179</v>
  </rv>
  <rv s="0">
    <v>https://www.bing.com/financeapi/forcetrigger?t=a1s57w&amp;q=XNYS%3aEQT&amp;form=skydnc</v>
    <v>Learn more on Bing</v>
  </rv>
  <rv s="1">
    <v>0</v>
    <v>EQT CORPORATION (XNYS:EQT)</v>
    <v>2</v>
    <v>3</v>
    <v>Finance</v>
    <v>4</v>
    <v>en-US</v>
    <v>a1s57w</v>
    <v>268435456</v>
    <v>1</v>
    <v>Powered by Refinitiv</v>
    <v>67.260000000000005</v>
    <v>43.57</v>
    <v>0.68330000000000002</v>
    <v>1.37</v>
    <v>2.0969999999999999E-2</v>
    <v>USD</v>
    <v>EQT Corporation is a premier, vertically integrated American natural gas company with production and midstream operations focused on the Appalachian Basin. It has operations in Pennsylvania, West Virginia and Ohio. It owns or leases approximately 610,000 net acres in Pennsylvania. Most of the acreage is located in the southwestern region of the state, with the majority located in Greene and Washington Counties. It is developing the Marcellus Shale and Upper Devonian Shale in this area. It also owns or leases 405,000 net acres in West Virginia. Most of the acreage is located in the northwestern region of the state, with the majority located in Doddridge, Marion, Tyler and Wetzel Counties. It owns or leases 65,000 net acres in eastern Ohio and is developing the Utica Shale in Belmont County. It operates Utica wells throughout its Ohio acreage. The Marcellus Shale lies nearly a mile or more beneath the surface throughout much of Ohio, Pennsylvania, New York and West Virginia.</v>
    <v>1523</v>
    <v>New York Stock Exchange</v>
    <v>XNYS</v>
    <v>XNYS</v>
    <v>SUITE 1700, 625 LIBERTY AVENUE, PITTSBURGH, PA, 15222 US</v>
    <v>66.8</v>
    <v>Oil &amp; Gas</v>
    <v>Stock</v>
    <v>46106.61279145781</v>
    <v>181</v>
    <v>65.42</v>
    <v>41639075800</v>
    <v>EQT CORPORATION</v>
    <v>EQT CORPORATION</v>
    <v>65.58</v>
    <v>20.1267</v>
    <v>65.33</v>
    <v>66.7</v>
    <v>624274000</v>
    <v>EQT</v>
    <v>EQT CORPORATION (XNYS:EQT)</v>
    <v>1160288</v>
    <v>9809357</v>
    <v>2008</v>
  </rv>
  <rv s="2">
    <v>182</v>
  </rv>
  <rv s="0">
    <v>https://www.bing.com/financeapi/forcetrigger?t=a24kar&amp;q=XNAS%3aTSLA&amp;form=skydnc</v>
    <v>Learn more on Bing</v>
  </rv>
  <rv s="1">
    <v>0</v>
    <v>TESLA, INC. (XNAS:TSLA)</v>
    <v>2</v>
    <v>3</v>
    <v>Finance</v>
    <v>4</v>
    <v>en-US</v>
    <v>a24kar</v>
    <v>268435456</v>
    <v>1</v>
    <v>Powered by Refinitiv</v>
    <v>498.83</v>
    <v>214.25</v>
    <v>1.9061999999999999</v>
    <v>11.5101</v>
    <v>3.005E-2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396.22</v>
    <v>Automobiles &amp; Auto Parts</v>
    <v>Stock</v>
    <v>46106.612822407034</v>
    <v>184</v>
    <v>389.28</v>
    <v>1480484896523</v>
    <v>TESLA, INC.</v>
    <v>TESLA, INC.</v>
    <v>389.7</v>
    <v>366.8775</v>
    <v>383.03</v>
    <v>394.5401</v>
    <v>3752432000</v>
    <v>TSLA</v>
    <v>TESLA, INC. (XNAS:TSLA)</v>
    <v>17893068</v>
    <v>59794077</v>
    <v>2024</v>
  </rv>
  <rv s="2">
    <v>185</v>
  </rv>
  <rv s="0">
    <v>https://www.bing.com/financeapi/forcetrigger?t=a1x6m7&amp;q=XNAS%3aLULU&amp;form=skydnc</v>
    <v>Learn more on Bing</v>
  </rv>
  <rv s="1">
    <v>0</v>
    <v>LULULEMON ATHLETICA INC. (XNAS:LULU)</v>
    <v>2</v>
    <v>3</v>
    <v>Finance</v>
    <v>4</v>
    <v>en-US</v>
    <v>a1x6m7</v>
    <v>268435456</v>
    <v>1</v>
    <v>Powered by Refinitiv</v>
    <v>348.5</v>
    <v>156.63999999999999</v>
    <v>1.0481</v>
    <v>-1.73</v>
    <v>-1.0749E-2</v>
    <v>USD</v>
    <v>lululemon athletica inc. is a technical athletic apparel, footwear, and accessories company. The Company organizes its operations into four regional markets: the Americas, China Mainland, Asia Pacific (APAC), and Europe and the Middle East (EMEA). It conducts its business through a number of different channels in each market, including the Company-operated stores, e-commerce, temporary locations, wholesale, outlets, a re-commerce program, and license and supply arrangements. The Company offers a comprehensive line of technical athletic apparel, footwear, and accessories marketed under the lululemon brand. Its apparel assortment includes items such as shorts, tops, and jackets designed for a healthy lifestyle, including athletic activities such as yoga, running, training, and most other activities. It also offers apparel designed for being on the move and fitness-inspired accessories. It operates stores in the United States, Canada, China Mainland, Australia, South Korea and others.</v>
    <v>39000</v>
    <v>Nasdaq Stock Market</v>
    <v>XNAS</v>
    <v>XNAS</v>
    <v>1818 Cornwall Avenue, VANCOUVER, BC, V6J 1C7 CA</v>
    <v>163.59</v>
    <v>Textiles &amp; Apparel</v>
    <v>Stock</v>
    <v>46106.61275078672</v>
    <v>187</v>
    <v>159</v>
    <v>18405609092</v>
    <v>LULULEMON ATHLETICA INC.</v>
    <v>LULULEMON ATHLETICA INC.</v>
    <v>162.6</v>
    <v>11.0756</v>
    <v>160.94999999999999</v>
    <v>159.22</v>
    <v>115598600</v>
    <v>LULU</v>
    <v>LULULEMON ATHLETICA INC. (XNAS:LULU)</v>
    <v>444433</v>
    <v>2853737</v>
    <v>2005</v>
  </rv>
  <rv s="2">
    <v>188</v>
  </rv>
  <rv s="0">
    <v>https://www.bing.com/financeapi/forcetrigger?t=a1u5hw&amp;q=XNYS%3aGPS&amp;form=skydnc</v>
    <v>Learn more on Bing</v>
  </rv>
  <rv s="1">
    <v>0</v>
    <v>THE GAP, INC. (XNYS:GAP)</v>
    <v>2</v>
    <v>3</v>
    <v>Finance</v>
    <v>4</v>
    <v>en-US</v>
    <v>a1u5hw</v>
    <v>268435456</v>
    <v>1</v>
    <v>Powered by Refinitiv</v>
    <v>29.36</v>
    <v>16.989999999999998</v>
    <v>2.2265999999999999</v>
    <v>-0.05</v>
    <v>-1.9620000000000002E-3</v>
    <v>USD</v>
    <v>The Gap, Inc. is a specialty apparel company in America. The Company offers apparel, accessories and personal care products for women, men, and children. Its Old Navy, Gap, Banana Republic, and Athleta brands offer clothing, accessories and lifestyle products for men, women, and children. It is an omni-channel retailer, with sales to customers both in stores and online, through Company-operated and franchise stores, websites, and third-party arrangements. Its omni-channel services, including buying online pick-up in-store, order-in-store, find-in-store, and ship-from-store, as well as enhanced mobile-enabled experiences, are tailored across its collection of brands. Gap includes adult apparel and accessories; GapKids, babyGap, Gap Maternity, GapBody, and GapFit collections. Banana Republic is a premium lifestyle retailer celebrating exploration and self-expression through timeless quality, versatile fabrics, and exceptionally made womenswear, menswear, and home designs.</v>
    <v>79000</v>
    <v>New York Stock Exchange</v>
    <v>XNYS</v>
    <v>XNYS</v>
    <v>Two Folsom Street, SAN FRANCISCO, CA, 94105-1205 US</v>
    <v>25.84</v>
    <v>Specialty Retailers</v>
    <v>Stock</v>
    <v>46106.612628818752</v>
    <v>190</v>
    <v>25.18</v>
    <v>9477990000</v>
    <v>THE GAP, INC.</v>
    <v>THE GAP, INC.</v>
    <v>25.73</v>
    <v>11.4168</v>
    <v>25.49</v>
    <v>25.44</v>
    <v>372562500</v>
    <v>GAP</v>
    <v>THE GAP, INC. (XNYS:GAP)</v>
    <v>1330396</v>
    <v>9351262</v>
    <v>1988</v>
  </rv>
  <rv s="2">
    <v>191</v>
  </rv>
  <rv s="5">
    <v>12</v>
    <v>Price</v>
    <v>0</v>
  </rv>
  <rv s="5">
    <v>12</v>
    <v>Employees</v>
    <v>0</v>
  </rv>
  <rv s="5">
    <v>12</v>
    <v>Market cap</v>
    <v>0</v>
  </rv>
  <rv s="5">
    <v>12</v>
    <v>Beta</v>
    <v>0</v>
  </rv>
  <rv s="11">
    <v>12</v>
    <v>1</v>
  </rv>
  <rv s="0">
    <v>https://www.bing.com/financeapi/forcetrigger?t=c2dbp2&amp;q=XNAS%3aTKNO&amp;form=skydnc</v>
    <v>Learn more on Bing</v>
  </rv>
  <rv s="1">
    <v>0</v>
    <v>ALPHA TEKNOVA, INC. (XNAS:TKNO)</v>
    <v>2</v>
    <v>3</v>
    <v>Finance</v>
    <v>4</v>
    <v>en-US</v>
    <v>c2dbp2</v>
    <v>268435456</v>
    <v>1</v>
    <v>Powered by Refinitiv</v>
    <v>7.48</v>
    <v>1.91</v>
    <v>0.31850000000000001</v>
    <v>0.24</v>
    <v>8.0536999999999997E-2</v>
    <v>USD</v>
    <v>Alpha Teknova, Inc. is a producer of critical reagents for the research, discovery, development, and commercialization of therapies, vaccines, and molecular diagnostics. It offers two primary product categories, which include lab essentials and clinical solutions. It also offers three primary product types: pre-poured media plates for cell growth and cloning; liquid cell culture media and supplements for cellular expansion; and molecular biology reagents for sample manipulation, resuspension, and purification. The Company offers its liquid cell culture media and supplements and molecular biology reagents in both of its two product categories; pre-poured media plates are available in its Lab Essentials category only. It supports customers spanning the life sciences market, including pharmaceutical and biotechnology companies, contract development and manufacturing organizations, in vitro diagnostic franchises, and academic and others, with catalog and custom, made-to-order products.</v>
    <v>158</v>
    <v>Nasdaq Stock Market</v>
    <v>XNAS</v>
    <v>XNAS</v>
    <v>2451 Bert Drive, HOLLISTER, CA, 95023 US</v>
    <v>3.22</v>
    <v>Healthcare Equipment &amp; Supplies</v>
    <v>Stock</v>
    <v>46106.611796388279</v>
    <v>198</v>
    <v>2.99</v>
    <v>172552265</v>
    <v>ALPHA TEKNOVA, INC.</v>
    <v>ALPHA TEKNOVA, INC.</v>
    <v>2.99</v>
    <v>0</v>
    <v>2.98</v>
    <v>3.22</v>
    <v>53587660</v>
    <v>TKNO</v>
    <v>ALPHA TEKNOVA, INC. (XNAS:TKNO)</v>
    <v>21524</v>
    <v>158046</v>
    <v>2019</v>
  </rv>
  <rv s="2">
    <v>199</v>
  </rv>
  <rv s="0">
    <v>https://www.bing.com/financeapi/forcetrigger?t=c3orkr&amp;q=XNAS%3aAIRS&amp;form=skydnc</v>
    <v>Learn more on Bing</v>
  </rv>
  <rv s="1">
    <v>0</v>
    <v>AIRSCULPT TECHNOLOGIES, INC. (XNAS:AIRS)</v>
    <v>2</v>
    <v>3</v>
    <v>Finance</v>
    <v>4</v>
    <v>en-US</v>
    <v>c3orkr</v>
    <v>268435456</v>
    <v>1</v>
    <v>Powered by Refinitiv</v>
    <v>12</v>
    <v>1.51</v>
    <v>2.2854000000000001</v>
    <v>0.03</v>
    <v>1.0638000000000002E-2</v>
    <v>USD</v>
    <v>AirSculpt Technologies, Inc., through its wholly owned subsidiaries, is a provider of practice management services to professional associations (PAs) located throughout the United States, Canada, and the United Kingdom. The Company owns and operates non-clinical assets and provides its management services to the PAs through management services agreements (MSAs). It operates through the direct medical procedure services segment. The Company offers fat removal procedures across treatment areas. It also offers fat transfer procedures that use the patient’s own fat cells to enhance the breasts, buttocks, hips, or other areas and do not require silicone or foreign materials to be implanted. Its body contouring procedures include the Power BBL, a Brazilian butt lift procedure, the Up a Cup, a breast enhancement procedure, and the Hip Flip, an hourglass contouring procedure. Its AirSculpt + procedure permanently removes fat and tightens the skin with unparalleled precision and finesse.</v>
    <v>389</v>
    <v>Nasdaq Stock Market</v>
    <v>XNAS</v>
    <v>XNAS</v>
    <v>1111 Lincoln Road, Suite 802, MIAMI BEACH, FL, 33139 US</v>
    <v>2.9</v>
    <v>Healthcare Providers &amp; Services</v>
    <v>Stock</v>
    <v>46106.612665057815</v>
    <v>201</v>
    <v>2.6837</v>
    <v>177944509</v>
    <v>AIRSCULPT TECHNOLOGIES, INC.</v>
    <v>AIRSCULPT TECHNOLOGIES, INC.</v>
    <v>2.88</v>
    <v>0</v>
    <v>2.82</v>
    <v>2.85</v>
    <v>62436670</v>
    <v>AIRS</v>
    <v>AIRSCULPT TECHNOLOGIES, INC. (XNAS:AIRS)</v>
    <v>725449</v>
    <v>4485651</v>
    <v>2021</v>
  </rv>
  <rv s="2">
    <v>202</v>
  </rv>
  <rv s="0">
    <v>https://www.bing.com/financeapi/forcetrigger?t=a1o6ww&amp;q=XNAS%3aNOTV&amp;form=skydnc</v>
    <v>Learn more on Bing</v>
  </rv>
  <rv s="1">
    <v>0</v>
    <v>INOTIV, INC. (XNAS:NOTV)</v>
    <v>2</v>
    <v>3</v>
    <v>Finance</v>
    <v>4</v>
    <v>en-US</v>
    <v>a1o6ww</v>
    <v>268435456</v>
    <v>1</v>
    <v>Powered by Refinitiv</v>
    <v>3.32</v>
    <v>0.25359999999999999</v>
    <v>4.0210999999999997</v>
    <v>1.6999999999999999E-3</v>
    <v>5.3949999999999996E-3</v>
    <v>USD</v>
    <v>Inotiv, Inc. is a contract research company engaged in providing nonclinical and analytical drug discovery and development services to the pharmaceutical and medical device industries and selling a range of research-quality animals and diets to the same industries, as well as academia and government clients. Its products and services focus on bringing new drugs and medical devices through the discovery and preclinical phases of development. It operates through two segments: Discovery and Safety Assessment (DSA) and Research Models and Services (RMS). Through DSA segment, it supports the discovery, nonclinical development and clinical development needs of researchers and clinicians for primarily small molecule drug candidates, as well as biotherapeutics and biomedical devices. Through RMS segment, it offers access to a range of small and large research models for basic research and drug discovery and development, as well as specialized models for specific diseases and therapeutic areas.</v>
    <v>1945</v>
    <v>Nasdaq Stock Market</v>
    <v>XNAS</v>
    <v>XNAS</v>
    <v>2701 Kent Ave, WEST LAFAYETTE, IN, 47906-1382 US</v>
    <v>0.32390000000000002</v>
    <v>Biotechnology &amp; Medical Research</v>
    <v>Stock</v>
    <v>46106.611969594531</v>
    <v>204</v>
    <v>0.30599999999999999</v>
    <v>10896326</v>
    <v>INOTIV, INC.</v>
    <v>INOTIV, INC.</v>
    <v>0.311</v>
    <v>0</v>
    <v>0.31509999999999999</v>
    <v>0.31680000000000003</v>
    <v>34394970</v>
    <v>NOTV</v>
    <v>INOTIV, INC. (XNAS:NOTV)</v>
    <v>35427</v>
    <v>551081</v>
    <v>1975</v>
  </rv>
  <rv s="2">
    <v>205</v>
  </rv>
  <rv s="0">
    <v>https://www.bing.com/financeapi/forcetrigger?t=brjvp2&amp;q=XNAS%3aXGN&amp;form=skydnc</v>
    <v>Learn more on Bing</v>
  </rv>
  <rv s="1">
    <v>0</v>
    <v>EXAGEN INC. (XNAS:XGN)</v>
    <v>2</v>
    <v>3</v>
    <v>Finance</v>
    <v>4</v>
    <v>en-US</v>
    <v>brjvp2</v>
    <v>268435456</v>
    <v>1</v>
    <v>Powered by Refinitiv</v>
    <v>12.23</v>
    <v>2.65</v>
    <v>1.9721</v>
    <v>0.2</v>
    <v>7.2993000000000002E-2</v>
    <v>USD</v>
    <v>Exagen Inc. is a provider of autoimmune diagnostics focused on transforming care for patients with chronic and debilitating autoimmune conditions. The Company is focused on the design, development and commercialization of a portfolio of testing products under its AVISE brand, which allow for the differential diagnosis, prognosis and monitoring of complex rheumatic, autoimmune and autoimmune-related diseases, including systemic lupus erythematosus (SLE) and rheumatoid arthritis (RA). Its testing products are supported by two proprietary technologies: its AVISE Lupus platform, which incorporates Cell-Bound Complement Activation Products (CB-CAPs) for diagnosing SLE, and a set of three biomarkers, the t-cell-based CB-CAP TC4d, along with two t-cell antibodies, TIgG, and TIgM (the T-Cell Biomarkers), all of which are incorporated into its AVISE CTD product. The Company’s flagship product, AVISE CTD, enables clinicians to more effectively diagnose complex autoimmune conditions.</v>
    <v>216</v>
    <v>Nasdaq Stock Market</v>
    <v>XNAS</v>
    <v>XNAS</v>
    <v>1261 Liberty Way, VISTA, CA, 92081 US</v>
    <v>2.96</v>
    <v>Healthcare Providers &amp; Services</v>
    <v>Stock</v>
    <v>46106.611295207811</v>
    <v>207</v>
    <v>2.79</v>
    <v>70715996</v>
    <v>EXAGEN INC.</v>
    <v>EXAGEN INC.</v>
    <v>2.79</v>
    <v>0</v>
    <v>2.74</v>
    <v>2.94</v>
    <v>24053060</v>
    <v>XGN</v>
    <v>EXAGEN INC. (XNAS:XGN)</v>
    <v>56202</v>
    <v>343949</v>
    <v>2003</v>
  </rv>
  <rv s="2">
    <v>208</v>
  </rv>
  <rv s="0">
    <v>https://www.bing.com/financeapi/forcetrigger?t=awa5ww&amp;q=XNAS%3aQTRX&amp;form=skydnc</v>
    <v>Learn more on Bing</v>
  </rv>
  <rv s="1">
    <v>0</v>
    <v>QUANTERIX CORPORATION (XNAS:QTRX)</v>
    <v>2</v>
    <v>3</v>
    <v>Finance</v>
    <v>4</v>
    <v>en-US</v>
    <v>awa5ww</v>
    <v>268435456</v>
    <v>1</v>
    <v>Powered by Refinitiv</v>
    <v>8.77</v>
    <v>3.64</v>
    <v>1.2841</v>
    <v>0.28999999999999998</v>
    <v>7.5915999999999997E-2</v>
    <v>USD</v>
    <v>Quanterix Corporation is engaged in fueling scientific discovery through ultra-sensitive biomarker detection. The Company’s Simoa technology delivers earlier biomarker detection in blood, serum or plasma, with the ability to quantify proteins that are far lower than the level of quantification (LoQ). Its precision instruments, digital immunoassay technology and CLIA-certified Accelerator laboratory have supported research that advances disease understanding and management in neurology, oncology, immunology, cardiology and infectious disease. Its products and services include Simoa Assay Kits, Simoa Dry Blood Extraction Kit, LDTs &amp; Assay Services, Instruments, Simoa Accelerator Laboratory, Homebrew-Custom Assay Development, and Nova Beads. LDTs &amp; Assay Services include Simoa p-Tau 217, Simoa NfL LDT, and LucentAD pTau 217. Its instruments include Simoa HD-X Analyzer-Automated Immunoassays, Quanterix SR-X Biomarker Detection System, and SP-X Imaging and Analysis System.</v>
    <v>450</v>
    <v>Nasdaq Stock Market</v>
    <v>XNAS</v>
    <v>XNAS</v>
    <v>900 Middlesex Turnpike, BILLERICA, MA, 01821 US</v>
    <v>4.1269999999999998</v>
    <v>Healthcare Equipment &amp; Supplies</v>
    <v>Stock</v>
    <v>46106.612664964843</v>
    <v>210</v>
    <v>3.87</v>
    <v>192923276</v>
    <v>QUANTERIX CORPORATION</v>
    <v>QUANTERIX CORPORATION</v>
    <v>3.87</v>
    <v>0</v>
    <v>3.82</v>
    <v>4.1100000000000003</v>
    <v>46939970</v>
    <v>QTRX</v>
    <v>QUANTERIX CORPORATION (XNAS:QTRX)</v>
    <v>174242</v>
    <v>723771</v>
    <v>2007</v>
  </rv>
  <rv s="2">
    <v>211</v>
  </rv>
  <rv s="3">
    <v>5</v>
    <v>TEMPUS AI, INC (XNAS:TEM)</v>
    <v>6</v>
    <v>3</v>
    <v>Finance</v>
    <v>4</v>
    <v>en-US</v>
    <v>cd9jsm</v>
    <v>268435456</v>
    <v>1</v>
    <v>Powered by Refinitiv</v>
    <v>104.32</v>
    <v>36.22</v>
    <v>3.1789999999999998</v>
    <v>-6.9900000000000004E-2</v>
    <v>-1.431E-3</v>
    <v>USD</v>
    <v>Tempus AI, Inc. is a technology company advancing precision medicine through the practical application of artificial intelligence in healthcare. It offers AI-enabled precision medicine solutions to physicians to deliver personalized patient care and, in parallel, facilitates discovery, development and delivery of optimal therapeutics. It provides three product lines: Genomics, Data and artificial intelligence applications (AI). The Genomics product line leverages its laboratories to provide next generation sequencing (NGS) diagnostics, polymerase chain reaction, profiling, molecular genotyping and other anatomic and molecular pathology testing. The data generated in its lab or ingested into its platform is structured and de-identified, prior to commercialization. Its AI Applications is focused on developing and providing diagnostics that are algorithmic in nature, implementing new software as a medical device, and building and deploying clinical decision support tools.</v>
    <v>3800</v>
    <v>Nasdaq Stock Market</v>
    <v>XNAS</v>
    <v>XNAS</v>
    <v>600 West Chicago Avenue, Suite 510, CHICAGO, IL, 60654 US</v>
    <v>50.749899999999997</v>
    <v>Biotechnology &amp; Medical Research</v>
    <v>Stock</v>
    <v>46106.612745346873</v>
    <v>48.760100000000001</v>
    <v>8717023489</v>
    <v>TEMPUS AI, INC</v>
    <v>TEMPUS AI, INC</v>
    <v>50</v>
    <v>0</v>
    <v>48.83</v>
    <v>48.760100000000001</v>
    <v>178773700</v>
    <v>TEM</v>
    <v>TEMPUS AI, INC (XNAS:TEM)</v>
    <v>1036849</v>
    <v>5427543</v>
    <v>2025</v>
  </rv>
  <rv s="2">
    <v>213</v>
  </rv>
  <rv s="0">
    <v>https://www.bing.com/financeapi/forcetrigger?t=b1j3c7&amp;q=XNAS%3aSTIM&amp;form=skydnc</v>
    <v>Learn more on Bing</v>
  </rv>
  <rv s="1">
    <v>0</v>
    <v>NEURONETICS, INC. (XNAS:STIM)</v>
    <v>2</v>
    <v>3</v>
    <v>Finance</v>
    <v>4</v>
    <v>en-US</v>
    <v>b1j3c7</v>
    <v>268435456</v>
    <v>1</v>
    <v>Powered by Refinitiv</v>
    <v>4.9673999999999996</v>
    <v>0.8</v>
    <v>0.87519999999999998</v>
    <v>-3.4799999999999998E-2</v>
    <v>-2.3917999999999998E-2</v>
    <v>USD</v>
    <v>Neuronetics, Inc. a vertically integrated, commercial stage, medical technology and healthcare company. The Company’s NeuroStar Advanced Therapy (NeuroStar Therapy) is a non-drug, noninvasive treatment that can improve the quality of life for people suffering from neurohealth conditions. In addition to selling the NeuroStar Advanced Therapy System (NeuroStar System) and associated treatment sessions to customers, it operates Greenbrook treatment centers across the United States, offering NeuroStar Therapy for the treatment of major depressive disorder (MDD) and other mental health disorders. Spravato is offered to treat adults with treatment-resistant depression and depressive symptoms in adults with MDD with suicidal thoughts or actions. MDD is a recurrent disease and follows a fluctuating course over an individual’s lifetime. The Company provides more than 7.1 million treatments to over 1,95,000 patients.</v>
    <v>658</v>
    <v>Nasdaq Stock Market</v>
    <v>XNAS</v>
    <v>XNAS</v>
    <v>3222 Phoenixville Pike, MALVERN, PA, 19355 US</v>
    <v>1.5</v>
    <v>Healthcare Equipment &amp; Supplies</v>
    <v>Stock</v>
    <v>46106.612565289062</v>
    <v>215</v>
    <v>1.4</v>
    <v>98386613</v>
    <v>NEURONETICS, INC.</v>
    <v>NEURONETICS, INC.</v>
    <v>1.48</v>
    <v>0</v>
    <v>1.4550000000000001</v>
    <v>1.4201999999999999</v>
    <v>69276590</v>
    <v>STIM</v>
    <v>NEURONETICS, INC. (XNAS:STIM)</v>
    <v>230163</v>
    <v>1615818</v>
    <v>2001</v>
  </rv>
  <rv s="2">
    <v>216</v>
  </rv>
  <rv s="0">
    <v>https://www.bing.com/financeapi/forcetrigger?t=buh6gh&amp;q=XNAS%3aTOI&amp;form=skydnc</v>
    <v>Learn more on Bing</v>
  </rv>
  <rv s="1">
    <v>0</v>
    <v>THE ONCOLOGY INSTITUTE, INC. (XNAS:TOI)</v>
    <v>2</v>
    <v>3</v>
    <v>Finance</v>
    <v>4</v>
    <v>en-US</v>
    <v>buh6gh</v>
    <v>268435456</v>
    <v>1</v>
    <v>Powered by Refinitiv</v>
    <v>4.88</v>
    <v>0.97</v>
    <v>0.19040000000000001</v>
    <v>0.13</v>
    <v>4.1534000000000001E-2</v>
    <v>USD</v>
    <v>The Oncology Institute, Inc. is a value-based oncology company. The Company manages community-based oncology practices which serve patients at approximately 86 clinic locations across 16 markets and five states throughout the United States. The Company's segment includes patient services, dispensary, and clinical trials &amp; other. Its managed clinics provide a range of medical oncology services, including physician services, in-house infusion, radiation, and programs like outpatient blood product transfusions, along with 24/7 patient support. The Company, through TOI Clinical Research, LLC (TCR), provides and manages clinical trial services and research for the benefit of cancer patients. The Company also provides management services to over 14 clinic locations owned by independent oncology practices. The Company and its affiliated providers have contractual relationships with payors serving a variety of patients, including Medicare Advantage (MA), Medicaid, and commercial patients.</v>
    <v>641</v>
    <v>Nasdaq Stock Market</v>
    <v>XNAS</v>
    <v>XNAS</v>
    <v>18000 Studebaker Rd, Suite 800, CERRITOS, CA, 90703 US</v>
    <v>3.47</v>
    <v>Healthcare Providers &amp; Services</v>
    <v>Stock</v>
    <v>46106.612578506247</v>
    <v>218</v>
    <v>3.19</v>
    <v>322215596</v>
    <v>THE ONCOLOGY INSTITUTE, INC.</v>
    <v>THE ONCOLOGY INSTITUTE, INC.</v>
    <v>3.19</v>
    <v>0</v>
    <v>3.13</v>
    <v>3.26</v>
    <v>98839140</v>
    <v>TOI</v>
    <v>THE ONCOLOGY INSTITUTE, INC. (XNAS:TOI)</v>
    <v>637867</v>
    <v>2220552</v>
    <v>2019</v>
  </rv>
  <rv s="2">
    <v>219</v>
  </rv>
  <rv s="0">
    <v>https://www.bing.com/financeapi/forcetrigger?t=a1zfk2&amp;q=XNAS%3aPACB&amp;form=skydnc</v>
    <v>Learn more on Bing</v>
  </rv>
  <rv s="1">
    <v>0</v>
    <v>PACIFIC BIOSCIENCES OF CALIFORNIA, INC. (XNAS:PACB)</v>
    <v>2</v>
    <v>3</v>
    <v>Finance</v>
    <v>4</v>
    <v>en-US</v>
    <v>a1zfk2</v>
    <v>268435456</v>
    <v>1</v>
    <v>Powered by Refinitiv</v>
    <v>2.73</v>
    <v>0.85109999999999997</v>
    <v>2.3148</v>
    <v>2.5000000000000001E-2</v>
    <v>1.7985999999999999E-2</v>
    <v>USD</v>
    <v>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detects the nucleotide sequence and epigenetic status of individual deoxyribonucleic acid molecules. Its Revio, Sequel, Sequel II and Sequel IIe instruments conduct, monitor, and analyze single-molecule biochemical reactions in real time.</v>
    <v>485</v>
    <v>Nasdaq Stock Market</v>
    <v>XNAS</v>
    <v>XNAS</v>
    <v>1305 O'brien Drive, MENLO PARK, CA, 94025 US</v>
    <v>1.45</v>
    <v>Healthcare Equipment &amp; Supplies</v>
    <v>Stock</v>
    <v>46106.612755000002</v>
    <v>221</v>
    <v>1.41</v>
    <v>427327594</v>
    <v>PACIFIC BIOSCIENCES OF CALIFORNIA, INC.</v>
    <v>PACIFIC BIOSCIENCES OF CALIFORNIA, INC.</v>
    <v>1.41</v>
    <v>0</v>
    <v>1.39</v>
    <v>1.415</v>
    <v>301998300</v>
    <v>PACB</v>
    <v>PACIFIC BIOSCIENCES OF CALIFORNIA, INC. (XNAS:PACB)</v>
    <v>594213</v>
    <v>5405433</v>
    <v>2000</v>
  </rv>
  <rv s="2">
    <v>222</v>
  </rv>
  <rv s="0">
    <v>https://www.bing.com/financeapi/forcetrigger?t=a21icw&amp;q=XNAS%3aPYPL&amp;form=skydnc</v>
    <v>Learn more on Bing</v>
  </rv>
  <rv s="1">
    <v>0</v>
    <v>PAYPAL HOLDINGS, INC. (XNAS:PYPL)</v>
    <v>2</v>
    <v>3</v>
    <v>Finance</v>
    <v>4</v>
    <v>en-US</v>
    <v>a21icw</v>
    <v>268435456</v>
    <v>1</v>
    <v>Powered by Refinitiv</v>
    <v>79.5</v>
    <v>38.46</v>
    <v>1.4282999999999999</v>
    <v>0.9</v>
    <v>2.0357E-2</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45.959899999999998</v>
    <v>Professional &amp; Commercial Services</v>
    <v>Stock</v>
    <v>46106.612708935158</v>
    <v>224</v>
    <v>44.99</v>
    <v>41531180106</v>
    <v>PAYPAL HOLDINGS, INC.</v>
    <v>PAYPAL HOLDINGS, INC.</v>
    <v>45.08</v>
    <v>8.3216000000000001</v>
    <v>44.21</v>
    <v>45.11</v>
    <v>920664600</v>
    <v>PYPL</v>
    <v>PAYPAL HOLDINGS, INC. (XNAS:PYPL)</v>
    <v>3846015</v>
    <v>25353523</v>
    <v>2015</v>
  </rv>
  <rv s="2">
    <v>225</v>
  </rv>
  <rv s="0">
    <v>https://www.bing.com/financeapi/forcetrigger?t=c22our&amp;q=XNAS%3aDLO&amp;form=skydnc</v>
    <v>Learn more on Bing</v>
  </rv>
  <rv s="1">
    <v>0</v>
    <v>dLocal Ltd (XNAS:DLO)</v>
    <v>2</v>
    <v>3</v>
    <v>Finance</v>
    <v>4</v>
    <v>en-US</v>
    <v>c22our</v>
    <v>268435456</v>
    <v>1</v>
    <v>Powered by Refinitiv</v>
    <v>16.78</v>
    <v>7.2648000000000001</v>
    <v>1.0723</v>
    <v>0.22</v>
    <v>1.7028000000000001E-2</v>
    <v>USD</v>
    <v>Dlocal Ltd, an Uruguay-based company, is focused on enabling global merchants to connect with emerging market users. The Company offers payment platform for emerging markets. Through the Company's direct application programming interface (API), one technology platform, and one contract, which is collectively referred as the One dLocal model. The Company enables global enterprise merchants to get paid (pay-in) and to make payments (pay-out) online in a safe and efficient manner. The Company's cloud-based platform powers both cross-border and local-to-local transactions in approximately 29 countries. The Company enables global merchants to connect with over 600 local payment methods across different geographies, which expands their addressable markets. It operates in different verticals and geographies. The Company's key verticals include retail, streaming, ride hailing, financial institutions, advertising, software as a service (SaaS), travel, e-learning and gaming.</v>
    <v>1274</v>
    <v>Nasdaq Stock Market</v>
    <v>XNAS</v>
    <v>XNAS</v>
    <v>Dr Luis Bonavita, 1294, MONTEVIDEO, 11300 UY</v>
    <v>13.5</v>
    <v>Professional &amp; Commercial Services</v>
    <v>Stock</v>
    <v>46106.612790265623</v>
    <v>227</v>
    <v>13.013500000000001</v>
    <v>3875405166</v>
    <v>dLocal Ltd</v>
    <v>dLocal Ltd</v>
    <v>13.13</v>
    <v>23.154199999999999</v>
    <v>12.92</v>
    <v>13.14</v>
    <v>294931900</v>
    <v>DLO</v>
    <v>dLocal Ltd (XNAS:DLO)</v>
    <v>661812</v>
    <v>1380815</v>
    <v>2021</v>
  </rv>
  <rv s="2">
    <v>228</v>
  </rv>
  <rv s="0">
    <v>https://www.bing.com/financeapi/forcetrigger?t=a23i8m&amp;q=XNYS%3aSQ&amp;form=skydnc</v>
    <v>Learn more on Bing</v>
  </rv>
  <rv s="1">
    <v>0</v>
    <v>BLOCK, INC. (XNYS:XYZ)</v>
    <v>2</v>
    <v>3</v>
    <v>Finance</v>
    <v>4</v>
    <v>en-US</v>
    <v>a23i8m</v>
    <v>268435456</v>
    <v>1</v>
    <v>Powered by Refinitiv</v>
    <v>82.5</v>
    <v>44.27</v>
    <v>2.6244000000000001</v>
    <v>1.28</v>
    <v>2.1373000000000003E-2</v>
    <v>USD</v>
    <v>Block, Inc. builds technology to increase access to the global economy. The Company operates through two segments: Square and Cash App. The Square includes managed payment services, software solutions, hardware, and financial services offered to sellers, excluding those that involve Cash App. The Cash App segment includes the financial tools available to individuals within the mobile Cash App, including peer-to-peer payments, bitcoin and stock investments. The Cash App also includes Cash App Card, which is linked to customer stored balances that customers can use to pay for purchases or withdraw funds from an ATM. Cash App also includes the BNPL platform. Its Afterpay business is transforming the way customers manage their spending over time. Its TIDAL business is a music platform that empowers artists to thrive as entrepreneurs. Its Bitkey business is a simple self-custody wallet built for bitcoin. Proto business is a suite of bitcoin mining products and services.</v>
    <v>10205</v>
    <v>New York Stock Exchange</v>
    <v>XNYS</v>
    <v>XNYS</v>
    <v>1955 Broadway, Suite 600, OAKLAND, CA, 94612 US</v>
    <v>62.13</v>
    <v>Professional &amp; Commercial Services</v>
    <v>Stock</v>
    <v>46106.612755034374</v>
    <v>230</v>
    <v>60.88</v>
    <v>36646702320</v>
    <v>BLOCK, INC.</v>
    <v>BLOCK, INC.</v>
    <v>61.56</v>
    <v>28.965800000000002</v>
    <v>59.89</v>
    <v>61.17</v>
    <v>599096000</v>
    <v>XYZ</v>
    <v>BLOCK, INC. (XNYS:XYZ)</v>
    <v>1134373</v>
    <v>10569139</v>
    <v>2009</v>
  </rv>
  <rv s="2">
    <v>231</v>
  </rv>
  <rv s="0">
    <v>https://www.bing.com/financeapi/forcetrigger?t=bpstk2&amp;q=XNYS%3aFOA&amp;form=skydnc</v>
    <v>Learn more on Bing</v>
  </rv>
  <rv s="10">
    <v>18</v>
    <v>FINANCE OF AMERICA COMPANIES INC. (XNYS:FOA)</v>
    <v>2</v>
    <v>8</v>
    <v>Finance</v>
    <v>4</v>
    <v>en-US</v>
    <v>bpstk2</v>
    <v>268435456</v>
    <v>1</v>
    <v>Powered by Refinitiv</v>
    <v>29.58</v>
    <v>16.09</v>
    <v>1.6938</v>
    <v>0.1</v>
    <v>5.8040000000000001E-3</v>
    <v>USD</v>
    <v>Finance of America Companies Inc. is a financial services holding company. The Company is a provider of home equity-based financing solutions for a modern retirement. The Company offers capital markets and portfolio management capabilities primarily to optimize the distribution of its originated loans to investors. It has two segments: Retirement Solutions and Portfolio Management. Retirement Solutions segment conducts all of the Company’s loan origination activity, including the origination of home equity conversion mortgages and non-agency reverse mortgage loans through both the retail and third-party originator channels. Portfolio Management segment provides product development, loan securitization, loan sales, risk management, servicing oversight, and asset management services for the Company. It uses a combination of proprietary and third-party intellectual property, such as owned or licensed trademarks, trademark applications, and domain names.</v>
    <v>782</v>
    <v>New York Stock Exchange</v>
    <v>XNYS</v>
    <v>XNYS</v>
    <v>5830 Granite Parkway, Suite 400, PLANO, TX, 75024 US</v>
    <v>17.55</v>
    <v>Investment Banking &amp; Investment Services</v>
    <v>Stock</v>
    <v>46106.608751064065</v>
    <v>233</v>
    <v>17.329999999999998</v>
    <v>148205120</v>
    <v>FINANCE OF AMERICA COMPANIES INC.</v>
    <v>FINANCE OF AMERICA COMPANIES INC.</v>
    <v>17.329999999999998</v>
    <v>17.23</v>
    <v>17.329999999999998</v>
    <v>8551940</v>
    <v>FOA</v>
    <v>FINANCE OF AMERICA COMPANIES INC. (XNYS:FOA)</v>
    <v>7484</v>
    <v>111662</v>
    <v>2020</v>
  </rv>
  <rv s="2">
    <v>234</v>
  </rv>
  <rv s="0">
    <v>https://www.bing.com/financeapi/forcetrigger?t=bzu86h&amp;q=XNAS%3aCOIN&amp;form=skydnc</v>
    <v>Learn more on Bing</v>
  </rv>
  <rv s="1">
    <v>0</v>
    <v>COINBASE GLOBAL, INC. (XNAS:COIN)</v>
    <v>2</v>
    <v>3</v>
    <v>Finance</v>
    <v>4</v>
    <v>en-US</v>
    <v>bzu86h</v>
    <v>268435456</v>
    <v>1</v>
    <v>Powered by Refinitiv</v>
    <v>444.64499999999998</v>
    <v>139.36000000000001</v>
    <v>3.6015999999999999</v>
    <v>6.96</v>
    <v>3.8445E-2</v>
    <v>USD</v>
    <v>Coinbase Global, Inc. is a holding company of Coinbase, Inc. and other subsidiaries. The Company provides a platform that serves as a compliant on-ramp to the onchain economy and enables users to engage in a variety of activities with their crypto assets in both proprietary and third-party product experiences enabled by access to decentralized applications. It offers consumers their primary financial account for the onchain economy; institutions a full-service prime brokerage platform with access to deep pools of liquidity across the crypto marketplace, and developers a suite of products granting access to build onchain. The Company offers products and services to various customer groups: consumers, businesses, institutions, and developers. Its transaction products consist of consumer trading, prime trading, markets, base protocol and Coinbase wallet. The Company also provides market infrastructure in the form of exchanges for customers to trade spots and derivatives.</v>
    <v>4951</v>
    <v>Nasdaq Stock Market</v>
    <v>XNAS</v>
    <v>XNAS</v>
    <v>One Madison Avenue, Suite 2400, NEW YORK, NY, 10010 US</v>
    <v>190.71</v>
    <v>Financial Technology (Fintech) &amp; Infrastructure</v>
    <v>Stock</v>
    <v>46106.612785358593</v>
    <v>236</v>
    <v>184.57900000000001</v>
    <v>49646137600</v>
    <v>COINBASE GLOBAL, INC.</v>
    <v>COINBASE GLOBAL, INC.</v>
    <v>184.96</v>
    <v>43.099499999999999</v>
    <v>181.04</v>
    <v>188</v>
    <v>264075200</v>
    <v>COIN</v>
    <v>COINBASE GLOBAL, INC. (XNAS:COIN)</v>
    <v>3533410</v>
    <v>13261933</v>
    <v>2025</v>
  </rv>
  <rv s="2">
    <v>237</v>
  </rv>
  <rv s="0">
    <v>https://www.bing.com/financeapi/forcetrigger?t=c2mtww&amp;q=XNAS%3aHOOD&amp;form=skydnc</v>
    <v>Learn more on Bing</v>
  </rv>
  <rv s="1">
    <v>0</v>
    <v>ROBINHOOD MARKETS, INC. (XNAS:HOOD)</v>
    <v>2</v>
    <v>3</v>
    <v>Finance</v>
    <v>4</v>
    <v>en-US</v>
    <v>c2mtww</v>
    <v>268435456</v>
    <v>1</v>
    <v>Powered by Refinitiv</v>
    <v>153.85990000000001</v>
    <v>29.66</v>
    <v>2.4706000000000001</v>
    <v>4.6717000000000004</v>
    <v>6.7626999999999993E-2</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2900</v>
    <v>Nasdaq Stock Market</v>
    <v>XNAS</v>
    <v>XNAS</v>
    <v>85 Willow Road, MENLO PARK, CA, 94025 US</v>
    <v>74.53</v>
    <v>Financial Technology (Fintech) &amp; Infrastructure</v>
    <v>Stock</v>
    <v>46106.612821017967</v>
    <v>239</v>
    <v>71.819999999999993</v>
    <v>66399275024</v>
    <v>ROBINHOOD MARKETS, INC.</v>
    <v>ROBINHOOD MARKETS, INC.</v>
    <v>71.89</v>
    <v>41.257399999999997</v>
    <v>69.08</v>
    <v>73.7517</v>
    <v>900308400</v>
    <v>HOOD</v>
    <v>ROBINHOOD MARKETS, INC. (XNAS:HOOD)</v>
    <v>10952757</v>
    <v>26924309</v>
    <v>2013</v>
  </rv>
  <rv s="2">
    <v>240</v>
  </rv>
  <rv s="12">
    <v>19</v>
    <v>Webull Corporation (XNAS:BULL)</v>
    <v>6</v>
    <v>16</v>
    <v>Finance</v>
    <v>4</v>
    <v>en-US</v>
    <v>c739a2</v>
    <v>268435456</v>
    <v>1</v>
    <v>Powered by Refinitiv</v>
    <v>79.56</v>
    <v>5.0350000000000001</v>
    <v>5.2200000000000003E-2</v>
    <v>7.4999999999999997E-2</v>
    <v>1.4619999999999999E-2</v>
    <v>USD</v>
    <v>Webull Corporation is a digital investment platform built upon a next-generation global infrastructure. The Company’s platform allows its customers to invest in United States (U.S.) listed stocks, exchange-traded funds (ETFs), as well as American Depository Receipts. It offers fractional share trading for U.S.-listed stocks and ETFs on its Webull App, which allows its customers to invest in fractions of a share of a stock or ETF instead of buying or selling whole shares. It also offers trading in multiple-listed stock options, ETFs, and index options. It offers cash sweep products to its customers, allowing them to earn interest on uninvested brokerage cash that the Company sweeps to its partner banks. It provides robo-advisor services through Webull Advisors LLC. It also provides retirement investment accounts and portfolio management tools for long-term investors. It offers seamless interoperability for clients investing through mobile, tablet, Web-based, and desktop devices.</v>
    <v>1194</v>
    <v>Nasdaq Stock Market</v>
    <v>XNAS</v>
    <v>XNAS</v>
    <v>200 Carillon Parkway, ST. PETERSBURG, FL, 33716 US</v>
    <v>5.3000999999999996</v>
    <v>Financial Technology (Fintech) &amp; Infrastructure</v>
    <v>Stock</v>
    <v>46106.612666539062</v>
    <v>5.1950000000000003</v>
    <v>2724558811</v>
    <v>Webull Corporation</v>
    <v>Webull Corporation</v>
    <v>5.2</v>
    <v>0</v>
    <v>5.13</v>
    <v>5.2050000000000001</v>
    <v>523450300</v>
    <v>BULL</v>
    <v>Webull Corporation (XNAS:BULL)</v>
    <v>2044374</v>
    <v>10968789</v>
  </rv>
  <rv s="2">
    <v>242</v>
  </rv>
  <rv s="0">
    <v>https://www.bing.com/financeapi/forcetrigger?t=c1tsrw&amp;q=XNAS%3aPGY&amp;form=skydnc</v>
    <v>Learn more on Bing</v>
  </rv>
  <rv s="1">
    <v>0</v>
    <v>PAGAYA TECHNOLOGIES LTD (XNAS:PGY)</v>
    <v>2</v>
    <v>3</v>
    <v>Finance</v>
    <v>4</v>
    <v>en-US</v>
    <v>c1tsrw</v>
    <v>268435456</v>
    <v>1</v>
    <v>Powered by Refinitiv</v>
    <v>44.99</v>
    <v>8.5</v>
    <v>5.8045</v>
    <v>0.59</v>
    <v>5.2443999999999998E-2</v>
    <v>USD</v>
    <v>Pagaya Technologies Ltd is an Israel-based company. It is primarily engaged in financial technology (FinTech) industry. The Company develops data science, machine learning and AI technology (Artificial Intelligence) analytics, enabling accurate, real-time customer credit assessments. Company's customers are lending companies that, by connecting to the AI Pagaya network, have the opportunity to discover and approve new customers that meet their credit criteria. Thanks to the Company's solutions, its customers gains a customer without undue risk. Pagaya Technologies Ltd delivers technology that provides loan assistance such as personal, car and credit card loans. The Company serves its clients all over the world.</v>
    <v>518</v>
    <v>Nasdaq Stock Market</v>
    <v>XNAS</v>
    <v>XNAS</v>
    <v>121 Menachem Begin Rd., 54Th Floor, TEL AVIV-YAFO IL</v>
    <v>11.94</v>
    <v>Financial Technology (Fintech) &amp; Infrastructure</v>
    <v>Stock</v>
    <v>46106.612811700783</v>
    <v>244</v>
    <v>11.63</v>
    <v>977113049</v>
    <v>PAGAYA TECHNOLOGIES LTD</v>
    <v>PAGAYA TECHNOLOGIES LTD</v>
    <v>11.9</v>
    <v>0</v>
    <v>11.25</v>
    <v>11.84</v>
    <v>82526440</v>
    <v>PGY</v>
    <v>PAGAYA TECHNOLOGIES LTD (XNAS:PGY)</v>
    <v>871443</v>
    <v>3201742</v>
    <v>2016</v>
  </rv>
  <rv s="2">
    <v>245</v>
  </rv>
  <rv s="0">
    <v>https://www.bing.com/financeapi/forcetrigger?t=c35noc&amp;q=XNYS%3aSPIR&amp;form=skydnc</v>
    <v>Learn more on Bing</v>
  </rv>
  <rv s="1">
    <v>0</v>
    <v>SPIRE GLOBAL, INC. (XNYS:SPIR)</v>
    <v>2</v>
    <v>3</v>
    <v>Finance</v>
    <v>4</v>
    <v>en-US</v>
    <v>c35noc</v>
    <v>268435456</v>
    <v>1</v>
    <v>Powered by Refinitiv</v>
    <v>14.85</v>
    <v>6.6</v>
    <v>2.2465000000000002</v>
    <v>2.0299</v>
    <v>0.15833900000000001</v>
    <v>USD</v>
    <v>Spire Global, Inc. is a global provider of space-based data, analytics and space services, offering datasets and insights about earth so that organizations can make decisions. The Company builds, owns, and operates a fully deployed satellite constellation that observes the earth in real time using radio frequency technology. The data acquired by its satellites provides global weather intelligence, plane movements, and spoofing and jamming detection to better predict how their patterns impact economies, global security, business operations and the environment. It also offers space as a service solution that empowers customers to leverage its infrastructure to put their business in space. It provides customers these solutions through an application programming interface infrastructure. It also offers research and development services to third parties, for the advancement of contracted satellite technologies. It has a presence in the United States, Canada, Luxembourg, and others.</v>
    <v>372</v>
    <v>New York Stock Exchange</v>
    <v>XNYS</v>
    <v>XNYS</v>
    <v>8000 Towers Crescent Drive, Suite 1225, VIENNA, VA, 22182 US</v>
    <v>14.85</v>
    <v>Telecommunications Services</v>
    <v>Stock</v>
    <v>46106.612714501563</v>
    <v>247</v>
    <v>13.06</v>
    <v>519915491</v>
    <v>SPIRE GLOBAL, INC.</v>
    <v>SPIRE GLOBAL, INC.</v>
    <v>13.12</v>
    <v>32.860999999999997</v>
    <v>12.82</v>
    <v>14.8499</v>
    <v>35011380</v>
    <v>SPIR</v>
    <v>SPIRE GLOBAL, INC. (XNYS:SPIR)</v>
    <v>680335</v>
    <v>608798</v>
    <v>2020</v>
  </rv>
  <rv s="2">
    <v>248</v>
  </rv>
  <rv s="0">
    <v>https://www.bing.com/financeapi/forcetrigger?t=btavk2&amp;q=XNYS%3aBKSY&amp;form=skydnc</v>
    <v>Learn more on Bing</v>
  </rv>
  <rv s="1">
    <v>0</v>
    <v>BLACKSKY TECHNOLOGY INC. (XNYS:BKSY)</v>
    <v>2</v>
    <v>3</v>
    <v>Finance</v>
    <v>4</v>
    <v>en-US</v>
    <v>btavk2</v>
    <v>268435456</v>
    <v>1</v>
    <v>Powered by Refinitiv</v>
    <v>33.197600000000001</v>
    <v>6.15</v>
    <v>2.2599999999999998</v>
    <v>3.1850000000000001</v>
    <v>0.125246</v>
    <v>USD</v>
    <v>BlackSky Technology Inc. is a space-based intelligence company. The Company delivers on-demand, high frequency imagery, monitoring and analytics of the strategic locations, economic assets, and events in the world. It designs, owns, and operates low earth orbit small satellite constellations. Its BlackSky Spectra platform processes data from its constellation and from other third-party sensors to develop the critical insights and analytics that its customers require. Its Spectra is a first-of-its-kind commercial platform that helps customers manage their monitoring activities from space. Spectra software platform processes millions of observations a day from both its proprietary satellite constellations and by using data from multiple external sources, including imaging, radar and radio frequency satellites, environmental sensors, asset tracking sensors, Internet of Thing connected devices, internet-enabled narrative sources, and a variety of geotemporal data feeds.</v>
    <v>321</v>
    <v>New York Stock Exchange</v>
    <v>XNYS</v>
    <v>XNYS</v>
    <v>2411 Dulles Corner Park, Suite 300, HERNDON, VA, 20171 US</v>
    <v>29.45</v>
    <v>Aerospace &amp; Defense</v>
    <v>Stock</v>
    <v>46106.612692325783</v>
    <v>250</v>
    <v>25.23</v>
    <v>1058606488</v>
    <v>BLACKSKY TECHNOLOGY INC.</v>
    <v>BLACKSKY TECHNOLOGY INC.</v>
    <v>26</v>
    <v>0</v>
    <v>25.43</v>
    <v>28.614999999999998</v>
    <v>36994810</v>
    <v>BKSY</v>
    <v>BLACKSKY TECHNOLOGY INC. (XNYS:BKSY)</v>
    <v>774851</v>
    <v>1376199</v>
    <v>2018</v>
  </rv>
  <rv s="2">
    <v>251</v>
  </rv>
  <rv s="0">
    <v>https://www.bing.com/financeapi/forcetrigger?t=bsmyr7&amp;q=XNAS%3aASTS&amp;form=skydnc</v>
    <v>Learn more on Bing</v>
  </rv>
  <rv s="1">
    <v>0</v>
    <v>AST SPACEMOBILE, INC. (XNAS:ASTS)</v>
    <v>2</v>
    <v>3</v>
    <v>Finance</v>
    <v>4</v>
    <v>en-US</v>
    <v>bsmyr7</v>
    <v>268435456</v>
    <v>1</v>
    <v>Powered by Refinitiv</v>
    <v>129.88999999999999</v>
    <v>18.22</v>
    <v>2.7845</v>
    <v>9.94</v>
    <v>0.11427899999999999</v>
    <v>USD</v>
    <v>AST SpaceMobile, Inc. is engaged in building a global cellular broadband network in space to operate directly with standard, unmodified mobile devices based on its intellectual property (IP) and patent portfolio and designed for both commercial and government applications. The Company is engaged in designing and developing the constellation of BlueBird (BB) satellites and has planned space-based Cellular Broadband network distributed through a constellation of low Earth orbit (LEO) satellites. Its SpaceMobile Service is being designed to provide high-speed cellular broadband services to end-users who are out of terrestrial cellular coverage using existing mobile devices. The Company intends to continue testing capabilities of the BW3 test satellite, including further testing with cellular service providers and the government. The Company has operations in India, Scotland, Spain, and Israel.</v>
    <v>1126</v>
    <v>Nasdaq Stock Market</v>
    <v>XNAS</v>
    <v>XNAS</v>
    <v>Midland Intl. Air &amp; Space Port, 2901 Enterprise Lane, MIDLAND, TX, 79706 US</v>
    <v>98.5</v>
    <v>Telecommunications Services</v>
    <v>Stock</v>
    <v>46106.612770346874</v>
    <v>253</v>
    <v>88.88</v>
    <v>37024913184</v>
    <v>AST SPACEMOBILE, INC.</v>
    <v>AST SPACEMOBILE, INC.</v>
    <v>89.57</v>
    <v>0</v>
    <v>86.98</v>
    <v>96.92</v>
    <v>382015200</v>
    <v>ASTS</v>
    <v>AST SPACEMOBILE, INC. (XNAS:ASTS)</v>
    <v>9003849</v>
    <v>12291430</v>
    <v>2019</v>
  </rv>
  <rv s="2">
    <v>254</v>
  </rv>
  <rv s="0">
    <v>https://www.bing.com/financeapi/forcetrigger?t=bwtkp2&amp;q=XNAS%3aRKLB&amp;form=skydnc</v>
    <v>Learn more on Bing</v>
  </rv>
  <rv s="1">
    <v>0</v>
    <v>ROCKET LAB CORPORATION (XNAS:RKLB)</v>
    <v>2</v>
    <v>3</v>
    <v>Finance</v>
    <v>4</v>
    <v>en-US</v>
    <v>bwtkp2</v>
    <v>268435456</v>
    <v>1</v>
    <v>Powered by Refinitiv</v>
    <v>99.58</v>
    <v>14.71</v>
    <v>2.1968999999999999</v>
    <v>7.8583999999999996</v>
    <v>0.11894100000000001</v>
    <v>USD</v>
    <v>Rocket Lab Corporation is an end-to-end space company. The Company designs and manufactures small and medium-class rockets, spacecraft and spacecraft components, and related software and services to support the space economy. The Company delivers reliable launch services, satellite manufacture, spacecraft design services, spacecraft components, spacecraft manufacturing, and other spacecraft and on-orbit management solutions that make it easier to access space. Its Launch Services segment provides launch and launch-related services to customers on a dedicated mission or ride-share basis. Its Space Systems segment comprises the design and manufacture of spacecraft components and spacecraft program management services, space data applications, and mission operations. Its space systems solutions are the building blocks for spacecraft, which include composite structures, reaction wheels, star trackers, solar solutions, radios, separation systems, and command and control spacecraft software.</v>
    <v>2600</v>
    <v>Nasdaq Stock Market</v>
    <v>XNAS</v>
    <v>XNAS</v>
    <v>3881 Mcgowen Street, LONG BEACH, CA, 90808 US</v>
    <v>75.059899999999999</v>
    <v>Aerospace &amp; Defense</v>
    <v>Stock</v>
    <v>46106.61276683984</v>
    <v>256</v>
    <v>68.94</v>
    <v>42095400208</v>
    <v>ROCKET LAB CORPORATION</v>
    <v>ROCKET LAB CORPORATION</v>
    <v>69</v>
    <v>0</v>
    <v>66.069999999999993</v>
    <v>73.928399999999996</v>
    <v>569407700</v>
    <v>RKLB</v>
    <v>ROCKET LAB CORPORATION (XNAS:RKLB)</v>
    <v>16723609</v>
    <v>20117381</v>
    <v>2025</v>
  </rv>
  <rv s="2">
    <v>257</v>
  </rv>
  <rv s="0">
    <v>https://www.bing.com/financeapi/forcetrigger?t=a1yeec&amp;q=XNYS%3aNEM&amp;form=skydnc</v>
    <v>Learn more on Bing</v>
  </rv>
  <rv s="1">
    <v>0</v>
    <v>NEWMONT CORPORATION (XNYS:NEM)</v>
    <v>2</v>
    <v>3</v>
    <v>Finance</v>
    <v>4</v>
    <v>en-US</v>
    <v>a1yeec</v>
    <v>268435456</v>
    <v>1</v>
    <v>Powered by Refinitiv</v>
    <v>134.88</v>
    <v>42.933</v>
    <v>0.50560000000000005</v>
    <v>3.6850000000000001</v>
    <v>3.7214999999999998E-2</v>
    <v>USD</v>
    <v>Newmont Corporation is a gold company and a producer of copper, zinc, lead, and silver with operations and/or assets in the Africa, Australia, Latin America &amp; Caribbean, North America, and Papua New Guinea regions. The Company's operations include Brucejack, Red Chris, Penasquito, Merian, Cerro Negro, Yanacocha, Boddington, Tanami, Cadia, Lihir, Ahafo, and NGM. The Brucejack operation includes four mining leases and six core mineral claims which cover 8,169 acres (3,306 hectares) and 337 mineral claims covering 298,795 acres (120,918 hectares). The Red Chris operation includes five mining leases which cover 12,703 acres and 199 mineral claims, encompassing an area of 164,903 acres (66,734 hectares). Penasquito includes 20 mining concessions for operations comprising 113,231 acres (45,823 hectares) and 60 mining concessions for exploration of 107,456 acres (43,486 hectares). The Merian operation includes one right of exploitation encompassing an area of 41,687 acres (16,870 hectares).</v>
    <v>17500</v>
    <v>New York Stock Exchange</v>
    <v>XNYS</v>
    <v>XNYS</v>
    <v>6900 E Layton Avenue, Suite 700, DENVER, CO, 80237 US</v>
    <v>103.94</v>
    <v>Metals &amp; Mining</v>
    <v>Stock</v>
    <v>46106.612731388283</v>
    <v>259</v>
    <v>101.24</v>
    <v>111730099170</v>
    <v>NEWMONT CORPORATION</v>
    <v>NEWMONT CORPORATION</v>
    <v>103.94</v>
    <v>16.071999999999999</v>
    <v>99.02</v>
    <v>102.705</v>
    <v>1087874000</v>
    <v>NEM</v>
    <v>NEWMONT CORPORATION (XNYS:NEM)</v>
    <v>2502988</v>
    <v>11788464</v>
    <v>2001</v>
  </rv>
  <rv s="2">
    <v>260</v>
  </rv>
  <rv s="0">
    <v>https://www.bing.com/financeapi/forcetrigger?t=a2nzxm&amp;q=XNAS%3aPPTA&amp;form=skydnc</v>
    <v>Learn more on Bing</v>
  </rv>
  <rv s="1">
    <v>0</v>
    <v>PERPETUA RESOURCES CORP. (XNAS:PPTA)</v>
    <v>2</v>
    <v>17</v>
    <v>Finance</v>
    <v>4</v>
    <v>en-US</v>
    <v>a2nzxm</v>
    <v>268435456</v>
    <v>1</v>
    <v>Powered by Refinitiv</v>
    <v>37.369999999999997</v>
    <v>8.8350000000000009</v>
    <v>0.86040000000000005</v>
    <v>0.69</v>
    <v>2.7403E-2</v>
    <v>USD</v>
    <v>Perpetua Resources Corp. is a development-stage company. The Company operates through mineral exploration in the United States segment. It is primarily engaged in acquiring mining properties with the intention of exploring, evaluating, and placing them into production. The Company’s principal business is the exploration and subject to receipt of required permitting, redevelopment, restoration and operation of the Stibnite Gold Project in Idaho, the United States. Its Stibnite Gold Project is located in central Idaho, the United States, which lies over 100 miles northeast of Boise, Idaho, over 38 miles east of McCall, Idaho, and approximately 10 miles east of Yellow Pine, Idaho. Its mineral Stibnite Gold Project contains gold, silver, and antimony mineral deposits. It focuses to explore, evaluate, and potentially redevelop three of the deposits known as the Hangar Flats Deposit, West End Deposit and Yellow Pine Deposit.</v>
    <v>36</v>
    <v>Nasdaq Stock Market</v>
    <v>XNAS</v>
    <v>XNAS</v>
    <v>405 S. 8Th Street, Ste. 201, BOISE, ID, 83702 US</v>
    <v>27</v>
    <v>Metals &amp; Mining</v>
    <v>Stock</v>
    <v>46106.612701596874</v>
    <v>262</v>
    <v>25.59</v>
    <v>5340662000</v>
    <v>PERPETUA RESOURCES CORP.</v>
    <v>PERPETUA RESOURCES CORP.</v>
    <v>26.88</v>
    <v>0</v>
    <v>25.18</v>
    <v>25.87</v>
    <v>124856700</v>
    <v>PPTA</v>
    <v>PERPETUA RESOURCES CORP. (XNAS:PPTA)</v>
    <v>280114</v>
    <v>1705826</v>
    <v>2011</v>
  </rv>
  <rv s="2">
    <v>263</v>
  </rv>
  <rv s="0">
    <v>https://www.bing.com/financeapi/forcetrigger?t=a1x9k2&amp;q=XNYS%3aMAG&amp;form=skydnc</v>
    <v>Learn more on Bing</v>
  </rv>
  <rv s="13">
    <v>20</v>
    <v>MAG SILVER CORP. (XNYS:MAG)</v>
    <v>2</v>
    <v>17</v>
    <v>Finance</v>
    <v>21</v>
    <v>en-US</v>
    <v>a1x9k2</v>
    <v>268435456</v>
    <v>1</v>
    <v>1</v>
    <v>Powered by Refinitiv</v>
    <v>25.09</v>
    <v>11.72</v>
    <v>1.0036</v>
    <v>0</v>
    <v>0</v>
    <v>USD</v>
    <v>MAG Silver Corp. is a Canadian mining and exploration company focused on advancing high-grade, district scale precious metals projects in the Americas. The Company, through its (44%) joint venture, has an interest in the 4,000 tons per day Juanicipio Mine, operated by Fresnillo plc (56%). The Juanicipio Mine is located in the Fresnillo Silver Trend in Mexico. It is also executing multiphase exploration programs at the 100% earn-in Deer Trail Project in Utah and the 100% owned Larder Project, located in the historically prolific Abitibi region of Canada. The Deer Trail Project (Utah, USA) is a silver-rich carbonate replacement deposit (CRD) exploration project, targeting high-grade silver, gold, lead, zinc, and copper. The Larder exploration area covers 6,450 hectares, spanning 8.5 kilometers along the Cadillac-Larder Break (CLB). The Deer Trail Project spans approximately 6,500 hectares.</v>
    <v>12</v>
    <v>New York Stock Exchange</v>
    <v>XNYS</v>
    <v>XNYS</v>
    <v>#801 - 815 HASTINGS ST. W., VANCOUVER, BC, V6C 1B4 CA</v>
    <v>25.09</v>
    <v>Metals &amp; Mining</v>
    <v>Stock</v>
    <v>45904.000000080472</v>
    <v>265</v>
    <v>24.350100000000001</v>
    <v>3536384000</v>
    <v>MAG SILVER CORP.</v>
    <v>MAG SILVER CORP.</v>
    <v>24.96</v>
    <v>24.719899999999999</v>
    <v>24.76</v>
    <v>24.47</v>
    <v>103463500</v>
    <v>MAG</v>
    <v>MAG SILVER CORP. (XNYS:MAG)</v>
    <v>2178079</v>
    <v>1784655</v>
    <v>1999</v>
  </rv>
  <rv s="2">
    <v>266</v>
  </rv>
  <rv s="0">
    <v>https://www.bing.com/financeapi/forcetrigger?t=a237m7&amp;q=XNYS%3aSNAP&amp;form=skydnc</v>
    <v>Learn more on Bing</v>
  </rv>
  <rv s="1">
    <v>0</v>
    <v>SNAP INC. (XNYS:SNAP)</v>
    <v>2</v>
    <v>3</v>
    <v>Finance</v>
    <v>4</v>
    <v>en-US</v>
    <v>a237m7</v>
    <v>268435456</v>
    <v>1</v>
    <v>Powered by Refinitiv</v>
    <v>10.41</v>
    <v>4.3099999999999996</v>
    <v>0.93710000000000004</v>
    <v>0.19500000000000001</v>
    <v>4.4725000000000001E-2</v>
    <v>USD</v>
    <v>Snap Inc. is a technology company. Its flagship product, Snapchat, is a visual messaging application that enhances relationships with friends, family, and the world. Snapchat is the Company's core mobile device application and contains five tabs, complemented by additional tools that function outside the application. Snapchatters can interact with any or all the five tabs. Additionally, it offers Snapchat+, its subscription product that provides subscribers access to exclusive, experimental, and pre-release features. Snapchat+ offers a range of features, from allowing Snapchatters to customize the look and feel of their application, to giving special insights into their friendships. The Company also offers Snapchat for Web, a browser-based product that brings Snapchats calling and messaging capabilities to the Web. Its advertising products include AR Ads and Snap Ads. Snap Ads include Single Image or Video Ads, Story Ads, Collection Ads, Dynamic Ads, Commercials, and Sponsored Snaps.</v>
    <v>5261</v>
    <v>New York Stock Exchange</v>
    <v>XNYS</v>
    <v>XNYS</v>
    <v>3000 31st Street, SANTA MONICA, CA, 90405 US</v>
    <v>4.5599999999999996</v>
    <v>Software &amp; IT Services</v>
    <v>Stock</v>
    <v>46106.612802823438</v>
    <v>268</v>
    <v>4.4306999999999999</v>
    <v>7693176359</v>
    <v>SNAP INC.</v>
    <v>SNAP INC.</v>
    <v>4.45</v>
    <v>0</v>
    <v>4.3600000000000003</v>
    <v>4.5549999999999997</v>
    <v>1688952000</v>
    <v>SNAP</v>
    <v>SNAP INC. (XNYS:SNAP)</v>
    <v>10911437</v>
    <v>37389748</v>
    <v>2012</v>
  </rv>
  <rv s="2">
    <v>269</v>
  </rv>
  <rv s="0">
    <v>https://www.bing.com/financeapi/forcetrigger?t=a23hqh&amp;q=ARCX%3aSPY&amp;form=skydnc</v>
    <v>Learn more on Bing</v>
  </rv>
  <rv s="14">
    <v>22</v>
    <v>State Street SPDR S&amp;P500 (ARCX:SPY)</v>
    <v>23</v>
    <v>24</v>
    <v>Finance</v>
    <v>25</v>
    <v>en-US</v>
    <v>a23hqh</v>
    <v>268435456</v>
    <v>1</v>
    <v>Powered by Refinitiv</v>
    <v>697.84</v>
    <v>481.8</v>
    <v>0.99870000000000003</v>
    <v>5.41</v>
    <v>8.2830000000000004E-3</v>
    <v>USD</v>
    <v>NYSE Arca</v>
    <v>ARCX</v>
    <v>8.9999999999999998E-4</v>
    <v>660.89</v>
    <v>ETF</v>
    <v>46106.612742071091</v>
    <v>271</v>
    <v>655.67</v>
    <v>698270243919.53003</v>
    <v>State Street SPDR S&amp;P500</v>
    <v>658.69</v>
    <v>653.17999999999995</v>
    <v>658.59</v>
    <v>SPY</v>
    <v>State Street SPDR S&amp;P500 (ARCX:SPY)</v>
    <v>25180270</v>
    <v>92119081</v>
  </rv>
  <rv s="2">
    <v>272</v>
  </rv>
  <rv s="0">
    <v>https://www.bing.com/financeapi/forcetrigger?t=a1n1im&amp;q=XNYS%3aAG&amp;form=skydnc</v>
    <v>Learn more on Bing</v>
  </rv>
  <rv s="1">
    <v>0</v>
    <v>First Majestic Silver Corp. (XNYS:AG)</v>
    <v>2</v>
    <v>17</v>
    <v>Finance</v>
    <v>4</v>
    <v>en-US</v>
    <v>a1n1im</v>
    <v>268435456</v>
    <v>1</v>
    <v>Powered by Refinitiv</v>
    <v>32.034999999999997</v>
    <v>5.1849999999999996</v>
    <v>2.2050000000000001</v>
    <v>0.68500000000000005</v>
    <v>3.4079999999999999E-2</v>
    <v>USD</v>
    <v>First Majestic Silver Corp. is a mining company. The Company is focused on silver and gold production in Mexico and the United States. It owns and operates approximately 350,000 hectares of land package, which include the San Dimas Silver/Gold Mine, the Santa Elena Silver/Gold Mine, the La Encantada Silver Mine, and a 70% joint venture interest in the Cerro Los Gatos Silver Mine as well as a portfolio of development and exploration assets, including the Jerritt Canyon Gold project located in northeastern Nevada, United States. The San Dimas Silver/Gold Mine is located over 130 kilometers (km) northwest of the city of Durango, Durango State, Mexico. The Santa Elena Silver/Gold Mine is located over 150 km northeast of the city of Hermosillo, Sonora, Mexico. The La Encantada Silver Mine is an underground mine located in the northern Mexico State of Coahuila, 708 km northeast of Torreon. The Cerro Los Gatos Mine is located around 120 kms south of Chihuahua City, Mexico.</v>
    <v>3818</v>
    <v>New York Stock Exchange</v>
    <v>XNYS</v>
    <v>XNYS</v>
    <v>1800 - 925 West Georgia Street, VANCOUVER, BC, V6C 3L2 CA</v>
    <v>21.3078</v>
    <v>Metals &amp; Mining</v>
    <v>Stock</v>
    <v>46106.61273719844</v>
    <v>274</v>
    <v>20.420000000000002</v>
    <v>13562390000</v>
    <v>First Majestic Silver Corp.</v>
    <v>First Majestic Silver Corp.</v>
    <v>21.2</v>
    <v>62.249200000000002</v>
    <v>20.100000000000001</v>
    <v>20.785</v>
    <v>492974600</v>
    <v>AG</v>
    <v>First Majestic Silver Corp. (XNYS:AG)</v>
    <v>7264320</v>
    <v>23536645</v>
    <v>2005</v>
  </rv>
  <rv s="2">
    <v>275</v>
  </rv>
  <rv s="0">
    <v>https://www.bing.com/financeapi/forcetrigger?t=a33pk2&amp;q=CBOE+MKT+VOLATILITY+IDX&amp;form=skydnc</v>
    <v>Learn more on Bing</v>
  </rv>
  <rv s="15">
    <v>26</v>
    <v>CBOE MKT VOLATILITY IDX</v>
    <v>23</v>
    <v>27</v>
    <v>Finance</v>
    <v>28</v>
    <v>en-US</v>
    <v>a33pk2</v>
    <v>268435456</v>
    <v>1</v>
    <v>Powered by Refinitiv</v>
    <v>60.13</v>
    <v>13.38</v>
    <v>-1.62</v>
    <v>-6.0110999999999998E-2</v>
    <v>US</v>
    <v>26.47</v>
    <v>Index</v>
    <v>277</v>
    <v>24.82</v>
    <v>CBOE MKT VOLATILITY IDX</v>
    <v>25.79</v>
    <v>26.95</v>
    <v>25.33</v>
    <v>VIX</v>
    <v>CBOE MKT VOLATILITY IDX</v>
  </rv>
  <rv s="2">
    <v>278</v>
  </rv>
  <rv s="0">
    <v>https://www.bing.com/financeapi/forcetrigger?t=a1qe5r&amp;q=XNAS%3aCSCO&amp;form=skydnc</v>
    <v>Learn more on Bing</v>
  </rv>
  <rv s="1">
    <v>0</v>
    <v>CISCO SYSTEMS, INC. (XNAS:CSCO)</v>
    <v>2</v>
    <v>3</v>
    <v>Finance</v>
    <v>4</v>
    <v>en-US</v>
    <v>a1qe5r</v>
    <v>268435456</v>
    <v>1</v>
    <v>Powered by Refinitiv</v>
    <v>88.185000000000002</v>
    <v>52.11</v>
    <v>0.8014</v>
    <v>1.7649999999999999</v>
    <v>2.1828E-2</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82.68</v>
    <v>Communications &amp; Networking</v>
    <v>Stock</v>
    <v>46106.612841631249</v>
    <v>280</v>
    <v>80.89</v>
    <v>326359909125</v>
    <v>CISCO SYSTEMS, INC.</v>
    <v>CISCO SYSTEMS, INC.</v>
    <v>80.989999999999995</v>
    <v>29.7608</v>
    <v>80.86</v>
    <v>82.625</v>
    <v>3949893000</v>
    <v>CSCO</v>
    <v>CISCO SYSTEMS, INC. (XNAS:CSCO)</v>
    <v>5764550</v>
    <v>23959642</v>
    <v>2021</v>
  </rv>
  <rv s="2">
    <v>281</v>
  </rv>
  <rv s="0">
    <v>https://www.bing.com/financeapi/forcetrigger?t=a1t7oc&amp;q=XNYS%3aFNV&amp;form=skydnc</v>
    <v>Learn more on Bing</v>
  </rv>
  <rv s="1">
    <v>0</v>
    <v>Franco-Nevada Corporation (XNYS:FNV)</v>
    <v>2</v>
    <v>17</v>
    <v>Finance</v>
    <v>4</v>
    <v>en-US</v>
    <v>a1t7oc</v>
    <v>268435456</v>
    <v>1</v>
    <v>Powered by Refinitiv</v>
    <v>285.67</v>
    <v>140.03</v>
    <v>1.0099</v>
    <v>4.5599999999999996</v>
    <v>1.9764999999999998E-2</v>
    <v>USD</v>
    <v>Franco-Nevada Corporation is a Canada-based gold-focused royalty and streaming company. The Company’s segments include precious metals, other mining and energy. The Company’s portfolio is diversified by commodity, geography and asset. Its assets include Candelaria, Antapaccay, Antamina, Condestable, Tocantinzinho, Cerro Moro, Salares Norte, Cascabel (Alpala), Posse (Mara Rosa), CentroGold (Gurupi), Calcatreu, and San Jorge. Its other mining assets include NuevaUnion, Taca Taca, Caserones, Copper World Project, Ring of Fire, Mt Keith, Crawford, Robinson, EaglePicher, Copper World Project, and Milpillas. Its United States assets include Stillwater, Goldstrike, Gold Quarry, Marigold, Bald Mountain, South Arturo, Mesquite, Castle Mountain, Stibnite Gold, Sterling, Granite Creek (Pinson) and Arthur Gold Project. Its Canadian assets include Detour Lake, Sudbury, Hemlo, Brucejack, Macassa (Kirkland Lake), Dublin Gulch (Eagle), Musselwhite, and Timmins West.</v>
    <v>40</v>
    <v>New York Stock Exchange</v>
    <v>XNYS</v>
    <v>XNYS</v>
    <v>199 Bay Street, Suite 2000, P.O. Box 285, Commerce Court Postal Station, TORONTO, ON, M5L 1G9 CA</v>
    <v>240</v>
    <v>Metals &amp; Mining</v>
    <v>Stock</v>
    <v>46106.612707117965</v>
    <v>283</v>
    <v>232.38</v>
    <v>63692680000</v>
    <v>Franco-Nevada Corporation</v>
    <v>Franco-Nevada Corporation</v>
    <v>239.46</v>
    <v>49.356000000000002</v>
    <v>230.71</v>
    <v>235.27</v>
    <v>192798700</v>
    <v>FNV</v>
    <v>Franco-Nevada Corporation (XNYS:FNV)</v>
    <v>196150</v>
    <v>924203</v>
    <v>2008</v>
  </rv>
  <rv s="2">
    <v>284</v>
  </rv>
  <rv s="0">
    <v>https://www.bing.com/financeapi/forcetrigger?t=a24yz2&amp;q=ARCX%3aURA&amp;form=skydnc</v>
    <v>Learn more on Bing</v>
  </rv>
  <rv s="14">
    <v>22</v>
    <v>Glbl X Uranium ETF (ARCX:URA)</v>
    <v>23</v>
    <v>24</v>
    <v>Finance</v>
    <v>25</v>
    <v>en-US</v>
    <v>a24yz2</v>
    <v>268435456</v>
    <v>1</v>
    <v>Powered by Refinitiv</v>
    <v>62.28</v>
    <v>19.5</v>
    <v>0.45960000000000001</v>
    <v>1.7219</v>
    <v>3.5730999999999999E-2</v>
    <v>USD</v>
    <v>NYSE Arca</v>
    <v>ARCX</v>
    <v>6.8999999999999999E-3</v>
    <v>50.14</v>
    <v>ETF</v>
    <v>46106.612764375001</v>
    <v>286</v>
    <v>49.35</v>
    <v>7551528613.1099997</v>
    <v>Glbl X Uranium ETF</v>
    <v>49.64</v>
    <v>48.19</v>
    <v>49.911900000000003</v>
    <v>URA</v>
    <v>Glbl X Uranium ETF (ARCX:URA)</v>
    <v>1268289</v>
    <v>4309483</v>
  </rv>
  <rv s="2">
    <v>287</v>
  </rv>
  <rv s="0">
    <v>https://www.bing.com/financeapi/forcetrigger?t=a1tyrw&amp;q=XNYS%3aGM&amp;form=skydnc</v>
    <v>Learn more on Bing</v>
  </rv>
  <rv s="1">
    <v>0</v>
    <v>GENERAL MOTORS COMPANY (XNYS:GM)</v>
    <v>2</v>
    <v>3</v>
    <v>Finance</v>
    <v>4</v>
    <v>en-US</v>
    <v>a1tyrw</v>
    <v>268435456</v>
    <v>1</v>
    <v>Powered by Refinitiv</v>
    <v>87.62</v>
    <v>41.6</v>
    <v>1.3358000000000001</v>
    <v>1.2749999999999999</v>
    <v>1.6650999999999999E-2</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156000</v>
    <v>New York Stock Exchange</v>
    <v>XNYS</v>
    <v>XNYS</v>
    <v>P.O. Box 33170, DETROIT, MI, 48232-5170 US</v>
    <v>78.28</v>
    <v>Automobiles &amp; Auto Parts</v>
    <v>Stock</v>
    <v>46106.612753946094</v>
    <v>289</v>
    <v>77.47</v>
    <v>70369373391</v>
    <v>GENERAL MOTORS COMPANY</v>
    <v>GENERAL MOTORS COMPANY</v>
    <v>77.89</v>
    <v>23.818899999999999</v>
    <v>76.569999999999993</v>
    <v>77.844999999999999</v>
    <v>903967800</v>
    <v>GM</v>
    <v>GENERAL MOTORS COMPANY (XNYS:GM)</v>
    <v>1729107</v>
    <v>8288592</v>
    <v>2009</v>
  </rv>
  <rv s="2">
    <v>290</v>
  </rv>
  <rv s="0">
    <v>https://www.bing.com/financeapi/forcetrigger?t=a1tqp2&amp;q=ARCX%3aGDX&amp;form=skydnc</v>
    <v>Learn more on Bing</v>
  </rv>
  <rv s="14">
    <v>22</v>
    <v>VanEck:Gold Miners (ARCX:GDX)</v>
    <v>23</v>
    <v>24</v>
    <v>Finance</v>
    <v>25</v>
    <v>en-US</v>
    <v>a1tqp2</v>
    <v>268435456</v>
    <v>1</v>
    <v>Powered by Refinitiv</v>
    <v>117.175</v>
    <v>40.26</v>
    <v>0.9607</v>
    <v>3.56</v>
    <v>4.2634999999999999E-2</v>
    <v>USD</v>
    <v>NYSE Arca</v>
    <v>ARCX</v>
    <v>5.1000000000000004E-3</v>
    <v>88.07</v>
    <v>ETF</v>
    <v>46106.612751955472</v>
    <v>292</v>
    <v>85.5</v>
    <v>36500401996.989998</v>
    <v>VanEck:Gold Miners</v>
    <v>87.9</v>
    <v>83.5</v>
    <v>87.06</v>
    <v>GDX</v>
    <v>VanEck:Gold Miners (ARCX:GDX)</v>
    <v>10631156</v>
    <v>28708076</v>
  </rv>
  <rv s="2">
    <v>293</v>
  </rv>
  <rv s="0">
    <v>https://www.bing.com/financeapi/forcetrigger?t=a256cw&amp;q=XNYS%3aV&amp;form=skydnc</v>
    <v>Learn more on Bing</v>
  </rv>
  <rv s="1">
    <v>0</v>
    <v>VISA INC. (XNYS:V)</v>
    <v>2</v>
    <v>3</v>
    <v>Finance</v>
    <v>4</v>
    <v>en-US</v>
    <v>a256cw</v>
    <v>268435456</v>
    <v>1</v>
    <v>Powered by Refinitiv</v>
    <v>375.51</v>
    <v>297.03219999999999</v>
    <v>0.79769999999999996</v>
    <v>0.78</v>
    <v>2.5679999999999995E-3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308.45</v>
    <v>Professional &amp; Commercial Services</v>
    <v>Stock</v>
    <v>46106.612740971876</v>
    <v>295</v>
    <v>303.64999999999998</v>
    <v>580455980860</v>
    <v>VISA INC.</v>
    <v>VISA INC.</v>
    <v>305.89999999999998</v>
    <v>28.576499999999999</v>
    <v>303.76</v>
    <v>304.54000000000002</v>
    <v>1906009000</v>
    <v>V</v>
    <v>VISA INC. (XNYS:V)</v>
    <v>1270103</v>
    <v>7608084</v>
    <v>2007</v>
  </rv>
  <rv s="2">
    <v>296</v>
  </rv>
  <rv s="0">
    <v>https://www.bing.com/financeapi/forcetrigger?t=a1ygoc&amp;q=XNAS%3aNFLX&amp;form=skydnc</v>
    <v>Learn more on Bing</v>
  </rv>
  <rv s="1">
    <v>0</v>
    <v>NETFLIX, INC. (XNAS:NFLX)</v>
    <v>2</v>
    <v>3</v>
    <v>Finance</v>
    <v>4</v>
    <v>en-US</v>
    <v>a1ygoc</v>
    <v>268435456</v>
    <v>1</v>
    <v>Powered by Refinitiv</v>
    <v>134.11500000000001</v>
    <v>75.010000000000005</v>
    <v>1.702</v>
    <v>1.2</v>
    <v>1.3198000000000001E-2</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92.4</v>
    <v>Software &amp; IT Services</v>
    <v>Stock</v>
    <v>46106.612741388279</v>
    <v>298</v>
    <v>91.234999999999999</v>
    <v>388945563440</v>
    <v>NETFLIX, INC.</v>
    <v>NETFLIX, INC.</v>
    <v>91.73</v>
    <v>36.4514</v>
    <v>90.92</v>
    <v>92.12</v>
    <v>4222162000</v>
    <v>NFLX</v>
    <v>NETFLIX, INC. (XNAS:NFLX)</v>
    <v>6227943</v>
    <v>49915232</v>
    <v>1997</v>
  </rv>
  <rv s="2">
    <v>299</v>
  </rv>
  <rv s="0">
    <v>https://www.bing.com/financeapi/forcetrigger?t=a1twnm&amp;q=ARCX%3aGLD&amp;form=skydnc</v>
    <v>Learn more on Bing</v>
  </rv>
  <rv s="14">
    <v>22</v>
    <v>SPDR Gold (ARCX:GLD)</v>
    <v>23</v>
    <v>24</v>
    <v>Finance</v>
    <v>25</v>
    <v>en-US</v>
    <v>a1twnm</v>
    <v>268435456</v>
    <v>1</v>
    <v>Powered by Refinitiv</v>
    <v>509.7</v>
    <v>272.58</v>
    <v>0.80079999999999996</v>
    <v>15.41</v>
    <v>3.8130999999999998E-2</v>
    <v>USD</v>
    <v>NYSE Arca</v>
    <v>ARCX</v>
    <v>4.0000000000000001E-3</v>
    <v>420.44</v>
    <v>ETF</v>
    <v>46106.612821909373</v>
    <v>301</v>
    <v>416.41</v>
    <v>184862291692.19</v>
    <v>SPDR Gold</v>
    <v>419.88</v>
    <v>404.13</v>
    <v>419.54</v>
    <v>GLD</v>
    <v>SPDR Gold (ARCX:GLD)</v>
    <v>4486747</v>
    <v>15102939</v>
  </rv>
  <rv s="2">
    <v>302</v>
  </rv>
  <rv s="0">
    <v>https://www.bing.com/financeapi/forcetrigger?t=a1x8w7&amp;q=XNYS%3aMA&amp;form=skydnc</v>
    <v>Learn more on Bing</v>
  </rv>
  <rv s="1">
    <v>0</v>
    <v>MASTERCARD INCORPORATED. (XNYS:MA)</v>
    <v>2</v>
    <v>3</v>
    <v>Finance</v>
    <v>4</v>
    <v>en-US</v>
    <v>a1x8w7</v>
    <v>268435456</v>
    <v>1</v>
    <v>Powered by Refinitiv</v>
    <v>601.77</v>
    <v>465.59</v>
    <v>0.83350000000000002</v>
    <v>0.56000000000000005</v>
    <v>1.122E-3</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39800</v>
    <v>New York Stock Exchange</v>
    <v>XNYS</v>
    <v>XNYS</v>
    <v>2000 Purchase St, PURCHASE, NY, 10577 US</v>
    <v>506.25299999999999</v>
    <v>Software &amp; IT Services</v>
    <v>Stock</v>
    <v>46106.612734224218</v>
    <v>304</v>
    <v>497.61</v>
    <v>445451325727</v>
    <v>MASTERCARD INCORPORATED.</v>
    <v>MASTERCARD INCORPORATED.</v>
    <v>501.5</v>
    <v>30.225200000000001</v>
    <v>498.93</v>
    <v>499.49</v>
    <v>891812300</v>
    <v>MA</v>
    <v>MASTERCARD INCORPORATED. (XNYS:MA)</v>
    <v>336963</v>
    <v>3672831</v>
    <v>2001</v>
  </rv>
  <rv s="2">
    <v>305</v>
  </rv>
  <rv s="0">
    <v>https://www.bing.com/financeapi/forcetrigger?t=a233ur&amp;q=ARCX%3aSLV&amp;form=skydnc</v>
    <v>Learn more on Bing</v>
  </rv>
  <rv s="14">
    <v>22</v>
    <v>IShares:Silver Trust (ARCX:SLV)</v>
    <v>23</v>
    <v>24</v>
    <v>Finance</v>
    <v>25</v>
    <v>en-US</v>
    <v>a233ur</v>
    <v>268435456</v>
    <v>1</v>
    <v>Powered by Refinitiv</v>
    <v>109.83</v>
    <v>26.57</v>
    <v>1.4041999999999999</v>
    <v>3.1688999999999998</v>
    <v>5.0339999999999996E-2</v>
    <v>USD</v>
    <v>NYSE Arca</v>
    <v>ARCX</v>
    <v>5.0000000000000001E-3</v>
    <v>66.185000000000002</v>
    <v>ETF</v>
    <v>46106.612743193749</v>
    <v>307</v>
    <v>65.099999999999994</v>
    <v>46246496323.150002</v>
    <v>IShares:Silver Trust</v>
    <v>66.05</v>
    <v>62.95</v>
    <v>66.118899999999996</v>
    <v>SLV</v>
    <v>IShares:Silver Trust (ARCX:SLV)</v>
    <v>15249529</v>
    <v>56874488</v>
  </rv>
  <rv s="2">
    <v>308</v>
  </rv>
  <rv s="0">
    <v>https://www.bing.com/financeapi/forcetrigger?t=a267r7&amp;q=ARCX%3aXLF&amp;form=skydnc</v>
    <v>Learn more on Bing</v>
  </rv>
  <rv s="14">
    <v>22</v>
    <v>Sel Sector:Fin SS SPDR I (ARCX:XLF)</v>
    <v>23</v>
    <v>24</v>
    <v>Finance</v>
    <v>25</v>
    <v>en-US</v>
    <v>a267r7</v>
    <v>268435456</v>
    <v>1</v>
    <v>Powered by Refinitiv</v>
    <v>56.515000000000001</v>
    <v>42.21</v>
    <v>0.998</v>
    <v>0.185</v>
    <v>3.754E-3</v>
    <v>USD</v>
    <v>NYSE Arca</v>
    <v>ARCX</v>
    <v>8.0000000000000004E-4</v>
    <v>49.950099999999999</v>
    <v>ETF</v>
    <v>46106.612732279689</v>
    <v>310</v>
    <v>49.335000000000001</v>
    <v>49680446533.769997</v>
    <v>Sel Sector:Fin SS SPDR I</v>
    <v>49.6</v>
    <v>49.28</v>
    <v>49.465000000000003</v>
    <v>XLF</v>
    <v>Sel Sector:Fin SS SPDR I (ARCX:XLF)</v>
    <v>10730611</v>
    <v>62939189</v>
  </rv>
  <rv s="2">
    <v>311</v>
  </rv>
  <rv s="0">
    <v>https://www.bing.com/financeapi/forcetrigger?t=a1waa2&amp;q=XNYS%3aJPM&amp;form=skydnc</v>
    <v>Learn more on Bing</v>
  </rv>
  <rv s="1">
    <v>0</v>
    <v>JPMORGAN CHASE &amp; CO. (XNYS:JPM)</v>
    <v>2</v>
    <v>3</v>
    <v>Finance</v>
    <v>4</v>
    <v>en-US</v>
    <v>a1waa2</v>
    <v>268435456</v>
    <v>1</v>
    <v>Powered by Refinitiv</v>
    <v>337.25</v>
    <v>202.16</v>
    <v>1.0488</v>
    <v>2.93</v>
    <v>1.0021E-2</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318512</v>
    <v>New York Stock Exchange</v>
    <v>XNYS</v>
    <v>XNYS</v>
    <v>270 Park Avenue, NEW YORK, NY, 10017 US</v>
    <v>297.64</v>
    <v>Banking Services</v>
    <v>Stock</v>
    <v>46106.612808622653</v>
    <v>313</v>
    <v>294.12</v>
    <v>796514460560</v>
    <v>JPMORGAN CHASE &amp; CO.</v>
    <v>JPMORGAN CHASE &amp; CO.</v>
    <v>294.48</v>
    <v>14.7585</v>
    <v>292.39999999999998</v>
    <v>295.33</v>
    <v>2697032000</v>
    <v>JPM</v>
    <v>JPMORGAN CHASE &amp; CO. (XNYS:JPM)</v>
    <v>1930376</v>
    <v>10828067</v>
    <v>1968</v>
  </rv>
  <rv s="2">
    <v>314</v>
  </rv>
  <rv s="0">
    <v>https://www.bing.com/financeapi/forcetrigger?t=a235f2&amp;q=XNAS%3aSMH&amp;form=skydnc</v>
    <v>Learn more on Bing</v>
  </rv>
  <rv s="14">
    <v>22</v>
    <v>VanEck:Semiconductor (XNAS:SMH)</v>
    <v>23</v>
    <v>24</v>
    <v>Finance</v>
    <v>25</v>
    <v>en-US</v>
    <v>a235f2</v>
    <v>268435456</v>
    <v>1</v>
    <v>Powered by Refinitiv</v>
    <v>427.94</v>
    <v>170.11</v>
    <v>1.4615</v>
    <v>6.8250000000000002</v>
    <v>1.7295999999999999E-2</v>
    <v>USD</v>
    <v>Nasdaq Stock Market</v>
    <v>XNAS</v>
    <v>3.4999999999999996E-3</v>
    <v>402.11</v>
    <v>ETF</v>
    <v>46106.612743818747</v>
    <v>316</v>
    <v>395.74</v>
    <v>46249939017.400002</v>
    <v>VanEck:Semiconductor</v>
    <v>398.35500000000002</v>
    <v>394.59</v>
    <v>401.41500000000002</v>
    <v>SMH</v>
    <v>VanEck:Semiconductor (XNAS:SMH)</v>
    <v>2045843</v>
    <v>9696449</v>
  </rv>
  <rv s="2">
    <v>317</v>
  </rv>
  <rv s="0">
    <v>https://www.bing.com/financeapi/forcetrigger?t=a1nfbh&amp;q=ARCX%3aAMLP&amp;form=skydnc</v>
    <v>Learn more on Bing</v>
  </rv>
  <rv s="14">
    <v>22</v>
    <v>Alerian MLP (ARCX:AMLP)</v>
    <v>23</v>
    <v>24</v>
    <v>Finance</v>
    <v>25</v>
    <v>en-US</v>
    <v>a1nfbh</v>
    <v>268435456</v>
    <v>1</v>
    <v>Powered by Refinitiv</v>
    <v>54.03</v>
    <v>43.75</v>
    <v>0.56000000000000005</v>
    <v>-0.06</v>
    <v>-1.121E-3</v>
    <v>USD</v>
    <v>NYSE Arca</v>
    <v>ARCX</v>
    <v>8.3999999999999995E-3</v>
    <v>53.58</v>
    <v>ETF</v>
    <v>46106.612654767967</v>
    <v>319</v>
    <v>53.145000000000003</v>
    <v>11822769646.389999</v>
    <v>Alerian MLP</v>
    <v>53.325000000000003</v>
    <v>53.53</v>
    <v>53.47</v>
    <v>AMLP</v>
    <v>Alerian MLP (ARCX:AMLP)</v>
    <v>279389</v>
    <v>1514738</v>
  </rv>
  <rv s="2">
    <v>320</v>
  </rv>
  <rv s="0">
    <v>https://www.bing.com/financeapi/forcetrigger?t=a268nm&amp;q=ARCX%3aXME&amp;form=skydnc</v>
    <v>Learn more on Bing</v>
  </rv>
  <rv s="14">
    <v>22</v>
    <v>SS SPDR S&amp;P Metals&amp;Mng (ARCX:XME)</v>
    <v>23</v>
    <v>24</v>
    <v>Finance</v>
    <v>25</v>
    <v>en-US</v>
    <v>a268nm</v>
    <v>268435456</v>
    <v>1</v>
    <v>Powered by Refinitiv</v>
    <v>135.6764</v>
    <v>45.89</v>
    <v>1.0518000000000001</v>
    <v>2.0299999999999998</v>
    <v>1.9004E-2</v>
    <v>USD</v>
    <v>NYSE Arca</v>
    <v>ARCX</v>
    <v>3.4999999999999996E-3</v>
    <v>109.76</v>
    <v>ETF</v>
    <v>46106.612675392971</v>
    <v>322</v>
    <v>108.06</v>
    <v>4624065942.0900002</v>
    <v>SS SPDR S&amp;P Metals&amp;Mng</v>
    <v>109.15</v>
    <v>106.82</v>
    <v>108.85</v>
    <v>XME</v>
    <v>SS SPDR S&amp;P Metals&amp;Mng (ARCX:XME)</v>
    <v>506816</v>
    <v>2606479</v>
  </rv>
  <rv s="2">
    <v>323</v>
  </rv>
  <rv s="0">
    <v>https://www.bing.com/financeapi/forcetrigger?t=a1x4f2&amp;q=XNAS%3aLRCX&amp;form=skydnc</v>
    <v>Learn more on Bing</v>
  </rv>
  <rv s="1">
    <v>0</v>
    <v>LAM RESEARCH CORPORATION (XNAS:LRCX)</v>
    <v>2</v>
    <v>3</v>
    <v>Finance</v>
    <v>4</v>
    <v>en-US</v>
    <v>a1x4f2</v>
    <v>268435456</v>
    <v>1</v>
    <v>Powered by Refinitiv</v>
    <v>256.68</v>
    <v>56.32</v>
    <v>1.7405999999999999</v>
    <v>-3.38</v>
    <v>-1.4152E-2</v>
    <v>USD</v>
    <v>Lam Research Corporation is a global supplier of wafer fabrication equipment and services to the semiconductor industry. The Company designs, manufactures, markets, refurbishes, and services semiconductor processing equipment used in the fabrication of integrated circuits. Its products and services are designed to help its customers build devices that are used in a variety of electronic products, including mobile phones, personal computers, servers, wearables, automotive vehicles, and data storage devices. Its product families include ALTUS, SABRE, SPEED, Striker, VECTOR, Flex, Vantex, Kiyo, Versys Metal, Syndion, Coronus, and DV-Prime, Da Vinci, EOS, and SP Series. Its customer base includes semiconductor memory, foundries, and integrated device manufacturers that make products such as non-volatile memory, dynamic random-access memory, and logic devices. It offers services in areas, such as nanoscale applications enablement, chemistry, plasma and fluidics, and others.</v>
    <v>19000</v>
    <v>Nasdaq Stock Market</v>
    <v>XNAS</v>
    <v>XNAS</v>
    <v>4650 Cushing Blvd, FREMONT, CA, 94538 US</v>
    <v>236.75</v>
    <v>Semiconductors &amp; Semiconductor Equipment</v>
    <v>Stock</v>
    <v>46106.612751596876</v>
    <v>325</v>
    <v>227.36</v>
    <v>294035619660</v>
    <v>LAM RESEARCH CORPORATION</v>
    <v>LAM RESEARCH CORPORATION</v>
    <v>236.21</v>
    <v>48.256900000000002</v>
    <v>238.84</v>
    <v>235.46</v>
    <v>1248771000</v>
    <v>LRCX</v>
    <v>LAM RESEARCH CORPORATION (XNAS:LRCX)</v>
    <v>2689745</v>
    <v>10708752</v>
    <v>1989</v>
  </rv>
  <rv s="2">
    <v>326</v>
  </rv>
  <rv s="0">
    <v>https://www.bing.com/financeapi/forcetrigger?t=a21mim&amp;q=XNAS%3aQQQ&amp;form=skydnc</v>
    <v>Learn more on Bing</v>
  </rv>
  <rv s="14">
    <v>22</v>
    <v>Invesco QQQ Trust 1 (XNAS:QQQ)</v>
    <v>23</v>
    <v>24</v>
    <v>Finance</v>
    <v>25</v>
    <v>en-US</v>
    <v>a21mim</v>
    <v>268435456</v>
    <v>1</v>
    <v>Powered by Refinitiv</v>
    <v>637.01</v>
    <v>402.39</v>
    <v>0.97199999999999998</v>
    <v>6.64</v>
    <v>1.137E-2</v>
    <v>USD</v>
    <v>Nasdaq Stock Market</v>
    <v>XNAS</v>
    <v>1.8E-3</v>
    <v>591.37</v>
    <v>ETF</v>
    <v>46106.612766828126</v>
    <v>328</v>
    <v>586.70000000000005</v>
    <v>394903687507.98999</v>
    <v>Invesco QQQ Trust 1</v>
    <v>589.14</v>
    <v>583.98</v>
    <v>590.62</v>
    <v>QQQ</v>
    <v>Invesco QQQ Trust 1 (XNAS:QQQ)</v>
    <v>19774876</v>
    <v>71086805</v>
  </rv>
  <rv s="2">
    <v>329</v>
  </rv>
  <rv s="0">
    <v>https://www.bing.com/financeapi/forcetrigger?t=a1xvzr&amp;q=XNYS%3aMPC&amp;form=skydnc</v>
    <v>Learn more on Bing</v>
  </rv>
  <rv s="1">
    <v>0</v>
    <v>MARATHON PETROLEUM CORPORATION (XNYS:MPC)</v>
    <v>2</v>
    <v>3</v>
    <v>Finance</v>
    <v>4</v>
    <v>en-US</v>
    <v>a1xvzr</v>
    <v>268435456</v>
    <v>1</v>
    <v>Powered by Refinitiv</v>
    <v>247.14</v>
    <v>115.1</v>
    <v>0.58730000000000004</v>
    <v>0.09</v>
    <v>3.6900000000000002E-4</v>
    <v>USD</v>
    <v>Marathon Petroleum Corporation is an integrated, downstream energy company. The Company’s segments include Refining &amp; Marketing, Midstream and Renewable Diesel. The Refining &amp; Marketing segment refines crude oil and other feedstocks at its refineries in the Gulf Coast, Mid-Continent and West Coast regions of the United States. It sells refined products to wholesale marketing customers domestically and internationally, to buyers on the spot market, and to independent entrepreneurs who operate primarily Marathon branded outlets. The Midstream segment gathers, transports, stores and distributes crude oil, refined products, including renewable diesel, and other hydrocarbon-based products, principally for the Refining &amp; Marketing segment via refining logistics assets, pipelines, terminals, and others. The Renewable Diesel segment processes renewable feedstocks into renewable diesel, markets renewable diesel and distributes renewable products through its Midstream segment and third parties.</v>
    <v>18500</v>
    <v>New York Stock Exchange</v>
    <v>XNYS</v>
    <v>XNYS</v>
    <v>539 SOUTH MAIN STREET, FINDLAY, OH, 45840-3229 US</v>
    <v>246.48</v>
    <v>Oil &amp; Gas</v>
    <v>Stock</v>
    <v>46106.612752685156</v>
    <v>331</v>
    <v>239.37020000000001</v>
    <v>71857243600</v>
    <v>MARATHON PETROLEUM CORPORATION</v>
    <v>MARATHON PETROLEUM CORPORATION</v>
    <v>241.37</v>
    <v>18.298300000000001</v>
    <v>243.91</v>
    <v>244</v>
    <v>294496900</v>
    <v>MPC</v>
    <v>MARATHON PETROLEUM CORPORATION (XNYS:MPC)</v>
    <v>361300</v>
    <v>3013342</v>
    <v>2009</v>
  </rv>
  <rv s="2">
    <v>332</v>
  </rv>
  <rv s="0">
    <v>https://www.bing.com/financeapi/forcetrigger?t=a24p1h&amp;q=XNAS%3aTXN&amp;form=skydnc</v>
    <v>Learn more on Bing</v>
  </rv>
  <rv s="1">
    <v>0</v>
    <v>TEXAS INSTRUMENTS INCORPORATED (XNAS:TXN)</v>
    <v>2</v>
    <v>3</v>
    <v>Finance</v>
    <v>4</v>
    <v>en-US</v>
    <v>a24p1h</v>
    <v>268435456</v>
    <v>1</v>
    <v>Powered by Refinitiv</v>
    <v>231.32</v>
    <v>139.94999999999999</v>
    <v>0.99450000000000005</v>
    <v>2</v>
    <v>1.0276E-2</v>
    <v>USD</v>
    <v>Texas Instruments Incorporated is a global semiconductor company that designs, manufactures, tests, and sells analog and embedded processing chips for markets, such as industrial, automotive, personal electronics, communications equipment, and enterprise systems. Its Analog segment includes product lines, such as Power and Signal Chain. Power includes products that help customers manage power in electronic systems. Its portfolio is designed to manage power requirements across different voltage levels, including battery-management solutions, DC/DC switching regulators, AC/DC and isolated DC/DC switching regulators, power switches, linear and low-dropout regulators, voltage references, and others. Signal Chain includes products that sense, condition, and measure real-world signals to allow information to be transferred or converted for further processing and control. The Embedded Processing segment includes microcontrollers, digital signal processors (DSPs) and applications processors.</v>
    <v>33000</v>
    <v>Nasdaq Stock Market</v>
    <v>XNAS</v>
    <v>XNAS</v>
    <v>12500 T I Blvd, DALLAS, TX, 75243-0592 US</v>
    <v>198.97</v>
    <v>Semiconductors &amp; Semiconductor Equipment</v>
    <v>Stock</v>
    <v>46106.612686955472</v>
    <v>334</v>
    <v>195.95500000000001</v>
    <v>179024418342</v>
    <v>TEXAS INSTRUMENTS INCORPORATED</v>
    <v>TEXAS INSTRUMENTS INCORPORATED</v>
    <v>197.52</v>
    <v>35.880699999999997</v>
    <v>194.63</v>
    <v>196.63</v>
    <v>910463400</v>
    <v>TXN</v>
    <v>TEXAS INSTRUMENTS INCORPORATED (XNAS:TXN)</v>
    <v>795507</v>
    <v>6791512</v>
    <v>1938</v>
  </rv>
  <rv s="2">
    <v>335</v>
  </rv>
  <rv s="0">
    <v>https://www.bing.com/financeapi/forcetrigger?t=a1nihw&amp;q=XNYS%3aANET&amp;form=skydnc</v>
    <v>Learn more on Bing</v>
  </rv>
  <rv s="1">
    <v>0</v>
    <v>ARISTA NETWORKS, INC. (XNYS:ANET)</v>
    <v>2</v>
    <v>3</v>
    <v>Finance</v>
    <v>4</v>
    <v>en-US</v>
    <v>a1nihw</v>
    <v>268435456</v>
    <v>1</v>
    <v>Powered by Refinitiv</v>
    <v>164.94</v>
    <v>59.43</v>
    <v>1.4474</v>
    <v>2.0699999999999998</v>
    <v>1.5826E-2</v>
    <v>USD</v>
    <v>Arista Networks, Inc. is a provider of data-driven, client-to-cloud networking for large artificial intelligence (AI), data center, campus and routing environments. Its platforms deliver availability, agility, automation, analytics, and security through an advanced network operating stack. Its platform is its Extensible Operating System (EOS), a modernized publish-subscribe state-sharing networking operating system. Its portfolio of products, services and technologies is grouped into various categories: Core (Data Center, Cloud and AI Networking), Cognitive Adjacencies (Campus and Routing), and Cognitive Network (Software and Services). It offers product portfolios of data-driven, high-speed, cloud and data center Ethernet switches. Its Cognitive Adjacencies include Cognitive Campus Switching, Cloud-Grade Routing and WAN Routing. Its software and services are based on subscription-based models and include various offerings: CloudVision, Arista A-Care Services, CloudEOS and others.</v>
    <v>5115</v>
    <v>New York Stock Exchange</v>
    <v>XNYS</v>
    <v>XNYS</v>
    <v>5453 Great America Pkwy, SANTA CLARA, CA, 95054 US</v>
    <v>134.19</v>
    <v>Communications &amp; Networking</v>
    <v>Stock</v>
    <v>46106.612737916403</v>
    <v>337</v>
    <v>131.15</v>
    <v>166956204060</v>
    <v>ARISTA NETWORKS, INC.</v>
    <v>ARISTA NETWORKS, INC.</v>
    <v>133.6</v>
    <v>48.267200000000003</v>
    <v>130.80000000000001</v>
    <v>132.87</v>
    <v>1256538000</v>
    <v>ANET</v>
    <v>ARISTA NETWORKS, INC. (XNYS:ANET)</v>
    <v>1268979</v>
    <v>7010224</v>
    <v>2011</v>
  </rv>
  <rv s="2">
    <v>338</v>
  </rv>
  <rv s="0">
    <v>https://www.bing.com/financeapi/forcetrigger?t=a24qnm&amp;q=XNAS%3aUAL&amp;form=skydnc</v>
    <v>Learn more on Bing</v>
  </rv>
  <rv s="1">
    <v>0</v>
    <v>UNITED AIRLINES HOLDINGS, INC. (XNAS:UAL)</v>
    <v>2</v>
    <v>3</v>
    <v>Finance</v>
    <v>4</v>
    <v>en-US</v>
    <v>a24qnm</v>
    <v>268435456</v>
    <v>1</v>
    <v>Powered by Refinitiv</v>
    <v>119.21</v>
    <v>52</v>
    <v>1.2793000000000001</v>
    <v>3.335</v>
    <v>3.5645999999999997E-2</v>
    <v>USD</v>
    <v>United Airlines Holdings, Inc. is a holding company. The Company transports people and cargo throughout North America and to destinations in Asia, Europe, Africa, the Pacific, the Middle East and Latin America. The Company, through United Airlines, Inc., and its regional carriers, operates across six continents, with hubs at Chicago O'Hare International Airport (ORD), Denver International Airport (DEN), George Bush Intercontinental Airport (IAH), Los Angeles International Airport (LAX), Newark Liberty International Airport (EWR), San Francisco International Airport (SFO), Washington Dulles International Airport (IAD) and A.B. Won Pat International Airport (GUM). Its hub and spoke system allow it to transport passengers between a large number of destinations with frequent services. The Company has contractual relationships with various regional carriers to provide regional aircraft service branded as United Express. It provides freight and mail transportation services (Air Cargo).</v>
    <v>113200</v>
    <v>Nasdaq Stock Market</v>
    <v>XNAS</v>
    <v>XNAS</v>
    <v>E. Anna Ha - Whqld, 233 South Wacker Drive, CHICAGO, IL, 60606 US</v>
    <v>97.95</v>
    <v>Passenger Transportation Services</v>
    <v>Stock</v>
    <v>46106.612701863283</v>
    <v>340</v>
    <v>96.02</v>
    <v>31338788608</v>
    <v>UNITED AIRLINES HOLDINGS, INC.</v>
    <v>UNITED AIRLINES HOLDINGS, INC.</v>
    <v>96.38</v>
    <v>9.4702000000000002</v>
    <v>93.56</v>
    <v>96.894999999999996</v>
    <v>323430400</v>
    <v>UAL</v>
    <v>UNITED AIRLINES HOLDINGS, INC. (XNAS:UAL)</v>
    <v>3113318</v>
    <v>8501544</v>
    <v>1968</v>
  </rv>
  <rv s="2">
    <v>341</v>
  </rv>
  <rv s="0">
    <v>https://www.bing.com/financeapi/forcetrigger?t=a2466h&amp;q=XNYS%3aREPX&amp;form=skydnc</v>
    <v>Learn more on Bing</v>
  </rv>
  <rv s="1">
    <v>0</v>
    <v>RILEY EXPLORATION PERMIAN, INC. (XNYS:REPX)</v>
    <v>2</v>
    <v>3</v>
    <v>Finance</v>
    <v>4</v>
    <v>en-US</v>
    <v>a2466h</v>
    <v>268435456</v>
    <v>1</v>
    <v>Powered by Refinitiv</v>
    <v>36.475000000000001</v>
    <v>21.98</v>
    <v>1.1089</v>
    <v>-0.1</v>
    <v>-2.7689999999999998E-3</v>
    <v>USD</v>
    <v>Riley Exploration Permian, Inc. is an independent oil and natural gas company focused on the acquisition, exploration, development and production of oil, natural gas and natural gas liquids. The Company is focused on horizontal drilling of conventional oil-saturated and liquids-rich formations in the Permian Basin that produce long-term cash flows. The Permian Basin is an oil and natural gas producing area located in West Texas and the adjoining area of Southeastern New Mexico covering an area approximately 250 miles wide and 300 miles long, and encompasses several sub-basins, including the Delaware Basin, Midland Basin, Central Basin Platform and Northwest Shelf. The Company's acreage is primarily located on large contiguous blocks in Yoakum County, Texas, which represents its Champions field and in Eddy County, New Mexico, which represents its Red Lake field. Its land-based oil and natural gas facilities are typical of those found in the Permian Basin.</v>
    <v>122</v>
    <v>New York Stock Exchange</v>
    <v>XNYS</v>
    <v>XNYS</v>
    <v>29 E. Reno Avenue, Suite 500, OKLAHOMA CITY, OK, 73104 US</v>
    <v>36.475000000000001</v>
    <v>Oil &amp; Gas</v>
    <v>Stock</v>
    <v>46106.612636388279</v>
    <v>343</v>
    <v>35.3048</v>
    <v>776643154</v>
    <v>RILEY EXPLORATION PERMIAN, INC.</v>
    <v>RILEY EXPLORATION PERMIAN, INC.</v>
    <v>35.950000000000003</v>
    <v>8.8254999999999999</v>
    <v>36.11</v>
    <v>36.01</v>
    <v>21567430</v>
    <v>REPX</v>
    <v>RILEY EXPLORATION PERMIAN, INC. (XNYS:REPX)</v>
    <v>74435</v>
    <v>435067</v>
    <v>2011</v>
  </rv>
  <rv s="2">
    <v>344</v>
  </rv>
  <rv s="0">
    <v>https://www.bing.com/financeapi/forcetrigger?t=a1vxfr&amp;q=ARCX%3aIWM&amp;form=skydnc</v>
    <v>Learn more on Bing</v>
  </rv>
  <rv s="14">
    <v>22</v>
    <v>iShares:Russ 2000 ETF (ARCX:IWM)</v>
    <v>23</v>
    <v>24</v>
    <v>Finance</v>
    <v>25</v>
    <v>en-US</v>
    <v>a1vxfr</v>
    <v>268435456</v>
    <v>1</v>
    <v>Powered by Refinitiv</v>
    <v>271.59500000000003</v>
    <v>171.73</v>
    <v>0.999</v>
    <v>3.6800999999999999</v>
    <v>1.4793000000000001E-2</v>
    <v>USD</v>
    <v>NYSE Arca</v>
    <v>ARCX</v>
    <v>1.9E-3</v>
    <v>253.07</v>
    <v>ETF</v>
    <v>46106.612747812498</v>
    <v>346</v>
    <v>250.78</v>
    <v>73953288181.809998</v>
    <v>iShares:Russ 2000 ETF</v>
    <v>251.79</v>
    <v>248.78</v>
    <v>252.46010000000001</v>
    <v>IWM</v>
    <v>iShares:Russ 2000 ETF (ARCX:IWM)</v>
    <v>14006354</v>
    <v>50257694</v>
  </rv>
  <rv s="2">
    <v>347</v>
  </rv>
  <rv s="0">
    <v>https://www.bing.com/financeapi/forcetrigger?t=a1nz8m&amp;q=XNAS%3aAVGO&amp;form=skydnc</v>
    <v>Learn more on Bing</v>
  </rv>
  <rv s="1">
    <v>0</v>
    <v>BROADCOM INC. (XNAS:AVGO)</v>
    <v>2</v>
    <v>3</v>
    <v>Finance</v>
    <v>4</v>
    <v>en-US</v>
    <v>a1nz8m</v>
    <v>268435456</v>
    <v>1</v>
    <v>Powered by Refinitiv</v>
    <v>414.61</v>
    <v>138.1</v>
    <v>1.242</v>
    <v>2.73</v>
    <v>8.5769999999999996E-3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324.29000000000002</v>
    <v>Semiconductors &amp; Semiconductor Equipment</v>
    <v>Stock</v>
    <v>46106.612790937499</v>
    <v>349</v>
    <v>318.065</v>
    <v>1519923121360</v>
    <v>BROADCOM INC.</v>
    <v>BROADCOM INC.</v>
    <v>323.10000000000002</v>
    <v>67.299800000000005</v>
    <v>318.29000000000002</v>
    <v>321.02</v>
    <v>4734668000</v>
    <v>AVGO</v>
    <v>BROADCOM INC. (XNAS:AVGO)</v>
    <v>4629207</v>
    <v>27841603</v>
    <v>2018</v>
  </rv>
  <rv s="2">
    <v>350</v>
  </rv>
  <rv s="0">
    <v>https://www.bing.com/financeapi/forcetrigger?t=a1tym7&amp;q=XNYS%3aGLW&amp;form=skydnc</v>
    <v>Learn more on Bing</v>
  </rv>
  <rv s="1">
    <v>0</v>
    <v>CORNING INCORPORATED (XNYS:GLW)</v>
    <v>2</v>
    <v>3</v>
    <v>Finance</v>
    <v>4</v>
    <v>en-US</v>
    <v>a1tym7</v>
    <v>268435456</v>
    <v>1</v>
    <v>Powered by Refinitiv</v>
    <v>162.09989999999999</v>
    <v>37.31</v>
    <v>1.0333000000000001</v>
    <v>7.19</v>
    <v>5.0629999999999994E-2</v>
    <v>USD</v>
    <v>Corning Incorporated operates as an innovator in materials science. Its segments include Optical Communications, Display Technologies, Specialty Materials, Environmental Technologies, and Life Sciences. Its Optical Communications segment manufactures carrier network and enterprise network components for the telecommunications industry. Its Display Technologies segment manufactures glass substrates for flat-panel displays, including liquid crystal displays and organic light-emitting diodes. Its Specialty Materials segment manufactures products that provide material formulations for glass, glass ceramics and fluoride crystals for customer needs. Its Environmental Technologies segment manufactures ceramic substrates and filters for emission control systems in mobile applications. Its Life Sciences segment develops, manufactures and supplies laboratory products, including labware, equipment, media, serum and reagents, enabling workflow solutions for drug discovery and bioproduction.</v>
    <v>67200</v>
    <v>New York Stock Exchange</v>
    <v>XNYS</v>
    <v>XNYS</v>
    <v>One Riverfront Plaza, CORNING, NY, 14831 US</v>
    <v>150.25</v>
    <v>Electronic Equipment &amp; Parts</v>
    <v>Stock</v>
    <v>46106.612755948438</v>
    <v>352</v>
    <v>143.36000000000001</v>
    <v>128165008159</v>
    <v>CORNING INCORPORATED</v>
    <v>CORNING INCORPORATED</v>
    <v>144.81</v>
    <v>81.232600000000005</v>
    <v>142.01</v>
    <v>149.19999999999999</v>
    <v>859014800</v>
    <v>GLW</v>
    <v>CORNING INCORPORATED (XNYS:GLW)</v>
    <v>6653407</v>
    <v>14048723</v>
    <v>1936</v>
  </rv>
  <rv s="2">
    <v>353</v>
  </rv>
  <rv s="0">
    <v>https://www.bing.com/financeapi/forcetrigger?t=c2kadm&amp;q=XNYS%3aS&amp;form=skydnc</v>
    <v>Learn more on Bing</v>
  </rv>
  <rv s="10">
    <v>18</v>
    <v>SENTINELONE, INC. (XNYS:S)</v>
    <v>2</v>
    <v>8</v>
    <v>Finance</v>
    <v>4</v>
    <v>en-US</v>
    <v>c2kadm</v>
    <v>268435456</v>
    <v>1</v>
    <v>Powered by Refinitiv</v>
    <v>21.4</v>
    <v>12.234999999999999</v>
    <v>0.75329999999999997</v>
    <v>0.56499999999999995</v>
    <v>4.3327999999999998E-2</v>
    <v>USD</v>
    <v>SentinelOne, Inc. is an artificial intelligence (AI)-powered cybersecurity provider. The Company’s Singularity Platform delivers AI-powered autonomous threat prevention, detection, response, and exposure management capabilities across an organization’s endpoints, cloud workloads, and identity credentials. The Company’s Singularity platform ingests, correlates, and queries petabytes of structured and unstructured data from a myriad of ever-expanding disparate external and internal sources in real time. Its distributed AI models run both locally on every endpoint and every cloud workload, as well as on its cloud platform. The Company through PingSafe Pte. Ltd. (PingSafe), which is a cloud native application protection platform (CNAPP) to bolster its cloud security product suite. By adding PingSafe’s CNAPP to its Cloud Workload Security (CWS), it provides enterprises with a comprehensive cloud security coverage that drives security, improved posture, and autonomous protection.</v>
    <v>2900</v>
    <v>New York Stock Exchange</v>
    <v>XNYS</v>
    <v>XNYS</v>
    <v>444 Castro Street, Suite 400, MOUNTAIN VIEW, CA, 94041 US</v>
    <v>13.75</v>
    <v>Software &amp; IT Services</v>
    <v>Stock</v>
    <v>46106.612801875002</v>
    <v>355</v>
    <v>13.2</v>
    <v>4629461782</v>
    <v>SENTINELONE, INC.</v>
    <v>SENTINELONE, INC.</v>
    <v>13.37</v>
    <v>13.04</v>
    <v>13.605</v>
    <v>340276500</v>
    <v>S</v>
    <v>SENTINELONE, INC. (XNYS:S)</v>
    <v>2219263</v>
    <v>8852268</v>
    <v>2013</v>
  </rv>
  <rv s="2">
    <v>356</v>
  </rv>
  <rv s="0">
    <v>https://www.bing.com/financeapi/forcetrigger?t=a243h7&amp;q=XNAS%3aTEAM&amp;form=skydnc</v>
    <v>Learn more on Bing</v>
  </rv>
  <rv s="1">
    <v>0</v>
    <v>ATLASSIAN CORPORATION (XNAS:TEAM)</v>
    <v>2</v>
    <v>3</v>
    <v>Finance</v>
    <v>4</v>
    <v>en-US</v>
    <v>a243h7</v>
    <v>268435456</v>
    <v>1</v>
    <v>Powered by Refinitiv</v>
    <v>242</v>
    <v>67.33</v>
    <v>0.99619999999999997</v>
    <v>0.71499999999999997</v>
    <v>1.0487999999999999E-2</v>
    <v>USD</v>
    <v>Atlassian Corporation is a provider of team collaboration and productivity software. The Company specializes in software development, work management, and enterprise service management software, which enables enterprises to connect their business and technology teams with an artificial intelligence (AI)-powered system of work. Its interconnected portfolio of apps, AI agents, and Collections, each with discrete value propositions, delivers solutions for software teams, IT operations and support teams, leadership, and business teams. Its apps, agents, and Collections are all built on the Atlassian Cloud Platform and data model: a common technology foundation that connects teams, information, and workflows throughout an organization. Its apps include Jira, Confluence, Loom, Jira Service Management, Rovo, Bitbucket, Compass, Jira Product Discovery, Jira Align, Focus and Talent. It offers team collaboration products on its Data Center deployment option. It operates the Dia and Arc browsers.</v>
    <v>13813</v>
    <v>Nasdaq Stock Market</v>
    <v>XNAS</v>
    <v>XNAS</v>
    <v>Level 6, 341 George Street,, SYDNEY, NEW SOUTH WALES, 2000 AU</v>
    <v>71.296000000000006</v>
    <v>Software &amp; IT Services</v>
    <v>Stock</v>
    <v>46106.612789860941</v>
    <v>358</v>
    <v>68.680000000000007</v>
    <v>18168012328</v>
    <v>ATLASSIAN CORPORATION</v>
    <v>ATLASSIAN CORPORATION</v>
    <v>70</v>
    <v>0</v>
    <v>68.17</v>
    <v>68.885000000000005</v>
    <v>263744100</v>
    <v>TEAM</v>
    <v>ATLASSIAN CORPORATION (XNAS:TEAM)</v>
    <v>1240230</v>
    <v>6950214</v>
    <v>2022</v>
  </rv>
  <rv s="2">
    <v>359</v>
  </rv>
  <rv s="0">
    <v>https://www.bing.com/financeapi/forcetrigger?t=a2689c&amp;q=ARCX%3aXLRE&amp;form=skydnc</v>
    <v>Learn more on Bing</v>
  </rv>
  <rv s="14">
    <v>22</v>
    <v>Sel Sector:RE SS SPDR In (ARCX:XLRE)</v>
    <v>23</v>
    <v>24</v>
    <v>Finance</v>
    <v>25</v>
    <v>en-US</v>
    <v>a2689c</v>
    <v>268435456</v>
    <v>1</v>
    <v>Powered by Refinitiv</v>
    <v>44.07</v>
    <v>35.76</v>
    <v>1.002</v>
    <v>5.0000000000000001E-3</v>
    <v>1.2409999999999998E-4</v>
    <v>USD</v>
    <v>NYSE Arca</v>
    <v>ARCX</v>
    <v>8.0000000000000004E-4</v>
    <v>40.58</v>
    <v>ETF</v>
    <v>46106.612730601562</v>
    <v>361</v>
    <v>40.1</v>
    <v>7705808015.1599998</v>
    <v>Sel Sector:RE SS SPDR In</v>
    <v>40.53</v>
    <v>40.29</v>
    <v>40.295000000000002</v>
    <v>XLRE</v>
    <v>Sel Sector:RE SS SPDR In (ARCX:XLRE)</v>
    <v>3065678</v>
    <v>9667851</v>
  </rv>
  <rv s="2">
    <v>362</v>
  </rv>
  <rv s="0">
    <v>https://www.bing.com/financeapi/forcetrigger?t=a1q6k2&amp;q=XNAS%3aCOST&amp;form=skydnc</v>
    <v>Learn more on Bing</v>
  </rv>
  <rv s="1">
    <v>0</v>
    <v>COSTCO WHOLESALE CORPORATION (XNAS:COST)</v>
    <v>2</v>
    <v>3</v>
    <v>Finance</v>
    <v>4</v>
    <v>en-US</v>
    <v>a1q6k2</v>
    <v>268435456</v>
    <v>1</v>
    <v>Powered by Refinitiv</v>
    <v>1067.08</v>
    <v>844.06</v>
    <v>1.0002</v>
    <v>-2.96</v>
    <v>-3.0399999999999997E-3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980.59500000000003</v>
    <v>Diversified Retail</v>
    <v>Stock</v>
    <v>46106.612731839843</v>
    <v>364</v>
    <v>968.05039999999997</v>
    <v>430724466150</v>
    <v>COSTCO WHOLESALE CORPORATION</v>
    <v>COSTCO WHOLESALE CORPORATION</v>
    <v>978</v>
    <v>52.006100000000004</v>
    <v>973.82</v>
    <v>970.86</v>
    <v>443652500</v>
    <v>COST</v>
    <v>COSTCO WHOLESALE CORPORATION (XNAS:COST)</v>
    <v>225678</v>
    <v>1850748</v>
    <v>1987</v>
  </rv>
  <rv s="2">
    <v>365</v>
  </rv>
  <rv s="0">
    <v>https://www.bing.com/financeapi/forcetrigger?t=a1mpc7&amp;q=XNAS%3aAXON&amp;form=skydnc</v>
    <v>Learn more on Bing</v>
  </rv>
  <rv s="1">
    <v>0</v>
    <v>AXON ENTERPRISE, INC. (XNAS:AXON)</v>
    <v>2</v>
    <v>3</v>
    <v>Finance</v>
    <v>4</v>
    <v>en-US</v>
    <v>a1mpc7</v>
    <v>268435456</v>
    <v>1</v>
    <v>Powered by Refinitiv</v>
    <v>885.91499999999996</v>
    <v>396.41</v>
    <v>1.5741000000000001</v>
    <v>10.475</v>
    <v>2.2941E-2</v>
    <v>USD</v>
    <v>Axon Enterprise, Inc. is a technology company in global public safety. It is building the public safety operating system by integrating a suite of hardware devices and cloud software solutions that lead modern policing. Its segments include Connected Devices and Software &amp; Services. Connected Devices segment includes the development, manufacture and sale of fully integrated hardware solutions such as conducted energy devices (CEDs), body cameras, drones, accessories, extended warranties and other hardware products. Software &amp; Services segment includes the development and sale of fully integrated cloud-based software solutions such as Axon Evidence, Records Management System, Draft One and other software and services that enable law enforcement to securely store, manage, share and analyze video and manage operations. Its global customer base includes first responders across international, federal, state and local law enforcement, fire, corrections and emergency medical services.</v>
    <v>5100</v>
    <v>Nasdaq Stock Market</v>
    <v>XNAS</v>
    <v>XNAS</v>
    <v>17800 N 85th St, SCOTTSDALE, AZ, 85255-6311 US</v>
    <v>472.67759999999998</v>
    <v>Aerospace &amp; Defense</v>
    <v>Stock</v>
    <v>46106.612722128906</v>
    <v>367</v>
    <v>453.2448</v>
    <v>37551746386</v>
    <v>AXON ENTERPRISE, INC.</v>
    <v>AXON ENTERPRISE, INC.</v>
    <v>463.28</v>
    <v>306.2586</v>
    <v>456.6</v>
    <v>467.07499999999999</v>
    <v>80397680</v>
    <v>AXON</v>
    <v>AXON ENTERPRISE, INC. (XNAS:AXON)</v>
    <v>262862</v>
    <v>1047124</v>
    <v>2001</v>
  </rv>
  <rv s="2">
    <v>368</v>
  </rv>
  <rv s="0">
    <v>https://www.bing.com/financeapi/forcetrigger?t=a1xygh&amp;q=XNAS%3aMRVL&amp;form=skydnc</v>
    <v>Learn more on Bing</v>
  </rv>
  <rv s="1">
    <v>0</v>
    <v>MARVELL TECHNOLOGY, INC. (XNAS:MRVL)</v>
    <v>2</v>
    <v>3</v>
    <v>Finance</v>
    <v>4</v>
    <v>en-US</v>
    <v>a1xygh</v>
    <v>268435456</v>
    <v>1</v>
    <v>Powered by Refinitiv</v>
    <v>102.77</v>
    <v>47.085000000000001</v>
    <v>1.8774999999999999</v>
    <v>4.4800000000000004</v>
    <v>4.8506000000000001E-2</v>
    <v>USD</v>
    <v>Marvell Technology, Inc., together with its subsidiaries, is a supplier of data infrastructure semiconductor solutions, spanning the data center core to network edge. The Company is engaged in the design, development, and sale of integrated circuits. Its product solutions serve various end markets: data center, enterprise networking, carrier infrastructure, consumer, and automotive/industrial. Its product offerings include CXL, PCIe, Data Processing Units, Security Solutions, Coherent DSPs, Coherent-lite DSPs, Data Center Switches, DCI Optical Modules, Enterprise Switches, Ethernet Controllers, Ethernet PHYs, PCIe Retimers, Linear Drivers, PAM DSPs, Transimpedance Amplifiers, Fiber Channel, HDD, Storage Accelerators, and SSD Controllers. The Company develops semiconductor solutions tailored to individual customer specifications that deliver system-level differentiation for artificial intelligence, data center, compute, networking, carrier, storage, aerospace, and defense applications.</v>
    <v>7480</v>
    <v>Nasdaq Stock Market</v>
    <v>XNAS</v>
    <v>XNAS</v>
    <v>1000 N. West Street, Suite 1200, WILMINGTON, DE, 19801 US</v>
    <v>97.1</v>
    <v>Semiconductors &amp; Semiconductor Equipment</v>
    <v>Stock</v>
    <v>46106.612790937499</v>
    <v>370</v>
    <v>94</v>
    <v>84682541772</v>
    <v>MARVELL TECHNOLOGY, INC.</v>
    <v>MARVELL TECHNOLOGY, INC.</v>
    <v>94.04</v>
    <v>33.864899999999999</v>
    <v>92.36</v>
    <v>96.84</v>
    <v>874458300</v>
    <v>MRVL</v>
    <v>MARVELL TECHNOLOGY, INC. (XNAS:MRVL)</v>
    <v>7253664</v>
    <v>19618278</v>
    <v>2020</v>
  </rv>
  <rv s="2">
    <v>371</v>
  </rv>
  <rv s="0">
    <v>https://www.bing.com/financeapi/forcetrigger?t=a1vgar&amp;q=XNAS%3aIIVI&amp;form=skydnc</v>
    <v>Learn more on Bing</v>
  </rv>
  <rv s="1">
    <v>0</v>
    <v>Coherent Corp. (XNYS:COHR)</v>
    <v>2</v>
    <v>3</v>
    <v>Finance</v>
    <v>4</v>
    <v>en-US</v>
    <v>a1vgar</v>
    <v>268435456</v>
    <v>1</v>
    <v>Powered by Refinitiv</v>
    <v>300.2</v>
    <v>45.58</v>
    <v>1.8446</v>
    <v>4.99</v>
    <v>1.8322999999999999E-2</v>
    <v>USD</v>
    <v>Coherent Corp. is a vertically integrated manufacturing company that develops, manufactures, and markets lasers, transceivers, and other optical and optoelectronic devices, modules, and systems, as well as engineered materials, for use in the communications, industrial, instrumentation and electronics markets. Its segments include datacenter &amp; communications, and industrial. Its datacenter &amp; communications segment offers optical transceivers, optical circuit switches, interconnect cables, optical instruments, optoelectronic devices, communication components, and wavelength management products. Its industrial segment offers lasers, machines &amp; systems, components &amp; accessories, optics, laser measurement instruments, ceramics &amp; metal matrix, ion implantation, engineered materials, and wide-bandgap electronics. Its subsidiaries include Finisar Australia Pty Limited, Nufibre PTY LTD, Finisar Brasil Suporte De Vendas LTDA, Coherent Aerospace &amp; Defense, Inc., and Coherent Asia, Inc.</v>
    <v>30216</v>
    <v>New York Stock Exchange</v>
    <v>XNYS</v>
    <v>XNYS</v>
    <v>375 Saxonburg Blvd, SAXONBURG, PA, 16056 US</v>
    <v>278.685</v>
    <v>Electronic Equipment &amp; Parts</v>
    <v>Stock</v>
    <v>46106.612755914066</v>
    <v>373</v>
    <v>262</v>
    <v>54152276400</v>
    <v>Coherent Corp.</v>
    <v>Coherent Corp.</v>
    <v>275</v>
    <v>453.65609999999998</v>
    <v>272.33</v>
    <v>277.32</v>
    <v>195270000</v>
    <v>COHR</v>
    <v>Coherent Corp. (XNYS:COHR)</v>
    <v>2433162</v>
    <v>9476836</v>
    <v>1971</v>
  </rv>
  <rv s="2">
    <v>374</v>
  </rv>
  <rv s="0">
    <v>https://www.bing.com/financeapi/forcetrigger?t=a1vmtc&amp;q=XNAS%3aINTU&amp;form=skydnc</v>
    <v>Learn more on Bing</v>
  </rv>
  <rv s="1">
    <v>0</v>
    <v>INTUIT INC. (XNAS:INTU)</v>
    <v>2</v>
    <v>3</v>
    <v>Finance</v>
    <v>4</v>
    <v>en-US</v>
    <v>a1vmtc</v>
    <v>268435456</v>
    <v>1</v>
    <v>Powered by Refinitiv</v>
    <v>813.7</v>
    <v>349</v>
    <v>1.2199</v>
    <v>-6.03</v>
    <v>-1.3944000000000002E-2</v>
    <v>USD</v>
    <v>Intuit Inc. offers a financial technology platform that helps consumers and small and mid-market businesses prosper by delivering financial management, compliance, and marketing products and services. It also provides specialized tax products to accounting professionals. Its offerings include TurboTax, Credit Karma, QuickBooks, and Mailchimp. Lacerte, ProSeries, and ProConnect Tax Online. Its Global Business Solutions segment serves small and mid-market businesses around the world, and the accounting professionals who assist and advise them. Its Consumer segment serves consumers and includes do-it-yourself and assisted TurboTax income tax preparation products and services sold in the United States and Canada. Its Credit Karma segment serves consumers with a personal finance platform that provides personalized recommendations for credit card, home, auto, and personal loan, and insurance products. Its ProTax segment serves professional accountants in the United States and Canada.</v>
    <v>18200</v>
    <v>Nasdaq Stock Market</v>
    <v>XNAS</v>
    <v>XNAS</v>
    <v>2700 Coast Avenue, MOUNTAIN VIEW, CA, 94043 US</v>
    <v>442.46</v>
    <v>Financial Technology (Fintech) &amp; Infrastructure</v>
    <v>Stock</v>
    <v>46106.612745728904</v>
    <v>376</v>
    <v>423.5</v>
    <v>117926451000</v>
    <v>INTUIT INC.</v>
    <v>INTUIT INC.</v>
    <v>439.78</v>
    <v>27.7379</v>
    <v>432.45</v>
    <v>426.42</v>
    <v>276550000</v>
    <v>INTU</v>
    <v>INTUIT INC. (XNAS:INTU)</v>
    <v>529308</v>
    <v>4588803</v>
    <v>1993</v>
  </rv>
  <rv s="2">
    <v>377</v>
  </rv>
  <rv s="0">
    <v>https://www.bing.com/financeapi/forcetrigger?t=a267ww&amp;q=ARCX%3aXLI&amp;form=skydnc</v>
    <v>Learn more on Bing</v>
  </rv>
  <rv s="14">
    <v>22</v>
    <v>Sel Sector:Ind SS SPDR (ARCX:XLI)</v>
    <v>23</v>
    <v>24</v>
    <v>Finance</v>
    <v>25</v>
    <v>en-US</v>
    <v>a267ww</v>
    <v>268435456</v>
    <v>1</v>
    <v>Powered by Refinitiv</v>
    <v>179.30500000000001</v>
    <v>112.75</v>
    <v>0.99990000000000001</v>
    <v>1.1299999999999999</v>
    <v>6.8899999999999994E-3</v>
    <v>USD</v>
    <v>NYSE Arca</v>
    <v>ARCX</v>
    <v>8.0000000000000004E-4</v>
    <v>166.32</v>
    <v>ETF</v>
    <v>46106.61272946719</v>
    <v>379</v>
    <v>164.6</v>
    <v>31647199302.209999</v>
    <v>Sel Sector:Ind SS SPDR</v>
    <v>166</v>
    <v>164</v>
    <v>165.13</v>
    <v>XLI</v>
    <v>Sel Sector:Ind SS SPDR (ARCX:XLI)</v>
    <v>4028296</v>
    <v>15222754</v>
  </rv>
  <rv s="2">
    <v>380</v>
  </rv>
  <rv s="0">
    <v>https://www.bing.com/financeapi/forcetrigger?t=a268f2&amp;q=ARCX%3aXLU&amp;form=skydnc</v>
    <v>Learn more on Bing</v>
  </rv>
  <rv s="14">
    <v>22</v>
    <v>Sel Sector:Utl SS SPDR (ARCX:XLU)</v>
    <v>23</v>
    <v>24</v>
    <v>Finance</v>
    <v>25</v>
    <v>en-US</v>
    <v>a268f2</v>
    <v>268435456</v>
    <v>1</v>
    <v>Powered by Refinitiv</v>
    <v>47.8</v>
    <v>35.51</v>
    <v>0.99750000000000005</v>
    <v>0.30499999999999999</v>
    <v>6.764E-3</v>
    <v>USD</v>
    <v>NYSE Arca</v>
    <v>ARCX</v>
    <v>8.0000000000000004E-4</v>
    <v>45.585000000000001</v>
    <v>ETF</v>
    <v>46106.612731238281</v>
    <v>382</v>
    <v>45.241500000000002</v>
    <v>24356755083.259998</v>
    <v>Sel Sector:Utl SS SPDR</v>
    <v>45.49</v>
    <v>45.09</v>
    <v>45.395000000000003</v>
    <v>XLU</v>
    <v>Sel Sector:Utl SS SPDR (ARCX:XLU)</v>
    <v>7965911</v>
    <v>29650152</v>
  </rv>
  <rv s="2">
    <v>383</v>
  </rv>
  <rv s="0">
    <v>https://www.bing.com/financeapi/forcetrigger?t=a253hw&amp;q=ARCX%3aUSO&amp;form=skydnc</v>
    <v>Learn more on Bing</v>
  </rv>
  <rv s="14">
    <v>22</v>
    <v>United States Oil Fund (ARCX:USO)</v>
    <v>23</v>
    <v>24</v>
    <v>Finance</v>
    <v>25</v>
    <v>en-US</v>
    <v>a253hw</v>
    <v>268435456</v>
    <v>1</v>
    <v>Powered by Refinitiv</v>
    <v>125.19</v>
    <v>60.67</v>
    <v>1.0088999999999999</v>
    <v>-3.85</v>
    <v>-3.3612999999999997E-2</v>
    <v>USD</v>
    <v>NYSE Arca</v>
    <v>ARCX</v>
    <v>8.199999999999999E-3</v>
    <v>110.94</v>
    <v>ETF</v>
    <v>46106.612722638281</v>
    <v>385</v>
    <v>109.02</v>
    <v>1153104305.73</v>
    <v>United States Oil Fund</v>
    <v>109.17</v>
    <v>114.54</v>
    <v>110.69</v>
    <v>USO</v>
    <v>United States Oil Fund (ARCX:USO)</v>
    <v>15010480</v>
    <v>51956350</v>
  </rv>
  <rv s="2">
    <v>386</v>
  </rv>
  <rv s="0">
    <v>https://www.bing.com/financeapi/forcetrigger?t=a1qc1h&amp;q=XNYS%3aCRM&amp;form=skydnc</v>
    <v>Learn more on Bing</v>
  </rv>
  <rv s="1">
    <v>0</v>
    <v>SALESFORCE, INC. (XNYS:CRM)</v>
    <v>2</v>
    <v>3</v>
    <v>Finance</v>
    <v>4</v>
    <v>en-US</v>
    <v>a1qc1h</v>
    <v>268435456</v>
    <v>1</v>
    <v>Powered by Refinitiv</v>
    <v>296.05</v>
    <v>174.57</v>
    <v>1.3015000000000001</v>
    <v>0.77</v>
    <v>4.2069999999999998E-3</v>
    <v>USD</v>
    <v>Salesforce, Inc. is a customer relationship management (CRM) technology company. Its artificial intelligence (AI) powered Agentforce 360 Platform offers sales, service, marketing, commerce, collaboration, data management, integration, analytics, and information technology (IT) service solutions. It enables customers to build and deploy digital labor for employees and customers, leveraging autonomous AI agents across business functions. Its service offerings include Agentforce Sales, Agentforce Service, Agentforce 360 Platform, Slack and Others. The Agentforce Sales provides sales capabilities and tools built for organizations across prospecting, sales engagement, team collaboration, sales analytics and AI, sales programs, sales performance, partner management, and revenue and orders. The Agentforce Service provides field service solutions that enable companies to connect service agents, dispatchers and mobile employees through platform to schedule, dispatch and manage jobs.</v>
    <v>83334</v>
    <v>New York Stock Exchange</v>
    <v>XNYS</v>
    <v>XNYS</v>
    <v>SALESFORCE TOWER, 415 MISSION STREET 3RD FL, SAN FRANCISCO, CA, 94105 US</v>
    <v>187.38499999999999</v>
    <v>Software &amp; IT Services</v>
    <v>Stock</v>
    <v>46106.61275532344</v>
    <v>388</v>
    <v>182.79</v>
    <v>169638170000</v>
    <v>SALESFORCE, INC.</v>
    <v>SALESFORCE, INC.</v>
    <v>185.28</v>
    <v>23.537500000000001</v>
    <v>183.02</v>
    <v>183.79</v>
    <v>923000000</v>
    <v>CRM</v>
    <v>SALESFORCE, INC. (XNYS:CRM)</v>
    <v>2427644</v>
    <v>14398285</v>
    <v>1999</v>
  </rv>
  <rv s="2">
    <v>389</v>
  </rv>
  <rv s="0">
    <v>http://es.wikipedia.org/wiki/Adobe_(empresa)</v>
    <v>Wikipedia</v>
  </rv>
  <rv s="6">
    <v>65</v>
    <v>391</v>
  </rv>
  <rv s="7">
    <v>14</v>
    <v>https://www.bing.com/th?id=AMMS_503c684ccc667ad525fe1d703881df2c&amp;qlt=95</v>
    <v>392</v>
    <v>0</v>
    <v>https://www.bing.com/images/search?form=xlimg&amp;q=adobe+systems</v>
    <v>Image of ADOBE INC.</v>
  </rv>
  <rv s="0">
    <v>https://www.bing.com/financeapi/forcetrigger?t=a1mv7w&amp;q=XNAS%3aADBE&amp;form=skydnc</v>
    <v>Learn more on Bing</v>
  </rv>
  <rv s="8">
    <v>10</v>
    <v>ADOBE INC. (XNAS:ADBE)</v>
    <v>12</v>
    <v>13</v>
    <v>Finance</v>
    <v>4</v>
    <v>en-US</v>
    <v>a1mv7w</v>
    <v>268435456</v>
    <v>1</v>
    <v>Powered by Refinitiv</v>
    <v>422.95</v>
    <v>236.36</v>
    <v>1.5299</v>
    <v>-1.61</v>
    <v>-6.7400000000000003E-3</v>
    <v>USD</v>
    <v>Adobe Inc. is a global technology company. The Company's products, services and solutions are used around the world to imagine, create, manage, deliver, measure, optimize and engage with content across surfaces and fuel digital experiences. Its segments include Digital Media, Digital Experience, and Publishing and Advertising. The Digital Media segment is centered around Adobe Creative Cloud and Adobe Document Cloud, which include Adobe Express, Adobe Firefly, Photoshop and other products, offering a variety of tools for creative professionals, communicators and other consumers. The Digital Experience segment provides an integrated platform and set of products, services and solutions through Adobe Experience Cloud. The Publishing and Advertising segment contains legacy products and services. In addition, its Adobe GenStudio solution allows businesses to simplify their content supply chain process with generative artificial intelligence (AI) capabilities and intelligent automation.</v>
    <v>31360</v>
    <v>Nasdaq Stock Market</v>
    <v>XNAS</v>
    <v>XNAS</v>
    <v>345 Park Avenue, SAN JOSE, CA, 95110-2704 US</v>
    <v>243.51</v>
    <v>393</v>
    <v>Software &amp; IT Services</v>
    <v>Stock</v>
    <v>46106.612716620315</v>
    <v>394</v>
    <v>236.36</v>
    <v>96715930894</v>
    <v>ADOBE INC.</v>
    <v>ADOBE INC.</v>
    <v>240.94</v>
    <v>14.210699999999999</v>
    <v>238.87</v>
    <v>237.26</v>
    <v>407636900</v>
    <v>ADBE</v>
    <v>ADOBE INC. (XNAS:ADBE)</v>
    <v>1411963</v>
    <v>6505382</v>
    <v>1997</v>
  </rv>
  <rv s="2">
    <v>395</v>
  </rv>
  <rv s="0">
    <v>https://www.bing.com/financeapi/forcetrigger?t=a25e77&amp;q=XNYS%3aVLO&amp;form=skydnc</v>
    <v>Learn more on Bing</v>
  </rv>
  <rv s="1">
    <v>0</v>
    <v>VALERO ENERGY CORPORATION (XNYS:VLO)</v>
    <v>2</v>
    <v>3</v>
    <v>Finance</v>
    <v>4</v>
    <v>en-US</v>
    <v>a25e77</v>
    <v>268435456</v>
    <v>1</v>
    <v>Powered by Refinitiv</v>
    <v>247.73</v>
    <v>99</v>
    <v>0.63439999999999996</v>
    <v>-7.9899999999999999E-2</v>
    <v>-3.3050000000000001E-4</v>
    <v>USD</v>
    <v>Valero Energy Corporation, through its subsidiaries, is a multinational manufacturer and marketer of petroleum-based and low-carbon liquid transportation fuels and petrochemical products. The Company sells its products primarily in the United States, Canada, the United Kingdom, Ireland and Latin America. Its segments include Refining, Renewable Diesel, and Ethanol. The Refining segment includes the operations of its petroleum refineries, the associated activities to market its refined petroleum products, and the logistics assets that support its refining operations. The Renewable Diesel segment represents the operations of Diamond Green Diesel (DGD), and the associated activities to market renewable diesel, renewable naphtha, and neat SAF. The Ethanol segment includes the operations of its ethanol plants and the associated activities to market its ethanol and co-products. It owns 15 petroleum refineries located in the United States, Canada and the United Kingdom.</v>
    <v>9785</v>
    <v>New York Stock Exchange</v>
    <v>XNYS</v>
    <v>XNYS</v>
    <v>P.O. Box 696000, SAN ANTONIO, TX, 78269-6000 US</v>
    <v>243.745</v>
    <v>Oil &amp; Gas</v>
    <v>Stock</v>
    <v>46106.612729964843</v>
    <v>397</v>
    <v>237.17</v>
    <v>72248170574</v>
    <v>VALERO ENERGY CORPORATION</v>
    <v>VALERO ENERGY CORPORATION</v>
    <v>239</v>
    <v>31.602</v>
    <v>241.75</v>
    <v>241.67009999999999</v>
    <v>298953700</v>
    <v>VLO</v>
    <v>VALERO ENERGY CORPORATION (XNYS:VLO)</v>
    <v>617471</v>
    <v>4274225</v>
    <v>1981</v>
  </rv>
  <rv s="2">
    <v>398</v>
  </rv>
  <rv s="0">
    <v>https://www.bing.com/financeapi/forcetrigger?t=a216oc&amp;q=XNAS%3aPRGS&amp;form=skydnc</v>
    <v>Learn more on Bing</v>
  </rv>
  <rv s="1">
    <v>0</v>
    <v>PROGRESS SOFTWARE CORPORATION (XNAS:PRGS)</v>
    <v>2</v>
    <v>3</v>
    <v>Finance</v>
    <v>4</v>
    <v>en-US</v>
    <v>a216oc</v>
    <v>268435456</v>
    <v>1</v>
    <v>Powered by Refinitiv</v>
    <v>65.5</v>
    <v>28.15</v>
    <v>0.70750000000000002</v>
    <v>-0.56000000000000005</v>
    <v>-1.9471000000000002E-2</v>
    <v>USD</v>
    <v>Progress Software Corporation is a provider of artificial intelligence (AI)-powered digital experience and infrastructure software. The Company provides software products that enable its customers to develop, deploy and manage responsible AI-powered applications and digital experiences. It also offers retrieval-augmented generation (RAG) -as-a-service products, enabling organizations to automatically leverage their own proprietary business information to retrieve verifiable, accurate answers using GenAI. Its products include Sitefinity, Corticon, MOVEit, ShareFile, Podio, Kendo UI, Telerik, Kemp LoadMaster, Flowmon, WhatsUp Gold, Chef Infrastructure Management, Chef Desktop, Chef App Delivery, MarkLogic, Semaphore, OpenEdge, DataDirect Connectors, Hybrid Data Pipeline, OpenAccess, and MOVEit Cloud. Corticon is a decision automation platform that transforms user experiences by streamlining and automating complex business rules without having to code.</v>
    <v>2801</v>
    <v>Nasdaq Stock Market</v>
    <v>XNAS</v>
    <v>XNAS</v>
    <v>15 Wayside Road, Suite 400, BURLINGTON, MA, 01803 US</v>
    <v>29.42</v>
    <v>Software &amp; IT Services</v>
    <v>Stock</v>
    <v>46106.612775832815</v>
    <v>400</v>
    <v>28.15</v>
    <v>1187604930</v>
    <v>PROGRESS SOFTWARE CORPORATION</v>
    <v>PROGRESS SOFTWARE CORPORATION</v>
    <v>28.91</v>
    <v>16.907499999999999</v>
    <v>28.76</v>
    <v>28.2</v>
    <v>42113650</v>
    <v>PRGS</v>
    <v>PROGRESS SOFTWARE CORPORATION (XNAS:PRGS)</v>
    <v>134150</v>
    <v>1118611</v>
    <v>2015</v>
  </rv>
  <rv s="2">
    <v>401</v>
  </rv>
  <rv s="0">
    <v>https://www.bing.com/financeapi/forcetrigger?t=a25ya2&amp;q=XNYS%3aWMT&amp;form=skydnc</v>
    <v>Learn more on Bing</v>
  </rv>
  <rv s="1">
    <v>0</v>
    <v>WALMART INC. (XNAS:WMT)</v>
    <v>2</v>
    <v>3</v>
    <v>Finance</v>
    <v>4</v>
    <v>en-US</v>
    <v>a25ya2</v>
    <v>268435456</v>
    <v>1</v>
    <v>Powered by Refinitiv</v>
    <v>134.69</v>
    <v>79.81</v>
    <v>0.67120000000000002</v>
    <v>0.505</v>
    <v>4.1380000000000002E-3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123.12</v>
    <v>Food &amp; Drug Retailing</v>
    <v>Stock</v>
    <v>46106.61276081016</v>
    <v>403</v>
    <v>121.7784</v>
    <v>977057727110</v>
    <v>WALMART INC.</v>
    <v>WALMART INC.</v>
    <v>122.96</v>
    <v>44.896900000000002</v>
    <v>122.05</v>
    <v>122.55500000000001</v>
    <v>7972402000</v>
    <v>WMT</v>
    <v>WALMART INC. (XNAS:WMT)</v>
    <v>2846373</v>
    <v>23764635</v>
    <v>1969</v>
  </rv>
  <rv s="2">
    <v>404</v>
  </rv>
  <rv s="0">
    <v>http://en.wikipedia.org/wiki/Western_Digital</v>
    <v>Wikipedia</v>
  </rv>
  <rv s="6">
    <v>65</v>
    <v>406</v>
  </rv>
  <rv s="7">
    <v>14</v>
    <v>https://www.bing.com/th?id=AMMS_b9efb984265253a027f300c3dcbbcbc0&amp;qlt=95</v>
    <v>407</v>
    <v>0</v>
    <v>https://www.bing.com/images/search?form=xlimg&amp;q=western+digital</v>
    <v>Image of WESTERN DIGITAL CORPORATION</v>
  </rv>
  <rv s="0">
    <v>https://www.bing.com/financeapi/forcetrigger?t=a25rnm&amp;q=XNAS%3aWDC&amp;form=skydnc</v>
    <v>Learn more on Bing</v>
  </rv>
  <rv s="8">
    <v>10</v>
    <v>WESTERN DIGITAL CORPORATION (XNAS:WDC)</v>
    <v>12</v>
    <v>13</v>
    <v>Finance</v>
    <v>4</v>
    <v>en-US</v>
    <v>a25rnm</v>
    <v>268435456</v>
    <v>1</v>
    <v>Powered by Refinitiv</v>
    <v>319.62</v>
    <v>28.83</v>
    <v>1.7298</v>
    <v>-2.6899000000000002</v>
    <v>-8.9350000000000002E-3</v>
    <v>USD</v>
    <v>Western Digital Corporation is a developer, manufacturer and provider of data storage devices and solutions. It delivers hard disk drives (HDD) solutions for everyone from students, gamers, and home offices to enterprises and public clouds. The Company manufactures, markets, and sells data storage devices and solutions in the United States and in foreign countries through its sales personnel, dealers, distributors, retailers, and subsidiaries. Its portfolio of technology and products addresses multiple end markets: Cloud, Client, and Consumer. Cloud is comprised primarily of products for public or private cloud environments and end customers. Through the Client end market, it provides its original equipment manufacturer (OEM) and channel customers a range of hard drive solutions across personal computer, mobile, gaming, automotive, virtual reality headsets, at-home entertainment, and industrial spaces. The Consumer end market offers a range of retail and other end-user products.</v>
    <v>40000</v>
    <v>Nasdaq Stock Market</v>
    <v>XNAS</v>
    <v>XNAS</v>
    <v>5601 Great Oaks Parkway, SAN JOSE, CA, 95119 US</v>
    <v>300.72000000000003</v>
    <v>408</v>
    <v>Computers, Phones &amp; Household Electronics</v>
    <v>Stock</v>
    <v>46106.61272038125</v>
    <v>409</v>
    <v>280.75</v>
    <v>101155381747</v>
    <v>WESTERN DIGITAL CORPORATION</v>
    <v>WESTERN DIGITAL CORPORATION</v>
    <v>292</v>
    <v>28.201499999999999</v>
    <v>301.05</v>
    <v>298.36009999999999</v>
    <v>339037900</v>
    <v>WDC</v>
    <v>WESTERN DIGITAL CORPORATION (XNAS:WDC)</v>
    <v>3085019</v>
    <v>9378143</v>
    <v>2000</v>
  </rv>
  <rv s="2">
    <v>410</v>
  </rv>
  <rv s="0">
    <v>https://www.bing.com/financeapi/forcetrigger?t=a25rkr&amp;q=XNAS%3aWDAY&amp;form=skydnc</v>
    <v>Learn more on Bing</v>
  </rv>
  <rv s="1">
    <v>0</v>
    <v>WORKDAY, INC. (XNAS:WDAY)</v>
    <v>2</v>
    <v>3</v>
    <v>Finance</v>
    <v>4</v>
    <v>en-US</v>
    <v>a25rkr</v>
    <v>268435456</v>
    <v>1</v>
    <v>Powered by Refinitiv</v>
    <v>276</v>
    <v>117.76</v>
    <v>1.1478999999999999</v>
    <v>0.12</v>
    <v>9.2810000000000006E-4</v>
    <v>USD</v>
    <v>Workday, Inc. is a provider of an artificial intelligence (AI) platform to help organizations manage their people, money, and agents. The Company provides over 11,000 organizations with cloud solutions powered by AI to help solve business challenges, including supporting and empowering their workforce, managing their finances and spending in an ever-changing environment, and planning for the unexpected. It offers Financial Management, Spend Management, Human Capital Management (HCM), Planning, and Analytics applications. The Company sells its solutions worldwide primarily through direct sales. It also offers professional services, both directly and through its Workday Services Partners, to help customers deploy its solutions. It offers businesses flexible solutions to help them adapt to their industry-specific needs and respond to change. It serves various industries, including professional and business services, financial services, healthcare, education, government, and others.</v>
    <v>21000</v>
    <v>Nasdaq Stock Market</v>
    <v>XNAS</v>
    <v>XNAS</v>
    <v>6110 Stoneridge Mall Road, PLEASANTON, CA, 94588 US</v>
    <v>132.85</v>
    <v>Software &amp; IT Services</v>
    <v>Stock</v>
    <v>46106.612746492967</v>
    <v>412</v>
    <v>128.19</v>
    <v>33258370000</v>
    <v>WORKDAY, INC.</v>
    <v>WORKDAY, INC.</v>
    <v>131.41</v>
    <v>50.1492</v>
    <v>129.29</v>
    <v>129.41</v>
    <v>257000000</v>
    <v>WDAY</v>
    <v>WORKDAY, INC. (XNAS:WDAY)</v>
    <v>1000128</v>
    <v>6357590</v>
    <v>2012</v>
  </rv>
  <rv s="2">
    <v>413</v>
  </rv>
  <rv s="0">
    <v>https://www.bing.com/financeapi/forcetrigger?t=a1whxm&amp;q=XNYS%3aKGC&amp;form=skydnc</v>
    <v>Learn more on Bing</v>
  </rv>
  <rv s="1">
    <v>0</v>
    <v>KINROSS GOLD CORPORATION (XNYS:KGC)</v>
    <v>2</v>
    <v>3</v>
    <v>Finance</v>
    <v>4</v>
    <v>en-US</v>
    <v>a1whxm</v>
    <v>268435456</v>
    <v>1</v>
    <v>Powered by Refinitiv</v>
    <v>39.11</v>
    <v>11.12</v>
    <v>0.84889999999999999</v>
    <v>1.41</v>
    <v>5.0500999999999997E-2</v>
    <v>USD</v>
    <v>Kinross Gold Corporation is a gold mining company with operations and projects in the United States, Brazil, Mauritania, Chile and Canada. The Company is engaged in gold mining and related activities, including exploration and acquisition of gold-bearing properties, the extraction and processing of gold-containing ore, and reclamation of gold mining properties. Its operations and projects include Fort Knox, Round Mountain, Bald Mountain, Manh Choh, Paracatu, La Coipa, Tasiast, and the Great Bear project, among others. Fort Knox is an open-pit gold mine located near the city of Fairbanks, Alaska. Round Mountain is an open-pit mine located in Nevada. Paracatu is a cornerstone operation located near the city of Paracatu in Brazil’s Minas Gerais region. The Tasiast mine is an open-pit operation located in northwestern Mauritania. The La Coipa mine is located in the Atacama region in Chile. The Great Bear is a development project in Canada.</v>
    <v>6600</v>
    <v>New York Stock Exchange</v>
    <v>XNYS</v>
    <v>XNYS</v>
    <v>25 York Street,, 17th Floor, TORONTO, ON, M5J 2V5 CA</v>
    <v>29.45</v>
    <v>Metals &amp; Mining</v>
    <v>Stock</v>
    <v>46106.612742742967</v>
    <v>415</v>
    <v>28.83</v>
    <v>35125138720</v>
    <v>KINROSS GOLD CORPORATION</v>
    <v>KINROSS GOLD CORPORATION</v>
    <v>29.29</v>
    <v>14.991099999999999</v>
    <v>27.92</v>
    <v>29.33</v>
    <v>1197584000</v>
    <v>KGC</v>
    <v>KINROSS GOLD CORPORATION (XNYS:KGC)</v>
    <v>2981752</v>
    <v>12215386</v>
    <v>2025</v>
  </rv>
  <rv s="2">
    <v>416</v>
  </rv>
  <rv s="0">
    <v>https://www.bing.com/financeapi/forcetrigger?t=a1p7zr&amp;q=XNYS%3aCAT&amp;form=skydnc</v>
    <v>Learn more on Bing</v>
  </rv>
  <rv s="1">
    <v>0</v>
    <v>CATERPILLAR INC. (XNYS:CAT)</v>
    <v>2</v>
    <v>3</v>
    <v>Finance</v>
    <v>4</v>
    <v>en-US</v>
    <v>a1p7zr</v>
    <v>268435456</v>
    <v>1</v>
    <v>Powered by Refinitiv</v>
    <v>789.81</v>
    <v>267.3</v>
    <v>1.5173000000000001</v>
    <v>7.625</v>
    <v>1.064E-2</v>
    <v>USD</v>
    <v>Caterpillar Inc. is a manufacturer of construction and mining equipment, off-highway diesel and natural gas engines, industrial gas turbines and diesel-electric locomotives. Its segments include Construction Industries, Resource Industries and Power &amp; Energy. It also provides financing and related services through its Financial Products segment. Construction Industries segment is responsible for supporting customers using machinery in infrastructure and building construction applications. Resource Industries segment develops and manufactures high productivity equipment for both surface and underground mining operations around the world, and provides select work tools, machinery components, wear and maintenance components and related parts. Power &amp; Energy segment supports customers in oil and gas, power generation, marine, rail and industrial applications, including Caterpillar machines. It is engaged in the provision and development of mining software solutions to the mining industry.</v>
    <v>118000</v>
    <v>New York Stock Exchange</v>
    <v>XNYS</v>
    <v>XNYS</v>
    <v>5205 N. O'connor Boulevard, Suite 100, IRVING, TX, 75039 US</v>
    <v>729.35</v>
    <v>Machinery, Equipment &amp; Components</v>
    <v>Stock</v>
    <v>46106.612735601564</v>
    <v>418</v>
    <v>717</v>
    <v>336986653461</v>
    <v>CATERPILLAR INC.</v>
    <v>CATERPILLAR INC.</v>
    <v>729.35</v>
    <v>38.47</v>
    <v>716.63</v>
    <v>724.255</v>
    <v>465287300</v>
    <v>CAT</v>
    <v>CATERPILLAR INC. (XNYS:CAT)</v>
    <v>467296</v>
    <v>2796121</v>
    <v>1986</v>
  </rv>
  <rv s="2">
    <v>419</v>
  </rv>
  <rv s="0">
    <v>https://www.bing.com/financeapi/forcetrigger?t=a1mou2&amp;q=XNAS%3aAAPL&amp;form=skydnc</v>
    <v>Learn more on Bing</v>
  </rv>
  <rv s="1">
    <v>0</v>
    <v>APPLE INC. (XNAS:AAPL)</v>
    <v>2</v>
    <v>3</v>
    <v>Finance</v>
    <v>4</v>
    <v>en-US</v>
    <v>a1mou2</v>
    <v>268435456</v>
    <v>1</v>
    <v>Powered by Refinitiv</v>
    <v>288.62</v>
    <v>169.21010000000001</v>
    <v>1.1154999999999999</v>
    <v>1.56</v>
    <v>6.1989999999999996E-3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254.98</v>
    <v>Computers, Phones &amp; Household Electronics</v>
    <v>Stock</v>
    <v>46106.612833159372</v>
    <v>421</v>
    <v>251.6</v>
    <v>3722723640000</v>
    <v>APPLE INC.</v>
    <v>APPLE INC.</v>
    <v>254</v>
    <v>32.168300000000002</v>
    <v>251.64</v>
    <v>253.2</v>
    <v>14702700000</v>
    <v>AAPL</v>
    <v>APPLE INC. (XNAS:AAPL)</v>
    <v>5864808</v>
    <v>40907440</v>
    <v>1977</v>
  </rv>
  <rv s="2">
    <v>422</v>
  </rv>
  <rv s="0">
    <v>http://commons.wikimedia.org/wiki/File:MongoDB_Logo.svg</v>
    <v>&lt;a rel="nofollow" class="external text" href="https://www.mongodb.com/legal/trademark-usage-guidelines"&gt;MongoDB, Inc.&lt;/a&gt;</v>
  </rv>
  <rv s="0">
    <v>http://en.wikipedia.org/wiki/MongoDB_Inc.</v>
    <v>Wikipedia</v>
  </rv>
  <rv s="6">
    <v>424</v>
    <v>425</v>
  </rv>
  <rv s="7">
    <v>14</v>
    <v>https://www.bing.com/th?id=AMMS_e1db2e3234bc1bb199e8aee07d2a0340&amp;qlt=95</v>
    <v>426</v>
    <v>0</v>
    <v>https://www.bing.com/images/search?form=xlimg&amp;q=10gen</v>
    <v>Image of MONGODB, INC.</v>
  </rv>
  <rv s="0">
    <v>https://www.bing.com/financeapi/forcetrigger?t=a1xf1h&amp;q=XNAS%3aMDB&amp;form=skydnc</v>
    <v>Learn more on Bing</v>
  </rv>
  <rv s="8">
    <v>10</v>
    <v>MONGODB, INC. (XNAS:MDB)</v>
    <v>12</v>
    <v>13</v>
    <v>Finance</v>
    <v>4</v>
    <v>en-US</v>
    <v>a1xf1h</v>
    <v>268435456</v>
    <v>1</v>
    <v>Powered by Refinitiv</v>
    <v>444.72</v>
    <v>140.78</v>
    <v>1.589</v>
    <v>-4.1500000000000004</v>
    <v>-1.6354E-2</v>
    <v>USD</v>
    <v>MongoDB, Inc. is a developer data platform company. Its developer data platform is a globally distributed operational database integrated with a set of data services that allow development teams to address the growing variety of application requirements. Its customers can implement its developer data platform as a managed service offering, or they can choose a self-managed option. Its MongoDB Atlas is its managed multi-cloud database-as-a-service (DBaaS) offering that includes an integrated set of databases and related services. Atlas Vector Search allows the integration of an operational database and vector search in a unified, fully managed platform. MongoDB Enterprise Advanced is its proprietary self-managed commercial offering for enterprise customers that can run in the cloud, on-premises or in a hybrid environment. It also provides professional services for its customers.</v>
    <v>5636</v>
    <v>Nasdaq Stock Market</v>
    <v>XNAS</v>
    <v>XNAS</v>
    <v>1633 Broadway, 38th Floor, NEW YORK, NY, 10019 US</v>
    <v>257.83999999999997</v>
    <v>427</v>
    <v>Software &amp; IT Services</v>
    <v>Stock</v>
    <v>46106.612775647656</v>
    <v>428</v>
    <v>249.49</v>
    <v>20061038383</v>
    <v>MONGODB, INC.</v>
    <v>MONGODB, INC.</v>
    <v>257.57</v>
    <v>0</v>
    <v>253.76</v>
    <v>249.61</v>
    <v>80369530</v>
    <v>MDB</v>
    <v>MONGODB, INC. (XNAS:MDB)</v>
    <v>440057</v>
    <v>2421445</v>
    <v>2007</v>
  </rv>
  <rv s="2">
    <v>429</v>
  </rv>
  <rv s="0">
    <v>https://www.bing.com/financeapi/forcetrigger?t=a24i9c&amp;q=XNYS%3aTRP&amp;form=skydnc</v>
    <v>Learn more on Bing</v>
  </rv>
  <rv s="1">
    <v>0</v>
    <v>TC Energy Corporation (XNYS:TRP)</v>
    <v>2</v>
    <v>17</v>
    <v>Finance</v>
    <v>4</v>
    <v>en-US</v>
    <v>a24i9c</v>
    <v>268435456</v>
    <v>1</v>
    <v>Powered by Refinitiv</v>
    <v>65.569999999999993</v>
    <v>43.587800000000001</v>
    <v>0.91779999999999995</v>
    <v>-0.06</v>
    <v>-9.3649999999999994E-4</v>
    <v>USD</v>
    <v>TC Energy Corporation is an energy problem-solver working to move, generate and store energy and deliver it to homes and businesses in North America. The Company operates in two core businesses, including Natural Gas Pipelines and Power and Energy Solutions. Its natural gas pipeline network transports natural gas from supply basins to local distribution companies, power generation plants, industrial facilities, interconnecting pipelines, LNG export terminals and other businesses across Canada, the U.S. and Mexico. The Power and Energy Solutions business consists of power generation, non-regulated natural gas storage assets, as well as lower-carbon solutions. Its Power and Energy Solutions business includes approximately 4,650 megawatts (MW) of generation powered by nuclear, natural gas, wind and solar. Its natural gas pipelines business is split into three operating segments: Canadian Natural Gas Pipelines, U.S. Natural Gas Pipelines and Mexico Natural Gas Pipelines.</v>
    <v>6574</v>
    <v>New York Stock Exchange</v>
    <v>XNYS</v>
    <v>XNYS</v>
    <v>450 1 St SW, CALGARY, AB, T2P 5H1 CA</v>
    <v>64.510000000000005</v>
    <v>Oil &amp; Gas Related Equipment and Services</v>
    <v>Stock</v>
    <v>46106.612708842185</v>
    <v>431</v>
    <v>63.87</v>
    <v>78637140000</v>
    <v>TC Energy Corporation</v>
    <v>TC Energy Corporation</v>
    <v>64.180000000000007</v>
    <v>25.3004</v>
    <v>64.069999999999993</v>
    <v>64.010000000000005</v>
    <v>1041736000</v>
    <v>TRP</v>
    <v>TC Energy Corporation (XNYS:TRP)</v>
    <v>324391</v>
    <v>2438234</v>
    <v>2003</v>
  </rv>
  <rv s="2">
    <v>432</v>
  </rv>
  <rv s="0">
    <v>https://www.bing.com/financeapi/forcetrigger?t=a267oc&amp;q=ARCX%3aXLE&amp;form=skydnc</v>
    <v>Learn more on Bing</v>
  </rv>
  <rv s="14">
    <v>22</v>
    <v>Sel Sector:Enrgy SS SPDR (ARCX:XLE)</v>
    <v>23</v>
    <v>24</v>
    <v>Finance</v>
    <v>25</v>
    <v>en-US</v>
    <v>a267oc</v>
    <v>268435456</v>
    <v>1</v>
    <v>Powered by Refinitiv</v>
    <v>61.47</v>
    <v>37.244999999999997</v>
    <v>1.1236999999999999</v>
    <v>-0.20499999999999999</v>
    <v>-3.3689999999999996E-3</v>
    <v>USD</v>
    <v>NYSE Arca</v>
    <v>ARCX</v>
    <v>8.0000000000000004E-4</v>
    <v>60.98</v>
    <v>ETF</v>
    <v>46106.612800092189</v>
    <v>434</v>
    <v>60.26</v>
    <v>37876244903.099998</v>
    <v>Sel Sector:Enrgy SS SPDR</v>
    <v>60.42</v>
    <v>60.84</v>
    <v>60.634999999999998</v>
    <v>XLE</v>
    <v>Sel Sector:Enrgy SS SPDR (ARCX:XLE)</v>
    <v>16587083</v>
    <v>65694254</v>
  </rv>
  <rv s="2">
    <v>435</v>
  </rv>
  <rv s="0">
    <v>https://www.bing.com/financeapi/forcetrigger?t=a1slm7&amp;q=XNAS%3aMETA&amp;form=skydnc</v>
    <v>Learn more on Bing</v>
  </rv>
  <rv s="1">
    <v>0</v>
    <v>META PLATFORMS, INC. (XNAS:META)</v>
    <v>2</v>
    <v>3</v>
    <v>Finance</v>
    <v>4</v>
    <v>en-US</v>
    <v>a1slm7</v>
    <v>268435456</v>
    <v>1</v>
    <v>Powered by Refinitiv</v>
    <v>796.25</v>
    <v>479.8</v>
    <v>1.2942</v>
    <v>6.4</v>
    <v>1.0794E-2</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603.62</v>
    <v>Software &amp; IT Services</v>
    <v>Stock</v>
    <v>46106.612758495314</v>
    <v>437</v>
    <v>595.22</v>
    <v>1516012902600</v>
    <v>META PLATFORMS, INC.</v>
    <v>META PLATFORMS, INC.</v>
    <v>598.91</v>
    <v>20.5032</v>
    <v>592.91999999999996</v>
    <v>599.32000000000005</v>
    <v>2529555000</v>
    <v>META</v>
    <v>META PLATFORMS, INC. (XNAS:META)</v>
    <v>3330891</v>
    <v>12544943</v>
    <v>2004</v>
  </rv>
  <rv s="2">
    <v>438</v>
  </rv>
  <rv s="0">
    <v>https://www.bing.com/financeapi/forcetrigger?t=a268hw&amp;q=ARCX%3aXLV&amp;form=skydnc</v>
    <v>Learn more on Bing</v>
  </rv>
  <rv s="14">
    <v>22</v>
    <v>Sel Sector:HC SS SPDR (ARCX:XLV)</v>
    <v>23</v>
    <v>24</v>
    <v>Finance</v>
    <v>25</v>
    <v>en-US</v>
    <v>a268hw</v>
    <v>268435456</v>
    <v>1</v>
    <v>Powered by Refinitiv</v>
    <v>160.59</v>
    <v>127.35</v>
    <v>0.99590000000000001</v>
    <v>1.21</v>
    <v>8.3569999999999998E-3</v>
    <v>USD</v>
    <v>NYSE Arca</v>
    <v>ARCX</v>
    <v>8.0000000000000004E-4</v>
    <v>146.69</v>
    <v>ETF</v>
    <v>46106.612714733594</v>
    <v>440</v>
    <v>145.62</v>
    <v>43115045042.889999</v>
    <v>Sel Sector:HC SS SPDR</v>
    <v>145.88999999999999</v>
    <v>144.79</v>
    <v>146</v>
    <v>XLV</v>
    <v>Sel Sector:HC SS SPDR (ARCX:XLV)</v>
    <v>5872824</v>
    <v>15826732</v>
  </rv>
  <rv s="2">
    <v>441</v>
  </rv>
  <rv s="0">
    <v>https://www.bing.com/financeapi/forcetrigger?t=a1ppvh&amp;q=XNYS%3aCIEN&amp;form=skydnc</v>
    <v>Learn more on Bing</v>
  </rv>
  <rv s="1">
    <v>0</v>
    <v>CIENA CORPORATION (XNYS:CIEN)</v>
    <v>2</v>
    <v>3</v>
    <v>Finance</v>
    <v>4</v>
    <v>en-US</v>
    <v>a1ppvh</v>
    <v>268435456</v>
    <v>1</v>
    <v>Powered by Refinitiv</v>
    <v>446.88990000000001</v>
    <v>49.21</v>
    <v>0.96540000000000004</v>
    <v>14.786799999999999</v>
    <v>3.4437999999999996E-2</v>
    <v>USD</v>
    <v>Ciena Corporation is a network system, software, and services company which provides hardware, software, and services to a range of network operators and enables enhanced network capacity, service delivery, and automation. Its segments include Networking Platforms, Platform Software and Services, Blue Planet Automation Software and Services, and Global Services. Networking Platforms segment consists of Optical Networking and Routing and Switching portfolios. Platform Software and Services which provides domain control management, analytics, data and planning tools and applications to assist customers in managing their networks. Blue Planet Automation Software and Services includes inventory management (BPI), multi-domain service orchestration, multi-cloud orchestration, route optimization and analysis (ROA), and unified assurance and analytics (UAA). Global Services segment offers a suite of value-added services that help its customers to build, operate and improve their networks.</v>
    <v>8898</v>
    <v>New York Stock Exchange</v>
    <v>XNYS</v>
    <v>XNYS</v>
    <v>7035 Ridge Road, HANOVER, MD, 21076 US</v>
    <v>446.88990000000001</v>
    <v>Communications &amp; Networking</v>
    <v>Stock</v>
    <v>46106.61273119141</v>
    <v>443</v>
    <v>424</v>
    <v>62804474853</v>
    <v>CIENA CORPORATION</v>
    <v>CIENA CORPORATION</v>
    <v>432.13</v>
    <v>522.91830000000004</v>
    <v>429.38</v>
    <v>444.16680000000002</v>
    <v>141398400</v>
    <v>CIEN</v>
    <v>CIENA CORPORATION (XNYS:CIEN)</v>
    <v>857660</v>
    <v>3230163</v>
    <v>1992</v>
  </rv>
  <rv s="2">
    <v>444</v>
  </rv>
  <rv s="0">
    <v>https://www.bing.com/financeapi/forcetrigger?t=a24b5r&amp;q=XNAS%3aTLT&amp;form=skydnc</v>
    <v>Learn more on Bing</v>
  </rv>
  <rv s="14">
    <v>22</v>
    <v>iShares:20+ Trs Bd ETF (XNAS:TLT)</v>
    <v>23</v>
    <v>24</v>
    <v>Finance</v>
    <v>25</v>
    <v>en-US</v>
    <v>a24b5r</v>
    <v>268435456</v>
    <v>1</v>
    <v>Powered by Refinitiv</v>
    <v>94.09</v>
    <v>83.295000000000002</v>
    <v>1.1033999999999999</v>
    <v>0.73350000000000004</v>
    <v>8.5280000000000009E-3</v>
    <v>USD</v>
    <v>Nasdaq Stock Market</v>
    <v>XNAS</v>
    <v>1.5E-3</v>
    <v>86.83</v>
    <v>ETF</v>
    <v>46106.612754131253</v>
    <v>446</v>
    <v>86.48</v>
    <v>45428621772.230003</v>
    <v>iShares:20+ Trs Bd ETF</v>
    <v>86.77</v>
    <v>86.01</v>
    <v>86.743499999999997</v>
    <v>TLT</v>
    <v>iShares:20+ Trs Bd ETF (XNAS:TLT)</v>
    <v>10144550</v>
    <v>45534988</v>
  </rv>
  <rv s="2">
    <v>447</v>
  </rv>
  <rv s="0">
    <v>https://www.bing.com/financeapi/forcetrigger?t=a23pkr&amp;q=XNYS%3aSTM&amp;form=skydnc</v>
    <v>Learn more on Bing</v>
  </rv>
  <rv s="1">
    <v>0</v>
    <v>STMicroelectronics NV (XNYS:STM)</v>
    <v>2</v>
    <v>3</v>
    <v>Finance</v>
    <v>4</v>
    <v>en-US</v>
    <v>a23pkr</v>
    <v>268435456</v>
    <v>1</v>
    <v>Powered by Refinitiv</v>
    <v>35.07</v>
    <v>17.25</v>
    <v>1.5543</v>
    <v>1.45</v>
    <v>4.5382999999999993E-2</v>
    <v>USD</v>
    <v>STMicroelectronics N.V. is a Netherlands-based semiconductor company. It designs, develops, manufactures and markets a range of products, including discrete and standard commodity components, and application-specific integrated circuits (ASICs) for analog, digital and mixed-signal applications. The Company's segments include Automotive and Discrete Group (ADG), Analog, MEMS and Sensors Group (AMS), and Microcontrollers and Digital ICs Group (MDG). The ADG segment comprises all dedicated automotive Integrated Circuits (ICs), and discrete and power transistor products. The AMS segment includes low-power analog ICs for all markets, smart power products; Touch Screen Controllers, Low Power Connectivity solutions for Internet of Things (IoT), and power conversion products, among others. The AMS segment comprises general purpose and secure microcontrollers, and Electrically Erasable Programmable Read-Only Memory memories.</v>
    <v>49157</v>
    <v>New York Stock Exchange</v>
    <v>XNYS</v>
    <v>XNYS</v>
    <v>WTC Schiphol Airport, Schiphol Boulevard 265, SCHIPHOL, NOORD-HOLLAND, 1118 BH NL</v>
    <v>33.700000000000003</v>
    <v>Semiconductors &amp; Semiconductor Equipment</v>
    <v>Stock</v>
    <v>46106.612658506252</v>
    <v>449</v>
    <v>32.770000000000003</v>
    <v>30436815460</v>
    <v>STMicroelectronics NV</v>
    <v>STMicroelectronics NV</v>
    <v>32.869999999999997</v>
    <v>189.98859999999999</v>
    <v>31.95</v>
    <v>33.4</v>
    <v>911281900</v>
    <v>STM</v>
    <v>STMicroelectronics NV (XNYS:STM)</v>
    <v>2148583</v>
    <v>7802584</v>
    <v>1987</v>
  </rv>
  <rv s="2">
    <v>450</v>
  </rv>
  <rv s="0">
    <v>https://www.bing.com/financeapi/forcetrigger?t=brjvjc&amp;q=XNAS%3aDDOG&amp;form=skydnc</v>
    <v>Learn more on Bing</v>
  </rv>
  <rv s="1">
    <v>0</v>
    <v>DATADOG, INC. (XNAS:DDOG)</v>
    <v>2</v>
    <v>3</v>
    <v>Finance</v>
    <v>4</v>
    <v>en-US</v>
    <v>brjvjc</v>
    <v>268435456</v>
    <v>1</v>
    <v>Powered by Refinitiv</v>
    <v>201.69</v>
    <v>81.63</v>
    <v>1.2808999999999999</v>
    <v>3.55</v>
    <v>2.8963000000000003E-2</v>
    <v>USD</v>
    <v>Datadog, Inc. provides an observability and security platform for cloud applications. The Company’s SaaS platform integrates and automates infrastructure monitoring, application performance monitoring, log management, user experience monitoring, cloud security and many other capabilities to provide unified, real-time observability and security for its customers’ entire technology stack. Its platform consists of products that can be used individually or as a unified solution and includes a marketplace where customers can access products built by its partners on top of the Datadog platform. Its products include Infrastructure Monitoring, Application Performance Monitoring, Log Management, Digital Experience Monitoring, Continuous Profiler, Database Monitoring, Data Observability, Universal Service Monitoring, Network Monitoring and others. It owns Metaplane, an end-to-end data observability platform that provides advanced machine learning-powered monitoring and column-level lineage.</v>
    <v>8100</v>
    <v>Nasdaq Stock Market</v>
    <v>XNAS</v>
    <v>XNAS</v>
    <v>620 8th Avenue, 45th Floor, NEW YORK, NY, 10018 US</v>
    <v>127.47</v>
    <v>Software &amp; IT Services</v>
    <v>Stock</v>
    <v>46106.612829525002</v>
    <v>452</v>
    <v>123.78</v>
    <v>44627725956</v>
    <v>DATADOG, INC.</v>
    <v>DATADOG, INC.</v>
    <v>124.91</v>
    <v>400.76260000000002</v>
    <v>122.57</v>
    <v>126.12</v>
    <v>353851300</v>
    <v>DDOG</v>
    <v>DATADOG, INC. (XNAS:DDOG)</v>
    <v>924795</v>
    <v>5237444</v>
    <v>2010</v>
  </rv>
  <rv s="2">
    <v>453</v>
  </rv>
  <rv s="0">
    <v>https://www.bing.com/financeapi/forcetrigger?t=a1mrjc&amp;q=XNYS%3aGOLD&amp;form=skydnc</v>
    <v>Learn more on Bing</v>
  </rv>
  <rv s="1">
    <v>0</v>
    <v>BARRICK MINING CORPORATION (XNYS:B)</v>
    <v>2</v>
    <v>3</v>
    <v>Finance</v>
    <v>4</v>
    <v>en-US</v>
    <v>a1mrjc</v>
    <v>268435456</v>
    <v>1</v>
    <v>Powered by Refinitiv</v>
    <v>54.69</v>
    <v>17</v>
    <v>0.52229999999999999</v>
    <v>1.2949999999999999</v>
    <v>3.4051999999999999E-2</v>
    <v>USD</v>
    <v>Barrick Mining Corporation is a gold and copper producer, which is engaged in the production and sale of gold and copper, as well as related activities, such as exploration and mine development. The Company has ownership interests in producing gold mines that are located in Argentina, Canada, Cote d’Ivoire, the Democratic Republic of Congo, the Dominican Republic, Papua New Guinea, Tanzania and the United States. Its copper mines are located in Zambia, Chile and Saudi Arabia. Its operations include Nevada Gold Mines, Bulyanhulu, Jabal Sayid, Kibali, Loulo-Gounkoto, Lumwana, North Mara, Porgera, Pueblo Viejo, Veladero and Zaldivar. Its Bulyanhulu operation is located in north-west Tanzania, over 55 kilometers (km) south of Lake Victoria and 150 km southwest of the city of Mwanza. The Jabal Sayid copper operation is located approximately 350 km north-east of Jeddah in the Kingdom of Saudi Arabia. The Lumwana copper mine is a conventional open pit operation.</v>
    <v>27000</v>
    <v>New York Stock Exchange</v>
    <v>XNYS</v>
    <v>XNYS</v>
    <v>161 Bay Street, Suite 3700, TORONTO, ON, M5J 2S1 CA</v>
    <v>39.659999999999997</v>
    <v>Metals &amp; Mining</v>
    <v>Stock</v>
    <v>46106.612737117968</v>
    <v>455</v>
    <v>38.799999999999997</v>
    <v>67918207500</v>
    <v>BARRICK MINING CORPORATION</v>
    <v>BARRICK MINING CORPORATION</v>
    <v>39.4</v>
    <v>13.369</v>
    <v>38.03</v>
    <v>39.325000000000003</v>
    <v>1727100000</v>
    <v>B</v>
    <v>BARRICK MINING CORPORATION (XNYS:B)</v>
    <v>3931055</v>
    <v>15095940</v>
    <v>2018</v>
  </rv>
  <rv s="2">
    <v>456</v>
  </rv>
  <rv s="0">
    <v>https://www.bing.com/financeapi/forcetrigger?t=a23rjc&amp;q=XNAS%3aSTX&amp;form=skydnc</v>
    <v>Learn more on Bing</v>
  </rv>
  <rv s="1">
    <v>0</v>
    <v>SEAGATE TECHNOLOGY HOLDINGS PUBLIC LIMITED COMPANY (XNAS:STX)</v>
    <v>2</v>
    <v>3</v>
    <v>Finance</v>
    <v>4</v>
    <v>en-US</v>
    <v>a23rjc</v>
    <v>268435456</v>
    <v>1</v>
    <v>Powered by Refinitiv</v>
    <v>459.84</v>
    <v>63.19</v>
    <v>1.5987</v>
    <v>-6.98</v>
    <v>-1.6454E-2</v>
    <v>USD</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Nasdaq Stock Market</v>
    <v>XNAS</v>
    <v>XNAS</v>
    <v>121 Woodlands Avenue 5, 739009 SG</v>
    <v>418.99</v>
    <v>Computers, Phones &amp; Household Electronics</v>
    <v>Stock</v>
    <v>46106.612764224221</v>
    <v>458</v>
    <v>389.26</v>
    <v>93472357896</v>
    <v>SEAGATE TECHNOLOGY HOLDINGS PUBLIC LIMITED COMPANY</v>
    <v>SEAGATE TECHNOLOGY HOLDINGS PUBLIC LIMITED COMPANY</v>
    <v>410.16</v>
    <v>47.203400000000002</v>
    <v>424.22</v>
    <v>417.24</v>
    <v>224025400</v>
    <v>STX</v>
    <v>SEAGATE TECHNOLOGY HOLDINGS PUBLIC LIMITED COMPANY (XNAS:STX)</v>
    <v>1468603</v>
    <v>3546005</v>
    <v>2021</v>
  </rv>
  <rv s="2">
    <v>459</v>
  </rv>
  <rv s="0">
    <v>https://www.bing.com/financeapi/forcetrigger?t=bvko7w&amp;q=XNAS%3aFROG&amp;form=skydnc</v>
    <v>Learn more on Bing</v>
  </rv>
  <rv s="1">
    <v>0</v>
    <v>JFROG LTD (XNAS:FROG)</v>
    <v>2</v>
    <v>3</v>
    <v>Finance</v>
    <v>4</v>
    <v>en-US</v>
    <v>bvko7w</v>
    <v>268435456</v>
    <v>1</v>
    <v>Powered by Refinitiv</v>
    <v>70.429900000000004</v>
    <v>27</v>
    <v>1.198</v>
    <v>4.7100999999999997</v>
    <v>0.11010099999999999</v>
    <v>USD</v>
    <v>JFrog Ltd. provides an end-to-end, hybrid, universal Software Supply Chain Platform. The Company’s solutions include The JFrog Artifactory, JFrog Curation, JFrog Xray (Security Essentials), JFrog Advanced Security, JFrog Runtime Security, JFrog Distribution, JFrog Connect, and JFrog ML. JFrog Artifactory supports all software package technologies and can be seamlessly deployed across public clouds, multi-cloud, on-premises, private cloud, and hybrid environments. JFrog Curation understands package metadata, allowing companies to build policies around the entry or blocking of software packages into a company’s repositories based on multiple factors such as age, version number, security risk, release timelines, target environments, and more. JFrog Distribution provides reliable, scalable, and secure software package distribution with enterprise-grade performance. JFrog Xray continuously scans JFrog Artifactory to secure all software packages stored in it.</v>
    <v>1800</v>
    <v>Nasdaq Stock Market</v>
    <v>XNAS</v>
    <v>XNAS</v>
    <v>270 E. Caribbean Drive, SUNNYVALE, CA, 94089 US</v>
    <v>47.88</v>
    <v>Software &amp; IT Services</v>
    <v>Stock</v>
    <v>46106.612684015628</v>
    <v>461</v>
    <v>44.164999999999999</v>
    <v>5681188423</v>
    <v>JFROG LTD</v>
    <v>JFROG LTD</v>
    <v>44.54</v>
    <v>0</v>
    <v>42.78</v>
    <v>47.490099999999998</v>
    <v>119628900</v>
    <v>FROG</v>
    <v>JFROG LTD (XNAS:FROG)</v>
    <v>1244266</v>
    <v>4074351</v>
    <v>2008</v>
  </rv>
  <rv s="2">
    <v>462</v>
  </rv>
  <rv s="0">
    <v>https://www.bing.com/financeapi/forcetrigger?t=a1ufm7&amp;q=XNYS%3aHAL&amp;form=skydnc</v>
    <v>Learn more on Bing</v>
  </rv>
  <rv s="1">
    <v>0</v>
    <v>HALLIBURTON COMPANY (XNYS:HAL)</v>
    <v>2</v>
    <v>3</v>
    <v>Finance</v>
    <v>4</v>
    <v>en-US</v>
    <v>a1ufm7</v>
    <v>268435456</v>
    <v>1</v>
    <v>Powered by Refinitiv</v>
    <v>38.75</v>
    <v>18.72</v>
    <v>0.71050000000000002</v>
    <v>0.48</v>
    <v>1.2595E-2</v>
    <v>USD</v>
    <v>Halliburton Company is a provider of products and services to the energy industry. The Company operates through two segments: Completion and Production and the Drilling and Evaluation. The Completion and Production segment delivers cementing, stimulation, specialty chemicals, intervention, pressure control, artificial lift, and completion products and services. The segment consists of artificial lift, cementing, completion tools, pipeline and process services, production enhancement, and production solutions. The Drilling and Evaluation segment provides field and reservoir modeling, drilling fluids, evaluation and precise wellbore placement solutions that enable customers to model, measure, drill, and optimize their well construction activities. Its product service lines include Baroid, drill bits and services, Halliburton project management, landmark software and services, Sperry drilling, testing and subsea and wireline and perforating.</v>
    <v>46000</v>
    <v>New York Stock Exchange</v>
    <v>XNYS</v>
    <v>XNYS</v>
    <v>3000 North Sam Houston Parkway East, HOUSTON, TX, 77032 US</v>
    <v>38.75</v>
    <v>Oil &amp; Gas Related Equipment and Services</v>
    <v>Stock</v>
    <v>46106.612703275001</v>
    <v>464</v>
    <v>37.97</v>
    <v>32320988897</v>
    <v>HALLIBURTON COMPANY</v>
    <v>HALLIBURTON COMPANY</v>
    <v>37.984999999999999</v>
    <v>25.656500000000001</v>
    <v>38.11</v>
    <v>38.590000000000003</v>
    <v>837548300</v>
    <v>HAL</v>
    <v>HALLIBURTON COMPANY (XNYS:HAL)</v>
    <v>2435218</v>
    <v>16682754</v>
    <v>1996</v>
  </rv>
  <rv s="2">
    <v>465</v>
  </rv>
  <rv s="0">
    <v>https://www.bing.com/financeapi/forcetrigger?t=a1q5qh&amp;q=ARCX%3aCOPX&amp;form=skydnc</v>
    <v>Learn more on Bing</v>
  </rv>
  <rv s="14">
    <v>22</v>
    <v>Glbl X Copper Miners ETF (ARCX:COPX)</v>
    <v>23</v>
    <v>24</v>
    <v>Finance</v>
    <v>25</v>
    <v>en-US</v>
    <v>a1q5qh</v>
    <v>268435456</v>
    <v>1</v>
    <v>Powered by Refinitiv</v>
    <v>99.99</v>
    <v>30.77</v>
    <v>1.3357000000000001</v>
    <v>2.68</v>
    <v>3.6711999999999995E-2</v>
    <v>USD</v>
    <v>NYSE Arca</v>
    <v>ARCX</v>
    <v>6.5000000000000006E-3</v>
    <v>76.37</v>
    <v>ETF</v>
    <v>46106.612845532029</v>
    <v>467</v>
    <v>74.987300000000005</v>
    <v>8406912210.8400002</v>
    <v>Glbl X Copper Miners ETF</v>
    <v>75.650000000000006</v>
    <v>73</v>
    <v>75.680000000000007</v>
    <v>COPX</v>
    <v>Glbl X Copper Miners ETF (ARCX:COPX)</v>
    <v>1242307</v>
    <v>5299692</v>
  </rv>
  <rv s="2">
    <v>468</v>
  </rv>
  <rv s="0">
    <v>https://www.bing.com/financeapi/forcetrigger?t=a1o4mw&amp;q=XNYS%3aBABA&amp;form=skydnc</v>
    <v>Learn more on Bing</v>
  </rv>
  <rv s="1">
    <v>0</v>
    <v>Alibaba Group Holding Limited (XNYS:BABA)</v>
    <v>2</v>
    <v>3</v>
    <v>Finance</v>
    <v>4</v>
    <v>en-US</v>
    <v>a1o4mw</v>
    <v>268435456</v>
    <v>1</v>
    <v>Powered by Refinitiv</v>
    <v>192.67</v>
    <v>94.974199999999996</v>
    <v>0.49130000000000001</v>
    <v>4.16</v>
    <v>3.3153000000000002E-2</v>
    <v>USD</v>
    <v>Alibaba Group Holding Ltd is an investment holding company mainly engaged in the provision of technology infrastructure and marketing platforms. The Company operates its business through nine segments. The China Commerce Retail segment is engaged in the China commerce retail business. The China Commerce Wholesale segment is mainly engaged in the operation of 1688.com. The Cloud Intelligence segment provides cloud services. The International Commerce Retail segment provides customer management services, sales of goods and logistics services. The International Commerce Wholesale segment is mainly engaged in the operation of Alibaba.com. The Cainiao Represents Logistics Services segment provides fulfilment services. The Local Services segment’s revenue includes platform commissions, logistics services revenue. The Digital Media and Entertainment segment engages in the operation of Youku and Alibaba. The All Others segment is mainly engaged in the Sun Art, Freshippo and other business.</v>
    <v>128197</v>
    <v>New York Stock Exchange</v>
    <v>XNYS</v>
    <v>XNYS</v>
    <v>26/F, Tower One, Times Square, 1 Matheson Street, Causeway Bay HK</v>
    <v>130.16</v>
    <v>Software &amp; IT Services</v>
    <v>Stock</v>
    <v>46106.612761238284</v>
    <v>470</v>
    <v>128.565</v>
    <v>309504221319</v>
    <v>Alibaba Group Holding Limited</v>
    <v>Alibaba Group Holding Limited</v>
    <v>129.58000000000001</v>
    <v>17.631399999999999</v>
    <v>125.48</v>
    <v>129.63999999999999</v>
    <v>2387413000</v>
    <v>BABA</v>
    <v>Alibaba Group Holding Limited (XNYS:BABA)</v>
    <v>5289918</v>
    <v>11483260</v>
    <v>1999</v>
  </rv>
  <rv s="2">
    <v>471</v>
  </rv>
  <rv s="0">
    <v>https://www.bing.com/financeapi/forcetrigger?t=a25l52&amp;q=XNYS%3aVST&amp;form=skydnc</v>
    <v>Learn more on Bing</v>
  </rv>
  <rv s="1">
    <v>0</v>
    <v>VISTRA CORP. (XNYS:VST)</v>
    <v>2</v>
    <v>3</v>
    <v>Finance</v>
    <v>4</v>
    <v>en-US</v>
    <v>a25l52</v>
    <v>268435456</v>
    <v>1</v>
    <v>Powered by Refinitiv</v>
    <v>219.82</v>
    <v>90.51</v>
    <v>1.4912000000000001</v>
    <v>1.85</v>
    <v>1.2114E-2</v>
    <v>USD</v>
    <v>Vistra Corp. is an integrated retail electricity and power generation company that provides essential resources to customers, businesses, and communities from California to Maine. It operates a reliable power generation fleet of natural gas, nuclear, coal, solar, and battery energy storage facilities while taking an innovative, customer-centric approach to its retail business. Its segments include Retail, Texas, East, West, and Asset Closure. The Retail segment is engaged in retail sales of electricity and natural gas to residential, commercial and industrial customers. The Texas and East segments are engaged in electricity generation, wholesale energy sales and purchases, commodity risk management activities, fuel procurement, and logistics management. The West segment represents results from the CAISO market, including its battery ESS projects at its Moss Landing power plant site. The Asset Closure segment is engaged in the decommissioning and reclamation of retired plants and mines.</v>
    <v>6390</v>
    <v>New York Stock Exchange</v>
    <v>XNYS</v>
    <v>XNYS</v>
    <v>6555 Sierra Drive, IRVING, TX, 75039 US</v>
    <v>157.9023</v>
    <v>Electrical Utilities &amp; IPPs</v>
    <v>Stock</v>
    <v>46106.612702303122</v>
    <v>473</v>
    <v>154</v>
    <v>52329565301</v>
    <v>VISTRA CORP.</v>
    <v>VISTRA CORP.</v>
    <v>154.5</v>
    <v>70.583100000000002</v>
    <v>152.72</v>
    <v>154.57</v>
    <v>338549300</v>
    <v>VST</v>
    <v>VISTRA CORP. (XNYS:VST)</v>
    <v>785760</v>
    <v>4736536</v>
    <v>2016</v>
  </rv>
  <rv s="2">
    <v>474</v>
  </rv>
  <rv s="0">
    <v>https://www.bing.com/financeapi/forcetrigger?t=a1tkf2&amp;q=ARCX%3aFXI&amp;form=skydnc</v>
    <v>Learn more on Bing</v>
  </rv>
  <rv s="14">
    <v>22</v>
    <v>iShares:China Large Cp (ARCX:FXI)</v>
    <v>23</v>
    <v>24</v>
    <v>Finance</v>
    <v>25</v>
    <v>en-US</v>
    <v>a1tkf2</v>
    <v>268435456</v>
    <v>1</v>
    <v>Powered by Refinitiv</v>
    <v>42</v>
    <v>29.204999999999998</v>
    <v>1.0555000000000001</v>
    <v>0.70989999999999998</v>
    <v>2.0087999999999998E-2</v>
    <v>USD</v>
    <v>NYSE Arca</v>
    <v>ARCX</v>
    <v>7.3000000000000001E-3</v>
    <v>36.099899999999998</v>
    <v>ETF</v>
    <v>46106.612702568753</v>
    <v>476</v>
    <v>35.854999999999997</v>
    <v>6211959067.5600004</v>
    <v>iShares:China Large Cp</v>
    <v>35.94</v>
    <v>35.340000000000003</v>
    <v>36.049900000000001</v>
    <v>FXI</v>
    <v>iShares:China Large Cp (ARCX:FXI)</v>
    <v>9180580</v>
    <v>36752115</v>
  </rv>
  <rv s="2">
    <v>477</v>
  </rv>
  <rv s="0">
    <v>https://www.bing.com/financeapi/forcetrigger?t=a1nkur&amp;q=XNAS%3aAPA&amp;form=skydnc</v>
    <v>Learn more on Bing</v>
  </rv>
  <rv s="1">
    <v>0</v>
    <v>APA CORPORATION (XNAS:APA)</v>
    <v>2</v>
    <v>3</v>
    <v>Finance</v>
    <v>4</v>
    <v>en-US</v>
    <v>a1nkur</v>
    <v>268435456</v>
    <v>1</v>
    <v>Powered by Refinitiv</v>
    <v>41.45</v>
    <v>13.584</v>
    <v>0.52639999999999998</v>
    <v>0.14000000000000001</v>
    <v>3.431E-3</v>
    <v>USD</v>
    <v>APA Corporation is an independent energy company. The Company owns subsidiaries that explore for and produce oil and natural gas in the United States, Egypt, and the United Kingdom, and that explore for oil and natural gas offshore Suriname. The Company’s upstream business has oil and gas operations in three geographic areas: the United States, Egypt and offshore the United Kingdom in the North Sea (North Sea). It also has active exploration and appraisal operations ongoing in Suriname, as well as interests in Uruguay and other international locations. It maintains a diversified asset portfolio, including conventional and unconventional, onshore and offshore, oil and natural gas exploration and production interests. In the United States, operations are primarily focused on the Permian Basin of West Texas. The Company has conventional onshore assets in Egypt’s Western Desert, and offshore assets on the United Kingdom’s Continental Shelf.</v>
    <v>1791</v>
    <v>Nasdaq Stock Market</v>
    <v>XNAS</v>
    <v>XNAS</v>
    <v>2000 W Sam Houston Pkwy S, Suite 200, HOUSTON, TX, 77042 US</v>
    <v>41.21</v>
    <v>Oil &amp; Gas</v>
    <v>Stock</v>
    <v>46106.612794745313</v>
    <v>479</v>
    <v>39.93</v>
    <v>14462116410</v>
    <v>APA CORPORATION</v>
    <v>APA CORPORATION</v>
    <v>40.19</v>
    <v>10.2691</v>
    <v>40.799999999999997</v>
    <v>40.94</v>
    <v>353251500</v>
    <v>APA</v>
    <v>APA CORPORATION (XNAS:APA)</v>
    <v>2936332</v>
    <v>9662706</v>
    <v>2021</v>
  </rv>
  <rv s="2">
    <v>480</v>
  </rv>
  <rv s="0">
    <v>https://www.bing.com/financeapi/forcetrigger?t=a1wyu2&amp;q=XNYS%3aLLY&amp;form=skydnc</v>
    <v>Learn more on Bing</v>
  </rv>
  <rv s="1">
    <v>0</v>
    <v>ELI LILLY AND COMPANY (XNYS:LLY)</v>
    <v>2</v>
    <v>3</v>
    <v>Finance</v>
    <v>4</v>
    <v>en-US</v>
    <v>a1wyu2</v>
    <v>268435456</v>
    <v>1</v>
    <v>Powered by Refinitiv</v>
    <v>1133.95</v>
    <v>623.78</v>
    <v>0.50819999999999999</v>
    <v>7.8049999999999997</v>
    <v>8.6429999999999996E-3</v>
    <v>USD</v>
    <v>Eli Lilly and Company is a medicine company, which discovers, develops, manufactures, and market products in a single business segment called human pharmaceutical products. The Company manufacture and distribute its products through facilities in the United States, including Puerto Rico, and in Europe and Asia. The Company’s products are sold in approximately 90 countries. Its Cardiometabolic Health products Basaglar; Humalog, Humalog Mix 75/25, Humalog U-100, Humalog U-200, Humalog Mix 50/50, insulin lispro, and others; Humulin, Humulin 70/30, and others; Jardiance; Mounjaro; Trulicity; Zepbound, and others. Its oncology products include Cyramza, Erbitux, Tyvyt, Verzenio, Retevmo, Jaypirca, and others. Its immunology products include Ebglyss, Olumiant, Omvoh, and Taltz. Its neuroscience products include Emgality and Kisunla. Its LillyDirect, a direct-to-patient digital health care platform, provides delivery of select Lilly medicines dispensed by third-party pharmacies to patients.</v>
    <v>50000</v>
    <v>New York Stock Exchange</v>
    <v>XNYS</v>
    <v>XNYS</v>
    <v>Lilly Corporate Ctr, Drop Code 1094, INDIANAPOLIS, IN, 46285 US</v>
    <v>921.97</v>
    <v>Pharmaceuticals</v>
    <v>Stock</v>
    <v>46106.612789073435</v>
    <v>482</v>
    <v>909.39</v>
    <v>860564674592</v>
    <v>ELI LILLY AND COMPANY</v>
    <v>ELI LILLY AND COMPANY</v>
    <v>912.49</v>
    <v>39.676000000000002</v>
    <v>903.02</v>
    <v>910.82500000000005</v>
    <v>944818900</v>
    <v>LLY</v>
    <v>ELI LILLY AND COMPANY (XNYS:LLY)</v>
    <v>389690</v>
    <v>2967301</v>
    <v>1901</v>
  </rv>
  <rv s="2">
    <v>483</v>
  </rv>
  <rv s="0">
    <v>https://www.bing.com/financeapi/forcetrigger?t=a1wjkr&amp;q=XNAS%3aKLAC&amp;form=skydnc</v>
    <v>Learn more on Bing</v>
  </rv>
  <rv s="1">
    <v>0</v>
    <v>KLA CORPORATION (XNAS:KLAC)</v>
    <v>2</v>
    <v>3</v>
    <v>Finance</v>
    <v>4</v>
    <v>en-US</v>
    <v>a1wjkr</v>
    <v>268435456</v>
    <v>1</v>
    <v>Powered by Refinitiv</v>
    <v>1693.35</v>
    <v>551.33000000000004</v>
    <v>1.4088000000000001</v>
    <v>-4.57</v>
    <v>-2.918E-3</v>
    <v>USD</v>
    <v>KLA Corporation is a supplier of process control and yield management solutions and services for the semiconductor and related electronics industries. The Company offers a portfolio of inspection and metrology products, and related services, software and other offerings, supports research and development (R&amp;D) and manufacturing of integrated circuits (ICs), wafers and reticles. Its segments include Semiconductor Process Control, Specialty Semiconductor Process, and PCB and Component Inspection. Semiconductor Process Control segment provides comprehensive portfolio of inspection, metrology and software products, as well as related services, helping IC, wafer, reticle/mask and chemical/materials manufacturers achieve target yields throughout the entire fabrication process, from R&amp;D to final volume production. The Specialty Semiconductor Process segment develops and sells advanced vacuum deposition and etch process tools, which are used by a range of specialty semiconductor customers.</v>
    <v>15000</v>
    <v>Nasdaq Stock Market</v>
    <v>XNAS</v>
    <v>XNAS</v>
    <v>One Technology Drive, MILPITAS, CA, 95035 US</v>
    <v>1575</v>
    <v>Semiconductors &amp; Semiconductor Equipment</v>
    <v>Stock</v>
    <v>46106.6127260875</v>
    <v>485</v>
    <v>1537.84</v>
    <v>204691840092</v>
    <v>KLA CORPORATION</v>
    <v>KLA CORPORATION</v>
    <v>1574.31</v>
    <v>45.436199999999999</v>
    <v>1566.19</v>
    <v>1561.62</v>
    <v>131076600</v>
    <v>KLAC</v>
    <v>KLA CORPORATION (XNAS:KLAC)</v>
    <v>227678</v>
    <v>994629</v>
    <v>1975</v>
  </rv>
  <rv s="2">
    <v>486</v>
  </rv>
  <rv s="0">
    <v>https://www.bing.com/financeapi/forcetrigger?t=brh6oc&amp;q=XNYS%3aNET&amp;form=skydnc</v>
    <v>Learn more on Bing</v>
  </rv>
  <rv s="10">
    <v>18</v>
    <v>CLOUDFLARE, INC. (XNYS:NET)</v>
    <v>2</v>
    <v>8</v>
    <v>Finance</v>
    <v>4</v>
    <v>en-US</v>
    <v>brh6oc</v>
    <v>268435456</v>
    <v>1</v>
    <v>Powered by Refinitiv</v>
    <v>260</v>
    <v>89.42</v>
    <v>1.8689</v>
    <v>10.68</v>
    <v>5.0106000000000005E-2</v>
    <v>USD</v>
    <v>Cloudflare, Inc. is a connectivity cloud company. Its full suite of products consists of its website and application services to deliver security, performance, and reliability for an organization's websites, applications, and application programming interfaces (APIs); its secure access service edge (SASE) platform, which contains its suite of Zero Trust and network services solutions to help ensure traffic in and out of an organization’s internal network and devices is verified and authorized as well as to securely connect data centers, cloud services, and branch offices to an organization with its Connectivity Cloud; its developer-based solutions to build and deploy serverless applications with scale, performance, security and reliability, and its consumer offerings. Its website and application security product offerings include Web Application Firewall, Bot Management, Distributed Denial of Service Protection, API Security, SSL/TLS Encryption, Script Management, and Security Center.</v>
    <v>5156</v>
    <v>New York Stock Exchange</v>
    <v>XNYS</v>
    <v>XNYS</v>
    <v>101 Townsend St, SAN FRANCISCO, CA, 94107-1934 US</v>
    <v>225.97</v>
    <v>Software &amp; IT Services</v>
    <v>Stock</v>
    <v>46106.612720335157</v>
    <v>488</v>
    <v>217.75</v>
    <v>78783750549</v>
    <v>CLOUDFLARE, INC.</v>
    <v>CLOUDFLARE, INC.</v>
    <v>218.74</v>
    <v>213.15</v>
    <v>223.83</v>
    <v>351980300</v>
    <v>NET</v>
    <v>CLOUDFLARE, INC. (XNYS:NET)</v>
    <v>1071170</v>
    <v>3984557</v>
    <v>2009</v>
  </rv>
  <rv s="2">
    <v>489</v>
  </rv>
  <rv s="0">
    <v>https://www.bing.com/financeapi/forcetrigger?t=c3orf2&amp;q=XNAS%3aRIVN&amp;form=skydnc</v>
    <v>Learn more on Bing</v>
  </rv>
  <rv s="1">
    <v>0</v>
    <v>RIVIAN AUTOMOTIVE, INC. (XNAS:RIVN)</v>
    <v>2</v>
    <v>3</v>
    <v>Finance</v>
    <v>4</v>
    <v>en-US</v>
    <v>c3orf2</v>
    <v>268435456</v>
    <v>1</v>
    <v>Powered by Refinitiv</v>
    <v>22.69</v>
    <v>10.36</v>
    <v>1.6623000000000001</v>
    <v>-1.4999999999999999E-2</v>
    <v>-9.3170000000000004E-4</v>
    <v>USD</v>
    <v>Rivian Automotive, Inc. is an automotive technology company, which is engaged in developing and manufacturing category-defining electric vehicles (EVs) as well as vertically integrated technologies and services. The Company’s R1 platform consists of two vehicles: the R1T, a two-row five-passenger pickup truck, and the R1S, a three-row seven-passenger sport utility vehicle (SUV). In the commercial market, the Company offers a Rivian Commercial Vehicle (RCV) platform. The vehicle on this platform is the Electric Delivery Van (EDV), designed and engineered by Rivian in collaboration with Amazon. The Company also offers FleetOS, its proprietary, end-to-end centralized fleet management subscription platform. It also offers a variety of services, including vehicle repair and maintenance, financing, insurance, joint venture, software subscriptions, and vehicle accessories, among others. Its other services include vehicle electrical architecture and software development services, and more.</v>
    <v>15232</v>
    <v>Nasdaq Stock Market</v>
    <v>XNAS</v>
    <v>XNAS</v>
    <v>14600 Myford Road, IRVINE, CA, 92618 US</v>
    <v>16.52</v>
    <v>Automobiles &amp; Auto Parts</v>
    <v>Stock</v>
    <v>46106.612766585153</v>
    <v>491</v>
    <v>16.074999999999999</v>
    <v>19961324150</v>
    <v>RIVIAN AUTOMOTIVE, INC.</v>
    <v>RIVIAN AUTOMOTIVE, INC.</v>
    <v>16.260000000000002</v>
    <v>0</v>
    <v>16.100000000000001</v>
    <v>16.085000000000001</v>
    <v>1240990000</v>
    <v>RIVN</v>
    <v>RIVIAN AUTOMOTIVE, INC. (XNAS:RIVN)</v>
    <v>5706590</v>
    <v>29485076</v>
    <v>2015</v>
  </rv>
  <rv s="2">
    <v>492</v>
  </rv>
  <rv s="0">
    <v>https://www.bing.com/financeapi/forcetrigger?t=a1vkgh&amp;q=XNYS%3aINFY&amp;form=skydnc</v>
    <v>Learn more on Bing</v>
  </rv>
  <rv s="1">
    <v>0</v>
    <v>INFOSYS LIMITED (XNYS:INFY)</v>
    <v>2</v>
    <v>3</v>
    <v>Finance</v>
    <v>4</v>
    <v>en-US</v>
    <v>a1vkgh</v>
    <v>268435456</v>
    <v>1</v>
    <v>Powered by Refinitiv</v>
    <v>30</v>
    <v>12.57</v>
    <v>0.99370000000000003</v>
    <v>0.12</v>
    <v>9.1739999999999999E-3</v>
    <v>USD</v>
    <v>Infosys Limited is an India-based company which provides digital services and consulting. The Company enables clients in approximately 63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337034</v>
    <v>New York Stock Exchange</v>
    <v>XNYS</v>
    <v>XNYS</v>
    <v>Electronics City Hosur Rd, BANGALORE, KARNATAKA, 560100 IN</v>
    <v>13.53</v>
    <v>Software &amp; IT Services</v>
    <v>Stock</v>
    <v>46106.612690312497</v>
    <v>494</v>
    <v>13.185</v>
    <v>53415212400</v>
    <v>INFOSYS LIMITED</v>
    <v>INFOSYS LIMITED</v>
    <v>13.425000000000001</v>
    <v>17.576599999999999</v>
    <v>13.08</v>
    <v>13.2</v>
    <v>4046607000</v>
    <v>INFY</v>
    <v>INFOSYS LIMITED (XNYS:INFY)</v>
    <v>2268040</v>
    <v>21235648</v>
    <v>1981</v>
  </rv>
  <rv s="2">
    <v>495</v>
  </rv>
  <rv s="0">
    <v>https://www.bing.com/financeapi/forcetrigger?t=bjojk2&amp;q=XNAS%3aPDD&amp;form=skydnc</v>
    <v>Learn more on Bing</v>
  </rv>
  <rv s="1">
    <v>0</v>
    <v>PDD Holdings Inc. (XNAS:PDD)</v>
    <v>2</v>
    <v>3</v>
    <v>Finance</v>
    <v>4</v>
    <v>en-US</v>
    <v>bjojk2</v>
    <v>268435456</v>
    <v>1</v>
    <v>Powered by Refinitiv</v>
    <v>139.41</v>
    <v>87.11</v>
    <v>7.6999999999999999E-2</v>
    <v>8.1300000000000008</v>
    <v>8.2882999999999998E-2</v>
    <v>USD</v>
    <v>PDD Holdings Inc. is a multinational commerce company that owns and operates a portfolio of businesses. The Company is focused on bringing businesses and people into the digital economy, which benefits local communities and small businesses from improved productivity and new opportunities. The Company has built a network of sourcing, logistics, and fulfillment capabilities that support its underlying businesses. Its Pinduoduo platform provides buyers with a comprehensive selection of value-for-money merchandise and fun and interactive shopping experiences. The Temu, a global e-commerce platform which brings together buyers, merchants, manufacturers, and brands from around the world, offers a selection of merchandise in product categories such as apparel, electronic appliances, household goods, sports and fitness, tools and home improvement, and pet supplies.</v>
    <v>23465</v>
    <v>Nasdaq Stock Market</v>
    <v>XNAS</v>
    <v>XNAS</v>
    <v>First Floor, 25 St Stephen's Green, DUBLIN, DUBLIN, D02 XF99 IE</v>
    <v>107.65</v>
    <v>Software &amp; IT Services</v>
    <v>Stock</v>
    <v>46106.612740937497</v>
    <v>497</v>
    <v>98.9</v>
    <v>150794798120</v>
    <v>PDD Holdings Inc.</v>
    <v>PDD Holdings Inc.</v>
    <v>100.88</v>
    <v>10.9695</v>
    <v>98.09</v>
    <v>106.22</v>
    <v>1419646000</v>
    <v>PDD</v>
    <v>PDD Holdings Inc. (XNAS:PDD)</v>
    <v>10449381</v>
    <v>6748874</v>
    <v>2015</v>
  </rv>
  <rv s="2">
    <v>498</v>
  </rv>
  <rv s="0">
    <v>https://www.bing.com/financeapi/forcetrigger?t=a1qlnm&amp;q=XNYS%3aCVS&amp;form=skydnc</v>
    <v>Learn more on Bing</v>
  </rv>
  <rv s="1">
    <v>0</v>
    <v>CVS HEALTH CORPORATION (XNYS:CVS)</v>
    <v>2</v>
    <v>3</v>
    <v>Finance</v>
    <v>4</v>
    <v>en-US</v>
    <v>a1qlnm</v>
    <v>268435456</v>
    <v>1</v>
    <v>Powered by Refinitiv</v>
    <v>85.15</v>
    <v>58.35</v>
    <v>0.49730000000000002</v>
    <v>-0.745</v>
    <v>-1.0234E-2</v>
    <v>USD</v>
    <v>CVS Health Corporation is a health solutions company. The Company's segments include Health Care Benefits, Health Services, Pharmacy &amp; Consumer Wellness and Corporate/Other. The Health Care Benefits segment offers a broad range of traditional, voluntary and consumer-directed health insurance products and related services, including medical, pharmacy, dental and behavioral health plans, PDPs and Medicaid health care management services. The Health Services segment provides a full range of pharmacy benefit management (PBM) solutions through its CVS Caremark operations and delivers health care services in its medical clinics, virtually, and in the home. The Pharmacy &amp; Consumer Wellness segment dispenses prescriptions in its CVS Pharmacy retail locations and, through its infusion operations, provides ancillary pharmacy services including pharmacy patient care programs, and vaccination administration, and sells a wide assortment of health and wellness products and general merchandise.</v>
    <v>300000</v>
    <v>New York Stock Exchange</v>
    <v>XNYS</v>
    <v>XNYS</v>
    <v>One Cvs Dr., WOONSOCKET, RI, 02895 US</v>
    <v>73.3</v>
    <v>Healthcare Providers &amp; Services</v>
    <v>Stock</v>
    <v>46106.612697881254</v>
    <v>500</v>
    <v>71.760000000000005</v>
    <v>91669163605</v>
    <v>CVS HEALTH CORPORATION</v>
    <v>CVS HEALTH CORPORATION</v>
    <v>72.73</v>
    <v>52.691000000000003</v>
    <v>72.8</v>
    <v>72.055000000000007</v>
    <v>1272211000</v>
    <v>CVS</v>
    <v>CVS HEALTH CORPORATION (XNYS:CVS)</v>
    <v>802513</v>
    <v>8190305</v>
    <v>1996</v>
  </rv>
  <rv s="2">
    <v>501</v>
  </rv>
  <rv s="0">
    <v>https://www.bing.com/financeapi/forcetrigger?t=a24tlh&amp;q=XNYS%3aUEC&amp;form=skydnc</v>
    <v>Learn more on Bing</v>
  </rv>
  <rv s="1">
    <v>0</v>
    <v>URANIUM ENERGY CORP. (XNYS:UEC)</v>
    <v>2</v>
    <v>3</v>
    <v>Finance</v>
    <v>4</v>
    <v>en-US</v>
    <v>a24tlh</v>
    <v>268435456</v>
    <v>1</v>
    <v>Powered by Refinitiv</v>
    <v>20.34</v>
    <v>3.85</v>
    <v>1.2002999999999999</v>
    <v>0.52</v>
    <v>3.9424000000000001E-2</v>
    <v>USD</v>
    <v>Uranium Energy Corp is a supplier of uranium to produce nuclear energy. The Company is advancing the In-Situ Recovery (ISR) mining uranium projects in the United States and high-grade conventional projects in Canada. It has three ISR hub-and-spoke platforms in South Texas and Wyoming. These production platforms are anchored by licensed central processing plants that intend to be served by a pipeline of satellite ISR projects, including seven that already have their permits in place. Additionally, the Company has diversified uranium holdings, including uranium portfolios of U.S. warehoused U3O8; an equity stake in Uranium Royalty Corp., and a Western Hemisphere pipeline of resource stage uranium projects. Its uranium projects include Palangana Mine and Christensen Ranch Mine, and its Red Desert, Green Mountain, Roughrider and Christie Lake Projects. Palangana Mine is a 6,969-acre property located in Duval County, Texas, approximately 100 miles south of its Hobson Processing Facility.</v>
    <v>171</v>
    <v>New York Stock Exchange</v>
    <v>XNYS</v>
    <v>XNYS</v>
    <v>500 North Shoreline, Ste. 800,, CORPUS CHRISTI, TX US</v>
    <v>13.879799999999999</v>
    <v>Uranium</v>
    <v>Stock</v>
    <v>46106.612694617972</v>
    <v>503</v>
    <v>13.6</v>
    <v>6720927168</v>
    <v>URANIUM ENERGY CORP.</v>
    <v>URANIUM ENERGY CORP.</v>
    <v>13.75</v>
    <v>0</v>
    <v>13.19</v>
    <v>13.71</v>
    <v>490220800</v>
    <v>UEC</v>
    <v>URANIUM ENERGY CORP. (XNYS:UEC)</v>
    <v>2132065</v>
    <v>10282987</v>
    <v>2003</v>
  </rv>
  <rv s="2">
    <v>504</v>
  </rv>
  <rv s="0">
    <v>https://www.bing.com/financeapi/forcetrigger?t=a1ohm7&amp;q=XNAS%3aBIDU&amp;form=skydnc</v>
    <v>Learn more on Bing</v>
  </rv>
  <rv s="1">
    <v>0</v>
    <v>BAIDU, INC. (XNAS:BIDU)</v>
    <v>2</v>
    <v>3</v>
    <v>Finance</v>
    <v>4</v>
    <v>en-US</v>
    <v>a1ohm7</v>
    <v>268435456</v>
    <v>1</v>
    <v>Powered by Refinitiv</v>
    <v>165.3</v>
    <v>74.709999999999994</v>
    <v>0.42470000000000002</v>
    <v>3.13</v>
    <v>2.7814999999999999E-2</v>
    <v>USD</v>
    <v>Baidu Inc is a Chinese language Internet search provider. The Company operates its businesses through two segments, Baidu Core segment and iQIYI segment. Baidu Core segment mainly provides search-based, feed-based, and other online marketing services, as well as products and services from the Company’s new artificial intelligence (AI) initiatives, such as display advertisement and based on performance criteria other than cost-per-click, cloud services, smart devices and services, non-marketing consumer-facing services such as membership, and intelligent driving. iQIYI segment produces, aggregates and distributes a wide variety of professionally produced content, as well as a broad spectrum of other video content, in a variety of formats, including a variety of products and services encompassing online video, online games, online literature, comics and others.</v>
    <v>33500</v>
    <v>Nasdaq Stock Market</v>
    <v>XNAS</v>
    <v>XNAS</v>
    <v>Baidu Campus, No. 10 Shangdi 10th Street, Haidian District, BEIJING, BEIJING, 100085 CN</v>
    <v>115.92</v>
    <v>Software &amp; IT Services</v>
    <v>Stock</v>
    <v>46106.612750392967</v>
    <v>506</v>
    <v>114.11</v>
    <v>39760542294</v>
    <v>BAIDU, INC.</v>
    <v>BAIDU, INC.</v>
    <v>114.53</v>
    <v>51.0077</v>
    <v>112.53</v>
    <v>115.66</v>
    <v>343770900</v>
    <v>BIDU</v>
    <v>BAIDU, INC. (XNAS:BIDU)</v>
    <v>537745</v>
    <v>2290890</v>
    <v>2000</v>
  </rv>
  <rv s="2">
    <v>507</v>
  </rv>
  <rv s="0">
    <v>https://www.bing.com/financeapi/forcetrigger?t=a1qb7w&amp;q=XNYS%3aWOLF&amp;form=skydnc</v>
    <v>Learn more on Bing</v>
  </rv>
  <rv s="16">
    <v>29</v>
    <v>Wolfspeed, Inc. (XNYS:WOLF)</v>
    <v>2</v>
    <v>30</v>
    <v>Finance</v>
    <v>31</v>
    <v>en-US</v>
    <v>a1qb7w</v>
    <v>268435456</v>
    <v>1</v>
    <v>1</v>
    <v>Powered by Refinitiv</v>
    <v>36.6</v>
    <v>8.0500000000000007</v>
    <v>5.4096000000000002</v>
    <v>0</v>
    <v>0</v>
    <v>0.3</v>
    <v>9.6460000000000001E-3</v>
    <v>USD</v>
    <v>Wolfspeed, Inc. is an innovator of wide bandgap semiconductors, focused on silicon carbide materials and devices for power applications. The Company's product families include power devices and silicon carbide and gallium nitride (GaN) materials. Its products are targeted for various applications such as electric vehicles, fast charging and renewable energy and storage. Its silicon carbide materials products consist of silicon carbide bare wafers, epitaxial wafers, and GaN epitaxial layers on silicon carbide wafers. Its silicon carbide materials are targeted for customers who use them to manufacture products for radio frequency, power and other applications. Its power device products consist of silicon carbide Schottky diodes, metal oxide semiconductor field effect transistors (MOSFETs) and power modules. The Company's featured products include SpeedVal Kit Modular Evaluation Platform, TOLL Silicon Carbide MOSFETs, and Wolfspeed WolfPACK Silicon Carbide Power Modules Family.</v>
    <v>3434</v>
    <v>New York Stock Exchange</v>
    <v>XNYS</v>
    <v>XNYS</v>
    <v>4600 Silicon Dr, DURHAM, NC, 27703 US</v>
    <v>36.4</v>
    <v>Semiconductors &amp; Semiconductor Equipment</v>
    <v>Stock</v>
    <v>45940.999896527341</v>
    <v>509</v>
    <v>31.02</v>
    <v>629736800</v>
    <v>Wolfspeed, Inc.</v>
    <v>Wolfspeed, Inc.</v>
    <v>34.21</v>
    <v>35.42</v>
    <v>31.1</v>
    <v>31.4</v>
    <v>25840660</v>
    <v>WOLF</v>
    <v>Wolfspeed, Inc. (XNYS:WOLF)</v>
    <v>5024745</v>
    <v>47759892</v>
    <v>1987</v>
  </rv>
  <rv s="2">
    <v>510</v>
  </rv>
  <rv s="0">
    <v>https://www.bing.com/financeapi/forcetrigger?t=bvlqa2&amp;q=XNYS%3aSNOW&amp;form=skydnc</v>
    <v>Learn more on Bing</v>
  </rv>
  <rv s="1">
    <v>0</v>
    <v>SNOWFLAKE INC. (XNYS:SNOW)</v>
    <v>2</v>
    <v>3</v>
    <v>Finance</v>
    <v>4</v>
    <v>en-US</v>
    <v>bvlqa2</v>
    <v>268435456</v>
    <v>1</v>
    <v>Powered by Refinitiv</v>
    <v>280.67</v>
    <v>120.1</v>
    <v>1.1994</v>
    <v>-0.52</v>
    <v>-3.2229999999999997E-3</v>
    <v>USD</v>
    <v>Snowflake Inc. is a data cloud and artificial intelligence company. Its platform is the technology that powers the AI Data Cloud, enabling customers to consolidate data into a single source of truth to drive meaningful insights, apply artificial intelligence (AI) to solve business problems, build data applications, and share data and data products. It provides its platform through a customer-centric, and consumption-based business model. Its cloud-native architecture consists of three independently scalable but logically integrated layers across compute, storage, and cloud services. The compute layer provides dedicated resources to enable users to simultaneously access common data sets for many use cases with minimal latency. The storage layer ingests massive amounts and varieties of structured, semi-structured, and unstructured data to create a unified data record. Its ClearQuery platform allows users to rapidly search, explore, and analyze their data using natural language queries.</v>
    <v>9060</v>
    <v>New York Stock Exchange</v>
    <v>XNYS</v>
    <v>XNYS</v>
    <v>106 East Babcock Street, Suite 3A, BOZEMAN, MT, 59715 US</v>
    <v>165.43</v>
    <v>Software &amp; IT Services</v>
    <v>Stock</v>
    <v>46106.612760659373</v>
    <v>512</v>
    <v>160.55500000000001</v>
    <v>55595474000</v>
    <v>SNOWFLAKE INC.</v>
    <v>SNOWFLAKE INC.</v>
    <v>164.96</v>
    <v>0</v>
    <v>161.34</v>
    <v>160.82</v>
    <v>345700000</v>
    <v>SNOW</v>
    <v>SNOWFLAKE INC. (XNYS:SNOW)</v>
    <v>860152</v>
    <v>6146813</v>
    <v>2012</v>
  </rv>
  <rv s="2">
    <v>513</v>
  </rv>
  <rv s="0">
    <v>https://www.bing.com/financeapi/forcetrigger?t=c1z3im&amp;q=XNYS%3aVAL&amp;form=skydnc</v>
    <v>Learn more on Bing</v>
  </rv>
  <rv s="1">
    <v>0</v>
    <v>Valaris Limited (XNYS:VAL)</v>
    <v>2</v>
    <v>3</v>
    <v>Finance</v>
    <v>4</v>
    <v>en-US</v>
    <v>c1z3im</v>
    <v>268435456</v>
    <v>1</v>
    <v>Powered by Refinitiv</v>
    <v>102.19499999999999</v>
    <v>27.15</v>
    <v>1.0488999999999999</v>
    <v>2.0499999999999998</v>
    <v>2.0926999999999998E-2</v>
    <v>USD</v>
    <v>Valaris Limited is an offshore contract drilling company, which is engaged in providing offshore contract drilling services to the international oil and gas industry with operations on the offshore market on approximately six continents. The Company operates a rig fleet of ultra-deepwater drill ships, semisubmersibles, and shallow water jackups. The Company operates through four segments: Floaters, which includes its drill ships and semisubmersible rigs; Jackups; ARO, and Other, which consists of management services on rigs owned by third parties and the activities associated with its arrangements with ARO. Its customers include many of the offshore exploration and production companies, including integrated energy companies, national oil companies, and independent operators. The Company owns approximately 52 rigs, including 13 drill ships, four dynamically positioned semisubmersible rigs, one moored semisubmersible rig, and 34 jackup rigs.</v>
    <v>5070</v>
    <v>New York Stock Exchange</v>
    <v>XNYS</v>
    <v>XNYS</v>
    <v>Clarendon House, 2 Church Street, HAMILTON, HM 11 BM</v>
    <v>100.75</v>
    <v>Oil &amp; Gas Related Equipment and Services</v>
    <v>Stock</v>
    <v>46106.612651550779</v>
    <v>515</v>
    <v>97.31</v>
    <v>6923785309</v>
    <v>Valaris Limited</v>
    <v>Valaris Limited</v>
    <v>97.74</v>
    <v>7.1463999999999999</v>
    <v>97.96</v>
    <v>100.01</v>
    <v>69230930</v>
    <v>VAL</v>
    <v>Valaris Limited (XNYS:VAL)</v>
    <v>297237</v>
    <v>1316863</v>
    <v>2021</v>
  </rv>
  <rv s="2">
    <v>516</v>
  </rv>
  <rv s="0">
    <v>https://www.bing.com/financeapi/forcetrigger?t=c3orqh&amp;q=XNAS%3aGFS&amp;form=skydnc</v>
    <v>Learn more on Bing</v>
  </rv>
  <rv s="1">
    <v>0</v>
    <v>GLOBALFOUNDRIES INC. (XNAS:GFS)</v>
    <v>2</v>
    <v>3</v>
    <v>Finance</v>
    <v>4</v>
    <v>en-US</v>
    <v>c3orqh</v>
    <v>268435456</v>
    <v>1</v>
    <v>Powered by Refinitiv</v>
    <v>50.98</v>
    <v>29.77</v>
    <v>1.4464999999999999</v>
    <v>1.08</v>
    <v>2.3438000000000001E-2</v>
    <v>USD</v>
    <v>GlobalFoundries Inc. is a semiconductor manufacturer. The Company offers a range of mainstream wafer fabrication services and technologies. It manufactures a range of semiconductor devices, including microprocessors, mobile application processors, baseband processors, network processors, radio frequency modems, microcontrollers, and power management units. Its specialized foundry manufacturing processes include a library consisting of qualified circuit-building block designs (known as IP titles or IP blocks), and advanced transistor and device technology. The Company's differentiated technology platforms include radio frequency (RF) silicon-on-insulator (SOI), Fin Field-Effect Transistor (FinFET), FDX, Complementary Metal-Oxide Semiconductor (CMOS), Silicon Germanium (SiGe), Gallium Nitride (GaN), Bipolar-CMOS-DMOS (BCD), and Silicon Photonics (SiPh).</v>
    <v>14000</v>
    <v>Nasdaq Stock Market</v>
    <v>XNAS</v>
    <v>XNAS</v>
    <v>400 STONEBREAK ROAD EXTENSION, MALTA, NY, 12020 US</v>
    <v>47.37</v>
    <v>Semiconductors &amp; Semiconductor Equipment</v>
    <v>Stock</v>
    <v>46106.612700555466</v>
    <v>518</v>
    <v>46.46</v>
    <v>25894254384</v>
    <v>GLOBALFOUNDRIES INC.</v>
    <v>GLOBALFOUNDRIES INC.</v>
    <v>46.72</v>
    <v>29.720199999999998</v>
    <v>46.08</v>
    <v>47.16</v>
    <v>549072400</v>
    <v>GFS</v>
    <v>GLOBALFOUNDRIES INC. (XNAS:GFS)</v>
    <v>586145</v>
    <v>4136003</v>
    <v>2008</v>
  </rv>
  <rv s="2">
    <v>519</v>
  </rv>
  <rv s="0">
    <v>https://www.bing.com/financeapi/forcetrigger?t=azal7w&amp;q=XNAS%3aHUT&amp;form=skydnc</v>
    <v>Learn more on Bing</v>
  </rv>
  <rv s="1">
    <v>0</v>
    <v>HUT 8 CORP. (XNAS:HUT)</v>
    <v>2</v>
    <v>3</v>
    <v>Finance</v>
    <v>4</v>
    <v>en-US</v>
    <v>azal7w</v>
    <v>268435456</v>
    <v>1</v>
    <v>Powered by Refinitiv</v>
    <v>66.069999999999993</v>
    <v>10.039999999999999</v>
    <v>4.1580000000000004</v>
    <v>2.625</v>
    <v>4.9296E-2</v>
    <v>USD</v>
    <v>Hut 8 Corp. is an energy infrastructure platform. The Company's segments include Power, Digital Infrastructure, Compute, and Other. The Company's Power segment acquires, develops, and manages critical energy assets such as interconnects, powered land, and other electrical infrastructure to address the load demands of energy-intensive applications such as Bitcoin mining and high-performance computing. Its Power segment consists of power generation and managed services. Its Digital Infrastructure segment consists of CPU Colocation and ASIC Colocation services. The Company's Compute segment consists of Bitcoin Mining, GPU-as-a-Service, and Data Center Cloud operations. The Company, through its subsidiary, American Bitcoin Corp., is focused exclusively on industrial-scale Bitcoin mining and strategic Bitcoin reserve development. The Company's platform spans approximately 1,020 megawatts of energy capacity under management across 15 sites in the United States and Canada.</v>
    <v>248</v>
    <v>Nasdaq Stock Market</v>
    <v>XNAS</v>
    <v>XNAS</v>
    <v>1101 Brickell Avenue, Suite 1500, MIAMI, FL, 33131 US</v>
    <v>56.569899999999997</v>
    <v>Financial Technology (Fintech) &amp; Infrastructure</v>
    <v>Stock</v>
    <v>46106.612730867972</v>
    <v>521</v>
    <v>54.81</v>
    <v>6272611312</v>
    <v>HUT 8 CORP.</v>
    <v>HUT 8 CORP.</v>
    <v>55.05</v>
    <v>0</v>
    <v>53.25</v>
    <v>55.875</v>
    <v>112261500</v>
    <v>HUT</v>
    <v>HUT 8 CORP. (XNAS:HUT)</v>
    <v>866634</v>
    <v>4340705</v>
    <v>2023</v>
  </rv>
  <rv s="2">
    <v>522</v>
  </rv>
  <rv s="0">
    <v>https://www.bing.com/financeapi/forcetrigger?t=a1msoc&amp;q=XNAS%3aACHC&amp;form=skydnc</v>
    <v>Learn more on Bing</v>
  </rv>
  <rv s="1">
    <v>0</v>
    <v>ACADIA HEALTHCARE COMPANY, INC. (XNAS:ACHC)</v>
    <v>2</v>
    <v>3</v>
    <v>Finance</v>
    <v>4</v>
    <v>en-US</v>
    <v>a1msoc</v>
    <v>268435456</v>
    <v>1</v>
    <v>Powered by Refinitiv</v>
    <v>31.04</v>
    <v>11.43</v>
    <v>0.72789999999999999</v>
    <v>1.0900000000000001</v>
    <v>4.8038999999999998E-2</v>
    <v>USD</v>
    <v>Acadia Healthcare Company, Inc. is a provider of behavioral healthcare services across the United States. It provides behavioral healthcare services to its patients in a variety of settings, including inpatient psychiatric hospitals, specialty treatment facilities, residential treatment centers and outpatient clinics. Its acute inpatient psychiatric facilities provide a high level of care in order to stabilize patients that are either a threat to themselves or to others. Its specialty treatment facilities include residential recovery facilities and eating disorder facilities. Its comprehensive treatment centers specialize in providing medication-assisted treatment in an outpatient setting. Its residential treatment centers treat patients with behavioral disorders in a non-hospital setting. The facilities balance therapy activities with social, academic and other activities. It operates a network of 262 behavioral healthcare facilities with over 11,850 beds in 39 states and Puerto Rico.</v>
    <v>19000</v>
    <v>Nasdaq Stock Market</v>
    <v>XNAS</v>
    <v>XNAS</v>
    <v>6100 Tower Circle, Suite 1000, FRANKLIN, TN, 37067 US</v>
    <v>23.81</v>
    <v>Healthcare Providers &amp; Services</v>
    <v>Stock</v>
    <v>46106.6127003125</v>
    <v>524</v>
    <v>22.59</v>
    <v>2192796128</v>
    <v>ACADIA HEALTHCARE COMPANY, INC.</v>
    <v>ACADIA HEALTHCARE COMPANY, INC.</v>
    <v>22.69</v>
    <v>0</v>
    <v>22.69</v>
    <v>23.78</v>
    <v>92211780</v>
    <v>ACHC</v>
    <v>ACADIA HEALTHCARE COMPANY, INC. (XNAS:ACHC)</v>
    <v>219993</v>
    <v>3706536</v>
    <v>2005</v>
  </rv>
  <rv s="2">
    <v>525</v>
  </rv>
  <rv s="0">
    <v>https://www.bing.com/financeapi/forcetrigger?t=a1xadm&amp;q=XNAS%3aMARA&amp;form=skydnc</v>
    <v>Learn more on Bing</v>
  </rv>
  <rv s="1">
    <v>0</v>
    <v>MARA HOLDINGS, INC. (XNAS:MARA)</v>
    <v>2</v>
    <v>3</v>
    <v>Finance</v>
    <v>4</v>
    <v>en-US</v>
    <v>a1xadm</v>
    <v>268435456</v>
    <v>1</v>
    <v>Powered by Refinitiv</v>
    <v>23.45</v>
    <v>6.66</v>
    <v>5.3174000000000001</v>
    <v>0.1797</v>
    <v>2.1781999999999999E-2</v>
    <v>USD</v>
    <v>MARA Holdings, Inc. is engaged in digital asset compute that develops and deploys technologies. The Company secures the blockchain ledger and supports energy transformation by converting clean, stranded, or otherwise underutilized energy into economic value. It also offers advanced technology solutions to optimize data center operations, including liquid immersion cooling and firmware for bitcoin miners. It is primarily focused on computing for, acquiring, and holding digital assets as a long-term investment. Its core business is bitcoin mining, and it produces, or mines, bitcoin using energy-efficient fleets of specialized computers while providing dispatchable compute as an optionality to the electric grid operators to balance electric demands on the grid. It is also engaged in the sale of data center infrastructure, such as immersion-cooled systems, to third parties operating in the bitcoin ecosystem and the artificial intelligence (AI) and high-performance compute (HPC) sectors.</v>
    <v>266</v>
    <v>Nasdaq Stock Market</v>
    <v>XNAS</v>
    <v>XNAS</v>
    <v>1010 South Federal Highway, Suite 2700, HALLANDALE BEACH, FL, 33009 US</v>
    <v>8.73</v>
    <v>Financial Technology (Fintech) &amp; Infrastructure</v>
    <v>Stock</v>
    <v>46106.612716238284</v>
    <v>527</v>
    <v>8.36</v>
    <v>3205263607</v>
    <v>MARA HOLDINGS, INC.</v>
    <v>MARA HOLDINGS, INC.</v>
    <v>8.58</v>
    <v>4.4847999999999999</v>
    <v>8.25</v>
    <v>8.4297000000000004</v>
    <v>380234600</v>
    <v>MARA</v>
    <v>MARA HOLDINGS, INC. (XNAS:MARA)</v>
    <v>11008290</v>
    <v>47839034</v>
    <v>2010</v>
  </rv>
  <rv s="2">
    <v>528</v>
  </rv>
  <rv s="0">
    <v>https://www.bing.com/financeapi/forcetrigger?t=a1s9ur&amp;q=XNYS%3aET&amp;form=skydnc</v>
    <v>Learn more on Bing</v>
  </rv>
  <rv s="17">
    <v>32</v>
    <v>ENERGY TRANSFER UNT (XNYS:ET)</v>
    <v>23</v>
    <v>33</v>
    <v>Finance</v>
    <v>25</v>
    <v>en-US</v>
    <v>a1s9ur</v>
    <v>268435456</v>
    <v>1</v>
    <v>Powered by Refinitiv</v>
    <v>19.47</v>
    <v>14.6</v>
    <v>2.5000000000000001E-2</v>
    <v>1.3009999999999999E-3</v>
    <v>USD</v>
    <v>New York Stock Exchange</v>
    <v>XNYS</v>
    <v>19.309899999999999</v>
    <v>ETF</v>
    <v>46106.612789258594</v>
    <v>530</v>
    <v>19.059999999999999</v>
    <v>ENERGY TRANSFER UNT</v>
    <v>19.16</v>
    <v>19.21</v>
    <v>19.234999999999999</v>
    <v>ET</v>
    <v>ENERGY TRANSFER UNT (XNYS:ET)</v>
    <v>2765928</v>
    <v>14885344</v>
  </rv>
  <rv s="2">
    <v>531</v>
  </rv>
  <rv s="0">
    <v>https://www.bing.com/financeapi/forcetrigger?t=bxi87w&amp;q=XNYS%3aVLD&amp;form=skydnc</v>
    <v>Learn more on Bing</v>
  </rv>
  <rv s="1">
    <v>0</v>
    <v>VELO3D, INC. (XNAS:VELO)</v>
    <v>2</v>
    <v>3</v>
    <v>Finance</v>
    <v>4</v>
    <v>en-US</v>
    <v>bxi87w</v>
    <v>268435456</v>
    <v>1</v>
    <v>Powered by Refinitiv</v>
    <v>23.84</v>
    <v>1.425</v>
    <v>1.8136000000000001</v>
    <v>-3.58</v>
    <v>-0.264793</v>
    <v>USD</v>
    <v>Velo3D, Inc. is a metal three-dimensional (3D) printing technology company. The Company produces a fully integrated hardware and software solution based on its laser powder bed fusion (L-PBF) technology. Its technology enables the production of complex, mission-critical parts that existing additive manufacturing (AM) solutions cannot produce without the need for redesign or additional assembly. Its end-to-end solution includes the flow print preparation software, the Sapphire family of printers, and the Assure quality control system, all of which are powered by its Intelligent Fusion manufacturing process. Its Sapphire family of systems (3D Printers) give its customers who are in space, aviation, defense, automotive, energy, and industrial markets the freedom to design and produce metal parts with complex internal features. Its customers are primarily original equipment manufacturers and contract manufacturers who look to AM to solve issues with metal parts manufacturing technologies.</v>
    <v>105</v>
    <v>Nasdaq Stock Market</v>
    <v>XNAS</v>
    <v>XNAS</v>
    <v>2710 Lakeview Ct, FREMONT, CA, 94538 US</v>
    <v>11.9239</v>
    <v>Electronic Equipment &amp; Parts</v>
    <v>Stock</v>
    <v>46106.612789779691</v>
    <v>533</v>
    <v>9.8000000000000007</v>
    <v>244699242</v>
    <v>VELO3D, INC.</v>
    <v>VELO3D, INC.</v>
    <v>11.67</v>
    <v>0</v>
    <v>13.52</v>
    <v>9.94</v>
    <v>24617630</v>
    <v>VELO</v>
    <v>VELO3D, INC. (XNAS:VELO)</v>
    <v>3911167</v>
    <v>1929632</v>
    <v>2021</v>
  </rv>
  <rv s="2">
    <v>534</v>
  </rv>
  <rv s="3">
    <v>5</v>
    <v>TIC SOLUTIONS, INC. (XNYS:TIC)</v>
    <v>6</v>
    <v>3</v>
    <v>Finance</v>
    <v>4</v>
    <v>en-US</v>
    <v>cb6rm7</v>
    <v>268435456</v>
    <v>1</v>
    <v>Powered by Refinitiv</v>
    <v>14.9442</v>
    <v>6.73</v>
    <v>0.91200000000000003</v>
    <v>0.13500000000000001</v>
    <v>1.8467999999999998E-2</v>
    <v>USD</v>
    <v>TIC Solutions, Inc. is a provider of tech-enabled testing, inspection, certification, and compliance (TICC) engineering and geospatial services. Its segments include Inspection and Mitigation, Geospatial and Consulting Engineering. Its Inspection and Mitigation services include inspection and nondestructive testing (NDT) and Rope Access Technician (RAT) solutions. NDT involves the inspection and evaluation of industrial equipment. RAT solutions include industrial trades, such as insulation, coatings and blasting, welding, pipe fitting, hoisting and rigging, and electrical work. Its Consulting Engineering services include engineering design, conformity assessment, infrastructure engineering, building and technology design, environmental consulting, and materials engineering and testing. Its Geospatial services provide data collection, data analytics, and software solutions that support asset management and infrastructure planning. It provides mission-critical services to buildings.</v>
    <v>11084</v>
    <v>New York Stock Exchange</v>
    <v>XNYS</v>
    <v>XNYS</v>
    <v>200 South Park Road, Suite 350, HOLLYWOOD, FL, 33021 US</v>
    <v>7.65</v>
    <v>Professional &amp; Commercial Services</v>
    <v>Stock</v>
    <v>46106.612727279688</v>
    <v>7.32</v>
    <v>1646487063</v>
    <v>TIC SOLUTIONS, INC.</v>
    <v>TIC SOLUTIONS, INC.</v>
    <v>7.52</v>
    <v>0</v>
    <v>7.31</v>
    <v>7.4450000000000003</v>
    <v>221153400</v>
    <v>TIC</v>
    <v>TIC SOLUTIONS, INC. (XNYS:TIC)</v>
    <v>536065</v>
    <v>3274792</v>
    <v>2024</v>
  </rv>
  <rv s="2">
    <v>536</v>
  </rv>
  <rv s="0">
    <v>https://www.bing.com/financeapi/forcetrigger?t=a21fc7&amp;q=XNYS%3aPUMP&amp;form=skydnc</v>
    <v>Learn more on Bing</v>
  </rv>
  <rv s="1">
    <v>0</v>
    <v>PROPETRO HOLDING CORP. (XNYS:PUMP)</v>
    <v>2</v>
    <v>3</v>
    <v>Finance</v>
    <v>4</v>
    <v>en-US</v>
    <v>a21fc7</v>
    <v>268435456</v>
    <v>1</v>
    <v>Powered by Refinitiv</v>
    <v>15.18</v>
    <v>4.51</v>
    <v>0.622</v>
    <v>-0.3</v>
    <v>-2.0202000000000001E-2</v>
    <v>USD</v>
    <v>ProPetro Holding Corp is an integrated energy service company, which is focused on providing hydraulic fracturing, wireline, and other complementary energy and power generation services to upstream oil and gas companies engaged in the exploration and production (E&amp;P) of North American oil and natural gas resources. Its segments include hydraulic fracturing (inclusive of acidizing and wet sand solutions), wireline, cementing and power generation services. Its hydraulic fracturing fleets range from approximately 50,000 to 80,000 HHP depending on the job design and customer demand at the wellsite. It owns and operates a fleet of mobile wireline units and other auxiliary equipment to perform well completion services. It provides cementing services for the completion of new wells and remedial work on existing wells. It has formed PROPWR to provide power generation services to oil and gas producers and for non-oil and gas applications such as general industrial projects and data centers.</v>
    <v>1700</v>
    <v>New York Stock Exchange</v>
    <v>XNYS</v>
    <v>XNYS</v>
    <v>303 W. Wall St, Suite 102, MIDLAND, TX, 79701 US</v>
    <v>14.83</v>
    <v>Oil &amp; Gas Related Equipment and Services</v>
    <v>Stock</v>
    <v>46106.61272680547</v>
    <v>538</v>
    <v>14.210900000000001</v>
    <v>1775449200</v>
    <v>PROPETRO HOLDING CORP.</v>
    <v>PROPETRO HOLDING CORP.</v>
    <v>14.39</v>
    <v>2171.6417999999999</v>
    <v>14.85</v>
    <v>14.55</v>
    <v>122024000</v>
    <v>PUMP</v>
    <v>PROPETRO HOLDING CORP. (XNYS:PUMP)</v>
    <v>313765</v>
    <v>3266791</v>
    <v>2017</v>
  </rv>
  <rv s="2">
    <v>539</v>
  </rv>
  <rv s="0">
    <v>https://www.bing.com/financeapi/forcetrigger?t=a2fyec&amp;q=XNAS%3aESOA&amp;form=skydnc</v>
    <v>Learn more on Bing</v>
  </rv>
  <rv s="1">
    <v>0</v>
    <v>ENERGY SERVICES OF AMERICA CORPORATION (XNAS:ESOA)</v>
    <v>2</v>
    <v>3</v>
    <v>Finance</v>
    <v>4</v>
    <v>en-US</v>
    <v>a2fyec</v>
    <v>268435456</v>
    <v>1</v>
    <v>Powered by Refinitiv</v>
    <v>15.8399</v>
    <v>7.64</v>
    <v>1.3280000000000001</v>
    <v>-0.255</v>
    <v>-1.7597999999999999E-2</v>
    <v>USD</v>
    <v>Energy Services of America Corporation is a contractor and service company. The Company operates primarily in the mid-Atlantic and central regions of the United States and provides services to customers in the natural gas, petroleum, water distribution, automotive, chemical, and power industries. For the gas industry, the Company is primarily engaged in the construction, replacement and repair of natural gas pipelines and storage facilities for utility companies and private natural gas companies. For the oil industry, the Company provides a variety of services relating to pipeline, storage facilities and plant work. For the power, chemical, and automotive industries, it provides a full range of electrical and mechanical installations and repairs. Its other pipeline services include corrosion protection services, horizontal drilling services, and others. It has also added the ability to install broadband and solar electric systems and perform civil and general contracting services.</v>
    <v>1418</v>
    <v>Nasdaq Stock Market</v>
    <v>XNAS</v>
    <v>XNAS</v>
    <v>75 West 3Rd Ave., HUNTINGTON, WV, 25701 US</v>
    <v>14.6</v>
    <v>Construction &amp; Engineering</v>
    <v>Stock</v>
    <v>46106.612694073439</v>
    <v>541</v>
    <v>14.11</v>
    <v>265553925</v>
    <v>ENERGY SERVICES OF AMERICA CORPORATION</v>
    <v>ENERGY SERVICES OF AMERICA CORPORATION</v>
    <v>14.49</v>
    <v>107.6778</v>
    <v>14.49</v>
    <v>14.234999999999999</v>
    <v>18655000</v>
    <v>ESOA</v>
    <v>ENERGY SERVICES OF AMERICA CORPORATION (XNAS:ESOA)</v>
    <v>16257</v>
    <v>274683</v>
    <v>2006</v>
  </rv>
  <rv s="2">
    <v>542</v>
  </rv>
  <rv s="0">
    <v>https://www.bing.com/financeapi/forcetrigger?t=a1x3r7&amp;q=XNAS%3aLPTH&amp;form=skydnc</v>
    <v>Learn more on Bing</v>
  </rv>
  <rv s="1">
    <v>0</v>
    <v>LIGHTPATH TECHNOLOGIES, INC. (XNAS:LPTH)</v>
    <v>2</v>
    <v>3</v>
    <v>Finance</v>
    <v>4</v>
    <v>en-US</v>
    <v>a1x3r7</v>
    <v>268435456</v>
    <v>1</v>
    <v>Powered by Refinitiv</v>
    <v>15.24</v>
    <v>1.6143000000000001</v>
    <v>0.98839999999999995</v>
    <v>0.78500000000000003</v>
    <v>6.6132999999999997E-2</v>
    <v>USD</v>
    <v>LightPath Technologies, Inc. is a global, vertically integrated provider of optics, photonics and infrared solutions for the industrial, commercial, defense, telecommunications, and medical industries. The Company designs and manufactures optical and infrared components including molded glass aspheric lenses and assemblies, custom molded glass freeform lenses, infrared lenses and thermal imaging assemblies, fused fiber collimators, and BlackDiamond (BD6) chalcogenide-based glass lenses. It also offers custom optical assemblies, including full engineering design support. Its business is organized into four product groups: infrared components, visible components, assemblies and modules, and engineering services. Its infrared product group comprises both molded and turned infrared lenses and assemblies using a variety of infrared glass materials. Its assemblies and modules product group is comprised of other value-added products, including both infrared and visible components.</v>
    <v>345</v>
    <v>Nasdaq Stock Market</v>
    <v>XNAS</v>
    <v>XNAS</v>
    <v>2603 CHALLENGER TECH CT, STE 100, ORLANDO, FL, 32826-2716 US</v>
    <v>12.6846</v>
    <v>Office Equipment</v>
    <v>Stock</v>
    <v>46106.612764108591</v>
    <v>544</v>
    <v>11.83</v>
    <v>730302333</v>
    <v>LIGHTPATH TECHNOLOGIES, INC.</v>
    <v>LIGHTPATH TECHNOLOGIES, INC.</v>
    <v>12.07</v>
    <v>0</v>
    <v>11.87</v>
    <v>12.654999999999999</v>
    <v>57708600</v>
    <v>LPTH</v>
    <v>LIGHTPATH TECHNOLOGIES, INC. (XNAS:LPTH)</v>
    <v>1107540</v>
    <v>2216483</v>
    <v>1992</v>
  </rv>
  <rv s="2">
    <v>545</v>
  </rv>
  <rv s="0">
    <v>https://www.bing.com/financeapi/forcetrigger?t=c6xysm&amp;q=OTCM%3aALMU&amp;form=skydnc</v>
    <v>Learn more on Bing</v>
  </rv>
  <rv s="1">
    <v>0</v>
    <v>Aeluma, Inc. (XNAS:ALMU)</v>
    <v>2</v>
    <v>3</v>
    <v>Finance</v>
    <v>4</v>
    <v>en-US</v>
    <v>c6xysm</v>
    <v>268435456</v>
    <v>1</v>
    <v>Powered by Refinitiv</v>
    <v>25.8828</v>
    <v>5.7900999999999998</v>
    <v>3.8570000000000002</v>
    <v>0.5</v>
    <v>3.8521E-2</v>
    <v>USD</v>
    <v>Aeluma, Inc. is a semiconductor company that focuses on photonic and electronic technologies that are designed for scalability. It is engaged in developing semiconductors for sensing, communication, and computing applications. The Company’s proprietary platform combines compound semiconductors with scalable manufacturing used for mass market microelectronics to enable volume production and large-scale integration. Its technology is used in mobile, artificial intelligence (AI), defense and aerospace, robotics, automotive, augmented reality/virtual reality (AR/VR), industrial automation, machine vision, robotics, defense &amp; aerospace, three-dimensional (3D) imaging, telecommunications, and quantum. The Company operates research and development (R&amp;D) and manufacturing capabilities for semiconductor wafer production, quick-turn chip fabrication, rapid prototyping, test, and validation. It also partners with production-scale fabrication foundries, packaging, and integration companies.</v>
    <v>12</v>
    <v>Nasdaq Stock Market</v>
    <v>XNAS</v>
    <v>XNAS</v>
    <v>27 Castilian Drive, GOLETA, CA, 93117 US</v>
    <v>13.775</v>
    <v>Semiconductors &amp; Semiconductor Equipment</v>
    <v>Stock</v>
    <v>46106.612425728905</v>
    <v>547</v>
    <v>12.92</v>
    <v>242679766</v>
    <v>Aeluma, Inc.</v>
    <v>Aeluma, Inc.</v>
    <v>13.24</v>
    <v>0</v>
    <v>12.98</v>
    <v>13.48</v>
    <v>18002950</v>
    <v>ALMU</v>
    <v>Aeluma, Inc. (XNAS:ALMU)</v>
    <v>106845</v>
    <v>634944</v>
    <v>2020</v>
  </rv>
  <rv s="2">
    <v>548</v>
  </rv>
  <rv s="0">
    <v>https://www.bing.com/financeapi/forcetrigger?t=a24k27&amp;q=XNAS%3aTSEM&amp;form=skydnc</v>
    <v>Learn more on Bing</v>
  </rv>
  <rv s="1">
    <v>0</v>
    <v>TOWER SEMICONDUCTOR LTD (XNAS:TSEM)</v>
    <v>2</v>
    <v>3</v>
    <v>Finance</v>
    <v>4</v>
    <v>en-US</v>
    <v>a24k27</v>
    <v>268435456</v>
    <v>1</v>
    <v>Powered by Refinitiv</v>
    <v>195.14</v>
    <v>28.64</v>
    <v>0.70520000000000005</v>
    <v>12.82</v>
    <v>7.0899000000000004E-2</v>
    <v>USD</v>
    <v>Tower Semiconductor Ltd. operates as an independent semiconductor foundry focused primarily on specialty process technologies. The Company focuses on producing integrated circuits (ICs) based on the design specifications of its customers. The Company manufactures semiconductors for its customers primarily based on third-party designs. It offers process manufacture geometries of 0.35, 0.50, 0.55, 0.60, 0.80-micron and above on 150 millimeter wafers, 0.35, 0.18. 0.16, 0.13 and 0.11-micron on 200 millimeter wafers, and 65 nanometer and 45 nanometer on 300 millimeter wafers. It also provides design support and technical services. The Company's ICs are incorporated into a range of products in markets, including consumer electronics, personal computers, communications, automotive, industrial and medical device products. The Company has manufacturing facilities in the United States, Israel and Japan.</v>
    <v>5359</v>
    <v>Nasdaq Stock Market</v>
    <v>XNAS</v>
    <v>XNAS</v>
    <v>20 Shaul Amor Avenue, Ramat Gavriel Industrial Park, MIGDAL HAEMEQ, 23105 IL</v>
    <v>195.14</v>
    <v>Semiconductors &amp; Semiconductor Equipment</v>
    <v>Stock</v>
    <v>46106.61277254609</v>
    <v>550</v>
    <v>180.82</v>
    <v>21791083760</v>
    <v>TOWER SEMICONDUCTOR LTD</v>
    <v>TOWER SEMICONDUCTOR LTD</v>
    <v>190.27</v>
    <v>99.865899999999996</v>
    <v>180.82</v>
    <v>193.64</v>
    <v>112534000</v>
    <v>TSEM</v>
    <v>TOWER SEMICONDUCTOR LTD (XNAS:TSEM)</v>
    <v>2973081</v>
    <v>2777936</v>
    <v>1993</v>
  </rv>
  <rv s="2">
    <v>551</v>
  </rv>
  <rv s="0">
    <v>https://www.bing.com/financeapi/forcetrigger?t=c1wr27&amp;q=XNYS%3aZETA&amp;form=skydnc</v>
    <v>Learn more on Bing</v>
  </rv>
  <rv s="10">
    <v>18</v>
    <v>Zeta Global Holdings Corp (XNYS:ZETA)</v>
    <v>2</v>
    <v>8</v>
    <v>Finance</v>
    <v>4</v>
    <v>en-US</v>
    <v>c1wr27</v>
    <v>268435456</v>
    <v>1</v>
    <v>Powered by Refinitiv</v>
    <v>24.9</v>
    <v>10.69</v>
    <v>1.2801</v>
    <v>0.53</v>
    <v>3.2816999999999999E-2</v>
    <v>USD</v>
    <v>Zeta Global Holdings Corp. operates an omnichannel data-driven cloud platform, which is engaged in providing enterprises with consumer intelligence and marketing automation software. It enables customers to target, connect and engage consumers through software that delivers personalized marketing across all addressable channels, including email, social media, Web, chat, connected TV (CTV) and video, among others. Its Zeta Marketing Platform (ZMP) is an AI-powered marketing platform with identity data at its core. ZMP analyzes billions of structured and unstructured data signals to predict consumer intent, optimize messaging and drive personalized messaging across all channels. The Company’s Consumer Data Platform (CDP+) integrates LiveIntent’s identity graph, improving identity resolution while maintaining compliance with evolving privacy standards. Its Agile Intelligence suite provides customers with real-time, intent-driven insights.</v>
    <v>3300</v>
    <v>New York Stock Exchange</v>
    <v>XNYS</v>
    <v>XNYS</v>
    <v>3 Park Avenue, 33Rd Floor, NEW YORK, NY, 10016 US</v>
    <v>17.14</v>
    <v>Software &amp; IT Services</v>
    <v>Stock</v>
    <v>46106.612744525002</v>
    <v>553</v>
    <v>16.645</v>
    <v>4071981648</v>
    <v>Zeta Global Holdings Corp</v>
    <v>Zeta Global Holdings Corp</v>
    <v>16.739999999999998</v>
    <v>16.149999999999999</v>
    <v>16.68</v>
    <v>244123600</v>
    <v>ZETA</v>
    <v>Zeta Global Holdings Corp (XNYS:ZETA)</v>
    <v>1441616</v>
    <v>8092302</v>
    <v>2012</v>
  </rv>
  <rv s="2">
    <v>554</v>
  </rv>
  <rv s="0">
    <v>https://www.bing.com/financeapi/forcetrigger?t=bn6lmw&amp;q=XNYS%3aBE&amp;form=skydnc</v>
    <v>Learn more on Bing</v>
  </rv>
  <rv s="10">
    <v>18</v>
    <v>BLOOM ENERGY CORPORATION (XNYS:BE)</v>
    <v>2</v>
    <v>8</v>
    <v>Finance</v>
    <v>4</v>
    <v>en-US</v>
    <v>bn6lmw</v>
    <v>268435456</v>
    <v>1</v>
    <v>Powered by Refinitiv</v>
    <v>180.8999</v>
    <v>15.15</v>
    <v>3.1579000000000002</v>
    <v>2.95</v>
    <v>2.0222000000000004E-2</v>
    <v>USD</v>
    <v>Bloom Energy Corporation is engaged in stationary fuel cell power generation by market share. The Company provides distributed energy technology solutions to customers. The Company manufactures advanced and versatile fuel cell energy platforms, supporting the commercial availability of two products: the Bloom Energy Server for generating electricity and the Bloom Electrolyzer for producing hydrogen. With approximately 1.4 gigawatts (GW) of Energy Server systems deployed in more than 1,000 locations and nine countries. Its solid oxide fuel cell technology platform is the foundation for its Energy Server system and Bloom Electrolyzer. The Bloom Energy Server system is designed to deliver reliable, resilient, clean and affordable energy for utilities and organizations alike. Its Energy Server system is designed to deliver reliable electricity. The Bloom Electrolyzer is designed to provide hydrogen solutions based on the same solid oxide platform as its Energy Server systems.</v>
    <v>2214</v>
    <v>New York Stock Exchange</v>
    <v>XNYS</v>
    <v>XNYS</v>
    <v>4353 N 1st St, SAN JOSE, CA, 95134-1259 US</v>
    <v>153.703</v>
    <v>Machinery, Equipment &amp; Components</v>
    <v>Stock</v>
    <v>46106.612753645313</v>
    <v>556</v>
    <v>145.44</v>
    <v>41753988606</v>
    <v>BLOOM ENERGY CORPORATION</v>
    <v>BLOOM ENERGY CORPORATION</v>
    <v>147.96</v>
    <v>145.88</v>
    <v>148.83000000000001</v>
    <v>280548200</v>
    <v>BE</v>
    <v>BLOOM ENERGY CORPORATION (XNYS:BE)</v>
    <v>2769211</v>
    <v>10507983</v>
    <v>2001</v>
  </rv>
  <rv s="2">
    <v>557</v>
  </rv>
  <rv s="0">
    <v>https://www.bing.com/financeapi/forcetrigger?t=a1yvxm&amp;q=XNYS%3aNVO&amp;form=skydnc</v>
    <v>Learn more on Bing</v>
  </rv>
  <rv s="1">
    <v>0</v>
    <v>Novo Nordisk A/S (XNYS:NVO)</v>
    <v>2</v>
    <v>3</v>
    <v>Finance</v>
    <v>4</v>
    <v>en-US</v>
    <v>a1yvxm</v>
    <v>268435456</v>
    <v>1</v>
    <v>Powered by Refinitiv</v>
    <v>81.44</v>
    <v>35.85</v>
    <v>0.74429999999999996</v>
    <v>0.16</v>
    <v>4.3369999999999997E-3</v>
    <v>USD</v>
    <v>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v>
    <v>68794</v>
    <v>New York Stock Exchange</v>
    <v>XNYS</v>
    <v>XNYS</v>
    <v>Novo Alle 1, BAGSVAERD, DENMARK-NA, 2880 DK</v>
    <v>37.39</v>
    <v>Pharmaceuticals</v>
    <v>Stock</v>
    <v>46106.612778471877</v>
    <v>559</v>
    <v>36.979999999999997</v>
    <v>125604242399</v>
    <v>Novo Nordisk A/S</v>
    <v>Novo Nordisk A/S</v>
    <v>37.11</v>
    <v>10.23</v>
    <v>36.89</v>
    <v>37.049999999999997</v>
    <v>3390128000</v>
    <v>NVO</v>
    <v>Novo Nordisk A/S (XNYS:NVO)</v>
    <v>5046423</v>
    <v>25008000</v>
    <v>1931</v>
  </rv>
  <rv s="2">
    <v>560</v>
  </rv>
  <rv s="0">
    <v>https://www.bing.com/financeapi/forcetrigger?t=azrem7&amp;q=XNAS%3aLASR&amp;form=skydnc</v>
    <v>Learn more on Bing</v>
  </rv>
  <rv s="1">
    <v>0</v>
    <v>NLIGHT, INC. (XNAS:LASR)</v>
    <v>2</v>
    <v>3</v>
    <v>Finance</v>
    <v>4</v>
    <v>en-US</v>
    <v>azrem7</v>
    <v>268435456</v>
    <v>1</v>
    <v>Powered by Refinitiv</v>
    <v>74.099999999999994</v>
    <v>6.2</v>
    <v>2.1541000000000001</v>
    <v>2.2000000000000002</v>
    <v>3.0742999999999999E-2</v>
    <v>USD</v>
    <v>nLIGHT, Inc. is a provider of semiconductor and fiber lasers for aerospace and defense, industrial, and microfabrication applications. The Company operates through two segments: Laser Products, and Advanced Development. The Laser Products segment includes high-power semiconductor lasers and fiber lasers that are typically integrated into laser systems or manufacturing tools built by its customers. This segment also includes fiber amplifiers and beam combination and control systems for use in high-energy laser (HEL) systems in directed energy applications, and laser sensing products used in a range of defense applications. The Advanced Development segment focuses on the research, design, and prototyping of next-generation laser technologies for the defense industry, including the development of custom high-power fiber lasers and advanced beam combining technologies. The Company sells high-power semiconductor lasers with a broad range of power levels, wavelengths, and output fiber sizes.</v>
    <v>800</v>
    <v>Nasdaq Stock Market</v>
    <v>XNAS</v>
    <v>XNAS</v>
    <v>4637 NW 18th Ave, CAMAS, WA, 98607 US</v>
    <v>74.099999999999994</v>
    <v>Semiconductors &amp; Semiconductor Equipment</v>
    <v>Stock</v>
    <v>46106.612760601565</v>
    <v>562</v>
    <v>71.38</v>
    <v>4115167763</v>
    <v>NLIGHT, INC.</v>
    <v>NLIGHT, INC.</v>
    <v>73</v>
    <v>0</v>
    <v>71.56</v>
    <v>73.760000000000005</v>
    <v>55791320</v>
    <v>LASR</v>
    <v>NLIGHT, INC. (XNAS:LASR)</v>
    <v>375043</v>
    <v>2298740</v>
    <v>2000</v>
  </rv>
  <rv s="2">
    <v>563</v>
  </rv>
  <rv s="0">
    <v>https://www.bing.com/financeapi/forcetrigger?t=c4htp2&amp;q=XNYS%3aPGSS&amp;form=skydnc</v>
    <v>Learn more on Bing</v>
  </rv>
  <rv s="1">
    <v>0</v>
    <v>SCHMID Group NV (XNAS:SHMD)</v>
    <v>2</v>
    <v>3</v>
    <v>Finance</v>
    <v>4</v>
    <v>en-US</v>
    <v>c4htp2</v>
    <v>268435456</v>
    <v>1</v>
    <v>Powered by Refinitiv</v>
    <v>10.65</v>
    <v>2</v>
    <v>-0.59760000000000002</v>
    <v>0.82</v>
    <v>0.125</v>
    <v>USD</v>
    <v>SCHMID Group NV, formerly Pegasus TopCo BV is a Germany-based company. The Company is engaged in developing customized equipment and process solutions for multiple industries including high-tech electronics, photovoltaics, glass and energy systems. It provides solutions for advanced packaging on panel level size, high-end printed circuit boards as well as Photovoltaics &amp; Glass manufacturing and energy storage. In addition, the Company offers wet machining and vacuum treatment including automation and transport systems for the electronics industry. It uses wet process and automation for surface modifications and planarization as well as molded part etching. The Company supplies equipment for the total value chain of photovoltaics. The product range includes single equipment for wafer, cell and module production as well as production lines and complete factory solutions.</v>
    <v>676</v>
    <v>Nasdaq Stock Market</v>
    <v>XNAS</v>
    <v>XNAS</v>
    <v>Robert-Bosch-Str. 32-36, FREUDENSTADT, BADEN-WUERTTEMBERG, 72250 DE</v>
    <v>7.48</v>
    <v>Semiconductors &amp; Semiconductor Equipment</v>
    <v>Stock</v>
    <v>46106.612699525002</v>
    <v>565</v>
    <v>6.68</v>
    <v>410349918</v>
    <v>SCHMID Group NV</v>
    <v>SCHMID Group NV</v>
    <v>6.68</v>
    <v>0</v>
    <v>6.56</v>
    <v>7.38</v>
    <v>55602970</v>
    <v>SHMD</v>
    <v>SCHMID Group NV (XNAS:SHMD)</v>
    <v>454669</v>
    <v>821547</v>
    <v>2023</v>
  </rv>
  <rv s="2">
    <v>566</v>
  </rv>
  <rv s="0">
    <v>https://www.bing.com/financeapi/forcetrigger?t=a2ko52&amp;q=XNAS%3aNUTX&amp;form=skydnc</v>
    <v>Learn more on Bing</v>
  </rv>
  <rv s="1">
    <v>0</v>
    <v>NUTEX HEALTH INC. (XNAS:NUTX)</v>
    <v>2</v>
    <v>3</v>
    <v>Finance</v>
    <v>4</v>
    <v>en-US</v>
    <v>a2ko52</v>
    <v>268435456</v>
    <v>1</v>
    <v>Powered by Refinitiv</v>
    <v>193.07</v>
    <v>45.88</v>
    <v>6.9500000000000006E-2</v>
    <v>0.81</v>
    <v>8.1419999999999999E-3</v>
    <v>USD</v>
    <v>Nutex Health Inc. is a healthcare management and operations company. The Company operates in three segments: the Hospital division, the Population Health Management (PHM) division, and the Real Estate division. The Hospital division owns, develops and operates healthcare models, including micro-hospitals, specialty hospitals, and hospital outpatient departments (HOPDs). This division owns and operates 24 facilities in 11 states. In addition, it has financial and operating relationships with multiple professional entities and real estate entities. The Population Health Management division owns and operates provider networks, such as Independent Physician Associations (IPAs). Through its Management Services Organization (MSO), it provides management, administrative and other support services to its affiliated hospitals and physician groups. The Real Estate division comprises the Real Estate Entities, which owns the land and hospital buildings which are leased to its hospital entities.</v>
    <v>944</v>
    <v>Nasdaq Stock Market</v>
    <v>XNAS</v>
    <v>XNAS</v>
    <v>6030 S. Rice Ave., Suite C, HOUSTON, TX, 77081 US</v>
    <v>102.01</v>
    <v>Healthcare Providers &amp; Services</v>
    <v>Stock</v>
    <v>46106.612627337498</v>
    <v>568</v>
    <v>99.49</v>
    <v>698925505</v>
    <v>NUTEX HEALTH INC.</v>
    <v>NUTEX HEALTH INC.</v>
    <v>99.49</v>
    <v>5.8855000000000004</v>
    <v>99.49</v>
    <v>100.3</v>
    <v>6968350</v>
    <v>NUTX</v>
    <v>NUTEX HEALTH INC. (XNAS:NUTX)</v>
    <v>19449</v>
    <v>214935</v>
    <v>2000</v>
  </rv>
  <rv s="2">
    <v>569</v>
  </rv>
  <rv s="0">
    <v>https://www.bing.com/financeapi/forcetrigger?t=azhynm&amp;q=XNYS%3aUAVS&amp;form=skydnc</v>
    <v>Learn more on Bing</v>
  </rv>
  <rv s="1">
    <v>0</v>
    <v>AGEAGLE AERIAL SYSTEMS INC. (XNYS:UAVS)</v>
    <v>2</v>
    <v>3</v>
    <v>Finance</v>
    <v>4</v>
    <v>en-US</v>
    <v>azhynm</v>
    <v>268435456</v>
    <v>1</v>
    <v>Powered by Refinitiv</v>
    <v>3.605</v>
    <v>0.72399999999999998</v>
    <v>2.6046</v>
    <v>1.4999999999999999E-2</v>
    <v>1.4705999999999999E-2</v>
    <v>USD</v>
    <v>AgEagle Aerial Systems Inc. is engaged in designing and delivering flight hardware, sensors and software that solve important problems for its customers. The Company is a provider of full-stack sensors and software solutions for customers worldwide in the energy, construction, agriculture, and government verticals. The Company operates through three segments: Drones, Sensors, and Software-as-a-Service (SaaS). Its Drones segment comprises contractual arrangements to develop, manufacture and /or modify complex drone-related products, and to provide associated engineering, technical and other services according to customer specifications. Its Sensors segment comprises the sale of sensors, cameras, and related accessories. Its SaaS segment offers online-based subscriptions. The Company’s eBee line of professional drones includes eBee Ag, eBee Geo, eBee TAC, eBee X and eBee VISION. Its sensor solutions include Altum-PT, RedEdge-P, and RedEdge-Pdual.</v>
    <v>50</v>
    <v>New York Stock Exchange</v>
    <v>XNYS</v>
    <v>XNYS</v>
    <v>8201 E 34th Street N, Suite 1307, WICHITA, KS, 67226 US</v>
    <v>1.0550999999999999</v>
    <v>Aerospace &amp; Defense</v>
    <v>Stock</v>
    <v>46106.612777939059</v>
    <v>571</v>
    <v>1.01</v>
    <v>45075398</v>
    <v>AGEAGLE AERIAL SYSTEMS INC.</v>
    <v>AGEAGLE AERIAL SYSTEMS INC.</v>
    <v>1.02</v>
    <v>0</v>
    <v>1.02</v>
    <v>1.0349999999999999</v>
    <v>43551110</v>
    <v>UAVS</v>
    <v>AGEAGLE AERIAL SYSTEMS INC. (XNYS:UAVS)</v>
    <v>466000</v>
    <v>3336781</v>
    <v>1999</v>
  </rv>
  <rv s="2">
    <v>572</v>
  </rv>
  <rv s="0">
    <v>https://www.bing.com/financeapi/forcetrigger?t=bx11w7&amp;q=XNAS%3aCIFR&amp;form=skydnc</v>
    <v>Learn more on Bing</v>
  </rv>
  <rv s="1">
    <v>0</v>
    <v>CIPHER DIGITAL INC. (XNAS:CIFR)</v>
    <v>2</v>
    <v>3</v>
    <v>Finance</v>
    <v>4</v>
    <v>en-US</v>
    <v>bx11w7</v>
    <v>268435456</v>
    <v>1</v>
    <v>Powered by Refinitiv</v>
    <v>25.52</v>
    <v>1.86</v>
    <v>2.9695</v>
    <v>1.2450000000000001</v>
    <v>8.3668999999999993E-2</v>
    <v>USD</v>
    <v>Cipher Mining Inc. is focused on the development and operation of industrial-scale data centers for bitcoin mining and high-performance computing (HPC) hosting. The Company operates two wholly owned bitcoin mining data centers, a 207 megawatts (MW) site located in Odessa, Texas that draws fixed priced power from a power purchase agreement with its electricity provider (the Odessa Facility), and a 300 MW data center in Wink, Texas, of which 150 MW is operational as a bitcoin mining data center, that draws power from the power grid (the Black Pearl Facility), and has equity investments in three partially-owned 40 MW bitcoin mining data centers. Its development pipeline totals approximately 3.4 gigawatts (GW) across eight sites. The Odessa Facility is an approximately 52-acre site, located next to a natural gas power production facility. Through a subsidiary, it is in the process of constructing a data center for HPC near Colorado City, Texas (the Barber Lake Facility).</v>
    <v>66</v>
    <v>Nasdaq Stock Market</v>
    <v>XNAS</v>
    <v>XNAS</v>
    <v>1 Vanderbilt Avenue, Floor 54, NEW YORK, NY, 10017 US</v>
    <v>16.670000000000002</v>
    <v>Financial Technology (Fintech) &amp; Infrastructure</v>
    <v>Stock</v>
    <v>46106.612819582813</v>
    <v>574</v>
    <v>15.81</v>
    <v>6532550325</v>
    <v>CIPHER DIGITAL INC.</v>
    <v>CIPHER DIGITAL INC.</v>
    <v>16.11</v>
    <v>0</v>
    <v>14.88</v>
    <v>16.125</v>
    <v>405119400</v>
    <v>CIFR</v>
    <v>CIPHER DIGITAL INC. (XNAS:CIFR)</v>
    <v>17855844</v>
    <v>24815334</v>
    <v>2020</v>
  </rv>
  <rv s="2">
    <v>575</v>
  </rv>
  <rv s="0">
    <v>https://www.bing.com/financeapi/forcetrigger?t=ayam52&amp;q=XNYS%3aLBRT&amp;form=skydnc</v>
    <v>Learn more on Bing</v>
  </rv>
  <rv s="1">
    <v>0</v>
    <v>LIBERTY ENERGY INC. (XNYS:LBRT)</v>
    <v>2</v>
    <v>3</v>
    <v>Finance</v>
    <v>4</v>
    <v>en-US</v>
    <v>ayam52</v>
    <v>268435456</v>
    <v>1</v>
    <v>Powered by Refinitiv</v>
    <v>32.4</v>
    <v>9.5</v>
    <v>0.4758</v>
    <v>-2.08</v>
    <v>-7.0033999999999999E-2</v>
    <v>USD</v>
    <v>Liberty Energy Inc. is an energy services company. The Company is a provider of completion services and technologies to onshore oil, natural gas, and enhanced geothermal energy producers in North America. It also owns and operates Liberty Power Innovations LLC, providing advanced distributed power and energy storage solutions for the commercial and industrial, data center, energy, and mining industries. It provides hydraulic fracturing services and related technologies to onshore oil and natural gas exploration and production (E&amp;P) companies. It offers customers hydraulic fracturing services, together with complementary services including wireline services, proppant delivery solutions, field gas processing and treating, compressed natural gas (CNG) delivery, data analytics, related goods (including its sand mine operations), and technologies to facilitate lower emission completions. The Company’s areas of operations are in all the active shale basins in North America.</v>
    <v>5800</v>
    <v>New York Stock Exchange</v>
    <v>XNYS</v>
    <v>XNYS</v>
    <v>950 17th St Ste 2400, DENVER, CO, 80202 US</v>
    <v>28.47</v>
    <v>Oil &amp; Gas Related Equipment and Services</v>
    <v>Stock</v>
    <v>46106.612793865628</v>
    <v>577</v>
    <v>27</v>
    <v>4475862430</v>
    <v>LIBERTY ENERGY INC.</v>
    <v>LIBERTY ENERGY INC.</v>
    <v>27.21</v>
    <v>30.836200000000002</v>
    <v>29.7</v>
    <v>27.62</v>
    <v>162051500</v>
    <v>LBRT</v>
    <v>LIBERTY ENERGY INC. (XNYS:LBRT)</v>
    <v>2208816</v>
    <v>4067506</v>
    <v>2016</v>
  </rv>
  <rv s="2">
    <v>578</v>
  </rv>
  <rv s="0">
    <v>https://www.bing.com/financeapi/forcetrigger?t=a24m3m&amp;q=XNAS%3aTTMI&amp;form=skydnc</v>
    <v>Learn more on Bing</v>
  </rv>
  <rv s="1">
    <v>0</v>
    <v>TTM TECHNOLOGIES, INC. (XNAS:TTMI)</v>
    <v>2</v>
    <v>3</v>
    <v>Finance</v>
    <v>4</v>
    <v>en-US</v>
    <v>a24m3m</v>
    <v>268435456</v>
    <v>1</v>
    <v>Powered by Refinitiv</v>
    <v>113.46</v>
    <v>15.7746</v>
    <v>1.7185999999999999</v>
    <v>2.5049999999999999</v>
    <v>2.3413E-2</v>
    <v>USD</v>
    <v>TTM Technologies, Inc. is a global manufacturer of technology solutions including mission systems, radio frequency (RF) components and RF microwave/microelectronic assemblies, and technologically advanced printed circuit boards (PCB). The A&amp;D segment consists of PCBs, value-added assemblies, microelectronics, RF/microwave components and assemblies, and integrated mission systems. Its products support surveillance, intelligence, communications, and other critical missions for customers in the aerospace and defense industry. Commercial segment consists of PCBs using customer-supplied engineering and design plans supporting customers in the automotive, medical, industrial, and instrumentation, networking, and data center computing end markets. RF&amp;S Components segment consists of TTM designed RF components for commercial customers in the telecommunications, industrial, and instrumentation markets, as well as commercial off-the-shelf components for certain aerospace and defense customers.</v>
    <v>18200</v>
    <v>Nasdaq Stock Market</v>
    <v>XNAS</v>
    <v>XNAS</v>
    <v>200 Sandpointe Ave Ste 400, SANTA ANA, CA, 92707-5747 US</v>
    <v>111.18</v>
    <v>Semiconductors &amp; Semiconductor Equipment</v>
    <v>Stock</v>
    <v>46106.612675497658</v>
    <v>580</v>
    <v>107.01</v>
    <v>11370311184</v>
    <v>TTM TECHNOLOGIES, INC.</v>
    <v>TTM TECHNOLOGIES, INC.</v>
    <v>108.62</v>
    <v>67.104900000000001</v>
    <v>106.99</v>
    <v>109.495</v>
    <v>103843200</v>
    <v>TTMI</v>
    <v>TTM TECHNOLOGIES, INC. (XNAS:TTMI)</v>
    <v>306139</v>
    <v>1939541</v>
    <v>2005</v>
  </rv>
  <rv s="2">
    <v>581</v>
  </rv>
  <rv s="0">
    <v>https://www.bing.com/financeapi/forcetrigger?t=a1ndcw&amp;q=XNAS%3aAMBA&amp;form=skydnc</v>
    <v>Learn more on Bing</v>
  </rv>
  <rv s="1">
    <v>0</v>
    <v>AMBARELLA, INC. (XNAS:AMBA)</v>
    <v>2</v>
    <v>3</v>
    <v>Finance</v>
    <v>4</v>
    <v>en-US</v>
    <v>a1ndcw</v>
    <v>268435456</v>
    <v>1</v>
    <v>Powered by Refinitiv</v>
    <v>96.69</v>
    <v>38.860799999999998</v>
    <v>1.9896</v>
    <v>0.28999999999999998</v>
    <v>5.3180000000000007E-3</v>
    <v>USD</v>
    <v>Ambarella, Inc. is a developer of low-power system-on-a-chip (SoC) semiconductors and software for edge artificial intelligence (AI) applications. The Company's technologies make electronic systems smarter, enabling them to become partially or fully autonomous with features, such as person detection, object classification, and analytics, in addition to performing complex data analysis in real time, delivering imagery, and preserving vital system resources, such as power and network bandwidth. It specializes in the development of deployable, scalable designs for intelligent electronic systems that utilize high-bandwidth sensors. Its products are used in a variety of human viewing, computer vision and edge AI applications, including a variety of automotive camera systems, video security cameras, mobile and fixed robots, industrial applications, and consumer devices, such as action, drone, and 360-degree cameras.</v>
    <v>959</v>
    <v>Nasdaq Stock Market</v>
    <v>XNAS</v>
    <v>XNAS</v>
    <v>3001 Tasman Drive, SANTA CLARA, CA, 95054 US</v>
    <v>55.774999999999999</v>
    <v>Semiconductors &amp; Semiconductor Equipment</v>
    <v>Stock</v>
    <v>46106.612745439059</v>
    <v>583</v>
    <v>54.704999999999998</v>
    <v>2400506401</v>
    <v>AMBARELLA, INC.</v>
    <v>AMBARELLA, INC.</v>
    <v>55.06</v>
    <v>0</v>
    <v>54.53</v>
    <v>54.82</v>
    <v>43788880</v>
    <v>AMBA</v>
    <v>AMBARELLA, INC. (XNAS:AMBA)</v>
    <v>64293</v>
    <v>1035744</v>
    <v>2004</v>
  </rv>
  <rv s="2">
    <v>584</v>
  </rv>
  <rv s="0">
    <v>https://www.bing.com/financeapi/forcetrigger?t=a2lkvh&amp;q=OTCM%3aIZQVF&amp;form=skydnc</v>
    <v>Learn more on Bing</v>
  </rv>
  <rv s="1">
    <v>0</v>
    <v>INDIVIOR PHARMACEUTICALS, INC. (XNAS:INDV)</v>
    <v>2</v>
    <v>3</v>
    <v>Finance</v>
    <v>4</v>
    <v>en-US</v>
    <v>a2lkvh</v>
    <v>268435456</v>
    <v>1</v>
    <v>Powered by Refinitiv</v>
    <v>38</v>
    <v>8.64</v>
    <v>1.2322</v>
    <v>1.47</v>
    <v>5.1059E-2</v>
    <v>USD</v>
    <v>Indivior Pharmaceuticals, Inc. is a global pharmaceutical company engaged in developing medicines to treat substance-use disorders (SUD). The Company provides treatment for addiction, including SUBLOCADE (buprenorphine extended-release) injection for subcutaneous use, a long-acting injectable (LAI) for opioid use disorder and OPVEE (Nalmefene) nasal spray for opioid overdose recovery. Its core products include SUBOXONE Film, SUBOXONE Tablet, SUBUTEX Tablet, OPVEE (nalmefene), and SUBLOCADE. SUBOXONE Film is a buprenorphine and naloxone sublingual film. SUBOXONE Tablet is a buprenorphine and naloxone sublingual tablet. SUBUTEX Tablet is a buprenorphine sublingual tablet. SUBOXONE Film, SUBOXONE Tablet, SUBUTEX Tablet, and SUBLOCADE are treatments for opioid use disorder (OUD). In addition to its commercially available products, its product pipeline includes two drug candidates for the treatment of OUD. It sells its products in the United States and in other selected areas of the world.</v>
    <v>1030</v>
    <v>Nasdaq Stock Market</v>
    <v>XNAS</v>
    <v>XNAS</v>
    <v>10710 Midlothian Turnpike, Suite 125, North Chesterfield, VA, 23235 US</v>
    <v>30.28</v>
    <v>Pharmaceuticals</v>
    <v>Stock</v>
    <v>46106.612709062501</v>
    <v>586</v>
    <v>29.03</v>
    <v>3784472952</v>
    <v>INDIVIOR PHARMACEUTICALS, INC.</v>
    <v>INDIVIOR PHARMACEUTICALS, INC.</v>
    <v>29.03</v>
    <v>0</v>
    <v>28.79</v>
    <v>30.26</v>
    <v>125065200</v>
    <v>INDV</v>
    <v>INDIVIOR PHARMACEUTICALS, INC. (XNAS:INDV)</v>
    <v>260247</v>
    <v>3519013</v>
    <v>2025</v>
  </rv>
  <rv s="2">
    <v>587</v>
  </rv>
  <rv s="0">
    <v>https://www.bing.com/financeapi/forcetrigger?t=a1vhzr&amp;q=XNAS%3aHROW&amp;form=skydnc</v>
    <v>Learn more on Bing</v>
  </rv>
  <rv s="1">
    <v>0</v>
    <v>HARROW, INC. (XNAS:HROW)</v>
    <v>2</v>
    <v>3</v>
    <v>Finance</v>
    <v>4</v>
    <v>en-US</v>
    <v>a1vhzr</v>
    <v>268435456</v>
    <v>1</v>
    <v>Powered by Refinitiv</v>
    <v>54.85</v>
    <v>20.85</v>
    <v>0.29480000000000001</v>
    <v>0.5</v>
    <v>1.4205000000000001E-2</v>
    <v>USD</v>
    <v>Harrow, Inc. is a provider of ophthalmic disease management solutions. It offers a portfolio of products that address conditions affecting both the front and back of the eye, such as dry eye disease, wet age-related macular degeneration, cataracts, refractive errors, glaucoma and a range of other ocular surface conditions and retina diseases. It owns commercial rights to portfolios of branded ophthalmic pharmaceutical products in North America, all of which are marketed under the Harrow name. It owns and operates ImprimisRx, an ophthalmology-focused pharmaceutical-compounding business. It owns United States commercial rights to various products: IHEEZO, VEVYE, TRIESENCE, VIGAMOX, ILEVRO, FLAREX, NATACYN, ZERVIATE, BYQLOVI and others. Its product candidates include MELT-210, MELT-300 and MELT-400. VIGAMOX (moxifloxacin hydrochloride ophthalmic solution) 0.5%, a fluoroquinolone antibiotic eye drops for the treatment of bacterial conjunctivitis caused by susceptible strains of organisms.</v>
    <v>373</v>
    <v>Nasdaq Stock Market</v>
    <v>XNAS</v>
    <v>XNAS</v>
    <v>1A Burton Hills Blvd, Suite 200, NASHVILLE, TN, 37215 US</v>
    <v>36.229999999999997</v>
    <v>Pharmaceuticals</v>
    <v>Stock</v>
    <v>46106.612737823438</v>
    <v>589</v>
    <v>35.650100000000002</v>
    <v>1329100647</v>
    <v>HARROW, INC.</v>
    <v>HARROW, INC.</v>
    <v>35.97</v>
    <v>0</v>
    <v>35.200000000000003</v>
    <v>35.700000000000003</v>
    <v>37229710</v>
    <v>HROW</v>
    <v>HARROW, INC. (XNAS:HROW)</v>
    <v>86315</v>
    <v>1000206</v>
    <v>2006</v>
  </rv>
  <rv s="2">
    <v>590</v>
  </rv>
  <rv s="18">
    <v>34</v>
    <v>TERRESTRIAL ENERGY INC. (XNAS:IMSR)</v>
    <v>6</v>
    <v>35</v>
    <v>Finance</v>
    <v>4</v>
    <v>en-US</v>
    <v>cesydm</v>
    <v>268435456</v>
    <v>1</v>
    <v>Powered by Refinitiv</v>
    <v>31.5</v>
    <v>5.7702999999999998</v>
    <v>6.359</v>
    <v>0.33</v>
    <v>5.1969000000000001E-2</v>
    <v>USD</v>
    <v>Terrestrial Energy Inc. is a developer of Generation IV nuclear plants that use its proprietary Integral Molten Salt Reactor (IMSR). The IMSR technology captures the transformative operating benefits of molten salt reactor technology in a small modular plant design. The Company’s IMSR plants supply zero-carbon, clean, high-temperature industrial heat and/or electricity for a dual-use energy role. The Company has a pipeline of multiple IMSR plant projects, which are sourced from a portfolio of consortium relationships. These relationships offer sites, construction, fuel supply, plant operating services, as well as heat and power offtake, with the capabilities to deliver further IMSR plant projects. The Company covers a range of deployment use-cases including co-location for data center power supply, co-located industrial plant heat and power supply, and distributed on-grid generation.</v>
    <v>Nasdaq Stock Market</v>
    <v>XNAS</v>
    <v>XNAS</v>
    <v>2730 W Tyvola Road, Suite 100, CHARLOTTE, NC, 28217 US</v>
    <v>6.8</v>
    <v>Construction &amp; Engineering</v>
    <v>Stock</v>
    <v>46106.612511411717</v>
    <v>6.48</v>
    <v>706626432</v>
    <v>TERRESTRIAL ENERGY INC.</v>
    <v>TERRESTRIAL ENERGY INC.</v>
    <v>6.5</v>
    <v>34.593499999999999</v>
    <v>6.35</v>
    <v>6.68</v>
    <v>105782400</v>
    <v>IMSR</v>
    <v>TERRESTRIAL ENERGY INC. (XNAS:IMSR)</v>
    <v>383303</v>
    <v>1530897</v>
    <v>2025</v>
  </rv>
  <rv s="2">
    <v>592</v>
  </rv>
  <rv s="0">
    <v>https://www.bing.com/financeapi/forcetrigger?t=a1o36h&amp;q=XNAS%3aAXTI&amp;form=skydnc</v>
    <v>Learn more on Bing</v>
  </rv>
  <rv s="1">
    <v>0</v>
    <v>AXT, INC. (XNAS:AXTI)</v>
    <v>2</v>
    <v>3</v>
    <v>Finance</v>
    <v>4</v>
    <v>en-US</v>
    <v>a1o36h</v>
    <v>268435456</v>
    <v>1</v>
    <v>Powered by Refinitiv</v>
    <v>70.88</v>
    <v>1.1299999999999999</v>
    <v>1.3869</v>
    <v>2.2498999999999998</v>
    <v>3.2874E-2</v>
    <v>USD</v>
    <v>AXT, Inc. is a material science company that develops and manufactures high-performance compound and single element semiconductor wafer substrates comprising indium phosphide (InP), gallium arsenide (GaAs) and germanium (Ge). Its wafer substrates are used when a typical silicon wafer substrate cannot meet the performance requirements of a semiconductor or optoelectronic device. It has two product lines: specialty material substrates and raw materials integral to these substrates. Its InP is a semiconductor wafer substrate used in broadband and fiber optic applications, 5G infrastructure and data center connectivity. Its semi-conducting GaAs substrates are used to create opto-electronic products, including high brightness light emitting diodes that are often used to backlight wireless handsets and LCD televisions and for automotive, signage, and lighting applications. Its Ge substrates are used in applications, such as solar cells for space and terrestrial photovoltaic applications.</v>
    <v>1383</v>
    <v>Nasdaq Stock Market</v>
    <v>XNAS</v>
    <v>XNAS</v>
    <v>4281 Technology Dr, FREMONT, CA, 94538 US</v>
    <v>70.88</v>
    <v>Semiconductors &amp; Semiconductor Equipment</v>
    <v>Stock</v>
    <v>46106.612772233595</v>
    <v>594</v>
    <v>64.520099999999999</v>
    <v>3928492226</v>
    <v>AXT, INC.</v>
    <v>AXT, INC.</v>
    <v>67.3</v>
    <v>0</v>
    <v>68.44</v>
    <v>70.689899999999994</v>
    <v>55573600</v>
    <v>AXTI</v>
    <v>AXT, INC. (XNAS:AXTI)</v>
    <v>4461088</v>
    <v>10194141</v>
    <v>1997</v>
  </rv>
  <rv s="2">
    <v>595</v>
  </rv>
  <rv s="0">
    <v>https://www.bing.com/financeapi/forcetrigger?t=a28mnm&amp;q=OTCM%3aASTI&amp;form=skydnc</v>
    <v>Learn more on Bing</v>
  </rv>
  <rv s="1">
    <v>0</v>
    <v>ASCENT SOLAR TECHNOLOGIES, INC. (XNAS:ASTI)</v>
    <v>2</v>
    <v>3</v>
    <v>Finance</v>
    <v>4</v>
    <v>en-US</v>
    <v>a28mnm</v>
    <v>268435456</v>
    <v>1</v>
    <v>Powered by Refinitiv</v>
    <v>9.8699999999999992</v>
    <v>1.1000000000000001</v>
    <v>1.2307999999999999</v>
    <v>0.35</v>
    <v>7.7092999999999995E-2</v>
    <v>USD</v>
    <v>Ascent Solar Technologies, Inc. is a solar technology company that manufactures and sells photovoltaic (PV) solar modules. Its technology provides renewable power solutions to production and specialty solar markets where traditional rigid solar panels are not suitable, including aerospace, agrivoltaics, and niche manufacturing/construction sectors. It designs and develops finished products to design and develop integrated solutions for products, such as satellites, spacecraft, airships, and fixed wing unmanned aerial vehicles (UAVs). It is also engaged in developing its zinc oxysulfide process. The Company manufactures its products by affixing a thin Copper-Indium-Gallium-diSelenide (CIGS) layer to a plastic substrate using a large format, roll-to-roll process that permits it to fabricate its PV modules in an integrated sequential operation. It uses monolithic integration techniques, which enable it to form complete PV modules with back-end assembly of inter-cell connections.</v>
    <v>16</v>
    <v>Nasdaq Stock Market</v>
    <v>XNAS</v>
    <v>XNAS</v>
    <v>12300 GRANT STREET, THORNTON, CO, 80241 US</v>
    <v>4.9880000000000004</v>
    <v>Renewable Energy</v>
    <v>Stock</v>
    <v>46106.612588263284</v>
    <v>597</v>
    <v>4.5999999999999996</v>
    <v>24593777</v>
    <v>ASCENT SOLAR TECHNOLOGIES, INC.</v>
    <v>ASCENT SOLAR TECHNOLOGIES, INC.</v>
    <v>4.6100000000000003</v>
    <v>0</v>
    <v>4.54</v>
    <v>4.8899999999999997</v>
    <v>9461890</v>
    <v>ASTI</v>
    <v>ASCENT SOLAR TECHNOLOGIES, INC. (XNAS:ASTI)</v>
    <v>515757</v>
    <v>984905</v>
    <v>2005</v>
  </rv>
  <rv s="2">
    <v>598</v>
  </rv>
  <rv s="0">
    <v>https://www.bing.com/financeapi/forcetrigger?t=a24nyc&amp;q=XNYS%3aTWLO&amp;form=skydnc</v>
    <v>Learn more on Bing</v>
  </rv>
  <rv s="1">
    <v>0</v>
    <v>TWILIO INC. (XNYS:TWLO)</v>
    <v>2</v>
    <v>3</v>
    <v>Finance</v>
    <v>4</v>
    <v>en-US</v>
    <v>a24nyc</v>
    <v>268435456</v>
    <v>1</v>
    <v>Powered by Refinitiv</v>
    <v>145.9</v>
    <v>77.512</v>
    <v>1.3031999999999999</v>
    <v>3.86</v>
    <v>3.1435999999999999E-2</v>
    <v>USD</v>
    <v>Twilio Inc. provides a customer engagement platform to build direct, personalized relationships with their customers everywhere in the world. Its platform provides developers with tools to build, scale, and deploy real-time communications within software applications. Its segments include Twilio Communications (Communications) and Twilio Segment (Segment). The Communications segment consists of a variety of application programming interfaces (APIs) and software solutions to optimize communications between its customers and their end users. Its key offerings in its Communications segment include Messaging, Voice, Email (includes Marketing Campaigns), Flex and User Authentication and Identity. Its Twilio Flex is a digital engagement center for the entire customer journey. Twilio Segment is a customer data platform that provides businesses with the tools to harness the power of contextual data by unifying real-time information collected throughout each customer’s journey into a profile.</v>
    <v>5587</v>
    <v>New York Stock Exchange</v>
    <v>XNYS</v>
    <v>XNYS</v>
    <v>101 Spear Street, Fifth Floor, SAN FRANCISCO, CA, 94105 US</v>
    <v>128.29</v>
    <v>Software &amp; IT Services</v>
    <v>Stock</v>
    <v>46106.612762522658</v>
    <v>600</v>
    <v>124.2</v>
    <v>19189248100</v>
    <v>TWILIO INC.</v>
    <v>TWILIO INC.</v>
    <v>124.205</v>
    <v>655.19920000000002</v>
    <v>122.79</v>
    <v>126.65</v>
    <v>151514000</v>
    <v>TWLO</v>
    <v>TWILIO INC. (XNYS:TWLO)</v>
    <v>317589</v>
    <v>1921605</v>
    <v>2008</v>
  </rv>
  <rv s="2">
    <v>601</v>
  </rv>
  <rv s="3">
    <v>5</v>
    <v>COREWEAVE, INC. (XNAS:CRWV)</v>
    <v>6</v>
    <v>3</v>
    <v>Finance</v>
    <v>4</v>
    <v>en-US</v>
    <v>cgblqh</v>
    <v>268435456</v>
    <v>1</v>
    <v>Powered by Refinitiv</v>
    <v>187</v>
    <v>33.515000000000001</v>
    <v>2.194</v>
    <v>4.9050000000000002</v>
    <v>5.9081999999999996E-2</v>
    <v>USD</v>
    <v>CoreWeave, Inc. is a cloud infrastructure technology company. The Company offers the CoreWeave Cloud Platform, which consists of software and cloud services that deliver the automation and efficiency needed to manage complex artificial intelligence (AI) infrastructure. Its CoreWeave Cloud Platform is an integrated solution that is purpose-built for running AI workloads such as model training and inference. Its solutions include infrastructure services, managed software services, and application software services. Its Infrastructure Services provide its customers with access to advanced graphics processing unit (GPU) and central processing unit (CPU) compute, highly performant networking, and storage. Its Managed Software Services include CKS, a flexible virtual private cloud and a bare metal service that runs kubernetes directly on high-performance servers. Its Application Software Services build on top of its infrastructure and managed software services, integrating additional tools.</v>
    <v>2189</v>
    <v>Nasdaq Stock Market</v>
    <v>XNAS</v>
    <v>XNAS</v>
    <v>290 W. Mt. Pleasant Avenue, Suite 4100, LIVINGSTON, NJ, 07039 US</v>
    <v>88.75</v>
    <v>Software &amp; IT Services</v>
    <v>Stock</v>
    <v>46106.612756307812</v>
    <v>84.85</v>
    <v>46221126192</v>
    <v>COREWEAVE, INC.</v>
    <v>COREWEAVE, INC.</v>
    <v>85.39</v>
    <v>0</v>
    <v>83.02</v>
    <v>87.924999999999997</v>
    <v>525688100</v>
    <v>CRWV</v>
    <v>COREWEAVE, INC. (XNAS:CRWV)</v>
    <v>8019691</v>
    <v>24687596</v>
    <v>2017</v>
  </rv>
  <rv s="2">
    <v>603</v>
  </rv>
  <rv s="0">
    <v>https://www.bing.com/financeapi/forcetrigger?t=a1ynp2&amp;q=XNYS%3aNOK&amp;form=skydnc</v>
    <v>Learn more on Bing</v>
  </rv>
  <rv s="1">
    <v>0</v>
    <v>Nokia Oyj (XNYS:NOK)</v>
    <v>2</v>
    <v>3</v>
    <v>Finance</v>
    <v>4</v>
    <v>en-US</v>
    <v>a1ynp2</v>
    <v>268435456</v>
    <v>1</v>
    <v>Powered by Refinitiv</v>
    <v>8.82</v>
    <v>4</v>
    <v>0.75570000000000004</v>
    <v>0.18990000000000001</v>
    <v>2.3018E-2</v>
    <v>USD</v>
    <v>Nokia Oyj is a Finland-based company engaged in the network and Internet protocol (IP) infrastructure, software, and related services market. The Company's businesses include Nokia Networks and Nokia Technologies. The Company's segments include Ultra Broadband Networks, IP Networks and Applications, and Nokia Technologies. The Ultra Broadband Networks segment comprises Mobile Networks and Fixed Networks operating segments. The IP Networks and Applications segment comprises IP/Optical Networks and Applications &amp; Analytics operating segments. The Applications &amp; Analytics operating segment offers software solutions spanning customer experience management, network operations and management, communications and collaboration, policy and charging, as well as Cloud, Internet of things (IoT), security, and analytics platforms that enable digital services providers and enterprises to accelerate and optimize their customer experience. The Company has Comptel Oyj among its subsidiaries.</v>
    <v>77586</v>
    <v>New York Stock Exchange</v>
    <v>XNYS</v>
    <v>XNYS</v>
    <v>Karakaari 7, ESPOO, ETELA-SUOMEN, 02610 FI</v>
    <v>8.4649999999999999</v>
    <v>Communications &amp; Networking</v>
    <v>Stock</v>
    <v>46106.612746423438</v>
    <v>605</v>
    <v>8.3249999999999993</v>
    <v>48463931376</v>
    <v>Nokia Oyj</v>
    <v>Nokia Oyj</v>
    <v>8.42</v>
    <v>63.987099999999998</v>
    <v>8.25</v>
    <v>8.4398999999999997</v>
    <v>5742240000</v>
    <v>NOK</v>
    <v>Nokia Oyj (XNYS:NOK)</v>
    <v>13849219</v>
    <v>56888623</v>
    <v>1997</v>
  </rv>
  <rv s="2">
    <v>606</v>
  </rv>
  <rv s="18">
    <v>34</v>
    <v>MOBILICOM LIMITED (XNAS:MOB)</v>
    <v>6</v>
    <v>35</v>
    <v>Finance</v>
    <v>4</v>
    <v>en-US</v>
    <v>c774m7</v>
    <v>268435456</v>
    <v>1</v>
    <v>Powered by Refinitiv</v>
    <v>11.02</v>
    <v>1.31</v>
    <v>2.13</v>
    <v>-1.4999999999999999E-2</v>
    <v>-2.7029999999999997E-3</v>
    <v>USD</v>
    <v>Mobilicom Limited provides end-to-end cybersecurity and smart solutions for drones, robotics and autonomous platforms. The Company designs, develops, and delivers smart solutions focused primarily on targeting global drone, robotics, and autonomous system manufacturers. Its products Include OS3 Platform Software, ICE Cybersecurity Software, Cloud Network Management Software, MCU Mesh Networking, SkyHopper Datalinks, Mobile Ground Control Stations, and System Engineering Services. Its Mobile Ground Control Stations product include 8 Controller Pro, 10 Maxi Controller Pro, 10 MCU Extremer, 10 Touch G, and 7 Mini Controller Pro. Its SkyHopper Datalinks provides long-range communication solutions for robotic applications which includes SkyHopper PRO, SkyHopper PRO Lite, and SkyHopper PRO Micro. Its MCU Mesh Networking includes MCU-30 Lite, MCU-30 Ruggedized, and MCU-200 Ruggedized.</v>
    <v>Nasdaq Stock Market</v>
    <v>XNAS</v>
    <v>XNAS</v>
    <v>459 Collins Street, Level 21, MELBOURNE, VICTORIA, 3000 AU</v>
    <v>5.63</v>
    <v>Software &amp; IT Services</v>
    <v>Stock</v>
    <v>46106.611513113283</v>
    <v>5.49</v>
    <v>69925702</v>
    <v>MOBILICOM LIMITED</v>
    <v>MOBILICOM LIMITED</v>
    <v>5.62</v>
    <v>0</v>
    <v>5.55</v>
    <v>5.5350000000000001</v>
    <v>12633370</v>
    <v>MOB</v>
    <v>MOBILICOM LIMITED (XNAS:MOB)</v>
    <v>35067</v>
    <v>271781</v>
    <v>2017</v>
  </rv>
  <rv s="2">
    <v>608</v>
  </rv>
  <rv s="0">
    <v>https://www.bing.com/financeapi/forcetrigger?t=a2oy6h&amp;q=XNAS%3aCLPT&amp;form=skydnc</v>
    <v>Learn more on Bing</v>
  </rv>
  <rv s="1">
    <v>0</v>
    <v>CLEARPOINT NEURO, INC. (XNAS:CLPT)</v>
    <v>2</v>
    <v>3</v>
    <v>Finance</v>
    <v>4</v>
    <v>en-US</v>
    <v>a2oy6h</v>
    <v>268435456</v>
    <v>1</v>
    <v>Powered by Refinitiv</v>
    <v>30.099900000000002</v>
    <v>8.6300000000000008</v>
    <v>1.1661999999999999</v>
    <v>0.25</v>
    <v>2.6539E-2</v>
    <v>USD</v>
    <v>ClearPoint Neuro, Inc. is a device, cell, and gene therapy-enabling company offering precise navigation to the brain and spine. It provides both clinical products as well as pre-clinical development services for controlled drug and device delivery. Its flagship product is the ClearPoint Neuro Navigation System. It is engaged with healthcare and research centers in North America, Europe, Asia, and South America. Its primary medical device product, the ClearPoint system, is an integrated system comprised of hardware components, disposable components, and intuitive, menu-driven software. Its ClearPoint Prism Neuro Laser Therapy System is indicated for use to necrotize or coagulate soft tissue through interstitial irradiation or thermal therapy for neuro applications under 3.0T magnetic resonance imaging (MRI) guidance. It provides solutions for direct CNS delivery of therapeutics in preclinical studies and clinical trials worldwide. It also offers IRRAflow active fluid-exchange system.</v>
    <v>172</v>
    <v>Nasdaq Stock Market</v>
    <v>XNAS</v>
    <v>XNAS</v>
    <v>120 S. SIERRA AVENUE, SUITE 100, SOLANA BEACH, CA, 92075 US</v>
    <v>9.9</v>
    <v>Healthcare Equipment &amp; Supplies</v>
    <v>Stock</v>
    <v>46106.612694455471</v>
    <v>610</v>
    <v>9.5050000000000008</v>
    <v>286849719</v>
    <v>CLEARPOINT NEURO, INC.</v>
    <v>CLEARPOINT NEURO, INC.</v>
    <v>9.6300000000000008</v>
    <v>0</v>
    <v>9.42</v>
    <v>9.67</v>
    <v>29663880</v>
    <v>CLPT</v>
    <v>CLEARPOINT NEURO, INC. (XNAS:CLPT)</v>
    <v>123108</v>
    <v>1074378</v>
    <v>1998</v>
  </rv>
  <rv s="2">
    <v>611</v>
  </rv>
  <rv s="0">
    <v>https://www.bing.com/financeapi/forcetrigger?t=a21552&amp;q=XNAS%3aPPSI&amp;form=skydnc</v>
    <v>Learn more on Bing</v>
  </rv>
  <rv s="1">
    <v>0</v>
    <v>PIONEER POWER SOLUTIONS, INC. (XNAS:PPSI)</v>
    <v>2</v>
    <v>3</v>
    <v>Finance</v>
    <v>4</v>
    <v>en-US</v>
    <v>a21552</v>
    <v>268435456</v>
    <v>1</v>
    <v>Powered by Refinitiv</v>
    <v>5.6999000000000004</v>
    <v>2.25</v>
    <v>1.5488999999999999</v>
    <v>-2.9899999999999999E-2</v>
    <v>-8.8459999999999997E-3</v>
    <v>USD</v>
    <v>Pioneer Power Solutions, Inc. is engaged in the design, manufacture, integration, and service of distributed energy resources, power generation equipment and mobile electric charging solutions for applications in the utility, industrial and commercial markets. The Company operates through the Critical Power Solutions (Critical Power) segment. Critical Power business provides customers with its suite of mobile electric vehicle (EV) charging solutions, power generation equipment and all forms of services, including but not limited to, preventative maintenance, repairs, fuel polishing, and remote monitoring. These products and services are marketed under its Pioneer eMobility (e-Boost) and Pioneer Critical Power (Titan) brand names. Its e-Boost products include e-Boost Generator on a Truck (G.O.A.T.), e-Boost Mobile and e-Boost Pod. e-Boost G.O.A.T. is a truck-mounted option that brings on-demand, high-capacity charging to EV truck and car owners at any convenient location.</v>
    <v>59</v>
    <v>Nasdaq Stock Market</v>
    <v>XNAS</v>
    <v>XNAS</v>
    <v>400 Kelby Street, 12Th Floor, FORT LEE, NJ, 07024 US</v>
    <v>3.5070000000000001</v>
    <v>Machinery, Equipment &amp; Components</v>
    <v>Stock</v>
    <v>46106.611903830468</v>
    <v>613</v>
    <v>3.3001</v>
    <v>37170264</v>
    <v>PIONEER POWER SOLUTIONS, INC.</v>
    <v>PIONEER POWER SOLUTIONS, INC.</v>
    <v>3.38</v>
    <v>0</v>
    <v>3.38</v>
    <v>3.3500999999999999</v>
    <v>11095270</v>
    <v>PPSI</v>
    <v>PIONEER POWER SOLUTIONS, INC. (XNAS:PPSI)</v>
    <v>59021</v>
    <v>79240</v>
    <v>2009</v>
  </rv>
  <rv s="2">
    <v>614</v>
  </rv>
  <rv s="0">
    <v>https://www.bing.com/financeapi/forcetrigger?t=a1pyrw&amp;q=XNAS%3aCMTL&amp;form=skydnc</v>
    <v>Learn more on Bing</v>
  </rv>
  <rv s="1">
    <v>0</v>
    <v>COMTECH TELECOMMUNICATIONS CORP. (XNAS:CMTL)</v>
    <v>2</v>
    <v>3</v>
    <v>Finance</v>
    <v>4</v>
    <v>en-US</v>
    <v>a1pyrw</v>
    <v>268435456</v>
    <v>1</v>
    <v>Powered by Refinitiv</v>
    <v>6.21</v>
    <v>1.19</v>
    <v>1.1845000000000001</v>
    <v>0.13700000000000001</v>
    <v>3.8592000000000001E-2</v>
    <v>USD</v>
    <v>Comtech Telecommunications Corp. is a provider of satellite and space communications technologies; terrestrial and wireless network solutions; Next Generation 9-1-1 (NG9-1-1) and emergency services, and cloud native capabilities to commercial and government customers around the world. Its segments include Satellite and Space Communication and Allerium. The Satellite and Space Communications segment is organized into four technology areas: satellite modem and amplifier technologies, troposcatter technologies, cybersecurity training (formerly, known as government services) space components. The Allerium segment is organized into three service areas: next generation 911 and call delivery, call handling solutions, and trusted location and messaging solutions. This segment offers customers SMS text to 911 services; next generation 911 solutions, providing emergency call routing, location validation, policy-based routing rules, and logging and security functionality.</v>
    <v>1385</v>
    <v>Nasdaq Stock Market</v>
    <v>XNAS</v>
    <v>XNAS</v>
    <v>305 N 54Th Street, CHANDLER, AZ, 85226 US</v>
    <v>3.69</v>
    <v>Communications &amp; Networking</v>
    <v>Stock</v>
    <v>46106.612721191406</v>
    <v>616</v>
    <v>3.5529000000000002</v>
    <v>109428169</v>
    <v>COMTECH TELECOMMUNICATIONS CORP.</v>
    <v>COMTECH TELECOMMUNICATIONS CORP.</v>
    <v>3.6</v>
    <v>0</v>
    <v>3.55</v>
    <v>3.6869999999999998</v>
    <v>29679460</v>
    <v>CMTL</v>
    <v>COMTECH TELECOMMUNICATIONS CORP. (XNAS:CMTL)</v>
    <v>28708</v>
    <v>326667</v>
    <v>1986</v>
  </rv>
  <rv s="2">
    <v>617</v>
  </rv>
  <rv s="0">
    <v>https://www.bing.com/financeapi/forcetrigger?t=a1ufrw&amp;q=XNAS%3aHALO&amp;form=skydnc</v>
    <v>Learn more on Bing</v>
  </rv>
  <rv s="1">
    <v>0</v>
    <v>HALOZYME THERAPEUTICS, INC. (XNAS:HALO)</v>
    <v>2</v>
    <v>3</v>
    <v>Finance</v>
    <v>4</v>
    <v>en-US</v>
    <v>a1ufrw</v>
    <v>268435456</v>
    <v>1</v>
    <v>Powered by Refinitiv</v>
    <v>82.22</v>
    <v>47.5</v>
    <v>1.0505</v>
    <v>1.06</v>
    <v>1.7086E-2</v>
    <v>USD</v>
    <v>Halozyme Therapeutics, Inc. is a biopharmaceutical company advancing solutions to improve patient experiences and outcomes for emerging and established therapies. The Company's commercially-validated solution, ENHANZE drug delivery technology with the proprietary enzyme rHuPH20, is used to facilitate the subcutaneous delivery of injected drugs and fluids, with a focus on improving the patient experience with rapid subcutaneous delivery and reduced treatment burden. The Company licenses its technology to biopharmaceutical companies to collaboratively develop products that combine ENHANZE with its partners’ proprietary compounds. It also develops, manufactures and commercializes, for itself or with partners, drug-device combination products using its advanced auto-injector technologies. The Company has two commercial proprietary products, Hylenex and XYOSTED. It also has a proprietary ultra-high concentration microparticle formulation technology for biologics, branded Hypercon.</v>
    <v>423</v>
    <v>Nasdaq Stock Market</v>
    <v>XNAS</v>
    <v>XNAS</v>
    <v>12390 EL CAMINO REAL, SAN DIEGO, CA, 92130 US</v>
    <v>63.35</v>
    <v>Pharmaceuticals</v>
    <v>Stock</v>
    <v>46106.612678159378</v>
    <v>619</v>
    <v>62.69</v>
    <v>7475728330</v>
    <v>HALOZYME THERAPEUTICS, INC.</v>
    <v>HALOZYME THERAPEUTICS, INC.</v>
    <v>62.78</v>
    <v>25.325099999999999</v>
    <v>62.04</v>
    <v>63.1</v>
    <v>118474300</v>
    <v>HALO</v>
    <v>HALOZYME THERAPEUTICS, INC. (XNAS:HALO)</v>
    <v>140316</v>
    <v>1905058</v>
    <v>2007</v>
  </rv>
  <rv s="2">
    <v>620</v>
  </rv>
  <rv s="0">
    <v>http://en.wikipedia.org/wiki/GameStop</v>
    <v>Wikipedia</v>
  </rv>
  <rv s="6">
    <v>65</v>
    <v>622</v>
  </rv>
  <rv s="7">
    <v>14</v>
    <v>https://www.bing.com/th?id=AMMS_1af0820cdcad1e835487a08cdf869215&amp;qlt=95</v>
    <v>623</v>
    <v>0</v>
    <v>https://www.bing.com/images/search?form=xlimg&amp;q=gamestop</v>
    <v>Image of GAMESTOP CORP.</v>
  </rv>
  <rv s="0">
    <v>https://www.bing.com/financeapi/forcetrigger?t=a1tyxm&amp;q=XNYS%3aGME&amp;form=skydnc</v>
    <v>Learn more on Bing</v>
  </rv>
  <rv s="8">
    <v>10</v>
    <v>GAMESTOP CORP. (XNYS:GME)</v>
    <v>12</v>
    <v>13</v>
    <v>Finance</v>
    <v>4</v>
    <v>en-US</v>
    <v>a1tyxm</v>
    <v>268435456</v>
    <v>1</v>
    <v>Powered by Refinitiv</v>
    <v>35.81</v>
    <v>19.93</v>
    <v>1.8608</v>
    <v>0</v>
    <v>0</v>
    <v>USD</v>
    <v>GameStop Corp. offers games and entertainment products through its stores and ecommerce platforms. The Company operates in four geographic segments: United States, Canada, Australia and Europe. Each segment consists primarily of retail operations, with the significant majority focused on games, entertainment products and technology. The Company has a total of approximately 3,203 stores across all of its segments: 2,325 in the United States, 193 in Canada, 374 in Australia, and 311 in Europe. Its stores and ecommerce sites operate primarily under the names GameStop, EB Games and Micromania. Its Australia and Europe segments also include 38 pop culture-themed stores selling collectibles, apparel, gadgets, electronics, toys and other retail products for technology enthusiasts and general consumers in international markets operating under the Zing Pop Culture brand. Its retail stores are generally located in strip centers, shopping malls and pedestrian areas.</v>
    <v>6000</v>
    <v>New York Stock Exchange</v>
    <v>XNYS</v>
    <v>XNYS</v>
    <v>625 Westport Pkwy, GRAPEVINE, TX, 76051 US</v>
    <v>23.2</v>
    <v>624</v>
    <v>Specialty Retailers</v>
    <v>Stock</v>
    <v>46106.612721133592</v>
    <v>625</v>
    <v>22.46</v>
    <v>10219096695</v>
    <v>GAMESTOP CORP.</v>
    <v>GAMESTOP CORP.</v>
    <v>22.81</v>
    <v>27.742599999999999</v>
    <v>22.81</v>
    <v>22.81</v>
    <v>448009500</v>
    <v>GME</v>
    <v>GAMESTOP CORP. (XNYS:GME)</v>
    <v>2450053</v>
    <v>5130513</v>
    <v>2005</v>
  </rv>
  <rv s="2">
    <v>626</v>
  </rv>
  <rv s="0">
    <v>https://www.bing.com/financeapi/forcetrigger?t=c11cjc&amp;q=XNAS%3aALHC&amp;form=skydnc</v>
    <v>Learn more on Bing</v>
  </rv>
  <rv s="1">
    <v>0</v>
    <v>ALIGNMENT HEALTHCARE, INC. (XNAS:ALHC)</v>
    <v>2</v>
    <v>3</v>
    <v>Finance</v>
    <v>4</v>
    <v>en-US</v>
    <v>c11cjc</v>
    <v>268435456</v>
    <v>1</v>
    <v>Powered by Refinitiv</v>
    <v>23.87</v>
    <v>11.625</v>
    <v>1.2081</v>
    <v>0.185</v>
    <v>1.0620000000000001E-2</v>
    <v>USD</v>
    <v>Alignment Healthcare, Inc. is a consumer-centric platform designed to improve the healthcare experience for seniors. The Company’s operations primarily consist of Medicare Advantage Plans in the states of California, North Carolina, Nevada, Arizona, Florida and Texas. It partners with local providers to deliver coordinated care, powered by its customized care model, 24/7 concierge care team and purpose-built technology (AVA). AVA’s capabilities include consumer experience, internal care delivery, external providers, health plan operations and growth operations. AVA offers a digital ecosystem that enables its members and their support system to get the information and care they need, when and how they need it. With their AVA-powered member portal and mobile app, seniors have many self-service capabilities and can get 24/7 care, send secure messages to their concierge and care teams, check their rewards and ACCESS On-Demand Concierge Card balance, and view their health history.</v>
    <v>1849</v>
    <v>Nasdaq Stock Market</v>
    <v>XNAS</v>
    <v>XNAS</v>
    <v>1100 W. Town And Country Road, Suite 1600, ORANGE, CA, 92868 US</v>
    <v>17.89</v>
    <v>Healthcare Providers &amp; Services</v>
    <v>Stock</v>
    <v>46106.612736539064</v>
    <v>628</v>
    <v>17.59</v>
    <v>3596639882</v>
    <v>ALIGNMENT HEALTHCARE, INC.</v>
    <v>ALIGNMENT HEALTHCARE, INC.</v>
    <v>17.61</v>
    <v>0</v>
    <v>17.420000000000002</v>
    <v>17.605</v>
    <v>204296500</v>
    <v>ALHC</v>
    <v>ALIGNMENT HEALTHCARE, INC. (XNAS:ALHC)</v>
    <v>297193</v>
    <v>3251503</v>
    <v>2014</v>
  </rv>
  <rv s="2">
    <v>629</v>
  </rv>
  <rv s="0">
    <v>https://www.bing.com/financeapi/forcetrigger?t=buqzxm&amp;q=XNAS%3aEOSE&amp;form=skydnc</v>
    <v>Learn more on Bing</v>
  </rv>
  <rv s="1">
    <v>0</v>
    <v>EOS ENERGY ENTERPRISES, INC. (XNAS:EOSE)</v>
    <v>2</v>
    <v>3</v>
    <v>Finance</v>
    <v>4</v>
    <v>en-US</v>
    <v>buqzxm</v>
    <v>268435456</v>
    <v>1</v>
    <v>Powered by Refinitiv</v>
    <v>19.86</v>
    <v>3.07</v>
    <v>2.3296000000000001</v>
    <v>-1E-3</v>
    <v>-1.9650000000000001E-4</v>
    <v>USD</v>
    <v>Eos Energy Enterprises, Inc. designs, develops, manufactures, and markets zinc-based energy storage solutions for utility-scale, microgrid, and commercial and industrial applications. The Company has developed a range of intellectual property with multiple patents covering battery chemistry, mechanical product design, energy block configuration and a software operating system (Battery Management System or BMS). The BMS software uses proprietary Eos-developed algorithms and includes ambient and battery temperature sensors, as well as voltage and electric current sensors for the electrical strings and the system. It focuses on manufacturing and selling direct current (DC) battery energy storage systems. It also plans to develop an alternating current (AC) system. The Company offers an advanced Znyth technology battery energy storage system (BESS) designed to provide the operating flexibility to manage increased grid complexity. Its primary market is North America.</v>
    <v>787</v>
    <v>Nasdaq Stock Market</v>
    <v>XNAS</v>
    <v>XNAS</v>
    <v>3920 Park Avenue, EDISON, NJ, 08820 US</v>
    <v>5.39</v>
    <v>Machinery, Equipment &amp; Components</v>
    <v>Stock</v>
    <v>46106.612746527346</v>
    <v>631</v>
    <v>5.0650000000000004</v>
    <v>3534264720</v>
    <v>EOS ENERGY ENTERPRISES, INC.</v>
    <v>EOS ENERGY ENTERPRISES, INC.</v>
    <v>5.24</v>
    <v>0</v>
    <v>5.09</v>
    <v>5.0890000000000004</v>
    <v>339434300</v>
    <v>EOSE</v>
    <v>EOS ENERGY ENTERPRISES, INC. (XNAS:EOSE)</v>
    <v>4087164</v>
    <v>26639835</v>
    <v>2019</v>
  </rv>
  <rv s="2">
    <v>632</v>
  </rv>
  <rv s="0">
    <v>https://www.bing.com/financeapi/forcetrigger?t=a1pkf2&amp;q=XNAS%3aCGNX&amp;form=skydnc</v>
    <v>Learn more on Bing</v>
  </rv>
  <rv s="1">
    <v>0</v>
    <v>COGNEX CORPORATION (XNAS:CGNX)</v>
    <v>2</v>
    <v>3</v>
    <v>Finance</v>
    <v>4</v>
    <v>en-US</v>
    <v>a1pkf2</v>
    <v>268435456</v>
    <v>1</v>
    <v>Powered by Refinitiv</v>
    <v>59.88</v>
    <v>22.67</v>
    <v>1.4591000000000001</v>
    <v>0.55500000000000005</v>
    <v>1.0880000000000001E-2</v>
    <v>USD</v>
    <v>Cognex Corporation invents and commercializes technologies that address various critical manufacturing and distribution challenges. The Company is a global provider of machine vision products and solutions that improve efficiency and quality in businesses across industrial end markets. It operates through the machine vision technology segment. Its solutions blend physical products and software to capture and analyze visual information, allowing for the automation of manufacturing and distribution tasks for customers worldwide. Machine vision products are used to automate the manufacturing or distribution and tracking of discrete items, such as mobile phones, electric vehicle batteries and e-commerce packages, by locating, identifying, inspecting, and measuring them. Machine vision is important for applications in which human vision is inadequate to meet requirements for size, accuracy, or speed, or in instances where substantial cost savings or quality improvements are maintained.</v>
    <v>2745</v>
    <v>Nasdaq Stock Market</v>
    <v>XNAS</v>
    <v>XNAS</v>
    <v>One Vision Drive, NATICK, MA, 01760 US</v>
    <v>51.98</v>
    <v>Machinery, Equipment &amp; Components</v>
    <v>Stock</v>
    <v>46106.612635392972</v>
    <v>634</v>
    <v>51.09</v>
    <v>8612071753</v>
    <v>COGNEX CORPORATION</v>
    <v>COGNEX CORPORATION</v>
    <v>51.55</v>
    <v>76.223200000000006</v>
    <v>51.01</v>
    <v>51.564999999999998</v>
    <v>167013900</v>
    <v>CGNX</v>
    <v>COGNEX CORPORATION (XNAS:CGNX)</v>
    <v>201829</v>
    <v>2212767</v>
    <v>1981</v>
  </rv>
  <rv s="2">
    <v>635</v>
  </rv>
  <rv s="0">
    <v>https://www.bing.com/financeapi/forcetrigger?t=a23avh&amp;q=XNYS%3aSOI&amp;form=skydnc</v>
    <v>Learn more on Bing</v>
  </rv>
  <rv s="1">
    <v>0</v>
    <v>SOLARIS ENERGY INFRASTRUCTURE, INC. (XNYS:SEI)</v>
    <v>2</v>
    <v>3</v>
    <v>Finance</v>
    <v>4</v>
    <v>en-US</v>
    <v>a23avh</v>
    <v>268435456</v>
    <v>1</v>
    <v>Powered by Refinitiv</v>
    <v>70.17</v>
    <v>14.27</v>
    <v>1.0246999999999999</v>
    <v>0.87</v>
    <v>1.4261999999999999E-2</v>
    <v>USD</v>
    <v>Solaris Energy Infrastructure, Inc. provides mobile and scalable equipment-based solutions for use in distributed power generation as well as the management of raw materials used in the completion of oil and natural gas wells. Its segments include Solaris Power Solutions and Solaris Logistics Solutions. The Solaris Power Solutions segment offers configurable sets of natural gas-powered mobile turbines and ancillary equipment. This segment leases equipment to data center and oilfield customers and is focused on continuing to grow its services with these customers as well as across multiple commercial and industrial end-markets. The Solaris Logistics Solutions segment designs and manufactures specialized equipment that enables the management of raw materials used in the completion of oil and natural gas wells. Its equipment-based logistics services include field technician support, software solutions, and also include last mile and mobilization services.</v>
    <v>468</v>
    <v>New York Stock Exchange</v>
    <v>XNYS</v>
    <v>XNYS</v>
    <v>9651 KATY FREEWAY, SUITE 300, HOUSTON, TX, 77024 US</v>
    <v>63.524999999999999</v>
    <v>Oil &amp; Gas Related Equipment and Services</v>
    <v>Stock</v>
    <v>46106.612751503904</v>
    <v>637</v>
    <v>61.27</v>
    <v>4287978924</v>
    <v>SOLARIS ENERGY INFRASTRUCTURE, INC.</v>
    <v>SOLARIS ENERGY INFRASTRUCTURE, INC.</v>
    <v>61.87</v>
    <v>90.905100000000004</v>
    <v>61</v>
    <v>61.87</v>
    <v>69306270</v>
    <v>SEI</v>
    <v>SOLARIS ENERGY INFRASTRUCTURE, INC. (XNYS:SEI)</v>
    <v>282679</v>
    <v>3060244</v>
    <v>2017</v>
  </rv>
  <rv s="2">
    <v>638</v>
  </rv>
  <rv s="0">
    <v>https://www.bing.com/financeapi/forcetrigger?t=a1vlu2&amp;q=XNAS%3aINSG&amp;form=skydnc</v>
    <v>Learn more on Bing</v>
  </rv>
  <rv s="1">
    <v>0</v>
    <v>INSEEGO CORP. (XNAS:INSG)</v>
    <v>2</v>
    <v>3</v>
    <v>Finance</v>
    <v>4</v>
    <v>en-US</v>
    <v>a1vlu2</v>
    <v>268435456</v>
    <v>1</v>
    <v>Powered by Refinitiv</v>
    <v>18.11</v>
    <v>6.24</v>
    <v>1.2881</v>
    <v>0.25</v>
    <v>2.1459000000000002E-2</v>
    <v>USD</v>
    <v>Inseego Corp. is engaged in the design and development of cloud-managed wireless wide area network (WAN) and intelligent edge solutions. Its 5G WAN portfolio comprises secure and high-performance mobile broadband and fixed wireless access (FWA) solutions with associated cloud solutions for real time WAN visibility, monitoring, automation and control with centralized orchestration of network functions. These devices are specifically built for the carrier, enterprise and small and medium business market segments. It also provides a wireless subscriber management SaaS solution for carrier’s management of their government and complex enterprise customer subscriptions. Its 4G and 5G devices connect end users with high-performance broadband for both mobile and fixed wireless use cases. Its 5G products and associated cloud solutions are used in applications, such as broadband for both mobile and fixed use cases, enterprise networking and software-defined wide area network failover management.</v>
    <v>266</v>
    <v>Nasdaq Stock Market</v>
    <v>XNAS</v>
    <v>XNAS</v>
    <v>9710 SCRANTON ROAD, SUITE 200, SAN DIEGO, CA, 92121 US</v>
    <v>11.99</v>
    <v>Communications &amp; Networking</v>
    <v>Stock</v>
    <v>46106.61272957109</v>
    <v>640</v>
    <v>11.67</v>
    <v>193005267</v>
    <v>INSEEGO CORP.</v>
    <v>INSEEGO CORP.</v>
    <v>11.88</v>
    <v>0</v>
    <v>11.65</v>
    <v>11.9</v>
    <v>16218930</v>
    <v>INSG</v>
    <v>INSEEGO CORP. (XNAS:INSG)</v>
    <v>27166</v>
    <v>222580</v>
    <v>2016</v>
  </rv>
  <rv s="2">
    <v>641</v>
  </rv>
  <rv s="0">
    <v>https://www.bing.com/financeapi/forcetrigger?t=a1nfpr&amp;q=XNAS%3aAMOT&amp;form=skydnc</v>
    <v>Learn more on Bing</v>
  </rv>
  <rv s="1">
    <v>0</v>
    <v>Allient Inc. (XNAS:ALNT)</v>
    <v>2</v>
    <v>3</v>
    <v>Finance</v>
    <v>4</v>
    <v>en-US</v>
    <v>a1nfpr</v>
    <v>268435456</v>
    <v>1</v>
    <v>Powered by Refinitiv</v>
    <v>70</v>
    <v>19.25</v>
    <v>1.4933000000000001</v>
    <v>0.92</v>
    <v>1.4140999999999999E-2</v>
    <v>USD</v>
    <v>Allient Inc. is a global company that designs, manufactures and sells precision and specialty-controlled motion components and systems used in a broad range of industries. The Company’s products and solutions include nano-precision positioning systems, servo control systems, motion controllers, digital servo amplifiers and drives, brushless servo, torque, and coreless motors, brush motors, integrated motor-drives, gear motors, gearing, incremental and absolute optical encoders, active (electronic) and passive (magnetic) filters for power quality and harmonic issues, industrial safety rated input/output modules, universal industrial communications gateways, light-weighting technologies, and other controlled motion-related products. The Company sells component and integrated controlled motion solutions to end customers and original equipment manufacturers (OEMs) through its own direct sales force and authorized manufacturers’ representatives and distributors.</v>
    <v>2478</v>
    <v>Nasdaq Stock Market</v>
    <v>XNAS</v>
    <v>XNAS</v>
    <v>495 Commerce Drive, Suite 3, AMHERST, NY, 14228 US</v>
    <v>65.995000000000005</v>
    <v>Machinery, Equipment &amp; Components</v>
    <v>Stock</v>
    <v>46106.612606678122</v>
    <v>643</v>
    <v>65</v>
    <v>1117704499</v>
    <v>Allient Inc.</v>
    <v>Allient Inc.</v>
    <v>65.430000000000007</v>
    <v>59.0901</v>
    <v>65.06</v>
    <v>65.98</v>
    <v>16940050</v>
    <v>ALNT</v>
    <v>Allient Inc. (XNAS:ALNT)</v>
    <v>15373</v>
    <v>195811</v>
    <v>1962</v>
  </rv>
  <rv s="2">
    <v>644</v>
  </rv>
  <rv s="0">
    <v>https://www.bing.com/financeapi/forcetrigger?t=a263oc&amp;q=XNYS%3aWTTR&amp;form=skydnc</v>
    <v>Learn more on Bing</v>
  </rv>
  <rv s="1">
    <v>0</v>
    <v>SELECT WATER SOLUTIONS, INC. (XNYS:WTTR)</v>
    <v>2</v>
    <v>3</v>
    <v>Finance</v>
    <v>4</v>
    <v>en-US</v>
    <v>a263oc</v>
    <v>268435456</v>
    <v>1</v>
    <v>Powered by Refinitiv</v>
    <v>15.450100000000001</v>
    <v>7.2</v>
    <v>0.98340000000000005</v>
    <v>-7.0000000000000007E-2</v>
    <v>-4.7039999999999998E-3</v>
    <v>USD</v>
    <v>Select Water Solutions, Inc. is a provider of sustainable water and chemical solutions to the energy industry. The Company’s segments include Water Infrastructure, Water Services and Chemical Technologies. The Water Infrastructure segment consists of the Company’s fixed infrastructure assets, including operations associated with its water distribution pipeline infrastructure, its water recycling solutions, and its produced water pipeline gathering systems. The Water Services segment consists of the Company’s services businesses, including water sourcing, water transfer, flowback and well testing, fluids hauling, water monitoring, water containment and water network automation. The Chemical Technologies segment provides technical solutions, products and expertise related to chemical applications in the oil and gas industry. It develops, manufactures, manages logistics and provides a full suite of chemicals used in hydraulic fracturing, stimulation, and cementing.</v>
    <v>3300</v>
    <v>New York Stock Exchange</v>
    <v>XNYS</v>
    <v>XNYS</v>
    <v>1820 North I-35, GAINESVILLE, TX, 76240 US</v>
    <v>14.938599999999999</v>
    <v>Oil &amp; Gas Related Equipment and Services</v>
    <v>Stock</v>
    <v>46106.612733911716</v>
    <v>646</v>
    <v>14.62</v>
    <v>2031132260</v>
    <v>SELECT WATER SOLUTIONS, INC.</v>
    <v>SELECT WATER SOLUTIONS, INC.</v>
    <v>14.734999999999999</v>
    <v>71.823499999999996</v>
    <v>14.88</v>
    <v>14.81</v>
    <v>137146000</v>
    <v>WTTR</v>
    <v>SELECT WATER SOLUTIONS, INC. (XNYS:WTTR)</v>
    <v>90043</v>
    <v>2128583</v>
    <v>2016</v>
  </rv>
  <rv s="2">
    <v>647</v>
  </rv>
  <rv s="0">
    <v>https://www.bing.com/financeapi/forcetrigger?t=a2cez2&amp;q=XNAS%3aCLSK&amp;form=skydnc</v>
    <v>Learn more on Bing</v>
  </rv>
  <rv s="1">
    <v>0</v>
    <v>CLEANSPARK, INC. (XNAS:CLSK)</v>
    <v>2</v>
    <v>3</v>
    <v>Finance</v>
    <v>4</v>
    <v>en-US</v>
    <v>a2cez2</v>
    <v>268435456</v>
    <v>1</v>
    <v>Powered by Refinitiv</v>
    <v>23.61</v>
    <v>6.452</v>
    <v>3.4943</v>
    <v>0.6</v>
    <v>6.2630000000000005E-2</v>
    <v>USD</v>
    <v>CleanSpark, Inc. is a bitcoin mining company. The Company independently owns and operates data centers across the United States with locations in Georgia, Mississippi, Tennessee and Wyoming for a total contracted power capacity of approximately 853 megawatts (MW). The Company designs its infrastructure to responsibly secure and support the bitcoin network. Its operating mining units are capable of producing over 40 exahashes per second (EH/s) of computing power. The Company operates approximately 188,500 bitcoin mining machines, with a hashrate capacity of approximately 27.6 EH/s and a fleetwide efficiency of 21.94 joules per terahash (J/TH). The Company's subsidiaries include ATL Data Centers LLC, CleanBlok, Inc., CleanSpark DW, LLC, CleanSpark GLP, LLC, CSRE Properties Washington, LLC, CSRE Properties Dalton, LLC, CSRE Property Management Company, LLC, and CSRE Properties Norcross, LLC, among others.</v>
    <v>314</v>
    <v>Nasdaq Stock Market</v>
    <v>XNAS</v>
    <v>XNAS</v>
    <v>10624 S. Eastern Ave., Suite A - 638, HENDERSON, NV, 89052 US</v>
    <v>10.35</v>
    <v>Financial Technology (Fintech) &amp; Infrastructure</v>
    <v>Stock</v>
    <v>46106.612747765626</v>
    <v>649</v>
    <v>9.9250000000000007</v>
    <v>2603564522</v>
    <v>CLEANSPARK, INC.</v>
    <v>CLEANSPARK, INC.</v>
    <v>10.06</v>
    <v>0</v>
    <v>9.58</v>
    <v>10.18</v>
    <v>255752900</v>
    <v>CLSK</v>
    <v>CLEANSPARK, INC. (XNAS:CLSK)</v>
    <v>9282147</v>
    <v>19483191</v>
    <v>1987</v>
  </rv>
  <rv s="2">
    <v>650</v>
  </rv>
  <rv s="0">
    <v>https://www.bing.com/financeapi/forcetrigger?t=a2w6qh&amp;q=XNAS%3aSMLR&amp;form=skydnc</v>
    <v>Learn more on Bing</v>
  </rv>
  <rv s="13">
    <v>20</v>
    <v>SEMLER SCIENTIFIC, INC. (XNAS:SMLR)</v>
    <v>2</v>
    <v>3</v>
    <v>Finance</v>
    <v>21</v>
    <v>en-US</v>
    <v>a2w6qh</v>
    <v>268435456</v>
    <v>1</v>
    <v>1</v>
    <v>Powered by Refinitiv</v>
    <v>66.5</v>
    <v>14.885</v>
    <v>1.3234999999999999</v>
    <v>0</v>
    <v>0</v>
    <v>USD</v>
    <v>Semler Scientific, Inc. is engaged in developing and marketing technology products and services to healthcare providers to combat chronic diseases. The Company's flagship product, QuantaFlo, which is patented and cleared by the United States Food and Drug Administration (FDA), is a rapid point-of-care test that measures arterial blood flow in the extremities. The QuantaFlo test aids in the diagnosis of cardiovascular diseases, such as peripheral arterial disease (PAD), and the Company is seeking a new 510(k) clearance for expanded-indications. QuantaFlo is used by healthcare providers to evaluate their patient's risk of mortality and major adverse cardiovascular events (MACE). QuantaFlo features a sensor clamp that is placed on the toe or finger. A blood flow waveform is instantaneously constructed by its software algorithm. The Company delivers QuantaFlo directly to its customers. The Company also invests in bitcoin and has adopted Bitcoin as its primary treasury asset.</v>
    <v>79</v>
    <v>Nasdaq Stock Market</v>
    <v>XNAS</v>
    <v>XNAS</v>
    <v>51 E Campbell Ave, Suite 107-D, CAMPBELL, CA, 95008 US</v>
    <v>21.39</v>
    <v>Healthcare Equipment &amp; Supplies</v>
    <v>Stock</v>
    <v>46037.982496735938</v>
    <v>652</v>
    <v>20.27</v>
    <v>310745879</v>
    <v>SEMLER SCIENTIFIC, INC.</v>
    <v>SEMLER SCIENTIFIC, INC.</v>
    <v>21.37</v>
    <v>5.4336000000000002</v>
    <v>21.37</v>
    <v>20.329999999999998</v>
    <v>15285090</v>
    <v>SMLR</v>
    <v>SEMLER SCIENTIFIC, INC. (XNAS:SMLR)</v>
    <v>1624179</v>
    <v>585701</v>
    <v>2013</v>
  </rv>
  <rv s="2">
    <v>653</v>
  </rv>
  <rv s="3">
    <v>5</v>
    <v>USA RARE EARTH, INC. (XNAS:USAR)</v>
    <v>6</v>
    <v>3</v>
    <v>Finance</v>
    <v>4</v>
    <v>en-US</v>
    <v>cacgnm</v>
    <v>268435456</v>
    <v>1</v>
    <v>Powered by Refinitiv</v>
    <v>43.98</v>
    <v>5.56</v>
    <v>-1.607</v>
    <v>0.54</v>
    <v>3.2530000000000003E-2</v>
    <v>USD</v>
    <v>USA Rare Earth, Inc. is a supplier of sintered neo magnets and other rare earth metals. The Company is engaged in developing a NdFeB magnet manufacturing plant in Stillwater, Oklahoma, and intends to establish domestic rare earth and critical minerals supply, extraction, and processing capabilities to both supply its magnet manufacturing plant and market surplus materials to third parties. It is focused on developing domestic rare earth production that offers sustainable and secure domestic supply of materials critical to key industries. Its vertically integrated approach consists of sourcing rare earth elements (REEs), in addition to other critical minerals such as gallium, to producing finished NdFeB magnets. The Company serve a variety of industries, such as defense, robotics, electric vehicles, wind power, appliances, cordless tools and computing and semiconductors. The Company owns, Less Common Metals Ltd., which is a scaled ex-China rare earth metal and alloy manufacturer.</v>
    <v>29</v>
    <v>Nasdaq Stock Market</v>
    <v>XNAS</v>
    <v>XNAS</v>
    <v>100 W Airport Road, STILLWATER, OK, 74075 US</v>
    <v>17.600000000000001</v>
    <v>Metals &amp; Mining</v>
    <v>Stock</v>
    <v>46106.612698760939</v>
    <v>17.079999999999998</v>
    <v>3735501884</v>
    <v>USA RARE EARTH, INC.</v>
    <v>USA RARE EARTH, INC.</v>
    <v>17.079999999999998</v>
    <v>0</v>
    <v>16.600000000000001</v>
    <v>17.14</v>
    <v>217940600</v>
    <v>USAR</v>
    <v>USA RARE EARTH, INC. (XNAS:USAR)</v>
    <v>3124279</v>
    <v>13487643</v>
    <v>2025</v>
  </rv>
  <rv s="2">
    <v>655</v>
  </rv>
  <rv s="0">
    <v>https://www.bing.com/financeapi/forcetrigger?t=a1qgzr&amp;q=XNYS%3aLUMN&amp;form=skydnc</v>
    <v>Learn more on Bing</v>
  </rv>
  <rv s="10">
    <v>18</v>
    <v>LUMEN TECHNOLOGIES, INC. (XNYS:LUMN)</v>
    <v>2</v>
    <v>8</v>
    <v>Finance</v>
    <v>4</v>
    <v>en-US</v>
    <v>a1qgzr</v>
    <v>268435456</v>
    <v>1</v>
    <v>Powered by Refinitiv</v>
    <v>11.95</v>
    <v>3.01</v>
    <v>1.5552999999999999</v>
    <v>0.215</v>
    <v>3.1663999999999998E-2</v>
    <v>USD</v>
    <v>Lumen Technologies, Inc. is a digital networking services company. The Company is engaged in building fiber network designed to support artificial intelligence (AI), advanced cloud, and edge workloads. It is engaged in providing an array of integrated products and services to its domestic and global business customers and its domestic mass market customers. The Company conducts its operations under four brands: Lumen, which is its flagship brand for serving the enterprise and wholesale markets, including its Private Connectivity Fabric (PCF) network architecture, Lumen Digital products, and its priority services including Edge, Network-as-a-Service and cybersecurity; CenturyLink, which is engaged in providing primarily mass-marketed copper-based communications services, and Black Lotus Labs, which is its cyberthreat research and intelligence arm.</v>
    <v>24000</v>
    <v>New York Stock Exchange</v>
    <v>XNYS</v>
    <v>XNYS</v>
    <v>P O BOX 4065, 100 CENTURYLINK DR, MONROE, LA, 71203 US</v>
    <v>7.0350000000000001</v>
    <v>Telecommunications Services</v>
    <v>Stock</v>
    <v>46106.612751839843</v>
    <v>657</v>
    <v>6.9</v>
    <v>7175711850</v>
    <v>LUMEN TECHNOLOGIES, INC.</v>
    <v>LUMEN TECHNOLOGIES, INC.</v>
    <v>6.9349999999999996</v>
    <v>6.79</v>
    <v>7.0049999999999999</v>
    <v>1024370000</v>
    <v>LUMN</v>
    <v>LUMEN TECHNOLOGIES, INC. (XNYS:LUMN)</v>
    <v>1618780</v>
    <v>11694424</v>
    <v>1968</v>
  </rv>
  <rv s="2">
    <v>658</v>
  </rv>
  <rv s="0">
    <v>https://www.bing.com/financeapi/forcetrigger?t=bot5cw&amp;q=XNAS%3aNFE&amp;form=skydnc</v>
    <v>Learn more on Bing</v>
  </rv>
  <rv s="1">
    <v>0</v>
    <v>NEW FORTRESS ENERGY INC. (XNAS:NFE)</v>
    <v>2</v>
    <v>3</v>
    <v>Finance</v>
    <v>4</v>
    <v>en-US</v>
    <v>bot5cw</v>
    <v>268435456</v>
    <v>1</v>
    <v>Powered by Refinitiv</v>
    <v>12.59</v>
    <v>0.68010000000000004</v>
    <v>1.1375</v>
    <v>-3.6999999999999998E-2</v>
    <v>-5.1139999999999998E-2</v>
    <v>USD</v>
    <v>New Fortress Energy Inc. is a global energy infrastructure company. The Company owns and operates natural gas and liquefied natural gas (LNG) infrastructure and an integrated fleet of ships and logistics assets to deliver turnkey energy solutions to global markets. Its segments include Terminals and Infrastructure, and Ships. The Terminals and Infrastructure segment includes the entire production and delivery chain from natural gas procurement and liquefaction to logistics, shipping, facilities and conversion or development of natural gas-fired power generation. The Company sources LNG from long-term supply agreements with third-party suppliers. The Terminals and Infrastructure segment includes all terminal operations in Puerto Rico, Mexico and Brazil, as well as vessels utilized in its terminal or logistics operations. The Ships segment includes certain vessels which are chartered under long-term arrangements to third parties and are part of the Energos Formation Transaction.</v>
    <v>722</v>
    <v>Nasdaq Stock Market</v>
    <v>XNAS</v>
    <v>XNAS</v>
    <v>111 W 19th St, NEW YORK, NY, 10011-4115 US</v>
    <v>0.74650000000000005</v>
    <v>Natural Gas Utilities</v>
    <v>Stock</v>
    <v>46106.612808344529</v>
    <v>660</v>
    <v>0.68010000000000004</v>
    <v>195345497</v>
    <v>NEW FORTRESS ENERGY INC.</v>
    <v>NEW FORTRESS ENERGY INC.</v>
    <v>0.74329999999999996</v>
    <v>0</v>
    <v>0.72350000000000003</v>
    <v>0.6865</v>
    <v>284552800</v>
    <v>NFE</v>
    <v>NEW FORTRESS ENERGY INC. (XNAS:NFE)</v>
    <v>5870632</v>
    <v>18311714</v>
    <v>2018</v>
  </rv>
  <rv s="2">
    <v>661</v>
  </rv>
  <rv s="0">
    <v>https://www.bing.com/financeapi/forcetrigger?t=c4e5vh&amp;q=XNYS%3aNU&amp;form=skydnc</v>
    <v>Learn more on Bing</v>
  </rv>
  <rv s="1">
    <v>0</v>
    <v>Nu Holdings Ltd (XNYS:NU)</v>
    <v>2</v>
    <v>3</v>
    <v>Finance</v>
    <v>4</v>
    <v>en-US</v>
    <v>c4e5vh</v>
    <v>268435456</v>
    <v>1</v>
    <v>Powered by Refinitiv</v>
    <v>18.98</v>
    <v>9.01</v>
    <v>1.1176999999999999</v>
    <v>0.33500000000000002</v>
    <v>2.3607999999999997E-2</v>
    <v>USD</v>
    <v>Nu Holdings Ltd is a Brazil-based holding company, which engages in the provision of digital banking services. The Company offers its customers products across the five financial seasons: spending, saving, investing, borrowing, and protecting. Its spending solutions are designed to help customers pay for goods and services in their everyday lives with a customized credit line or instantly through a mobile phone, while collecting loyalty points and rewards on applicable transactions. Its savings solutions are designed to help customers deposit, manage, and save their money in interest-earning accounts with complementary debit cards. Its investing solutions are designed to help customers invest their money in investment products and services. Its borrowing solutions are designed to provide customers with unsecured loans that are easy to receive, manage, and pay back. Its protecting solutions are designed to help customers secure life insurance and funeral benefits.</v>
    <v>8716</v>
    <v>New York Stock Exchange</v>
    <v>XNYS</v>
    <v>XNYS</v>
    <v>Rua Capote Valente, 39, Pinheiros, SAO PAULO, SAO PAULO, 05.409-000 BR</v>
    <v>14.69</v>
    <v>Banking Services</v>
    <v>Stock</v>
    <v>46106.612718147655</v>
    <v>663</v>
    <v>14.465</v>
    <v>70381991400</v>
    <v>Nu Holdings Ltd</v>
    <v>Nu Holdings Ltd</v>
    <v>14.61</v>
    <v>24.6982</v>
    <v>14.19</v>
    <v>14.525</v>
    <v>4845576000</v>
    <v>NU</v>
    <v>Nu Holdings Ltd (XNYS:NU)</v>
    <v>5766965</v>
    <v>63947093</v>
    <v>2016</v>
  </rv>
  <rv s="2">
    <v>664</v>
  </rv>
  <rv s="0">
    <v>https://www.bing.com/financeapi/forcetrigger?t=a1mvdm&amp;q=XNAS%3aADES&amp;form=skydnc</v>
    <v>Learn more on Bing</v>
  </rv>
  <rv s="1">
    <v>0</v>
    <v>ARQ, INC. (XNAS:ARQ)</v>
    <v>2</v>
    <v>3</v>
    <v>Finance</v>
    <v>4</v>
    <v>en-US</v>
    <v>a1mvdm</v>
    <v>268435456</v>
    <v>1</v>
    <v>Powered by Refinitiv</v>
    <v>7.89</v>
    <v>1.54</v>
    <v>2.1154000000000002</v>
    <v>0.245</v>
    <v>0.10515000000000001</v>
    <v>USD</v>
    <v>Arq, Inc. is a diversified environmental technology. The Company is a vertically integrated producer of activated carbon products in North America. It is engaged in the sale of consumable air, water, and soil treatment solutions, primarily based on activated carbon (AC). It manufactures and sells AC and other chemicals used to capture and remove impurities, contaminants and pollutants for the coal-fired power generation, industrial, water treatment, and water and soil remediation markets, which it collectively refers to as the advanced purification technologies (APT) market. Its AC products include both powdered activated carbon and granular activated carbon. It also owns the Five Forks Mine, a lignite coal mine that supplies the primary raw material for the manufacturing of its products. Its products are used to purify contaminated liquid, soil, and gas streams from a variety of industrial sources, including wastewater treatment plants, coal-fired power plants and other end markets.</v>
    <v>201</v>
    <v>Nasdaq Stock Market</v>
    <v>XNAS</v>
    <v>XNAS</v>
    <v>8051 E. Maplewood Ave., Ste 210, GREENWOOD VILLAGE, CO, 80111 US</v>
    <v>2.58</v>
    <v>Chemicals</v>
    <v>Stock</v>
    <v>46106.61272376094</v>
    <v>666</v>
    <v>2.4</v>
    <v>110336818</v>
    <v>ARQ, INC.</v>
    <v>ARQ, INC.</v>
    <v>2.4300000000000002</v>
    <v>0</v>
    <v>2.33</v>
    <v>2.5750000000000002</v>
    <v>42849250</v>
    <v>ARQ</v>
    <v>ARQ, INC. (XNAS:ARQ)</v>
    <v>607446</v>
    <v>1422137</v>
    <v>2011</v>
  </rv>
  <rv s="2">
    <v>667</v>
  </rv>
  <rv s="0">
    <v>https://www.bing.com/financeapi/forcetrigger?t=a263r7&amp;q=XNAS%3aWW&amp;form=skydnc</v>
    <v>Learn more on Bing</v>
  </rv>
  <rv s="19">
    <v>36</v>
    <v>WW International, Inc. (OTCM:WGHTQ)</v>
    <v>2</v>
    <v>37</v>
    <v>Finance</v>
    <v>38</v>
    <v>en-US</v>
    <v>a263r7</v>
    <v>268435456</v>
    <v>1</v>
    <v>Powered by Refinitiv</v>
    <v>2.1800000000000002</v>
    <v>0.1172</v>
    <v>-1.556</v>
    <v>1.7500000000000002E-2</v>
    <v>6.0449000000000003E-2</v>
    <v>0</v>
    <v>0</v>
    <v>USD</v>
    <v>WW International, Inc. provides science-backed weight loss and weight management programs. The Company provides an accessible, holistic model of care through its doctor-recommended Points Program, clinical interventions including weight-loss medications, and community support. Its weight-loss and weight management programs are focused on nutritional and behavior change science. They are comprised of a range of science-based nutritional, activity, behavioral and lifestyle tools and approaches that can be tailored for individual weight goals and, if needed, support the various needs of people taking GLP-1 medications. Its offerings include Behavior Change Programs, WeightWatchers Clinic, Licensing and Consumer Product Sales. Its subscription businesses include digital business, workshops + digital business, clinical business and WeightWatchers for business offering nutritional and behavior change science. Its WW-branded products include bars, snacks, cookbooks and kitchen tools.</v>
    <v>3500</v>
    <v>OTC Markets</v>
    <v>OTCM</v>
    <v>OTCM</v>
    <v>18 West 18Th Street, 7Th Floor, NEW YORK, NY, 10011 US</v>
    <v>0.33489999999999998</v>
    <v>Personal &amp; Household Products &amp; Services</v>
    <v>Stock</v>
    <v>45833.006944444445</v>
    <v>669</v>
    <v>0.27</v>
    <v>23334730</v>
    <v>WW International, Inc.</v>
    <v>WW International, Inc.</v>
    <v>0.28010000000000002</v>
    <v>0</v>
    <v>0.28949999999999998</v>
    <v>0.307</v>
    <v>0.307</v>
    <v>9996470</v>
    <v>WGHTQ</v>
    <v>WW International, Inc. (OTCM:WGHTQ)</v>
    <v>2216593</v>
    <v>63198812</v>
    <v>1974</v>
  </rv>
  <rv s="2">
    <v>670</v>
  </rv>
  <rv s="3">
    <v>5</v>
    <v>DEFI DEVELOPMENT CORP. (XNAS:DFDV)</v>
    <v>6</v>
    <v>3</v>
    <v>Finance</v>
    <v>4</v>
    <v>en-US</v>
    <v>c7qqyc</v>
    <v>268435456</v>
    <v>1</v>
    <v>Powered by Refinitiv</v>
    <v>53.88</v>
    <v>0.57140000000000002</v>
    <v>2.8490000000000002</v>
    <v>0.09</v>
    <v>2.2166999999999999E-2</v>
    <v>USD</v>
    <v>DeFi Development Corp., formerly Janover Inc., provides an artificial intelligence-powered online platform that connects with the commercial real estate industry. It provides data and software subscriptions, and value-added services to multifamily and commercial property professionals. It intends to provide investors with a way to access the Solana ecosystem. Its key treasury disclosures, including Solana balances, SOL per share, and other key metrics provide public market investors with clear visibility into treasury positioning. It serves over one million Web users annually, including multifamily and commercial property owners and developers applying for billions of dollars of debt financing per year, professional service providers, and thousands of multifamily and commercial property lenders, including more than 10% of the banks in America, credit unions, real estate investment trusts, debt funds, Fannie Mae and Freddie Mac multifamily lenders, FHA multifamily lenders, and more.</v>
    <v>14</v>
    <v>Nasdaq Stock Market</v>
    <v>XNAS</v>
    <v>XNAS</v>
    <v>6401 Congress Avenue, Suite 250, BOCA RATON, FL, 33487 US</v>
    <v>4.3</v>
    <v>Financial Technology (Fintech) &amp; Infrastructure</v>
    <v>Stock</v>
    <v>46106.612727360938</v>
    <v>4.12</v>
    <v>124055120</v>
    <v>DEFI DEVELOPMENT CORP.</v>
    <v>DEFI DEVELOPMENT CORP.</v>
    <v>4.2300000000000004</v>
    <v>1.6917</v>
    <v>4.0599999999999996</v>
    <v>4.1500000000000004</v>
    <v>29892800</v>
    <v>DFDV</v>
    <v>DEFI DEVELOPMENT CORP. (XNAS:DFDV)</v>
    <v>450607</v>
    <v>1161651</v>
    <v>2021</v>
  </rv>
  <rv s="2">
    <v>672</v>
  </rv>
  <rv s="0">
    <v>https://www.bing.com/financeapi/forcetrigger?t=bt6tzr&amp;q=XNYS%3aBILL&amp;form=skydnc</v>
    <v>Learn more on Bing</v>
  </rv>
  <rv s="1">
    <v>0</v>
    <v>BILL HOLDINGS, INC. (XNYS:BILL)</v>
    <v>2</v>
    <v>3</v>
    <v>Finance</v>
    <v>4</v>
    <v>en-US</v>
    <v>bt6tzr</v>
    <v>268435456</v>
    <v>1</v>
    <v>Powered by Refinitiv</v>
    <v>57.21</v>
    <v>35.457500000000003</v>
    <v>1.3241000000000001</v>
    <v>0.43</v>
    <v>1.1169E-2</v>
    <v>USD</v>
    <v>BILL Holdings, Inc. provides a financial operations platform for small and midsize businesses (SMBs). The Company offers software-as-a-service, cloud-based payments, and spend and expense management products, which allow users to automate accounts payable and accounts receivable transactions, enable businesses to easily connect with their suppliers and/or customers to do business, eliminate expense reports, manage cash flows, and improve back-office efficiency. Its artificial intelligence (AI)-enabled financial software platform creates seamless connections between its customers, their suppliers, and their clients. Businesses on its platform generate and process invoices, streamline approvals, make and receive payments, manage employee expenses, sync with their accounting system, foster collaboration, and manage their cash flow. Its integrated platform also includes BILL Spend and Expense, its spend and expense management product, which provides a solution for businesses.</v>
    <v>2364</v>
    <v>New York Stock Exchange</v>
    <v>XNYS</v>
    <v>XNYS</v>
    <v>6220 America Center Dr., Suite 100, SAN JOSE, CA, 95002 US</v>
    <v>40.07</v>
    <v>Software &amp; IT Services</v>
    <v>Stock</v>
    <v>46106.612720300778</v>
    <v>674</v>
    <v>38.89</v>
    <v>3852529929</v>
    <v>BILL HOLDINGS, INC.</v>
    <v>BILL HOLDINGS, INC.</v>
    <v>39.82</v>
    <v>0</v>
    <v>38.5</v>
    <v>38.93</v>
    <v>98960440</v>
    <v>BILL</v>
    <v>BILL HOLDINGS, INC. (XNYS:BILL)</v>
    <v>239946</v>
    <v>1899943</v>
    <v>2018</v>
  </rv>
  <rv s="2">
    <v>675</v>
  </rv>
  <rv s="0">
    <v>https://www.bing.com/financeapi/forcetrigger?t=a1my8m&amp;q=XNYS%3aAEO&amp;form=skydnc</v>
    <v>Learn more on Bing</v>
  </rv>
  <rv s="1">
    <v>0</v>
    <v>AMERICAN EAGLE OUTFITTERS, INC. (XNYS:AEO)</v>
    <v>2</v>
    <v>3</v>
    <v>Finance</v>
    <v>4</v>
    <v>en-US</v>
    <v>a1my8m</v>
    <v>268435456</v>
    <v>1</v>
    <v>Powered by Refinitiv</v>
    <v>28.46</v>
    <v>9.27</v>
    <v>1.4782999999999999</v>
    <v>0.24</v>
    <v>1.4705999999999999E-2</v>
    <v>USD</v>
    <v>American Eagle Outfitters, Inc. is a global specialty retailer. The Company offers clothing, accessories and personal care products under its American Eagle and Aerie brands. The Company operates through two segments: American Eagle and Aerie. American Eagle is an American jeans and apparel brand. Aerie is a lifestyle brand offering intimates, apparel, activewear, and swim collections. OFFLINE by Aerie offers a complete collection of activewear and accessories. The Company sells its products directly to consumers through its retail channel, which includes its stores and concession-based shops-within-shops. It operates stores in the United States, Canada, Mexico, and Hong Kong. The Company has license agreements with third parties to operate American Eagle and Aerie stores and online marketplace businesses throughout Asia, including India, Europe, Latin America, and the Middle East. The Company also operates Todd Snyder New York (Todd Snyder), a premium menswear brand.</v>
    <v>9000</v>
    <v>New York Stock Exchange</v>
    <v>XNYS</v>
    <v>XNYS</v>
    <v>77 Hot Metal St, PITTSBURGH, PA, 15203 US</v>
    <v>16.965</v>
    <v>Specialty Retailers</v>
    <v>Stock</v>
    <v>46106.61275461797</v>
    <v>677</v>
    <v>16.45</v>
    <v>2807118720</v>
    <v>AMERICAN EAGLE OUTFITTERS, INC.</v>
    <v>AMERICAN EAGLE OUTFITTERS, INC.</v>
    <v>16.63</v>
    <v>14.273400000000001</v>
    <v>16.32</v>
    <v>16.559999999999999</v>
    <v>169512000</v>
    <v>AEO</v>
    <v>AMERICAN EAGLE OUTFITTERS, INC. (XNYS:AEO)</v>
    <v>1025853</v>
    <v>6315783</v>
    <v>1972</v>
  </rv>
  <rv s="2">
    <v>678</v>
  </rv>
  <rv s="0">
    <v>https://www.bing.com/financeapi/forcetrigger?t=a254mw&amp;q=XNYS%3aUTI&amp;form=skydnc</v>
    <v>Learn more on Bing</v>
  </rv>
  <rv s="1">
    <v>0</v>
    <v>UNIVERSAL TECHNICAL INSTITUTE, INC. (XNYS:UTI)</v>
    <v>2</v>
    <v>3</v>
    <v>Finance</v>
    <v>4</v>
    <v>en-US</v>
    <v>a254mw</v>
    <v>268435456</v>
    <v>1</v>
    <v>Powered by Refinitiv</v>
    <v>39.979999999999997</v>
    <v>21.29</v>
    <v>1.2956000000000001</v>
    <v>0.72499999999999998</v>
    <v>1.8536999999999998E-2</v>
    <v>USD</v>
    <v>Universal Technical Institute, Inc. is a workforce solutions provider of transportation, skilled trades and healthcare education programs. Its segments include Universal Technical Institute (UTI) and Concorde Career Colleges (Concorde). UTI segment operates 16 campuses located in nine states and offers a range of degree and non-degree transportation and skilled trades technical training programs under brands, such as Universal Technical Institute, Motorcycle Mechanics Institute and Marine Mechanics Institute, NASCAR Technical Institute, and MIAT College of Technology. UTI also offers manufacturer specific advanced training programs, including student-paid electives, at its campuses and manufacturer or dealer-sponsored training at certain campuses and dedicated training centers. Concorde segment operates 17 campuses located in eight states and online, offering degree, non-degree, and continuing education programs in the allied health, dental, nursing, patient care and diagnostic fields.</v>
    <v>4100</v>
    <v>New York Stock Exchange</v>
    <v>XNYS</v>
    <v>XNYS</v>
    <v>4225 East Windrose Drive, Suite 200, PHOENIX, AZ, 85032 US</v>
    <v>39.979999999999997</v>
    <v>Professional &amp; Business Education</v>
    <v>Stock</v>
    <v>46106.612736075782</v>
    <v>680</v>
    <v>38.997300000000003</v>
    <v>2191742015</v>
    <v>UNIVERSAL TECHNICAL INSTITUTE, INC.</v>
    <v>UNIVERSAL TECHNICAL INSTITUTE, INC.</v>
    <v>39.549999999999997</v>
    <v>41.348300000000002</v>
    <v>39.11</v>
    <v>39.835000000000001</v>
    <v>55020510</v>
    <v>UTI</v>
    <v>UNIVERSAL TECHNICAL INSTITUTE, INC. (XNYS:UTI)</v>
    <v>110180</v>
    <v>820134</v>
    <v>1997</v>
  </rv>
  <rv s="2">
    <v>681</v>
  </rv>
  <rv s="0">
    <v>https://www.bing.com/financeapi/forcetrigger?t=a24xlh&amp;q=XNYS%3aUNH&amp;form=skydnc</v>
    <v>Learn more on Bing</v>
  </rv>
  <rv s="1">
    <v>0</v>
    <v>UNITEDHEALTH GROUP INCORPORATED (XNYS:UNH)</v>
    <v>2</v>
    <v>3</v>
    <v>Finance</v>
    <v>4</v>
    <v>en-US</v>
    <v>a24xlh</v>
    <v>268435456</v>
    <v>1</v>
    <v>Powered by Refinitiv</v>
    <v>606.36</v>
    <v>234.6</v>
    <v>0.40479999999999999</v>
    <v>-2.98</v>
    <v>-1.0945E-2</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offers comprehensive and patient-centered care, addressing the physical, mental, social, and financial well-being. Optum Health delivers primary, specialty and surgical care;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276.08</v>
    <v>Healthcare Providers &amp; Services</v>
    <v>Stock</v>
    <v>46106.612811550782</v>
    <v>683</v>
    <v>268.81</v>
    <v>244437092940</v>
    <v>UNITEDHEALTH GROUP INCORPORATED</v>
    <v>UNITEDHEALTH GROUP INCORPORATED</v>
    <v>274.72000000000003</v>
    <v>20.411100000000001</v>
    <v>272.27999999999997</v>
    <v>269.3</v>
    <v>907675800</v>
    <v>UNH</v>
    <v>UNITEDHEALTH GROUP INCORPORATED (XNYS:UNH)</v>
    <v>1616610</v>
    <v>8658851</v>
    <v>2015</v>
  </rv>
  <rv s="2">
    <v>684</v>
  </rv>
  <rv s="0">
    <v>https://www.bing.com/financeapi/forcetrigger?t=a1sr6h&amp;q=XNAS%3aFEIM&amp;form=skydnc</v>
    <v>Learn more on Bing</v>
  </rv>
  <rv s="1">
    <v>0</v>
    <v>FREQUENCY ELECTRONICS, INC. (XNAS:FEIM)</v>
    <v>2</v>
    <v>3</v>
    <v>Finance</v>
    <v>4</v>
    <v>en-US</v>
    <v>a1sr6h</v>
    <v>268435456</v>
    <v>1</v>
    <v>Powered by Refinitiv</v>
    <v>61.47</v>
    <v>14.41</v>
    <v>0.47020000000000001</v>
    <v>2.84</v>
    <v>6.7473999999999992E-2</v>
    <v>USD</v>
    <v>Frequency Electronics, Inc. is engaged in the design, development and manufacture of precision timing, frequency generation and radio frequency control products for space and terrestrial applications. The Company operates through two segments: FEI-NY and FEI-Zyfer. FEI-NY segment provides precision time, frequency generation and synchronization products and subsystems that are found on-board satellites, in ground-based communication systems and imbedded in mobile platforms operated by the United States military. FEI-Zyfer designs, develops, and manufactures products which provide Precision Navigation and Timing (PNT), primarily incorporating Global Navigation Satellite System(s) technology. FEI-Zyfers products make use of both in-the-clear civil and crypto-secured military signals for global positioning systems (GPS). FEI-Zyfers products are integrated into radar systems, information networks, test equipment, military command and control terminals, and satellite ground stations.</v>
    <v>216</v>
    <v>Nasdaq Stock Market</v>
    <v>XNAS</v>
    <v>XNAS</v>
    <v>55 Charles Lindbergh Blvd, UNIONDALE, NY, 11553-3664 US</v>
    <v>45.7</v>
    <v>Machinery, Equipment &amp; Components</v>
    <v>Stock</v>
    <v>46106.612481909375</v>
    <v>686</v>
    <v>43.04</v>
    <v>442197914</v>
    <v>FREQUENCY ELECTRONICS, INC.</v>
    <v>FREQUENCY ELECTRONICS, INC.</v>
    <v>43.04</v>
    <v>20.6205</v>
    <v>42.09</v>
    <v>44.93</v>
    <v>9841930</v>
    <v>FEIM</v>
    <v>FREQUENCY ELECTRONICS, INC. (XNAS:FEIM)</v>
    <v>37542</v>
    <v>190790</v>
    <v>1968</v>
  </rv>
  <rv s="2">
    <v>687</v>
  </rv>
  <rv s="0">
    <v>https://www.bing.com/financeapi/forcetrigger?t=a1yrur&amp;q=XNAS%3aNTGR&amp;form=skydnc</v>
    <v>Learn more on Bing</v>
  </rv>
  <rv s="1">
    <v>0</v>
    <v>NETGEAR, INC. (XNAS:NTGR)</v>
    <v>2</v>
    <v>3</v>
    <v>Finance</v>
    <v>4</v>
    <v>en-US</v>
    <v>a1yrur</v>
    <v>268435456</v>
    <v>1</v>
    <v>Powered by Refinitiv</v>
    <v>36.861600000000003</v>
    <v>18.75</v>
    <v>1.0306</v>
    <v>-2.06</v>
    <v>-8.4219000000000002E-2</v>
    <v>USD</v>
    <v>NETGEAR, Inc. is engaged in providing networking technologies for businesses, homes, and service providers. The Company’s segments include NETGEAR for Business, Home Networking and Mobile. The NETGEAR for Business segment focuses on businesses and provides solutions for business networking, wireless local area network (LAN), audio and video over Ethernet for Pro AV applications, security and remote management. The Home Networking segment focuses on consumers and provides high-performance, dependable and easy-to-use WiFi Internet networking solutions such as WiFi 6, WiFi 6E and WiFi 7 Tri-band and Quad-band mesh systems, routers, and subscription services that provide consumers with a range of value-added services focused on performance, security, privacy, and premium support. The Mobile segment focuses on both consumers and businesses and provides high-performance Mobile (4G/5G) products, including WiFi 7, WiFi 6/6E-enabled portable mobile hotspots and mobile routers.</v>
    <v>753</v>
    <v>Nasdaq Stock Market</v>
    <v>XNAS</v>
    <v>XNAS</v>
    <v>3553 N. FIRST STREET, SAN JOSE, CA, 95134 US</v>
    <v>24.68</v>
    <v>Communications &amp; Networking</v>
    <v>Stock</v>
    <v>46106.612685173437</v>
    <v>689</v>
    <v>22.170100000000001</v>
    <v>629734560</v>
    <v>NETGEAR, INC.</v>
    <v>NETGEAR, INC.</v>
    <v>24.5</v>
    <v>0</v>
    <v>24.46</v>
    <v>22.4</v>
    <v>28113150</v>
    <v>NTGR</v>
    <v>NETGEAR, INC. (XNAS:NTGR)</v>
    <v>429114</v>
    <v>540836</v>
    <v>1996</v>
  </rv>
  <rv s="2">
    <v>690</v>
  </rv>
  <rv s="0">
    <v>https://www.bing.com/financeapi/forcetrigger?t=c2muc7&amp;q=XNYS%3aXPOF&amp;form=skydnc</v>
    <v>Learn more on Bing</v>
  </rv>
  <rv s="1">
    <v>0</v>
    <v>XPONENTIAL FITNESS, INC. (XNYS:XPOF)</v>
    <v>2</v>
    <v>3</v>
    <v>Finance</v>
    <v>4</v>
    <v>en-US</v>
    <v>c2muc7</v>
    <v>268435456</v>
    <v>1</v>
    <v>Powered by Refinitiv</v>
    <v>11.14</v>
    <v>3.83</v>
    <v>1.2726</v>
    <v>0.08</v>
    <v>1.3816999999999999E-2</v>
    <v>USD</v>
    <v>Xponential Fitness, Inc. is a global franchisor of boutique health and wellness brands. The Company operates a diversified platform of six brands spanning modalities including Pilates, barre, stretching, strength training and yoga. In partnership with its franchisees, it offers a personalized workout experience in studio locations throughout the United States and internationally, with franchise, master franchise and international expansion agreements. The Company’s portfolio of brands includes Club Pilates, the Pilates brand in the United States; StretchLab, a concept offering one-on-one and group stretching services; YogaSix, the franchised yoga brand in the United States; Pure Barre, a total body workout that uses the ballet barre to perform small isometric movements, and the Barre brand in the United States; BFT, a functional training and strength-based program.</v>
    <v>224</v>
    <v>New York Stock Exchange</v>
    <v>XNYS</v>
    <v>XNYS</v>
    <v>17877 Von Karman Ave, Suite 100, IRVINE, CA, 92614 US</v>
    <v>5.97</v>
    <v>Hotels &amp; Entertainment Services</v>
    <v>Stock</v>
    <v>46106.612579258595</v>
    <v>692</v>
    <v>5.76</v>
    <v>287923500</v>
    <v>XPONENTIAL FITNESS, INC.</v>
    <v>XPONENTIAL FITNESS, INC.</v>
    <v>5.9</v>
    <v>0</v>
    <v>5.79</v>
    <v>5.87</v>
    <v>49050000</v>
    <v>XPOF</v>
    <v>XPONENTIAL FITNESS, INC. (XNYS:XPOF)</v>
    <v>27370</v>
    <v>893727</v>
    <v>2020</v>
  </rv>
  <rv s="2">
    <v>693</v>
  </rv>
  <rv s="0">
    <v>https://www.bing.com/financeapi/forcetrigger?t=a1xcc7&amp;q=XNAS%3aMBOT&amp;form=skydnc</v>
    <v>Learn more on Bing</v>
  </rv>
  <rv s="1">
    <v>0</v>
    <v>MICROBOT MEDICAL INC. (XNAS:MBOT)</v>
    <v>2</v>
    <v>3</v>
    <v>Finance</v>
    <v>4</v>
    <v>en-US</v>
    <v>a1xcc7</v>
    <v>268435456</v>
    <v>1</v>
    <v>Powered by Refinitiv</v>
    <v>4.67</v>
    <v>1.35</v>
    <v>1.1740999999999999</v>
    <v>0.09</v>
    <v>3.6000000000000004E-2</v>
    <v>USD</v>
    <v>Microbot Medical Inc. is a pre-commercial stage medical technology company. It has developed the single-use, fully disposable endovascular robotic system, which aims to eliminate traditional barriers to accessing advanced robotic systems. It specializes in the research, design and development of robotic endoluminal surgery devices targeting the minimally invasive surgery space. Using its LIBERTY technological platform, it is developing a fully disposable robot for various endovascular interventional procedures. The LIBERTY Endovascular Robotic Surgical System is designed to maneuver guidewires and over-the-wire devices (such as microcatheters) within the body’s vasculature. It eliminates the need for extensive capital equipment requiring dedicated Cath-lab rooms as well as dedicated staff. Its addressable markets for the LIBERTY Endovascular Robotic Surgical System include the peripheral interventional radiology, interventional cardiology and interventional neuroradiology markets.</v>
    <v>21</v>
    <v>Nasdaq Stock Market</v>
    <v>XNAS</v>
    <v>XNAS</v>
    <v>175 Derby St Bld 27, HINGHAM, MA, 02043 US</v>
    <v>2.6150000000000002</v>
    <v>Biotechnology &amp; Medical Research</v>
    <v>Stock</v>
    <v>46106.612654536715</v>
    <v>695</v>
    <v>2.54</v>
    <v>173939323</v>
    <v>MICROBOT MEDICAL INC.</v>
    <v>MICROBOT MEDICAL INC.</v>
    <v>2.54</v>
    <v>0</v>
    <v>2.5</v>
    <v>2.59</v>
    <v>67158040</v>
    <v>MBOT</v>
    <v>MICROBOT MEDICAL INC. (XNAS:MBOT)</v>
    <v>286126</v>
    <v>2007375</v>
    <v>1988</v>
  </rv>
  <rv s="2">
    <v>696</v>
  </rv>
  <rv s="0">
    <v>https://www.bing.com/financeapi/forcetrigger?t=bkg1hw&amp;q=XNYS%3aESTC&amp;form=skydnc</v>
    <v>Learn more on Bing</v>
  </rv>
  <rv s="10">
    <v>18</v>
    <v>Elastic NV (XNYS:ESTC)</v>
    <v>2</v>
    <v>8</v>
    <v>Finance</v>
    <v>4</v>
    <v>en-US</v>
    <v>bkg1hw</v>
    <v>268435456</v>
    <v>1</v>
    <v>Powered by Refinitiv</v>
    <v>103.7936</v>
    <v>49.545000000000002</v>
    <v>1.0350999999999999</v>
    <v>0.93</v>
    <v>1.8724000000000001E-2</v>
    <v>USD</v>
    <v>Elastic NV is a Netherlands-based data analytics company. The Company’s platform, which is available as both a hosted, managed service across public clouds as well as self-managed software, allows its customers to find insights from large amounts of data and take action. The Company offers three search-powered solutions - Enterprise Search, Observability, and Security - that are built into the platform, which is built on the Elastic Stack, a set of software products that ingest data from any source, in any format, and perform search, analysis, and visualization of that data. The Company helps organizations, their employees, and their customers find what they need, while keeping mission-critical applications running smoothly, and protecting against cyber threats. The Company generates revenue primarily from sales of subscriptions to its platform.</v>
    <v>3921</v>
    <v>New York Stock Exchange</v>
    <v>XNYS</v>
    <v>XNYS</v>
    <v>Keizersgracht 281, AMSTERDAM, NOORD-HOLLAND, 1016 ED NL</v>
    <v>51.38</v>
    <v>Software &amp; IT Services</v>
    <v>Stock</v>
    <v>46106.612720520316</v>
    <v>698</v>
    <v>50.475000000000001</v>
    <v>5237150600</v>
    <v>Elastic NV</v>
    <v>Elastic NV</v>
    <v>50.9</v>
    <v>49.67</v>
    <v>50.6</v>
    <v>103501000</v>
    <v>ESTC</v>
    <v>Elastic NV (XNYS:ESTC)</v>
    <v>112538</v>
    <v>2802740</v>
    <v>2012</v>
  </rv>
  <rv s="2">
    <v>699</v>
  </rv>
  <rv s="0">
    <v>https://www.bing.com/financeapi/forcetrigger?t=a2wgdm&amp;q=OTCM%3aSNWV&amp;form=skydnc</v>
    <v>Learn more on Bing</v>
  </rv>
  <rv s="1">
    <v>0</v>
    <v>SANUWAVE HEALTH, INC. (XNAS:SNWV)</v>
    <v>2</v>
    <v>3</v>
    <v>Finance</v>
    <v>4</v>
    <v>en-US</v>
    <v>a2wgdm</v>
    <v>268435456</v>
    <v>1</v>
    <v>Powered by Refinitiv</v>
    <v>46.585000000000001</v>
    <v>19.55</v>
    <v>1.4439</v>
    <v>0.6</v>
    <v>2.9731999999999998E-2</v>
    <v>USD</v>
    <v>Sanuwave Health, Inc. is an ultrasound and shock wave technology company. It is a provider of wound care products. It is focused on the research, development, and commercialization of its patented, non-invasive, and biological response-activating medical systems for the repair and regeneration of skin, musculoskeletal tissue, and vascular structures. It applies and researches its patented energy transfer technologies in wound healing, orthopedic/spine, and aesthetic/cosmetic. Its two primary systems are UltraMIST and PACE. The UltraMIST system provides, through a fluid mist, low-frequency, non-contact, and pain free ultrasound energy deep inside the wound bed that promotes healing. The PACE systems use acoustic pressure shockwaves generated by the Company's Pulsed Acoustic Cellular Expression technology to converge at precise selected targets to produce short duration compression burst and are used in both wound and orthopedic applications under the brand names dermaPACE and others.</v>
    <v>46</v>
    <v>Nasdaq Stock Market</v>
    <v>XNAS</v>
    <v>XNAS</v>
    <v>9600 W. 6Th Sstreet, EDEN PRAIRIE, MN, 55344 US</v>
    <v>21</v>
    <v>Healthcare Equipment &amp; Supplies</v>
    <v>Stock</v>
    <v>46106.612519988281</v>
    <v>701</v>
    <v>20.399999999999999</v>
    <v>178212604</v>
    <v>SANUWAVE HEALTH, INC.</v>
    <v>SANUWAVE HEALTH, INC.</v>
    <v>20.399999999999999</v>
    <v>0</v>
    <v>20.18</v>
    <v>20.78</v>
    <v>8576160</v>
    <v>SNWV</v>
    <v>SANUWAVE HEALTH, INC. (XNAS:SNWV)</v>
    <v>11834</v>
    <v>59432</v>
    <v>2004</v>
  </rv>
  <rv s="2">
    <v>702</v>
  </rv>
  <rv s="0">
    <v>https://www.bing.com/financeapi/forcetrigger?t=c3orhw&amp;q=XNAS%3aAIP&amp;form=skydnc</v>
    <v>Learn more on Bing</v>
  </rv>
  <rv s="1">
    <v>0</v>
    <v>ARTERIS, INC. (XNAS:AIP)</v>
    <v>2</v>
    <v>3</v>
    <v>Finance</v>
    <v>4</v>
    <v>en-US</v>
    <v>c3orhw</v>
    <v>268435456</v>
    <v>1</v>
    <v>Powered by Refinitiv</v>
    <v>19.850000000000001</v>
    <v>5.46</v>
    <v>1.4336</v>
    <v>1.26</v>
    <v>7.6735999999999999E-2</v>
    <v>USD</v>
    <v>Arteris, Inc. is a provider of semiconductor system IP, including interconnect and other intellectual property, (collectively, System IP) technology. Its System IP technology manages the on-chip communications and IP block deployments in System-on-Chip (SoC) semiconductors and systems of chiplets. It provides semiconductor interconnect IP and SoC Integration Automation software solutions to serve its target end-markets, including automotive, enterprise computing, consumer electronics, communications across wired and wireless, and industrial markets. Its two core product platforms are Network-on-Chip IP Products and SoC Integration Automation Software Solutions Products. Its Network-on-Chip IP products include Non-coherent NoC IP, with FlexGen, FlexNoC and FlexWay; Cache-coherent NoC IP, with Ncore, and NoC interface IP, with CodaCache. Its SoC Integration Automation Software Solutions products include IP and SoC software, with Magillem (Connectivity and Registers) and CSRCompiler.</v>
    <v>299</v>
    <v>Nasdaq Stock Market</v>
    <v>XNAS</v>
    <v>XNAS</v>
    <v>900 E. Hamilton Ave, Suite 300, CAMPBELL, CA, 95008 US</v>
    <v>17.760000000000002</v>
    <v>Software &amp; IT Services</v>
    <v>Stock</v>
    <v>46106.612553471874</v>
    <v>704</v>
    <v>16.84</v>
    <v>803861156</v>
    <v>ARTERIS, INC.</v>
    <v>ARTERIS, INC.</v>
    <v>16.89</v>
    <v>0</v>
    <v>16.420000000000002</v>
    <v>17.68</v>
    <v>45467260</v>
    <v>AIP</v>
    <v>ARTERIS, INC. (XNAS:AIP)</v>
    <v>161894</v>
    <v>458285</v>
    <v>2004</v>
  </rv>
  <rv s="2">
    <v>705</v>
  </rv>
  <rv s="0">
    <v>https://www.bing.com/financeapi/forcetrigger?t=bvsyhw&amp;q=XNYS%3aU&amp;form=skydnc</v>
    <v>Learn more on Bing</v>
  </rv>
  <rv s="1">
    <v>0</v>
    <v>Unity Software Inc (XNYS:U)</v>
    <v>2</v>
    <v>3</v>
    <v>Finance</v>
    <v>4</v>
    <v>en-US</v>
    <v>bvsyhw</v>
    <v>268435456</v>
    <v>1</v>
    <v>Powered by Refinitiv</v>
    <v>52.15</v>
    <v>15.33</v>
    <v>2.117</v>
    <v>1.4999999999999999E-2</v>
    <v>8.2689999999999999E-4</v>
    <v>USD</v>
    <v>Unity Software Inc. provides a platform for creating and growing games and interactive experiences. The Company offers a suite of tools across all platforms, from mobile, PC, and console, to extended reality (XR). Its set of software, including artificial intelligence (AI) solutions, supports creators through the entire development lifecycle. The Company’s platform consists of two complementary sets of solutions: Create Solutions and Grow Solutions. Create Solutions is a robust set of tools and services used to build, ship and run high-definition, real-time two-dimensional (2D) and three-dimensional (3D) content. Designed for developers, these tools and services are used across a range of industries, ranging from games to aerospace, construction to retail, medical to manufacturing, and others. Grow Solutions offers customers the ability to engage their user base and monetize their content from 2D puzzle games to multiplayer, multi-platform games, or other 3D interactive content.</v>
    <v>4412</v>
    <v>New York Stock Exchange</v>
    <v>XNYS</v>
    <v>XNYS</v>
    <v>116 New Montgomery Street, SAN FRANCISCO, CA, 94105-3607 US</v>
    <v>18.8599</v>
    <v>Software &amp; IT Services</v>
    <v>Stock</v>
    <v>46106.612763796096</v>
    <v>707</v>
    <v>18.074999999999999</v>
    <v>7860889878</v>
    <v>Unity Software Inc</v>
    <v>Unity Software Inc</v>
    <v>18.73</v>
    <v>0</v>
    <v>18.14</v>
    <v>18.155000000000001</v>
    <v>432987600</v>
    <v>U</v>
    <v>Unity Software Inc (XNYS:U)</v>
    <v>2384446</v>
    <v>14673217</v>
    <v>2009</v>
  </rv>
  <rv s="2">
    <v>708</v>
  </rv>
  <rv s="0">
    <v>https://www.bing.com/financeapi/forcetrigger?t=a22irw&amp;q=XNYS%3aSBSW&amp;form=skydnc</v>
    <v>Learn more on Bing</v>
  </rv>
  <rv s="1">
    <v>0</v>
    <v>SIBANYE STILLWATER LIMITED (XNYS:SBSW)</v>
    <v>2</v>
    <v>3</v>
    <v>Finance</v>
    <v>4</v>
    <v>en-US</v>
    <v>a22irw</v>
    <v>268435456</v>
    <v>1</v>
    <v>Powered by Refinitiv</v>
    <v>21.29</v>
    <v>3.18</v>
    <v>0.8004</v>
    <v>0.56000000000000005</v>
    <v>4.8822999999999998E-2</v>
    <v>USD</v>
    <v>Sibanye Stillwater Limited is a multinational mining and metals processing group with a diverse portfolio of mining and processing operations, projects and investments across five continents. The Company is the recycler of platinum group metals (PGMs) and is interests in mine tailings retreatment operations. It is a primary producer of platinum, palladium, and rhodium and is a top tier gold producer. It also produces and refines iridium and ruthenium, nickel, chrome, copper and cobalt. The Company has also diversified into battery metals mining and processing. Its portfolio consists of platinum group metal operations in the United States (US), South Africa (SA) and Zimbabwe; gold operations and projects in SA; copper, gold and PGM exploration properties in North and South America, and zinc retreatment facility and copper property in Australia; recycling operations in the Americas region, and Keliber lithium project in Finland and the GalliCam project in France.</v>
    <v>72423</v>
    <v>New York Stock Exchange</v>
    <v>XNYS</v>
    <v>XNYS</v>
    <v>Bridgeview Hse, Bld 11,Constantia Office, Grnd Fl, Cnr 14Th Ave&amp;Hendrik Potieter, Weltevreden Park, JOHANNESBURG, GAUTENG, 1709 ZA</v>
    <v>12.12</v>
    <v>Metals &amp; Mining</v>
    <v>Stock</v>
    <v>46106.612668159374</v>
    <v>710</v>
    <v>11.66</v>
    <v>8512930854</v>
    <v>SIBANYE STILLWATER LIMITED</v>
    <v>SIBANYE STILLWATER LIMITED</v>
    <v>12.12</v>
    <v>0</v>
    <v>11.47</v>
    <v>12.03</v>
    <v>707641800</v>
    <v>SBSW</v>
    <v>SIBANYE STILLWATER LIMITED (XNYS:SBSW)</v>
    <v>2588291</v>
    <v>7178588</v>
    <v>2014</v>
  </rv>
  <rv s="2">
    <v>711</v>
  </rv>
  <rv s="0">
    <v>https://www.bing.com/financeapi/forcetrigger?t=a1wzw7&amp;q=XNYS%3aLMT&amp;form=skydnc</v>
    <v>Learn more on Bing</v>
  </rv>
  <rv s="1">
    <v>0</v>
    <v>LOCKHEED MARTIN CORPORATION (XNYS:LMT)</v>
    <v>2</v>
    <v>3</v>
    <v>Finance</v>
    <v>4</v>
    <v>en-US</v>
    <v>a1wzw7</v>
    <v>268435456</v>
    <v>1</v>
    <v>Powered by Refinitiv</v>
    <v>692</v>
    <v>410.11</v>
    <v>0.2336</v>
    <v>11</v>
    <v>1.8027999999999999E-2</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622.69989999999996</v>
    <v>Aerospace &amp; Defense</v>
    <v>Stock</v>
    <v>46106.612769617968</v>
    <v>713</v>
    <v>612.41999999999996</v>
    <v>142918917834</v>
    <v>LOCKHEED MARTIN CORPORATION</v>
    <v>LOCKHEED MARTIN CORPORATION</v>
    <v>615.55999999999995</v>
    <v>28.910299999999999</v>
    <v>610.16999999999996</v>
    <v>621.16999999999996</v>
    <v>230080200</v>
    <v>LMT</v>
    <v>LOCKHEED MARTIN CORPORATION (XNYS:LMT)</v>
    <v>244169</v>
    <v>1795977</v>
    <v>1994</v>
  </rv>
  <rv s="2">
    <v>714</v>
  </rv>
  <rv s="0">
    <v>https://www.bing.com/financeapi/forcetrigger?t=bvana2&amp;q=XNYS%3aRKT&amp;form=skydnc</v>
    <v>Learn more on Bing</v>
  </rv>
  <rv s="1">
    <v>0</v>
    <v>ROCKET COMPANIES, INC. (XNYS:RKT)</v>
    <v>2</v>
    <v>3</v>
    <v>Finance</v>
    <v>4</v>
    <v>en-US</v>
    <v>bvana2</v>
    <v>268435456</v>
    <v>1</v>
    <v>Powered by Refinitiv</v>
    <v>24.36</v>
    <v>10.94</v>
    <v>2.3475999999999999</v>
    <v>0.14499999999999999</v>
    <v>1.0233000000000001E-2</v>
    <v>USD</v>
    <v>Rocket Companies, Inc. is a fintech platform including mortgage, real estate and personal finance businesses: Rocket Mortgage, Redfin, Mr. Cooper, Rocket Homes, Rocket Close, Rocket Money, and Rocket Loans. The Company's full suite of products empowers its clients across financial wellness, personal loans, home search, mortgage finance, title and closing. Through these businesses, it delivers client solutions leveraging its Rocket platform. It operates in two segments: Direct to Consumer and Partner Network. In the Direct to Consumer segment, clients have the ability to interact with Rocket Mortgage digitally and/or with the Company's mortgage bankers. It provides client service and leverages its brand to strengthen its wholesale relationships, through Rocket Pro, as well as enterprise partnerships, both driving growth in its Partner Network segment. The Company's capabilities span the entirety of homeownership, such as home search, financing, title, closing and servicing.</v>
    <v>23500</v>
    <v>New York Stock Exchange</v>
    <v>XNYS</v>
    <v>XNYS</v>
    <v>1050 Woodward Avenue, DETROIT, MI, 48226 US</v>
    <v>14.569900000000001</v>
    <v>Financial Technology (Fintech) &amp; Infrastructure</v>
    <v>Stock</v>
    <v>46106.612736435156</v>
    <v>716</v>
    <v>14.11</v>
    <v>40365651725</v>
    <v>ROCKET COMPANIES, INC.</v>
    <v>ROCKET COMPANIES, INC.</v>
    <v>14.44</v>
    <v>0</v>
    <v>14.17</v>
    <v>14.315</v>
    <v>2819815000</v>
    <v>RKT</v>
    <v>ROCKET COMPANIES, INC. (XNYS:RKT)</v>
    <v>3315423</v>
    <v>27838067</v>
    <v>2020</v>
  </rv>
  <rv s="2">
    <v>717</v>
  </rv>
  <rv s="0">
    <v>https://www.bing.com/financeapi/forcetrigger?t=bq8rqh&amp;q=XNAS%3aCRWD&amp;form=skydnc</v>
    <v>Learn more on Bing</v>
  </rv>
  <rv s="1">
    <v>0</v>
    <v>CROWDSTRIKE HOLDINGS, INC. (XNAS:CRWD)</v>
    <v>2</v>
    <v>3</v>
    <v>Finance</v>
    <v>4</v>
    <v>en-US</v>
    <v>bq8rqh</v>
    <v>268435456</v>
    <v>1</v>
    <v>Powered by Refinitiv</v>
    <v>566.9</v>
    <v>298</v>
    <v>1.0747</v>
    <v>4.3049999999999997</v>
    <v>1.0953999999999998E-2</v>
    <v>USD</v>
    <v>CrowdStrike Holdings, Inc. is a global cybersecurity company that provides cloud-delivered protection of endpoints, cloud workloads, identity and data. Its Falcon platform is designed for cybersecurity consolidation, purpose-built to stop breaches. The platforms collect and integrate data from across the enterprise, including endpoints, cloud workloads, identities, and third-party sources. It offers 29 cloud modules on its Falcon platform via a software as a service (SaaS) subscription-based model that spans multiple large markets, including corporate endpoint and cloud workload security, managed security services, security and vulnerability management, information technology (IT) operations management, identity protection, next-generation security information and event management (SIEM) and log management, threat intelligence services, data protection, SaaS security posture management, automation and response (SOAR) and artificial intelligence powered workflow automation, and others.</v>
    <v>10698</v>
    <v>Nasdaq Stock Market</v>
    <v>XNAS</v>
    <v>XNAS</v>
    <v>206 E. 9TH STREET, SUITE 1400, AUSTIN, TX, 78701 US</v>
    <v>400.32</v>
    <v>Software &amp; IT Services</v>
    <v>Stock</v>
    <v>46106.612748205465</v>
    <v>719</v>
    <v>393</v>
    <v>100759613859</v>
    <v>CROWDSTRIKE HOLDINGS, INC.</v>
    <v>CROWDSTRIKE HOLDINGS, INC.</v>
    <v>398.98</v>
    <v>0</v>
    <v>392.99</v>
    <v>397.29500000000002</v>
    <v>253614100</v>
    <v>CRWD</v>
    <v>CROWDSTRIKE HOLDINGS, INC. (XNAS:CRWD)</v>
    <v>662172</v>
    <v>5020787</v>
    <v>2011</v>
  </rv>
  <rv s="2">
    <v>720</v>
  </rv>
  <rv s="0">
    <v>https://www.bing.com/financeapi/forcetrigger?t=a1ozz2&amp;q=XNAS%3aAPYX&amp;form=skydnc</v>
    <v>Learn more on Bing</v>
  </rv>
  <rv s="1">
    <v>0</v>
    <v>APYX MEDICAL, INC. (XNAS:APYX)</v>
    <v>2</v>
    <v>3</v>
    <v>Finance</v>
    <v>4</v>
    <v>en-US</v>
    <v>a1ozz2</v>
    <v>268435456</v>
    <v>1</v>
    <v>Powered by Refinitiv</v>
    <v>4.5</v>
    <v>0.75539999999999996</v>
    <v>1.5154000000000001</v>
    <v>0.01</v>
    <v>2.5380000000000003E-3</v>
    <v>USD</v>
    <v>Apyx Medical, Inc., formerly Apyx Medical Corporation, is a surgical aesthetics company. Its segments include Advanced Energy and Original Equipment Manufacturer (OEM). The Advanced Energy segment’s product portfolio consists of its Helium Plasma Technology that is marketed and sold as Renuvion in the cosmetic surgery market and J-Plasma in the hospital surgical market. It focuses on the cosmetic surgery market, where Renuvion offers plastic surgeons, facial plastic surgeons and cosmetic physicians the ability to provide controlled heat to the tissue to achieve their desired results. These product lines consist of a multifunction generator, a handpiece and a supply of helium gas. Through OEM agreements, the OEM segment, designs, develops and manufactures electrosurgical equipment and medical devices by producing generators, medical devices and related accessories for medical device manufacturers as well as start-up businesses in need of its energy-based designs.</v>
    <v>205</v>
    <v>Nasdaq Stock Market</v>
    <v>XNAS</v>
    <v>XNAS</v>
    <v>5115 Ulmerton Road, CLEARWATER, FL, 33760 US</v>
    <v>4</v>
    <v>Healthcare Equipment &amp; Supplies</v>
    <v>Stock</v>
    <v>46106.612675277342</v>
    <v>722</v>
    <v>3.8668999999999998</v>
    <v>165225458</v>
    <v>APYX MEDICAL, INC.</v>
    <v>APYX MEDICAL, INC.</v>
    <v>4</v>
    <v>0</v>
    <v>3.94</v>
    <v>3.95</v>
    <v>41829230</v>
    <v>APYX</v>
    <v>APYX MEDICAL, INC. (XNAS:APYX)</v>
    <v>10447</v>
    <v>141005</v>
    <v>1982</v>
  </rv>
  <rv s="2">
    <v>723</v>
  </rv>
  <rv s="0">
    <v>https://www.bing.com/financeapi/forcetrigger?t=a1niqh&amp;q=XNAS%3aANGI&amp;form=skydnc</v>
    <v>Learn more on Bing</v>
  </rv>
  <rv s="1">
    <v>0</v>
    <v>ANGI INC. (XNAS:ANGI)</v>
    <v>2</v>
    <v>3</v>
    <v>Finance</v>
    <v>4</v>
    <v>en-US</v>
    <v>a1niqh</v>
    <v>268435456</v>
    <v>1</v>
    <v>Powered by Refinitiv</v>
    <v>19.420000000000002</v>
    <v>7.07</v>
    <v>1.7991999999999999</v>
    <v>-0.09</v>
    <v>-1.2482999999999999E-2</v>
    <v>USD</v>
    <v>Angi Inc. helps homeowners get home projects done and helps home service professionals grow their businesses. It connects home professionals (Pros) with consumers across more than 500 different categories, from repairing and remodeling homes to cleaning and landscaping. It has two operating segments: Domestic and International (consisting of businesses in Europe and Canada) and operates under multiple brands including Angi, HomeAdvisor, and Handy. In the United States, it provides Pros the capability to engage with potential customers, including quoting and invoicing services, and provides consumers with tools and resources to help them find local, pre-screened and customer-rated Pros nationwide for home repair, maintenance and improvement projects. It also owns marketplaces in Austria, Canada, France, Germany, Italy, the Netherlands, and the United Kingdom which provide Pros the ability to engage with potential customers and consumers the ability to engage with the Pros they need.</v>
    <v>2300</v>
    <v>Nasdaq Stock Market</v>
    <v>XNAS</v>
    <v>XNAS</v>
    <v>555 West 18Th Street, NEW YORK, NY, 10011 US</v>
    <v>7.39</v>
    <v>Software &amp; IT Services</v>
    <v>Stock</v>
    <v>46106.612643135937</v>
    <v>725</v>
    <v>7.07</v>
    <v>285545820</v>
    <v>ANGI INC.</v>
    <v>ANGI INC.</v>
    <v>7.29</v>
    <v>7.6361999999999997</v>
    <v>7.21</v>
    <v>7.12</v>
    <v>40104750</v>
    <v>ANGI</v>
    <v>ANGI INC. (XNAS:ANGI)</v>
    <v>127961</v>
    <v>1423668</v>
    <v>2020</v>
  </rv>
  <rv s="2">
    <v>726</v>
  </rv>
  <rv s="3">
    <v>5</v>
    <v>ASTERA LABS, INC (XNAS:ALAB)</v>
    <v>6</v>
    <v>3</v>
    <v>Finance</v>
    <v>4</v>
    <v>en-US</v>
    <v>ccqpyc</v>
    <v>268435456</v>
    <v>1</v>
    <v>Powered by Refinitiv</v>
    <v>262.89999999999998</v>
    <v>47.125</v>
    <v>2.5139999999999998</v>
    <v>1.76</v>
    <v>1.4455000000000001E-2</v>
    <v>USD</v>
    <v>Astera Labs, Inc. is a global semiconductor company. The Company provides semiconductor-based connectivity solutions for cloud and artificial intelligence (AI) infrastructure. It has developed and deployed its Intelligent Connectivity Platform built from the ground up for cloud and AI infrastructure. Its Intelligent Connectivity Platform provides its customers with the ability to deploy and operate high-performance cloud and AI infrastructure at scale, addressing an increasingly diverse set of requirements. It provides its connectivity products in various form factors, including Integrated Circuits (ICs), boards, and modules. Its PCIe, CXL and Ethernet semiconductor-based connectivity solutions are purpose-built to unleash the potential of accelerated computing at cloud-scale. The Company’s products include Aries products, which include its COSMOS software suite; Taurus products, which are hardware modules based on its Taurus ICs; Leo products; and Scorpio products.</v>
    <v>756</v>
    <v>Nasdaq Stock Market</v>
    <v>XNAS</v>
    <v>XNAS</v>
    <v>2345 North First Street, SAN JOSE, CA, 95131 US</v>
    <v>126.53</v>
    <v>Semiconductors &amp; Semiconductor Equipment</v>
    <v>Stock</v>
    <v>46106.612739803124</v>
    <v>123.25</v>
    <v>21024895040</v>
    <v>ASTERA LABS, INC</v>
    <v>ASTERA LABS, INC</v>
    <v>124.645</v>
    <v>101.3539</v>
    <v>121.76</v>
    <v>123.52</v>
    <v>170214500</v>
    <v>ALAB</v>
    <v>ASTERA LABS, INC (XNAS:ALAB)</v>
    <v>764232</v>
    <v>4586294</v>
    <v>2017</v>
  </rv>
  <rv s="2">
    <v>728</v>
  </rv>
  <rv s="0">
    <v>https://www.bing.com/financeapi/forcetrigger?t=a1o4ec&amp;q=XNYS%3aBA&amp;form=skydnc</v>
    <v>Learn more on Bing</v>
  </rv>
  <rv s="1">
    <v>0</v>
    <v>THE BOEING COMPANY (XNYS:BA)</v>
    <v>2</v>
    <v>3</v>
    <v>Finance</v>
    <v>4</v>
    <v>en-US</v>
    <v>a1o4ec</v>
    <v>268435456</v>
    <v>1</v>
    <v>Powered by Refinitiv</v>
    <v>254.34989999999999</v>
    <v>128.8801</v>
    <v>1.1338999999999999</v>
    <v>2.54</v>
    <v>1.2931E-2</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182000</v>
    <v>New York Stock Exchange</v>
    <v>XNYS</v>
    <v>XNYS</v>
    <v>929 Long Bridge Drive, ARLINGTON, VA, 22202 US</v>
    <v>200.745</v>
    <v>Aerospace &amp; Defense</v>
    <v>Stock</v>
    <v>46106.612817198438</v>
    <v>730</v>
    <v>198.0001</v>
    <v>156351542136</v>
    <v>THE BOEING COMPANY</v>
    <v>THE BOEING COMPANY</v>
    <v>198.45</v>
    <v>89.5732</v>
    <v>196.42</v>
    <v>198.96</v>
    <v>785844100</v>
    <v>BA</v>
    <v>THE BOEING COMPANY (XNYS:BA)</v>
    <v>1373364</v>
    <v>7035414</v>
    <v>1934</v>
  </rv>
  <rv s="2">
    <v>731</v>
  </rv>
  <rv s="0">
    <v>https://www.bing.com/financeapi/forcetrigger?t=a1ubgh&amp;q=XNYS%3aGTLS&amp;form=skydnc</v>
    <v>Learn more on Bing</v>
  </rv>
  <rv s="1">
    <v>0</v>
    <v>CHART INDUSTRIES, INC. (XNYS:GTLS)</v>
    <v>2</v>
    <v>3</v>
    <v>Finance</v>
    <v>4</v>
    <v>en-US</v>
    <v>a1ubgh</v>
    <v>268435456</v>
    <v>1</v>
    <v>Powered by Refinitiv</v>
    <v>208.24</v>
    <v>104.6</v>
    <v>1.7139</v>
    <v>-0.215</v>
    <v>-1.0380000000000001E-3</v>
    <v>USD</v>
    <v>Chart Industries, Inc. is engaged in the designing, engineering, and manufacturing of process technologies and equipment for gas and liquid molecule handling for the Nexus of Clean-clean power, clean water, clean food, and clean industrials, regardless of molecule. The Company's Cryo Tank Solutions segment designs and manufactures and supplies bulk, microbulk and mobile equipment used in the storage, distribution, vaporization, and application of industrial gases and certain hydrocarbons. Its Heat Transfer Systems segment facilitates natural gas, petrochemical processing, petroleum refining, power generation and industrial gas companies in the production or processing of their products. Its Specialty Products segment supplies highly engineered equipment and process technologies used in specialty end-market applications for hydrogen and helium, LNG, biofuels, carbon capture, food and beverage, metals and mining, aerospace, space exploration, lasers, and water treatment, among others.</v>
    <v>11777</v>
    <v>New York Stock Exchange</v>
    <v>XNYS</v>
    <v>XNYS</v>
    <v>8665 New Trails Drive, Suite 100, THE WOODLANDS, TX, 77381 US</v>
    <v>207.19</v>
    <v>Machinery, Equipment &amp; Components</v>
    <v>Stock</v>
    <v>46106.612658275</v>
    <v>733</v>
    <v>206.82</v>
    <v>9900279307</v>
    <v>CHART INDUSTRIES, INC.</v>
    <v>CHART INDUSTRIES, INC.</v>
    <v>207.15</v>
    <v>232.71260000000001</v>
    <v>207.05</v>
    <v>206.83500000000001</v>
    <v>47865590</v>
    <v>GTLS</v>
    <v>CHART INDUSTRIES, INC. (XNYS:GTLS)</v>
    <v>371217</v>
    <v>2037303</v>
    <v>1992</v>
  </rv>
  <rv s="2">
    <v>734</v>
  </rv>
  <rv s="0">
    <v>https://www.bing.com/financeapi/forcetrigger?t=bzte4c&amp;q=XNYS%3aOSCR&amp;form=skydnc</v>
    <v>Learn more on Bing</v>
  </rv>
  <rv s="1">
    <v>0</v>
    <v>OSCAR HEALTH, INC. (XNYS:OSCR)</v>
    <v>2</v>
    <v>3</v>
    <v>Finance</v>
    <v>4</v>
    <v>en-US</v>
    <v>bzte4c</v>
    <v>268435456</v>
    <v>1</v>
    <v>Powered by Refinitiv</v>
    <v>23.8</v>
    <v>11.2</v>
    <v>1.9135</v>
    <v>7.0000000000000007E-2</v>
    <v>5.8189999999999995E-3</v>
    <v>USD</v>
    <v>Oscar Health, Inc. is a healthcare technology company built around a full stack technology platform. The Company's offerings include its insurance business and +Oscar Platform. Its health plans are offered in the individual market. The individual market primarily consists of policies purchased by individuals and families through health insurance marketplaces, established by the ACA and operated by the federal government, as well as other marketplaces operated by individual states. Individuals and families may also purchase policies in the individual market off-exchange. Employees whose employers have chosen to offer an Individual Coverage Health Reimbursement Arrangement (ICHRA) are also able to purchase its health plans. It offers health plans in the individual market under the five metal plan categories defined by the ACA: Catastrophic, Bronze, Silver, Gold, and Platinum. Through the +Oscar platform, the Company deploys its technology to help others throughout the healthcare system.</v>
    <v>2305</v>
    <v>New York Stock Exchange</v>
    <v>XNYS</v>
    <v>XNYS</v>
    <v>75 Varick Street, 5Th Floor, NEW YORK, NY, 10013 US</v>
    <v>12.57</v>
    <v>Insurance</v>
    <v>Stock</v>
    <v>46106.612669235939</v>
    <v>736</v>
    <v>12.07</v>
    <v>3602750800</v>
    <v>OSCAR HEALTH, INC.</v>
    <v>OSCAR HEALTH, INC.</v>
    <v>12.43</v>
    <v>0</v>
    <v>12.03</v>
    <v>12.1</v>
    <v>297748000</v>
    <v>OSCR</v>
    <v>OSCAR HEALTH, INC. (XNYS:OSCR)</v>
    <v>1268307</v>
    <v>6739479</v>
    <v>2012</v>
  </rv>
  <rv s="2">
    <v>737</v>
  </rv>
  <rv s="0">
    <v>https://www.bing.com/financeapi/forcetrigger?t=c3jpzr&amp;q=XNYS%3aWRBY&amp;form=skydnc</v>
    <v>Learn more on Bing</v>
  </rv>
  <rv s="1">
    <v>0</v>
    <v>WARBY PARKER INC. (XNYS:WRBY)</v>
    <v>2</v>
    <v>3</v>
    <v>Finance</v>
    <v>4</v>
    <v>en-US</v>
    <v>c3jpzr</v>
    <v>268435456</v>
    <v>1</v>
    <v>Powered by Refinitiv</v>
    <v>31</v>
    <v>13.63</v>
    <v>2.0386000000000002</v>
    <v>0.72</v>
    <v>3.1223000000000001E-2</v>
    <v>USD</v>
    <v>Warby Parker Inc. is a lifestyle brand that operates at the intersection of design, technology, healthcare, and social enterprise. The Company offers holistic vision care by selling eyewear products and providing optical services directly to consumers through its retail stores and e-commerce platform. It sells a range of prescription and non-prescription eyewear, including glasses, sunglasses, and contact lenses. Its customers can customize their prescription lenses with a variety of options, including single-vision, progressive, light-responsive, blue-light-filtering, and non-prescription lenses. It also offers in-house technologies like Virtual Vision Test and Virtual Try-On to enhance the overall customer experience. It sells its own brand of contacts, Scout by Warby Parker, and third-party contact lenses; this allows it to provide customers with a vision care offering. Its Website and mobile app make it easy for its customers to browse, virtually try on, and purchase glasses.</v>
    <v>2275</v>
    <v>New York Stock Exchange</v>
    <v>XNYS</v>
    <v>XNYS</v>
    <v>233 Spring Street, 6Th Floor East, NEW YORK, NY, 10013 US</v>
    <v>24.29</v>
    <v>Specialty Retailers</v>
    <v>Stock</v>
    <v>46106.612735404684</v>
    <v>739</v>
    <v>23.4</v>
    <v>2911808684</v>
    <v>WARBY PARKER INC.</v>
    <v>WARBY PARKER INC.</v>
    <v>23.43</v>
    <v>1965.2892999999999</v>
    <v>23.06</v>
    <v>23.78</v>
    <v>122447800</v>
    <v>WRBY</v>
    <v>WARBY PARKER INC. (XNYS:WRBY)</v>
    <v>312192</v>
    <v>3432561</v>
    <v>2009</v>
  </rv>
  <rv s="2">
    <v>740</v>
  </rv>
  <rv s="0">
    <v>https://www.bing.com/financeapi/forcetrigger?t=a1qvm7&amp;q=XNYS%3aDEA&amp;form=skydnc</v>
    <v>Learn more on Bing</v>
  </rv>
  <rv s="1">
    <v>0</v>
    <v>EASTERLY GOVERNMENT PROPERTIES, INC. (XNYS:DEA)</v>
    <v>2</v>
    <v>3</v>
    <v>Finance</v>
    <v>4</v>
    <v>en-US</v>
    <v>a1qvm7</v>
    <v>268435456</v>
    <v>1</v>
    <v>Powered by Refinitiv</v>
    <v>26.725000000000001</v>
    <v>19.330500000000001</v>
    <v>0.9536</v>
    <v>0.08</v>
    <v>3.6849999999999999E-3</v>
    <v>USD</v>
    <v>Easterly Government Properties, Inc. is an internally managed real estate investment trust (REIT). It is focused primarily on the acquisition, development and management of Class A commercial properties that are leased to United States government agencies that serve essential functions. It leases its properties to such agencies either directly or through the United States General Services Administration (GSA). The operations of the Company are carried out primarily through Easterly Government Properties, LP (the Operating Partnership) and the wholly owned subsidiaries of the Operating Partnership. The Company owns, directly or through the joint venture, 103 properties totaling 10.3 million square feet. Its properties include VA - Loma Linda, JSC - Suffolk, Various GSA - Chicago, IRS - Fresno, FBI - Salt Lake, VA - San Jose, EPA - Lenexa, FBI - Tampa, FBI - San Antonio, FDA - Alameda, PTO - Arlington, FBI - Omaha, TREAS - Parkersburg, FDA - Lenexa, VA - South Bend, and DHS - Burlington.</v>
    <v>55</v>
    <v>New York Stock Exchange</v>
    <v>XNYS</v>
    <v>XNYS</v>
    <v>2001 K Street Nw, Suite 775 North, WASHINGTON, DC, 20006 US</v>
    <v>21.84</v>
    <v>Residential &amp; Commercial REIT</v>
    <v>Stock</v>
    <v>46106.612235173438</v>
    <v>742</v>
    <v>21.585000000000001</v>
    <v>1009970858</v>
    <v>EASTERLY GOVERNMENT PROPERTIES, INC.</v>
    <v>EASTERLY GOVERNMENT PROPERTIES, INC.</v>
    <v>21.73</v>
    <v>79.816800000000001</v>
    <v>21.71</v>
    <v>21.79</v>
    <v>46350200</v>
    <v>DEA</v>
    <v>EASTERLY GOVERNMENT PROPERTIES, INC. (XNYS:DEA)</v>
    <v>86240</v>
    <v>540924</v>
    <v>2014</v>
  </rv>
  <rv s="2">
    <v>743</v>
  </rv>
  <rv s="0">
    <v>https://www.bing.com/financeapi/forcetrigger?t=c2trxm&amp;q=XNAS%3aBASE&amp;form=skydnc</v>
    <v>Learn more on Bing</v>
  </rv>
  <rv s="13">
    <v>20</v>
    <v>COUCHBASE, INC. (XNAS:BASE)</v>
    <v>2</v>
    <v>3</v>
    <v>Finance</v>
    <v>21</v>
    <v>en-US</v>
    <v>c2trxm</v>
    <v>268435456</v>
    <v>1</v>
    <v>1</v>
    <v>Powered by Refinitiv</v>
    <v>25.16</v>
    <v>12.775499999999999</v>
    <v>0.92300000000000004</v>
    <v>0</v>
    <v>0</v>
    <v>USD</v>
    <v>Couchbase, Inc. provides a cloud database platform for modern applications. The Company provides the developer data platform for critical applications in its artificial intelligence (AI) world. Its products include Couchbase Capella, Couchbase Server, Couchbase Mobile &amp; Edge Computing, Couchbase Edge Server, and Intelligent Data Services. Its Couchbase Capella is a fully managed, automated, and secure DBaaS that simplifies deployment and operations across cloud environments. Its Couchbase Server is a multiservice NoSQL database that combines relational databases (ACID transactions, SQL++ for querying) with the scalability and flexibility of NoSQL. Its Couchbase Mobile is a full-featured embedded NoSQL database designed for mobile and IoT applications that require always-on availability. Its Couchbase Edge Server extends data processing to resource-constrained environments, providing low-latency access, offline resilience, and real-time synchronization.</v>
    <v>831</v>
    <v>Nasdaq Stock Market</v>
    <v>XNAS</v>
    <v>XNAS</v>
    <v>3155 Olsen Drive, SAN JOSE, CA, 95117 US</v>
    <v>24.53</v>
    <v>Software &amp; IT Services</v>
    <v>Stock</v>
    <v>45923.905918182812</v>
    <v>745</v>
    <v>24.5</v>
    <v>1354276520</v>
    <v>COUCHBASE, INC.</v>
    <v>COUCHBASE, INC.</v>
    <v>24.5</v>
    <v>0</v>
    <v>24.5</v>
    <v>24.51</v>
    <v>55254040</v>
    <v>BASE</v>
    <v>COUCHBASE, INC. (XNAS:BASE)</v>
    <v>4928075</v>
    <v>1061901</v>
    <v>2008</v>
  </rv>
  <rv s="2">
    <v>746</v>
  </rv>
  <rv s="0">
    <v>https://www.bing.com/financeapi/forcetrigger?t=bvigkr&amp;q=XNYS%3aQS&amp;form=skydnc</v>
    <v>Learn more on Bing</v>
  </rv>
  <rv s="1">
    <v>0</v>
    <v>QUANTUMSCAPE CORPORATION (XNAS:QS)</v>
    <v>2</v>
    <v>3</v>
    <v>Finance</v>
    <v>4</v>
    <v>en-US</v>
    <v>bvigkr</v>
    <v>268435456</v>
    <v>1</v>
    <v>Powered by Refinitiv</v>
    <v>19.069900000000001</v>
    <v>3.4</v>
    <v>2.5331999999999999</v>
    <v>0.15010000000000001</v>
    <v>2.2040999999999998E-2</v>
    <v>USD</v>
    <v>QuantumScape Corporation is developing solid-state lithium-metal battery technology for electric vehicles (EVs) and other applications. The Company’s solid-state lithium-metal battery technology is designed to offer energy density, faster charging, and enhanced safety. Its battery cells have none of the host materials used in conventional anodes. The Company's cells are anode-free in that they are manufactured without anodes in a discharged state. It has demonstrated a solid-state separator for lithium-metal batteries capable of resisting dendrite formation at higher power densities, such as those required for automotive applications and fast charging, for at least 800 cycles at around 25 degrees Celsius. The Company's solid-state electrolyte-separator is a dense, entirely inorganic ceramic. The Company's solid-state battery technology has applicability in other markets, including stationary storage and consumer electronics, data centers, defense, and others.</v>
    <v>700</v>
    <v>Nasdaq Stock Market</v>
    <v>XNAS</v>
    <v>XNAS</v>
    <v>1730 Technology Drive, Suite 301, SAN JOSE, CA, 95110 US</v>
    <v>7.1050000000000004</v>
    <v>Automobiles &amp; Auto Parts</v>
    <v>Stock</v>
    <v>46106.612770971878</v>
    <v>748</v>
    <v>6.9240000000000004</v>
    <v>4263631282</v>
    <v>QUANTUMSCAPE CORPORATION</v>
    <v>QUANTUMSCAPE CORPORATION</v>
    <v>6.99</v>
    <v>0</v>
    <v>6.81</v>
    <v>6.9600999999999997</v>
    <v>612581900</v>
    <v>QS</v>
    <v>QUANTUMSCAPE CORPORATION (XNAS:QS)</v>
    <v>2221488</v>
    <v>11831655</v>
    <v>2020</v>
  </rv>
  <rv s="2">
    <v>749</v>
  </rv>
  <rv s="0">
    <v>https://www.bing.com/financeapi/forcetrigger?t=bvcjsm&amp;q=XNAS%3aTALK&amp;form=skydnc</v>
    <v>Learn more on Bing</v>
  </rv>
  <rv s="1">
    <v>0</v>
    <v>Talkspace, Inc. (XNAS:TALK)</v>
    <v>2</v>
    <v>3</v>
    <v>Finance</v>
    <v>4</v>
    <v>en-US</v>
    <v>bvcjsm</v>
    <v>268435456</v>
    <v>1</v>
    <v>Powered by Refinitiv</v>
    <v>5.19</v>
    <v>2.2200000000000002</v>
    <v>1.1482000000000001</v>
    <v>0.01</v>
    <v>1.949E-3</v>
    <v>USD</v>
    <v>Talkspace, Inc. is a virtual behavioral healthcare company, which offers access to a fully credentialed network of licensed therapists, psychologists and psychiatrists. The Company offers a suite of mental health services, including therapy for individuals, teens, and couples, as well as psychiatric treatment and medication management (18+). Through its psychotherapy offerings, the Company’s licensed therapists and counselors treat mental health conditions in over 150 clinical conditions, such as depression, anxiety, trauma and other fields of human challenges. The Company serves health insurance plans and employee assistance programs (Payor) who offer their members access to the Company’s platform at in-network reimbursement rates. In psychotherapy, the Company offers text, audio and video-based psychotherapy from licensed therapists. In psychiatry, members receive personalized care from a prescriber who specializes in mental healthcare and prescription management.</v>
    <v>598</v>
    <v>Nasdaq Stock Market</v>
    <v>XNAS</v>
    <v>XNAS</v>
    <v>622 Third Avenue, NEW YORK, NY, 10017 US</v>
    <v>5.14</v>
    <v>Healthcare Providers &amp; Services</v>
    <v>Stock</v>
    <v>46106.6126859375</v>
    <v>751</v>
    <v>5.13</v>
    <v>858770640</v>
    <v>Talkspace, Inc.</v>
    <v>Talkspace, Inc.</v>
    <v>5.13</v>
    <v>113.4658</v>
    <v>5.13</v>
    <v>5.14</v>
    <v>167076000</v>
    <v>TALK</v>
    <v>Talkspace, Inc. (XNAS:TALK)</v>
    <v>3677091</v>
    <v>6950903</v>
    <v>2020</v>
  </rv>
  <rv s="2">
    <v>752</v>
  </rv>
  <rv s="0">
    <v>https://www.bing.com/financeapi/forcetrigger?t=a21t27&amp;q=XNAS%3aRDNT&amp;form=skydnc</v>
    <v>Learn more on Bing</v>
  </rv>
  <rv s="1">
    <v>0</v>
    <v>RADNET, INC. (XNAS:RDNT)</v>
    <v>2</v>
    <v>3</v>
    <v>Finance</v>
    <v>4</v>
    <v>en-US</v>
    <v>a21t27</v>
    <v>268435456</v>
    <v>1</v>
    <v>Powered by Refinitiv</v>
    <v>85.84</v>
    <v>45.000599999999999</v>
    <v>1.5027999999999999</v>
    <v>1.0275000000000001</v>
    <v>1.7162E-2</v>
    <v>USD</v>
    <v>RadNet, Inc. is a national provider of fixed-site diagnostic imaging services in the United States. The Company has a network of 407 owned and/or operated outpatient imaging centers. Its Imaging Center segment provides physicians with imaging capabilities to facilitate the diagnosis and treatment of diseases and disorders. Its services include magnetic resonance imaging (MRI), computed tomography (CT), positron emission tomography (PET), nuclear medicine, mammography, ultrasound, diagnostic radiology (X-ray), fluoroscopy and other related procedures. Its Digital Health segment develops and deploys clinical applications to enhance interpretation of medical images and improve patient outcomes with an emphasis on brain, breast, prostate, and pulmonary diagnostics. It provides radiology information technology and artificial intelligence (AI) solutions marketed under the DeepHealth brand and teleradiology professional services. It is also a provider of AI-powered breast health solutions.</v>
    <v>8844</v>
    <v>Nasdaq Stock Market</v>
    <v>XNAS</v>
    <v>XNAS</v>
    <v>1510 Cotner Ave, LOS ANGELES, CA, 90025 US</v>
    <v>61.87</v>
    <v>Healthcare Providers &amp; Services</v>
    <v>Stock</v>
    <v>46106.612605335155</v>
    <v>754</v>
    <v>60.34</v>
    <v>4726384686</v>
    <v>RADNET, INC.</v>
    <v>RADNET, INC.</v>
    <v>60.34</v>
    <v>0</v>
    <v>59.87</v>
    <v>60.897500000000001</v>
    <v>77612130</v>
    <v>RDNT</v>
    <v>RADNET, INC. (XNAS:RDNT)</v>
    <v>104053</v>
    <v>951847</v>
    <v>2008</v>
  </rv>
  <rv s="2">
    <v>755</v>
  </rv>
  <rv s="0">
    <v>https://www.bing.com/financeapi/forcetrigger?t=a1rhr7&amp;q=XNAS%3aDXPE&amp;form=skydnc</v>
    <v>Learn more on Bing</v>
  </rv>
  <rv s="1">
    <v>0</v>
    <v>DXP ENTERPRISES, INC. (XNAS:DXPE)</v>
    <v>2</v>
    <v>3</v>
    <v>Finance</v>
    <v>4</v>
    <v>en-US</v>
    <v>a1rhr7</v>
    <v>268435456</v>
    <v>1</v>
    <v>Powered by Refinitiv</v>
    <v>171.7</v>
    <v>67.680000000000007</v>
    <v>0.96599999999999997</v>
    <v>2.7349999999999999</v>
    <v>1.9465E-2</v>
    <v>USD</v>
    <v>DXP Enterprises, Inc. is a products and service distributor. The Company serves industrial customers throughout the United States, Canada, and Dubai. The Company's segments include Service Centers, Innovative Pumping Solutions and Supply Chain Services. The Company's Service Centers segment provides a range of maintenance, repair and operating (MRO) products and services in the rotating equipment, bearing, power transmission, hose, fluid power, metal working, industrial supply and safety product and service categories. The Company's Innovative Pumping Solutions segment provides products and services to the water and wastewater market and fabricates and assembles integrated pump system packages custom made to customer specifications, remanufactures pumps, and manufactures branded private label pumps. The Company's Supply Chain Services segment provides a range of MRO products and manages all or part of its customers' supply chain function, and inventory management.</v>
    <v>3286</v>
    <v>Nasdaq Stock Market</v>
    <v>XNAS</v>
    <v>XNAS</v>
    <v>5301 Hollister Street, HOUSTON, TX, 77040 US</v>
    <v>145.285</v>
    <v>Machinery, Equipment &amp; Components</v>
    <v>Stock</v>
    <v>46106.612791515625</v>
    <v>757</v>
    <v>141.44999999999999</v>
    <v>2223478971</v>
    <v>DXP ENTERPRISES, INC.</v>
    <v>DXP ENTERPRISES, INC.</v>
    <v>143.44</v>
    <v>27.157499999999999</v>
    <v>140.51</v>
    <v>143.245</v>
    <v>15522210</v>
    <v>DXPE</v>
    <v>DXP ENTERPRISES, INC. (XNAS:DXPE)</v>
    <v>71261</v>
    <v>133571</v>
    <v>1996</v>
  </rv>
  <rv s="2">
    <v>758</v>
  </rv>
  <rv s="0">
    <v>https://www.bing.com/financeapi/forcetrigger?t=a1qcu2&amp;q=XNAS%3aCRSP&amp;form=skydnc</v>
    <v>Learn more on Bing</v>
  </rv>
  <rv s="1">
    <v>0</v>
    <v>CRISPR Therapeutics Ltd (XNAS:CRSP)</v>
    <v>2</v>
    <v>3</v>
    <v>Finance</v>
    <v>4</v>
    <v>en-US</v>
    <v>a1qcu2</v>
    <v>268435456</v>
    <v>1</v>
    <v>Powered by Refinitiv</v>
    <v>78.48</v>
    <v>30.04</v>
    <v>1.8031999999999999</v>
    <v>1.52</v>
    <v>3.2736999999999995E-2</v>
    <v>USD</v>
    <v>CRISPR Therapeutics AG is a Switzerland-based gene editing company focused on the development of CRISPR/Cas9-based therapeutics. CRISPR/Cas9 stands for Clustered Regularly Interspaced Short Palindromic Repeats (CRISPR)/CRISPR-associated protein 9 (Cas9) and is a technology for gene editing, the process of precisely altering specific sequences of genomic DNA. The Company aims to apply this technology to disrupt, delete, correct and insert genes to treat genetically-defined diseases and to engineer advanced cellular therapies. The Company has acquired the rights to the intellectual property (IP) encompassing CRISPR/Cas9 and related technologies and is also involved in its own IP research and additional in-licensing efforts. The Company product development and partnership strategies are designed to exploit the full potential of the CRISPR/Cas9 platform while maximizing the probability of successfully developing their product candidates.</v>
    <v>393</v>
    <v>Nasdaq Stock Market</v>
    <v>XNAS</v>
    <v>XNAS</v>
    <v>Baarerstrasse 14, ZUG, ZUG, CH-6300 CH</v>
    <v>48.305</v>
    <v>Biotechnology &amp; Medical Research</v>
    <v>Stock</v>
    <v>46106.612758274998</v>
    <v>760</v>
    <v>47.11</v>
    <v>4602495614</v>
    <v>CRISPR Therapeutics Ltd</v>
    <v>CRISPR Therapeutics Ltd</v>
    <v>47.11</v>
    <v>0</v>
    <v>46.43</v>
    <v>47.95</v>
    <v>95985310</v>
    <v>CRSP</v>
    <v>CRISPR Therapeutics Ltd (XNAS:CRSP)</v>
    <v>270069</v>
    <v>2202826</v>
    <v>2013</v>
  </rv>
  <rv s="2">
    <v>761</v>
  </rv>
  <rv s="3">
    <v>5</v>
    <v>SERVE ROBOTICS INC. (XNAS:SERV)</v>
    <v>6</v>
    <v>3</v>
    <v>Finance</v>
    <v>4</v>
    <v>en-US</v>
    <v>cclpar</v>
    <v>268435456</v>
    <v>1</v>
    <v>Powered by Refinitiv</v>
    <v>18.64</v>
    <v>4.66</v>
    <v>2.1379999999999999</v>
    <v>0.19009999999999999</v>
    <v>2.0617999999999997E-2</v>
    <v>USD</v>
    <v>Serve Robotics, Inc. is engaged in developing next generation robots for last-mile delivery services. The Company designs, develops and operates low-emission robots on its artificial intelligence (AI)-powered robotics mobility platform that serves people in public spaces, starting with food delivery. The Company’s fleet consists of over 100 robots. It has platform-level integrations with Uber Eats, which allows serve robots to provide real-time presence and status updates on those platforms and receive requests to perform deliveries with respect to customer orders placed on those platforms as needed. Its capabilities include automatic emergency braking, vehicle collision avoidance, and fail-safe mechanical braking. It uses AI methodologies to design, train and deploy a host of models on serve robots and these models are used to perform a variety of tasks, including identification of sidewalk surfaces, intersections, traffic signals, obstacles, pedestrians and vehicles, and others.</v>
    <v>370</v>
    <v>Nasdaq Stock Market</v>
    <v>XNAS</v>
    <v>XNAS</v>
    <v>730 Broadway, REDWOOD CITY, CA, 94063 US</v>
    <v>9.5899000000000001</v>
    <v>Software &amp; IT Services</v>
    <v>Stock</v>
    <v>46106.612785057812</v>
    <v>9.41</v>
    <v>712252162</v>
    <v>SERVE ROBOTICS INC.</v>
    <v>SERVE ROBOTICS INC.</v>
    <v>9.48</v>
    <v>0</v>
    <v>9.2200000000000006</v>
    <v>9.4100999999999999</v>
    <v>75690180</v>
    <v>SERV</v>
    <v>SERVE ROBOTICS INC. (XNAS:SERV)</v>
    <v>781193</v>
    <v>4226980</v>
    <v>2020</v>
  </rv>
  <rv s="2">
    <v>763</v>
  </rv>
  <rv s="0">
    <v>https://www.bing.com/financeapi/forcetrigger?t=bvs1u2&amp;q=XNAS%3aGRAL&amp;form=skydnc</v>
    <v>Learn more on Bing</v>
  </rv>
  <rv s="20">
    <v>39</v>
    <v>GRAIL, INC. (XNAS:GRAL)</v>
    <v>2</v>
    <v>40</v>
    <v>Finance</v>
    <v>4</v>
    <v>en-US</v>
    <v>bvs1u2</v>
    <v>268435456</v>
    <v>1</v>
    <v>Powered by Refinitiv</v>
    <v>118.84</v>
    <v>20.440000000000001</v>
    <v>3.0019999999999998</v>
    <v>3.01</v>
    <v>6.1871000000000002E-2</v>
    <v>USD</v>
    <v>GRAIL Inc. is a healthcare company. The Company focuses on developing new technologies for early cancer detection. The Company’s Galleri test is a multi-cancer early detection (MCED) test that can help screen for many of the cancers that don’t have recommended screening. Galleri test screens for a signal shared by multiple cancers that would otherwise go unnoticed. If a cancer signal is detected, Galleri predicts the tissue type or organ associated with the cancer signal. If a cancer signal is detected, Galleri predicts the tissue type or organ associated with the cancer signal to help guide follow-up diagnostic testing which may include lab work or imaging to confirm cancer. The Galleri test looks for cell-free deoxyribonucleic acid (DNA) and identifies whether it comes from healthy or cancer cells. Its multi-cancer early detection (MCED) blood tests analyze DNA that has been shed into the bloodstream by all cells growing in the body, including cancer cells.</v>
    <v>Nasdaq Stock Market</v>
    <v>XNAS</v>
    <v>XNAS</v>
    <v>1525 O'Brien Drive, MENLO PARK, CA, 94025 US</v>
    <v>52</v>
    <v>Stock</v>
    <v>46106.612702291408</v>
    <v>765</v>
    <v>49.76</v>
    <v>GRAIL, INC.</v>
    <v>GRAIL, INC.</v>
    <v>50.3</v>
    <v>0</v>
    <v>48.65</v>
    <v>51.66</v>
    <v>GRAL</v>
    <v>GRAIL, INC. (XNAS:GRAL)</v>
    <v>169303</v>
    <v>2040521</v>
  </rv>
  <rv s="2">
    <v>766</v>
  </rv>
  <rv s="0">
    <v>https://www.bing.com/financeapi/forcetrigger?t=bgr4w7&amp;q=XNAS%3aREPL&amp;form=skydnc</v>
    <v>Learn more on Bing</v>
  </rv>
  <rv s="1">
    <v>0</v>
    <v>REPLIMUNE GROUP, INC. (XNAS:REPL)</v>
    <v>2</v>
    <v>3</v>
    <v>Finance</v>
    <v>4</v>
    <v>en-US</v>
    <v>bgr4w7</v>
    <v>268435456</v>
    <v>1</v>
    <v>Powered by Refinitiv</v>
    <v>13.24</v>
    <v>2.68</v>
    <v>0.7913</v>
    <v>0.33500000000000002</v>
    <v>4.8063000000000002E-2</v>
    <v>USD</v>
    <v>Replimune Group, Inc. is a clinical-stage biotechnology company engaged in the development of novel oncolytic immunotherapies. Its proprietary RPx platform is based on a potent HSV-1 backbone intended to maximize immunogenic cell death and the induction of a systemic anti-tumor immune response. The RPx platform is designed to have a unique dual local and systemic activity consisting of direct selective virus-mediated killing of the tumor resulting in the release of tumor-derived antigens and altering of the tumor microenvironment to ignite a systemic response. Its lead product candidate, RP1, is a selectively replicating version of HSV-1 that expresses GALV-GP R(-) and human GM-CSF. Its lead indication for its lead product candidate, RP1, is the potential treatment of advanced melanoma. Its pipeline product candidates include RP2 and RP3. It has designed its RP2 product candidate to express an anti-CTLA-4 antibody-like protein intended to block the inhibition of the immune response.</v>
    <v>479</v>
    <v>Nasdaq Stock Market</v>
    <v>XNAS</v>
    <v>XNAS</v>
    <v>500 Unicorn Park Dr, WOBURN, MA, 01801-3377 US</v>
    <v>7.47</v>
    <v>Biotechnology &amp; Medical Research</v>
    <v>Stock</v>
    <v>46106.612722210157</v>
    <v>768</v>
    <v>7.04</v>
    <v>603192989</v>
    <v>REPLIMUNE GROUP, INC.</v>
    <v>REPLIMUNE GROUP, INC.</v>
    <v>7.04</v>
    <v>0</v>
    <v>6.97</v>
    <v>7.3049999999999997</v>
    <v>82572620</v>
    <v>REPL</v>
    <v>REPLIMUNE GROUP, INC. (XNAS:REPL)</v>
    <v>552351</v>
    <v>1583973</v>
    <v>2017</v>
  </rv>
  <rv s="2">
    <v>769</v>
  </rv>
  <rv s="0">
    <v>https://www.bing.com/financeapi/forcetrigger?t=bvpqww&amp;q=XNAS%3aOM&amp;form=skydnc</v>
    <v>Learn more on Bing</v>
  </rv>
  <rv s="1">
    <v>0</v>
    <v>Outset Medical, Inc. (XNAS:OM)</v>
    <v>2</v>
    <v>3</v>
    <v>Finance</v>
    <v>4</v>
    <v>en-US</v>
    <v>bvpqww</v>
    <v>268435456</v>
    <v>1</v>
    <v>Powered by Refinitiv</v>
    <v>21.98</v>
    <v>3</v>
    <v>2.0194999999999999</v>
    <v>0.01</v>
    <v>2.833E-3</v>
    <v>USD</v>
    <v>Outset Medical, Inc. is a medical technology company. It offers Tablo Hemodialysis System (Tablo), which is a single enterprise solution for hemodialysis, comprised of a compact console with integrated water purification, on-demand dialysate production and advanced software and connectivity capabilities. It designed Tablo from the ground up to be a single enterprise solution that can be utilized across the continuum of care, allowing dialysis to be delivered anytime, anywhere, and by virtually anyone. Tablo comprises various components, including Tablo Console, Tablo Cartridge, and Tablo Data Ecosystem. Tablo Console is a proprietary, compact, mobile and versatile machine consisting of an integrated water purification, on-demand dialysate production system and simple-to-use touchscreen interface with 3D animations. It also offers various key platforms, such as TabloHub, a customer-facing portal; MyTablo, a patient-facing portal, and TabloDash, an internal data analytics platform.</v>
    <v>310</v>
    <v>Nasdaq Stock Market</v>
    <v>XNAS</v>
    <v>XNAS</v>
    <v>3052 Orchard Drive, SAN JOSE, CA, 95134 US</v>
    <v>3.7399</v>
    <v>Healthcare Equipment &amp; Supplies</v>
    <v>Stock</v>
    <v>46106.612316318751</v>
    <v>771</v>
    <v>3.4849999999999999</v>
    <v>64823170</v>
    <v>Outset Medical, Inc.</v>
    <v>Outset Medical, Inc.</v>
    <v>3.6</v>
    <v>0</v>
    <v>3.53</v>
    <v>3.54</v>
    <v>18311630</v>
    <v>OM</v>
    <v>Outset Medical, Inc. (XNAS:OM)</v>
    <v>14050</v>
    <v>233703</v>
    <v>2003</v>
  </rv>
  <rv s="2">
    <v>772</v>
  </rv>
  <rv s="0">
    <v>https://www.bing.com/financeapi/forcetrigger?t=a31y6h&amp;q=OTCM%3aCRKR&amp;form=skydnc</v>
    <v>Learn more on Bing</v>
  </rv>
  <rv s="1">
    <v>0</v>
    <v>PRAIRIE OPERATING CO. (XNAS:PROP)</v>
    <v>2</v>
    <v>3</v>
    <v>Finance</v>
    <v>4</v>
    <v>en-US</v>
    <v>a31y6h</v>
    <v>268435456</v>
    <v>1</v>
    <v>Powered by Refinitiv</v>
    <v>6.01</v>
    <v>1.31</v>
    <v>1.7242</v>
    <v>-8.5000000000000006E-2</v>
    <v>-4.8571000000000003E-2</v>
    <v>USD</v>
    <v>Prairie Operating Co. is an independent energy company. The Company is focused on the acquisition and development of crude oil, natural gas, and natural gas liquids (NGLs). The Company’s assets and operations are concentrated in the oil and liquids-rich regions of the Denver-Julesburg (DJ) Basin, with a primary focus on the Niobrara and Codell formations. The Company owns approximately 76, 000 net acres of land package within the DJ Basin, with 47 operated and non-operated proved developed producing (PDP) wells.</v>
    <v>19</v>
    <v>Nasdaq Stock Market</v>
    <v>XNAS</v>
    <v>XNAS</v>
    <v>55 WAUGH DRIVE, SUITE 400, HOUSTON, TX, 77007 US</v>
    <v>1.75</v>
    <v>Oil &amp; Gas</v>
    <v>Stock</v>
    <v>46106.612597534375</v>
    <v>774</v>
    <v>1.63</v>
    <v>99311605</v>
    <v>PRAIRIE OPERATING CO.</v>
    <v>PRAIRIE OPERATING CO.</v>
    <v>1.75</v>
    <v>0</v>
    <v>1.75</v>
    <v>1.665</v>
    <v>59646610</v>
    <v>PROP</v>
    <v>PRAIRIE OPERATING CO. (XNAS:PROP)</v>
    <v>1165086</v>
    <v>3094499</v>
    <v>2001</v>
  </rv>
  <rv s="2">
    <v>775</v>
  </rv>
  <rv s="0">
    <v>https://www.bing.com/financeapi/forcetrigger?t=bvmrcw&amp;q=XNAS%3aGDRX&amp;form=skydnc</v>
    <v>Learn more on Bing</v>
  </rv>
  <rv s="1">
    <v>0</v>
    <v>GOODRX HOLDINGS, INC. (XNAS:GDRX)</v>
    <v>2</v>
    <v>3</v>
    <v>Finance</v>
    <v>4</v>
    <v>en-US</v>
    <v>bvmrcw</v>
    <v>268435456</v>
    <v>1</v>
    <v>Powered by Refinitiv</v>
    <v>5.8098999999999998</v>
    <v>1.77</v>
    <v>1.4578</v>
    <v>2.01E-2</v>
    <v>9.8529999999999989E-3</v>
    <v>USD</v>
    <v>GoodRx Holdings, Inc. is a platform for medication savings in the United States, used by consumers and healthcare professionals. The Company connects consumers, healthcare professionals, payers, pharmacy benefit managers (PBMs), pharma manufacturers, and retail pharmacies to make saving on medications easier. The Company's offerings include prescription marketplace and pharma manufacturer solutions. Its prescription marketplace consists of its prescription transactions offering and its supplemental subscription and telehealth offerings. Through its GoodRx Care platform, the Company offers consumers access to telehealth visits on a cash-pay basis outside of insurance. The Company partners with pharma manufacturers to advertise and integrate their affordability solutions into its platform. These solutions, provided by pharma manufacturers, include co-pay cards, patient assistance programs, care portals, and other savings options to ensure consumers can access their medications.</v>
    <v>697</v>
    <v>Nasdaq Stock Market</v>
    <v>XNAS</v>
    <v>XNAS</v>
    <v>2701 Olympic Boulevard, SANTA MONICA, CA, 90404 US</v>
    <v>2.1</v>
    <v>Software &amp; IT Services</v>
    <v>Stock</v>
    <v>46106.612802673437</v>
    <v>777</v>
    <v>2.06</v>
    <v>705737727</v>
    <v>GOODRX HOLDINGS, INC.</v>
    <v>GOODRX HOLDINGS, INC.</v>
    <v>2.08</v>
    <v>24.495799999999999</v>
    <v>2.04</v>
    <v>2.0600999999999998</v>
    <v>342574500</v>
    <v>GDRX</v>
    <v>GOODRX HOLDINGS, INC. (XNAS:GDRX)</v>
    <v>188993</v>
    <v>3510463</v>
    <v>2015</v>
  </rv>
  <rv s="2">
    <v>778</v>
  </rv>
  <rv s="3">
    <v>5</v>
    <v>BRIGHTSPRING HEALTH SERVICES, INC. (XNAS:BTSG)</v>
    <v>6</v>
    <v>3</v>
    <v>Finance</v>
    <v>4</v>
    <v>en-US</v>
    <v>cc88m7</v>
    <v>268435456</v>
    <v>1</v>
    <v>Powered by Refinitiv</v>
    <v>44.87</v>
    <v>15.483599999999999</v>
    <v>1.137</v>
    <v>1.26</v>
    <v>2.9093000000000001E-2</v>
    <v>USD</v>
    <v>BrightSpring Health Services, Inc. provides home and community-based pharmacy and health solutions for populations in need of specialized and/or chronic care. Through the Company’s service lines, including pharmacy, home health care and primary care, and rehabilitation and behavioral health, it provides integrated care and clinical solutions in all 50 states to over 450,000 customers, clients and patients daily. With a focus on senior and specialty patients, the Company’s platform provides pharmacy and provider services (both clinical and supportive care in nature) in lower-cost home and community settings largely to medicare, medicaid, and commercially insured populations. It delivers services through two reportable segments: Pharmacy Solutions and Provider Services. It provides pharmacy services when and where demanded and as required by customers and patients in their homes and communities, often in coordination with its provider’s services.</v>
    <v>23500</v>
    <v>Nasdaq Stock Market</v>
    <v>XNAS</v>
    <v>XNAS</v>
    <v>805 N Whittington Pkwy, LOUISVILLE, KY, 40222-5186 US</v>
    <v>44.65</v>
    <v>Healthcare Providers &amp; Services</v>
    <v>Stock</v>
    <v>46106.612732568748</v>
    <v>43.734999999999999</v>
    <v>8573904158</v>
    <v>BRIGHTSPRING HEALTH SERVICES, INC.</v>
    <v>BRIGHTSPRING HEALTH SERVICES, INC.</v>
    <v>43.81</v>
    <v>130.13140000000001</v>
    <v>43.31</v>
    <v>44.57</v>
    <v>192369400</v>
    <v>BTSG</v>
    <v>BRIGHTSPRING HEALTH SERVICES, INC. (XNAS:BTSG)</v>
    <v>425370</v>
    <v>3483848</v>
    <v>2017</v>
  </rv>
  <rv s="2">
    <v>780</v>
  </rv>
  <rv s="0">
    <v>https://www.bing.com/financeapi/forcetrigger?t=bv94h7&amp;q=XNAS%3aHSAQ&amp;form=skydnc</v>
    <v>Learn more on Bing</v>
  </rv>
  <rv s="1">
    <v>0</v>
    <v>ORCHESTRA BIOMED HOLDINGS, INC. (XNAS:OBIO)</v>
    <v>2</v>
    <v>3</v>
    <v>Finance</v>
    <v>4</v>
    <v>en-US</v>
    <v>bv94h7</v>
    <v>268435456</v>
    <v>1</v>
    <v>Powered by Refinitiv</v>
    <v>5.4240000000000004</v>
    <v>2.2000000000000002</v>
    <v>0.55289999999999995</v>
    <v>0.04</v>
    <v>8.5840000000000014E-3</v>
    <v>USD</v>
    <v>Orchestra BioMed Holdings, Inc. is a biomedical innovation company. The Company’s lead product candidates include Atrioventricular Interval Modulation (AVIM) therapy for the treatment of hypertension (HTN), the leading risk factor for death worldwide and the Virtue Sirolimus AngioInfusion Balloon (Virtue SAB) for the treatment of atherosclerotic artery disease, the leading cause of mortality worldwide. The Company develops bioelectronic therapies based on patented Cardiac Neuromodulation Therapy (CNT) technology. The AVIM is a bioelectronic therapy candidate designed to substantially and persistently lower blood pressure. Its Virtue SAB is a proprietary drug/device combination product candidate for the treatment of artery disease that is designed to deliver a proprietary, investigational, extended-release formulation of sirolimus (SirolimusEFR) to the vessel wall during balloon angioplasty without the need for balloon coating or a permanent implant.</v>
    <v>86</v>
    <v>Nasdaq Stock Market</v>
    <v>XNAS</v>
    <v>XNAS</v>
    <v>150 Union Square Drive, NEW HOPE, PA, 18938 US</v>
    <v>4.83</v>
    <v>Healthcare Equipment &amp; Supplies</v>
    <v>Stock</v>
    <v>46106.612684247659</v>
    <v>782</v>
    <v>4.6550000000000002</v>
    <v>275048230</v>
    <v>ORCHESTRA BIOMED HOLDINGS, INC.</v>
    <v>ORCHESTRA BIOMED HOLDINGS, INC.</v>
    <v>4.7300000000000004</v>
    <v>0</v>
    <v>4.66</v>
    <v>4.7</v>
    <v>58520900</v>
    <v>OBIO</v>
    <v>ORCHESTRA BIOMED HOLDINGS, INC. (XNAS:OBIO)</v>
    <v>55444</v>
    <v>253903</v>
    <v>2023</v>
  </rv>
  <rv s="2">
    <v>783</v>
  </rv>
  <rv s="0">
    <v>https://www.bing.com/financeapi/forcetrigger?t=c1yw2w&amp;q=XNAS%3aVERA&amp;form=skydnc</v>
    <v>Learn more on Bing</v>
  </rv>
  <rv s="1">
    <v>0</v>
    <v>VERA THERAPEUTICS, INC. (XNAS:VERA)</v>
    <v>2</v>
    <v>3</v>
    <v>Finance</v>
    <v>4</v>
    <v>en-US</v>
    <v>c1yw2w</v>
    <v>268435456</v>
    <v>1</v>
    <v>Powered by Refinitiv</v>
    <v>56.05</v>
    <v>18.53</v>
    <v>1.1755</v>
    <v>1.23</v>
    <v>3.0943000000000002E-2</v>
    <v>USD</v>
    <v>Vera Therapeutics, Inc. is a late-stage biotechnology company. The Company is focused on developing and commercializing transformative treatments for patients with serious immunological diseases. Its lead product candidate is atacicept, a fusion protein self-administered as a subcutaneous injection once weekly that blocks both B-cell Activating Factor (BAFF) and A PRoliferation-Inducing Ligand (APRIL), which stimulate B cells to produce autoantibodies contributing to certain autoimmune diseases, including IgAN, also known as Berger’s disease, and lupus nephritis. In addition, it is evaluating additional diseases where the reduction of autoantibodies by atacicept may prove medically useful. It is also engaged in developing MAU868, a monoclonal antibody designed to neutralize infection with BK virus (BKV), a polyomavirus that can have devastating consequences in certain settings such as kidney transplant. It retains all global developmental and commercial rights to atacicept and MAU868.</v>
    <v>249</v>
    <v>Nasdaq Stock Market</v>
    <v>XNAS</v>
    <v>XNAS</v>
    <v>2000 Sierra Point Parkway, Suite 1200, BRISBANE, CA, 94005 US</v>
    <v>41.55</v>
    <v>Biotechnology &amp; Medical Research</v>
    <v>Stock</v>
    <v>46106.612711909373</v>
    <v>785</v>
    <v>40.01</v>
    <v>2924155356</v>
    <v>VERA THERAPEUTICS, INC.</v>
    <v>VERA THERAPEUTICS, INC.</v>
    <v>40.380000000000003</v>
    <v>0</v>
    <v>39.75</v>
    <v>40.98</v>
    <v>71355670</v>
    <v>VERA</v>
    <v>VERA THERAPEUTICS, INC. (XNAS:VERA)</v>
    <v>529485</v>
    <v>1278304</v>
    <v>2016</v>
  </rv>
  <rv s="2">
    <v>786</v>
  </rv>
  <rv s="0">
    <v>https://www.bing.com/financeapi/forcetrigger?t=c4s7h7&amp;q=XNAS%3aNXL&amp;form=skydnc</v>
    <v>Learn more on Bing</v>
  </rv>
  <rv s="1">
    <v>0</v>
    <v>NEXALIN TECHNOLOGY, INC. (XNAS:NXL)</v>
    <v>2</v>
    <v>3</v>
    <v>Finance</v>
    <v>4</v>
    <v>en-US</v>
    <v>c4s7h7</v>
    <v>268435456</v>
    <v>1</v>
    <v>Powered by Refinitiv</v>
    <v>2.44</v>
    <v>0.36409999999999998</v>
    <v>4.1005000000000003</v>
    <v>-8.0000000000000002E-3</v>
    <v>-1.9602999999999999E-2</v>
    <v>USD</v>
    <v>Nexalin Technology, Inc. is engaged in designing and developing neurostimulation products for the mental health epidemic. The Company has developed an easy-to-administer medical device (Generation 1 or Gen-1) that utilizes bioelectronic medical technology to treat anxiety, depression and insomnia, without the need for drugs or psychotherapy. Its original Gen-1 devices are cranial electrotherapy stimulation (CES) devices that emit a waveform at 4 milliamps during treatment. It has also designed and developed a new advanced waveform technology to be emitted at 15 milliamps through new and improved medical devices referred to as (Generation 2 or Gen-2) and (Gen-3). Gen-2 is a clinical use device with a modern enclosure to emit the new 15 milliamp advanced waveform. Gen-3 is a new patient headset that will be prescribed by licensed medical professionals in a virtual clinic setting like existing telehealth platforms. Its products are non-invasive and undetectable to the human body.</v>
    <v>6</v>
    <v>Nasdaq Stock Market</v>
    <v>XNAS</v>
    <v>XNAS</v>
    <v>1776 Yorktown, Suite 550, HOUSTON, TX, 77056 US</v>
    <v>0.42</v>
    <v>Healthcare Equipment &amp; Supplies</v>
    <v>Stock</v>
    <v>46106.60789997656</v>
    <v>788</v>
    <v>0.39700000000000002</v>
    <v>7462641</v>
    <v>NEXALIN TECHNOLOGY, INC.</v>
    <v>NEXALIN TECHNOLOGY, INC.</v>
    <v>0.42</v>
    <v>0</v>
    <v>0.40810000000000002</v>
    <v>0.40010000000000001</v>
    <v>18651940</v>
    <v>NXL</v>
    <v>NEXALIN TECHNOLOGY, INC. (XNAS:NXL)</v>
    <v>50817</v>
    <v>271937</v>
    <v>2010</v>
  </rv>
  <rv s="2">
    <v>789</v>
  </rv>
  <rv s="0">
    <v>https://www.bing.com/financeapi/forcetrigger?t=a1wdrw&amp;q=XNAS%3aKNTK&amp;form=skydnc</v>
    <v>Learn more on Bing</v>
  </rv>
  <rv s="1">
    <v>0</v>
    <v>KINETIK HOLDINGS INC. (XNYS:KNTK)</v>
    <v>2</v>
    <v>3</v>
    <v>Finance</v>
    <v>4</v>
    <v>en-US</v>
    <v>a1wdrw</v>
    <v>268435456</v>
    <v>1</v>
    <v>Powered by Refinitiv</v>
    <v>54.94</v>
    <v>31.33</v>
    <v>0.69420000000000004</v>
    <v>0.28499999999999998</v>
    <v>6.0940000000000005E-3</v>
    <v>USD</v>
    <v>Kinetik Holdings Inc. is an integrated Permian-to-Gulf Coast midstream company operating in the Delaware Basin. It offers comprehensive gathering, transportation, compression, processing and treating services for companies that produce natural gas, natural gas liquids, crude oil and water. Its segments include Midstream Logistics and Pipeline Transportation. The Midstream Logistics segment operates under three streams: gas gathering and processing, crude oil gathering, stabilization and storage services, and produced water gathering and disposal. The Midstream Logistics segment provides gas gathering and processing services with over 3,900 miles of low and high-pressure steel pipeline located throughout the Delaware Basin, including over 2,300 miles of gas pipeline. The Pipeline Transportation segment consists of equity investment interests in three Permian Basin pipelines that access various points along the United States Gulf Coast, Kinetik NGL Pipeline and Delaware Link Pipeline.</v>
    <v>500</v>
    <v>New York Stock Exchange</v>
    <v>XNYS</v>
    <v>XNYS</v>
    <v>2700 Post Oak Blvd., Suite 300, HOUSTON, TX, 77056 US</v>
    <v>47.49</v>
    <v>Oil &amp; Gas Related Equipment and Services</v>
    <v>Stock</v>
    <v>46106.612743089841</v>
    <v>791</v>
    <v>46.604999999999997</v>
    <v>7629888256</v>
    <v>KINETIK HOLDINGS INC.</v>
    <v>KINETIK HOLDINGS INC.</v>
    <v>47.47</v>
    <v>18.1876</v>
    <v>46.77</v>
    <v>47.055</v>
    <v>162148300</v>
    <v>KNTK</v>
    <v>KINETIK HOLDINGS INC. (XNYS:KNTK)</v>
    <v>123524</v>
    <v>1705239</v>
    <v>2016</v>
  </rv>
  <rv s="2">
    <v>792</v>
  </rv>
  <rv s="0">
    <v>https://www.bing.com/financeapi/forcetrigger?t=c3to9c&amp;q=XNYS%3aARIS&amp;form=skydnc</v>
    <v>Learn more on Bing</v>
  </rv>
  <rv s="13">
    <v>20</v>
    <v>Aris Water Solutions Inc (XNYS:ARIS)</v>
    <v>2</v>
    <v>3</v>
    <v>Finance</v>
    <v>21</v>
    <v>en-US</v>
    <v>c3to9c</v>
    <v>268435456</v>
    <v>1</v>
    <v>1</v>
    <v>Powered by Refinitiv</v>
    <v>33.950000000000003</v>
    <v>14.46</v>
    <v>1.6712</v>
    <v>0</v>
    <v>0</v>
    <v>USD</v>
    <v>Aris Water Solutions, Inc. is an environmental infrastructure and solutions company. The Company helps customers reduce their water and carbon footprints. It delivers full-cycle water handling and recycling solutions for energy operations. Its integrated pipelines and related infrastructure create produced water management, recycling, and supply solutions for operators in the core areas of the Permian Basin. The Company manages its business through a single operating segment comprising two primary revenue streams: Produced Water Handling and Water Solutions. The Produced Water Handling business gathers, transports and, unless recycled, handles produced water generated from oil and natural gas production. The Water Solutions business develops and operates recycling facilities to treat, store and recycle produced water. The Company also supplements its recycled produced water with non-potable groundwater to meet the demands of its customers' operations.</v>
    <v>276</v>
    <v>New York Stock Exchange</v>
    <v>XNYS</v>
    <v>XNYS</v>
    <v>9651 Katy Freeway, Suite 400, HOUSTON, TX, 77024 US</v>
    <v>23.69</v>
    <v>Professional &amp; Commercial Services</v>
    <v>Stock</v>
    <v>45944.999654166408</v>
    <v>794</v>
    <v>23.15</v>
    <v>1387681000</v>
    <v>Aris Water Solutions Inc</v>
    <v>Aris Water Solutions Inc</v>
    <v>23.29</v>
    <v>28.515000000000001</v>
    <v>23.45</v>
    <v>23.69</v>
    <v>59176140</v>
    <v>ARIS</v>
    <v>Aris Water Solutions Inc (XNYS:ARIS)</v>
    <v>297</v>
    <v>1836798</v>
    <v>2021</v>
  </rv>
  <rv s="2">
    <v>795</v>
  </rv>
  <rv s="0">
    <v>https://www.bing.com/financeapi/forcetrigger?t=a1nlcw&amp;q=XNAS%3aAPEI&amp;form=skydnc</v>
    <v>Learn more on Bing</v>
  </rv>
  <rv s="1">
    <v>0</v>
    <v>AMERICAN PUBLIC EDUCATION, INC. (XNAS:APEI)</v>
    <v>2</v>
    <v>3</v>
    <v>Finance</v>
    <v>4</v>
    <v>en-US</v>
    <v>a1nlcw</v>
    <v>268435456</v>
    <v>1</v>
    <v>Powered by Refinitiv</v>
    <v>58.685000000000002</v>
    <v>20.75</v>
    <v>1.5157</v>
    <v>1.4</v>
    <v>2.4920000000000001E-2</v>
    <v>USD</v>
    <v>American Public Education, Inc., through its institutions, American Public University System (APUS), Rasmussen University (RU), Hondros College of Nursing (HCN), and Graduate School USA (GSUSA), provides online and campus-based postsecondary education and career learning. Its segments include APUS, RU and HCN. The APUS segment provides online postsecondary education directed primarily at the needs of the military, military-affiliated, public service and service-minded communities through American Military University (AMU), and American Public University (APU). APUS provides online postsecondary education to approximately 88,400 adult learners. The RU segment provides nursing and health sciences-focused postsecondary education to over 14,600 students at its 20 campuses in six states and online. The HCN segment offers pre-licensure nursing programs that are designed to prepare individuals for productive careers through both a PN degree and an ADN degree, and two Direct Entry ADN degrees.</v>
    <v>2360</v>
    <v>Nasdaq Stock Market</v>
    <v>XNAS</v>
    <v>XNAS</v>
    <v>111 W Congress St, CHARLES TOWN, WV, 25414 US</v>
    <v>57.58</v>
    <v>Miscellaneous Educational Service Providers</v>
    <v>Stock</v>
    <v>46106.612674421092</v>
    <v>797</v>
    <v>55.141500000000001</v>
    <v>1058345735</v>
    <v>AMERICAN PUBLIC EDUCATION, INC.</v>
    <v>AMERICAN PUBLIC EDUCATION, INC.</v>
    <v>56.88</v>
    <v>45.514200000000002</v>
    <v>56.18</v>
    <v>57.58</v>
    <v>18380440</v>
    <v>APEI</v>
    <v>AMERICAN PUBLIC EDUCATION, INC. (XNAS:APEI)</v>
    <v>63494</v>
    <v>464741</v>
    <v>2002</v>
  </rv>
  <rv s="2">
    <v>798</v>
  </rv>
  <rv s="0">
    <v>https://www.bing.com/financeapi/forcetrigger?t=a2si9c&amp;q=XNAS%3aPOET&amp;form=skydnc</v>
    <v>Learn more on Bing</v>
  </rv>
  <rv s="1">
    <v>0</v>
    <v>POET Technologies Inc. (XNAS:POET)</v>
    <v>2</v>
    <v>3</v>
    <v>Finance</v>
    <v>4</v>
    <v>en-US</v>
    <v>a2si9c</v>
    <v>268435456</v>
    <v>1</v>
    <v>Powered by Refinitiv</v>
    <v>9.41</v>
    <v>3.09</v>
    <v>0.3861</v>
    <v>0.26</v>
    <v>4.5296000000000003E-2</v>
    <v>USD</v>
    <v>POET Technologies Inc. is a design and development company. It offers high-speed optical engines, light source products and custom optical modules to the artificial intelligence (AI) systems market and to hyperscale data centers. Its photonic integration solutions are based on the POET Optical Interposer, a novel, patented platform that allows the integration of electronic and photonic devices into a single chip using wafer-level semiconductor manufacturing techniques. Its Optical Interposer-based products consume less power than comparable products, are smaller in size and are readily scalable to high production volumes. In addition, it has designed and produced novel light source products for chip-to-chip data communication within and between AI servers, the next frontier for solving bandwidth and latency problems in AI systems. Its Optical Interposer platform solves device integration challenges across a range of communication, computing and sensing applications.</v>
    <v>180</v>
    <v>Nasdaq Stock Market</v>
    <v>XNAS</v>
    <v>XNAS</v>
    <v>120 Eglinton Avenue East, Suite 1107, TORONTO, ON, M4P 1E2 CA</v>
    <v>6.1</v>
    <v>Semiconductors &amp; Semiconductor Equipment</v>
    <v>Stock</v>
    <v>46106.61266619141</v>
    <v>800</v>
    <v>5.85</v>
    <v>916267200</v>
    <v>POET Technologies Inc.</v>
    <v>POET Technologies Inc.</v>
    <v>5.85</v>
    <v>0</v>
    <v>5.74</v>
    <v>6</v>
    <v>152711200</v>
    <v>POET</v>
    <v>POET Technologies Inc. (XNAS:POET)</v>
    <v>2444567</v>
    <v>8936230</v>
    <v>2010</v>
  </rv>
  <rv s="2">
    <v>801</v>
  </rv>
  <rv s="0">
    <v>https://www.bing.com/financeapi/forcetrigger?t=a1ypc7&amp;q=XNYS%3aNRG&amp;form=skydnc</v>
    <v>Learn more on Bing</v>
  </rv>
  <rv s="1">
    <v>0</v>
    <v>NRG ENERGY, INC. (XNYS:NRG)</v>
    <v>2</v>
    <v>3</v>
    <v>Finance</v>
    <v>4</v>
    <v>en-US</v>
    <v>a1ypc7</v>
    <v>268435456</v>
    <v>1</v>
    <v>Powered by Refinitiv</v>
    <v>189.96</v>
    <v>79.569999999999993</v>
    <v>1.3225</v>
    <v>2.21</v>
    <v>1.4622999999999999E-2</v>
    <v>USD</v>
    <v>NRG Energy, Inc. is an energy and home services company. The Company’s businesses are the sale of electricity and natural gas to residential, commercial, and industrial and wholesale customers, supported by its wholesale electric generation, as well as the sale of smart home products and services. Across the United States and Canada, the Company delivers sustainable solutions, predominately under brand names such as NRG, Reliant, Direct Energy, Green Mountain Energy, and Vivint. Its segments include Texas, East, West/Services/Other, Vivint Smart Home and Corporate activities. It sells a variety of products to residential and small commercial customers, including retail electricity and energy management, natural gas, line and surge protection products and home protection products, repair and maintenance, and carbon offsets. It owns and leases a diversified wholesale generation portfolio with approximately 13 gigawatts of fossil fuel and renewable generation capacity at 18 plants.</v>
    <v>16702</v>
    <v>New York Stock Exchange</v>
    <v>XNYS</v>
    <v>XNYS</v>
    <v>910 Louisiana Street, HOUSTON, TX, 77002 US</v>
    <v>154.53</v>
    <v>Electrical Utilities &amp; IPPs</v>
    <v>Stock</v>
    <v>46106.6126792125</v>
    <v>803</v>
    <v>152.02000000000001</v>
    <v>32565766508</v>
    <v>NRG ENERGY, INC.</v>
    <v>NRG ENERGY, INC.</v>
    <v>153.02000000000001</v>
    <v>38.879300000000001</v>
    <v>151.13</v>
    <v>153.34</v>
    <v>212376200</v>
    <v>NRG</v>
    <v>NRG ENERGY, INC. (XNYS:NRG)</v>
    <v>411358</v>
    <v>3227747</v>
    <v>1992</v>
  </rv>
  <rv s="2">
    <v>804</v>
  </rv>
  <rv s="0">
    <v>https://www.bing.com/financeapi/forcetrigger?t=c2k31h&amp;q=XNAS%3aCVRX&amp;form=skydnc</v>
    <v>Learn more on Bing</v>
  </rv>
  <rv s="1">
    <v>0</v>
    <v>CVRX, INC. (XNAS:CVRX)</v>
    <v>2</v>
    <v>3</v>
    <v>Finance</v>
    <v>4</v>
    <v>en-US</v>
    <v>c2k31h</v>
    <v>268435456</v>
    <v>1</v>
    <v>Powered by Refinitiv</v>
    <v>13.15</v>
    <v>4.2992999999999997</v>
    <v>1.1917</v>
    <v>0.5</v>
    <v>5.8754000000000001E-2</v>
    <v>USD</v>
    <v>CVRx, Inc. is a commercial-stage medical device company. The Company is focused on developing, manufacturing and commercializing advanced neuromodulation solutions for patients with cardiovascular diseases. The Company's integrated platform technology, Barostim, is designed to leverage the power of the brain and nervous system to address the imbalance of the autonomic nervous system (ANS), which causes heart failure with reduced ejection fraction (HFrEF) and other cardiovascular diseases. Barostim provides Baroreflex Activation Therapy (BAT) by sending imperceptible and persistent electrical pulses to baroreceptors located in the wall of the carotid artery to signal the brain to modulate cardiovascular function. Barostim is a minimally invasive neuromodulation device that consists of two implantable components, an implantable pulse generator (IPG) and a stimulation lead, and is programmed by a wireless clinician-controlled programmer that communicates with the IPG.</v>
    <v>223</v>
    <v>Nasdaq Stock Market</v>
    <v>XNAS</v>
    <v>XNAS</v>
    <v>9201 West Broadway Avenue, Suite 650, MINNEAPOLIS, MN, 55445 US</v>
    <v>9.1300000000000008</v>
    <v>Healthcare Equipment &amp; Supplies</v>
    <v>Stock</v>
    <v>46106.612667233596</v>
    <v>806</v>
    <v>8.59</v>
    <v>237067606</v>
    <v>CVRX, INC.</v>
    <v>CVRX, INC.</v>
    <v>8.59</v>
    <v>0</v>
    <v>8.51</v>
    <v>9.01</v>
    <v>26311610</v>
    <v>CVRX</v>
    <v>CVRX, INC. (XNAS:CVRX)</v>
    <v>19552</v>
    <v>380367</v>
    <v>2000</v>
  </rv>
  <rv s="2">
    <v>807</v>
  </rv>
  <rv s="0">
    <v>https://www.bing.com/financeapi/forcetrigger?t=bq372w&amp;q=XNYS%3aAVTR&amp;form=skydnc</v>
    <v>Learn more on Bing</v>
  </rv>
  <rv s="1">
    <v>0</v>
    <v>AVANTOR, INC. (XNYS:AVTR)</v>
    <v>2</v>
    <v>3</v>
    <v>Finance</v>
    <v>4</v>
    <v>en-US</v>
    <v>bq372w</v>
    <v>268435456</v>
    <v>1</v>
    <v>Powered by Refinitiv</v>
    <v>16.54</v>
    <v>7.38</v>
    <v>1.0037</v>
    <v>-1.4999999999999999E-2</v>
    <v>-1.9400000000000001E-3</v>
    <v>USD</v>
    <v>Avantor, Inc. is a life science tools company and global provider of mission-critical products and services to the life sciences and advanced technology industries. The Company’s segments include Laboratory Solutions and Bioscience Production. Within its segments, it sells materials and consumables, equipment and instrumentation and services and specialty procurement to customers in the biopharma and healthcare, education and government and advanced technologies and applied materials industries. Materials and consumables include ultra-high purity chemicals and reagents, lab products and supplies, highly specialized formulated silicone materials, customized excipients, and others. Equipment and instrumentation include filtration systems, virus inactivation systems, incubators, analytical instruments, and others. Services and specialty procurement include onsite lab and production, equipment, procurement and sourcing and biopharmaceutical material scale-up and development services.</v>
    <v>13500</v>
    <v>New York Stock Exchange</v>
    <v>XNYS</v>
    <v>XNYS</v>
    <v>Radnor Corporate Center, Building One, Suite 200, 100 Matsonford Road, RADNOR, PA, 19087 US</v>
    <v>7.93</v>
    <v>Healthcare Equipment &amp; Supplies</v>
    <v>Stock</v>
    <v>46106.6127585875</v>
    <v>809</v>
    <v>7.68</v>
    <v>5262061268</v>
    <v>AVANTOR, INC.</v>
    <v>AVANTOR, INC.</v>
    <v>7.89</v>
    <v>0</v>
    <v>7.73</v>
    <v>7.7149999999999999</v>
    <v>682055900</v>
    <v>AVTR</v>
    <v>AVANTOR, INC. (XNYS:AVTR)</v>
    <v>608359</v>
    <v>10102799</v>
    <v>2017</v>
  </rv>
  <rv s="2">
    <v>810</v>
  </rv>
  <rv s="0">
    <v>https://www.bing.com/financeapi/forcetrigger?t=aw2mw7&amp;q=XNAS%3aRBBN&amp;form=skydnc</v>
    <v>Learn more on Bing</v>
  </rv>
  <rv s="1">
    <v>0</v>
    <v>RIBBON COMMUNICATIONS INC. (XNAS:RBBN)</v>
    <v>2</v>
    <v>3</v>
    <v>Finance</v>
    <v>4</v>
    <v>en-US</v>
    <v>aw2mw7</v>
    <v>268435456</v>
    <v>1</v>
    <v>Powered by Refinitiv</v>
    <v>4.3099999999999996</v>
    <v>1.8</v>
    <v>1.0576000000000001</v>
    <v>3.5000000000000003E-2</v>
    <v>1.5982E-2</v>
    <v>USD</v>
    <v>Ribbon Communications, Inc. is a provider of communications technology to service providers and enterprises. It provides a range of software and high-performance hardware products, network solutions, and services that enable the secure delivery of data and voice communications, and high-bandwidth networking and connectivity. It has two segments. The Cloud and Edge segment provides secure and reliable software and hardware products, solutions and services for Voice over Internet Protocol communications, Voice over Long-Term Evolution and Voice Over 5G communications, and Unified Communications and Collaboration within service provider and enterprise networks and from the cloud. The IP Optical Networks segment provides high-performance, secure solutions for IP networking and optical transport, supporting wireless networks, including 5G, metro and edge aggregation, core networking, data center interconnect, legacy network transformation and transport solutions for wholesale carriers.</v>
    <v>3080</v>
    <v>Nasdaq Stock Market</v>
    <v>XNAS</v>
    <v>XNAS</v>
    <v>6500 CHASE OAKS BOULEVARD, PLANO, TX, 75023 US</v>
    <v>2.23</v>
    <v>Communications &amp; Networking</v>
    <v>Stock</v>
    <v>46106.611939791408</v>
    <v>812</v>
    <v>2.2000000000000002</v>
    <v>390720012</v>
    <v>RIBBON COMMUNICATIONS INC.</v>
    <v>RIBBON COMMUNICATIONS INC.</v>
    <v>2.21</v>
    <v>10.0953</v>
    <v>2.19</v>
    <v>2.2250000000000001</v>
    <v>175604500</v>
    <v>RBBN</v>
    <v>RIBBON COMMUNICATIONS INC. (XNAS:RBBN)</v>
    <v>56099</v>
    <v>857388</v>
    <v>2017</v>
  </rv>
  <rv s="2">
    <v>813</v>
  </rv>
  <rv s="0">
    <v>https://www.bing.com/financeapi/forcetrigger?t=bsgk77&amp;q=XNAS%3aPGNY&amp;form=skydnc</v>
    <v>Learn more on Bing</v>
  </rv>
  <rv s="1">
    <v>0</v>
    <v>PROGYNY, INC. (XNAS:PGNY)</v>
    <v>2</v>
    <v>3</v>
    <v>Finance</v>
    <v>4</v>
    <v>en-US</v>
    <v>bsgk77</v>
    <v>268435456</v>
    <v>1</v>
    <v>Powered by Refinitiv</v>
    <v>28.75</v>
    <v>16.754999999999999</v>
    <v>0.96630000000000005</v>
    <v>-0.37</v>
    <v>-2.0499E-2</v>
    <v>USD</v>
    <v>Progyny, Inc. is a benefit management company. The Company specializes in fertility and family building benefits solutions in the United States. The Company’s clients include various employers across an array of industries. It has contracts to provide coverage to approximately 6.7 million employees and their partners (known as members). The Company provides its benefits through its proprietary Smart Cycle approach. Smart Cycles include the medical services required for a member’s full course of treatment, including all necessary diagnostic testing and access to the technology. In addition to its fertility benefits solution, the Company offers an integrated pharmacy benefits solution, Progyny Rx, which can be added by its clients. Progyny Rx provides its members with access to the medications needed during their fertility treatment. It provides care management services, as well as medication administration training, pharmacy support services and continuing patient care advocate support.</v>
    <v>856</v>
    <v>Nasdaq Stock Market</v>
    <v>XNAS</v>
    <v>XNAS</v>
    <v>1359 Broadway, 2Nd Floor, NEW YORK, NY, 10018 US</v>
    <v>18.355</v>
    <v>Healthcare Providers &amp; Services</v>
    <v>Stock</v>
    <v>46106.61272399297</v>
    <v>815</v>
    <v>17.625</v>
    <v>1448031426</v>
    <v>PROGYNY, INC.</v>
    <v>PROGYNY, INC.</v>
    <v>18.27</v>
    <v>27.087499999999999</v>
    <v>18.05</v>
    <v>17.68</v>
    <v>81902230</v>
    <v>PGNY</v>
    <v>PROGYNY, INC. (XNAS:PGNY)</v>
    <v>155203</v>
    <v>1805386</v>
    <v>2008</v>
  </rv>
  <rv s="2">
    <v>816</v>
  </rv>
  <rv s="0">
    <v>https://www.bing.com/financeapi/forcetrigger?t=a25bz2&amp;q=XNAS%3aVIAV&amp;form=skydnc</v>
    <v>Learn more on Bing</v>
  </rv>
  <rv s="1">
    <v>0</v>
    <v>VIAVI SOLUTIONS INC. (XNAS:VIAV)</v>
    <v>2</v>
    <v>3</v>
    <v>Finance</v>
    <v>4</v>
    <v>en-US</v>
    <v>a25bz2</v>
    <v>268435456</v>
    <v>1</v>
    <v>Powered by Refinitiv</v>
    <v>37.78</v>
    <v>8.1</v>
    <v>0.82410000000000005</v>
    <v>1.78</v>
    <v>4.9527000000000002E-2</v>
    <v>USD</v>
    <v>Viavi Solutions Inc. is a global provider of network test, monitoring and assurance solutions for telecommunications, cloud, enterprises, first responders, military, aerospace and railway. The Company's segments include Network and Service Enablement (NSE) and Optical Security and Performance Products (OSP). The NSE segment provides an integrated portfolio of testing solutions that access the network to perform build-out and maintenance tasks. Its solutions address lab and production environments, network management, service assurance and artificial intelligence for IT operations (AIOps) for any kind of network, including wireless, wireline, cloud, satellite, public safety, military and critical infrastructure. The OSP segment leverages its core optical coating technologies and volume manufacturing capability to design, manufacture and sell technologies for the anti-counterfeiting, three-dimensional (3D) sensing, government and aerospace, automotive and industrial markets.</v>
    <v>3600</v>
    <v>Nasdaq Stock Market</v>
    <v>XNAS</v>
    <v>XNAS</v>
    <v>1445 SOUTH SPECTRUM BLVD., SUITE 102, CHANDLER, AZ, 85286 US</v>
    <v>37.78</v>
    <v>Communications &amp; Networking</v>
    <v>Stock</v>
    <v>46106.612755439062</v>
    <v>818</v>
    <v>35.74</v>
    <v>8728004396</v>
    <v>VIAVI SOLUTIONS INC.</v>
    <v>VIAVI SOLUTIONS INC.</v>
    <v>36.11</v>
    <v>0</v>
    <v>35.94</v>
    <v>37.72</v>
    <v>231389300</v>
    <v>VIAV</v>
    <v>VIAVI SOLUTIONS INC. (XNAS:VIAV)</v>
    <v>2554269</v>
    <v>6256022</v>
    <v>1993</v>
  </rv>
  <rv s="2">
    <v>819</v>
  </rv>
  <rv s="0">
    <v>https://www.bing.com/financeapi/forcetrigger?t=a25552&amp;q=XNYS%3aRTX&amp;form=skydnc</v>
    <v>Learn more on Bing</v>
  </rv>
  <rv s="1">
    <v>0</v>
    <v>RTX CORPORATION (XNYS:RTX)</v>
    <v>2</v>
    <v>3</v>
    <v>Finance</v>
    <v>4</v>
    <v>en-US</v>
    <v>a25552</v>
    <v>268435456</v>
    <v>1</v>
    <v>Powered by Refinitiv</v>
    <v>214.5</v>
    <v>112.27</v>
    <v>0.4249</v>
    <v>0.88</v>
    <v>4.5360000000000001E-3</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New York Stock Exchange</v>
    <v>XNYS</v>
    <v>XNYS</v>
    <v>1000 Wilson Blvd, ARLINGTON, VA, 22209 US</v>
    <v>196.25</v>
    <v>Aerospace &amp; Defense</v>
    <v>Stock</v>
    <v>46106.61273606406</v>
    <v>821</v>
    <v>194.05</v>
    <v>262303413120</v>
    <v>RTX CORPORATION</v>
    <v>RTX CORPORATION</v>
    <v>196.01</v>
    <v>39.265799999999999</v>
    <v>194</v>
    <v>194.88</v>
    <v>1345974000</v>
    <v>RTX</v>
    <v>RTX CORPORATION (XNYS:RTX)</v>
    <v>691950</v>
    <v>6709488</v>
    <v>1934</v>
  </rv>
  <rv s="2">
    <v>822</v>
  </rv>
  <rv s="0">
    <v>https://www.bing.com/financeapi/forcetrigger?t=a1rgxm&amp;q=XNAS%3aDXCM&amp;form=skydnc</v>
    <v>Learn more on Bing</v>
  </rv>
  <rv s="1">
    <v>0</v>
    <v>DEXCOM, INC. (XNAS:DXCM)</v>
    <v>2</v>
    <v>3</v>
    <v>Finance</v>
    <v>4</v>
    <v>en-US</v>
    <v>a1rgxm</v>
    <v>268435456</v>
    <v>1</v>
    <v>Powered by Refinitiv</v>
    <v>89.98</v>
    <v>54.11</v>
    <v>1.5321</v>
    <v>-4.4999999999999998E-2</v>
    <v>-6.757E-4</v>
    <v>USD</v>
    <v>DexCom, Inc. is a medical device company. The Company is primarily focused on the design, development, and commercialization of continuous glucose monitoring (CGM), systems for the management of diabetes and metabolic health by patients, caregivers, and clinicians. It enables people to take control of health through innovative biosensing technology. The G7 is an integrated continuous glucose monitoring system. Stelo is designed specifically for people with type II diabetes who do not use insulin as the first over-the-counter glucose biosensor in the United States. The Dexcom Share remote monitoring system, offered for use with any Dexcom system, uses an app on the patient’s compatible mobile device. Its Dexcom G7 is for adults and children (2+ years) living with type I or type II diabetes who are on any insulin or medications, at risk of hypoglycemia, and those with gestational diabetes. The G7 and G7 15 Day includes finger stick elimination, continuous glucose readings and others.</v>
    <v>11000</v>
    <v>Nasdaq Stock Market</v>
    <v>XNAS</v>
    <v>XNAS</v>
    <v>6340 Sequence Drive, SAN DIEGO, CA, 92121 US</v>
    <v>68.09</v>
    <v>Healthcare Equipment &amp; Supplies</v>
    <v>Stock</v>
    <v>46106.612708876564</v>
    <v>824</v>
    <v>66.31</v>
    <v>25614676764</v>
    <v>DEXCOM, INC.</v>
    <v>DEXCOM, INC.</v>
    <v>67.22</v>
    <v>32.217500000000001</v>
    <v>66.599999999999994</v>
    <v>66.555000000000007</v>
    <v>384864800</v>
    <v>DXCM</v>
    <v>DEXCOM, INC. (XNAS:DXCM)</v>
    <v>621642</v>
    <v>4184890</v>
    <v>1999</v>
  </rv>
  <rv s="2">
    <v>825</v>
  </rv>
  <rv s="0">
    <v>https://www.bing.com/financeapi/forcetrigger?t=bqef52&amp;q=XNYS%3aCHWY&amp;form=skydnc</v>
    <v>Learn more on Bing</v>
  </rv>
  <rv s="1">
    <v>0</v>
    <v>CHEWY, INC. (XNYS:CHWY)</v>
    <v>2</v>
    <v>3</v>
    <v>Finance</v>
    <v>4</v>
    <v>en-US</v>
    <v>bqef52</v>
    <v>268435456</v>
    <v>1</v>
    <v>Powered by Refinitiv</v>
    <v>48.62</v>
    <v>22.74</v>
    <v>1.6823999999999999</v>
    <v>2.79</v>
    <v>0.118977</v>
    <v>USD</v>
    <v>Chewy, Inc. is an e-commerce business geared toward pet products and services. The Company’s products consist of pet food and treats, pet supplies and pet medications, other pet-health products, and pet services. It serves its customers through its retail websites, and its mobile applications and focuses on delivering customer service, competitive prices, convenience, including Chewy’s Autoship subscription program, and a range of pet food, treats and supplies, and pet healthcare products and services. It partners with approximately 3,200 of the brands in the pet industry, and it creates and offers its own private brands. It owns a number of trademark registrations and applications in the United States and in foreign jurisdictions. These trademarks include American Journey, Blue Box Event, Careplus, Chewy, Chewy.com, Chewy Vet Care, Dr. Lyon’s, Frisco, Goody Box, Onguard, PetMD, PracticeHub, Tiny Tiger, True Acre Farms, Tylee’s, Vibeful, and The Zoo.</v>
    <v>18000</v>
    <v>New York Stock Exchange</v>
    <v>XNYS</v>
    <v>XNYS</v>
    <v>7700 WEST SUNRISE BOULEVARD, PLANTATION, FL, 33322 US</v>
    <v>27.34</v>
    <v>Specialty Retailers</v>
    <v>Stock</v>
    <v>46106.612720462501</v>
    <v>827</v>
    <v>25</v>
    <v>10889560640</v>
    <v>CHEWY, INC.</v>
    <v>CHEWY, INC.</v>
    <v>26.02</v>
    <v>52.881900000000002</v>
    <v>23.45</v>
    <v>26.24</v>
    <v>414998500</v>
    <v>CHWY</v>
    <v>CHEWY, INC. (XNYS:CHWY)</v>
    <v>8976849</v>
    <v>8232513</v>
    <v>2013</v>
  </rv>
  <rv s="2">
    <v>828</v>
  </rv>
  <rv s="0">
    <v>https://www.bing.com/financeapi/forcetrigger?t=a1s61h&amp;q=XNAS%3aERIC&amp;form=skydnc</v>
    <v>Learn more on Bing</v>
  </rv>
  <rv s="1">
    <v>0</v>
    <v>Telefonaktiebolaget LM Ericsson (XNAS:ERIC)</v>
    <v>2</v>
    <v>3</v>
    <v>Finance</v>
    <v>4</v>
    <v>en-US</v>
    <v>a1s61h</v>
    <v>268435456</v>
    <v>1</v>
    <v>Powered by Refinitiv</v>
    <v>12.115</v>
    <v>6.64</v>
    <v>0.92820000000000003</v>
    <v>0.14990000000000001</v>
    <v>1.3080000000000001E-2</v>
    <v>USD</v>
    <v>Telefonaktiebolaget LM Ericsson (Ericsson) provides infrastructure, services and software to the telecommunication industry and other sectors. The Company's segments include Networks, IT &amp; Cloud and Media. The Networks segment consists of two business units: Network Products and Network Services. The overall focus is on evolving and managing access networks, including the development of hardware and software for radio access and transport networks. The IT &amp; Cloud business includes two business units: IT &amp; Cloud Products and IT &amp; Cloud Services. The focus in IT &amp; Cloud is to help telecom operators and selected enterprises through the digital transformations ahead. It develops and delivers software-based solutions for television and media and combines a product portfolio that spans the television value chain, with systems integration and managed services. The portfolio includes compression, content publishing through set-top box or pure over-the-top, content delivery and analytics.</v>
    <v>88027</v>
    <v>Nasdaq Stock Market</v>
    <v>XNAS</v>
    <v>XNAS</v>
    <v>Torshamnsgatan 21, STOCKHOLM, STOCKHOLM, 164 83 SE</v>
    <v>11.654999999999999</v>
    <v>Communications &amp; Networking</v>
    <v>Stock</v>
    <v>46106.612668495312</v>
    <v>830</v>
    <v>11.56</v>
    <v>39141059584</v>
    <v>Telefonaktiebolaget LM Ericsson</v>
    <v>Telefonaktiebolaget LM Ericsson</v>
    <v>11.58</v>
    <v>12.544499999999999</v>
    <v>11.46</v>
    <v>11.6099</v>
    <v>3371352000</v>
    <v>ERIC</v>
    <v>Telefonaktiebolaget LM Ericsson (XNAS:ERIC)</v>
    <v>981824</v>
    <v>9054050</v>
    <v>1918</v>
  </rv>
  <rv s="2">
    <v>831</v>
  </rv>
  <rv s="0">
    <v>https://www.bing.com/financeapi/forcetrigger?t=btgem7&amp;q=XNAS%3aARQT&amp;form=skydnc</v>
    <v>Learn more on Bing</v>
  </rv>
  <rv s="1">
    <v>0</v>
    <v>ARCUTIS BIOTHERAPEUTICS, INC. (XNAS:ARQT)</v>
    <v>2</v>
    <v>3</v>
    <v>Finance</v>
    <v>4</v>
    <v>en-US</v>
    <v>btgem7</v>
    <v>268435456</v>
    <v>1</v>
    <v>Powered by Refinitiv</v>
    <v>31.77</v>
    <v>11.86</v>
    <v>1.8002</v>
    <v>0.91</v>
    <v>4.1685999999999994E-2</v>
    <v>USD</v>
    <v>Arcutis Biotherapeutics, Inc. is a commercial-stage medical dermatology company. The Company is focused on developing and commercializing treatments for dermatological diseases with high-unmet medical needs. Its portfolio is comprised of topical and systemic treatments with potential to treat immune-mediated dermatological diseases and conditions. Its lead product, ZORYVE, is for the treatment of plaque psoriasis, including psoriasis in the intertriginous areas, in individuals 12 years of age or older. The ZORYVE is also indicated for topical treatment of mild to moderate atopic dermatitis. ZORYVE cream is a once-daily topical formulation of roflumilast, a potent and selective phosphodiesterase-4 (PDE4) inhibitor. The Company’s pipeline includes ARQ-255, ARQ-252, and ARQ-234. Its ARQ-255 is being developed for the treatment of alopecia areata. ARQ-252 is an alternative topical cream formulation of ivarmacitinib that the Company is developing for chronic hand eczema and vitiligo.</v>
    <v>354</v>
    <v>Nasdaq Stock Market</v>
    <v>XNAS</v>
    <v>XNAS</v>
    <v>3027 Townsgate Road, Suite 300, WESTLAKE VILLAGE, CA, 91361 US</v>
    <v>22.78</v>
    <v>Pharmaceuticals</v>
    <v>Stock</v>
    <v>46106.612655960154</v>
    <v>833</v>
    <v>21.945</v>
    <v>2820519516</v>
    <v>ARCUTIS BIOTHERAPEUTICS, INC.</v>
    <v>ARCUTIS BIOTHERAPEUTICS, INC.</v>
    <v>22.03</v>
    <v>0</v>
    <v>21.83</v>
    <v>22.74</v>
    <v>124033400</v>
    <v>ARQT</v>
    <v>ARCUTIS BIOTHERAPEUTICS, INC. (XNAS:ARQT)</v>
    <v>148553</v>
    <v>1548540</v>
    <v>2016</v>
  </rv>
  <rv s="2">
    <v>834</v>
  </rv>
  <rv s="0">
    <v>https://www.bing.com/financeapi/forcetrigger?t=a1nllh&amp;q=XNYS%3aAPH&amp;form=skydnc</v>
    <v>Learn more on Bing</v>
  </rv>
  <rv s="1">
    <v>0</v>
    <v>AMPHENOL CORPORATION (XNYS:APH)</v>
    <v>2</v>
    <v>3</v>
    <v>Finance</v>
    <v>4</v>
    <v>en-US</v>
    <v>a1nllh</v>
    <v>268435456</v>
    <v>1</v>
    <v>Powered by Refinitiv</v>
    <v>167.04</v>
    <v>56.45</v>
    <v>1.2543</v>
    <v>3.21</v>
    <v>2.5086000000000001E-2</v>
    <v>USD</v>
    <v>Amphenol Corporation is a designer, manufacturer, and marketer of electrical, electronic and fiber optic connectors and interconnect systems, antennas, sensors and sensor-based products and coaxial and high-speed specialty cables. The Company operates through three segments. The Harsh Environment Solutions segment designs, manufactures and markets a range of ruggedized interconnect products and other products for use in the industrial, defense, commercial aerospace, automotive, mobile networks, medical and other markets. Communications Solutions segment designs, manufactures and markets a range of connector and interconnect systems for use in the information technology and data communications, mobile devices, industrial, mobile networks, broadband communications, automotive, commercial aerospace and defense end markets. Its Interconnect and Sensor Systems segment designs, manufactures and markets a range of sensors, sensor-based systems, connectors and value-add interconnect systems.</v>
    <v>170000</v>
    <v>New York Stock Exchange</v>
    <v>XNYS</v>
    <v>XNYS</v>
    <v>358 HALL AVE, WALLINGFORD, CT, 06492 US</v>
    <v>131.71</v>
    <v>Electronic Equipment &amp; Parts</v>
    <v>Stock</v>
    <v>46106.612738668751</v>
    <v>836</v>
    <v>127.64</v>
    <v>161236131549</v>
    <v>AMPHENOL CORPORATION</v>
    <v>AMPHENOL CORPORATION</v>
    <v>129.97</v>
    <v>39.240699999999997</v>
    <v>127.96</v>
    <v>131.16999999999999</v>
    <v>1229215000</v>
    <v>APH</v>
    <v>AMPHENOL CORPORATION (XNYS:APH)</v>
    <v>2117150</v>
    <v>9393331</v>
    <v>1986</v>
  </rv>
  <rv s="2">
    <v>837</v>
  </rv>
  <rv s="0">
    <v>https://www.bing.com/financeapi/forcetrigger?t=c2cdyc&amp;q=XNYS%3aNE&amp;form=skydnc</v>
    <v>Learn more on Bing</v>
  </rv>
  <rv s="1">
    <v>0</v>
    <v>NOBLE CORPORATION PLC (XNYS:NE)</v>
    <v>2</v>
    <v>3</v>
    <v>Finance</v>
    <v>4</v>
    <v>en-US</v>
    <v>c2cdyc</v>
    <v>268435456</v>
    <v>1</v>
    <v>Powered by Refinitiv</v>
    <v>50.78</v>
    <v>17.399999999999999</v>
    <v>1.0041</v>
    <v>0.16500000000000001</v>
    <v>3.3150000000000002E-3</v>
    <v>USD</v>
    <v>Noble Corporation plc is an offshore drilling contractor for the oil and gas industry, which owns and operates technically advanced fleets in the offshore drilling industry. The Company performs, through its subsidiaries, contract drilling services with a fleet of offshore drilling units focused on ultra-deepwater and high specification jackup drilling opportunities in both established and emerging regions worldwide. It provides contract drilling services to the international oil and gas industry with its global fleet of mobile offshore drilling units. The mobile offshore drilling units comprising its offshore rig fleet operate in a global market for contract drilling services, and its customers consist primarily of large, integrated, independent, and government-owned or controlled oil and gas companies throughout the world. Its fleet of approximately 31 drilling rigs consists of 25 floaters and 6 jackups. Its fleet includes Noble Faye Kozack, Noble Venturer, Noble Viking, and others.</v>
    <v>4500</v>
    <v>New York Stock Exchange</v>
    <v>XNYS</v>
    <v>XNYS</v>
    <v>2101 City West Boulevard, Suite 600, HOUSTON, TX, 77042 US</v>
    <v>50.23</v>
    <v>Oil &amp; Gas Related Equipment and Services</v>
    <v>Stock</v>
    <v>46106.612683101564</v>
    <v>839</v>
    <v>48.85</v>
    <v>7964898963</v>
    <v>NOBLE CORPORATION PLC</v>
    <v>NOBLE CORPORATION PLC</v>
    <v>49.5</v>
    <v>37.216799999999999</v>
    <v>49.78</v>
    <v>49.945</v>
    <v>159473400</v>
    <v>NE</v>
    <v>NOBLE CORPORATION PLC (XNYS:NE)</v>
    <v>183212</v>
    <v>1992840</v>
    <v>2020</v>
  </rv>
  <rv s="2">
    <v>840</v>
  </rv>
  <rv s="0">
    <v>https://www.bing.com/financeapi/forcetrigger?t=a1r4dm&amp;q=XNYS%3aDKS&amp;form=skydnc</v>
    <v>Learn more on Bing</v>
  </rv>
  <rv s="1">
    <v>0</v>
    <v>DICK'S SPORTING GOODS, INC. (XNYS:DKS)</v>
    <v>2</v>
    <v>3</v>
    <v>Finance</v>
    <v>4</v>
    <v>en-US</v>
    <v>a1r4dm</v>
    <v>268435456</v>
    <v>1</v>
    <v>Powered by Refinitiv</v>
    <v>237.3134</v>
    <v>166.37</v>
    <v>1.2346999999999999</v>
    <v>-0.76</v>
    <v>-3.9220000000000001E-3</v>
    <v>USD</v>
    <v>DICK'S Sporting Goods, Inc. is an omni-channel sporting goods retailer. The Company owns and operates Golf Galaxy, Public Lands, and Going Going Gone! specialty concept stores, and also offers its products online and through its mobile applications. It also owns and operates DICK’S House of Sport and Golf Galaxy Performance Center, as well as GameChanger, a youth sports mobile platform for livestreaming, scheduling, communications and scorekeeping. The Company operates over 3,200 stores e-commerce and digital businesses across 20 countries in North America, Europe, Asia, and Australia, plus a licensed store presence in Europe, the Middle East and Asia. It carries a wide variety of national brands, including but not limited to adidas, Asics, Brooks, Callaway Golf, Carhartt, Columbia, Hoka, Jordan, New Balance, Nike, Peloton, The North Face, Under Armour, Wilson, Yeti, and others. It also owns and operates brands such as Foot Locker, Kids Foot Locker, Champs Sports, WSS, and atmos.</v>
    <v>18600</v>
    <v>New York Stock Exchange</v>
    <v>XNYS</v>
    <v>XNYS</v>
    <v>345 Court Street, CORAOPOLIS, PA, 15108 US</v>
    <v>196.93</v>
    <v>Specialty Retailers</v>
    <v>Stock</v>
    <v>46106.612650659372</v>
    <v>842</v>
    <v>191.31</v>
    <v>17364899319</v>
    <v>DICK'S SPORTING GOODS, INC.</v>
    <v>DICK'S SPORTING GOODS, INC.</v>
    <v>196.22</v>
    <v>15.5235</v>
    <v>193.77</v>
    <v>193.01</v>
    <v>89968910</v>
    <v>DKS</v>
    <v>DICK'S SPORTING GOODS, INC. (XNYS:DKS)</v>
    <v>105886</v>
    <v>1299613</v>
    <v>1996</v>
  </rv>
  <rv s="2">
    <v>843</v>
  </rv>
  <rv s="0">
    <v>https://www.bing.com/financeapi/forcetrigger?t=a1wkbh&amp;q=XNYS%3aKMI&amp;form=skydnc</v>
    <v>Learn more on Bing</v>
  </rv>
  <rv s="1">
    <v>0</v>
    <v>KINDER MORGAN, INC. (XNYS:KMI)</v>
    <v>2</v>
    <v>3</v>
    <v>Finance</v>
    <v>4</v>
    <v>en-US</v>
    <v>a1wkbh</v>
    <v>268435456</v>
    <v>1</v>
    <v>Powered by Refinitiv</v>
    <v>34.24</v>
    <v>23.94</v>
    <v>0.62629999999999997</v>
    <v>7.4999999999999997E-2</v>
    <v>2.2100000000000002E-3</v>
    <v>USD</v>
    <v>Kinder Morgan, Inc. is an energy infrastructure company. The Company owns an interest in or operates approximately 79,000 miles of pipelines and 139 terminals. Its Natural Gas Pipelines segment includes ownership and operation of interstate and intrastate natural gas pipeline and storage systems and natural gas gathering systems and natural gas processing and treating facilities. Its Products Pipelines segment includes ownership and operation of refined petroleum products, crude oil and condensate pipelines that primarily deliver, among other products, gasoline, diesel and jet fuel, crude oil and condensate to various markets, plus the ownership and/or operation of associated product terminals and petroleum pipeline transmix facilities. Its Terminals segment includes ownership and/or operation of liquid and bulk terminal facilities and Jones Act-qualified tankers. Its CO2 segment is engaged in the production, transportation and marketing of CO2 to oil fields.</v>
    <v>11028</v>
    <v>New York Stock Exchange</v>
    <v>XNYS</v>
    <v>XNYS</v>
    <v>1001 Louisiana Street, Suite 1000, HOUSTON, TX, 77002 US</v>
    <v>34.15</v>
    <v>Oil &amp; Gas Related Equipment and Services</v>
    <v>Stock</v>
    <v>46106.612755346876</v>
    <v>845</v>
    <v>33.668599999999998</v>
    <v>75654528030</v>
    <v>KINDER MORGAN, INC.</v>
    <v>KINDER MORGAN, INC.</v>
    <v>33.79</v>
    <v>24.872</v>
    <v>33.93</v>
    <v>34.005000000000003</v>
    <v>2224806000</v>
    <v>KMI</v>
    <v>KINDER MORGAN, INC. (XNYS:KMI)</v>
    <v>1923644</v>
    <v>14042293</v>
    <v>2006</v>
  </rv>
  <rv s="2">
    <v>846</v>
  </rv>
  <rv s="0">
    <v>https://www.bing.com/financeapi/forcetrigger?t=a1shgh&amp;q=XNAS%3aEXAS&amp;form=skydnc</v>
    <v>Learn more on Bing</v>
  </rv>
  <rv s="1">
    <v>0</v>
    <v>EXACT SCIENCES CORPORATION (XNAS:EXAS)</v>
    <v>2</v>
    <v>3</v>
    <v>Finance</v>
    <v>21</v>
    <v>en-US</v>
    <v>a1shgh</v>
    <v>268435456</v>
    <v>1</v>
    <v>Powered by Refinitiv</v>
    <v>104.98</v>
    <v>38.811799999999998</v>
    <v>1.3858999999999999</v>
    <v>0</v>
    <v>0</v>
    <v>USD</v>
    <v>Exact Sciences Corporation is a provider of cancer screening and diagnostic tests. The Company provides a portfolio of products for earlier cancer detection and treatment guidance. Its products and services focus on screening and precision oncology tests. It is focusing its research and development efforts on three main areas: Colorectal Cancer Screening Test Development, MCED Test Development and MRD Test Development. Its products and services include Cologuard test, Oncotype DX Breast Recurrence Score Test, Oncotype DX Breast DCIS Score Test, Oncotype DX Colon Recurrence Score Test, OncoExTra Test, and Riskguard Test. Its flagship screening product, the Cologuard test, is a non-invasive, stool-based deoxyribonucleic acid (sDNA) screening test that utilizes a multi-target approach to detect DNA and hemoglobin biomarkers associated with colorectal cancer and pre-cancer. The Oncotype DX Breast Recurrence Score test examines the activity of 21 genes in a patient’s breast tumor tissue.</v>
    <v>7100</v>
    <v>Nasdaq Stock Market</v>
    <v>XNAS</v>
    <v>XNAS</v>
    <v>5505 Endeavor Lane, MADISON, WI, 53719 US</v>
    <v>104.98</v>
    <v>Biotechnology &amp; Medical Research</v>
    <v>Stock</v>
    <v>46101.991762430465</v>
    <v>848</v>
    <v>104.9</v>
    <v>20026081062</v>
    <v>EXACT SCIENCES CORPORATION</v>
    <v>EXACT SCIENCES CORPORATION</v>
    <v>104.93</v>
    <v>0</v>
    <v>103.92</v>
    <v>104.91</v>
    <v>190888200</v>
    <v>EXAS</v>
    <v>EXACT SCIENCES CORPORATION (XNAS:EXAS)</v>
    <v>21562141</v>
    <v>2932681</v>
    <v>1995</v>
  </rv>
  <rv s="2">
    <v>849</v>
  </rv>
  <rv s="0">
    <v>https://www.bing.com/financeapi/forcetrigger?t=c3aak2&amp;q=XNYS%3aJXN&amp;form=skydnc</v>
    <v>Learn more on Bing</v>
  </rv>
  <rv s="1">
    <v>0</v>
    <v>JACKSON FINANCIAL INC. (XNYS:JXN)</v>
    <v>2</v>
    <v>3</v>
    <v>Finance</v>
    <v>4</v>
    <v>en-US</v>
    <v>c3aak2</v>
    <v>268435456</v>
    <v>1</v>
    <v>Powered by Refinitiv</v>
    <v>123.61</v>
    <v>64.701099999999997</v>
    <v>1.4599</v>
    <v>2.1800000000000002</v>
    <v>2.0469000000000001E-2</v>
    <v>USD</v>
    <v>Jackson Financial Inc. is a financial services company, which helps to clarify the complexity of retirement planning for financial professionals and their clients. Its segments include Retail Annuities, Institutional Products, and Closed Life and Annuity Blocks. Its Retail Annuities segment offers a variety of retirement income and savings products through its diverse suite of products, consisting primarily of variable annuities, registered index-linked annuities (RILA), fixed index annuities, fixed annuities and payout annuities. The Institutional Products segment consists of traditional Guaranteed Investment Contracts, funding agreements and medium-term note funding agreements. The Closed Life and Annuity Blocks segment includes various protection products, primarily whole life, universal life, variable universal life, and term life insurance products, as well as fixed, fixed index and payout annuities. It offers a diverse suite of annuities to retail investors in the United States.</v>
    <v>3090</v>
    <v>New York Stock Exchange</v>
    <v>XNYS</v>
    <v>XNYS</v>
    <v>1 Corporate Way, LANSING, MI, 48951 US</v>
    <v>109.26</v>
    <v>Insurance</v>
    <v>Stock</v>
    <v>46106.612690810158</v>
    <v>851</v>
    <v>107.465</v>
    <v>7681707805</v>
    <v>JACKSON FINANCIAL INC.</v>
    <v>JACKSON FINANCIAL INC.</v>
    <v>107.465</v>
    <v>0</v>
    <v>106.5</v>
    <v>108.68</v>
    <v>70681890</v>
    <v>JXN</v>
    <v>JACKSON FINANCIAL INC. (XNYS:JXN)</v>
    <v>48476</v>
    <v>743451</v>
    <v>2006</v>
  </rv>
  <rv s="2">
    <v>852</v>
  </rv>
  <rv s="0">
    <v>https://www.bing.com/financeapi/forcetrigger?t=a1qbxm&amp;q=XNYS%3aCRL&amp;form=skydnc</v>
    <v>Learn more on Bing</v>
  </rv>
  <rv s="1">
    <v>0</v>
    <v>CHARLES RIVER LABORATORIES INTERNATIONAL, INC. (XNYS:CRL)</v>
    <v>2</v>
    <v>3</v>
    <v>Finance</v>
    <v>4</v>
    <v>en-US</v>
    <v>a1qbxm</v>
    <v>268435456</v>
    <v>1</v>
    <v>Powered by Refinitiv</v>
    <v>228.88</v>
    <v>91.860900000000001</v>
    <v>1.6578999999999999</v>
    <v>4.3099999999999996</v>
    <v>2.7075000000000002E-2</v>
    <v>USD</v>
    <v>Charles River Laboratories International, Inc. is a drug development company. It provides essential products and services to help pharmaceutical and biotechnology companies, government agencies and academic institutions around the globe accelerate their research and drug development efforts. Its Research Models and Services segment includes three businesses that provide foundational tools that enable its clients to discover new molecules: Research Models, Research Model Services, and Cell Solutions. Its Discovery and Safety Assessment segment provides regulated and non-regulated DSA services to support the research, development, and regulatory-required safety testing of potential new drugs, including therapeutic discovery and optimization plus in vitro and in vivo studies, laboratory support services, and strategic non-clinical consulting and program management to support product development. Its Manufacturing Solutions segment includes Microbial Solutions and Biologics Solutions.</v>
    <v>18300</v>
    <v>New York Stock Exchange</v>
    <v>XNYS</v>
    <v>XNYS</v>
    <v>251 Ballardvale St, WILMINGTON, MA, 01887 US</v>
    <v>165.25</v>
    <v>Biotechnology &amp; Medical Research</v>
    <v>Stock</v>
    <v>46106.612686099215</v>
    <v>854</v>
    <v>161.86179999999999</v>
    <v>8048745300</v>
    <v>CHARLES RIVER LABORATORIES INTERNATIONAL, INC.</v>
    <v>CHARLES RIVER LABORATORIES INTERNATIONAL, INC.</v>
    <v>163.29</v>
    <v>0</v>
    <v>159.19</v>
    <v>163.5</v>
    <v>49227800</v>
    <v>CRL</v>
    <v>CHARLES RIVER LABORATORIES INTERNATIONAL, INC. (XNYS:CRL)</v>
    <v>78725</v>
    <v>1089336</v>
    <v>1994</v>
  </rv>
  <rv s="2">
    <v>855</v>
  </rv>
  <rv s="0">
    <v>https://www.bing.com/financeapi/forcetrigger?t=a1z11h&amp;q=XNYS%3aO&amp;form=skydnc</v>
    <v>Learn more on Bing</v>
  </rv>
  <rv s="1">
    <v>0</v>
    <v>REALTY INCOME CORPORATION (XNYS:O)</v>
    <v>2</v>
    <v>3</v>
    <v>Finance</v>
    <v>4</v>
    <v>en-US</v>
    <v>a1z11h</v>
    <v>268435456</v>
    <v>1</v>
    <v>Powered by Refinitiv</v>
    <v>67.935000000000002</v>
    <v>50.71</v>
    <v>0.79710000000000003</v>
    <v>-0.32</v>
    <v>-5.293E-3</v>
    <v>USD</v>
    <v>Realty Income Corporation is a real estate investment trust. The Company is engaged in the acquisition, ownership, and management of freestanding commercial properties leased under long‑term net lease agreements to a diversified base of operators, including a blend of investment grade, investment grade equivalent, and other clients. It owns a portfolio of over 15,500 properties in all 50 United States (U.S.) states, the United Kingdom, and eight other countries in Europe. It is engaged in a single business activity, which is the leasing of property to clients, generally on a net basis. That business activity spans various geographic boundaries and includes property types and clients engaged in various industries. Its property types include retail, industrial, gaming, and other. Its industry concentrations include grocery, convenience stores, home improvement, dollar stores, restaurants-quick service, health and fitness, drug stores, automotive service, among others.</v>
    <v>544</v>
    <v>New York Stock Exchange</v>
    <v>XNYS</v>
    <v>XNYS</v>
    <v>11995 El Camino Real, SAN DIEGO, CA, 92130 US</v>
    <v>60.74</v>
    <v>Residential &amp; Commercial REIT</v>
    <v>Stock</v>
    <v>46106.612754814065</v>
    <v>857</v>
    <v>59.85</v>
    <v>56076953628</v>
    <v>REALTY INCOME CORPORATION</v>
    <v>REALTY INCOME CORPORATION</v>
    <v>60.59</v>
    <v>51.653399999999998</v>
    <v>60.46</v>
    <v>60.14</v>
    <v>932440200</v>
    <v>O</v>
    <v>REALTY INCOME CORPORATION (XNYS:O)</v>
    <v>1386786</v>
    <v>6743794</v>
    <v>1997</v>
  </rv>
  <rv s="2">
    <v>858</v>
  </rv>
  <rv s="0">
    <v>https://www.bing.com/financeapi/forcetrigger?t=brg5u2&amp;q=XNYS%3aHIMS&amp;form=skydnc</v>
    <v>Learn more on Bing</v>
  </rv>
  <rv s="1">
    <v>0</v>
    <v>HIMS &amp; HERS HEALTH, INC. (XNYS:HIMS)</v>
    <v>2</v>
    <v>3</v>
    <v>Finance</v>
    <v>4</v>
    <v>en-US</v>
    <v>brg5u2</v>
    <v>268435456</v>
    <v>1</v>
    <v>Powered by Refinitiv</v>
    <v>70.430000000000007</v>
    <v>13.74</v>
    <v>2.3180999999999998</v>
    <v>-0.17499999999999999</v>
    <v>-8.201E-3</v>
    <v>USD</v>
    <v>Hims &amp; Hers Health, Inc. provides a consumer-first platform, which helps customers to fulfill their health and wellness needs. Its platform includes access to a provider network, a clinically focused electronic medical record system, digital prescriptions, cloud pharmacy fulfillment, and personalization capabilities. Its digital platform enables access to treatments for a range of chronic conditions, including those related to sexual health, hair loss, dermatology, mental health, and weight loss. It connects patients to licensed healthcare professionals who can prescribe medications when appropriate and prescriptions are fulfilled online through licensed pharmacies on a subscription basis. It also offers access to a range of health and wellness products designed to meet individual needs, which can include curated prescription and non-prescription products. Through its mobile applications, consumers can access a range of educational programs, wellness content, and other services.</v>
    <v>2442</v>
    <v>New York Stock Exchange</v>
    <v>XNYS</v>
    <v>XNYS</v>
    <v>2269 Chestnut St, #523, SAN FRANCISCO, CA, 94123 US</v>
    <v>22</v>
    <v>Healthcare Providers &amp; Services</v>
    <v>Stock</v>
    <v>46106.612761157034</v>
    <v>860</v>
    <v>21.105</v>
    <v>3587756712</v>
    <v>HIMS &amp; HERS HEALTH, INC.</v>
    <v>HIMS &amp; HERS HEALTH, INC.</v>
    <v>21.68</v>
    <v>41.233199999999997</v>
    <v>21.34</v>
    <v>21.164999999999999</v>
    <v>227938800</v>
    <v>HIMS</v>
    <v>HIMS &amp; HERS HEALTH, INC. (XNYS:HIMS)</v>
    <v>4487648</v>
    <v>45205426</v>
    <v>2021</v>
  </rv>
  <rv s="2">
    <v>861</v>
  </rv>
  <rv s="21">
    <v>41</v>
    <v>DESTINY TECH100 INC. (XNYS:DXYZ)</v>
    <v>6</v>
    <v>42</v>
    <v>Finance</v>
    <v>4</v>
    <v>en-US</v>
    <v>ccr25r</v>
    <v>268435456</v>
    <v>1</v>
    <v>Powered by Refinitiv</v>
    <v>50.5</v>
    <v>19.7105</v>
    <v>7.1280000000000001</v>
    <v>0.26877800000000002</v>
    <v>USD</v>
    <v>Destiny Tech100 Inc. (the Fund) is a non-diversified, closed-end management investment company. The Fund’s investment objective is to maximize the portfolio’s total return, principally by seeking capital gains on equity and equity-related investments. Under normal market conditions, the Fund will invest at least 80% of its total assets in equity and equity-linked securities of companies principally engaged in the technology sector. The Fund will invest in the equity and equity-linked securities of what it believes to be rapidly growing venture-capital-backed emerging companies, located in the United States. The Fund may also invest on an opportunistic basis in select United States publicly traded equity securities or certain non-United States companies that otherwise meet its investment criteria. It concentrates its investments in companies operating in one or more industries within the technology group of industries. Destiny Advisors LLC serves as the investment adviser to the Fund.</v>
    <v>New York Stock Exchange</v>
    <v>XNYS</v>
    <v>XNYS</v>
    <v>1401 Lavaca Street #144, AUSTIN, TX, 78701 US</v>
    <v>33.991</v>
    <v>Collective Investments</v>
    <v>Stock</v>
    <v>46106.612744710153</v>
    <v>29.25</v>
    <v>380898936</v>
    <v>DESTINY TECH100 INC.</v>
    <v>DESTINY TECH100 INC.</v>
    <v>33.78</v>
    <v>18.970500000000001</v>
    <v>26.52</v>
    <v>33.648000000000003</v>
    <v>21976310</v>
    <v>DXYZ</v>
    <v>DESTINY TECH100 INC. (XNYS:DXYZ)</v>
    <v>8316577</v>
    <v>791837</v>
    <v>2020</v>
  </rv>
  <rv s="2">
    <v>863</v>
  </rv>
  <rv s="0">
    <v>https://www.bing.com/financeapi/forcetrigger?t=a24llh&amp;q=XNAS%3aTTEK&amp;form=skydnc</v>
    <v>Learn more on Bing</v>
  </rv>
  <rv s="1">
    <v>0</v>
    <v>TETRA TECH, INC. (XNAS:TTEK)</v>
    <v>2</v>
    <v>3</v>
    <v>Finance</v>
    <v>4</v>
    <v>en-US</v>
    <v>a24llh</v>
    <v>268435456</v>
    <v>1</v>
    <v>Powered by Refinitiv</v>
    <v>43.14</v>
    <v>27.27</v>
    <v>0.95599999999999996</v>
    <v>-0.19500000000000001</v>
    <v>-6.1590000000000004E-3</v>
    <v>USD</v>
    <v>Tetra Tech, Inc. is a global provider of consulting and engineering services that is focused on water, environment and sustainable infrastructure. It provides solutions to complex problems by Leading with Science to address the entire water cycle, protect and restore the environment, design sustainable and resilient infrastructure, and support the clean energy transition. It operates through two segments: Government Services Group (GSG) and Commercial/International Services Group (CIG). Its GSG segment provides consulting and engineering services primarily to United States (U.S.) government clients and international development agencies worldwide. CIG segment primarily provides consulting and engineering services to U.S. commercial clients and international clients that include both commercial and government sectors. Its CIG segment also provides sustainable infrastructure and related environmental, engineering and project management services to commercial and local government clients.</v>
    <v>25000</v>
    <v>Nasdaq Stock Market</v>
    <v>XNAS</v>
    <v>XNAS</v>
    <v>3475 E Foothill Blvd, PASADENA, CA, 91107 US</v>
    <v>32.369999999999997</v>
    <v>Professional &amp; Commercial Services</v>
    <v>Stock</v>
    <v>46106.612594767968</v>
    <v>865</v>
    <v>31.24</v>
    <v>8206311134</v>
    <v>TETRA TECH, INC.</v>
    <v>TETRA TECH, INC.</v>
    <v>31.95</v>
    <v>23.599299999999999</v>
    <v>31.66</v>
    <v>31.465</v>
    <v>260807600</v>
    <v>TTEK</v>
    <v>TETRA TECH, INC. (XNAS:TTEK)</v>
    <v>248672</v>
    <v>2933647</v>
    <v>1988</v>
  </rv>
  <rv s="2">
    <v>866</v>
  </rv>
  <rv s="0">
    <v>https://www.bing.com/financeapi/forcetrigger?t=a1ncjc&amp;q=XNAS%3aALT&amp;form=skydnc</v>
    <v>Learn more on Bing</v>
  </rv>
  <rv s="1">
    <v>0</v>
    <v>ALTIMMUNE, INC. (XNAS:ALT)</v>
    <v>2</v>
    <v>3</v>
    <v>Finance</v>
    <v>4</v>
    <v>en-US</v>
    <v>a1ncjc</v>
    <v>268435456</v>
    <v>1</v>
    <v>Powered by Refinitiv</v>
    <v>7.73</v>
    <v>2.9</v>
    <v>0.30969999999999998</v>
    <v>0.1</v>
    <v>3.0863999999999999E-2</v>
    <v>USD</v>
    <v>Altimmune, Inc. is a clinical-stage biopharmaceutical company. The Company is focused on developing next-generation peptide-based therapeutics. It is developing pemvidutide, a GLP-1/glucagon dual receptor agonist for the treatment of obesity, metabolic dysfunction-associated steatohepatitis (MASH) and other indications. Activation of the GLP-1 and glucagon receptors is believed to mimic the complementary effects of diet and exercise on weight loss, with GLP-1 suppressing appetite and glucagon increasing energy expenditure. Glucagon is also recognized as having direct effects on hepatic fat metabolism, to rapid reductions in levels of liver fat and serum lipids. The Company has completed the MOMENTUM Phase II obesity trial and is being studied in the IMPACT Phase IIb MASH trial. The Company also develops and commercializes surfactant-functionalized (EuPort domain) incretin-based peptide therapeutics, including (GLP-1-glucagon)/oxyntomodulin, and variants.</v>
    <v>57</v>
    <v>Nasdaq Stock Market</v>
    <v>XNAS</v>
    <v>XNAS</v>
    <v>910 Clopper Road, Suite 201S, GAITHERSBURG, MD, 20878-1361 US</v>
    <v>3.36</v>
    <v>Biotechnology &amp; Medical Research</v>
    <v>Stock</v>
    <v>46106.612821017967</v>
    <v>868</v>
    <v>3.3</v>
    <v>434551368</v>
    <v>ALTIMMUNE, INC.</v>
    <v>ALTIMMUNE, INC.</v>
    <v>3.3</v>
    <v>0</v>
    <v>3.24</v>
    <v>3.34</v>
    <v>130105200</v>
    <v>ALT</v>
    <v>ALTIMMUNE, INC. (XNAS:ALT)</v>
    <v>419974</v>
    <v>3701111</v>
    <v>2005</v>
  </rv>
  <rv s="2">
    <v>869</v>
  </rv>
  <rv s="0">
    <v>https://www.bing.com/financeapi/forcetrigger?t=a1xdvh&amp;q=XNAS%3aMCHP&amp;form=skydnc</v>
    <v>Learn more on Bing</v>
  </rv>
  <rv s="1">
    <v>0</v>
    <v>MICROCHIP TECHNOLOGY INCORPORATED (XNAS:MCHP)</v>
    <v>2</v>
    <v>3</v>
    <v>Finance</v>
    <v>4</v>
    <v>en-US</v>
    <v>a1xdvh</v>
    <v>268435456</v>
    <v>1</v>
    <v>Powered by Refinitiv</v>
    <v>83.35</v>
    <v>34.125</v>
    <v>1.4683999999999999</v>
    <v>1.77</v>
    <v>2.6969E-2</v>
    <v>USD</v>
    <v>Microchip Technology Incorporated is a provider of smart, connected, and secure embedded control solutions. The Company’s semiconductor products segment designs, develops, manufactures and markets mixed-signal microcontrollers, development tools and analog, interface, mixed-signal, timing, wired and wireless connectivity devices, and memory products. The Company's technology licensing segment includes sales and licensing of the Company's intellectual property. Its products include PIC64 Microprocessors, FPGAs, myMicrochip, MPLAB X IDE, Analog, and Microcontrollers. Its development tools include Atmel START and MPLAB Discover. Its manufacturing operations include wafer fabrication, wafer probe, assembly, and test. The Company’s solutions serve customers across the industrial, automotive, consumer, aerospace and defense, communications and computing markets. The Company markets and sells its products worldwide primarily through a network of direct sales personnel and distributors.</v>
    <v>19400</v>
    <v>Nasdaq Stock Market</v>
    <v>XNAS</v>
    <v>XNAS</v>
    <v>2355 W CHANDLER BLVD, CHANDLER, AZ, 85224-6199 US</v>
    <v>68.09</v>
    <v>Semiconductors &amp; Semiconductor Equipment</v>
    <v>Stock</v>
    <v>46106.612777464841</v>
    <v>871</v>
    <v>66.314999999999998</v>
    <v>36472525960</v>
    <v>MICROCHIP TECHNOLOGY INCORPORATED</v>
    <v>MICROCHIP TECHNOLOGY INCORPORATED</v>
    <v>66.8</v>
    <v>0</v>
    <v>65.63</v>
    <v>67.400000000000006</v>
    <v>541135400</v>
    <v>MCHP</v>
    <v>MICROCHIP TECHNOLOGY INCORPORATED (XNAS:MCHP)</v>
    <v>1121774</v>
    <v>8479432</v>
    <v>1989</v>
  </rv>
  <rv s="2">
    <v>872</v>
  </rv>
  <rv s="0">
    <v>https://www.bing.com/financeapi/forcetrigger?t=b1h84c&amp;q=XNAS%3aRPAY&amp;form=skydnc</v>
    <v>Learn more on Bing</v>
  </rv>
  <rv s="1">
    <v>0</v>
    <v>REPAY HOLDINGS CORPORATION (XNAS:RPAY)</v>
    <v>2</v>
    <v>3</v>
    <v>Finance</v>
    <v>4</v>
    <v>en-US</v>
    <v>b1h84c</v>
    <v>268435456</v>
    <v>1</v>
    <v>Powered by Refinitiv</v>
    <v>6.0549999999999997</v>
    <v>2.56</v>
    <v>1.5671999999999999</v>
    <v>0.105</v>
    <v>3.7906000000000002E-2</v>
    <v>USD</v>
    <v>Repay Holdings Corporation is a payments technology company. The Company provides integrated payment processing solutions to industry-oriented vertical markets in which businesses have specific transaction processing needs. Its segments include Consumer Payments and Business Payments. The Consumer Payments segment provides payment processing solutions, including debit and credit card processing, Automated Clearing House (ACH) processing and other electronic payment acceptance solutions, as well as its loan disbursement product that enables its clients to collect payments and disburse funds to consumers, and includes its clearing and settlement solutions (RCS) offering. Its Business Payments segment provides payment processing solutions, including accounts payable automation, debit and credit card processing, virtual credit card processing, ACH processing and other electronic payment acceptance solutions that enable its clients to collect or send payments to other businesses.</v>
    <v>486</v>
    <v>Nasdaq Stock Market</v>
    <v>XNAS</v>
    <v>XNAS</v>
    <v>3060 Peachtree Road Nw, Suite 1100, ATLANTA, GA, 30305 US</v>
    <v>2.9</v>
    <v>Professional &amp; Commercial Services</v>
    <v>Stock</v>
    <v>46106.612736099218</v>
    <v>874</v>
    <v>2.79</v>
    <v>251435453</v>
    <v>REPAY HOLDINGS CORPORATION</v>
    <v>REPAY HOLDINGS CORPORATION</v>
    <v>2.79</v>
    <v>0</v>
    <v>2.77</v>
    <v>2.875</v>
    <v>87455810</v>
    <v>RPAY</v>
    <v>REPAY HOLDINGS CORPORATION (XNAS:RPAY)</v>
    <v>187250</v>
    <v>1438928</v>
    <v>2019</v>
  </rv>
  <rv s="2">
    <v>875</v>
  </rv>
  <rv s="0">
    <v>https://www.bing.com/financeapi/forcetrigger?t=a1syww&amp;q=XNAS%3aLAB&amp;form=skydnc</v>
    <v>Learn more on Bing</v>
  </rv>
  <rv s="1">
    <v>0</v>
    <v>STANDARD BIOTOOLS INC. (XNAS:LAB)</v>
    <v>2</v>
    <v>3</v>
    <v>Finance</v>
    <v>4</v>
    <v>en-US</v>
    <v>a1syww</v>
    <v>268435456</v>
    <v>1</v>
    <v>Powered by Refinitiv</v>
    <v>1.72</v>
    <v>0.92</v>
    <v>1.409</v>
    <v>2.2200000000000001E-2</v>
    <v>2.3370999999999999E-2</v>
    <v>USD</v>
    <v>Standard BioTools Inc. has a portfolio of technologies that help biomedical researchers develop medicines faster. The Company develops, manufactures and sells a diversified range of instrumentation, consumables, and services. The Company's Genomics business includes instruments, consumables, software, and services based upon technologies used in the identification of genes (DNA, RNA) and their functions. Its Biomark X9 system for high-throughput genomics delivers scalability for qPCR applications. Designed for researchers who require robust multiplexing capabilities, the Biomark X9 system enables the simultaneous analysis of thousands of reactions in a single run. By leveraging advanced microfluidics technology, it reduces reagent consumption while increasing throughput, making it a solution for large-scale genomic studies, clinical research, and biomarker discovery. The Biomark X9 system integrates with data analysis tools, accelerating workflows and providing comprehensive insights.</v>
    <v>385</v>
    <v>Nasdaq Stock Market</v>
    <v>XNAS</v>
    <v>XNAS</v>
    <v>50 MILK STREET, 10TH FLOOR, BOSTON, MA, 02109 US</v>
    <v>0.98319999999999996</v>
    <v>Healthcare Equipment &amp; Supplies</v>
    <v>Stock</v>
    <v>46106.612665902343</v>
    <v>877</v>
    <v>0.95499999999999996</v>
    <v>379188505</v>
    <v>STANDARD BIOTOOLS INC.</v>
    <v>STANDARD BIOTOOLS INC.</v>
    <v>0.95499999999999996</v>
    <v>0</v>
    <v>0.94989999999999997</v>
    <v>0.97209999999999996</v>
    <v>390071500</v>
    <v>LAB</v>
    <v>STANDARD BIOTOOLS INC. (XNAS:LAB)</v>
    <v>308523</v>
    <v>2518973</v>
    <v>2007</v>
  </rv>
  <rv s="2">
    <v>878</v>
  </rv>
  <rv s="0">
    <v>https://www.bing.com/financeapi/forcetrigger?t=a1ol52&amp;q=XNAS%3aBLBD&amp;form=skydnc</v>
    <v>Learn more on Bing</v>
  </rv>
  <rv s="1">
    <v>0</v>
    <v>BLUE BIRD CORPORATION (XNAS:BLBD)</v>
    <v>2</v>
    <v>3</v>
    <v>Finance</v>
    <v>4</v>
    <v>en-US</v>
    <v>a1ol52</v>
    <v>268435456</v>
    <v>1</v>
    <v>Powered by Refinitiv</v>
    <v>62.9</v>
    <v>30.04</v>
    <v>1.403</v>
    <v>0.24</v>
    <v>4.261E-3</v>
    <v>USD</v>
    <v>Blue Bird Corporation is an independent designer and manufacturer of school buses. The Company is engaged in designing and manufacturing low- and zero-emission school buses with more than 20,000 propane, natural gas, and electric powered buses. The Company operates through two segments: Bus segment and Parts segment. The Bus segment includes the manufacture and assembly of buses to be sold to a variety of customers across the United States, Canada, and in certain limited international markets. The Parts segment consists primarily of the purchase of parts from third parties to be sold to dealers within the Company’s network and certain large fleet customers. The Company designs, engineers, manufactures, and sells three types of buses: Type C school buses, Type D school buses, and specialty buses. Its network of dealers and authorized repair centers operate over 200 locations to support the fleet across the U.S. and Canada. It maintains a parts distribution center in Delaware, Ohio.</v>
    <v>2008</v>
    <v>Nasdaq Stock Market</v>
    <v>XNAS</v>
    <v>XNAS</v>
    <v>3920 Arkwright Rd Ste 200, MACON, GA, 31210-1731 US</v>
    <v>57.31</v>
    <v>Machinery, Equipment &amp; Components</v>
    <v>Stock</v>
    <v>46106.612582707814</v>
    <v>880</v>
    <v>56.3401</v>
    <v>1787153783</v>
    <v>BLUE BIRD CORPORATION</v>
    <v>BLUE BIRD CORPORATION</v>
    <v>56.86</v>
    <v>14.230700000000001</v>
    <v>56.33</v>
    <v>56.57</v>
    <v>31591900</v>
    <v>BLBD</v>
    <v>BLUE BIRD CORPORATION (XNAS:BLBD)</v>
    <v>30939</v>
    <v>403236</v>
    <v>2013</v>
  </rv>
  <rv s="2">
    <v>881</v>
  </rv>
  <rv s="0">
    <v>https://www.bing.com/financeapi/forcetrigger?t=brl6lh&amp;q=XNAS%3aBNTX&amp;form=skydnc</v>
    <v>Learn more on Bing</v>
  </rv>
  <rv s="1">
    <v>0</v>
    <v>Biontech SE (XNAS:BNTX)</v>
    <v>2</v>
    <v>3</v>
    <v>Finance</v>
    <v>4</v>
    <v>en-US</v>
    <v>brl6lh</v>
    <v>268435456</v>
    <v>1</v>
    <v>Powered by Refinitiv</v>
    <v>124</v>
    <v>79.52</v>
    <v>1.5920000000000001</v>
    <v>1.94</v>
    <v>2.2348E-2</v>
    <v>USD</v>
    <v>BioNTech SE is a Germany-based clinical-stage biotechnology company. The Company focuses on patient-specific immunotherapies for the treatment of cancer and other serious diseases. The Company is providing technologies including mRNA-based therapies, cell therapies, small molecules and antibodies, which can be utilized for specific purposes or can be even combined with each other in a synergistic manner. It also develops a broad product pipeline using different scientific approaches and technology platforms, including individualized mRNA-based product candidates, chimeric antigen receptor T-cells, checkpoint immunomodulators, targeted cancer antibodies and small molecules. In addition, the Company offers diagnostic products and drug discovery services for other therapeutic areas, including infectious diseases, allergies and autoimmune disorders.</v>
    <v>7807</v>
    <v>Nasdaq Stock Market</v>
    <v>XNAS</v>
    <v>XNAS</v>
    <v>An der Goldgrube 12, MAINZ, RHEINLAND-PFALZ, 55131 DE</v>
    <v>88.88</v>
    <v>Biotechnology &amp; Medical Research</v>
    <v>Stock</v>
    <v>46106.612722557809</v>
    <v>883</v>
    <v>87.76</v>
    <v>23376874250</v>
    <v>Biontech SE</v>
    <v>Biontech SE</v>
    <v>88</v>
    <v>0</v>
    <v>86.81</v>
    <v>88.75</v>
    <v>263401400</v>
    <v>BNTX</v>
    <v>Biontech SE (XNAS:BNTX)</v>
    <v>117574</v>
    <v>1560991</v>
    <v>2019</v>
  </rv>
  <rv s="2">
    <v>884</v>
  </rv>
  <rv s="0">
    <v>https://www.bing.com/financeapi/forcetrigger?t=bra7oc&amp;q=XNAS%3aBITF&amp;form=skydnc</v>
    <v>Learn more on Bing</v>
  </rv>
  <rv s="1">
    <v>0</v>
    <v>BITFARMS LTD. (XNAS:BITF)</v>
    <v>2</v>
    <v>17</v>
    <v>Finance</v>
    <v>4</v>
    <v>en-US</v>
    <v>bra7oc</v>
    <v>268435456</v>
    <v>1</v>
    <v>Powered by Refinitiv</v>
    <v>6.6</v>
    <v>0.67300000000000004</v>
    <v>3.7692999999999999</v>
    <v>0.08</v>
    <v>3.6199000000000002E-2</v>
    <v>USD</v>
    <v>Bitfarms Ltd. is a Canada-based global Bitcoin and vertically integrated data center company that sells its computational power to one or more mining pools from which it receives payment in Bitcoin. It develops, owns, and operates vertically integrated mining facilities with in-house management and Company-owned electrical engineering, installation service, and multiple onsite technical repair centers. Its proprietary data analytics system delivers operational performance and uptime. The Company operates through the cryptocurrency mining segment. The activities of the Company mainly consist of selling its computational power used for hashing calculations for the purpose of cryptocurrency mining in multiple jurisdictions. Volta, a wholly owned subsidiary of the Company, assists the Company in building and maintaining its data centers. The Company operates Bitcoin data centers in four countries: the United States, Canada, Paraguay, and Argentina.</v>
    <v>170</v>
    <v>Nasdaq Stock Market</v>
    <v>XNAS</v>
    <v>XNAS</v>
    <v>110 Yonge Street, Suite 1601, TORONTO, ON, M5C 1T4 CA</v>
    <v>2.35</v>
    <v>Financial Technology (Fintech) &amp; Infrastructure</v>
    <v>Stock</v>
    <v>46106.612819767972</v>
    <v>886</v>
    <v>2.2599999999999998</v>
    <v>2597254000</v>
    <v>BITFARMS LTD.</v>
    <v>BITFARMS LTD.</v>
    <v>2.27</v>
    <v>0</v>
    <v>2.21</v>
    <v>2.29</v>
    <v>602710700</v>
    <v>BITF</v>
    <v>BITFARMS LTD. (XNAS:BITF)</v>
    <v>8754199</v>
    <v>30471451</v>
    <v>2018</v>
  </rv>
  <rv s="2">
    <v>887</v>
  </rv>
  <rv s="0">
    <v>https://www.bing.com/financeapi/forcetrigger?t=a221pr&amp;q=XNAS%3aRIOT&amp;form=skydnc</v>
    <v>Learn more on Bing</v>
  </rv>
  <rv s="1">
    <v>0</v>
    <v>Riot Platforms, Inc. (XNAS:RIOT)</v>
    <v>2</v>
    <v>3</v>
    <v>Finance</v>
    <v>4</v>
    <v>en-US</v>
    <v>a221pr</v>
    <v>268435456</v>
    <v>1</v>
    <v>Powered by Refinitiv</v>
    <v>23.934999999999999</v>
    <v>6.19</v>
    <v>3.5171000000000001</v>
    <v>0.56999999999999995</v>
    <v>3.9777E-2</v>
    <v>USD</v>
    <v>Riot Platforms, Inc. is a Bitcoin mining and digital infrastructure company. The Company has Bitcoin mining operations in central Texas and Kentucky, and electrical engineering and fabrication operations in Denver, Colorado, and Houston, Texas. It operates a Bitcoin-driven infrastructure platform. Its segments include Bitcoin Mining and Engineering. The Bitcoin Mining segment is engaged in Bitcoin mining activities. The Engineering segment designs and manufacturers power distribution equipment and custom engineered electrical products. This segment also provides electricity distribution product design, manufacturing, and installation services primarily focused on large-scale commercial and governmental customers and serves clients across a range of markets including data center, power generation, utility, water, industrial, and alternative energy. It is also focused on developing a portion of its power capacity for artificial intelligence (AI)/ high-performance computing (HPC) uses.</v>
    <v>816</v>
    <v>Nasdaq Stock Market</v>
    <v>XNAS</v>
    <v>XNAS</v>
    <v>3855 AMBROSIA STREET, SUITE 301, CASTLE ROCK, CO, 80109 US</v>
    <v>15.25</v>
    <v>Financial Technology (Fintech) &amp; Infrastructure</v>
    <v>Stock</v>
    <v>46106.612757221876</v>
    <v>889</v>
    <v>14.7601</v>
    <v>5648975910</v>
    <v>Riot Platforms, Inc.</v>
    <v>Riot Platforms, Inc.</v>
    <v>14.8</v>
    <v>70.117599999999996</v>
    <v>14.33</v>
    <v>14.9</v>
    <v>379125900</v>
    <v>RIOT</v>
    <v>Riot Platforms, Inc. (XNAS:RIOT)</v>
    <v>3548276</v>
    <v>17759233</v>
    <v>2017</v>
  </rv>
  <rv s="2">
    <v>890</v>
  </rv>
  <rv s="0">
    <v>https://www.bing.com/financeapi/forcetrigger?t=c1qqu2&amp;q=XNAS%3aHOWL&amp;form=skydnc</v>
    <v>Learn more on Bing</v>
  </rv>
  <rv s="1">
    <v>0</v>
    <v>WEREWOLF THERAPEUTICS, INC. (XNAS:HOWL)</v>
    <v>2</v>
    <v>3</v>
    <v>Finance</v>
    <v>4</v>
    <v>en-US</v>
    <v>c1qqu2</v>
    <v>268435456</v>
    <v>1</v>
    <v>Powered by Refinitiv</v>
    <v>2.38</v>
    <v>0.53010000000000002</v>
    <v>0.61319999999999997</v>
    <v>8.9999999999999993E-3</v>
    <v>1.1688E-2</v>
    <v>USD</v>
    <v>Werewolf Therapeutics, Inc. is a biopharmaceutical company engaged in the development of therapeutics engineered to stimulate the body’s immune system for the treatment of cancer and other immune-mediated conditions. It is leveraging its PREDATOR platform to design conditionally activated molecules that stimulate both adaptive and innate immunity with the goal of addressing the limitations of conventional proinflammatory immune therapies. Its INDUKINE molecules are intended to remain inactive in peripheral tissue yet activate selectively in the tumor microenvironment. The Company’s advanced clinical-stage product candidates, WTX-124 and WTX-330, are systemically delivered, conditionally activated Interleukin-2 (IL-2) and IL-12 INDUKINE molecules for the treatment of solid tumors. It is advancing WTX-124 in multiple tumor types as a single agent and in combination with an immune checkpoint inhibitor. It is advancing WTX-712, WTX-518, and WTX-921 through preclinical development.</v>
    <v>39</v>
    <v>Nasdaq Stock Market</v>
    <v>XNAS</v>
    <v>XNAS</v>
    <v>200 Talcott Avenue, 2Nd Floor, WATERTOWN, MA, 02472 US</v>
    <v>0.80030000000000001</v>
    <v>Biotechnology &amp; Medical Research</v>
    <v>Stock</v>
    <v>46106.611251678129</v>
    <v>892</v>
    <v>0.77710000000000001</v>
    <v>37812815</v>
    <v>WEREWOLF THERAPEUTICS, INC.</v>
    <v>WEREWOLF THERAPEUTICS, INC.</v>
    <v>0.79579999999999995</v>
    <v>0</v>
    <v>0.77</v>
    <v>0.77900000000000003</v>
    <v>48540200</v>
    <v>HOWL</v>
    <v>WEREWOLF THERAPEUTICS, INC. (XNAS:HOWL)</v>
    <v>52287</v>
    <v>464221</v>
    <v>2017</v>
  </rv>
  <rv s="2">
    <v>893</v>
  </rv>
  <rv s="0">
    <v>https://www.bing.com/financeapi/forcetrigger?t=a213z2&amp;q=XNAS%3aPOWI&amp;form=skydnc</v>
    <v>Learn more on Bing</v>
  </rv>
  <rv s="1">
    <v>0</v>
    <v>POWER INTEGRATIONS, INC. (XNAS:POWI)</v>
    <v>2</v>
    <v>3</v>
    <v>Finance</v>
    <v>4</v>
    <v>en-US</v>
    <v>a213z2</v>
    <v>268435456</v>
    <v>1</v>
    <v>Powered by Refinitiv</v>
    <v>60.12</v>
    <v>30.86</v>
    <v>1.3035000000000001</v>
    <v>0.55000000000000004</v>
    <v>1.0825E-2</v>
    <v>USD</v>
    <v>Power Integrations, Inc. designs, develops and markets analog and mixed-signal integrated circuits (ICs) and other electronic components and circuitry used in high-voltage power conversion. Its products are used in power converters that convert electricity from a high-voltage source to the type of power required for a specified downstream use and this conversion entails, among other functions, converting alternating current (AC) to direct current (DC) or vice versa, reducing or increasing the voltage, and regulating the output voltage and/or current according to the customer’s specifications. It also supplies high-voltage light-emitting diode (LED) drivers, which are AC-DC ICs specifically designed for lighting applications that utilize light-emitting diodes, and motor-driver ICs for brushless DC (BLDC) motors used in consumer appliances, heating, ventilation, and air conditioning (HVAC) systems, ceiling fans and industrial applications.</v>
    <v>877</v>
    <v>Nasdaq Stock Market</v>
    <v>XNAS</v>
    <v>XNAS</v>
    <v>5245 HELLYER AVE, SAN JOSE, CA, 95138 US</v>
    <v>52.02</v>
    <v>Semiconductors &amp; Semiconductor Equipment</v>
    <v>Stock</v>
    <v>46106.612699096877</v>
    <v>895</v>
    <v>51.16</v>
    <v>2850685440</v>
    <v>POWER INTEGRATIONS, INC.</v>
    <v>POWER INTEGRATIONS, INC.</v>
    <v>51.83</v>
    <v>130.62049999999999</v>
    <v>50.81</v>
    <v>51.36</v>
    <v>55504000</v>
    <v>POWI</v>
    <v>POWER INTEGRATIONS, INC. (XNAS:POWI)</v>
    <v>72553</v>
    <v>945215</v>
    <v>1997</v>
  </rv>
  <rv s="2">
    <v>896</v>
  </rv>
  <rv s="0">
    <v>https://www.bing.com/financeapi/forcetrigger?t=c1db2w&amp;q=XNAS%3aRXRX&amp;form=skydnc</v>
    <v>Learn more on Bing</v>
  </rv>
  <rv s="1">
    <v>0</v>
    <v>RECURSION PHARMACEUTICALS, INC. (XNAS:RXRX)</v>
    <v>2</v>
    <v>3</v>
    <v>Finance</v>
    <v>4</v>
    <v>en-US</v>
    <v>c1db2w</v>
    <v>268435456</v>
    <v>1</v>
    <v>Powered by Refinitiv</v>
    <v>7.18</v>
    <v>2.98</v>
    <v>0.999</v>
    <v>1.4999999999999999E-2</v>
    <v>4.7320000000000001E-3</v>
    <v>USD</v>
    <v>Recursion Pharmaceuticals, Inc. is a clinical-stage TechBio company decoding biology and chemistry to industrialize drug discovery. Its Recursion Operating System (OS), a platform built across diverse technologies, enables the Company to map and navigate trillions of biological and chemical relationships within the Recursion Data Universe. The Company integrates physical and digital components as iterative loops of atoms and bits, scaling wet lab biology and chemistry data organized into virtuous cycles with computational tools to rapidly translate silico hypotheses into validated insights and novel chemistry. Its clinical programs in oncology and rare diseases include REC-617, REC-1245, REC-3565 and REC-4539. Its REC-617 is an orally bioavailable, cyclin-dependent kinase 7 (CDK7) inhibitor for the treatment of advanced solid tumors. Its REV102 program targets ectonucleotide pyrophosphatase/phosphodiesterase 1 (ENPP1), an enzyme implicated in the pathogenesis of HPP.</v>
    <v>600</v>
    <v>Nasdaq Stock Market</v>
    <v>XNAS</v>
    <v>XNAS</v>
    <v>41S Rio Grande Street, SALT LAKE CITY, UT, 84101 US</v>
    <v>3.2852999999999999</v>
    <v>Biotechnology &amp; Medical Research</v>
    <v>Stock</v>
    <v>46106.61272841406</v>
    <v>898</v>
    <v>3.18</v>
    <v>1679762630</v>
    <v>RECURSION PHARMACEUTICALS, INC.</v>
    <v>RECURSION PHARMACEUTICALS, INC.</v>
    <v>3.21</v>
    <v>0</v>
    <v>3.17</v>
    <v>3.1850000000000001</v>
    <v>527398000</v>
    <v>RXRX</v>
    <v>RECURSION PHARMACEUTICALS, INC. (XNAS:RXRX)</v>
    <v>3250466</v>
    <v>16861389</v>
    <v>2013</v>
  </rv>
  <rv s="2">
    <v>899</v>
  </rv>
  <rv s="0">
    <v>https://www.bing.com/financeapi/forcetrigger?t=a21ycw&amp;q=XNAS%3aRGEN&amp;form=skydnc</v>
    <v>Learn more on Bing</v>
  </rv>
  <rv s="1">
    <v>0</v>
    <v>REPLIGEN CORPORATION (XNAS:RGEN)</v>
    <v>2</v>
    <v>3</v>
    <v>Finance</v>
    <v>4</v>
    <v>en-US</v>
    <v>a21ycw</v>
    <v>268435456</v>
    <v>1</v>
    <v>Powered by Refinitiv</v>
    <v>175.77</v>
    <v>102.965</v>
    <v>1.1973</v>
    <v>-0.755</v>
    <v>-6.4920000000000004E-3</v>
    <v>USD</v>
    <v>Repligen Corporation is a global life sciences company that develops and commercializes bioprocessing technologies and systems. Its focus areas are Filtration and Fluid Management, Chromatography, Process Analytics and Proteins. Its filtration products are used in process development and process scale (clinical and commercial) production. Its XCell ATF systems are used in upstream perfusion (continuous) and N-1 (intensified fed-batch or hybrid perfusion) cell culture processing. Its chromatography franchise includes several products used in downstream purification, development, manufacturing and quality control of biological drugs. Its process analytics products complement and support its filtration, chromatography and protein franchises. Its TangenX product portfolio includes flat sheet (FS) tangential flow filtration (TFF) cassettes used primarily in downstream and ultrafiltration processes. Its desktop portfolio includes MAVERICK and MAVEN, REBEL, and ZipChip.</v>
    <v>2000</v>
    <v>Nasdaq Stock Market</v>
    <v>XNAS</v>
    <v>XNAS</v>
    <v>BUILDING 1, SUITE 100, 41 SEYON STREET, WALTHAM, MA, 02453 US</v>
    <v>119.9</v>
    <v>Healthcare Equipment &amp; Supplies</v>
    <v>Stock</v>
    <v>46106.612693842188</v>
    <v>901</v>
    <v>114.51</v>
    <v>6508778104</v>
    <v>REPLIGEN CORPORATION</v>
    <v>REPLIGEN CORPORATION</v>
    <v>117.93</v>
    <v>133.68620000000001</v>
    <v>116.3</v>
    <v>115.545</v>
    <v>56331110</v>
    <v>RGEN</v>
    <v>REPLIGEN CORPORATION (XNAS:RGEN)</v>
    <v>178937</v>
    <v>931099</v>
    <v>1981</v>
  </rv>
  <rv s="2">
    <v>902</v>
  </rv>
  <rv s="0">
    <v>https://www.bing.com/financeapi/forcetrigger?t=a21nqh&amp;q=XNYS%3aQTWO&amp;form=skydnc</v>
    <v>Learn more on Bing</v>
  </rv>
  <rv s="1">
    <v>0</v>
    <v>Q2 HOLDINGS, INC. (XNYS:QTWO)</v>
    <v>2</v>
    <v>3</v>
    <v>Finance</v>
    <v>4</v>
    <v>en-US</v>
    <v>a21nqh</v>
    <v>268435456</v>
    <v>1</v>
    <v>Powered by Refinitiv</v>
    <v>96.676299999999998</v>
    <v>46.16</v>
    <v>1.4346000000000001</v>
    <v>0.26500000000000001</v>
    <v>5.6769999999999998E-3</v>
    <v>USD</v>
    <v>Q2 Holdings, Inc. is a provider of digital transformation solutions for financial services, serving banks, credit unions, alternative finance companies, and fintech’s in the United States and internationally. The Company enables its financial institutions and fintech companies to provide comprehensive, data-driven digital engagement solutions for consumers, small businesses and corporate clients. Its portfolio of digital solutions includes offerings, such as Digital Banking Platform, Q2 Innovation Studio, Lending and Relationship Pricing, and Helix. Its end-to-end digital banking platform supports its financial institution customers in their delivery of retail, SMB and commercial functionalities across digital channels through a single technology platform. Q2 Innovation Studio is its application program interface (API), and software development kit (SDK), based open technology platform. Helix is its cloud-native, real-time core processing platform.</v>
    <v>2548</v>
    <v>New York Stock Exchange</v>
    <v>XNYS</v>
    <v>XNYS</v>
    <v>10355 Pecan Park Boulevard, AUSTIN, TX, 78729 US</v>
    <v>48.23</v>
    <v>Software &amp; IT Services</v>
    <v>Stock</v>
    <v>46106.612721214842</v>
    <v>904</v>
    <v>46.945</v>
    <v>2929573149</v>
    <v>Q2 HOLDINGS, INC.</v>
    <v>Q2 HOLDINGS, INC.</v>
    <v>47.69</v>
    <v>60.888500000000001</v>
    <v>46.68</v>
    <v>46.945</v>
    <v>62404370</v>
    <v>QTWO</v>
    <v>Q2 HOLDINGS, INC. (XNYS:QTWO)</v>
    <v>46250</v>
    <v>1143018</v>
    <v>2005</v>
  </rv>
  <rv s="2">
    <v>905</v>
  </rv>
  <rv s="0">
    <v>https://www.bing.com/financeapi/forcetrigger?t=a1uvar&amp;q=XNYS%3aLHX&amp;form=skydnc</v>
    <v>Learn more on Bing</v>
  </rv>
  <rv s="1">
    <v>0</v>
    <v>L3HARRIS TECHNOLOGIES, INC. (XNYS:LHX)</v>
    <v>2</v>
    <v>3</v>
    <v>Finance</v>
    <v>4</v>
    <v>en-US</v>
    <v>a1uvar</v>
    <v>268435456</v>
    <v>1</v>
    <v>Powered by Refinitiv</v>
    <v>379.23</v>
    <v>195.72</v>
    <v>0.61280000000000001</v>
    <v>1.145</v>
    <v>3.2579999999999996E-3</v>
    <v>USD</v>
    <v>L3Harris Technologies, Inc. provides end-to-end technology solutions connecting the space, air, land, sea and cyber domains in the interest of national security. Its segments include Space &amp; Airborne Systems (SAS), Integrated Mission Systems (IMS), Communication Systems (CS), and Aerojet Rocketdyne (AR). The SAS segment supplies full mission solutions as a prime and subsystem integrator in the space, airborne and cyber domains. The IMS segment delivers differentiated mission capabilities and prime systems integration to support intelligence, reconnaissance and surveillance (ISR), passive sensing and targeting, electronic attack, autonomy, power and communications, networks and sensors. CS enables warfighters across all domains with solutions critical to mission success even in the contested environments. The AR segment provides propulsion, power and armament products and systems to the U.S. Government, including the DoD, NASA and various aerospace and defense prime contractors.</v>
    <v>45000</v>
    <v>New York Stock Exchange</v>
    <v>XNYS</v>
    <v>XNYS</v>
    <v>1025 W Nasa Blvd, MELBOURNE, FL, 32919-0001 US</v>
    <v>356.72</v>
    <v>Aerospace &amp; Defense</v>
    <v>Stock</v>
    <v>46106.612734849215</v>
    <v>907</v>
    <v>351.31</v>
    <v>65850786209</v>
    <v>L3HARRIS TECHNOLOGIES, INC.</v>
    <v>L3HARRIS TECHNOLOGIES, INC.</v>
    <v>353.29</v>
    <v>41.314900000000002</v>
    <v>351.42</v>
    <v>352.565</v>
    <v>186776300</v>
    <v>LHX</v>
    <v>L3HARRIS TECHNOLOGIES, INC. (XNYS:LHX)</v>
    <v>214857</v>
    <v>1478451</v>
    <v>1926</v>
  </rv>
  <rv s="2">
    <v>908</v>
  </rv>
  <rv s="0">
    <v>https://www.bing.com/financeapi/forcetrigger?t=aztvk2&amp;q=XNYS%3aINSP&amp;form=skydnc</v>
    <v>Learn more on Bing</v>
  </rv>
  <rv s="1">
    <v>0</v>
    <v>INSPIRE MEDICAL SYSTEMS, INC. (XNYS:INSP)</v>
    <v>2</v>
    <v>3</v>
    <v>Finance</v>
    <v>4</v>
    <v>en-US</v>
    <v>aztvk2</v>
    <v>268435456</v>
    <v>1</v>
    <v>Powered by Refinitiv</v>
    <v>172.95</v>
    <v>50.5</v>
    <v>0.85270000000000001</v>
    <v>-0.40500000000000003</v>
    <v>-7.7780000000000002E-3</v>
    <v>USD</v>
    <v>Inspire Medical Systems, Inc. is a medical technology company. The Company is focused on the development and commercialization of advanced, minimally invasive solutions for patients with obstructive sleep apnea (OSA). Its proprietary Inspire therapy is FDA, EU MDR, and PDMA-approved neurostimulation technology that provides a safe and effective treatment for moderate to severe obstructive sleep apnea. It has developed a novel, closed-loop solution that continuously monitors a patient’s breathing and delivers mild hypoglossal nerve stimulation to maintain an open airway. The Company sells its Inspire system to hospitals and ambulatory surgery centers (ASCs) in the United States (U.S.) and in select countries in Europe and Japan through a direct sales organization and sells its Inspire system in Singapore and Hong Kong through distributors. Its direct sales force engages in sales efforts and promotional activities focused on ear, nose and throat (ENT) physicians and sleep centers.</v>
    <v>1333</v>
    <v>New York Stock Exchange</v>
    <v>XNYS</v>
    <v>XNYS</v>
    <v>5500 Wayzata Blvd Ste 1600, GOLDEN VALLEY, MN, 55416-1237 US</v>
    <v>52.979900000000001</v>
    <v>Healthcare Equipment &amp; Supplies</v>
    <v>Stock</v>
    <v>46106.612665346875</v>
    <v>910</v>
    <v>51.53</v>
    <v>1487813021</v>
    <v>INSPIRE MEDICAL SYSTEMS, INC.</v>
    <v>INSPIRE MEDICAL SYSTEMS, INC.</v>
    <v>52.85</v>
    <v>10.3933</v>
    <v>52.07</v>
    <v>51.664999999999999</v>
    <v>28797310</v>
    <v>INSP</v>
    <v>INSPIRE MEDICAL SYSTEMS, INC. (XNYS:INSP)</v>
    <v>129454</v>
    <v>1152453</v>
    <v>2007</v>
  </rv>
  <rv s="2">
    <v>911</v>
  </rv>
  <rv s="0">
    <v>https://www.bing.com/financeapi/forcetrigger?t=c438im&amp;q=XNAS%3aIREN&amp;form=skydnc</v>
    <v>Learn more on Bing</v>
  </rv>
  <rv s="1">
    <v>0</v>
    <v>IREN LIMITED (XNAS:IREN)</v>
    <v>2</v>
    <v>3</v>
    <v>Finance</v>
    <v>4</v>
    <v>en-US</v>
    <v>c438im</v>
    <v>268435456</v>
    <v>1</v>
    <v>Powered by Refinitiv</v>
    <v>76.87</v>
    <v>5.125</v>
    <v>4.2301000000000002</v>
    <v>0.72</v>
    <v>1.7509999999999998E-2</v>
    <v>USD</v>
    <v>IREN Limited is an Australia-based company, which owns and operates data centers powered by 100% renewable energy. Its facilities are optimized for Bitcoin mining, artificial intelligence (AI) cloud services, and other power-dense compute. Its data center mining facilities are in Canal Flats, Mackenzie, Prince George and Childress. Bitcoin Mining provides security to the Bitcoin network. Al Cloud Services provides cloud compute to Al customers, approximately 1,896 NVIDIA H100 and H200 GPUs. Its Canal Flats facility is in the Canadian Rockies, 100 kilometers (km) from Cranbrook regional airport and 500km east of Vancouver. Its facility is in Prince George, the city in northern British Columbia, located 500 km north of Vancouver. Its facility is located in Childress County, Texas, over 250 miles northwest of Dallas and in close proximity to multiple wind and solar generating facilities in the region. Its Childress operations comprise 200 Mega Watt of operating data centers.</v>
    <v>257</v>
    <v>Nasdaq Stock Market</v>
    <v>XNAS</v>
    <v>XNAS</v>
    <v>Level 6, 55 Market Street, SYDNEY, NEW SOUTH WALES, 2000 AU</v>
    <v>43.18</v>
    <v>Financial Technology (Fintech) &amp; Infrastructure</v>
    <v>Stock</v>
    <v>46106.612758344534</v>
    <v>913</v>
    <v>41.31</v>
    <v>16693662104</v>
    <v>IREN LIMITED</v>
    <v>IREN LIMITED</v>
    <v>42.39</v>
    <v>55.520200000000003</v>
    <v>41.12</v>
    <v>41.84</v>
    <v>398988100</v>
    <v>IREN</v>
    <v>IREN LIMITED (XNAS:IREN)</v>
    <v>11074442</v>
    <v>33567263</v>
    <v>2018</v>
  </rv>
  <rv s="2">
    <v>914</v>
  </rv>
  <rv s="0">
    <v>https://www.bing.com/financeapi/forcetrigger?t=a23ysm&amp;q=XNAS%3aTBBK&amp;form=skydnc</v>
    <v>Learn more on Bing</v>
  </rv>
  <rv s="1">
    <v>0</v>
    <v>THE BANCORP, INC. (XNAS:TBBK)</v>
    <v>2</v>
    <v>3</v>
    <v>Finance</v>
    <v>4</v>
    <v>en-US</v>
    <v>a23ysm</v>
    <v>268435456</v>
    <v>1</v>
    <v>Powered by Refinitiv</v>
    <v>81.652600000000007</v>
    <v>40.51</v>
    <v>1.2997000000000001</v>
    <v>0.315</v>
    <v>5.9489999999999994E-3</v>
    <v>USD</v>
    <v>The Bancorp, Inc. is a financial holding company. The Company is engaged in fintech solutions, credit solutions, and account services. Fintech Solutions business partners with fintech companies and other technology-focused payment-based providers to deliver payment, deposit, and sponsored lending products. Its fintech services are provided to organizations with a pre-existing customer base, and the products are tailored to support or complement the services provided by the organizations to the customers. Its fintech products include program sponsorship, payment services, and sponsored lending, or fintech loans. Its Credit Solutions business offers flexible, specialty credit solutions, focused on developing customized products and programs to meet the needs of clients. Its Account Services include data processing services, check imaging, loan processing, electronic bill payment and statement rendering. It offers data processing services, electronic bill payment and statement rendering.</v>
    <v>733</v>
    <v>Nasdaq Stock Market</v>
    <v>XNAS</v>
    <v>XNAS</v>
    <v>409 Silverside Road, WILMINGTON, DE, 19809 US</v>
    <v>54.274999999999999</v>
    <v>Banking Services</v>
    <v>Stock</v>
    <v>46106.612616700782</v>
    <v>916</v>
    <v>52.93</v>
    <v>2247454354</v>
    <v>THE BANCORP, INC.</v>
    <v>THE BANCORP, INC.</v>
    <v>53.74</v>
    <v>10.829700000000001</v>
    <v>52.95</v>
    <v>53.265000000000001</v>
    <v>42193830</v>
    <v>TBBK</v>
    <v>THE BANCORP, INC. (XNAS:TBBK)</v>
    <v>37323</v>
    <v>596146</v>
    <v>1999</v>
  </rv>
  <rv s="2">
    <v>917</v>
  </rv>
  <rv s="0">
    <v>https://www.bing.com/financeapi/forcetrigger?t=c27y1h&amp;q=XNYS%3aPAY&amp;form=skydnc</v>
    <v>Learn more on Bing</v>
  </rv>
  <rv s="1">
    <v>0</v>
    <v>PAYMENTUS HOLDINGS, INC. (XNYS:PAY)</v>
    <v>2</v>
    <v>3</v>
    <v>Finance</v>
    <v>4</v>
    <v>en-US</v>
    <v>c27y1h</v>
    <v>268435456</v>
    <v>1</v>
    <v>Powered by Refinitiv</v>
    <v>40.432600000000001</v>
    <v>22.02</v>
    <v>1.4494</v>
    <v>0.2</v>
    <v>7.9740000000000002E-3</v>
    <v>USD</v>
    <v>Paymentus Holdings, Inc. is a provider of cloud-based bill payment technology and solutions for more than 2,500 billers and financial institutions across North America. The Company’s artificial intelligence (AI)-driven software-as-a-service (SaaS) platform provides a single-vendor solution. Its proprietary Instant Payment Network (IPN) connects its IPN partners’ platforms and billers to its integrated billing, payment, and reconciliation capabilities. Its platform for financial institutions reconnects financial institutions with their customers by providing a real-time financial hub where consumers can consolidate their financial obligations, pay bills, move money in real time and improve their understanding of their own financial position. Its solution offers electronic bill presentment across numerous channels, including Web, mobile, text, portable document format (PDF), email, interactive voice response (IVR), chatbot, social media and through its IPN partners.</v>
    <v>1340</v>
    <v>New York Stock Exchange</v>
    <v>XNYS</v>
    <v>XNYS</v>
    <v>11605 N. Community House Road, Suite 300, CHARLOTTE, NC, 28277 US</v>
    <v>25.645</v>
    <v>Financial Technology (Fintech) &amp; Infrastructure</v>
    <v>Stock</v>
    <v>46106.612607777344</v>
    <v>919</v>
    <v>25.28</v>
    <v>3178090368</v>
    <v>PAYMENTUS HOLDINGS, INC.</v>
    <v>PAYMENTUS HOLDINGS, INC.</v>
    <v>25.49</v>
    <v>48.7654</v>
    <v>25.08</v>
    <v>25.28</v>
    <v>125715600</v>
    <v>PAY</v>
    <v>PAYMENTUS HOLDINGS, INC. (XNYS:PAY)</v>
    <v>29197</v>
    <v>847634</v>
    <v>2011</v>
  </rv>
  <rv s="2">
    <v>920</v>
  </rv>
  <rv s="0">
    <v>https://www.bing.com/financeapi/forcetrigger?t=a1nv8m&amp;q=XNAS%3aATEC&amp;form=skydnc</v>
    <v>Learn more on Bing</v>
  </rv>
  <rv s="1">
    <v>0</v>
    <v>ALPHATEC HOLDINGS, INC. (XNAS:ATEC)</v>
    <v>2</v>
    <v>3</v>
    <v>Finance</v>
    <v>4</v>
    <v>en-US</v>
    <v>a1nv8m</v>
    <v>268435456</v>
    <v>1</v>
    <v>Powered by Refinitiv</v>
    <v>23.29</v>
    <v>8.81</v>
    <v>1.0849</v>
    <v>7.0000000000000007E-2</v>
    <v>5.9570000000000005E-3</v>
    <v>USD</v>
    <v>Alphatec Holdings, Inc., through its wholly owned subsidiaries, Alphatec Spine, Inc., EOS imaging S.A.S. and SafeOp Surgical, Inc., is a medical device company. The Company is focused on the design, development, and advancement of technology for better surgical treatment of spine disorders. The Company's Organic Innovation Machine is focused on developing new approaches that integrate with its expanding Alpha InformatiX (AIX) Platform to better inform surgery and safely and reproducibly achieve the goals of spine surgery. Its technologies include AIX, positioners, access systems, implants and fixation systems, and biologics. Its AIX product platform comprises its EOS imaging system and VEA alignment mobile application, its SafeOp Neural InformatiX System and its navigation-enabled robotics platform (Valence). It has developed approach-specific patient positioning systems that integrate with its other access systems, providing for a more rigid construct and enhanced reproducibility.</v>
    <v>913</v>
    <v>Nasdaq Stock Market</v>
    <v>XNAS</v>
    <v>XNAS</v>
    <v>1950 Camino Via Roble, CARLSBAD, CA, 92008 US</v>
    <v>12</v>
    <v>Healthcare Equipment &amp; Supplies</v>
    <v>Stock</v>
    <v>46106.61269929375</v>
    <v>922</v>
    <v>11.69</v>
    <v>1789035012</v>
    <v>ALPHATEC HOLDINGS, INC.</v>
    <v>ALPHATEC HOLDINGS, INC.</v>
    <v>11.8</v>
    <v>0</v>
    <v>11.75</v>
    <v>11.82</v>
    <v>151356600</v>
    <v>ATEC</v>
    <v>ALPHATEC HOLDINGS, INC. (XNAS:ATEC)</v>
    <v>253523</v>
    <v>2672530</v>
    <v>2005</v>
  </rv>
  <rv s="2">
    <v>923</v>
  </rv>
  <rv s="0">
    <v>https://www.bing.com/financeapi/forcetrigger?t=a285oc&amp;q=XNAS%3aAPLD&amp;form=skydnc</v>
    <v>Learn more on Bing</v>
  </rv>
  <rv s="1">
    <v>0</v>
    <v>APPLIED DIGITAL CORPORATION (XNAS:APLD)</v>
    <v>2</v>
    <v>3</v>
    <v>Finance</v>
    <v>4</v>
    <v>en-US</v>
    <v>a285oc</v>
    <v>268435456</v>
    <v>1</v>
    <v>Powered by Refinitiv</v>
    <v>42.27</v>
    <v>3.31</v>
    <v>7.2375999999999996</v>
    <v>1.39</v>
    <v>5.1885000000000001E-2</v>
    <v>USD</v>
    <v>Applied Digital Corporation is a designer, builder, and operator of sustainably engineered data centers and colocation services for artificial intelligence, cloud, networking, and blockchain workloads. The Company’s segments include data center hosting (Data Center Hosting Business) and high-performance compute hosting (HPC Hosting Business). The Data Center Hosting Business operates data centers to provide energized space to crypto mining customers. Customer-owned hardware is installed in its facilities, and the Company provides operational and maintenance services for a fixed fee. Its facilities include a 106 megawatt (MW) facility in Jamestown and a 180 MW facility in Ellendale, North Dakota. The HPC Hosting Business designs, builds, and operates data centers which are designed to support high-compute applications using advanced technologies and infrastructures to provide services to customers. Its HPC data center is located at its Polaris Forge 1 campus with 100 MW capacity.</v>
    <v>205</v>
    <v>Nasdaq Stock Market</v>
    <v>XNAS</v>
    <v>XNAS</v>
    <v>3811 Turtle Creek Blvd., Suite 2100, DALLAS, TX, 75219 US</v>
    <v>28.655000000000001</v>
    <v>Financial Technology (Fintech) &amp; Infrastructure</v>
    <v>Stock</v>
    <v>46106.6127442125</v>
    <v>925</v>
    <v>26.79</v>
    <v>7878727844</v>
    <v>APPLIED DIGITAL CORPORATION</v>
    <v>APPLIED DIGITAL CORPORATION</v>
    <v>27.59</v>
    <v>0</v>
    <v>26.79</v>
    <v>28.18</v>
    <v>279585800</v>
    <v>APLD</v>
    <v>APPLIED DIGITAL CORPORATION (XNAS:APLD)</v>
    <v>7143752</v>
    <v>16523278</v>
    <v>2001</v>
  </rv>
  <rv s="2">
    <v>926</v>
  </rv>
  <rv s="0">
    <v>https://www.bing.com/financeapi/forcetrigger?t=bu482w&amp;q=XNAS%3aKROS&amp;form=skydnc</v>
    <v>Learn more on Bing</v>
  </rv>
  <rv s="1">
    <v>0</v>
    <v>KEROS THERAPEUTICS, INC. (XNAS:KROS)</v>
    <v>2</v>
    <v>3</v>
    <v>Finance</v>
    <v>4</v>
    <v>en-US</v>
    <v>bu482w</v>
    <v>268435456</v>
    <v>1</v>
    <v>Powered by Refinitiv</v>
    <v>22.55</v>
    <v>9.1199999999999992</v>
    <v>0.98340000000000005</v>
    <v>0.3</v>
    <v>2.7297999999999999E-2</v>
    <v>USD</v>
    <v>Keros Therapeutics, Inc. is a clinical-stage biopharmaceutical company. The Company is focused on developing and commercializing novel therapeutics to treat a range of patients with disorders that are linked to dysfunctional signaling of the transforming growth factor-beta (TGF-B), family of proteins. Its lead product candidate, KER-050, is being developed for the treatment of low blood cell counts, or cytopenias, including anemia and thrombocytopenia, in patients with myelodysplastic syndromes, and in patients with myelofibrosis. Its product candidate, KER-012, is being developed for the treatment of pulmonary arterial hypertension, or PAH, and for the treatment of cardiovascular disorders. Its product candidate, KER-065, is being developed for the treatment of obesity and for the treatment of neuromuscular diseases. KER-050 is designed to raise red blood cell and platelet production by inhibiting the signaling of a subset of the TGF-B family of proteins to promote hematopoiesis.</v>
    <v>78</v>
    <v>Nasdaq Stock Market</v>
    <v>XNAS</v>
    <v>XNAS</v>
    <v>1050 Waltham Street, Suite 302, LEXINGTON, MA, 02421 US</v>
    <v>11.31</v>
    <v>Biotechnology &amp; Medical Research</v>
    <v>Stock</v>
    <v>46106.612605659378</v>
    <v>928</v>
    <v>11.13</v>
    <v>356757679</v>
    <v>KEROS THERAPEUTICS, INC.</v>
    <v>KEROS THERAPEUTICS, INC.</v>
    <v>11.13</v>
    <v>7.3150000000000004</v>
    <v>10.99</v>
    <v>11.29</v>
    <v>19717530</v>
    <v>KROS</v>
    <v>KEROS THERAPEUTICS, INC. (XNAS:KROS)</v>
    <v>38805</v>
    <v>542454</v>
    <v>2015</v>
  </rv>
  <rv s="2">
    <v>929</v>
  </rv>
  <rv s="3">
    <v>5</v>
    <v>CORE SCIENTIFIC, INC. (XNAS:CORZ)</v>
    <v>6</v>
    <v>3</v>
    <v>Finance</v>
    <v>4</v>
    <v>en-US</v>
    <v>cc7rjc</v>
    <v>268435456</v>
    <v>1</v>
    <v>Powered by Refinitiv</v>
    <v>23.63</v>
    <v>6.2</v>
    <v>2.9129999999999998</v>
    <v>0.5</v>
    <v>2.9673999999999999E-2</v>
    <v>USD</v>
    <v>Core Scientific, Inc. provides digital infrastructure for high-density colocation services and digital asset mining. The Company operates dedicated, purpose-built facilities for digital asset mining and is a provider of digital infrastructure, software solutions and services to its third-party customers. Its Digital Asset Self-Mining segment consists of digital asset mining for its own account. Its Digital Asset Hosted Mining segment consists of its digital infrastructure and third-party hosting services for digital asset mining. Its Colocation segment consists of providing high-density colocation services to third parties for graphics processing units (GPU)-based high-performance computing (HPC) operations. It employs its own large fleet of computers (miners) to earn digital assets for its own account and to provide hosting services for large digital asset-mining customers, and it is in the process of allocating and converting a significant portion of its 10 facilities.</v>
    <v>325</v>
    <v>Nasdaq Stock Market</v>
    <v>XNAS</v>
    <v>XNAS</v>
    <v>838 Walker Road, Suite 21-2105, DOVER, DE, 19904 US</v>
    <v>17.8</v>
    <v>Financial Technology (Fintech) &amp; Infrastructure</v>
    <v>Stock</v>
    <v>46106.612817997659</v>
    <v>17.059999999999999</v>
    <v>5471020610</v>
    <v>CORE SCIENTIFIC, INC.</v>
    <v>CORE SCIENTIFIC, INC.</v>
    <v>17.36</v>
    <v>399.76960000000003</v>
    <v>16.850000000000001</v>
    <v>17.350000000000001</v>
    <v>315332600</v>
    <v>CORZ</v>
    <v>CORE SCIENTIFIC, INC. (XNAS:CORZ)</v>
    <v>4271027</v>
    <v>12242235</v>
    <v>2020</v>
  </rv>
  <rv s="2">
    <v>931</v>
  </rv>
  <rv s="0">
    <v>https://www.bing.com/financeapi/forcetrigger?t=a1vrvh&amp;q=XNAS%3aIRTC&amp;form=skydnc</v>
    <v>Learn more on Bing</v>
  </rv>
  <rv s="1">
    <v>0</v>
    <v>IRHYTHM HOLDINGS, INC. (XNAS:IRTC)</v>
    <v>2</v>
    <v>3</v>
    <v>Finance</v>
    <v>4</v>
    <v>en-US</v>
    <v>a1vrvh</v>
    <v>268435456</v>
    <v>1</v>
    <v>Powered by Refinitiv</v>
    <v>212</v>
    <v>92.52</v>
    <v>1.1785000000000001</v>
    <v>1.78</v>
    <v>1.4997E-2</v>
    <v>USD</v>
    <v>iRhythm Holdings, Inc. is a digital healthcare company that creates trusted solutions that detect, predict, and prevent disease. The Company's principal business is the design, development, and commercialization of device-based technology to provide ambulatory cardiac monitoring services that allow clinicians to diagnose certain arrhythmias quicker and with greater efficiency than other services that rely on traditional technology. The Company provides Zio ambulatory cardiac monitoring services, including long-term continuous monitoring (LTCM), short-term continuous monitoring, and mobile cardiac telemetry (MCT) monitoring services, using a proprietary system that combines an FDA-cleared and CE-marked wire-free, patch-based, 14-day wearable biosensor that continuously records ECG data, with a proprietary FDA-cleared, CE-marked, Japan PDMA approved cloud-based data analytic software to help physicians monitor patients and diagnose arrhythmias.</v>
    <v>2400</v>
    <v>Nasdaq Stock Market</v>
    <v>XNAS</v>
    <v>XNAS</v>
    <v>699 8th Street, Suite 600, SAN FRANCISCO, CA, 94103 US</v>
    <v>121.68</v>
    <v>Healthcare Equipment &amp; Supplies</v>
    <v>Stock</v>
    <v>46106.612758842188</v>
    <v>933</v>
    <v>118.86499999999999</v>
    <v>3893200077</v>
    <v>IRHYTHM HOLDINGS, INC.</v>
    <v>IRHYTHM HOLDINGS, INC.</v>
    <v>120</v>
    <v>0</v>
    <v>118.69</v>
    <v>120.47</v>
    <v>32316760</v>
    <v>IRTC</v>
    <v>IRHYTHM HOLDINGS, INC. (XNAS:IRTC)</v>
    <v>180873</v>
    <v>718948</v>
    <v>2025</v>
  </rv>
  <rv s="2">
    <v>934</v>
  </rv>
  <rv s="0">
    <v>https://www.bing.com/financeapi/forcetrigger?t=c1qtur&amp;q=XNAS%3aCFVI&amp;form=skydnc</v>
    <v>Learn more on Bing</v>
  </rv>
  <rv s="1">
    <v>0</v>
    <v>RUMBLE INC. (XNAS:RUM)</v>
    <v>2</v>
    <v>3</v>
    <v>Finance</v>
    <v>4</v>
    <v>en-US</v>
    <v>c1qtur</v>
    <v>268435456</v>
    <v>1</v>
    <v>Powered by Refinitiv</v>
    <v>10.99</v>
    <v>4.67</v>
    <v>0.71419999999999995</v>
    <v>7.0000000000000007E-2</v>
    <v>1.3672E-2</v>
    <v>USD</v>
    <v>Rumble Inc. is a video sharing platform and cloud services provider. The Company comprises two businesses: Rumble Services and Rumble Cloud. Rumble Services consists of three core businesses: Rumble Video, Rumble Studio, and Rumble Advertising Center (RAC). Rumble Video is primarily enabled through its flagship product, Rumble.com, a free-to-use video sharing and livestreaming platform on which users can watch, share, like, comment, and upload videos. Using Rumble Studio, creators can establish a variety of custom settings for their livestream, set up, go-live and control their livestream across multiple social platforms. Rumble Advertising Center is its proprietary advertising marketplace and network designed to facilitate transactions for advertisers seeking to access Rumble.com traffic and traffic from other publishers on the RAC network. Rumble Cloud is an infrastructure as a service (IaaS) offering consisting of a portfolio of compute, storage, security, and networking offerings.</v>
    <v>156</v>
    <v>Nasdaq Stock Market</v>
    <v>XNAS</v>
    <v>XNAS</v>
    <v>444 Gulf of Mexico Dr, LONGBOAT KEY, FL, 34228 US</v>
    <v>5.33</v>
    <v>Software &amp; IT Services</v>
    <v>Stock</v>
    <v>46106.612657557809</v>
    <v>936</v>
    <v>5.1718000000000002</v>
    <v>1761691005</v>
    <v>RUMBLE INC.</v>
    <v>RUMBLE INC.</v>
    <v>5.25</v>
    <v>0</v>
    <v>5.12</v>
    <v>5.19</v>
    <v>339439500</v>
    <v>RUM</v>
    <v>RUMBLE INC. (XNAS:RUM)</v>
    <v>282536</v>
    <v>2014040</v>
    <v>2020</v>
  </rv>
  <rv s="2">
    <v>937</v>
  </rv>
  <rv s="0">
    <v>https://www.bing.com/financeapi/forcetrigger?t=a1ythw&amp;q=XNYS%3aNUE&amp;form=skydnc</v>
    <v>Learn more on Bing</v>
  </rv>
  <rv s="1">
    <v>0</v>
    <v>NUCOR CORPORATION (XNYS:NUE)</v>
    <v>2</v>
    <v>3</v>
    <v>Finance</v>
    <v>4</v>
    <v>en-US</v>
    <v>a1ythw</v>
    <v>268435456</v>
    <v>1</v>
    <v>Powered by Refinitiv</v>
    <v>196.89500000000001</v>
    <v>97.59</v>
    <v>1.7678</v>
    <v>2.59</v>
    <v>1.5914999999999999E-2</v>
    <v>USD</v>
    <v>Nucor Corporation is a manufacturer of steel and steel products, with operating facilities in the United States, Canada and Mexico. The Company also produces and procures ferrous and non-ferrous materials primarily for use in its steel manufacturing business. Its segments include steel mills, steel products and raw materials. Its products include carbon and alloy steel in bars, beams, sheet and plate; hollow structural section tubing; electrical conduit; steel racking; steel piling; steel joists and joist girders; steel deck; fabricated concrete reinforcing steel; cold finished steel; precision castings; steel fasteners; metal building systems; insulated metal panels; overhead doors; steel grating; wire and wire mesh; and utility structures. The Company, through The David J. Joseph Company and its affiliates, also brokers ferrous and nonferrous metals, pig iron and hot briquetted iron / direct reduced iron; supplies ferro-alloys; and processes ferrous and nonferrous scrap.</v>
    <v>33000</v>
    <v>New York Stock Exchange</v>
    <v>XNYS</v>
    <v>XNYS</v>
    <v>1915 REXFORD RD, CHARLOTTE, NC, 28211 US</v>
    <v>166.35</v>
    <v>Metals &amp; Mining</v>
    <v>Stock</v>
    <v>46106.612742082812</v>
    <v>939</v>
    <v>163.94499999999999</v>
    <v>37657974618</v>
    <v>NUCOR CORPORATION</v>
    <v>NUCOR CORPORATION</v>
    <v>165.54</v>
    <v>21.9451</v>
    <v>162.74</v>
    <v>165.33</v>
    <v>227774600</v>
    <v>NUE</v>
    <v>NUCOR CORPORATION (XNYS:NUE)</v>
    <v>438820</v>
    <v>1572016</v>
    <v>1958</v>
  </rv>
  <rv s="2">
    <v>940</v>
  </rv>
  <rv s="0">
    <v>https://www.bing.com/financeapi/forcetrigger?t=brfjjc&amp;q=XNAS%3aPTON&amp;form=skydnc</v>
    <v>Learn more on Bing</v>
  </rv>
  <rv s="1">
    <v>0</v>
    <v>PELOTON INTERACTIVE, INC. (XNAS:PTON)</v>
    <v>2</v>
    <v>3</v>
    <v>Finance</v>
    <v>4</v>
    <v>en-US</v>
    <v>brfjjc</v>
    <v>268435456</v>
    <v>1</v>
    <v>Powered by Refinitiv</v>
    <v>9.1999999999999993</v>
    <v>3.65</v>
    <v>2.4127999999999998</v>
    <v>-0.02</v>
    <v>-4.8659999999999997E-3</v>
    <v>USD</v>
    <v>Peloton Interactive, Inc. is a global fitness company. The Company is a category innovator at the nexus of fitness, technology, and media, with a subscription platform that combines hardware, distinctive software, and exclusive content. Its segments include Connected Fitness Products and Subscription. The Company’s Connected Fitness Products portfolio includes the Peloton Bike, Bike+, Tread, Tread+, Guide, Row, and various Precor products. Access to the Peloton App is available with an All-Access or Guide Membership for Members who have Connected Fitness Products or through a standalone App Membership with multiple Membership tiers. Access to the Strength+ App is available with an All Access, Guide, or App+ Membership or through a standalone Strength+ subscription. The Company’s subscriptions provide access to Peloton content and its library of live and on-demand fitness classes. The Company’s subscriptions are offered on a month-to-month or prepaid basis.</v>
    <v>2605</v>
    <v>Nasdaq Stock Market</v>
    <v>XNAS</v>
    <v>XNAS</v>
    <v>C/O Peloton Interactive, Inc., 441 Ninth Ave., Sixth Floor, NEW YORK, NY, 10001 US</v>
    <v>4.2249999999999996</v>
    <v>Leisure Products</v>
    <v>Stock</v>
    <v>46106.612661550782</v>
    <v>942</v>
    <v>4.07</v>
    <v>1740250419</v>
    <v>PELOTON INTERACTIVE, INC.</v>
    <v>PELOTON INTERACTIVE, INC.</v>
    <v>4.17</v>
    <v>0</v>
    <v>4.1100000000000003</v>
    <v>4.09</v>
    <v>425489100</v>
    <v>PTON</v>
    <v>PELOTON INTERACTIVE, INC. (XNAS:PTON)</v>
    <v>1391865</v>
    <v>10723107</v>
    <v>2015</v>
  </rv>
  <rv s="2">
    <v>943</v>
  </rv>
  <rv s="0">
    <v>https://www.bing.com/financeapi/forcetrigger?t=a1oe1h&amp;q=XNYS%3aBFAM&amp;form=skydnc</v>
    <v>Learn more on Bing</v>
  </rv>
  <rv s="1">
    <v>0</v>
    <v>BRIGHT HORIZONS FAMILY SOLUTIONS INC. (XNYS:BFAM)</v>
    <v>2</v>
    <v>3</v>
    <v>Finance</v>
    <v>4</v>
    <v>en-US</v>
    <v>a1oe1h</v>
    <v>268435456</v>
    <v>1</v>
    <v>Powered by Refinitiv</v>
    <v>132.99</v>
    <v>63.68</v>
    <v>1.3375999999999999</v>
    <v>-0.52990000000000004</v>
    <v>-6.7029999999999998E-3</v>
    <v>USD</v>
    <v>Bright Horizons Family Solutions Inc. is a provider of early education and childcare, back-up care, and workforce education services. It partners with employers to support workforces by providing services that help working families and employees thrive personally and professionally. Its segments include full service center-based child care, back-up care, and educational advisory services. The full service center-based child care segment includes the traditional center-based early education and child care, preschool, and elementary education. Its back-up care segment consists of center-based back-up child care, in-home care for children and seniors, school-age programs, pet care, self-sourced reimbursed care, and Sittercity, an online marketplace for families and caregivers. Its educational advisory services segment consists of tuition assistance and student loan repayment program management, workforce education, related educational advising, and college admissions counseling services.</v>
    <v>32200</v>
    <v>New York Stock Exchange</v>
    <v>XNYS</v>
    <v>XNYS</v>
    <v>2 Wells Avenue, NEWTON, MA, 02459 US</v>
    <v>79.67</v>
    <v>Personal &amp; Household Products &amp; Services</v>
    <v>Stock</v>
    <v>46106.612669825779</v>
    <v>945</v>
    <v>77.98</v>
    <v>4327528524</v>
    <v>BRIGHT HORIZONS FAMILY SOLUTIONS INC.</v>
    <v>BRIGHT HORIZONS FAMILY SOLUTIONS INC.</v>
    <v>79.594999999999999</v>
    <v>23.3795</v>
    <v>79.05</v>
    <v>78.520099999999999</v>
    <v>55113640</v>
    <v>BFAM</v>
    <v>BRIGHT HORIZONS FAMILY SOLUTIONS INC. (XNYS:BFAM)</v>
    <v>50727</v>
    <v>1063397</v>
    <v>2008</v>
  </rv>
  <rv s="2">
    <v>946</v>
  </rv>
  <rv s="0">
    <v>https://www.bing.com/financeapi/forcetrigger?t=a2upec&amp;q=OTCM%3aRYCEY&amp;form=skydnc</v>
    <v>Learn more on Bing</v>
  </rv>
  <rv s="1">
    <v>0</v>
    <v>ROLLS-ROYCE HOLDINGS PLC (OTCM:RYCEY)</v>
    <v>2</v>
    <v>3</v>
    <v>Finance</v>
    <v>43</v>
    <v>en-US</v>
    <v>a2upec</v>
    <v>268435456</v>
    <v>1</v>
    <v>Powered by Refinitiv</v>
    <v>18.98</v>
    <v>8.01</v>
    <v>1.1974</v>
    <v>0.438</v>
    <v>2.7951E-2</v>
    <v>USD</v>
    <v>Rolls-Royce Holdings plc is a United Kingdom-based company that develops and delivers power and propulsion solutions for safety-critical applications in the air, at sea and on land. The Company's segments include Civil Aerospace, Defense, Power Systems, and New Markets. The Civil Aerospace segment is engaged in the development, manufacture, marketing and sales of commercial aero engines and aftermarket services. The Defense segment is engaged in the development, manufacture, marketing and sales of military aero engines, naval engines, submarine nuclear power plants and aftermarket services. The Power Systems segment is engaged in the development, manufacture, marketing, and sales of integrated solutions for onsite power and propulsion. The New Markets segment is engaged in the development, manufacture, and sales of small modular reactors (SMR) and new electrical power solutions. Its subsidiaries include Aerospace Transmission Technologies GmbH and PT Rolls-Royce, among others.</v>
    <v>42600</v>
    <v>OTC Markets</v>
    <v>OTCM</v>
    <v>OTCM</v>
    <v>Kings Place, 90 York Way, LONDON, N1 9FX GB</v>
    <v>16.175000000000001</v>
    <v>Aerospace &amp; Defense</v>
    <v>Stock</v>
    <v>46106.602245138281</v>
    <v>948</v>
    <v>16.02</v>
    <v>135427462328</v>
    <v>ROLLS-ROYCE HOLDINGS PLC</v>
    <v>ROLLS-ROYCE HOLDINGS PLC</v>
    <v>16.100000000000001</v>
    <v>17.291899999999998</v>
    <v>15.67</v>
    <v>16.108000000000001</v>
    <v>8407466000</v>
    <v>RYCEY</v>
    <v>ROLLS-ROYCE HOLDINGS PLC (OTCM:RYCEY)</v>
    <v>302613</v>
    <v>2789130</v>
    <v>2011</v>
  </rv>
  <rv s="2">
    <v>949</v>
  </rv>
  <rv s="0">
    <v>https://www.bing.com/financeapi/forcetrigger?t=a1ptec&amp;q=XNAS%3aCLFD&amp;form=skydnc</v>
    <v>Learn more on Bing</v>
  </rv>
  <rv s="1">
    <v>0</v>
    <v>Clearfield, Inc. (XNAS:CLFD)</v>
    <v>2</v>
    <v>3</v>
    <v>Finance</v>
    <v>4</v>
    <v>en-US</v>
    <v>a1ptec</v>
    <v>268435456</v>
    <v>1</v>
    <v>Powered by Refinitiv</v>
    <v>46.76</v>
    <v>23.78</v>
    <v>1.9547000000000001</v>
    <v>0.16</v>
    <v>5.4259999999999994E-3</v>
    <v>USD</v>
    <v>Clearfield, Inc. designs, manufactures, and distributes fiber optic management, protection, and delivery products for communications networks. The Company operates through Clearfield segment, which is focused on providing fiber management, fiber protection, and fiber delivery products that accelerate the turn-up of fiber-based networks in residential homes, businesses, and network infrastructure in the wireline and wireless access network. Its platform serves the requirements of incumbent local exchange carriers (traditional carriers), competitive local exchange carriers (alternative carriers), and multi-system operator (MSO)/cable TV companies, while also catering to the broadband needs of the utility/municipality, enterprise, data center, and military markets.</v>
    <v>243</v>
    <v>Nasdaq Stock Market</v>
    <v>XNAS</v>
    <v>XNAS</v>
    <v>Suite 120, 5480 Nathan Lane North, PLYMOUTH, MN, 55442 US</v>
    <v>29.975000000000001</v>
    <v>Communications &amp; Networking</v>
    <v>Stock</v>
    <v>46106.612543784373</v>
    <v>951</v>
    <v>29.6</v>
    <v>405772406</v>
    <v>Clearfield, Inc.</v>
    <v>Clearfield, Inc.</v>
    <v>29.95</v>
    <v>51.781300000000002</v>
    <v>29.49</v>
    <v>29.65</v>
    <v>13685410</v>
    <v>CLFD</v>
    <v>Clearfield, Inc. (XNAS:CLFD)</v>
    <v>6324</v>
    <v>84136</v>
    <v>1979</v>
  </rv>
  <rv s="2">
    <v>952</v>
  </rv>
  <rv s="0">
    <v>https://www.bing.com/financeapi/forcetrigger?t=bxi4gh&amp;q=XNAS%3aTERN&amp;form=skydnc</v>
    <v>Learn more on Bing</v>
  </rv>
  <rv s="1">
    <v>0</v>
    <v>TERNS PHARMACEUTICALS, INC. (XNAS:TERN)</v>
    <v>2</v>
    <v>3</v>
    <v>Finance</v>
    <v>4</v>
    <v>en-US</v>
    <v>bxi4gh</v>
    <v>268435456</v>
    <v>1</v>
    <v>Powered by Refinitiv</v>
    <v>52.7</v>
    <v>1.865</v>
    <v>-0.33939999999999998</v>
    <v>2.7</v>
    <v>5.4000000000000006E-2</v>
    <v>USD</v>
    <v>Terns Pharmaceuticals, Inc. is a clinical-stage biopharmaceutical company. The Company is engaged in developing a portfolio of small-molecule product candidates to address serious diseases, including oncology and obesity. Its product candidates in pipeline includes TERN-701, TERN-601 and TERN-501. TERN-701 is its oral, potent, allosteric BCR-ABL tyrosine kinase inhibitors (TKI) specifically targeting the ABL myristoyl pocket for CML, a form of cancer that begins in the bone marrow and leads to the growth of leukemic cells. TERN-601 is a small-molecule glucagon-like peptide-1 receptor (GLP-1R) agonist that is intended to be orally administered for obesity. TERN-501 is a thyroid hormone receptor beta (THR-b) agonist with high metabolic dysfunction-associated steatohepatitis (MASH). It is also focused on developing the TERN-800 series of small-molecule glucose-dependent insulinotropic polypeptide receptor (GIPR) modulators for obesity.</v>
    <v>59</v>
    <v>Nasdaq Stock Market</v>
    <v>XNAS</v>
    <v>XNAS</v>
    <v>1065 East Hillsdale Blvd., Suite 100, Suite 100, FOSTER CITY, CA, 94404 US</v>
    <v>52.7</v>
    <v>Biotechnology &amp; Medical Research</v>
    <v>Stock</v>
    <v>46106.612781978904</v>
    <v>954</v>
    <v>52.59</v>
    <v>5596687300</v>
    <v>TERNS PHARMACEUTICALS, INC.</v>
    <v>TERNS PHARMACEUTICALS, INC.</v>
    <v>52.61</v>
    <v>0</v>
    <v>50</v>
    <v>52.7</v>
    <v>106199000</v>
    <v>TERN</v>
    <v>TERNS PHARMACEUTICALS, INC. (XNAS:TERN)</v>
    <v>54934360</v>
    <v>2363989</v>
    <v>2020</v>
  </rv>
  <rv s="2">
    <v>955</v>
  </rv>
  <rv s="0">
    <v>https://www.bing.com/financeapi/forcetrigger?t=a1n4jc&amp;q=XNAS%3aAGYS&amp;form=skydnc</v>
    <v>Learn more on Bing</v>
  </rv>
  <rv s="1">
    <v>0</v>
    <v>AGILYSYS, INC. (XNAS:AGYS)</v>
    <v>2</v>
    <v>3</v>
    <v>Finance</v>
    <v>4</v>
    <v>en-US</v>
    <v>a1n4jc</v>
    <v>268435456</v>
    <v>1</v>
    <v>Powered by Refinitiv</v>
    <v>145.25</v>
    <v>63.71</v>
    <v>0.4219</v>
    <v>0.29499999999999998</v>
    <v>4.1270000000000005E-3</v>
    <v>USD</v>
    <v>Agilysys, Inc. is a hospitality software company, which is engaged in delivering cloud-native software-as-a-service (SaaS) and on-premises solutions for hotels, resorts, cruise lines, casinos, corporate foodservice management, restaurants, universities, stadiums, and healthcare facilities. The Company’s software solutions include point-of-sale (POS), property management (PMS), inventory and procurement, payments, and related applications that manage and enhance the entire guest journey. It operates across North America, Europe, the Middle East, Asia-Pacific, and India. Its food and beverage ecosystem solutions include InfoGenesis, IG Kiosk, IG KDS, IG OnDemand, IG Fly, IG Quick Pay, IG Smart Menu, IG Digital Menu Board, IG PanOptic, eCash, and Analyze. Its hospitality and leisure (H&amp;L) ecosystem solutions include LMS, Versa, and Stay. Its hospitality and leisure (H&amp;L) experience-enhancer solutions include Book, Express Kiosk, Express Mobile, Spa, Golf, and Sales &amp; Catering.</v>
    <v>2200</v>
    <v>Nasdaq Stock Market</v>
    <v>XNAS</v>
    <v>XNAS</v>
    <v>3655 Brookside Parkway, Suite 300, ALPHARETTA, GA, 30022 US</v>
    <v>72.45</v>
    <v>Software &amp; IT Services</v>
    <v>Stock</v>
    <v>46106.612714767965</v>
    <v>957</v>
    <v>71.36</v>
    <v>2017469643</v>
    <v>AGILYSYS, INC.</v>
    <v>AGILYSYS, INC.</v>
    <v>72.45</v>
    <v>66.954300000000003</v>
    <v>71.48</v>
    <v>71.775000000000006</v>
    <v>28108250</v>
    <v>AGYS</v>
    <v>AGILYSYS, INC. (XNAS:AGYS)</v>
    <v>27031</v>
    <v>364078</v>
    <v>2022</v>
  </rv>
  <rv s="2">
    <v>958</v>
  </rv>
  <rv s="0">
    <v>https://www.bing.com/financeapi/forcetrigger?t=aygsur&amp;q=XNYS%3aPAGS&amp;form=skydnc</v>
    <v>Learn more on Bing</v>
  </rv>
  <rv s="1">
    <v>0</v>
    <v>PAGSEGURO DIGITAL LTD. (XNYS:PAGS)</v>
    <v>2</v>
    <v>3</v>
    <v>Finance</v>
    <v>4</v>
    <v>en-US</v>
    <v>aygsur</v>
    <v>268435456</v>
    <v>1</v>
    <v>Powered by Refinitiv</v>
    <v>12.32</v>
    <v>7.0914000000000001</v>
    <v>1.4248000000000001</v>
    <v>0.33500000000000002</v>
    <v>3.3634999999999998E-2</v>
    <v>USD</v>
    <v>PagSeguro Digital Ltd. is a disruptive provider of financial technology solutions focused primarily on consumers, individual entrepreneurs, micro-merchants, small companies, and medium-sized companies in Brazil. Its end-to-end digital ecosystem enables its merchants not only to accept payments but also to grow and manage their businesses. The Company operates in a single segment, that is financial service agents. It offers a two-sided ecosystem, providing banking and payments experience through a single interface, with one app, one platform, and one customer support. Its digital banking ecosystem features its free PagBank digital account under the brand PagBank and offers approximately 40 payment methods and 13 cash-out options. The Company offers a range of point of sale (POS) and mobile point of sale (mPOS) devices specifically designed to fit customers' business needs. Its end-to-end payments ecosystem enables its customers to accept a range of online and in-person payment methods.</v>
    <v>10121</v>
    <v>New York Stock Exchange</v>
    <v>XNYS</v>
    <v>XNYS</v>
    <v>Conyers Trust Company (Cayman) Limited, Cricket Square, Hutchins Drive, Pob 2681, GRAND CAYMAN, KY1-1111 KY</v>
    <v>10.31</v>
    <v>Professional &amp; Commercial Services</v>
    <v>Stock</v>
    <v>46106.612799918752</v>
    <v>960</v>
    <v>10.15</v>
    <v>3146951921</v>
    <v>PAGSEGURO DIGITAL LTD.</v>
    <v>PAGSEGURO DIGITAL LTD.</v>
    <v>10.210000000000001</v>
    <v>7.5145999999999997</v>
    <v>9.9600000000000009</v>
    <v>10.295</v>
    <v>305677700</v>
    <v>PAGS</v>
    <v>PAGSEGURO DIGITAL LTD. (XNYS:PAGS)</v>
    <v>268147</v>
    <v>4411453</v>
    <v>2017</v>
  </rv>
  <rv s="2">
    <v>961</v>
  </rv>
  <rv s="0">
    <v>https://www.bing.com/financeapi/forcetrigger?t=a23752&amp;q=XNAS%3aSMTC&amp;form=skydnc</v>
    <v>Learn more on Bing</v>
  </rv>
  <rv s="1">
    <v>0</v>
    <v>SEMTECH CORPORATION (XNAS:SMTC)</v>
    <v>2</v>
    <v>3</v>
    <v>Finance</v>
    <v>4</v>
    <v>en-US</v>
    <v>a23752</v>
    <v>268435456</v>
    <v>1</v>
    <v>Powered by Refinitiv</v>
    <v>96.46</v>
    <v>24.05</v>
    <v>2.0550000000000002</v>
    <v>2.74</v>
    <v>3.5151000000000002E-2</v>
    <v>USD</v>
    <v>Semtech Corporation is a provider of high-performance semiconductors, Internet of Things (IoT) systems and cloud connectivity service solutions. Signal Integrity segment designs, develops, manufactures and markets a portfolio of optical and copper data communications and video transport products used in a wide variety of infrastructure and industrial applications. The Analog Mixed Signal and Wireless segment designs, develops, manufactures and markets high-performance protection devices, which are often referred to as transient voltage suppressors and specialized sensing products. The IoT Systems and Connectivity segment designs, develops, operates and markets a comprehensive product portfolio of IoT solutions that enable businesses to connect and manage their devices, collect and analyze data, and improve decision-making. It also manufactures Indium Phosphide optoelectronic devices for optical transceivers used across data center interconnects and intra-data center interconnects.</v>
    <v>1920</v>
    <v>Nasdaq Stock Market</v>
    <v>XNAS</v>
    <v>XNAS</v>
    <v>200 Flynn Rd, CAMARILLO, CA, 93012-8790 US</v>
    <v>81.44</v>
    <v>Semiconductors &amp; Semiconductor Equipment</v>
    <v>Stock</v>
    <v>46106.612705589847</v>
    <v>963</v>
    <v>78.474999999999994</v>
    <v>7500229907</v>
    <v>SEMTECH CORPORATION</v>
    <v>SEMTECH CORPORATION</v>
    <v>79.349999999999994</v>
    <v>228.7132</v>
    <v>77.95</v>
    <v>80.69</v>
    <v>92951170</v>
    <v>SMTC</v>
    <v>SEMTECH CORPORATION (XNAS:SMTC)</v>
    <v>780326</v>
    <v>2192904</v>
    <v>1960</v>
  </rv>
  <rv s="2">
    <v>964</v>
  </rv>
  <rv s="0">
    <v>https://www.bing.com/financeapi/forcetrigger?t=a1ptk2&amp;q=XNYS%3aCLH&amp;form=skydnc</v>
    <v>Learn more on Bing</v>
  </rv>
  <rv s="1">
    <v>0</v>
    <v>CLEAN HARBORS, INC. (XNYS:CLH)</v>
    <v>2</v>
    <v>3</v>
    <v>Finance</v>
    <v>4</v>
    <v>en-US</v>
    <v>a1ptk2</v>
    <v>268435456</v>
    <v>1</v>
    <v>Powered by Refinitiv</v>
    <v>298.12</v>
    <v>178.29</v>
    <v>0.94450000000000001</v>
    <v>-1.71</v>
    <v>-5.9960000000000005E-3</v>
    <v>USD</v>
    <v>Clean Harbors, Inc. is a provider of environmental and industrial services. The Company delivers a range of services, such as end-to-end hazardous waste management, emergency spill response, industrial cleaning and maintenance, and recycling services. Its Environmental Services segment offers an array of services to customers. It collects, transports, treats and disposes of hazardous and non-hazardous waste through its network of waste disposal facilities, including incinerators, landfills, treatment, storage and disposal facilities (TSDFs), wastewater treatment facilities and solvent recycling centers. Its Safety-Kleen Sustainability Solutions (SKSS) segment offerings span the lifecycle of sustainable lubricant products. It collects used oil which serves as feedstock for its oil re-refineries. At these facilities, it manufactures, formulates and packages lubricants which are returned to the marketplace. It also provides parts washers and environmental services to various customers.</v>
    <v>22155</v>
    <v>New York Stock Exchange</v>
    <v>XNYS</v>
    <v>XNYS</v>
    <v>42 Longwater Drive, NORWELL, MA, 02061 US</v>
    <v>292.02</v>
    <v>Professional &amp; Commercial Services</v>
    <v>Stock</v>
    <v>46106.612681122657</v>
    <v>966</v>
    <v>281.76</v>
    <v>14999725215</v>
    <v>CLEAN HARBORS, INC.</v>
    <v>CLEAN HARBORS, INC.</v>
    <v>289.02</v>
    <v>38.922199999999997</v>
    <v>285.2</v>
    <v>283.49</v>
    <v>52910950</v>
    <v>CLH</v>
    <v>CLEAN HARBORS, INC. (XNYS:CLH)</v>
    <v>38679</v>
    <v>591799</v>
    <v>1987</v>
  </rv>
  <rv s="2">
    <v>967</v>
  </rv>
  <rv s="0">
    <v>https://www.bing.com/financeapi/forcetrigger?t=a1wxjc&amp;q=XNAS%3aLITE&amp;form=skydnc</v>
    <v>Learn more on Bing</v>
  </rv>
  <rv s="1">
    <v>0</v>
    <v>Lumentum Holdings Inc. (XNAS:LITE)</v>
    <v>2</v>
    <v>3</v>
    <v>Finance</v>
    <v>4</v>
    <v>en-US</v>
    <v>a1wxjc</v>
    <v>268435456</v>
    <v>1</v>
    <v>Powered by Refinitiv</v>
    <v>808.8</v>
    <v>45.65</v>
    <v>1.3247</v>
    <v>-6.4950000000000001</v>
    <v>-8.0990000000000003E-3</v>
    <v>USD</v>
    <v>Lumentum Holdings Inc. is a designer and manufacturer of optical and photonic products enabling optical networking and laser applications worldwide. Its segments include Cloud &amp; Networking and Industrial Tech. The Cloud &amp; Networking segment products include a comprehensive portfolio of optical and photonic components, modules, and subsystems supplied to cloud and communications network operators and network equipment manufacturers building cloud data center infrastructure, including products for artificial intelligence and machine learning (AI/ML) and data center interconnect (DCI) applications, and communications service provider networks, including products for access (local), metro (intracity), long-haul (city-to-city and worldwide), and submarine (undersea) network infrastructure. The Industrial Tech segment products include solid-state lasers, kilowatt-class fiber lasers, diode lasers, ultrafast lasers, and gas lasers, which address applications in numerous end-markets.</v>
    <v>10562</v>
    <v>Nasdaq Stock Market</v>
    <v>XNAS</v>
    <v>XNAS</v>
    <v>1001 Ridder Park Dr, SAN JOSE, CA, 95131-2314 US</v>
    <v>808.8</v>
    <v>Communications &amp; Networking</v>
    <v>Stock</v>
    <v>46106.612739409378</v>
    <v>969</v>
    <v>763.11</v>
    <v>56798343000</v>
    <v>Lumentum Holdings Inc.</v>
    <v>Lumentum Holdings Inc.</v>
    <v>796.22</v>
    <v>243.24090000000001</v>
    <v>801.99</v>
    <v>795.495</v>
    <v>71400000</v>
    <v>LITE</v>
    <v>Lumentum Holdings Inc. (XNAS:LITE)</v>
    <v>2387021</v>
    <v>6894780</v>
    <v>2015</v>
  </rv>
  <rv s="2">
    <v>970</v>
  </rv>
  <rv s="0">
    <v>https://www.bing.com/financeapi/forcetrigger?t=c2wbu2&amp;q=XNAS%3aSDIG&amp;form=skydnc</v>
    <v>Learn more on Bing</v>
  </rv>
  <rv s="22">
    <v>44</v>
    <v>STRONGHOLD DIGITAL MINING, INC. (XNAS:SDIG)</v>
    <v>2</v>
    <v>37</v>
    <v>Finance</v>
    <v>31</v>
    <v>en-US</v>
    <v>c2wbu2</v>
    <v>268435456</v>
    <v>1</v>
    <v>1</v>
    <v>Powered by Refinitiv</v>
    <v>6.7</v>
    <v>1.65</v>
    <v>2.8934000000000002</v>
    <v>0</v>
    <v>0</v>
    <v>0.14000000000000001</v>
    <v>4.9821999999999998E-2</v>
    <v>USD</v>
    <v>Stronghold Digital Mining, Inc. is a vertically integrated Bitcoin mining company with a focus on environmentally beneficial operations. The Company's segments include Energy Operations and Cryptocurrency Operations. The Energy Operations segment operates as a qualifying cogeneration facility under the provisions of the Public Utilities Regulatory Policies Act of 1978 and sells its electricity into the PJM grid under a Professional Services Agreement with Customized Energy Solutions. The Cryptocurrency Operations segment is engaged in vertically-integrated digital currency mining business. The Company buys and maintains a fleet of Bitcoin miners, as well as the required infrastructure, and provides power to third-party digital currency miners under hosting agreements. The Company's Scrubgrass Plant has the capacity to generate approximately 83.5 megawatts (MW) of electricity. Its Panther Creek Plant has the capacity to generate approximately 80 MW of electricity.</v>
    <v>111</v>
    <v>Nasdaq Stock Market</v>
    <v>XNAS</v>
    <v>XNAS</v>
    <v>595 Madison Avenue, 28Th Floor, NEW YORK, NY, 10022 US</v>
    <v>2.9</v>
    <v>Financial Technology (Fintech) &amp; Infrastructure</v>
    <v>Stock</v>
    <v>45730.96857118047</v>
    <v>972</v>
    <v>2.76</v>
    <v>48790420</v>
    <v>STRONGHOLD DIGITAL MINING, INC.</v>
    <v>STRONGHOLD DIGITAL MINING, INC.</v>
    <v>2.76</v>
    <v>0</v>
    <v>2.72</v>
    <v>2.81</v>
    <v>2.95</v>
    <v>17363140</v>
    <v>SDIG</v>
    <v>STRONGHOLD DIGITAL MINING, INC. (XNAS:SDIG)</v>
    <v>45128</v>
    <v>222543</v>
    <v>2021</v>
  </rv>
  <rv s="2">
    <v>973</v>
  </rv>
  <rv s="0">
    <v>https://www.bing.com/financeapi/forcetrigger?t=a1ww5r&amp;q=XNYS%3aLH&amp;form=skydnc</v>
    <v>Learn more on Bing</v>
  </rv>
  <rv s="1">
    <v>0</v>
    <v>LABCORP HOLDINGS INC. (XNYS:LH)</v>
    <v>2</v>
    <v>3</v>
    <v>Finance</v>
    <v>4</v>
    <v>en-US</v>
    <v>a1ww5r</v>
    <v>268435456</v>
    <v>1</v>
    <v>Powered by Refinitiv</v>
    <v>293.72000000000003</v>
    <v>209.375</v>
    <v>1.016</v>
    <v>0.255</v>
    <v>9.5819999999999998E-4</v>
    <v>USD</v>
    <v>Labcorp Holdings Inc. provides comprehensive laboratory services that help doctors, hospitals, pharmaceutical companies, researchers and patients. The Company operates through two segments: Diagnostics Laboratories (Dx) and Biopharma Laboratory Services (BLS). The Diagnostics Laboratories segment includes routine testing and specialty/esoteric testing. Dx operates through a network of patient service centers, branches, rapid response laboratories, primary laboratories, and specialty laboratories. The BLS segment provides drug development and CDx development solutions from early-stage research to clinical development, along with support for crop protection and chemical testing, through its ED and Central Laboratory Services businesses. Its service also includes ambulatory outpatient laboratory services. The Company is focused on four primary specialty testing areas, such as oncology, women's health, autoimmune disease, and neurology.</v>
    <v>71000</v>
    <v>New York Stock Exchange</v>
    <v>XNYS</v>
    <v>XNYS</v>
    <v>358 S Main St, BURLINGTON, NC, 27215 US</v>
    <v>269.97000000000003</v>
    <v>Healthcare Providers &amp; Services</v>
    <v>Stock</v>
    <v>46106.612681226565</v>
    <v>975</v>
    <v>265.47000000000003</v>
    <v>21949300000</v>
    <v>LABCORP HOLDINGS INC.</v>
    <v>LABCORP HOLDINGS INC.</v>
    <v>267.54000000000002</v>
    <v>25.468699999999998</v>
    <v>266.12</v>
    <v>266.375</v>
    <v>82400000</v>
    <v>LH</v>
    <v>LABCORP HOLDINGS INC. (XNYS:LH)</v>
    <v>60712</v>
    <v>597898</v>
    <v>2024</v>
  </rv>
  <rv s="2">
    <v>976</v>
  </rv>
  <rv s="0">
    <v>https://www.bing.com/financeapi/forcetrigger?t=a2y8hw&amp;q=XNAS%3aTHTX&amp;form=skydnc</v>
    <v>Learn more on Bing</v>
  </rv>
  <rv s="22">
    <v>44</v>
    <v>THERATECHNOLOGIES INC. (XNAS:THTX)</v>
    <v>2</v>
    <v>45</v>
    <v>Finance</v>
    <v>31</v>
    <v>en-US</v>
    <v>a2y8hw</v>
    <v>268435456</v>
    <v>1</v>
    <v>1</v>
    <v>Powered by Refinitiv</v>
    <v>3.4</v>
    <v>1.1200000000000001</v>
    <v>0.75970000000000004</v>
    <v>0</v>
    <v>0</v>
    <v>0.03</v>
    <v>8.8500000000000002E-3</v>
    <v>USD</v>
    <v>Theratechnologies Inc. is a Canada-based specialty biopharmaceutical company focused on the commercialization of innovative therapies. The Company offers prescription products for individuals with human immunodeficient virus (HIV) in the United States and its pipeline is focused on specialized therapies designed to address unmet medical needs in both HIV and oncology. It markets two HIV products, namely EGRIFTA SV and Trogarzo; and has research programs in HIV and oncology. EGRIFTA SV is the therapy for reducing excess abdominal fat in HIV-infected adults with lipodystrophy. Trogarzo injection is used with other antiretrovirals to treat HIV-1 infection in heavily treatment-experienced adults with multidrug resistant HIV-1 who are failing their current regimen. Its pipeline includes Donidalorsen and Olezarsen, and the SORT1+ oncology platform. The Company is also focusing on tesamorelin life-cycle management in lipodystrophy.</v>
    <v>94</v>
    <v>Nasdaq Stock Market</v>
    <v>XNAS</v>
    <v>XNAS</v>
    <v>2015 Peel Street, 11th Floor, MONTREAL, QC, H3A 1T8 CA</v>
    <v>3.4</v>
    <v>Pharmaceuticals</v>
    <v>Stock</v>
    <v>45925.949942928128</v>
    <v>978</v>
    <v>3.34</v>
    <v>216581600</v>
    <v>THERATECHNOLOGIES INC.</v>
    <v>THERATECHNOLOGIES INC.</v>
    <v>3.36</v>
    <v>0</v>
    <v>3.39</v>
    <v>3.39</v>
    <v>3.42</v>
    <v>45980020</v>
    <v>THTX</v>
    <v>THERATECHNOLOGIES INC. (XNAS:THTX)</v>
    <v>3272893</v>
    <v>570889</v>
    <v>1995</v>
  </rv>
  <rv s="2">
    <v>979</v>
  </rv>
  <rv s="0">
    <v>https://www.bing.com/financeapi/forcetrigger?t=bzw7sm&amp;q=XNAS%3aINNV&amp;form=skydnc</v>
    <v>Learn more on Bing</v>
  </rv>
  <rv s="1">
    <v>0</v>
    <v>INNOVAGE HOLDING CORP. (XNAS:INNV)</v>
    <v>2</v>
    <v>3</v>
    <v>Finance</v>
    <v>4</v>
    <v>en-US</v>
    <v>bzw7sm</v>
    <v>268435456</v>
    <v>1</v>
    <v>Powered by Refinitiv</v>
    <v>10.69</v>
    <v>2.6</v>
    <v>0.50619999999999998</v>
    <v>0.01</v>
    <v>1.271E-3</v>
    <v>USD</v>
    <v>InnovAge Holding Corp. is a healthcare delivery platform. The Company is engaged in managing the care of high-cost, frail, and dual-eligible seniors through the Program of All-inclusive Care for the Elderly (PACE). Its programs are designed to allow frail seniors to live life on their terms by aging in place, in their own homes and communities, for as long as safely possible. Through its PACE program, it offers a range of medical and ancillary services for seniors, including in-home care services (skilled, unskilled and personal care), center services such as primary care, physical therapy, occupational therapy, speech therapy, dental services, mental health and psychiatric services, meals, and activities; transportation to and from the PACE center, and third-party medical appointments and care management. Its participant-centered approach is led by the Company's Interdisciplinary Care Teams (IDTs), who oversee all aspects of each participant’s care plan.</v>
    <v>2440</v>
    <v>Nasdaq Stock Market</v>
    <v>XNAS</v>
    <v>XNAS</v>
    <v>8950 E. Lowry Boulevard, DENVER, CO, 80230 US</v>
    <v>8</v>
    <v>Healthcare Providers &amp; Services</v>
    <v>Stock</v>
    <v>46106.612703992971</v>
    <v>981</v>
    <v>7.82</v>
    <v>1069312060</v>
    <v>INNOVAGE HOLDING CORP.</v>
    <v>INNOVAGE HOLDING CORP.</v>
    <v>8</v>
    <v>169.4624</v>
    <v>7.87</v>
    <v>7.88</v>
    <v>135699500</v>
    <v>INNV</v>
    <v>INNOVAGE HOLDING CORP. (XNAS:INNV)</v>
    <v>35786</v>
    <v>366599</v>
    <v>2015</v>
  </rv>
  <rv s="2">
    <v>982</v>
  </rv>
  <rv s="0">
    <v>https://www.bing.com/financeapi/forcetrigger?t=bvffur&amp;q=XNYS%3aBEKE&amp;form=skydnc</v>
    <v>Learn more on Bing</v>
  </rv>
  <rv s="1">
    <v>0</v>
    <v>Ke Holdings Inc (XNYS:BEKE)</v>
    <v>2</v>
    <v>3</v>
    <v>Finance</v>
    <v>4</v>
    <v>en-US</v>
    <v>bvffur</v>
    <v>268435456</v>
    <v>1</v>
    <v>Powered by Refinitiv</v>
    <v>22.25</v>
    <v>15.18</v>
    <v>-0.54979999999999996</v>
    <v>0.36</v>
    <v>2.3316E-2</v>
    <v>USD</v>
    <v>KE Holdings Inc is a holding company mainly engaged in housing transactions and related services. The Company operates in four segments. The Existing Home Transaction Services segment mainly provides agency services to sales or leases of existing homes, and platform and franchise services to brokerage firms on Beike platform, as well as other transaction services. The New Home Transaction Services segment mainly provides new home transaction and agency services to real estate developers. The Home Renovation and Furnishing segment provides a one-stop solution to give housing customers access to a comprehensive range of home renovation and furnishing, ranging from interior design, renovation, re-modeling, furnishing, supplies, to after-sales maintenance and repair. The Emerging and Other Services segment is engaged in rental property management service business, financial service business and others.</v>
    <v>135072</v>
    <v>New York Stock Exchange</v>
    <v>XNYS</v>
    <v>XNYS</v>
    <v>Oriental Electronic Technology Building, No. 2 Chuangye Road, Haidian District, BEIJING, BEIJING, 100086 CN</v>
    <v>15.84</v>
    <v>Real Estate Operations</v>
    <v>Stock</v>
    <v>46106.612699003905</v>
    <v>984</v>
    <v>15.66</v>
    <v>18589316200</v>
    <v>Ke Holdings Inc</v>
    <v>Ke Holdings Inc</v>
    <v>15.76</v>
    <v>37.862400000000001</v>
    <v>15.44</v>
    <v>15.8</v>
    <v>1176539000</v>
    <v>BEKE</v>
    <v>Ke Holdings Inc (XNYS:BEKE)</v>
    <v>912912</v>
    <v>4514377</v>
    <v>2018</v>
  </rv>
  <rv s="2">
    <v>985</v>
  </rv>
  <rv s="0">
    <v>https://www.bing.com/financeapi/forcetrigger?t=bqz6w7&amp;q=XNAS%3aCSTL&amp;form=skydnc</v>
    <v>Learn more on Bing</v>
  </rv>
  <rv s="1">
    <v>0</v>
    <v>CASTLE BIOSCIENCES, INC. (XNAS:CSTL)</v>
    <v>2</v>
    <v>3</v>
    <v>Finance</v>
    <v>4</v>
    <v>en-US</v>
    <v>bqz6w7</v>
    <v>268435456</v>
    <v>1</v>
    <v>Powered by Refinitiv</v>
    <v>44.28</v>
    <v>14.59</v>
    <v>1.1707000000000001</v>
    <v>0.52500000000000002</v>
    <v>2.0710000000000003E-2</v>
    <v>USD</v>
    <v>Castle Biosciences, Inc. is a molecular diagnostics company offering test solutions to aid clinicians in the diagnosis and treatment of dermatologic cancers, Barrett’s esophagus (BE), uveal melanoma (UM), and in the treatment of mental health conditions. The Company offers five commercially available proprietary multi-analyte assays with algorithmic analysis (MAAA) tests for use in the fields of dermatology, gastroenterology and ophthalmology. It also offers a proprietary pharmacogenomic (PGx) test to guide optimal drug treatment for patients diagnosed with depression, anxiety and other mental health conditions. Its products include DecisionDx-Melanoma, DecisionDx-SCC, MyPath Melanoma, TissueCypher, IDgenetix, and DecisionDx-UM. DecisionDx-SCC is its proprietary gene expression profile (GEP) test for use in patients with cutaneous squamous cell carcinoma (SCC). It also focused on chronic acid reflux related diseases, including esophageal cancer.</v>
    <v>883</v>
    <v>Nasdaq Stock Market</v>
    <v>XNAS</v>
    <v>XNAS</v>
    <v>1500 W. Parkwood Ave., Suite 401, FRIENDSWOOD, TX, 77546 US</v>
    <v>26.19</v>
    <v>Healthcare Equipment &amp; Supplies</v>
    <v>Stock</v>
    <v>46106.612310971876</v>
    <v>987</v>
    <v>25.43</v>
    <v>769294800</v>
    <v>CASTLE BIOSCIENCES, INC.</v>
    <v>CASTLE BIOSCIENCES, INC.</v>
    <v>25.81</v>
    <v>0</v>
    <v>25.35</v>
    <v>25.875</v>
    <v>29731200</v>
    <v>CSTL</v>
    <v>CASTLE BIOSCIENCES, INC. (XNAS:CSTL)</v>
    <v>25375</v>
    <v>425266</v>
    <v>2007</v>
  </rv>
  <rv s="2">
    <v>988</v>
  </rv>
  <rv s="0">
    <v>https://www.bing.com/financeapi/forcetrigger?t=a1nfk2&amp;q=XNYS%3aAMN&amp;form=skydnc</v>
    <v>Learn more on Bing</v>
  </rv>
  <rv s="1">
    <v>0</v>
    <v>AMN HEALTHCARE SERVICES, INC. (XNYS:AMN)</v>
    <v>2</v>
    <v>3</v>
    <v>Finance</v>
    <v>4</v>
    <v>en-US</v>
    <v>a1nfk2</v>
    <v>268435456</v>
    <v>1</v>
    <v>Powered by Refinitiv</v>
    <v>24.74</v>
    <v>14.865</v>
    <v>0.24460000000000001</v>
    <v>-0.32</v>
    <v>-1.7306999999999999E-2</v>
    <v>USD</v>
    <v>AMN Healthcare Services, Inc. is a provider of total talent solutions for healthcare organizations across the United States. The Company provides access to a comprehensive network of quality healthcare professionals through its recruitment strategies and breadth of career opportunities. Its segments include nurse and allied solutions, physician and leadership solutions, and technology and workforce solutions. The nurse and allied solutions segment includes its travel nurse staffing, labor disruption staffing, local staffing, international nurse permanent placement, and allied staffing businesses. The physician and leadership solutions segment includes its locum tenens staffing, healthcare interim leadership staffing, executive search, and physician permanent placement businesses. The technology and workforce solutions segment includes the Company’s language services, vendor management systems (VMS), workforce optimization, and outsourced solutions businesses.</v>
    <v>2664</v>
    <v>New York Stock Exchange</v>
    <v>XNYS</v>
    <v>XNYS</v>
    <v>2999 Olympus Boulevard, Suite 500, DALLAS, TX, 75019 US</v>
    <v>18.645</v>
    <v>Healthcare Providers &amp; Services</v>
    <v>Stock</v>
    <v>46106.612684154687</v>
    <v>990</v>
    <v>18.059999999999999</v>
    <v>702383880</v>
    <v>AMN HEALTHCARE SERVICES, INC.</v>
    <v>AMN HEALTHCARE SERVICES, INC.</v>
    <v>18.62</v>
    <v>0</v>
    <v>18.489999999999998</v>
    <v>18.170000000000002</v>
    <v>38656240</v>
    <v>AMN</v>
    <v>AMN HEALTHCARE SERVICES, INC. (XNYS:AMN)</v>
    <v>81116</v>
    <v>1449994</v>
    <v>1997</v>
  </rv>
  <rv s="2">
    <v>991</v>
  </rv>
  <rv s="0">
    <v>https://www.bing.com/financeapi/forcetrigger?t=a1mt6h&amp;q=XNAS%3aACIW&amp;form=skydnc</v>
    <v>Learn more on Bing</v>
  </rv>
  <rv s="1">
    <v>0</v>
    <v>ACI WORLDWIDE, INC. (XNAS:ACIW)</v>
    <v>2</v>
    <v>3</v>
    <v>Finance</v>
    <v>4</v>
    <v>en-US</v>
    <v>a1mt6h</v>
    <v>268435456</v>
    <v>1</v>
    <v>Powered by Refinitiv</v>
    <v>57.49</v>
    <v>38.054499999999997</v>
    <v>1.0568</v>
    <v>-0.26</v>
    <v>-6.5230000000000002E-3</v>
    <v>USD</v>
    <v>ACI Worldwide, Inc. is a global payments technology company. The Company delivers software solutions that power intelligent payments orchestration in real time to banks, billers, and merchants. Its segments include Payment Software and Biller. Payment Software drives payments orchestration for banks and merchants. It provides payment solutions to large and mid-sized banks globally for retail banking, digital, and other payment services. In addition, it enables banks to meet the requirements of different real-time payments schemes and to create differentiated products to meet consumer, business, and merchant demands. The Biller segment provides electronic bill presentment and payment services to companies operating in the consumer finance, insurance, healthcare, higher education, utility, government, mortgage, subscription provider, and telecommunications categories. It also provides fraud abuse protection to its Biller customers leveraging its proven AI, human, and data capabilities.</v>
    <v>3103</v>
    <v>Nasdaq Stock Market</v>
    <v>XNAS</v>
    <v>XNAS</v>
    <v>6060 Coventry Drive, ELKHORN, NE, 68022 US</v>
    <v>40.799999999999997</v>
    <v>Financial Technology (Fintech) &amp; Infrastructure</v>
    <v>Stock</v>
    <v>46106.612786180471</v>
    <v>993</v>
    <v>39.299999999999997</v>
    <v>4028112000</v>
    <v>ACI WORLDWIDE, INC.</v>
    <v>ACI WORLDWIDE, INC.</v>
    <v>40.130000000000003</v>
    <v>18.270700000000001</v>
    <v>39.86</v>
    <v>39.6</v>
    <v>101720000</v>
    <v>ACIW</v>
    <v>ACI WORLDWIDE, INC. (XNAS:ACIW)</v>
    <v>129984</v>
    <v>920750</v>
    <v>1993</v>
  </rv>
  <rv s="2">
    <v>994</v>
  </rv>
  <rv s="0">
    <v>https://www.bing.com/financeapi/forcetrigger?t=a213c7&amp;q=XNAS%3aPODD&amp;form=skydnc</v>
    <v>Learn more on Bing</v>
  </rv>
  <rv s="1">
    <v>0</v>
    <v>INSULET CORPORATION (XNAS:PODD)</v>
    <v>2</v>
    <v>3</v>
    <v>Finance</v>
    <v>4</v>
    <v>en-US</v>
    <v>a213c7</v>
    <v>268435456</v>
    <v>1</v>
    <v>Powered by Refinitiv</v>
    <v>354.88</v>
    <v>216.49</v>
    <v>1.4387000000000001</v>
    <v>-4.1150000000000002</v>
    <v>-1.8248E-2</v>
    <v>USD</v>
    <v>Insulet Corporation is a medical device company. It is primarily engaged in the development, manufacture and sale of its continuous insulin delivery systems for people with insulin-dependent diabetes. The Omnipod System includes the Omnipod 5 Automated Insulin Delivery System (Omnipod 5), the Omnipod DASH Insulin Management System, and the Omnipod Insulin Management System. The Omnipod platform offers continuous insulin delivery that provides various benefits of insulin pump therapy in a way without the need for external tubing required with conventional pumps. The small, lightweight, self-adhesive disposable tubeless Omnipod device (Pod), can be worn in multiple locations, including the abdomen, hip, back of upper arm, upper thigh, or lower back, and delivers insulin into the body through a small flexible tube. It also produces pods for Amgen for use in the Neulasta Onpro kit, a delivery system for Amgen’s Neulasta to help reduce the risk of infection after intense chemotherapy.</v>
    <v>5400</v>
    <v>Nasdaq Stock Market</v>
    <v>XNAS</v>
    <v>XNAS</v>
    <v>100 Nagog Park, ACTON, MA, 01720-3440 US</v>
    <v>227.23500000000001</v>
    <v>Healthcare Equipment &amp; Supplies</v>
    <v>Stock</v>
    <v>46106.612714142968</v>
    <v>996</v>
    <v>221.27</v>
    <v>15584585252</v>
    <v>INSULET CORPORATION</v>
    <v>INSULET CORPORATION</v>
    <v>225.69</v>
    <v>63.240200000000002</v>
    <v>225.5</v>
    <v>221.38499999999999</v>
    <v>70395850</v>
    <v>PODD</v>
    <v>INSULET CORPORATION (XNAS:PODD)</v>
    <v>59716</v>
    <v>1103856</v>
    <v>2000</v>
  </rv>
  <rv s="2">
    <v>997</v>
  </rv>
  <rv s="0">
    <v>https://www.bing.com/financeapi/forcetrigger?t=c11cur&amp;q=XNAS%3aGLBE&amp;form=skydnc</v>
    <v>Learn more on Bing</v>
  </rv>
  <rv s="1">
    <v>0</v>
    <v>GLOBAL-E ONLINE LTD (XNAS:GLBE)</v>
    <v>2</v>
    <v>3</v>
    <v>Finance</v>
    <v>4</v>
    <v>en-US</v>
    <v>c11cur</v>
    <v>268435456</v>
    <v>1</v>
    <v>Powered by Refinitiv</v>
    <v>43.21</v>
    <v>26.64</v>
    <v>1.2647999999999999</v>
    <v>0.5</v>
    <v>1.5772999999999999E-2</v>
    <v>USD</v>
    <v>Global-E Online Ltd is an Israel-based company engaged primarily in the software development. The Company develops e-commerce platform known as Global-e, which enable direct-to-consumer cross-border e-commerce. Through its end-to-end solutions that combine localization capabilities, big-data business intelligence models, international logistics and cross-border experience, the Company's platform enables retailers and brands to improve international traffic conversion and sales as well as to achieve global online growth. The Company cooperates with software engineers as well as other specialists. The Company operates from seven offices worldwide and is the chosen partner of retailers and brands across the United States, Europe and Asia.</v>
    <v>1084</v>
    <v>Nasdaq Stock Market</v>
    <v>XNAS</v>
    <v>XNAS</v>
    <v>25 Basel Street, PETAH TIKVA, 4951038 IL</v>
    <v>33</v>
    <v>Software &amp; IT Services</v>
    <v>Stock</v>
    <v>46106.612619953128</v>
    <v>999</v>
    <v>32.06</v>
    <v>5465180420</v>
    <v>GLOBAL-E ONLINE LTD</v>
    <v>GLOBAL-E ONLINE LTD</v>
    <v>32.31</v>
    <v>83.876000000000005</v>
    <v>31.7</v>
    <v>32.200000000000003</v>
    <v>169726100</v>
    <v>GLBE</v>
    <v>GLOBAL-E ONLINE LTD (XNAS:GLBE)</v>
    <v>73282</v>
    <v>1584492</v>
    <v>2013</v>
  </rv>
  <rv s="2">
    <v>1000</v>
  </rv>
  <rv s="0">
    <v>https://www.bing.com/financeapi/forcetrigger?t=bvcwar&amp;q=XNAS%3aCVAC&amp;form=skydnc</v>
    <v>Learn more on Bing</v>
  </rv>
  <rv s="13">
    <v>20</v>
    <v>CureVac NV (XNAS:CVAC)</v>
    <v>2</v>
    <v>3</v>
    <v>Finance</v>
    <v>21</v>
    <v>en-US</v>
    <v>bvcwar</v>
    <v>268435456</v>
    <v>1</v>
    <v>1</v>
    <v>Powered by Refinitiv</v>
    <v>5.72</v>
    <v>2.4750000000000001</v>
    <v>1.8737999999999999</v>
    <v>0</v>
    <v>0</v>
    <v>USD</v>
    <v>CureVac CureVac NV, formerly CureVac AG, is a Germany-based clinical-stage biopharmaceutical company. The Company develops transformative medicines based on messenger ribonucleic acid, or mRNA. The Company's mRNAs are designed to prevent infections and to treat diseases by mimicking human biology to synthesize the desired proteins. Its technology platform optimizes mRNA constructs that encode functional proteins which either induce a desired immune response or replace defective or missing proteins using the cell’s intrinsic translation machinery. The Company's product portfolio includes clinical and preclinical candidates across multiple disease indications in prophylactic vaccines, oncology, and molecular therapy. In prophylactic vaccines, the Company is advancing its second-generation mRNA backbone against Severe Acute Respiratory Syndrome Coronavirus 2 (SARS-CoV-2) and a range of infectious diseases, including seasonal influenza, in collaboration with GSK(Glaxo Smith Kline).</v>
    <v>825</v>
    <v>Nasdaq Stock Market</v>
    <v>XNAS</v>
    <v>XNAS</v>
    <v>Friedrich-Miescher-Str. 15, TUEBINGEN, BADEN-WUERTTEMBERG, 72076 DE</v>
    <v>4.665</v>
    <v>Biotechnology &amp; Medical Research</v>
    <v>Stock</v>
    <v>46028.002403981249</v>
    <v>1002</v>
    <v>4.57</v>
    <v>1051557000</v>
    <v>CureVac NV</v>
    <v>CureVac NV</v>
    <v>4.57</v>
    <v>6.9558999999999997</v>
    <v>4.67</v>
    <v>4.66</v>
    <v>225172700</v>
    <v>CVAC</v>
    <v>CureVac NV (XNAS:CVAC)</v>
    <v>1149400</v>
    <v>1640720</v>
    <v>2020</v>
  </rv>
  <rv s="2">
    <v>1003</v>
  </rv>
  <rv s="0">
    <v>https://www.bing.com/financeapi/forcetrigger?t=brkuw7&amp;q=XNAS%3aPNTG&amp;form=skydnc</v>
    <v>Learn more on Bing</v>
  </rv>
  <rv s="1">
    <v>0</v>
    <v>THE PENNANT GROUP, INC. (XNAS:PNTG)</v>
    <v>2</v>
    <v>3</v>
    <v>Finance</v>
    <v>4</v>
    <v>en-US</v>
    <v>brkuw7</v>
    <v>268435456</v>
    <v>1</v>
    <v>Powered by Refinitiv</v>
    <v>35</v>
    <v>21.73</v>
    <v>1.2916000000000001</v>
    <v>-0.39</v>
    <v>-1.2573000000000001E-2</v>
    <v>USD</v>
    <v>The Pennant Group, Inc. is a holding company of independent operating subsidiaries that provide healthcare services through home health and hospice agencies and senior living communities located throughout Arizona, California, Colorado, Connecticut, Idaho, Montana, Nevada, Oklahoma, Oregon, Texas, Utah, Washington, Wisconsin, Wyoming, Tennessee, Georgia and Alabama. Each of these businesses is operated by a separate, independent operating subsidiary. Its segments include home health and hospice services, and senior living services. Its home health and hospice services segment includes its home health, hospice and home care businesses. Its home health services provide care after surgery or when illness or health conditions require additional assistance. Its senior living services segment includes the operation of assisted living, independent living and memory care communities. Its independent living communities are designed for active individuals or couples.</v>
    <v>9700</v>
    <v>Nasdaq Stock Market</v>
    <v>XNAS</v>
    <v>XNAS</v>
    <v>1675 E. RIVERSIDE DRIVE, EAGLE, ID, 83616 US</v>
    <v>31.46</v>
    <v>Healthcare Providers &amp; Services</v>
    <v>Stock</v>
    <v>46106.612584976559</v>
    <v>1005</v>
    <v>30.59</v>
    <v>1061731365</v>
    <v>THE PENNANT GROUP, INC.</v>
    <v>THE PENNANT GROUP, INC.</v>
    <v>31.41</v>
    <v>40.4998</v>
    <v>31.02</v>
    <v>30.63</v>
    <v>34663120</v>
    <v>PNTG</v>
    <v>THE PENNANT GROUP, INC. (XNAS:PNTG)</v>
    <v>47132</v>
    <v>301294</v>
    <v>2019</v>
  </rv>
  <rv s="2">
    <v>1006</v>
  </rv>
  <rv s="0">
    <v>https://www.bing.com/financeapi/forcetrigger?t=a21uim&amp;q=XNAS%3aREGN&amp;form=skydnc</v>
    <v>Learn more on Bing</v>
  </rv>
  <rv s="1">
    <v>0</v>
    <v>REGENERON PHARMACEUTICALS, INC. (XNAS:REGN)</v>
    <v>2</v>
    <v>3</v>
    <v>Finance</v>
    <v>4</v>
    <v>en-US</v>
    <v>a21uim</v>
    <v>268435456</v>
    <v>1</v>
    <v>Powered by Refinitiv</v>
    <v>821.11</v>
    <v>476.48689999999999</v>
    <v>0.41699999999999998</v>
    <v>11.43</v>
    <v>1.5410999999999999E-2</v>
    <v>USD</v>
    <v>Regeneron Pharmaceuticals, Inc. is a fully integrated biotechnology company. The Company invents, develops, manufactures, and commercializes medicines for people with serious diseases. Its products and product candidates in development are designed to help patients with eye diseases, allergic and inflammatory diseases, cancer, cardiovascular and metabolic diseases, neurological diseases, hematologic conditions, infectious diseases, and rare diseases. The Company is accelerating drug development using its proprietary technologies, such as VelociSuite, which produces optimized fully human antibodies and new classes of bispecific antibodies. VelociSuite consists of VelocImmune, VelociGene, VelociMouse, VelociMab, Veloci-Bi, VelociT, VelociHum, and other related technologies. Its marketed products include EYLEA (aflibercept); Dupixent (dupilumab); Libtayo (cemiplimab); Ordspono (odronextamab); Kevzara (sarilumab); Itepekimab; Linvoseltamab, and others.</v>
    <v>15410</v>
    <v>Nasdaq Stock Market</v>
    <v>XNAS</v>
    <v>XNAS</v>
    <v>777 Old Saw Mill River Road, TARRYTOWN, NY, 10591 US</v>
    <v>757.98</v>
    <v>Pharmaceuticals</v>
    <v>Stock</v>
    <v>46106.61277239531</v>
    <v>1008</v>
    <v>744.02</v>
    <v>79619695776</v>
    <v>REGENERON PHARMACEUTICALS, INC.</v>
    <v>REGENERON PHARMACEUTICALS, INC.</v>
    <v>744.67</v>
    <v>17.947199999999999</v>
    <v>741.69</v>
    <v>753.12</v>
    <v>105719800</v>
    <v>REGN</v>
    <v>REGENERON PHARMACEUTICALS, INC. (XNAS:REGN)</v>
    <v>81082</v>
    <v>626395</v>
    <v>1988</v>
  </rv>
  <rv s="2">
    <v>1009</v>
  </rv>
  <rv s="0">
    <v>https://www.bing.com/financeapi/forcetrigger?t=a25e1h&amp;q=XNAS%3aVKTX&amp;form=skydnc</v>
    <v>Learn more on Bing</v>
  </rv>
  <rv s="1">
    <v>0</v>
    <v>VIKING THERAPEUTICS, INC. (XNAS:VKTX)</v>
    <v>2</v>
    <v>3</v>
    <v>Finance</v>
    <v>4</v>
    <v>en-US</v>
    <v>a25e1h</v>
    <v>268435456</v>
    <v>1</v>
    <v>Powered by Refinitiv</v>
    <v>43.15</v>
    <v>18.920000000000002</v>
    <v>0.82940000000000003</v>
    <v>1.48</v>
    <v>4.6005999999999998E-2</v>
    <v>USD</v>
    <v>Viking Therapeutics, Inc. is a clinical-stage biopharmaceutical company that is focused on the development of therapies for the treatment of metabolic and endocrine disorders. Its clinical programs include VK2735, a novel dual agonist of the glucagon-like peptide 1 and glucose-dependent insulinotropic polypeptide receptors for the potential treatment of various metabolic disorders. It is evaluating an oral formulation of VK2735 in a Phase II trial. It is also developing VK2809, a novel, orally available, small molecule selective thyroid hormone receptor beta agonist for the treatment of lipid and metabolic disorders. Its newest program is evaluating a series of internally developed dual amylin and calcitonin receptor agonists for the treatment of obesity and other metabolic disorders. In the rare disease space, it is developing VK0214, a novel, orally available, small molecule selective thyroid hormone receptor beta agonist for the potential treatment of X-linked adrenoleukodystrophy.</v>
    <v>53</v>
    <v>Nasdaq Stock Market</v>
    <v>XNAS</v>
    <v>XNAS</v>
    <v>9920 Pacific Heights Blvd, Suite 350, SAN DIEGO, CA, 92121 US</v>
    <v>33.700000000000003</v>
    <v>Biotechnology &amp; Medical Research</v>
    <v>Stock</v>
    <v>46106.612691296097</v>
    <v>1011</v>
    <v>32.479999999999997</v>
    <v>3888402195</v>
    <v>VIKING THERAPEUTICS, INC.</v>
    <v>VIKING THERAPEUTICS, INC.</v>
    <v>32.479999999999997</v>
    <v>0</v>
    <v>32.17</v>
    <v>33.65</v>
    <v>115554300</v>
    <v>VKTX</v>
    <v>VIKING THERAPEUTICS, INC. (XNAS:VKTX)</v>
    <v>496824</v>
    <v>2471329</v>
    <v>2012</v>
  </rv>
  <rv s="2">
    <v>1012</v>
  </rv>
  <rv s="0">
    <v>https://www.bing.com/financeapi/forcetrigger?t=a1vh4c&amp;q=XNAS%3aILMN&amp;form=skydnc</v>
    <v>Learn more on Bing</v>
  </rv>
  <rv s="1">
    <v>0</v>
    <v>ILLUMINA, INC. (XNAS:ILMN)</v>
    <v>2</v>
    <v>3</v>
    <v>Finance</v>
    <v>4</v>
    <v>en-US</v>
    <v>a1vh4c</v>
    <v>268435456</v>
    <v>1</v>
    <v>Powered by Refinitiv</v>
    <v>155.529</v>
    <v>68.7</v>
    <v>1.4927999999999999</v>
    <v>-0.4</v>
    <v>-3.1749999999999999E-3</v>
    <v>USD</v>
    <v>Illumina, Inc. specializes in DNA sequencing and array-based technologies, serving customers in research, clinical and applied markets. The Company's products are used for applications in the life sciences, oncology, reproductive health, agriculture, and other emerging segments. Its customers include genomic research centers, academic institutions, government laboratories, and hospitals, as well as pharmaceutical, biotechnology, commercial molecular diagnostic laboratories, and consumer genomics companies. Its comprehensive line of products addresses the scale of experimentation and breadth of functional analysis to advance disease research, drug development, and the development of molecular tests. It also specializes in data-driven proteomics technology. Its products include instruments, kits and reagents, selection tools, and software and analysis. Its services include sequencing services, microarray services, proactive instrument monitoring, and instrument services and training.</v>
    <v>8600</v>
    <v>Nasdaq Stock Market</v>
    <v>XNAS</v>
    <v>XNAS</v>
    <v>5200 Illumina Way, SAN DIEGO, CA, 92122 US</v>
    <v>128.74</v>
    <v>Healthcare Equipment &amp; Supplies</v>
    <v>Stock</v>
    <v>46106.612757152347</v>
    <v>1014</v>
    <v>124.77</v>
    <v>19201182000</v>
    <v>ILLUMINA, INC.</v>
    <v>ILLUMINA, INC.</v>
    <v>126.21</v>
    <v>22.9253</v>
    <v>125.98</v>
    <v>125.58</v>
    <v>152900000</v>
    <v>ILMN</v>
    <v>ILLUMINA, INC. (XNAS:ILMN)</v>
    <v>252750</v>
    <v>1913396</v>
    <v>2000</v>
  </rv>
  <rv s="2">
    <v>1015</v>
  </rv>
  <rv s="0">
    <v>https://www.bing.com/financeapi/forcetrigger?t=a21kh7&amp;q=XNAS%3aQDEL&amp;form=skydnc</v>
    <v>Learn more on Bing</v>
  </rv>
  <rv s="1">
    <v>0</v>
    <v>QUIDELORTHO CORPORATION (XNAS:QDEL)</v>
    <v>2</v>
    <v>3</v>
    <v>Finance</v>
    <v>4</v>
    <v>en-US</v>
    <v>a21kh7</v>
    <v>268435456</v>
    <v>1</v>
    <v>Powered by Refinitiv</v>
    <v>38.99</v>
    <v>15.08</v>
    <v>0.91420000000000001</v>
    <v>-0.11</v>
    <v>-6.803E-3</v>
    <v>USD</v>
    <v>QuidelOrtho Corporation provides in vitro diagnostics, developing and manufacturing intelligent solutions. The Company specializes in immunoassay and molecular testing, clinical chemistry and transfusion medicine. Its business units include labs, molecular diagnostics, point of care and transfusion medicine. Under the labs business unit, its product categories include virology &amp; bioassays, specialty products, VITROS platform and immunodiagnostics. Under the molecular diagnostics business unit, its product categories include Lyra, Solana and Savanna. Under the point of care business unit, its product categories include rapid immunoassay and cardiometabolic immunoassay. Under the transfusion medicine business unit, its product categories include immunohematology and donor screening. It provides diagnostic testing solutions under various brand names, including AdenoPlus, BIOVUE, FreshCells, InflammaDry, Lyra, MeterPro, MicroVue, Ortho, Ortho Clinical Diagnostics and Ortho Optix.</v>
    <v>6500</v>
    <v>Nasdaq Stock Market</v>
    <v>XNAS</v>
    <v>XNAS</v>
    <v>9975 Summers Ridge Road, SAN DIEGO, CA, 92121 US</v>
    <v>16.697500000000002</v>
    <v>Healthcare Equipment &amp; Supplies</v>
    <v>Stock</v>
    <v>46106.612786157035</v>
    <v>1017</v>
    <v>15.7</v>
    <v>1093393226</v>
    <v>QUIDELORTHO CORPORATION</v>
    <v>QUIDELORTHO CORPORATION</v>
    <v>16.559999999999999</v>
    <v>0</v>
    <v>16.170000000000002</v>
    <v>16.059999999999999</v>
    <v>68081770</v>
    <v>QDEL</v>
    <v>QUIDELORTHO CORPORATION (XNAS:QDEL)</v>
    <v>292535</v>
    <v>1509688</v>
    <v>2021</v>
  </rv>
  <rv s="2">
    <v>1018</v>
  </rv>
  <rv s="0">
    <v>https://www.bing.com/financeapi/forcetrigger?t=bwz1k2&amp;q=XNAS%3aROIV&amp;form=skydnc</v>
    <v>Learn more on Bing</v>
  </rv>
  <rv s="1">
    <v>0</v>
    <v>ROIVANT SCIENCES LTD. (XNAS:ROIV)</v>
    <v>2</v>
    <v>3</v>
    <v>Finance</v>
    <v>4</v>
    <v>en-US</v>
    <v>bwz1k2</v>
    <v>268435456</v>
    <v>1</v>
    <v>Powered by Refinitiv</v>
    <v>30.33</v>
    <v>8.73</v>
    <v>1.2233000000000001</v>
    <v>1.01</v>
    <v>3.7587999999999996E-2</v>
    <v>USD</v>
    <v>Roivant Sciences Ltd. is a biopharmaceutical company focused on improving the lives of patients by accelerating the development and commercialization of medicines that matter. The Company’s pipeline includes brepocitinib, a potent small molecule inhibitor of TYK2 and JAK1 in development for the treatment of dermatomyositis, non-infectious uveitis and cutaneous sarcoidosis; IMVT-1402 and batoclimab, fully human monoclonal antibodies targeting FcRn in development across several IgG-mediated autoimmune indications; and mosliciguat, an inhaled sGC activator in development for pulmonary hypertension associated with interstitial lung disease. It also incubates discovery-stage companies and health technology startups complementary to its biopharmaceutical business.</v>
    <v>750</v>
    <v>Nasdaq Stock Market</v>
    <v>XNAS</v>
    <v>XNAS</v>
    <v>7Th Floor, 50 Broadway, LONDON, SW1H 0DB GB</v>
    <v>27.965</v>
    <v>Pharmaceuticals</v>
    <v>Stock</v>
    <v>46106.612730589841</v>
    <v>1020</v>
    <v>27.105</v>
    <v>19953746668</v>
    <v>ROIVANT SCIENCES LTD.</v>
    <v>ROIVANT SCIENCES LTD.</v>
    <v>27.25</v>
    <v>0</v>
    <v>26.87</v>
    <v>27.88</v>
    <v>715701100</v>
    <v>ROIV</v>
    <v>ROIVANT SCIENCES LTD. (XNAS:ROIV)</v>
    <v>523776</v>
    <v>6105374</v>
    <v>2014</v>
  </rv>
  <rv s="2">
    <v>1021</v>
  </rv>
  <rv s="0">
    <v>https://www.bing.com/financeapi/forcetrigger?t=a1otxm&amp;q=XNAS%3aBRKR&amp;form=skydnc</v>
    <v>Learn more on Bing</v>
  </rv>
  <rv s="1">
    <v>0</v>
    <v>BRUKER CORPORATION (XNAS:BRKR)</v>
    <v>2</v>
    <v>3</v>
    <v>Finance</v>
    <v>4</v>
    <v>en-US</v>
    <v>a1otxm</v>
    <v>268435456</v>
    <v>1</v>
    <v>Powered by Refinitiv</v>
    <v>56.22</v>
    <v>28.53</v>
    <v>1.2060999999999999</v>
    <v>0.4</v>
    <v>1.1169999999999999E-2</v>
    <v>USD</v>
    <v>Bruker Corporation is a developer, manufacturer and distributor of high-performance scientific instruments and analytical and diagnostic solutions. The Company's segments include Bruker Scientific Instruments (BSI) BioSpin, BSI CALID, BSI NANO, and Bruker Energy &amp; Supercon Technologies (BEST). Its BSI segment designs, manufactures and distributes life science tools based on magnetic resonance technology and offers automated laboratory research and development solutions in chemical research fields. Its BSI CALID segment designs, manufactures and distributes life science mass spectrometry, applied spectrometry and ion mobility spectrometry solutions, analytical and process analysis instruments and solutions based on infrared and Raman molecular spectroscopy technologies. BSI NANO designs, manufactures and distributes advanced x-ray instruments, atomic force microscopy instrumentation, fluorescence optical microscopy instruments, analytical tools for electron microscopes and others.</v>
    <v>11085</v>
    <v>Nasdaq Stock Market</v>
    <v>XNAS</v>
    <v>XNAS</v>
    <v>40 MANNING RD, BILLERICA, MA, 01821-3915 US</v>
    <v>37</v>
    <v>Healthcare Equipment &amp; Supplies</v>
    <v>Stock</v>
    <v>46106.612721272657</v>
    <v>1023</v>
    <v>35.5</v>
    <v>5511860853</v>
    <v>BRUKER CORPORATION</v>
    <v>BRUKER CORPORATION</v>
    <v>36.18</v>
    <v>0</v>
    <v>35.81</v>
    <v>36.21</v>
    <v>152219300</v>
    <v>BRKR</v>
    <v>BRUKER CORPORATION (XNAS:BRKR)</v>
    <v>574767</v>
    <v>2201756</v>
    <v>2000</v>
  </rv>
  <rv s="2">
    <v>1024</v>
  </rv>
  <rv s="0">
    <v>https://www.bing.com/financeapi/forcetrigger?t=a2h1jc&amp;q=OTCM%3aFNMA&amp;form=skydnc</v>
    <v>Learn more on Bing</v>
  </rv>
  <rv s="1">
    <v>0</v>
    <v>FEDERAL NATIONAL MORTGAGE ASSOCIATION (OTCM:FNMA)</v>
    <v>2</v>
    <v>3</v>
    <v>Finance</v>
    <v>43</v>
    <v>en-US</v>
    <v>a2h1jc</v>
    <v>268435456</v>
    <v>1</v>
    <v>Powered by Refinitiv</v>
    <v>15.99</v>
    <v>3.6</v>
    <v>1.8619000000000001</v>
    <v>-1.4999999999999999E-2</v>
    <v>-2.7269999999999998E-3</v>
    <v>USD</v>
    <v>Federal National Mortgage Association is engaged in providing a source of financing for residential mortgages in the United States. It is a government-sponsored, stockholder-owned corporation, chartered by Congress to provide liquidity and stability to the United States housing market and to promote access to mortgage credit. Its segments include Single-Family and Multifamily. The Single-Family business operates in the secondary mortgage market relating to loans secured by properties containing four or fewer residential dwelling units. The Multifamily business operates in the secondary mortgage market relating to loans secured by properties containing five or more residential units. Its categories of mortgage securitization transactions include lender swap transactions, portfolio securitization transactions, and structured securitization transactions. It funds its business through the issuance of short and long-term debt securities in the domestic and international capital markets.</v>
    <v>7000</v>
    <v>OTC Markets</v>
    <v>OTCM</v>
    <v>OTCM</v>
    <v>Midtown Center, 1100 15Th St, Nw, WASHINGTON, DC, 20005 US</v>
    <v>5.5</v>
    <v>Banking Services</v>
    <v>Stock</v>
    <v>46106.602327649998</v>
    <v>1026</v>
    <v>5.33</v>
    <v>6352112680</v>
    <v>FEDERAL NATIONAL MORTGAGE ASSOCIATION</v>
    <v>FEDERAL NATIONAL MORTGAGE ASSOCIATION</v>
    <v>5.46</v>
    <v>10754.902</v>
    <v>5.5</v>
    <v>5.4850000000000003</v>
    <v>1158088000</v>
    <v>FNMA</v>
    <v>FEDERAL NATIONAL MORTGAGE ASSOCIATION (OTCM:FNMA)</v>
    <v>861440</v>
    <v>10757690</v>
    <v>1938</v>
  </rv>
  <rv s="2">
    <v>1027</v>
  </rv>
  <rv s="0">
    <v>https://www.bing.com/financeapi/forcetrigger?t=bumqbh&amp;q=XNYS%3aFOUR&amp;form=skydnc</v>
    <v>Learn more on Bing</v>
  </rv>
  <rv s="1">
    <v>0</v>
    <v>SHIFT4 PAYMENTS, INC (XNYS:FOUR)</v>
    <v>2</v>
    <v>3</v>
    <v>Finance</v>
    <v>4</v>
    <v>en-US</v>
    <v>bumqbh</v>
    <v>268435456</v>
    <v>1</v>
    <v>Powered by Refinitiv</v>
    <v>108.5</v>
    <v>40.6</v>
    <v>1.5024999999999999</v>
    <v>0.72</v>
    <v>1.3713999999999999E-2</v>
    <v>USD</v>
    <v>Shift4 Payments, Inc. is engaged in commerce-enabling technology. The Company is an independent provider of software and payment processing solutions in the United States based on the total volume of payments processed. Its payments platform provides omni-channel card acceptance and processing solutions across multiple payment types, including credit, debit, contactless card, Europay, MasterCard and Visa (EMV), QR Pay, and mobile wallets, as well as alternative payment methods, such as Apple Pay, Google Pay, Alipay and WeChat Pay. Through its proprietary gateway, its payments platform is integrated with over 550 software suites. It enables connectivity with the payment processors, alternative payment rails and many different payment devices. Its suite of technology solutions includes SkyTab POS, SkyTab Mobile, SkyTab Venue, Lighthouse, The Giving Block, Shift4Shop and Marketplace. Its SkyTab POS offering helps its merchants scale their business and improve operational efficiency.</v>
    <v>6300</v>
    <v>New York Stock Exchange</v>
    <v>XNYS</v>
    <v>XNYS</v>
    <v>3501 Corporate Parkway, CENTER VALLEY, PA, 18034 US</v>
    <v>54.55</v>
    <v>Professional &amp; Commercial Services</v>
    <v>Stock</v>
    <v>46106.612737267969</v>
    <v>1029</v>
    <v>52.854999999999997</v>
    <v>4323556610</v>
    <v>SHIFT4 PAYMENTS, INC</v>
    <v>SHIFT4 PAYMENTS, INC</v>
    <v>52.99</v>
    <v>50.3596</v>
    <v>52.5</v>
    <v>53.22</v>
    <v>81239320</v>
    <v>FOUR</v>
    <v>SHIFT4 PAYMENTS, INC (XNYS:FOUR)</v>
    <v>586178</v>
    <v>3020034</v>
    <v>2019</v>
  </rv>
  <rv s="2">
    <v>1030</v>
  </rv>
  <rv s="0">
    <v>https://www.bing.com/financeapi/forcetrigger?t=a24w52&amp;q=XNAS%3aULH&amp;form=skydnc</v>
    <v>Learn more on Bing</v>
  </rv>
  <rv s="1">
    <v>0</v>
    <v>UNIVERSAL LOGISTICS HOLDINGS, INC. (XNAS:ULH)</v>
    <v>2</v>
    <v>3</v>
    <v>Finance</v>
    <v>4</v>
    <v>en-US</v>
    <v>a24w52</v>
    <v>268435456</v>
    <v>1</v>
    <v>Powered by Refinitiv</v>
    <v>30.76</v>
    <v>12.7803</v>
    <v>0.77249999999999996</v>
    <v>1.56</v>
    <v>7.9631999999999994E-2</v>
    <v>USD</v>
    <v>Universal Logistics Holdings, Inc. is a holding company whose subsidiaries provide customized transportation and logistics solutions throughout the United States and in Mexico, Canada and Colombia. Its segments include Contract Logistics, Intermodal, and Trucking. The Contract logistics segment offers value-added transportation services to support in-bound logistics to industrial customers and retailers on a contractual basis. These services are tailored to individual customer requirements and include material handling, consolidation, sequencing, sub-assembly, cross-dock services, kitting, repacking, and rail lift services. Intermodal segment provides local and regional drayage moves coordinated by Company-managed terminals using a mix of owner-operators, company equipment, and third-party capacity providers (broker carriers). These services include steamship-truck, rail-truck, and support services. Trucking segment includes dry van, flatbed, heavy-haul and refrigerated operations.</v>
    <v>10525</v>
    <v>Nasdaq Stock Market</v>
    <v>XNAS</v>
    <v>XNAS</v>
    <v>12755 E 9 Mile Rd, WARREN, MI, 48089-2621 US</v>
    <v>21.15</v>
    <v>Freight &amp; Logistics Services</v>
    <v>Stock</v>
    <v>46106.610621620312</v>
    <v>1032</v>
    <v>19.97</v>
    <v>557303769</v>
    <v>UNIVERSAL LOGISTICS HOLDINGS, INC.</v>
    <v>UNIVERSAL LOGISTICS HOLDINGS, INC.</v>
    <v>19.97</v>
    <v>0</v>
    <v>19.59</v>
    <v>21.15</v>
    <v>26350060</v>
    <v>ULH</v>
    <v>UNIVERSAL LOGISTICS HOLDINGS, INC. (XNAS:ULH)</v>
    <v>15017</v>
    <v>54196</v>
    <v>2025</v>
  </rv>
  <rv s="2">
    <v>1033</v>
  </rv>
  <rv s="0">
    <v>https://www.bing.com/financeapi/forcetrigger?t=a2u2jc&amp;q=OTCM%3aRHHBY&amp;form=skydnc</v>
    <v>Learn more on Bing</v>
  </rv>
  <rv s="1">
    <v>0</v>
    <v>Roche Holding Ltd (OTCM:RHHBY)</v>
    <v>2</v>
    <v>3</v>
    <v>Finance</v>
    <v>43</v>
    <v>en-US</v>
    <v>a2u2jc</v>
    <v>268435456</v>
    <v>1</v>
    <v>Powered by Refinitiv</v>
    <v>60.85</v>
    <v>34.75</v>
    <v>0.52610000000000001</v>
    <v>1.07</v>
    <v>2.2277999999999999E-2</v>
    <v>USD</v>
    <v>Roche Holding AG (Roche) is a research-based healthcare company. The Company's operating businesses are organized into two divisions: Pharmaceuticals and Diagnostics. The Pharmaceuticals Division consists of two business segments: Roche Pharmaceuticals and Chugai. The Diagnostics Division consists of four business areas: Diabetes Care, Molecular Diagnostics, Professional Diagnostics and Tissue Diagnostics. The Company develops medicines for various disease areas, including oncology, immunology, infectious diseases, ophthalmology and neuroscience. Its pharmaceutical products include Anaprox, Avastin, Bactrim, Bondronat, CellCept, Cotellic, Dilatrend, Dormicum, Invirase, Kadcyla, Kytril (Kevatril), Lariam, MabThera, Madopar, Neupogen, Pegasys, Perjeta, Pulmozyme, Rocaltrol, Rocephin and Roferon-A. The Company offers products for researchers, including cell analysis, gene expression, genome sequencing and nucleic acid purification.</v>
    <v>112774</v>
    <v>OTC Markets</v>
    <v>OTCM</v>
    <v>OTCM</v>
    <v>Grenzacherstr. 124, BASEL, BASEL-STADT, 4058 CH</v>
    <v>49.16</v>
    <v>Pharmaceuticals</v>
    <v>Stock</v>
    <v>46106.602257661718</v>
    <v>1035</v>
    <v>48.82</v>
    <v>317874873000</v>
    <v>Roche Holding Ltd</v>
    <v>Roche Holding Ltd</v>
    <v>48.94</v>
    <v>34.528399999999998</v>
    <v>48.03</v>
    <v>49.1</v>
    <v>6474030000</v>
    <v>RHHBY</v>
    <v>Roche Holding Ltd (OTCM:RHHBY)</v>
    <v>93830</v>
    <v>3133450</v>
    <v>1966</v>
  </rv>
  <rv s="2">
    <v>1036</v>
  </rv>
  <rv s="0">
    <v>https://www.bing.com/financeapi/forcetrigger?t=c1cbdm&amp;q=XNAS%3aLVTX&amp;form=skydnc</v>
    <v>Learn more on Bing</v>
  </rv>
  <rv s="13">
    <v>20</v>
    <v>LAVA Therapeutics NV (XNAS:LVTX)</v>
    <v>2</v>
    <v>3</v>
    <v>Finance</v>
    <v>21</v>
    <v>en-US</v>
    <v>c1cbdm</v>
    <v>268435456</v>
    <v>1</v>
    <v>1</v>
    <v>Powered by Refinitiv</v>
    <v>2</v>
    <v>0.85019999999999996</v>
    <v>0.4461</v>
    <v>0</v>
    <v>0</v>
    <v>USD</v>
    <v>LAVA Therapeutics NV, formerly known as Lava Therapeutics BV, is a provider of biotechnology research and development services based in the Netherlands. The Company focuses of developing next generation Vdelta T cell engaging bispecific antibodies to fight cancer.</v>
    <v>34</v>
    <v>Nasdaq Stock Market</v>
    <v>XNAS</v>
    <v>XNAS</v>
    <v>Yalelaan 60, UTRECHT, UTRECHT, 3584 CM NL</v>
    <v>1.82</v>
    <v>Biotechnology &amp; Medical Research</v>
    <v>Stock</v>
    <v>45981.881992175782</v>
    <v>1038</v>
    <v>1.62</v>
    <v>45771222</v>
    <v>LAVA Therapeutics NV</v>
    <v>LAVA Therapeutics NV</v>
    <v>1.81</v>
    <v>0</v>
    <v>1.81</v>
    <v>1.74</v>
    <v>26305300</v>
    <v>LVTX</v>
    <v>LAVA Therapeutics NV (XNAS:LVTX)</v>
    <v>285521</v>
    <v>392590</v>
    <v>2016</v>
  </rv>
  <rv s="2">
    <v>1039</v>
  </rv>
  <rv s="0">
    <v>https://www.bing.com/financeapi/forcetrigger?t=a1siww&amp;q=XNAS%3aEXTR&amp;form=skydnc</v>
    <v>Learn more on Bing</v>
  </rv>
  <rv s="1">
    <v>0</v>
    <v>EXTREME NETWORKS, INC. (XNAS:EXTR)</v>
    <v>2</v>
    <v>3</v>
    <v>Finance</v>
    <v>4</v>
    <v>en-US</v>
    <v>a1siww</v>
    <v>268435456</v>
    <v>1</v>
    <v>Powered by Refinitiv</v>
    <v>22.89</v>
    <v>10.1</v>
    <v>1.6244000000000001</v>
    <v>0.28999999999999998</v>
    <v>1.9141999999999999E-2</v>
    <v>USD</v>
    <v>Extreme Networks, Inc. is a provider of cloud networking solutions and industry services and support. The Company designs, develops, and manufactures wired, wireless, and software-defined wide area-network (SD- WAN) infrastructure equipment, software and cloud-based network management solutions. Its cloud solution is a single platform that offers unified network management of wireless access points, switches, and SD-WAN. Its products and services categories include Cloud Networking Platform, Automation, Analytics, and Security Applications, Wireless LAN AP, Wired for Edge, Campus, and Data Center, SD-WAN, Cloud Native Platforms and Applications for Service Providers and Customer Service and Support. It provides service to various industries, including business, hospitality, retail, transportation and logistics, education, government, healthcare, and service providers. Its cloud networking technologies provide flexibility in deployment, management, and licensing of networks globally.</v>
    <v>2811</v>
    <v>Nasdaq Stock Market</v>
    <v>XNAS</v>
    <v>XNAS</v>
    <v>2121 Rdu Center Drive, Suite 300, MORRISVILLE, NC, 27560 US</v>
    <v>15.49</v>
    <v>Communications &amp; Networking</v>
    <v>Stock</v>
    <v>46106.612822314062</v>
    <v>1041</v>
    <v>15.27</v>
    <v>2073121080</v>
    <v>EXTREME NETWORKS, INC.</v>
    <v>EXTREME NETWORKS, INC.</v>
    <v>15.33</v>
    <v>231.48429999999999</v>
    <v>15.15</v>
    <v>15.44</v>
    <v>134269500</v>
    <v>EXTR</v>
    <v>EXTREME NETWORKS, INC. (XNAS:EXTR)</v>
    <v>107080</v>
    <v>1592843</v>
    <v>1999</v>
  </rv>
  <rv s="2">
    <v>1042</v>
  </rv>
  <rv s="0">
    <v>https://www.bing.com/financeapi/forcetrigger?t=a1r177&amp;q=XNYS%3aDGX&amp;form=skydnc</v>
    <v>Learn more on Bing</v>
  </rv>
  <rv s="1">
    <v>0</v>
    <v>QUEST DIAGNOSTICS INCORPORATED (XNYS:DGX)</v>
    <v>2</v>
    <v>3</v>
    <v>Finance</v>
    <v>4</v>
    <v>en-US</v>
    <v>a1r177</v>
    <v>268435456</v>
    <v>1</v>
    <v>Powered by Refinitiv</v>
    <v>213.5</v>
    <v>157.19999999999999</v>
    <v>0.65410000000000001</v>
    <v>-0.13500000000000001</v>
    <v>-6.8849999999999998E-4</v>
    <v>USD</v>
    <v>Quest Diagnostics Incorporated is a provider of diagnostic information services. The Company provides diagnostic insights from the results of its laboratory testing to enable people, physicians, and organizations to take action to improve health outcomes. It operates through the DIS segment, which provides diagnostic information services to a range of customers within its primary customer channels: physicians, hospitals, and patients and consumers. It offers broad access to clinical testing through a nationwide network of laboratories, patient service centers, phlebotomists in physician offices, and connectivity resources, including call centers and mobile phlebotomists, nurses and other health and wellness professionals. It also focuses on artificial intelligence (AI) and digital pathology solutions. The Company’s services primarily are provided under the Quest Diagnostics brand and under other brands, including AmeriPath, Dermpath Diagnostics, ExamOne, and Quanum.</v>
    <v>46000</v>
    <v>New York Stock Exchange</v>
    <v>XNYS</v>
    <v>XNYS</v>
    <v>500 Plaza Drive, SECAUCUS, NJ, 07094 US</v>
    <v>197.72</v>
    <v>Healthcare Providers &amp; Services</v>
    <v>Stock</v>
    <v>46106.612672592186</v>
    <v>1044</v>
    <v>194.3</v>
    <v>21527752153</v>
    <v>QUEST DIAGNOSTICS INCORPORATED</v>
    <v>QUEST DIAGNOSTICS INCORPORATED</v>
    <v>196.55</v>
    <v>22.3202</v>
    <v>196.08</v>
    <v>195.94499999999999</v>
    <v>109866300</v>
    <v>DGX</v>
    <v>QUEST DIAGNOSTICS INCORPORATED (XNYS:DGX)</v>
    <v>75516</v>
    <v>833116</v>
    <v>1996</v>
  </rv>
  <rv s="2">
    <v>1045</v>
  </rv>
  <rv s="0">
    <v>https://www.bing.com/financeapi/forcetrigger?t=a1xg3m&amp;q=XNYS%3aMDT&amp;form=skydnc</v>
    <v>Learn more on Bing</v>
  </rv>
  <rv s="1">
    <v>0</v>
    <v>MEDTRONIC PUBLIC LIMITED COMPANY (XNYS:MDT)</v>
    <v>2</v>
    <v>3</v>
    <v>Finance</v>
    <v>4</v>
    <v>en-US</v>
    <v>a1xg3m</v>
    <v>268435456</v>
    <v>1</v>
    <v>Powered by Refinitiv</v>
    <v>106.33</v>
    <v>79.55</v>
    <v>0.76370000000000005</v>
    <v>0.22</v>
    <v>2.5409999999999999E-3</v>
    <v>USD</v>
    <v>Medtronic Public Limited Company is an Ireland-based company, which provides healthcare technology solutions. The Company’s products category includes Advanced Surgical Technology; Cardiac Rhythm; Cardiovascular; Digestive &amp; Gastrointestinal; Ear, Nose &amp; Throat; General Surgery; Gynecological; Neurological; Oral &amp; Maxillofacial; Patient Monitoring; Renal Care; Respiratory; Spinal &amp; Orthopedic; Surgical Navigation &amp; Imaging; Urological; Product Manuals; Product Ordering &amp; Inquiries; and Product Performance &amp; Advisories. Its products include Cardiac Implantable Electronic Device (CIED) Stabilization, Aortic Stent Graft Products, CareLink Personal Therapy Management Software, CareLink Pro Therapy Management Software. Its services and solutions include Ambulatory Surgery Center Resources, Care Management Services, Digital Connectivity Information Technology (IT) Support, Equipment Services and Support, Innovation Lab, Medtronic Healthcare Consulting, and Office-Based Sinus Surgery.</v>
    <v>95000</v>
    <v>New York Stock Exchange</v>
    <v>XNYS</v>
    <v>XNYS</v>
    <v>Building Two Parkmore Business Park West, GALWAY, CONNACHT, H91 4K49 IE</v>
    <v>87.795000000000002</v>
    <v>Healthcare Equipment &amp; Supplies</v>
    <v>Stock</v>
    <v>46106.612747303123</v>
    <v>1047</v>
    <v>86.340100000000007</v>
    <v>111441218000</v>
    <v>MEDTRONIC PUBLIC LIMITED COMPANY</v>
    <v>MEDTRONIC PUBLIC LIMITED COMPANY</v>
    <v>87</v>
    <v>24.2377</v>
    <v>86.58</v>
    <v>86.8</v>
    <v>1283885000</v>
    <v>MDT</v>
    <v>MEDTRONIC PUBLIC LIMITED COMPANY (XNYS:MDT)</v>
    <v>1172095</v>
    <v>8095531</v>
    <v>2014</v>
  </rv>
  <rv s="2">
    <v>1048</v>
  </rv>
  <rv s="0">
    <v>https://www.bing.com/financeapi/forcetrigger?t=ab17k2&amp;q=XTSE%3aSIA&amp;form=skydnc</v>
    <v>Learn more on Bing</v>
  </rv>
  <rv s="1">
    <v>0</v>
    <v>SIENNA SENIOR LIVING INC. (XTSE:SIA)</v>
    <v>2</v>
    <v>46</v>
    <v>Finance</v>
    <v>47</v>
    <v>en-US</v>
    <v>ab17k2</v>
    <v>268435456</v>
    <v>1</v>
    <v>Powered by Refinitiv</v>
    <v>23.97</v>
    <v>15.35</v>
    <v>1.038</v>
    <v>-7.0000000000000007E-2</v>
    <v>-3.1879999999999999E-3</v>
    <v>CAD</v>
    <v>Sienna Senior Living Inc. is a seniors' living provider serving the continuum of independent living (IL), independent supportive living (ISL), assisted living (AL), memory care (MC) and long-term care (LTC) through the ownership and operation of seniors' living residences in the Provinces of British Columbia, Saskatchewan, and Ontario. The Company owns and operates a total of approximately 90 seniors' living residences: 44 retirement residences (RRs) (including the Company's joint venture interest in 12 residences in Ontario and Saskatchewan, and 70% joint venture interest in one residence in Ontario); 34 long-term care residences; and 12 seniors' living residences providing both private-pay IL and AL and funded LTC (including the Company's joint ownership in one residence in British Columbia). The Company also provides management services to 12 seniors' living residences in British Columbia, Alberta, and Ontario.</v>
    <v>15000</v>
    <v>Toronto Stock Exchange</v>
    <v>XTSE</v>
    <v>XTSE</v>
    <v>302 Town Centre Blvd., Suite 300, MARKHAM, ON, L3R 0E8 CA</v>
    <v>22.08</v>
    <v>Healthcare Providers &amp; Services</v>
    <v>Stock</v>
    <v>46106.601493055554</v>
    <v>1050</v>
    <v>21.85</v>
    <v>2253179291</v>
    <v>SIENNA SENIOR LIVING INC.</v>
    <v>SIENNA SENIOR LIVING INC.</v>
    <v>22.08</v>
    <v>44.71</v>
    <v>21.96</v>
    <v>21.89</v>
    <v>102931900</v>
    <v>SIA</v>
    <v>SIENNA SENIOR LIVING INC. (XTSE:SIA)</v>
    <v>41086</v>
    <v>469420</v>
    <v>2010</v>
  </rv>
  <rv s="2">
    <v>1051</v>
  </rv>
  <rv s="0">
    <v>https://www.bing.com/financeapi/forcetrigger?t=a1wh7w&amp;q=XNYS%3aKEYS&amp;form=skydnc</v>
    <v>Learn more on Bing</v>
  </rv>
  <rv s="1">
    <v>0</v>
    <v>KEYSIGHT TECHNOLOGIES, INC. (XNYS:KEYS)</v>
    <v>2</v>
    <v>3</v>
    <v>Finance</v>
    <v>4</v>
    <v>en-US</v>
    <v>a1wh7w</v>
    <v>268435456</v>
    <v>1</v>
    <v>Powered by Refinitiv</v>
    <v>317</v>
    <v>121.43</v>
    <v>1.1275999999999999</v>
    <v>1.7</v>
    <v>5.6940000000000003E-3</v>
    <v>USD</v>
    <v>Keysight Technologies, Inc. specializes in the computing, communications and electronics market. Its portfolio of hardware, software, and services enables its customers’ engineering workflows as they design, manufacture, deploy, and optimize their products and solutions. Its segments include Communications Solutions Group (CSG) and Electronic Industrial Solutions Group (EISG). CSG solutions consist of electronic design and test software, instrumentation, systems, and related services, serving customers across the global commercial communications and aerospace, defense, and government end markets. EISG solutions consist of electronic design, test and simulation software, optical design and photonics simulation tools, instrumentation, systems, and related services, serving customers across a diverse set of end markets focused on automotive and energy, semiconductor solutions, and general electronics. Its product categories include oscilloscopes, and digital multimeters, among others.</v>
    <v>16600</v>
    <v>New York Stock Exchange</v>
    <v>XNYS</v>
    <v>XNYS</v>
    <v>1400 Fountaingrove Pkwy, SANTA ROSA, CA, 95403 US</v>
    <v>301.74</v>
    <v>Electronic Equipment &amp; Parts</v>
    <v>Stock</v>
    <v>46106.612740867968</v>
    <v>1053</v>
    <v>296.52</v>
    <v>51498770699</v>
    <v>KEYSIGHT TECHNOLOGIES, INC.</v>
    <v>KEYSIGHT TECHNOLOGIES, INC.</v>
    <v>301.66000000000003</v>
    <v>52.954799999999999</v>
    <v>298.58</v>
    <v>300.27999999999997</v>
    <v>171502500</v>
    <v>KEYS</v>
    <v>KEYSIGHT TECHNOLOGIES, INC. (XNYS:KEYS)</v>
    <v>182049</v>
    <v>2029764</v>
    <v>2013</v>
  </rv>
  <rv s="2">
    <v>1054</v>
  </rv>
  <rv s="0">
    <v>https://www.bing.com/financeapi/forcetrigger?t=buwp52&amp;q=XNAS%3aOPEN&amp;form=skydnc</v>
    <v>Learn more on Bing</v>
  </rv>
  <rv s="1">
    <v>0</v>
    <v>OPENDOOR TECHNOLOGIES INC. (XNAS:OPEN)</v>
    <v>2</v>
    <v>3</v>
    <v>Finance</v>
    <v>4</v>
    <v>en-US</v>
    <v>buwp52</v>
    <v>268435456</v>
    <v>1</v>
    <v>Powered by Refinitiv</v>
    <v>10.87</v>
    <v>0.50839999999999996</v>
    <v>3.7263999999999999</v>
    <v>4.4999999999999998E-2</v>
    <v>8.6870000000000003E-3</v>
    <v>USD</v>
    <v>Opendoor Technologies Inc. is an e-commerce platform for residential real estate transactions. By leveraging software, data science, product design and operations, the Company is engaged in building a technology platform for residential real estate that offers buyers and sellers a digital, on-demand experience. Its product offerings include Sell to Opendoor, List with Opendoor and Opendoor Marketplace. Sell to Opendoor enables sellers to utilize its core product offering to sell their home directly to it, and it resells the home to a home buyer. By selling to Opendoor, homeowners can avoid the stress of open houses, home repair coordination, overlapping mortgages, and the uncertainty that can come with listing a home on the open market. Its capital-light marketplace offering connects home sellers with both institutional and retail buyers, facilitating transactions without Opendoor taking ownership of the home. Its listing product is available in nearly all Opendoor markets.</v>
    <v>1042</v>
    <v>Nasdaq Stock Market</v>
    <v>XNAS</v>
    <v>XNAS</v>
    <v>410 N. Scottsdale Road, Suite 1000, TEMPE, AZ, 85288 US</v>
    <v>5.47</v>
    <v>Real Estate Operations</v>
    <v>Stock</v>
    <v>46106.612763622659</v>
    <v>1056</v>
    <v>5.2</v>
    <v>5007250737</v>
    <v>OPENDOOR TECHNOLOGIES INC.</v>
    <v>OPENDOOR TECHNOLOGIES INC.</v>
    <v>5.34</v>
    <v>0</v>
    <v>5.18</v>
    <v>5.2249999999999996</v>
    <v>958325500</v>
    <v>OPEN</v>
    <v>OPENDOOR TECHNOLOGIES INC. (XNAS:OPEN)</v>
    <v>7892855</v>
    <v>47861004</v>
    <v>2020</v>
  </rv>
  <rv s="2">
    <v>1057</v>
  </rv>
  <rv s="3">
    <v>5</v>
    <v>GE VERNOVA INC. (XNYS:GEV)</v>
    <v>6</v>
    <v>3</v>
    <v>Finance</v>
    <v>4</v>
    <v>en-US</v>
    <v>ccmvww</v>
    <v>268435456</v>
    <v>1</v>
    <v>Powered by Refinitiv</v>
    <v>947.23620000000005</v>
    <v>252.25</v>
    <v>1.3839999999999999</v>
    <v>33.024999999999999</v>
    <v>3.6315E-2</v>
    <v>USD</v>
    <v>GE Vernova Inc. is a purpose-built global energy company that includes Power, Wind, and Electrification segments and is supported by its accelerator businesses. It designs, manufactures, delivers, and services technologies to create a sustainable electric power system, enabling electrification and decarbonization. Power segment includes the design, manufacture, and servicing of gas, nuclear, hydro, and steam technologies, providing a critical foundation of dispatchable, flexible, stable, and reliable power. Wind segment includes its wind generation technologies, inclusive of onshore and offshore wind turbines and blades. Electrification segment includes grid solutions, power conversion and storage, and electrification software technologies required for the transmission, distribution, conversion, storage, and orchestration of electricity from point of generation to point of consumption. Its accelerator business includes advanced research, consulting services and financial services.</v>
    <v>75000</v>
    <v>New York Stock Exchange</v>
    <v>XNYS</v>
    <v>XNYS</v>
    <v>58 Charles Street, CAMBRIDGE, MA, 02141 US</v>
    <v>947.23620000000005</v>
    <v>Electrical Utilities &amp; IPPs</v>
    <v>Stock</v>
    <v>46106.612734964845</v>
    <v>925.02009999999996</v>
    <v>254013940089</v>
    <v>GE VERNOVA INC.</v>
    <v>GE VERNOVA INC.</v>
    <v>928.98</v>
    <v>52.834200000000003</v>
    <v>909.41</v>
    <v>942.43499999999995</v>
    <v>269529400</v>
    <v>GEV</v>
    <v>GE VERNOVA INC. (XNYS:GEV)</v>
    <v>1229540</v>
    <v>2457648</v>
    <v>2023</v>
  </rv>
  <rv s="2">
    <v>1059</v>
  </rv>
  <rv s="0">
    <v>https://www.bing.com/financeapi/forcetrigger?t=a1os5r&amp;q=XNAS%3aBPOP&amp;form=skydnc</v>
    <v>Learn more on Bing</v>
  </rv>
  <rv s="1">
    <v>0</v>
    <v>Popular Inc (XNAS:BPOP)</v>
    <v>2</v>
    <v>3</v>
    <v>Finance</v>
    <v>4</v>
    <v>en-US</v>
    <v>a1os5r</v>
    <v>268435456</v>
    <v>1</v>
    <v>Powered by Refinitiv</v>
    <v>149.31</v>
    <v>78.23</v>
    <v>0.62039999999999995</v>
    <v>0.65</v>
    <v>4.8840000000000003E-3</v>
    <v>USD</v>
    <v>Popular, Inc. (Popular) is a financial holding company. The Company operates in two segments: Banco Popular de Puerto Rico (BPPR), which includes its Puerto Rico business, and Banco Popular North America (BPNA), which includes its the United States mainland business. The Company has operations in Puerto Rico, the United States and the Caribbean. The Company's BPPR segment provides retail, mortgage and commercial banking services through its banking subsidiary, Banco Popular de Puerto Rico, as well as auto and equipment leasing and financing, investment banking, broker-dealer and insurance services through specialized subsidiaries. The Company's BPNA segment consists of Popular North America, Inc. (PNA) functioning as the holding company for its operations in the United States. It also operates PNA's subsidiary, E-LOAN, Inc. The banking operations of BPNA in the United States mainland are based in New York, Florida and New Jersey, conducted under the name of Popular Community Bank.</v>
    <v>9427</v>
    <v>Nasdaq Stock Market</v>
    <v>XNAS</v>
    <v>XNAS</v>
    <v>209 Ave. Ponce de Leon, SAN JUAN, 00918 PR</v>
    <v>135.51</v>
    <v>Banking Services</v>
    <v>Stock</v>
    <v>46106.612737835159</v>
    <v>1061</v>
    <v>133.06</v>
    <v>8707049082</v>
    <v>Popular Inc</v>
    <v>Popular Inc</v>
    <v>134.31</v>
    <v>10.873200000000001</v>
    <v>133.09</v>
    <v>133.74</v>
    <v>65104300</v>
    <v>BPOP</v>
    <v>Popular Inc (XNAS:BPOP)</v>
    <v>57485</v>
    <v>572704</v>
    <v>1984</v>
  </rv>
  <rv s="2">
    <v>1062</v>
  </rv>
  <rv s="0">
    <v>https://www.bing.com/financeapi/forcetrigger?t=a1nm3m&amp;q=XNAS%3aAPOG&amp;form=skydnc</v>
    <v>Learn more on Bing</v>
  </rv>
  <rv s="1">
    <v>0</v>
    <v>APOGEE ENTERPRISES, INC. (XNAS:APOG)</v>
    <v>2</v>
    <v>3</v>
    <v>Finance</v>
    <v>4</v>
    <v>en-US</v>
    <v>a1nm3m</v>
    <v>268435456</v>
    <v>1</v>
    <v>Powered by Refinitiv</v>
    <v>49.99</v>
    <v>30.75</v>
    <v>1.1184000000000001</v>
    <v>-0.12</v>
    <v>-3.7009999999999999E-3</v>
    <v>USD</v>
    <v>Apogee Enterprises, Inc. is a provider of architectural products and services for enclosing buildings, and high-performance glass and acrylic products used for preservation, energy conservation, and enhanced viewing. Its segments include Architectural Metals, Architectural Services, Architectural Glass and Performance Surfaces. The Architectural Metals segment designs, engineers, fabricates and finishes aluminum window, curtainwall, storefront and entrance systems used primarily in non-residential construction. Architectural Services segment integrates technical services, project management, and field installation services to design, engineer, fabricate, and install architectural curtainwall and other facade-related systems primarily in non-residential construction. The Architectural Glass segment cuts, treats, coats and fabricates high-performance glass used in custom window and wall systems. The Performance Surfaces segment develops and manufactures high-performance coated materials.</v>
    <v>4500</v>
    <v>Nasdaq Stock Market</v>
    <v>XNAS</v>
    <v>XNAS</v>
    <v>SUITE 520, 4400 WEST 78TH STREET, MINNEAPOLIS, MN, 55435 US</v>
    <v>33.055</v>
    <v>Homebuilding &amp; Construction Supplies</v>
    <v>Stock</v>
    <v>46106.612774710156</v>
    <v>1064</v>
    <v>31.91</v>
    <v>694776875</v>
    <v>APOGEE ENTERPRISES, INC.</v>
    <v>APOGEE ENTERPRISES, INC.</v>
    <v>32.93</v>
    <v>17.458500000000001</v>
    <v>32.42</v>
    <v>32.299999999999997</v>
    <v>21510120</v>
    <v>APOG</v>
    <v>APOGEE ENTERPRISES, INC. (XNAS:APOG)</v>
    <v>61352</v>
    <v>267314</v>
    <v>1949</v>
  </rv>
  <rv s="2">
    <v>1065</v>
  </rv>
  <rv s="0">
    <v>https://www.bing.com/financeapi/forcetrigger?t=a1ot27&amp;q=XNYS%3aBRC&amp;form=skydnc</v>
    <v>Learn more on Bing</v>
  </rv>
  <rv s="1">
    <v>0</v>
    <v>BRADY CORPORATION (XNYS:BRC)</v>
    <v>2</v>
    <v>3</v>
    <v>Finance</v>
    <v>4</v>
    <v>en-US</v>
    <v>a1ot27</v>
    <v>268435456</v>
    <v>1</v>
    <v>Powered by Refinitiv</v>
    <v>99.284999999999997</v>
    <v>62.7</v>
    <v>0.63519999999999999</v>
    <v>-9.5000000000000001E-2</v>
    <v>-1.1360000000000001E-3</v>
    <v>USD</v>
    <v>Brady Corporation is a manufacturer and supplier of identification solutions and workplace safety products that identify and protect premises, products and people. Its product categories include Safety and facility identification and protection, which include safety signs, traffic signs and control products, floor-marking tape, pipe markers, labeling systems, spill control products, lockout/tagout devices, first aid products, and software and services for safety compliance auditing, procedures writing and training; Wire identification, which includes handheld printers, wire markers, sleeves, and tags. Healthcare identification, which includes wristbands, labels, printing systems, and other products used in hospital, laboratory, and other healthcare settings; People identification, which includes name tags, badges, lanyards, rigid card printing systems, and access control software; and Product identification. It also provides direct part marking solutions.</v>
    <v>6400</v>
    <v>New York Stock Exchange</v>
    <v>XNYS</v>
    <v>XNYS</v>
    <v>6555 W Good Hope Rd, P O Box 571, MILWAUKEE, WI, 53201-0571 US</v>
    <v>84.64</v>
    <v>Professional &amp; Commercial Services</v>
    <v>Stock</v>
    <v>46106.612544478907</v>
    <v>1067</v>
    <v>82.55</v>
    <v>3946138882</v>
    <v>BRADY CORPORATION</v>
    <v>BRADY CORPORATION</v>
    <v>84.64</v>
    <v>19.6494</v>
    <v>83.65</v>
    <v>83.555000000000007</v>
    <v>47228040</v>
    <v>BRC</v>
    <v>BRADY CORPORATION (XNYS:BRC)</v>
    <v>25441</v>
    <v>256746</v>
    <v>1939</v>
  </rv>
  <rv s="2">
    <v>1068</v>
  </rv>
  <rv s="0">
    <v>https://www.bing.com/financeapi/forcetrigger?t=a25y77&amp;q=XNYS%3aWMS&amp;form=skydnc</v>
    <v>Learn more on Bing</v>
  </rv>
  <rv s="1">
    <v>0</v>
    <v>ADVANCED DRAINAGE SYSTEMS, INC. (XNYS:WMS)</v>
    <v>2</v>
    <v>3</v>
    <v>Finance</v>
    <v>4</v>
    <v>en-US</v>
    <v>a25y77</v>
    <v>268435456</v>
    <v>1</v>
    <v>Powered by Refinitiv</v>
    <v>179.315</v>
    <v>93.915000000000006</v>
    <v>1.3751</v>
    <v>-0.02</v>
    <v>-1.4640000000000001E-4</v>
    <v>USD</v>
    <v>Advanced Drainage Systems, Inc. is a manufacturer of stormwater and onsite wastewater solutions. The Company and its subsidiary, Infiltrator Water Technologies, LLC, provide stormwater drainage and onsite wastewater products used in a wide variety of markets and applications, including commercial, residential, infrastructure and agriculture, while delivering customer service. Its pipe segment manufactures and markets thermoplastic corrugated pipe throughout the United States. Its infiltrator segment is a provider of plastic leachfield chambers and systems, septic tanks and accessories, primarily for use in residential applications. Its international segment manufactures and markets products in regions outside the United States, with a strategy focused on its owned facilities in Canada and those markets serviced through its joint ventures in Mexico and South America. Its other segments manufacture a range of allied products and other that are complementary to their pipe products.</v>
    <v>6000</v>
    <v>New York Stock Exchange</v>
    <v>XNYS</v>
    <v>XNYS</v>
    <v>4024 Green Stripe Lane, HILLIARD, OH, 43026 US</v>
    <v>139.5</v>
    <v>Homebuilding &amp; Construction Supplies</v>
    <v>Stock</v>
    <v>46106.612635693753</v>
    <v>1070</v>
    <v>135.29</v>
    <v>10636641449</v>
    <v>ADVANCED DRAINAGE SYSTEMS, INC.</v>
    <v>ADVANCED DRAINAGE SYSTEMS, INC.</v>
    <v>139.09</v>
    <v>22.709499999999998</v>
    <v>136.57</v>
    <v>136.55000000000001</v>
    <v>77895580</v>
    <v>WMS</v>
    <v>ADVANCED DRAINAGE SYSTEMS, INC. (XNYS:WMS)</v>
    <v>97505</v>
    <v>865041</v>
    <v>1966</v>
  </rv>
  <rv s="2">
    <v>1071</v>
  </rv>
  <rv s="0">
    <v>https://www.bing.com/financeapi/forcetrigger?t=a1x2jc&amp;q=XNAS%3aLOPE&amp;form=skydnc</v>
    <v>Learn more on Bing</v>
  </rv>
  <rv s="1">
    <v>0</v>
    <v>GRAND CANYON EDUCATION, INC. (XNAS:LOPE)</v>
    <v>2</v>
    <v>3</v>
    <v>Finance</v>
    <v>4</v>
    <v>en-US</v>
    <v>a1x2jc</v>
    <v>268435456</v>
    <v>1</v>
    <v>Powered by Refinitiv</v>
    <v>223.04</v>
    <v>149.36500000000001</v>
    <v>0.6825</v>
    <v>-0.54500000000000004</v>
    <v>-3.2450000000000001E-3</v>
    <v>USD</v>
    <v>Grand Canyon Education, Inc. is an education services company, which primarily serves colleges and universities. The Company has developed technological solutions, infrastructure and operational processes to provide services to its institutions on a large scale. It provides technology and academic services, which include learning management systems, internal administration, infrastructure, support, program and curriculum, faculty and related training and development, class scheduling and skills and simulation lab sites. It provides counseling services and support, including admissions services, financial aid, counseling services, and field experience counseling. It also provides marketing and communication services that include lead acquisition, digital communication strategies, brand identity, media planning and strategy, video, business intelligence and data science, and market research. Its back-office services include finance and accounting, human resources, audit and procurement.</v>
    <v>5830</v>
    <v>Nasdaq Stock Market</v>
    <v>XNAS</v>
    <v>XNAS</v>
    <v>2600 W. Camelback Road, PHOENIX, AZ, 85017 US</v>
    <v>170.07</v>
    <v>Miscellaneous Educational Service Providers</v>
    <v>Stock</v>
    <v>46106.61271922422</v>
    <v>1073</v>
    <v>166.785</v>
    <v>4544492116</v>
    <v>GRAND CANYON EDUCATION, INC.</v>
    <v>GRAND CANYON EDUCATION, INC.</v>
    <v>168.07</v>
    <v>21.692499999999999</v>
    <v>167.97</v>
    <v>167.42500000000001</v>
    <v>27143450</v>
    <v>LOPE</v>
    <v>GRAND CANYON EDUCATION, INC. (XNAS:LOPE)</v>
    <v>46736</v>
    <v>326534</v>
    <v>2003</v>
  </rv>
  <rv s="2">
    <v>1074</v>
  </rv>
  <rv s="0">
    <v>https://www.bing.com/financeapi/forcetrigger?t=a1z78m&amp;q=XNYS%3aOLN&amp;form=skydnc</v>
    <v>Learn more on Bing</v>
  </rv>
  <rv s="10">
    <v>18</v>
    <v>Olin Corporation (XNYS:OLN)</v>
    <v>2</v>
    <v>8</v>
    <v>Finance</v>
    <v>4</v>
    <v>en-US</v>
    <v>a1z78m</v>
    <v>268435456</v>
    <v>1</v>
    <v>Powered by Refinitiv</v>
    <v>28.24</v>
    <v>17.66</v>
    <v>1.4195</v>
    <v>0.54</v>
    <v>1.9571999999999999E-2</v>
    <v>USD</v>
    <v>Olin Corporation is a vertically integrated global manufacturer and distributor of chemical products and a United States manufacturer of ammunition. It operates through three segments: Chlor Alkali Products and Vinyls, Epoxy and Winchester. The Chlor Alkali Products and Vinyls segment manufactures and sells chlorine and caustic soda, ethylene dichloride and vinyl chloride monomer, methyl chloride, methylene chloride, chloroform, carbon tetrachloride, perchloroethylene, hydrochloric acid, hydrogen, bleach products and potassium hydroxide. The Epoxy segment produces and sells a full range of epoxy materials and precursors, including aromatics (acetone and phenol), allyl chloride, epichlorohydrin, liquid epoxy resins, solid epoxy resins and formulated solutions products such as converted epoxy resins and additives. The Winchester segment produces and sells sporting ammunition, reloading components, small caliber military ammunition and components, industrial cartridges and clay targets.</v>
    <v>7849</v>
    <v>New York Stock Exchange</v>
    <v>XNYS</v>
    <v>XNYS</v>
    <v>190 CARONDELET PLAZA SUITE 1530, OLIN CORP, CLAYTON, MO, 63105 US</v>
    <v>28.24</v>
    <v>Chemicals</v>
    <v>Stock</v>
    <v>46106.612677522658</v>
    <v>1076</v>
    <v>27.55</v>
    <v>3202797410</v>
    <v>Olin Corporation</v>
    <v>Olin Corporation</v>
    <v>27.885000000000002</v>
    <v>27.59</v>
    <v>28.13</v>
    <v>113857000</v>
    <v>OLN</v>
    <v>Olin Corporation (XNYS:OLN)</v>
    <v>347799</v>
    <v>3083697</v>
    <v>1892</v>
  </rv>
  <rv s="2">
    <v>1077</v>
  </rv>
  <rv s="0">
    <v>https://www.bing.com/financeapi/forcetrigger?t=a1niw7&amp;q=XNAS%3aANGO&amp;form=skydnc</v>
    <v>Learn more on Bing</v>
  </rv>
  <rv s="1">
    <v>0</v>
    <v>ANGIODYNAMICS, INC. (XNAS:ANGO)</v>
    <v>2</v>
    <v>3</v>
    <v>Finance</v>
    <v>4</v>
    <v>en-US</v>
    <v>a1niw7</v>
    <v>268435456</v>
    <v>1</v>
    <v>Powered by Refinitiv</v>
    <v>13.99</v>
    <v>8.36</v>
    <v>0.46910000000000002</v>
    <v>0.39</v>
    <v>3.6688999999999999E-2</v>
    <v>USD</v>
    <v>AngioDynamics, Inc. is a transformative medical technology company. The Company is focused on restoring healthy blood flow in the body's vascular system, expanding cancer treatment options and improving quality of life for patients. It designs, manufactures, and sells a range of medical, surgical and diagnostic devices used by professional healthcare providers for vascular access, for the treatment of peripheral vascular disease and for use in oncology and surgical settings. Its devices are generally used in minimally invasive, image-guided procedures. Its segments include Med Tech and Med Device. The Med Tech segment is comprised of its technology portfolio including Auryon, the thrombus management platform and NanoKnife. The Med Device segment includes its Core, Venous, Ports and other Oncology products. Its product types are Ablation, Catheters, Medical Balloons, and Ports. The Catheter products include Angiographic Catheters, Uni-Fuse Infusion Catheter and Drainage Catheters.</v>
    <v>675</v>
    <v>Nasdaq Stock Market</v>
    <v>XNAS</v>
    <v>XNAS</v>
    <v>14 Plaza Drive, LATHAM, NY, 12110 US</v>
    <v>11.06</v>
    <v>Healthcare Equipment &amp; Supplies</v>
    <v>Stock</v>
    <v>46106.612579524997</v>
    <v>1079</v>
    <v>10.74</v>
    <v>454215637</v>
    <v>ANGIODYNAMICS, INC.</v>
    <v>ANGIODYNAMICS, INC.</v>
    <v>10.74</v>
    <v>0</v>
    <v>10.63</v>
    <v>11.02</v>
    <v>41217390</v>
    <v>ANGO</v>
    <v>ANGIODYNAMICS, INC. (XNAS:ANGO)</v>
    <v>49941</v>
    <v>326819</v>
    <v>1992</v>
  </rv>
  <rv s="2">
    <v>1080</v>
  </rv>
  <rv s="0">
    <v>https://www.bing.com/financeapi/forcetrigger?t=a239tc&amp;q=XNYS%3aSNV&amp;form=skydnc</v>
    <v>Learn more on Bing</v>
  </rv>
  <rv s="22">
    <v>44</v>
    <v>SYNOVUS FINANCIAL CORP. (XNYS:SNV)</v>
    <v>2</v>
    <v>37</v>
    <v>Finance</v>
    <v>31</v>
    <v>en-US</v>
    <v>a239tc</v>
    <v>268435456</v>
    <v>1</v>
    <v>1</v>
    <v>Powered by Refinitiv</v>
    <v>61.06</v>
    <v>35.94</v>
    <v>1.2232000000000001</v>
    <v>0</v>
    <v>0</v>
    <v>0.34</v>
    <v>6.7930000000000004E-3</v>
    <v>USD</v>
    <v>Synovus Financial Corp. is a financial service and bank holding company. The Company conducts its banking operations through Synovus Bank (the Bank). The Bank operates primarily throughout Alabama, Florida, Georgia, South Carolina, and Tennessee. The Company's segments include Wholesale Banking, Community Banking, Consumer Banking, Financial Management Services and Treasury and Corporate Other. Its commercial banking services include commercial, financial, and real estate lending, treasury management, asset management, capital markets services, and institutional trust services. Its consumer banking services include accepting customary types of demand and savings deposits accounts; mortgage, installment, and other consumer loans; investment and brokerage services; safe deposit services; automated banking services; automated fund transfers; Internet-based banking services, and bank credit and debit card services. It operates approximately 244 branches and 357 ATMs across its footprint.</v>
    <v>4923</v>
    <v>New York Stock Exchange</v>
    <v>XNYS</v>
    <v>XNYS</v>
    <v>33 W 14TH STREET, COLUMBUS, GA, 31901 US</v>
    <v>51.79</v>
    <v>Banking Services</v>
    <v>Stock</v>
    <v>46023.037228321096</v>
    <v>1082</v>
    <v>49.92</v>
    <v>6947806000</v>
    <v>SYNOVUS FINANCIAL CORP.</v>
    <v>SYNOVUS FINANCIAL CORP.</v>
    <v>51.43</v>
    <v>9.5757999999999992</v>
    <v>51.33</v>
    <v>50.03</v>
    <v>50.39</v>
    <v>138817300</v>
    <v>SNV</v>
    <v>SYNOVUS FINANCIAL CORP. (XNYS:SNV)</v>
    <v>9312824</v>
    <v>866179</v>
    <v>1972</v>
  </rv>
  <rv s="2">
    <v>1083</v>
  </rv>
  <rv s="0">
    <v>https://www.bing.com/financeapi/forcetrigger?t=a1z6qh&amp;q=XNAS%3aOKTA&amp;form=skydnc</v>
    <v>Learn more on Bing</v>
  </rv>
  <rv s="1">
    <v>0</v>
    <v>OKTA, INC. (XNAS:OKTA)</v>
    <v>2</v>
    <v>3</v>
    <v>Finance</v>
    <v>4</v>
    <v>en-US</v>
    <v>a1z6qh</v>
    <v>268435456</v>
    <v>1</v>
    <v>Powered by Refinitiv</v>
    <v>127.56699999999999</v>
    <v>68.77</v>
    <v>0.78120000000000001</v>
    <v>1.69</v>
    <v>2.2017000000000002E-2</v>
    <v>USD</v>
    <v>Okta, Inc. is an independent identity partner. The Company’s Okta Platform and Auth () Platform enable its customers to securely connect the right people to the right technologies and services at the right time. It offers independent and neutral cloud-based identity solutions that allow customers to integrate with nearly any application, service or cloud that they choose through its platforms. Organizations use the Company’s Identity Platform to collaborate with their partners, and to provide their customers with secure experiences in the cloud and via mobile devices. Developers leverage the Workforce Identity Cloud and Customer Identity Cloud, powered by Auth (), to securely and efficiently embed identity into the software they build, allowing them to innovate and focus on their core missions. Its Okta Platform enables its customers to automate and secure access across their ecosystem of employees, contractors and partners, increasing collaboration across their workforces.</v>
    <v>6366</v>
    <v>Nasdaq Stock Market</v>
    <v>XNAS</v>
    <v>XNAS</v>
    <v>100 First Street, SAN FRANCISCO, CA, 94105 US</v>
    <v>79.39</v>
    <v>Software &amp; IT Services</v>
    <v>Stock</v>
    <v>46106.612723390623</v>
    <v>1085</v>
    <v>77.709999999999994</v>
    <v>13876855755</v>
    <v>OKTA, INC.</v>
    <v>OKTA, INC.</v>
    <v>78.290000000000006</v>
    <v>73.786699999999996</v>
    <v>76.760000000000005</v>
    <v>78.45</v>
    <v>176887900</v>
    <v>OKTA</v>
    <v>OKTA, INC. (XNAS:OKTA)</v>
    <v>804631</v>
    <v>3940083</v>
    <v>2010</v>
  </rv>
  <rv s="2">
    <v>1086</v>
  </rv>
  <rv s="0">
    <v>https://www.bing.com/financeapi/forcetrigger?t=a1ojhw&amp;q=XNYS%3aBKD&amp;form=skydnc</v>
    <v>Learn more on Bing</v>
  </rv>
  <rv s="1">
    <v>0</v>
    <v>BROOKDALE SENIOR LIVING INC. (XNYS:BKD)</v>
    <v>2</v>
    <v>3</v>
    <v>Finance</v>
    <v>4</v>
    <v>en-US</v>
    <v>a1ojhw</v>
    <v>268435456</v>
    <v>1</v>
    <v>Powered by Refinitiv</v>
    <v>17.09</v>
    <v>4.97</v>
    <v>0.71950000000000003</v>
    <v>0.06</v>
    <v>4.3010000000000001E-3</v>
    <v>USD</v>
    <v>Brookdale Senior Living Inc. is a premier operator of senior living communities, operating and managing 665 communities in 41 states. The Company operates independent living, assisted living, memory care, and continuing care retirement communities. It operates through three segments: Independent Living; Assisted Living and Memory Care, Continuing Care Retirement Communities (CCRCs). Its Independent Living segment includes owned or leased communities that are primarily designed for middle to upper-income seniors who desire to live in a residential setting that feels like home, without the efforts of ownership. Its Assisted Living and Memory Care segment includes owned or leased communities that offer housing and 24-hour assistance with activities of daily living for the Company's residents. The CCRCs segment includes large owned or leased communities that offer a variety of living arrangements and services to accommodate a broad spectrum of physical ability and healthcare needs.</v>
    <v>22440</v>
    <v>New York Stock Exchange</v>
    <v>XNYS</v>
    <v>XNYS</v>
    <v>105 WESTWOOD PLACE, SUITE 400, BRENTWOOD, TN, 37027 US</v>
    <v>14.12</v>
    <v>Healthcare Providers &amp; Services</v>
    <v>Stock</v>
    <v>46106.612605370312</v>
    <v>1088</v>
    <v>13.91</v>
    <v>3331471524</v>
    <v>BROOKDALE SENIOR LIVING INC.</v>
    <v>BROOKDALE SENIOR LIVING INC.</v>
    <v>14.065</v>
    <v>0</v>
    <v>13.95</v>
    <v>14.01</v>
    <v>237792400</v>
    <v>BKD</v>
    <v>BROOKDALE SENIOR LIVING INC. (XNYS:BKD)</v>
    <v>488271</v>
    <v>4450026</v>
    <v>2005</v>
  </rv>
  <rv s="2">
    <v>1089</v>
  </rv>
  <rv s="0">
    <v>https://www.bing.com/financeapi/forcetrigger?t=bosz7w&amp;q=ARCX%3aARKF&amp;form=skydnc</v>
    <v>Learn more on Bing</v>
  </rv>
  <rv s="14">
    <v>22</v>
    <v>ARK BC &amp; Fintech Innov (BATS:ARKF)</v>
    <v>23</v>
    <v>24</v>
    <v>Finance</v>
    <v>25</v>
    <v>en-US</v>
    <v>bosz7w</v>
    <v>268435456</v>
    <v>1</v>
    <v>Powered by Refinitiv</v>
    <v>59.2</v>
    <v>27.7</v>
    <v>1.9757</v>
    <v>0.96220000000000006</v>
    <v>2.496E-2</v>
    <v>USD</v>
    <v>CBOE BZX Exchange</v>
    <v>BATS</v>
    <v>7.4999999999999997E-3</v>
    <v>40.015000000000001</v>
    <v>ETF</v>
    <v>46106.612483286721</v>
    <v>1091</v>
    <v>39.5122</v>
    <v>803701821.08000004</v>
    <v>ARK BC &amp; Fintech Innov</v>
    <v>39.6</v>
    <v>38.549999999999997</v>
    <v>39.5122</v>
    <v>ARKF</v>
    <v>ARK BC &amp; Fintech Innov (BATS:ARKF)</v>
    <v>59425</v>
    <v>264389</v>
  </rv>
  <rv s="2">
    <v>1092</v>
  </rv>
  <rv s="3">
    <v>5</v>
    <v>MOBILEYE GLOBAL INC. (XNAS:MBLY)</v>
    <v>6</v>
    <v>3</v>
    <v>Finance</v>
    <v>4</v>
    <v>en-US</v>
    <v>c7qfgh</v>
    <v>268435456</v>
    <v>1</v>
    <v>Powered by Refinitiv</v>
    <v>20.18</v>
    <v>6.8400999999999996</v>
    <v>0.7006</v>
    <v>-0.26500000000000001</v>
    <v>-3.7219000000000002E-2</v>
    <v>USD</v>
    <v>Mobileye Global Inc is an Israel-based company that is primarily actives in field of development and deployment of advanced driver-assistance systems (ADAS) and self-driving system (AV). Company's portfolio Mobileye’s of solutions is built upon a purpose-built software and hardware technologies designed to provide the capabilities to make advanced driver-assistance systems and autonomous driving a reality. These technologies are dedicated to deliver capabilities of advancing the safety of road users, and improving the driving experience and the movement of people and goods globally. The Company's offerings include Driver Assist, Cloud-Enhanced Driver Assist, Mobileye SuperVision Lite, Mobileye Chauffeur, and Mobileye Drive. Mobileye Global Inc operates globally.</v>
    <v>4130</v>
    <v>Nasdaq Stock Market</v>
    <v>XNAS</v>
    <v>XNAS</v>
    <v>Har Hotzvim, 13 Hartom Street, P.O. Box 45157, JERUSALEM, 97775 IL</v>
    <v>7.38</v>
    <v>Integrated Hardware &amp; Software</v>
    <v>Stock</v>
    <v>46106.612720914061</v>
    <v>6.8400999999999996</v>
    <v>5767670182</v>
    <v>MOBILEYE GLOBAL INC.</v>
    <v>MOBILEYE GLOBAL INC.</v>
    <v>7.26</v>
    <v>0</v>
    <v>7.12</v>
    <v>6.8550000000000004</v>
    <v>841381500</v>
    <v>MBLY</v>
    <v>MOBILEYE GLOBAL INC. (XNAS:MBLY)</v>
    <v>4191112</v>
    <v>4822465</v>
    <v>2022</v>
  </rv>
  <rv s="2">
    <v>1094</v>
  </rv>
  <rv s="0">
    <v>https://www.bing.com/financeapi/forcetrigger?t=a253tc&amp;q=XNYS%3aUSPH&amp;form=skydnc</v>
    <v>Learn more on Bing</v>
  </rv>
  <rv s="1">
    <v>0</v>
    <v>U. S. PHYSICAL THERAPY, INC. (XNYS:USPH)</v>
    <v>2</v>
    <v>3</v>
    <v>Finance</v>
    <v>4</v>
    <v>en-US</v>
    <v>a253tc</v>
    <v>268435456</v>
    <v>1</v>
    <v>Powered by Refinitiv</v>
    <v>93.5</v>
    <v>62.77</v>
    <v>1.3528</v>
    <v>0.51</v>
    <v>6.8269999999999997E-3</v>
    <v>USD</v>
    <v>U.S. Physical Therapy, Inc. is an operator of outpatient physical therapy clinics and provider of industrial injury prevention services. It owns and/or manages 780 outpatient physical therapy clinics in 44 states. The Company’s reportable segments include the Physical Therapy Operations segment and the Industrial Injury Prevention Services (IIP) segment. Physical Therapy Operations segment consist of physical therapy, speech therapy and occupational therapy clinics and home-care physical and speech therapy practices that provide pre- and post-operative care and treatment for a variety of orthopedic-related disorders, sports-related injuries, and rehabilitation of injured workers. IIP segment includes onsite services for clients’ employees including injury prevention and rehabilitation, performance optimization, post-offer employment testing, functional capacity evaluations and ergonomic assessments. The majority of these services are contracted with and paid for directly by employers.</v>
    <v>4200</v>
    <v>New York Stock Exchange</v>
    <v>XNYS</v>
    <v>XNYS</v>
    <v>1300 West Sam Houston Parkway South, Suite 300, HOUSTON, TX, 77043 US</v>
    <v>75.569999999999993</v>
    <v>Healthcare Providers &amp; Services</v>
    <v>Stock</v>
    <v>46106.61236427031</v>
    <v>1096</v>
    <v>73.89</v>
    <v>1137367737</v>
    <v>U. S. PHYSICAL THERAPY, INC.</v>
    <v>U. S. PHYSICAL THERAPY, INC.</v>
    <v>75.069999999999993</v>
    <v>31.642099999999999</v>
    <v>74.7</v>
    <v>75.209999999999994</v>
    <v>15122560</v>
    <v>USPH</v>
    <v>U. S. PHYSICAL THERAPY, INC. (XNYS:USPH)</v>
    <v>14231</v>
    <v>190323</v>
    <v>1992</v>
  </rv>
  <rv s="2">
    <v>1097</v>
  </rv>
  <rv s="0">
    <v>https://www.bing.com/financeapi/forcetrigger?t=a1nf8m&amp;q=XNAS%3aAMKR&amp;form=skydnc</v>
    <v>Learn more on Bing</v>
  </rv>
  <rv s="1">
    <v>0</v>
    <v>AMKOR TECHNOLOGY, INC. (XNAS:AMKR)</v>
    <v>2</v>
    <v>3</v>
    <v>Finance</v>
    <v>4</v>
    <v>en-US</v>
    <v>a1nf8m</v>
    <v>268435456</v>
    <v>1</v>
    <v>Powered by Refinitiv</v>
    <v>57.09</v>
    <v>14.03</v>
    <v>1.8975</v>
    <v>0.79</v>
    <v>1.5717999999999999E-2</v>
    <v>USD</v>
    <v>Amkor Technology, Inc. is a provider of outsourced semiconductor packaging and test services. The Company is engaged in the outsourcing of semiconductor packaging and test services. It designs and develops packaging and tests technologies focused on advanced packaging solutions, including artificial intelligence. Its packaging and test services are designed to meet application and chip-specific requirements, including: the required type of interconnect technology; size; thickness; electrical, mechanical, and thermal performance. It provides turnkey packaging and test services including semiconductor wafer bump, wafer probe, wafer back-grind, package design, packaging, system-level and final test and drop shipment services. The Company offers services to integrated device manufacturers (IDMs), fabless semiconductor companies, original equipment manufacturers (OEMs) and contract foundries. It allows IDMs to outsource packaging and test services and focus their investments.</v>
    <v>30800</v>
    <v>Nasdaq Stock Market</v>
    <v>XNAS</v>
    <v>XNAS</v>
    <v>2045 East Innovation Circle, TEMPE, AZ, 85284 US</v>
    <v>51.5</v>
    <v>Semiconductors &amp; Semiconductor Equipment</v>
    <v>Stock</v>
    <v>46106.612819293747</v>
    <v>1099</v>
    <v>49.27</v>
    <v>12625129555</v>
    <v>AMKOR TECHNOLOGY, INC.</v>
    <v>AMKOR TECHNOLOGY, INC.</v>
    <v>50.6</v>
    <v>33.972200000000001</v>
    <v>50.26</v>
    <v>51.05</v>
    <v>247309100</v>
    <v>AMKR</v>
    <v>AMKOR TECHNOLOGY, INC. (XNAS:AMKR)</v>
    <v>773816</v>
    <v>4034964</v>
    <v>1997</v>
  </rv>
  <rv s="2">
    <v>1100</v>
  </rv>
  <rv s="0">
    <v>https://www.bing.com/financeapi/forcetrigger?t=a26c9c&amp;q=XNYS%3aXYL&amp;form=skydnc</v>
    <v>Learn more on Bing</v>
  </rv>
  <rv s="1">
    <v>0</v>
    <v>XYLEM INC. (XNYS:XYL)</v>
    <v>2</v>
    <v>3</v>
    <v>Finance</v>
    <v>4</v>
    <v>en-US</v>
    <v>a26c9c</v>
    <v>268435456</v>
    <v>1</v>
    <v>Powered by Refinitiv</v>
    <v>154.27000000000001</v>
    <v>100.4746</v>
    <v>1.173</v>
    <v>0.81</v>
    <v>6.7250000000000001E-3</v>
    <v>USD</v>
    <v>Xylem Inc. is a water technology company. The Company designs, manufactures and services engineered products and solutions across a range of critical applications, primarily in the water sector. The Company’s Water Infrastructure segment focuses on the transportation and treatment of water, offering a range of products including water, wastewater and storm water pumps, treatment equipment, and controls and systems. Its Applied Water segment's products include pumps, valves, heat exchangers, controls and dispensing equipment. Its Measurement &amp; Control Solutions segment develops advanced technology solutions that enable intelligent use and conservation of critical water and energy resources as well as analytical instrumentation used in the testing of water. The Company’s Integrated Solutions &amp; Services segment provides equipment systems for industrial needs, full-scale outsourcing of operations and maintenance and municipal services, including odor and corrosion control services.</v>
    <v>22000</v>
    <v>New York Stock Exchange</v>
    <v>XNYS</v>
    <v>XNYS</v>
    <v>301 Water Street Se, WASHINGTON, DC, 20003 US</v>
    <v>122.53</v>
    <v>Machinery, Equipment &amp; Components</v>
    <v>Stock</v>
    <v>46106.612752928122</v>
    <v>1102</v>
    <v>120.1581</v>
    <v>29483326164</v>
    <v>XYLEM INC.</v>
    <v>XYLEM INC.</v>
    <v>122.19</v>
    <v>30.925799999999999</v>
    <v>120.45</v>
    <v>121.26</v>
    <v>243141400</v>
    <v>XYL</v>
    <v>XYLEM INC. (XNYS:XYL)</v>
    <v>269618</v>
    <v>1985040</v>
    <v>2011</v>
  </rv>
  <rv s="2">
    <v>1103</v>
  </rv>
  <rv s="0">
    <v>https://www.bing.com/financeapi/forcetrigger?t=b1nprw&amp;q=XNYS%3aBJ&amp;form=skydnc</v>
    <v>Learn more on Bing</v>
  </rv>
  <rv s="1">
    <v>0</v>
    <v>BJ'S WHOLESALE CLUB HOLDINGS, INC. (XNYS:BJ)</v>
    <v>2</v>
    <v>3</v>
    <v>Finance</v>
    <v>4</v>
    <v>en-US</v>
    <v>b1nprw</v>
    <v>268435456</v>
    <v>1</v>
    <v>Powered by Refinitiv</v>
    <v>121.1</v>
    <v>86.68</v>
    <v>0.3357</v>
    <v>-0.89</v>
    <v>-9.1000000000000004E-3</v>
    <v>USD</v>
    <v>BJ’s Wholesale Club Holdings, Inc. is an operator of membership warehouse clubs concentrated primarily on the eastern half of the United States. The Company provides a wide assortment of fresh foods, produce, a full-service deli, fresh bakery, household essentials and gas. It also offers technology, home decor, apparel, seasonal items, among others. It groups its merchandise offerings into two divisions: perishables, grocery and sundries, and general merchandise and services. Perishables, grocery, and sundries consist of meat, produce, dairy, deli and frozen products, packaged foods, beverages, detergents, disinfectants, paper products, beauty care, adult and baby care, and pet foods. General merchandise and services consist of electronics, apparel, seasonal goods, small appliances, televisions, furniture, optical, tires and third-party gift cards. It offers specialty services, such as full-service optical centers, tire installation services, a propane tank filling service, and others.</v>
    <v>35000</v>
    <v>New York Stock Exchange</v>
    <v>XNYS</v>
    <v>XNYS</v>
    <v>350 CAMPUS DRIVE, MARLBOROUGH, MA, 01752 US</v>
    <v>98.72</v>
    <v>Diversified Retail</v>
    <v>Stock</v>
    <v>46106.612770092186</v>
    <v>1105</v>
    <v>95.99</v>
    <v>12566959306</v>
    <v>BJ'S WHOLESALE CLUB HOLDINGS, INC.</v>
    <v>BJ'S WHOLESALE CLUB HOLDINGS, INC.</v>
    <v>97.965000000000003</v>
    <v>22.332599999999999</v>
    <v>97.8</v>
    <v>96.91</v>
    <v>129676600</v>
    <v>BJ</v>
    <v>BJ'S WHOLESALE CLUB HOLDINGS, INC. (XNYS:BJ)</v>
    <v>339523</v>
    <v>1969991</v>
    <v>2011</v>
  </rv>
  <rv s="2">
    <v>1106</v>
  </rv>
  <rv s="0">
    <v>https://www.bing.com/financeapi/forcetrigger?t=a24bsm&amp;q=XNYS%3aTMO&amp;form=skydnc</v>
    <v>Learn more on Bing</v>
  </rv>
  <rv s="1">
    <v>0</v>
    <v>THERMO FISHER SCIENTIFIC INCORPORATED (XNYS:TMO)</v>
    <v>2</v>
    <v>3</v>
    <v>Finance</v>
    <v>4</v>
    <v>en-US</v>
    <v>a24bsm</v>
    <v>268435456</v>
    <v>1</v>
    <v>Powered by Refinitiv</v>
    <v>643.99</v>
    <v>385.46</v>
    <v>0.97540000000000004</v>
    <v>0.56000000000000005</v>
    <v>1.142E-3</v>
    <v>USD</v>
    <v>Thermo Fisher Scientific Inc. is engaged in accelerating life sciences research, solving complex analytical challenges, increasing laboratory productivity, and improving patient health through diagnostics and the development and manufacture of life-changing therapies. Through its Life Sciences Solutions segment, it provides a portfolio of reagents, instruments and consumables used in biological and medical research, the discovery and production of new drugs and vaccines as well as diagnosis of infection and disease. Through its Analytical Instruments segment, it provides instruments and the supporting consumables, software and services that are used for a range of applications. Its Specialty Diagnostics segment offers a range of diagnostic test kits, reagents, culture media, instruments and associated products. Its Laboratory Products and Biopharma Services segment offers virtually everything needed for the laboratory. It also provides purification and filtration technologies.</v>
    <v>125000</v>
    <v>New York Stock Exchange</v>
    <v>XNYS</v>
    <v>XNYS</v>
    <v>168 Third Avenue, WALTHAM, MA, 02451 US</v>
    <v>499.95</v>
    <v>Healthcare Equipment &amp; Supplies</v>
    <v>Stock</v>
    <v>46106.612759085154</v>
    <v>1108</v>
    <v>487.40499999999997</v>
    <v>182343068655</v>
    <v>THERMO FISHER SCIENTIFIC INCORPORATED</v>
    <v>THERMO FISHER SCIENTIFIC INCORPORATED</v>
    <v>495.52</v>
    <v>27.676100000000002</v>
    <v>490.29</v>
    <v>490.85</v>
    <v>371484300</v>
    <v>TMO</v>
    <v>THERMO FISHER SCIENTIFIC INCORPORATED (XNYS:TMO)</v>
    <v>285662</v>
    <v>2095721</v>
    <v>1960</v>
  </rv>
  <rv s="2">
    <v>1109</v>
  </rv>
  <rv s="0">
    <v>https://www.bing.com/financeapi/forcetrigger?t=a251gh&amp;q=XNYS%3aUSB&amp;form=skydnc</v>
    <v>Learn more on Bing</v>
  </rv>
  <rv s="1">
    <v>0</v>
    <v>U.S. BANCORP (XNYS:USB)</v>
    <v>2</v>
    <v>3</v>
    <v>Finance</v>
    <v>4</v>
    <v>en-US</v>
    <v>a251gh</v>
    <v>268435456</v>
    <v>1</v>
    <v>Powered by Refinitiv</v>
    <v>61.19</v>
    <v>35.18</v>
    <v>1.0349999999999999</v>
    <v>-5.5E-2</v>
    <v>-1.0549999999999999E-3</v>
    <v>USD</v>
    <v>U.S. Bancorp is a financial services holding company. Its segments are Wealth, Corporate, Commercial and Institutional Banking, Consumer and Business Banking, Payment Services, and Treasury and Corporate Support. It provides a full range of financial services, including lending and depository services, cash management, capital markets, and trust and investment management services. It also engages in credit card services, merchant and ATM processing, mortgage banking, insurance, brokerage and leasing. Its banking subsidiary, U.S. Bank National Association (USBNA), is engaged in the banking business, principally in domestic markets. USBNA provides a range of products and services to individuals, businesses, institutional organizations, governmental entities and other financial institutions. Its non-banking subsidiaries offer investment and insurance products to its customers principally within its domestic markets, and fund administration services to a range of mutual and other funds.</v>
    <v>68520</v>
    <v>New York Stock Exchange</v>
    <v>XNYS</v>
    <v>XNYS</v>
    <v>800 Nicollet Mall, MINNEAPOLIS, MN, 55402-7020 US</v>
    <v>52.77</v>
    <v>Banking Services</v>
    <v>Stock</v>
    <v>46106.612699606252</v>
    <v>1111</v>
    <v>51.92</v>
    <v>80849045420</v>
    <v>U.S. BANCORP</v>
    <v>U.S. BANCORP</v>
    <v>52.49</v>
    <v>11.271100000000001</v>
    <v>52.14</v>
    <v>52.085000000000001</v>
    <v>1552252000</v>
    <v>USB</v>
    <v>U.S. BANCORP (XNYS:USB)</v>
    <v>1715427</v>
    <v>10708236</v>
    <v>1929</v>
  </rv>
  <rv s="2">
    <v>1112</v>
  </rv>
  <rv s="3">
    <v>5</v>
    <v>VERALTO CORPORATION (XNYS:VLTO)</v>
    <v>6</v>
    <v>3</v>
    <v>Finance</v>
    <v>4</v>
    <v>en-US</v>
    <v>caydcw</v>
    <v>268435456</v>
    <v>1</v>
    <v>Powered by Refinitiv</v>
    <v>110.11</v>
    <v>83.864999999999995</v>
    <v>0.73899999999999999</v>
    <v>-0.76500000000000001</v>
    <v>-8.8070000000000006E-3</v>
    <v>USD</v>
    <v>Veralto Corporation provides essential technology solutions that monitor, enhance and protect key resources around the globe. Its segments include Water Quality (WQ) and Product Quality &amp; Innovation (PQI). WQ segment provides portfolios of water analytics and differentiated water treatment solutions that enable the delivery of safe drinking water by public and private utilities. Under its Hach, Trojan Technologies, ChemTreat and other globally recognized WQ brands, it provides precision instrumentation and advanced water treatment technologies that its customers rely on to measure, analyze and treat water in residential, commercial, municipal, industrial, research and natural resource applications. PQI segment provides a set of essential solutions for brand owners and consumer packaged goods companies. Under its Videojet, Linx, Esko, X-Rite, Pantone and other globally recognized PQI brands, it provides marking and coding, and packaging and color instrumentation and related consumables.</v>
    <v>17000</v>
    <v>New York Stock Exchange</v>
    <v>XNYS</v>
    <v>XNYS</v>
    <v>225 Wyman Street, Suite 250, WALTHAM, MA, 02451 US</v>
    <v>88.47</v>
    <v>Professional &amp; Commercial Services</v>
    <v>Stock</v>
    <v>46106.612662742969</v>
    <v>85.87</v>
    <v>21338077523</v>
    <v>VERALTO CORPORATION</v>
    <v>VERALTO CORPORATION</v>
    <v>88.08</v>
    <v>22.926300000000001</v>
    <v>86.86</v>
    <v>86.094999999999999</v>
    <v>247843400</v>
    <v>VLTO</v>
    <v>VERALTO CORPORATION (XNYS:VLTO)</v>
    <v>261835</v>
    <v>1992683</v>
    <v>2022</v>
  </rv>
  <rv s="2">
    <v>1114</v>
  </rv>
  <rv s="0">
    <v>https://www.bing.com/financeapi/forcetrigger?t=a1onhw&amp;q=XNYS%3aBMI&amp;form=skydnc</v>
    <v>Learn more on Bing</v>
  </rv>
  <rv s="1">
    <v>0</v>
    <v>BADGER METER, INC. (XNYS:BMI)</v>
    <v>2</v>
    <v>3</v>
    <v>Finance</v>
    <v>4</v>
    <v>en-US</v>
    <v>a1onhw</v>
    <v>268435456</v>
    <v>1</v>
    <v>Powered by Refinitiv</v>
    <v>256.08</v>
    <v>139.13999999999999</v>
    <v>0.90610000000000002</v>
    <v>0.66</v>
    <v>4.3809999999999995E-3</v>
    <v>USD</v>
    <v>Badger Meter, Inc. is a manufacturer and marketer of products incorporating flow measurement, quality, control and other system solutions serving markets worldwide. Its offerings, marketed as BlueEdge, include a suite of tailorable solutions that connect water management technology, software and support services to deliver insights enabling the proactive management of water across the water cycle. Its solutions include measurement and control hardware, connectivity and communication, data visualization and software-delivered actionable insights, and ongoing support to optimize customers' operations. Its measurement and control hardware, instruments and sensors include product families, such as meters that measure the flow of water and other fluids, water quality monitoring solutions and high frequency pressure and acoustic leak detection hardware that provides real-time monitoring data. It offers a range of communication solutions including the ORION branded family of radio endpoints.</v>
    <v>2477</v>
    <v>New York Stock Exchange</v>
    <v>XNYS</v>
    <v>XNYS</v>
    <v>4545 W Brown Deer Rd, MILWAUKEE, WI, 53223 US</v>
    <v>152.61000000000001</v>
    <v>Machinery, Equipment &amp; Components</v>
    <v>Stock</v>
    <v>46106.612565671094</v>
    <v>1116</v>
    <v>148.91</v>
    <v>4415176080</v>
    <v>BADGER METER, INC.</v>
    <v>BADGER METER, INC.</v>
    <v>152.54</v>
    <v>31.586600000000001</v>
    <v>150.63999999999999</v>
    <v>151.30000000000001</v>
    <v>29181600</v>
    <v>BMI</v>
    <v>BADGER METER, INC. (XNYS:BMI)</v>
    <v>18956</v>
    <v>367516</v>
    <v>1905</v>
  </rv>
  <rv s="2">
    <v>1117</v>
  </rv>
  <rv s="0">
    <v>https://www.bing.com/financeapi/forcetrigger?t=ab1rsm&amp;q=XTSE%3aWCN&amp;form=skydnc</v>
    <v>Learn more on Bing</v>
  </rv>
  <rv s="1">
    <v>0</v>
    <v>WASTE CONNECTIONS, INC. (XTSE:WCN)</v>
    <v>2</v>
    <v>46</v>
    <v>Finance</v>
    <v>47</v>
    <v>en-US</v>
    <v>ab1rsm</v>
    <v>268435456</v>
    <v>1</v>
    <v>Powered by Refinitiv</v>
    <v>284.72500000000002</v>
    <v>211.93</v>
    <v>0.45329999999999998</v>
    <v>-2.92</v>
    <v>-1.3439000000000001E-2</v>
    <v>CAD</v>
    <v>Waste Connections, Inc. is an integrated solid waste services company. It provides non-hazardous waste collection, transfer and disposal services, including by rail, along with resource recovery primarily through recycling and renewable fuels generation. Its segments include Western, Southern, Eastern, Central, Canada and MidSouth. It serves approximately nine million residential, commercial and industrial customers in secondary markets across 46 states in the U.S. and six provinces in Canada. It also provides non-hazardous oilfield waste treatment, recovery and disposal services in several basins across the U.S. and Canada, as well as intermodal services for the movement of cargo and solid waste containers in the Pacific Northwest. Its residential services include garbage pickup, yard waste, recycling, dumpster rental, bulk pickup, and portable toilets. Its commercial services include business waste collection, commercial recycling, shredding, roll off dumpster rental, and others.</v>
    <v>24214</v>
    <v>Toronto Stock Exchange</v>
    <v>XTSE</v>
    <v>XTSE</v>
    <v>3 Waterway Square Place, Suite 110, THE WOODLANDS, TX, 77380 US</v>
    <v>219.69</v>
    <v>Professional &amp; Commercial Services</v>
    <v>Stock</v>
    <v>46106.602129629631</v>
    <v>1119</v>
    <v>213.67</v>
    <v>54807822032</v>
    <v>WASTE CONNECTIONS, INC.</v>
    <v>WASTE CONNECTIONS, INC.</v>
    <v>219.03</v>
    <v>37.428899999999999</v>
    <v>217.28</v>
    <v>214.36</v>
    <v>255681200</v>
    <v>WCN</v>
    <v>WASTE CONNECTIONS, INC. (XTSE:WCN)</v>
    <v>100822</v>
    <v>370670</v>
    <v>2016</v>
  </rv>
  <rv s="2">
    <v>1120</v>
  </rv>
  <rv s="0">
    <v>https://www.bing.com/financeapi/forcetrigger?t=b17gh7&amp;q=XNAS%3aOSPN&amp;form=skydnc</v>
    <v>Learn more on Bing</v>
  </rv>
  <rv s="1">
    <v>0</v>
    <v>ONESPAN INC. (XNAS:OSPN)</v>
    <v>2</v>
    <v>3</v>
    <v>Finance</v>
    <v>4</v>
    <v>en-US</v>
    <v>b17gh7</v>
    <v>268435456</v>
    <v>1</v>
    <v>Powered by Refinitiv</v>
    <v>18.125</v>
    <v>10.130000000000001</v>
    <v>1.5065</v>
    <v>0.20499999999999999</v>
    <v>1.9285E-2</v>
    <v>USD</v>
    <v>OneSpan Inc. provides secure authentication, identity, electronic signature and digital workflow solutions that protect and facilitate digital transactions and agreements. Its segments include Security Solutions and Digital Agreements. Security Solutions segment consists of its portfolio of software products, software development kits, and Digipass authenticator devices that are used to build applications designed to defend against attacks on digital transactions across online environments, devices, and applications. Its security products include authentication servers, mobile app security and mobile authenticators. Digital Agreements segment consists of solutions that enable its clients to secure and automate business processes associated with their digital agreement and customer transaction lifecycles that require consent, non-repudiation and compliance. These solutions, which are largely cloud-based, include OneSpan Sign e-signature, OneSpan Notary, and Identity Verification.</v>
    <v>602</v>
    <v>Nasdaq Stock Market</v>
    <v>XNAS</v>
    <v>XNAS</v>
    <v>1 Marina Park Drive, Unit 1410, BOSTON, MA, 02210 US</v>
    <v>10.91</v>
    <v>Software &amp; IT Services</v>
    <v>Stock</v>
    <v>46106.612570474215</v>
    <v>1122</v>
    <v>10.7401</v>
    <v>405954403</v>
    <v>ONESPAN INC.</v>
    <v>ONESPAN INC.</v>
    <v>10.77</v>
    <v>7.3318000000000003</v>
    <v>10.63</v>
    <v>10.835000000000001</v>
    <v>37466950</v>
    <v>OSPN</v>
    <v>ONESPAN INC. (XNAS:OSPN)</v>
    <v>63902</v>
    <v>799851</v>
    <v>1997</v>
  </rv>
  <rv s="2">
    <v>1123</v>
  </rv>
  <rv s="3">
    <v>5</v>
    <v>GE HealthCare Technologies Inc. (XNAS:GEHC)</v>
    <v>6</v>
    <v>3</v>
    <v>Finance</v>
    <v>4</v>
    <v>en-US</v>
    <v>c8bc4c</v>
    <v>268435456</v>
    <v>1</v>
    <v>Powered by Refinitiv</v>
    <v>89.77</v>
    <v>57.65</v>
    <v>1.3740000000000001</v>
    <v>1.93</v>
    <v>2.7198000000000003E-2</v>
    <v>USD</v>
    <v>GE HealthCare Technologies Inc. is a healthcare solutions provider, innovating medical technology, pharmaceutical diagnostics, and integrated, cloud-first artificial intelligence (AI)-enabled solutions, services and data analytics. Its business segments include Imaging, Advanced Visualization Solutions (AVS), Patient Care Solutions (PCS), and Pharmaceutical Diagnostics (PDx). Its Imaging segment offers a portfolio of scanning devices, clinical applications, service capabilities, and digital solutions. Its AVS segment offers ultrasound, image guided therapies, and interventional solutions with a portfolio that spans the continuum of care, including screening, diagnosis, treatment, and monitoring of certain diseases. Its PCS segment consists of patient monitoring, anesthesia delivery and respiratory care, diagnostic cardiology, maternal infant care, and consumables and services. Its PDx segment develops and produces two types of imaging agents: contrast media and radiopharmaceuticals.</v>
    <v>54000</v>
    <v>Nasdaq Stock Market</v>
    <v>XNAS</v>
    <v>XNAS</v>
    <v>500 West Monroe Street, CHICAGO, IL, 60661 US</v>
    <v>73.05</v>
    <v>Healthcare Equipment &amp; Supplies</v>
    <v>Stock</v>
    <v>46106.612694363284</v>
    <v>72.12</v>
    <v>33258985389</v>
    <v>GE HealthCare Technologies Inc.</v>
    <v>GE HealthCare Technologies Inc.</v>
    <v>72.290000000000006</v>
    <v>16.013100000000001</v>
    <v>70.959999999999994</v>
    <v>72.89</v>
    <v>456290100</v>
    <v>GEHC</v>
    <v>GE HealthCare Technologies Inc. (XNAS:GEHC)</v>
    <v>484739</v>
    <v>3532593</v>
    <v>2022</v>
  </rv>
  <rv s="2">
    <v>1125</v>
  </rv>
  <rv s="0">
    <v>https://www.bing.com/financeapi/forcetrigger?t=a25m77&amp;q=XNYS%3aVTR&amp;form=skydnc</v>
    <v>Learn more on Bing</v>
  </rv>
  <rv s="1">
    <v>0</v>
    <v>VENTAS, INC. (XNYS:VTR)</v>
    <v>2</v>
    <v>3</v>
    <v>Finance</v>
    <v>4</v>
    <v>en-US</v>
    <v>a25m77</v>
    <v>268435456</v>
    <v>1</v>
    <v>Powered by Refinitiv</v>
    <v>88.364999999999995</v>
    <v>60.15</v>
    <v>0.76670000000000005</v>
    <v>0.55000000000000004</v>
    <v>6.6930000000000002E-3</v>
    <v>USD</v>
    <v>Ventas, Inc. is a real estate investment trust (REIT). The Company holds a portfolio that includes senior housing communities, outpatient medical buildings, research centers, hospitals and healthcare facilities located in North America and the United Kingdom. The Company owns approximately 1,400 properties in North America and the United Kingdom. It operates in three segments: senior housing operating portfolio (SHOP), outpatient medical and research portfolio (OM&amp;R), and triple-net leased properties (NNN). In its SHOP segment, it owns and invests in senior housing communities. It engages third-party managers to operate the communities on its behalf. In its OM&amp;R segment, it primarily acquires, owns, develops, leases and manages outpatient medical buildings and research centers. In its NNN segment, it invests in and owns senior housing communities, skilled nursing facilities (SNFs), long-term acute care facilities (LTACs), and freestanding inpatient rehabilitation facilities (IRFs).</v>
    <v>542</v>
    <v>New York Stock Exchange</v>
    <v>XNYS</v>
    <v>XNYS</v>
    <v>300 N Lasalle Street, Suite 1600, CHICAGO, IL, 60654 US</v>
    <v>82.77</v>
    <v>Residential &amp; Commercial REIT</v>
    <v>Stock</v>
    <v>46106.612744675782</v>
    <v>1127</v>
    <v>82.125</v>
    <v>39293870996</v>
    <v>VENTAS, INC.</v>
    <v>VENTAS, INC.</v>
    <v>82.24</v>
    <v>152.61019999999999</v>
    <v>82.18</v>
    <v>82.73</v>
    <v>474965200</v>
    <v>VTR</v>
    <v>VENTAS, INC. (XNYS:VTR)</v>
    <v>120274</v>
    <v>3036333</v>
    <v>1987</v>
  </rv>
  <rv s="2">
    <v>1128</v>
  </rv>
  <rv s="0">
    <v>https://www.bing.com/financeapi/forcetrigger?t=b13ok2&amp;q=XNYS%3aJEF&amp;form=skydnc</v>
    <v>Learn more on Bing</v>
  </rv>
  <rv s="1">
    <v>0</v>
    <v>JEFFERIES FINANCIAL GROUP INC. (XNYS:JEF)</v>
    <v>2</v>
    <v>3</v>
    <v>Finance</v>
    <v>4</v>
    <v>en-US</v>
    <v>b13ok2</v>
    <v>268435456</v>
    <v>1</v>
    <v>Powered by Refinitiv</v>
    <v>71.040000000000006</v>
    <v>35.53</v>
    <v>1.5319</v>
    <v>2.5000000000000001E-2</v>
    <v>6.1650000000000008E-4</v>
    <v>USD</v>
    <v>Jefferies Financial Group Inc. is a global, full-service investment banking and capital markets company. The Company provides financial advisory, equity underwriting and debt underwriting services. Its business segments include Investment Banking and Capital Markets and Asset Management. The Investment Banking and Capital Markets segment includes its securities, commodities, futures, and foreign exchange capital markets activities and its investment banking business, which provides underwriting and financial advisory services to clients across various industry sectors in the Americas, Europe and the Middle East, and Asia-Pacific. The Asset Management segment provides alternative investment management services to investors in the United States and overseas and generates investment income from capital invested in and managed by the Company or its affiliated asset managers. It provides mergers and acquisition, debt advisory and restructuring and private capital advisory services.</v>
    <v>7787</v>
    <v>New York Stock Exchange</v>
    <v>XNYS</v>
    <v>XNYS</v>
    <v>520 Madison Avenue, NEW YORK, NY, 10022 US</v>
    <v>41.77</v>
    <v>Investment Banking &amp; Investment Services</v>
    <v>Stock</v>
    <v>46106.61276826328</v>
    <v>1130</v>
    <v>40.14</v>
    <v>8380713502</v>
    <v>JEFFERIES FINANCIAL GROUP INC.</v>
    <v>JEFFERIES FINANCIAL GROUP INC.</v>
    <v>41.45</v>
    <v>14.254300000000001</v>
    <v>40.549999999999997</v>
    <v>40.575000000000003</v>
    <v>206548700</v>
    <v>JEF</v>
    <v>JEFFERIES FINANCIAL GROUP INC. (XNYS:JEF)</v>
    <v>809823</v>
    <v>3966647</v>
    <v>1968</v>
  </rv>
  <rv s="2">
    <v>1131</v>
  </rv>
  <rv s="0">
    <v>https://www.bing.com/financeapi/forcetrigger?t=a1vutc&amp;q=XNAS%3aITRI&amp;form=skydnc</v>
    <v>Learn more on Bing</v>
  </rv>
  <rv s="1">
    <v>0</v>
    <v>ITRON, INC. (XNAS:ITRI)</v>
    <v>2</v>
    <v>3</v>
    <v>Finance</v>
    <v>4</v>
    <v>en-US</v>
    <v>a1vutc</v>
    <v>268435456</v>
    <v>1</v>
    <v>Powered by Refinitiv</v>
    <v>142</v>
    <v>88.57</v>
    <v>1.4872000000000001</v>
    <v>0.79</v>
    <v>8.5229999999999993E-3</v>
    <v>USD</v>
    <v>Itron, Inc. provides energy, water, smart city, Industrial Internet of Things (IIoT) and intelligent infrastructure services. The Company's Device Solutions segment primarily includes hardware products used for measurement, control, or sensing that can have communications capability embedded for use with its broader Itron systems, which is hardware-based products. Its Networked Solutions segment primarily includes a combination of communicating devices (smart meters, modules, endpoints, and sensors), network infrastructure, network design services, and associated head-end management and application software designed and sold as a complete solution for acquiring and transporting application-specific data. Its Outcomes segment includes its value-added, enhanced software and services, in which it enables grid edge intelligence and manage, organize, analyze, and interpret raw, anonymized data using artificial intelligence, machine learning, statistical modeling, and other analytics.</v>
    <v>4987</v>
    <v>Nasdaq Stock Market</v>
    <v>XNAS</v>
    <v>XNAS</v>
    <v>2111 N Molter Rd, LIBERTY LAKE, WA, 99019 US</v>
    <v>94.03</v>
    <v>Electronic Equipment &amp; Parts</v>
    <v>Stock</v>
    <v>46106.612557267967</v>
    <v>1133</v>
    <v>92.58</v>
    <v>4143014904</v>
    <v>ITRON, INC.</v>
    <v>ITRON, INC.</v>
    <v>93.55</v>
    <v>14.3742</v>
    <v>92.69</v>
    <v>93.48</v>
    <v>44319800</v>
    <v>ITRI</v>
    <v>ITRON, INC. (XNAS:ITRI)</v>
    <v>49577</v>
    <v>1398318</v>
    <v>1977</v>
  </rv>
  <rv s="2">
    <v>1134</v>
  </rv>
  <rv s="0">
    <v>https://www.bing.com/financeapi/forcetrigger?t=a1r8m7&amp;q=XNAS%3aDORM&amp;form=skydnc</v>
    <v>Learn more on Bing</v>
  </rv>
  <rv s="1">
    <v>0</v>
    <v>DORMAN PRODUCTS, INC. (XNAS:DORM)</v>
    <v>2</v>
    <v>3</v>
    <v>Finance</v>
    <v>4</v>
    <v>en-US</v>
    <v>a1r8m7</v>
    <v>268435456</v>
    <v>1</v>
    <v>Powered by Refinitiv</v>
    <v>166.89</v>
    <v>98.444999999999993</v>
    <v>0.95230000000000004</v>
    <v>2.17</v>
    <v>2.0628999999999998E-2</v>
    <v>USD</v>
    <v>Dorman Products, Inc. is a supplier of replacement and upgrade parts in the motor vehicle aftermarket industry, serving passenger cars, light, medium, and heavy-duty trucks, as well as specialty vehicles, including utility terrain vehicles and all-terrain vehicles. Its segments include Light Duty, Heavy Duty, and Specialty Vehicle. The Light Duty segment designs and markets replacement parts and fasteners primarily for passenger cars and light trucks with sales to retailers and wholesale distributors who primarily serve passenger car and light truck customers. The Heavy Duty segment designs and markets replacement parts primarily for medium and heavy trucks with sales to independent distributors, independent component specialists and rebuilders, and auto parts stores that focus on the heavy-duty market. Specialty Vehicle segment designs, markets, and manufactures aftermarket parts and accessories for the powersports market with sales through direct-to-consumer, dealers, and installers.</v>
    <v>3871</v>
    <v>Nasdaq Stock Market</v>
    <v>XNAS</v>
    <v>XNAS</v>
    <v>3400 E Walnut St, COLMAR, PA, 18915 US</v>
    <v>109.88</v>
    <v>Automobiles &amp; Auto Parts</v>
    <v>Stock</v>
    <v>46106.612293008591</v>
    <v>1136</v>
    <v>106.45</v>
    <v>3240474793</v>
    <v>DORMAN PRODUCTS, INC.</v>
    <v>DORMAN PRODUCTS, INC.</v>
    <v>106.5</v>
    <v>13.362399999999999</v>
    <v>105.19</v>
    <v>107.36</v>
    <v>30183260</v>
    <v>DORM</v>
    <v>DORMAN PRODUCTS, INC. (XNAS:DORM)</v>
    <v>56542</v>
    <v>323762</v>
    <v>1978</v>
  </rv>
  <rv s="2">
    <v>1137</v>
  </rv>
  <rv s="0">
    <v>https://www.bing.com/financeapi/forcetrigger?t=a1oxur&amp;q=XNYS%3aBSX&amp;form=skydnc</v>
    <v>Learn more on Bing</v>
  </rv>
  <rv s="1">
    <v>0</v>
    <v>BOSTON SCIENTIFIC CORPORATION (XNYS:BSX)</v>
    <v>2</v>
    <v>3</v>
    <v>Finance</v>
    <v>4</v>
    <v>en-US</v>
    <v>a1oxur</v>
    <v>268435456</v>
    <v>1</v>
    <v>Powered by Refinitiv</v>
    <v>109.5</v>
    <v>67.56</v>
    <v>0.74329999999999996</v>
    <v>1.06</v>
    <v>1.5553999999999998E-2</v>
    <v>USD</v>
    <v>Boston Scientific Corporation is a global developer, manufacturer and marketer of medical devices that are used in a range of interventional medical specialties. The Company's MedSurg segment includes Endoscopy, Urology, and Neuromodulation. Its Endoscopy business develops and manufactures devices to diagnose and treat a range of gastrointestinal conditions with less-invasive technologies. Its Urology business develops and manufactures devices to treat various urological conditions for both male and female anatomies, including kidney stones, benign prostatic hyperplasia, prostate cancer, erectile dysfunction, and incontinence. Its Neuromodulation business develops and manufactures devices to treat various neurological movement disorders and manage chronic pain. Its Cardiovascular segment includes Cardiology and Peripheral Interventions. The Cardiology includes interventional cardiology therapies, watchman, cardiac rhythm management, and electrophysiology.</v>
    <v>59000</v>
    <v>New York Stock Exchange</v>
    <v>XNYS</v>
    <v>XNYS</v>
    <v>300 Boston Scientific Way, MARLBOROUGH, MA, 01752-1234 US</v>
    <v>70.099999999999994</v>
    <v>Healthcare Equipment &amp; Supplies</v>
    <v>Stock</v>
    <v>46106.612688957815</v>
    <v>1139</v>
    <v>68.900000000000006</v>
    <v>102858171749</v>
    <v>BOSTON SCIENTIFIC CORPORATION</v>
    <v>BOSTON SCIENTIFIC CORPORATION</v>
    <v>68.905000000000001</v>
    <v>35.691800000000001</v>
    <v>68.150000000000006</v>
    <v>69.209999999999994</v>
    <v>1486175000</v>
    <v>BSX</v>
    <v>BOSTON SCIENTIFIC CORPORATION (XNYS:BSX)</v>
    <v>1636870</v>
    <v>12900810</v>
    <v>1979</v>
  </rv>
  <rv s="2">
    <v>1140</v>
  </rv>
  <rv s="0">
    <v>https://www.bing.com/financeapi/forcetrigger?t=a22dmw&amp;q=XNYS%3aZWS&amp;form=skydnc</v>
    <v>Learn more on Bing</v>
  </rv>
  <rv s="1">
    <v>0</v>
    <v>ZURN ELKAY WATER SOLUTIONS CORPORATION (XNYS:ZWS)</v>
    <v>2</v>
    <v>3</v>
    <v>Finance</v>
    <v>4</v>
    <v>en-US</v>
    <v>a22dmw</v>
    <v>268435456</v>
    <v>1</v>
    <v>Powered by Refinitiv</v>
    <v>53.17</v>
    <v>27.74</v>
    <v>1.1236999999999999</v>
    <v>0.20499999999999999</v>
    <v>4.5079999999999999E-3</v>
    <v>USD</v>
    <v>Zurn Elkay Water Solutions Corporation is a pure-play water management company. The Company designs, procures, manufactures, and markets a sustainable product portfolio of specification-driven water management solutions to improve health, human safety and the environment. The Company's product portfolio includes professional grade water safety and control products, flow system products, hygienic and environmental products, and filtered drinking water products for public and private spaces. Its products are marketed and sold under various brand names, including Zurn, Elkay, Wilkins, Green Turtle, World Dryer, StainlessDrains.com, JUST, Hadrian, Wade, and Halsey Taylor. It serves various range of institutional and commercial end markets, and waterworks and residential end markets. The institutional construction end users include education, healthcare, and government segments. The commercial construction end users include retail, office, lodging, warehouse, and sports arena segments.</v>
    <v>2600</v>
    <v>New York Stock Exchange</v>
    <v>XNYS</v>
    <v>XNYS</v>
    <v>511 West Freshwater Way, MILWAUKEE, WI, 53204 US</v>
    <v>46.13</v>
    <v>Homebuilding &amp; Construction Supplies</v>
    <v>Stock</v>
    <v>46106.612729988279</v>
    <v>1142</v>
    <v>45.42</v>
    <v>7652494552</v>
    <v>ZURN ELKAY WATER SOLUTIONS CORPORATION</v>
    <v>ZURN ELKAY WATER SOLUTIONS CORPORATION</v>
    <v>46.075000000000003</v>
    <v>40.560299999999998</v>
    <v>45.47</v>
    <v>45.674999999999997</v>
    <v>167542300</v>
    <v>ZWS</v>
    <v>ZURN ELKAY WATER SOLUTIONS CORPORATION (XNYS:ZWS)</v>
    <v>73777</v>
    <v>910763</v>
    <v>2006</v>
  </rv>
  <rv s="2">
    <v>1143</v>
  </rv>
  <rv s="0">
    <v>https://www.bing.com/financeapi/forcetrigger?t=a24c52&amp;q=XNAS%3aTMUS&amp;form=skydnc</v>
    <v>Learn more on Bing</v>
  </rv>
  <rv s="1">
    <v>0</v>
    <v>T-MOBILE US, INC. (XNAS:TMUS)</v>
    <v>2</v>
    <v>3</v>
    <v>Finance</v>
    <v>4</v>
    <v>en-US</v>
    <v>a24c52</v>
    <v>268435456</v>
    <v>1</v>
    <v>Powered by Refinitiv</v>
    <v>272.60000000000002</v>
    <v>181.36</v>
    <v>0.4194</v>
    <v>-0.59250000000000003</v>
    <v>-2.8050000000000002E-3</v>
    <v>USD</v>
    <v>T-Mobile US, Inc. is a provider of wireless communications services, including voice, messaging and data, under its flagship brands, T-Mobile and Metro by T-Mobile, and Mint Mobile, in the United States, Puerto Rico and the United States Virgin Islands. It provides wireless communications services primarily using its 4G Long Term Evolution network and its 5G technology network. It also offers a selection of wireless devices, including handsets, tablets and other mobile communication devices, and accessories for sale, as well as financing through equipment installment plans. Its primary service plan offering is Go5G Plus, which includes unlimited talk, text and data on its network, 5G access at no extra cost, scam protection features and more. In addition to its wireless communications services, the Company also offers high speed Internet, which includes a fixed wireless product that utilizes the excess capacity of its nationwide 5G network. It also provides advertising solutions.</v>
    <v>75000</v>
    <v>Nasdaq Stock Market</v>
    <v>XNAS</v>
    <v>XNAS</v>
    <v>12920 Se 38Th Street, BELLEVUE, WA, 98006 US</v>
    <v>212.76</v>
    <v>Telecommunications Services</v>
    <v>Stock</v>
    <v>46106.612784235935</v>
    <v>1145</v>
    <v>210.12</v>
    <v>232126723552</v>
    <v>T-MOBILE US, INC.</v>
    <v>T-MOBILE US, INC.</v>
    <v>211.87</v>
    <v>21.6814</v>
    <v>211.26</v>
    <v>210.66749999999999</v>
    <v>1101863000</v>
    <v>TMUS</v>
    <v>T-MOBILE US, INC. (XNAS:TMUS)</v>
    <v>716159</v>
    <v>5667963</v>
    <v>2004</v>
  </rv>
  <rv s="2">
    <v>1146</v>
  </rv>
  <rv s="0">
    <v>https://www.bing.com/financeapi/forcetrigger?t=a1orw7&amp;q=XNAS%3aBPMC&amp;form=skydnc</v>
    <v>Learn more on Bing</v>
  </rv>
  <rv s="13">
    <v>20</v>
    <v>BLUEPRINT MEDICINES CORPORATION (XNAS:BPMC)</v>
    <v>2</v>
    <v>3</v>
    <v>Finance</v>
    <v>21</v>
    <v>en-US</v>
    <v>a1orw7</v>
    <v>268435456</v>
    <v>1</v>
    <v>1</v>
    <v>Powered by Refinitiv</v>
    <v>129.65</v>
    <v>73.040000000000006</v>
    <v>0.9355</v>
    <v>0</v>
    <v>0</v>
    <v>USD</v>
    <v>Blueprint Medicines Corporation is a fully integrated, commercial-stage, global biopharmaceutical company. The Company invents life-changing medicines in two core, strategic areas of allergy/inflammation and oncology/hematology. The Company delivers its approved medicines, including AYVAKIT/AYVAKYT (avapritinib) and PDGFRA Exon 18 mutant GIST in the United States and Europe. It has a pipeline of research and development programs that range from early science to advanced clinical trials in mast cell-mediated diseases, including systemic mastocytosis (SM) and chronic urticaria, breast cancer, and other solid tumors vulnerable to CDK2 inhibition. Its pipeline includes Elenestinib (BLU-263), BLU-808, and BLU-956. It is developing Elenestinib (BLU-263), an investigational, orally available, potent and highly selective KIT inhibitor, for the treatment of indolent SM and other mast cell disorders. It is advancing BLU-808, a potent and selective wild-type KIT inhibitor, for mast cell diseases.</v>
    <v>682</v>
    <v>Nasdaq Stock Market</v>
    <v>XNAS</v>
    <v>XNAS</v>
    <v>45 Sidney Street, CAMBRIDGE, MA, 02139 US</v>
    <v>129.55000000000001</v>
    <v>Biotechnology &amp; Medical Research</v>
    <v>Stock</v>
    <v>45855.914129258592</v>
    <v>1148</v>
    <v>129.30000000000001</v>
    <v>8371674600</v>
    <v>BLUEPRINT MEDICINES CORPORATION</v>
    <v>BLUEPRINT MEDICINES CORPORATION</v>
    <v>129.35</v>
    <v>0</v>
    <v>129.28</v>
    <v>129.46</v>
    <v>64666110</v>
    <v>BPMC</v>
    <v>BLUEPRINT MEDICINES CORPORATION (XNAS:BPMC)</v>
    <v>2980995</v>
    <v>4444808</v>
    <v>2008</v>
  </rv>
  <rv s="2">
    <v>1149</v>
  </rv>
  <rv s="0">
    <v>https://www.bing.com/financeapi/forcetrigger?t=a262ur&amp;q=XNAS%3aWTFC&amp;form=skydnc</v>
    <v>Learn more on Bing</v>
  </rv>
  <rv s="1">
    <v>0</v>
    <v>WINTRUST FINANCIAL CORPORATION (XNAS:WTFC)</v>
    <v>2</v>
    <v>3</v>
    <v>Finance</v>
    <v>4</v>
    <v>en-US</v>
    <v>a262ur</v>
    <v>268435456</v>
    <v>1</v>
    <v>Powered by Refinitiv</v>
    <v>162.96</v>
    <v>89.1</v>
    <v>0.86639999999999995</v>
    <v>0.56000000000000005</v>
    <v>4.1149999999999997E-3</v>
    <v>USD</v>
    <v>Wintrust Financial Corporation is a financial holding company. It provides community-oriented, personal and commercial banking services to customers generally located in the Chicago metropolitan area, southern Wisconsin, northwest Indiana and west Michigan. Its segments include community banking, specialty finance and wealth management. Through its community banking segment, its banks provide community-oriented, personal and commercial banking services to customers located in its market area. Its customers include individuals, small to mid-sized businesses, local governmental units and institutional clients residing primarily in the banks' local service areas. Through its specialty finance segment, it offers financing of insurance premiums for businesses and individuals; accounts receivable financing, value-added, out-sourced administrative services; and other specialty finance businesses. Through its wealth management segment, it offers a full range of wealth management services.</v>
    <v>5902</v>
    <v>Nasdaq Stock Market</v>
    <v>XNAS</v>
    <v>XNAS</v>
    <v>9700 W. Higgins Road, Suite 800, ROSEMONT, IL, 60018 US</v>
    <v>137.91</v>
    <v>Banking Services</v>
    <v>Stock</v>
    <v>46106.612695428128</v>
    <v>1151</v>
    <v>135.83000000000001</v>
    <v>9193185163</v>
    <v>WINTRUST FINANCIAL CORPORATION</v>
    <v>WINTRUST FINANCIAL CORPORATION</v>
    <v>136.85</v>
    <v>11.988</v>
    <v>136.1</v>
    <v>136.66</v>
    <v>67270490</v>
    <v>WTFC</v>
    <v>WINTRUST FINANCIAL CORPORATION (XNAS:WTFC)</v>
    <v>36718</v>
    <v>490491</v>
    <v>1992</v>
  </rv>
  <rv s="2">
    <v>1152</v>
  </rv>
  <rv s="0">
    <v>https://www.bing.com/financeapi/forcetrigger?t=a23ih7&amp;q=XNYS%3aSQM&amp;form=skydnc</v>
    <v>Learn more on Bing</v>
  </rv>
  <rv s="1">
    <v>0</v>
    <v>Sociedad Quimica y Minera de Chile SA (XNYS:SQM)</v>
    <v>2</v>
    <v>3</v>
    <v>Finance</v>
    <v>4</v>
    <v>en-US</v>
    <v>a23ih7</v>
    <v>268435456</v>
    <v>1</v>
    <v>Powered by Refinitiv</v>
    <v>86.13</v>
    <v>29.36</v>
    <v>1.0212000000000001</v>
    <v>2.17</v>
    <v>2.8203999999999996E-2</v>
    <v>USD</v>
    <v>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v>
    <v>7739</v>
    <v>New York Stock Exchange</v>
    <v>XNYS</v>
    <v>XNYS</v>
    <v>El Trovador 4285, SANTIAGO, SANTIAGO CL</v>
    <v>79.55</v>
    <v>Chemicals</v>
    <v>Stock</v>
    <v>46106.61276394609</v>
    <v>1154</v>
    <v>77.739999999999995</v>
    <v>22596806358</v>
    <v>Sociedad Quimica y Minera de Chile SA</v>
    <v>Sociedad Quimica y Minera de Chile SA</v>
    <v>77.900000000000006</v>
    <v>13.7056</v>
    <v>76.94</v>
    <v>79.11</v>
    <v>285637800</v>
    <v>SQM</v>
    <v>Sociedad Quimica y Minera de Chile SA (XNYS:SQM)</v>
    <v>320515</v>
    <v>1104733</v>
    <v>1968</v>
  </rv>
  <rv s="2">
    <v>1155</v>
  </rv>
  <rv s="0">
    <v>https://www.bing.com/financeapi/forcetrigger?t=a22nlh&amp;q=XNYS%3aSCI&amp;form=skydnc</v>
    <v>Learn more on Bing</v>
  </rv>
  <rv s="1">
    <v>0</v>
    <v>SERVICE CORPORATION INTERNATIONAL (XNYS:SCI)</v>
    <v>2</v>
    <v>3</v>
    <v>Finance</v>
    <v>4</v>
    <v>en-US</v>
    <v>a22nlh</v>
    <v>268435456</v>
    <v>1</v>
    <v>Powered by Refinitiv</v>
    <v>86.67</v>
    <v>71.75</v>
    <v>1.0123</v>
    <v>0.41</v>
    <v>5.2919999999999998E-3</v>
    <v>USD</v>
    <v>Service Corporation International is a provider of funeral, cemetery and cremation services, as well as final arrangement planning in advance. Its diversified portfolio of brands provides families and individuals a range of choices to meet their needs, from simple cremations to full life celebrations and personalized remembrances. Its Dignity Memorial brand is a transcontinental brand of deathcare products and services. It owns and operates over 1,493 funeral service locations and 496 cemeteries (of which 308 are combination locations) in 44 states, eight Canadian provinces, the District of Columbia, and Puerto Rico. Its funeral service and cemetery operations consist of funeral service locations, cemeteries, funeral service/cemetery combination locations, crematoria, and other related businesses. Its cemeteries provide cemetery property interment rights, including developed lots, lawn crypts, mausoleum spaces, niches, and other cremation memorialization and interment options.</v>
    <v>17869</v>
    <v>New York Stock Exchange</v>
    <v>XNYS</v>
    <v>XNYS</v>
    <v>1929 Allen Pkwy, P O Box 130548, HOUSTON, TX, 77019 US</v>
    <v>78.36</v>
    <v>Personal &amp; Household Products &amp; Services</v>
    <v>Stock</v>
    <v>46106.612442129626</v>
    <v>1157</v>
    <v>77.204999999999998</v>
    <v>10844133993</v>
    <v>SERVICE CORPORATION INTERNATIONAL</v>
    <v>SERVICE CORPORATION INTERNATIONAL</v>
    <v>78</v>
    <v>20.482299999999999</v>
    <v>77.48</v>
    <v>77.89</v>
    <v>139223700</v>
    <v>SCI</v>
    <v>SERVICE CORPORATION INTERNATIONAL (XNYS:SCI)</v>
    <v>148969</v>
    <v>1153318</v>
    <v>1962</v>
  </rv>
  <rv s="2">
    <v>1158</v>
  </rv>
  <rv s="0">
    <v>https://www.bing.com/financeapi/forcetrigger?t=a1t34c&amp;q=XNYS%3aFLS&amp;form=skydnc</v>
    <v>Learn more on Bing</v>
  </rv>
  <rv s="1">
    <v>0</v>
    <v>FLOWSERVE CORPORATION (XNYS:FLS)</v>
    <v>2</v>
    <v>3</v>
    <v>Finance</v>
    <v>4</v>
    <v>en-US</v>
    <v>a1t34c</v>
    <v>268435456</v>
    <v>1</v>
    <v>Powered by Refinitiv</v>
    <v>92.41</v>
    <v>37.340000000000003</v>
    <v>1.3290999999999999</v>
    <v>1.29</v>
    <v>1.7111000000000001E-2</v>
    <v>USD</v>
    <v>Flowserve Corporation is a provider of fluid motion and control products and services. The Company produces engineered and industrial pumps, seals and valves as well as a range of related flow management services. Its Flowserve Pumps Division segment designs, manufactures, pretests, distributes and services highly custom-engineered pumps, pre-configured industrial pumps, pump systems, mechanical seals and auxiliary systems (original equipment) and related services. Its products and services are used by companies that operate in the energy, power generation, chemical, and general industries. Its Flowserve Pumps Division segment designs, manufactures, and distributes a portfolio of engineered-to-order and configured-to-order isolation valves, control valves, valve automation products and related equipment. Its products are used to control, direct and manage the flow of liquids, gases and multiphase fluids. It also provides aftermarket products and services for industrial gas turbines.</v>
    <v>16000</v>
    <v>New York Stock Exchange</v>
    <v>XNYS</v>
    <v>XNYS</v>
    <v>5215 N. O'connor Blvd., Suite 700, IRVING, TX, 75039 US</v>
    <v>77.41</v>
    <v>Machinery, Equipment &amp; Components</v>
    <v>Stock</v>
    <v>46106.612670578128</v>
    <v>1160</v>
    <v>75.38</v>
    <v>9758319804</v>
    <v>FLOWSERVE CORPORATION</v>
    <v>FLOWSERVE CORPORATION</v>
    <v>76.795000000000002</v>
    <v>29.225899999999999</v>
    <v>75.39</v>
    <v>76.680000000000007</v>
    <v>127260300</v>
    <v>FLS</v>
    <v>FLOWSERVE CORPORATION (XNYS:FLS)</v>
    <v>382408</v>
    <v>1655702</v>
    <v>1912</v>
  </rv>
  <rv s="2">
    <v>1161</v>
  </rv>
  <rv s="0">
    <v>https://www.bing.com/financeapi/forcetrigger?t=c3o6u2&amp;q=XNAS%3aARHS&amp;form=skydnc</v>
    <v>Learn more on Bing</v>
  </rv>
  <rv s="1">
    <v>0</v>
    <v>ARHAUS, INC. (XNAS:ARHS)</v>
    <v>2</v>
    <v>3</v>
    <v>Finance</v>
    <v>4</v>
    <v>en-US</v>
    <v>c3o6u2</v>
    <v>268435456</v>
    <v>1</v>
    <v>Powered by Refinitiv</v>
    <v>12.370200000000001</v>
    <v>6.2995000000000001</v>
    <v>2.5661999999999998</v>
    <v>0.185</v>
    <v>2.8330999999999999E-2</v>
    <v>USD</v>
    <v>Arhaus, Inc. is a lifestyle brand and omni-channel retailer of premium home furnishings. The Company through its proprietary model, designs and sources products from manufacturers and artisans around the world. It has approximately 100 showrooms and design center locations across the United States. It offers merchandise in various categories, including furniture, outdoor, lighting, textiles, and decor. Its furniture product offerings consist of bedroom, dining room, living room and home office furnishings and include sofas, dining tables, and chairs, among others. Its outdoor product offerings include outdoor dining tables, chairs, chaises and other furniture, lighting, and others. Its lighting product offerings consist of a variety of distinct and artistic lighting fixtures. Its textile product offerings include handcrafted indoor and outdoor rugs, bed linens, and pillows and throws. Decor ranges from wall art to mirrors, vases to candles, and many other decorative accessories.</v>
    <v>2700</v>
    <v>Nasdaq Stock Market</v>
    <v>XNAS</v>
    <v>XNAS</v>
    <v>51 East Hines Hill Road, Boston Heights, OH, 44236 US</v>
    <v>6.8846999999999996</v>
    <v>Specialty Retailers</v>
    <v>Stock</v>
    <v>46106.612757036717</v>
    <v>1163</v>
    <v>6.62</v>
    <v>947636244</v>
    <v>ARHAUS, INC.</v>
    <v>ARHAUS, INC.</v>
    <v>6.63</v>
    <v>14.116</v>
    <v>6.53</v>
    <v>6.7149999999999999</v>
    <v>141122300</v>
    <v>ARHS</v>
    <v>ARHAUS, INC. (XNAS:ARHS)</v>
    <v>213034</v>
    <v>1542253</v>
    <v>2021</v>
  </rv>
  <rv s="2">
    <v>1164</v>
  </rv>
  <rv s="0">
    <v>https://www.bing.com/financeapi/forcetrigger?t=a1yjxm&amp;q=XNYS%3aNKE&amp;form=skydnc</v>
    <v>Learn more on Bing</v>
  </rv>
  <rv s="1">
    <v>0</v>
    <v>NIKE, INC. (XNYS:NKE)</v>
    <v>2</v>
    <v>3</v>
    <v>Finance</v>
    <v>4</v>
    <v>en-US</v>
    <v>a1yjxm</v>
    <v>268435456</v>
    <v>1</v>
    <v>Powered by Refinitiv</v>
    <v>80.165000000000006</v>
    <v>52.174999999999997</v>
    <v>1.3145</v>
    <v>-0.44500000000000001</v>
    <v>-8.319E-3</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New York Stock Exchange</v>
    <v>XNYS</v>
    <v>XNYS</v>
    <v>One Bowerman Dr, BEAVERTON, OR, 97005-6453 US</v>
    <v>54.22</v>
    <v>Textiles &amp; Apparel</v>
    <v>Stock</v>
    <v>46106.612820717186</v>
    <v>1166</v>
    <v>52.88</v>
    <v>78526916235</v>
    <v>NIKE, INC.</v>
    <v>NIKE, INC.</v>
    <v>53.8</v>
    <v>31.104099999999999</v>
    <v>53.49</v>
    <v>53.045000000000002</v>
    <v>1480383000</v>
    <v>NKE</v>
    <v>NIKE, INC. (XNYS:NKE)</v>
    <v>2916045</v>
    <v>15937584</v>
    <v>1969</v>
  </rv>
  <rv s="2">
    <v>1167</v>
  </rv>
  <rv s="0">
    <v>https://www.bing.com/financeapi/forcetrigger?t=c29evh&amp;q=XNYS%3aCNM&amp;form=skydnc</v>
    <v>Learn more on Bing</v>
  </rv>
  <rv s="1">
    <v>0</v>
    <v>CORE &amp; MAIN, INC. (XNYS:CNM)</v>
    <v>2</v>
    <v>3</v>
    <v>Finance</v>
    <v>4</v>
    <v>en-US</v>
    <v>c29evh</v>
    <v>268435456</v>
    <v>1</v>
    <v>Powered by Refinitiv</v>
    <v>67.180000000000007</v>
    <v>43.174999999999997</v>
    <v>0.99209999999999998</v>
    <v>-1.2849999999999999</v>
    <v>-2.5405E-2</v>
    <v>USD</v>
    <v>Core &amp; Main, Inc. specializes in advancing reliable infrastructure with local service, nationwide. The Company, as a specialty distributor with a focus on water, wastewater, storm drainage and fire protection products and related services, provides solutions to municipalities, private water companies and professional contractors across municipal, non-residential and residential end markets. With more than 370 locations across the United States, the Company provides its customers local expertise backed by a national supply chain. The Company also has operations in Canada. The Company’s products include pipes, valves, fittings, storm drainage products, fire protection products, meter products and other products. The Company complements its core products through additional offerings, including fusible high-density polyethylene (fusible HDPE) piping solutions, specifically engineered treatment plant products, geosynthetics and erosion control products.</v>
    <v>5700</v>
    <v>New York Stock Exchange</v>
    <v>XNYS</v>
    <v>XNYS</v>
    <v>1830 Craig Park Court, ST. LOUIS, MO, 63146 US</v>
    <v>50.96</v>
    <v>Machinery, Equipment &amp; Components</v>
    <v>Stock</v>
    <v>46106.61276740703</v>
    <v>1169</v>
    <v>48.49</v>
    <v>9637778828</v>
    <v>CORE &amp; MAIN, INC.</v>
    <v>CORE &amp; MAIN, INC.</v>
    <v>50.58</v>
    <v>21.6159</v>
    <v>50.58</v>
    <v>49.295000000000002</v>
    <v>195512300</v>
    <v>CNM</v>
    <v>CORE &amp; MAIN, INC. (XNYS:CNM)</v>
    <v>634380</v>
    <v>2501633</v>
    <v>2021</v>
  </rv>
  <rv s="2">
    <v>1170</v>
  </rv>
  <rv s="0">
    <v>https://www.bing.com/financeapi/forcetrigger?t=a1p3ww&amp;q=XNYS%3aC&amp;form=skydnc</v>
    <v>Learn more on Bing</v>
  </rv>
  <rv s="1">
    <v>0</v>
    <v>CITIGROUP INC. (XNYS:C)</v>
    <v>2</v>
    <v>3</v>
    <v>Finance</v>
    <v>4</v>
    <v>en-US</v>
    <v>a1p3ww</v>
    <v>268435456</v>
    <v>1</v>
    <v>Powered by Refinitiv</v>
    <v>125.16</v>
    <v>55.51</v>
    <v>1.0886</v>
    <v>1.2549999999999999</v>
    <v>1.1033999999999999E-2</v>
    <v>USD</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226000</v>
    <v>New York Stock Exchange</v>
    <v>XNYS</v>
    <v>XNYS</v>
    <v>388 Greenwich Street, 17th Floor, NEW YORK, NY, 10013 US</v>
    <v>116.13</v>
    <v>Investment Banking &amp; Investment Services</v>
    <v>Stock</v>
    <v>46106.612721446094</v>
    <v>1172</v>
    <v>114.6</v>
    <v>201162938405</v>
    <v>CITIGROUP INC.</v>
    <v>CITIGROUP INC.</v>
    <v>114.99</v>
    <v>16.497900000000001</v>
    <v>113.74</v>
    <v>114.995</v>
    <v>1749319000</v>
    <v>C</v>
    <v>CITIGROUP INC. (XNYS:C)</v>
    <v>2639002</v>
    <v>15834741</v>
    <v>1988</v>
  </rv>
  <rv s="2">
    <v>1173</v>
  </rv>
  <rv s="0">
    <v>https://www.bing.com/financeapi/forcetrigger?t=a1sx27&amp;q=XNAS%3aFISV&amp;form=skydnc</v>
    <v>Learn more on Bing</v>
  </rv>
  <rv s="1">
    <v>0</v>
    <v>FISERV, INC. (XNAS:FISV)</v>
    <v>2</v>
    <v>3</v>
    <v>Finance</v>
    <v>4</v>
    <v>en-US</v>
    <v>a1sx27</v>
    <v>268435456</v>
    <v>1</v>
    <v>Powered by Refinitiv</v>
    <v>227</v>
    <v>55.860100000000003</v>
    <v>0.7833</v>
    <v>0.3</v>
    <v>5.3249999999999999E-3</v>
    <v>USD</v>
    <v>Fiserv, Inc. is a global provider of payments and financial services technology solutions. Its segments include Merchant Solutions (Merchant) and Financial Solutions (Financial). The businesses in its Merchant segment provide commerce-enabling products and services to companies of all sizes around the world. These products and services include merchant acquiring and digital commerce services; mobile payment services; security and fraud protection solutions; stored-value solutions; software-as-a-service; POS devices; and pay-by-bank solutions. The business lines in its Merchant segment consist of small business, enterprise, and processing. The businesses in its Financial segment provide products and services to financial institutions, corporate and public sector clients across the world, enabling the processing of customer loan and deposit accounts, digital payments and card transactions. The business lines in its Financial segment consist of digital payments, issuing, and banking.</v>
    <v>38000</v>
    <v>Nasdaq Stock Market</v>
    <v>XNAS</v>
    <v>XNAS</v>
    <v>600 N. Vel R. Phillips Avenue, MILWAUKEE, WI, 53203 US</v>
    <v>57.95</v>
    <v>Professional &amp; Commercial Services</v>
    <v>Stock</v>
    <v>46106.612680289065</v>
    <v>1175</v>
    <v>56.465000000000003</v>
    <v>30289797600</v>
    <v>FISERV, INC.</v>
    <v>FISERV, INC.</v>
    <v>57.13</v>
    <v>8.9353999999999996</v>
    <v>56.34</v>
    <v>56.64</v>
    <v>534777500</v>
    <v>FISV</v>
    <v>FISERV, INC. (XNAS:FISV)</v>
    <v>1219153</v>
    <v>6973650</v>
    <v>1992</v>
  </rv>
  <rv s="2">
    <v>1176</v>
  </rv>
  <rv s="0">
    <v>https://www.bing.com/financeapi/forcetrigger?t=a24zec&amp;q=XNYS%3aURI&amp;form=skydnc</v>
    <v>Learn more on Bing</v>
  </rv>
  <rv s="1">
    <v>0</v>
    <v>UNITED RENTALS, INC. (XNYS:URI)</v>
    <v>2</v>
    <v>3</v>
    <v>Finance</v>
    <v>4</v>
    <v>en-US</v>
    <v>a24zec</v>
    <v>268435456</v>
    <v>1</v>
    <v>Powered by Refinitiv</v>
    <v>1021.47</v>
    <v>525.91359999999997</v>
    <v>1.6720999999999999</v>
    <v>2.1</v>
    <v>2.8120000000000003E-3</v>
    <v>USD</v>
    <v>United Rentals, Inc. is an equipment rental company. The Company's segments include General Rentals and Specialty. General Rentals segment includes the rental of construction, aerial and industrial equipment, general tools and light equipment, and related services and activities. General Rentals segment has four geographic divisions - Central, Northeast, Southeast and West - and operates throughout the United States and Canada. Specialty segment rents products (and provides setup and other services on such rented equipment), including trench safety equipment, such as trench shields, aluminum hydraulic shoring systems, slide rails, crossing plates, construction lasers and line testing equipment for underground work; fluid solutions equipment primarily used for fluid containment, transfer and treatment, and mobile storage equipment and modular office space. It has an integrated network of around 1,591 rental locations in North America, 39 in Europe, 37 in Australia and 19 in New Zealand.</v>
    <v>28500</v>
    <v>New York Stock Exchange</v>
    <v>XNYS</v>
    <v>XNYS</v>
    <v>100 First Stamford Place, Suite 700, STAMFORD, CT, 06902 US</v>
    <v>761.39</v>
    <v>Professional &amp; Commercial Services</v>
    <v>Stock</v>
    <v>46106.612735173439</v>
    <v>1178</v>
    <v>740</v>
    <v>47181834461</v>
    <v>UNITED RENTALS, INC.</v>
    <v>UNITED RENTALS, INC.</v>
    <v>759.55</v>
    <v>19.3812</v>
    <v>746.84</v>
    <v>748.94</v>
    <v>62998150</v>
    <v>URI</v>
    <v>UNITED RENTALS, INC. (XNYS:URI)</v>
    <v>110542</v>
    <v>626090</v>
    <v>1998</v>
  </rv>
  <rv s="2">
    <v>1179</v>
  </rv>
  <rv s="0">
    <v>https://www.bing.com/financeapi/forcetrigger?t=a1p652&amp;q=XNYS%3aCALX&amp;form=skydnc</v>
    <v>Learn more on Bing</v>
  </rv>
  <rv s="1">
    <v>0</v>
    <v>CALIX, INC. (XNYS:CALX)</v>
    <v>2</v>
    <v>3</v>
    <v>Finance</v>
    <v>4</v>
    <v>en-US</v>
    <v>a1p652</v>
    <v>268435456</v>
    <v>1</v>
    <v>Powered by Refinitiv</v>
    <v>71.22</v>
    <v>29.5</v>
    <v>1.4959</v>
    <v>1.44</v>
    <v>2.7007E-2</v>
    <v>USD</v>
    <v>Calix, Inc. is an appliance-based platform, cloud and managed services company. It develops, markets, and sells its appliance-based platform, cloud and managed services that enable service providers of all types and sizes to transform their businesses. Its Calix Platform consists of Calix Cloud, which comes in three role-based editions: Calix Engagement Cloud, Calix Operations Cloud and Calix Service Cloud; Calix Intelligent Access, its network solution for automated, intelligent next-generation networks, and Calix Unlimited Subscriber, its premises solution for subscriber managed services. Its SmartLife managed services consist of SmartHome managed services and applications to enhance, operate and secure the connected experience of subscribers in their home; SmartBiz managed services address the business networking and productivity needs of small business owners, and SmartMDU managed services, which provide purpose-built, flexible connectivity solutions for multifamily properties.</v>
    <v>1921</v>
    <v>New York Stock Exchange</v>
    <v>XNYS</v>
    <v>XNYS</v>
    <v>3155 Olsen Drive, Suite 450, SAN JOSE, CA, 95117 US</v>
    <v>54.965000000000003</v>
    <v>Communications &amp; Networking</v>
    <v>Stock</v>
    <v>46106.61267696719</v>
    <v>1181</v>
    <v>53.914999999999999</v>
    <v>3592675461</v>
    <v>CALIX, INC.</v>
    <v>CALIX, INC.</v>
    <v>53.984999999999999</v>
    <v>217.8202</v>
    <v>53.32</v>
    <v>54.76</v>
    <v>65607660</v>
    <v>CALX</v>
    <v>CALIX, INC. (XNYS:CALX)</v>
    <v>53120</v>
    <v>851872</v>
    <v>1999</v>
  </rv>
  <rv s="2">
    <v>1182</v>
  </rv>
  <rv s="3">
    <v>5</v>
    <v>Atmus Filtration Technologies Inc (XNYS:ATMU)</v>
    <v>6</v>
    <v>3</v>
    <v>Finance</v>
    <v>4</v>
    <v>en-US</v>
    <v>c9vjww</v>
    <v>268435456</v>
    <v>1</v>
    <v>Powered by Refinitiv</v>
    <v>66.5</v>
    <v>30.94</v>
    <v>1.226</v>
    <v>0.98</v>
    <v>1.6532000000000002E-2</v>
    <v>USD</v>
    <v>Atmus Filtration Technologies Inc. is engaged in filtration and media solutions. The Company designs and manufactures advanced filtration products, principally under the Fleetguard brand, that enable lower emissions and provide superior asset protection. It serves customers across the truck, bus, agriculture, construction, mining, marine and power generation vehicle, and equipment markets, along with providing comprehensive aftermarket support and solutions. Its products include fuel filters, lube filters, air filters, crankcase ventilation, hydraulic filters and coolants and other chemicals. It offers products for first fit and aftermarket applications to original equipment manufacturers, dealers/distributors, and end-users. The Company produces and sells Fleetguard branded products across North America, Europe, South America, Asia, Australia, and the African continents. Its Fleetguard branded products are available through distribution centers worldwide.</v>
    <v>4500</v>
    <v>New York Stock Exchange</v>
    <v>XNYS</v>
    <v>XNYS</v>
    <v>26 Century Boulevard, NASHVILLE, TN, 37214 US</v>
    <v>60.57</v>
    <v>Automobiles &amp; Auto Parts</v>
    <v>Stock</v>
    <v>46106.612615022656</v>
    <v>59.43</v>
    <v>4911707633</v>
    <v>Atmus Filtration Technologies Inc</v>
    <v>Atmus Filtration Technologies Inc</v>
    <v>59.43</v>
    <v>23.988900000000001</v>
    <v>59.28</v>
    <v>60.26</v>
    <v>81508590</v>
    <v>ATMU</v>
    <v>Atmus Filtration Technologies Inc (XNYS:ATMU)</v>
    <v>135495</v>
    <v>838319</v>
    <v>2022</v>
  </rv>
  <rv s="2">
    <v>1184</v>
  </rv>
  <rv s="0">
    <v>https://www.bing.com/financeapi/forcetrigger?t=a1mwww&amp;q=XNAS%3aADUS&amp;form=skydnc</v>
    <v>Learn more on Bing</v>
  </rv>
  <rv s="1">
    <v>0</v>
    <v>ADDUS HOMECARE CORPORATION (XNAS:ADUS)</v>
    <v>2</v>
    <v>3</v>
    <v>Finance</v>
    <v>4</v>
    <v>en-US</v>
    <v>a1mwww</v>
    <v>268435456</v>
    <v>1</v>
    <v>Powered by Refinitiv</v>
    <v>124.435</v>
    <v>91.35</v>
    <v>0.93159999999999998</v>
    <v>-1.03</v>
    <v>-1.0371999999999999E-2</v>
    <v>USD</v>
    <v>Addus HomeCare Corporation is engaged in providing home care services. Its segments include Personal Care, Hospice, and Home Health. The Personal Care segment provides non-medical assistance with activities of daily living, to persons who are at increased risk of hospitalization or institutionalization, such as the elderly, chronically ill or disabled. The services it provides include assistance with bathing, grooming, feeding and dressing, medication reminders and others. The Hospice segment provides physical, emotional and spiritual care for people who are terminally ill and related services for their families. The Hospice services it provides include palliative nursing care, social work, spiritual counseling, homemaker services and bereavement counseling. Its Home Health segment provides services that are medical in nature to individuals who may require assistance during an illness or after hospitalization and includes skilled nursing and physical, occupational and speech therapy.</v>
    <v>5290</v>
    <v>Nasdaq Stock Market</v>
    <v>XNAS</v>
    <v>XNAS</v>
    <v>6303 Cowboys Way, Suite 600, FRISCO, TX, 75034 US</v>
    <v>100.245</v>
    <v>Healthcare Providers &amp; Services</v>
    <v>Stock</v>
    <v>46106.612631515622</v>
    <v>1186</v>
    <v>97.305000000000007</v>
    <v>1832294973</v>
    <v>ADDUS HOMECARE CORPORATION</v>
    <v>ADDUS HOMECARE CORPORATION</v>
    <v>99.23</v>
    <v>18.837700000000002</v>
    <v>99.31</v>
    <v>98.28</v>
    <v>18643620</v>
    <v>ADUS</v>
    <v>ADDUS HOMECARE CORPORATION (XNAS:ADUS)</v>
    <v>51343</v>
    <v>261173</v>
    <v>2006</v>
  </rv>
  <rv s="2">
    <v>1187</v>
  </rv>
  <rv s="0">
    <v>https://www.bing.com/financeapi/forcetrigger?t=a1pdbh&amp;q=XNAS%3aCCOI&amp;form=skydnc</v>
    <v>Learn more on Bing</v>
  </rv>
  <rv s="1">
    <v>0</v>
    <v>COGENT COMMUNICATIONS HOLDINGS, INC. (XNAS:CCOI)</v>
    <v>2</v>
    <v>3</v>
    <v>Finance</v>
    <v>4</v>
    <v>en-US</v>
    <v>a1pdbh</v>
    <v>268435456</v>
    <v>1</v>
    <v>Powered by Refinitiv</v>
    <v>68.099999999999994</v>
    <v>15.96</v>
    <v>0.76170000000000004</v>
    <v>0.25</v>
    <v>1.3684E-2</v>
    <v>USD</v>
    <v>Cogent Communications Holdings, Inc. is a facilities-based provider of Internet access, private network services, optical wavelength, and optical transport services and data center colocation space and power. The Company, through its own facilities, offers on-net Internet access services to customers located in buildings that are physically connected to its network. Its network is specifically designed and optimized to transmit packet routed data. Its on-net service consists of high-speed Internet access and private network services offered at speeds ranging from 100 megabits per second (Mbps) to 400 gigabits per second (Gbps). The Company delivers its services on its network in 56 countries across North America, Europe, South America, Oceania and Africa. Its corporate customers are located in multi-tenant office buildings (MTOBs), which include law firms, advertising and marketing firms, as well as healthcare providers, and other professional services businesses, among others.</v>
    <v>1833</v>
    <v>Nasdaq Stock Market</v>
    <v>XNAS</v>
    <v>XNAS</v>
    <v>2450 N Street, Nw, WASHINGTON, DC, 20037 US</v>
    <v>18.78</v>
    <v>Telecommunications Services</v>
    <v>Stock</v>
    <v>46106.612569200784</v>
    <v>1189</v>
    <v>18.265000000000001</v>
    <v>927895707</v>
    <v>COGENT COMMUNICATIONS HOLDINGS, INC.</v>
    <v>COGENT COMMUNICATIONS HOLDINGS, INC.</v>
    <v>18.45</v>
    <v>0</v>
    <v>18.27</v>
    <v>18.52</v>
    <v>50102360</v>
    <v>CCOI</v>
    <v>COGENT COMMUNICATIONS HOLDINGS, INC. (XNAS:CCOI)</v>
    <v>114417</v>
    <v>1615183</v>
    <v>2014</v>
  </rv>
  <rv s="2">
    <v>1190</v>
  </rv>
  <rv s="0">
    <v>https://www.bing.com/financeapi/forcetrigger?t=a2cr2w&amp;q=XNYS%3aAMR&amp;form=skydnc</v>
    <v>Learn more on Bing</v>
  </rv>
  <rv s="10">
    <v>18</v>
    <v>ALPHA METALLURGICAL RESOURCES, INC. (XNYS:AMR)</v>
    <v>2</v>
    <v>8</v>
    <v>Finance</v>
    <v>4</v>
    <v>en-US</v>
    <v>a2cr2w</v>
    <v>268435456</v>
    <v>1</v>
    <v>Powered by Refinitiv</v>
    <v>253.81989999999999</v>
    <v>97.41</v>
    <v>0.70140000000000002</v>
    <v>2.82</v>
    <v>1.2938E-2</v>
    <v>USD</v>
    <v>Alpha Metallurgical Resources, Inc. is a mining company with operations across Virginia and West Virginia. The Company supplies metallurgical products to the steel industry. Its portfolio of mining operations consists of over 14 underground mines, six surface mines and eight coal preparation plants. It extracts, processes and markets metallurgical coal from deep and surface mines for sale to steel and coke producers, industrial customers, and electric utilities. It conducts mining operations only in the United States with mines in Central Appalachia. The Company operates in one segment: Met, which consists of six active mining complexes whose primary product is metallurgical coal that is extracted, processed, and marketed to domestic and international steel and coke producers. The Met segment operations consist of metallurgical coal mines, including Deep Mine 41, Road Fork 52, Black Eagle, and Lynn Branch.</v>
    <v>3960</v>
    <v>New York Stock Exchange</v>
    <v>XNYS</v>
    <v>XNYS</v>
    <v>340 Martin Luther King Jr Blvd, BRISTOL, TN, 37620 US</v>
    <v>223.02</v>
    <v>Metals &amp; Mining</v>
    <v>Stock</v>
    <v>46106.61258445547</v>
    <v>1192</v>
    <v>216</v>
    <v>2824498025</v>
    <v>ALPHA METALLURGICAL RESOURCES, INC.</v>
    <v>ALPHA METALLURGICAL RESOURCES, INC.</v>
    <v>218.45</v>
    <v>217.97</v>
    <v>220.79</v>
    <v>12792690</v>
    <v>AMR</v>
    <v>ALPHA METALLURGICAL RESOURCES, INC. (XNYS:AMR)</v>
    <v>70174</v>
    <v>333722</v>
    <v>2016</v>
  </rv>
  <rv s="2">
    <v>1193</v>
  </rv>
  <rv s="0">
    <v>https://www.bing.com/financeapi/forcetrigger?t=a1rlu2&amp;q=XNYS%3aECL&amp;form=skydnc</v>
    <v>Learn more on Bing</v>
  </rv>
  <rv s="1">
    <v>0</v>
    <v>ECOLAB INC. (XNYS:ECL)</v>
    <v>2</v>
    <v>3</v>
    <v>Finance</v>
    <v>4</v>
    <v>en-US</v>
    <v>a1rlu2</v>
    <v>268435456</v>
    <v>1</v>
    <v>Powered by Refinitiv</v>
    <v>309.27</v>
    <v>221.62</v>
    <v>1.0254000000000001</v>
    <v>2.71</v>
    <v>1.0246E-2</v>
    <v>USD</v>
    <v>Ecolab Inc. is engaged in offering water, hygiene and infection prevention solutions and services that protect people and the resources vital to life. The Company’s Global Industrial segment provides water treatment and process applications, and cleaning and sanitizing solutions primarily to large industrial customers within the manufacturing, food and beverage processing, transportation, chemical, primary metals and mining, power generation, global refining, petrochemical, pulp and paper industries. Its Global Institutional &amp; Specialty segment provides specialized cleaning and sanitizing products to the foodservice, hospitality, lodging, government and education and retail industries. Its Global Healthcare &amp; Life Sciences segment provides specialized cleaning and sanitizing products to the healthcare, personal care, and pharmaceutical industries. Its Global Pest Elimination segment provides services designed to detect, prevent, and eliminate pests, such as rodents and insects.</v>
    <v>48000</v>
    <v>New York Stock Exchange</v>
    <v>XNYS</v>
    <v>XNYS</v>
    <v>1 Ecolab Place, SAINT PAUL, MN, 55102 US</v>
    <v>269.5</v>
    <v>Chemicals</v>
    <v>Stock</v>
    <v>46106.61278984922</v>
    <v>1195</v>
    <v>265.2</v>
    <v>75463639360</v>
    <v>ECOLAB INC.</v>
    <v>ECOLAB INC.</v>
    <v>267.87</v>
    <v>36.720399999999998</v>
    <v>264.49</v>
    <v>267.2</v>
    <v>282423800</v>
    <v>ECL</v>
    <v>ECOLAB INC. (XNYS:ECL)</v>
    <v>270596</v>
    <v>1585092</v>
    <v>1924</v>
  </rv>
  <rv s="2">
    <v>1196</v>
  </rv>
  <rv s="0">
    <v>https://www.bing.com/financeapi/forcetrigger?t=a1w8ec&amp;q=XNYS%3aJNJ&amp;form=skydnc</v>
    <v>Learn more on Bing</v>
  </rv>
  <rv s="1">
    <v>0</v>
    <v>JOHNSON &amp; JOHNSON (XNYS:JNJ)</v>
    <v>2</v>
    <v>3</v>
    <v>Finance</v>
    <v>4</v>
    <v>en-US</v>
    <v>a1w8ec</v>
    <v>268435456</v>
    <v>1</v>
    <v>Powered by Refinitiv</v>
    <v>251.71</v>
    <v>141.5</v>
    <v>0.34749999999999998</v>
    <v>4.125</v>
    <v>1.7533E-2</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138200</v>
    <v>New York Stock Exchange</v>
    <v>XNYS</v>
    <v>XNYS</v>
    <v>One Johnson &amp; Johnson Plaza, NEW BRUNSWICK, NJ, 08933 US</v>
    <v>239.72</v>
    <v>Pharmaceuticals</v>
    <v>Stock</v>
    <v>46106.612718599215</v>
    <v>1198</v>
    <v>235.745</v>
    <v>576609909135</v>
    <v>JOHNSON &amp; JOHNSON</v>
    <v>JOHNSON &amp; JOHNSON</v>
    <v>236.5</v>
    <v>21.68</v>
    <v>235.27</v>
    <v>239.39500000000001</v>
    <v>2408613000</v>
    <v>JNJ</v>
    <v>JOHNSON &amp; JOHNSON (XNYS:JNJ)</v>
    <v>1220033</v>
    <v>8550955</v>
    <v>1887</v>
  </rv>
  <rv s="2">
    <v>1199</v>
  </rv>
  <rv s="0">
    <v>https://www.bing.com/financeapi/forcetrigger?t=a1pdk2&amp;q=XNAS%3aCCRN&amp;form=skydnc</v>
    <v>Learn more on Bing</v>
  </rv>
  <rv s="1">
    <v>0</v>
    <v>CROSS COUNTRY HEALTHCARE, INC. (XNAS:CCRN)</v>
    <v>2</v>
    <v>3</v>
    <v>Finance</v>
    <v>4</v>
    <v>en-US</v>
    <v>a1pdk2</v>
    <v>268435456</v>
    <v>1</v>
    <v>Powered by Refinitiv</v>
    <v>15.3</v>
    <v>7.43</v>
    <v>0.3266</v>
    <v>-0.05</v>
    <v>-5.1280000000000006E-3</v>
    <v>USD</v>
    <v>Cross Country Healthcare, Inc. is a technology-enabled workforce solution and advisory company. The Company’s segments include Nurse and Allied Staffing and Physician Staffing. The Nurse and Allied Staffing segment provides traditional staffing, recruiting, and value-added total talent solutions, including temporary and permanent placement of travel and local nurse and allied professionals, and healthcare leaders within nursing, allied, physician, and human resources; vendor neutral programs and managed service programs; education healthcare services; in-home care services, and outsourcing services. The Physician Staffing segment provides physicians in many specialties, as well as certified registered nurse anesthetists, nurse practitioners, and physician assistants as independent contractors on temporary assignments throughout the United States at various healthcare facilities, such as acute and non-acute care facilities, government facilities and managed care organizations.</v>
    <v>6784</v>
    <v>Nasdaq Stock Market</v>
    <v>XNAS</v>
    <v>XNAS</v>
    <v>5201 Congress Avenue, Suite 160, BOCA RATON, FL, 33487 US</v>
    <v>9.8000000000000007</v>
    <v>Professional &amp; Commercial Services</v>
    <v>Stock</v>
    <v>46106.612756689065</v>
    <v>1201</v>
    <v>9.5686999999999998</v>
    <v>313491778</v>
    <v>CROSS COUNTRY HEALTHCARE, INC.</v>
    <v>CROSS COUNTRY HEALTHCARE, INC.</v>
    <v>9.8000000000000007</v>
    <v>0</v>
    <v>9.75</v>
    <v>9.6999999999999993</v>
    <v>32318740</v>
    <v>CCRN</v>
    <v>CROSS COUNTRY HEALTHCARE, INC. (XNAS:CCRN)</v>
    <v>50628</v>
    <v>630817</v>
    <v>1999</v>
  </rv>
  <rv s="2">
    <v>1202</v>
  </rv>
  <rv s="0">
    <v>https://www.bing.com/financeapi/forcetrigger?t=a1r1r7&amp;q=XNYS%3aDHR&amp;form=skydnc</v>
    <v>Learn more on Bing</v>
  </rv>
  <rv s="1">
    <v>0</v>
    <v>DANAHER CORPORATION (XNYS:DHR)</v>
    <v>2</v>
    <v>3</v>
    <v>Finance</v>
    <v>4</v>
    <v>en-US</v>
    <v>a1r1r7</v>
    <v>268435456</v>
    <v>1</v>
    <v>Powered by Refinitiv</v>
    <v>242.8</v>
    <v>171</v>
    <v>0.95860000000000001</v>
    <v>-1.915</v>
    <v>-1.0074000000000001E-2</v>
    <v>USD</v>
    <v>Danaher Corporation is a global life sciences and diagnostics innovator. The Company operates through three segments: Biotechnology, Life Sciences and Diagnostics. The Biotechnology segment includes the bioprocessing and discovery and medical businesses and offers a broad range of equipment, consumables and services that are primarily used by customers to advance and accelerate the research, development, manufacture and delivery of biological medicines. The Life Sciences segment offers a broad range of instruments, consumables, services and software that are primarily used by customers to study the basic building blocks of life, including deoxyribonucleic acid (DNA) and ribonucleic acid (RNA), nucleic acid, proteins, metabolites and cells. The Diagnostics segment offers clinical instruments, consumables, software and services that hospitals, physicians’ offices, reference laboratories and other critical care settings use to diagnose disease and make treatment decisions.</v>
    <v>58000</v>
    <v>New York Stock Exchange</v>
    <v>XNYS</v>
    <v>XNYS</v>
    <v>2200 Pennsylvania Ave NW Ste 800W, WASHINGTON, DC, 20037-1701 US</v>
    <v>192.96</v>
    <v>Healthcare Equipment &amp; Supplies</v>
    <v>Stock</v>
    <v>46106.612801712501</v>
    <v>1204</v>
    <v>187.6</v>
    <v>133073009170</v>
    <v>DANAHER CORPORATION</v>
    <v>DANAHER CORPORATION</v>
    <v>192.8</v>
    <v>37.433399999999999</v>
    <v>190.1</v>
    <v>188.185</v>
    <v>707139300</v>
    <v>DHR</v>
    <v>DANAHER CORPORATION (XNYS:DHR)</v>
    <v>880452</v>
    <v>3910783</v>
    <v>1986</v>
  </rv>
  <rv s="2">
    <v>1205</v>
  </rv>
  <rv s="0">
    <v>https://www.bing.com/financeapi/forcetrigger?t=a1zwm7&amp;q=XNYS%3aPIPR&amp;form=skydnc</v>
    <v>Learn more on Bing</v>
  </rv>
  <rv s="1">
    <v>0</v>
    <v>PIPER SANDLER COMPANIES (XNYS:PIPR)</v>
    <v>2</v>
    <v>3</v>
    <v>Finance</v>
    <v>4</v>
    <v>en-US</v>
    <v>a1zwm7</v>
    <v>268435456</v>
    <v>1</v>
    <v>Powered by Refinitiv</v>
    <v>93.503299999999996</v>
    <v>49.894100000000002</v>
    <v>1.4999</v>
    <v>0.35</v>
    <v>4.7419999999999997E-3</v>
    <v>USD</v>
    <v>Piper Sandler Companies is an investment bank and institutional securities firm, serving the needs of corporations, private equity groups, public entities, non-profit entities and institutional investors in the United States and internationally. The Company operates in one segment, providing investment banking services, institutional sales and trading services for various equity and fixed income products, and research services. It provides a broad set of products and services, including financial advisory services; equity and debt capital markets products; public finance services; institutional brokerage services; fundamental equity and macro research services; fixed income services; and alternative asset management strategies. The Company operates alternative asset management funds in merchant banking and healthcare in order to invest firm capital and to manage capital from outside investors. It offers both equity and fixed income advisory and trade execution services.</v>
    <v>1858</v>
    <v>New York Stock Exchange</v>
    <v>XNYS</v>
    <v>XNYS</v>
    <v>350 North 5Th Street, Suite 1000, MINNEAPOLIS, MN, 55401 US</v>
    <v>76.510000000000005</v>
    <v>Investment Banking &amp; Investment Services</v>
    <v>Stock</v>
    <v>46106.612682626561</v>
    <v>1207</v>
    <v>73.819999999999993</v>
    <v>5286847118</v>
    <v>PIPER SANDLER COMPANIES</v>
    <v>PIPER SANDLER COMPANIES</v>
    <v>75.27</v>
    <v>18.752800000000001</v>
    <v>73.81</v>
    <v>74.16</v>
    <v>71289740</v>
    <v>PIPR</v>
    <v>PIPER SANDLER COMPANIES (XNYS:PIPR)</v>
    <v>117862</v>
    <v>851226</v>
    <v>2003</v>
  </rv>
  <rv s="2">
    <v>1208</v>
  </rv>
  <rv s="0">
    <v>https://www.bing.com/financeapi/forcetrigger?t=a1qvp2&amp;q=XNYS%3aDECK&amp;form=skydnc</v>
    <v>Learn more on Bing</v>
  </rv>
  <rv s="1">
    <v>0</v>
    <v>DECKERS OUTDOOR CORPORATION (XNYS:DECK)</v>
    <v>2</v>
    <v>3</v>
    <v>Finance</v>
    <v>4</v>
    <v>en-US</v>
    <v>a1qvp2</v>
    <v>268435456</v>
    <v>1</v>
    <v>Powered by Refinitiv</v>
    <v>133.43</v>
    <v>78.91</v>
    <v>1.2045999999999999</v>
    <v>-1.37</v>
    <v>-1.3512E-2</v>
    <v>USD</v>
    <v>Deckers Outdoor Corporation designs, markets, and distributes footwear, apparel, and accessories developed for both everyday casual lifestyle use and high-performance activities. Its segments include UGG brand, HOKA brand and Other brands. The UGG brand segment provides premium footwear, apparel and accessories. The HOKA brand segment’s products include running, trail, hiking, fitness, and lifestyle footwear offerings, as well as select apparel and accessories. Its Other brands segment consists of Teva brand, AHNU brand, and Koolaburra brand. Its Teva brand includes a variety of footwear options, from classic sandals and shoes to boots. The Koolaburra brand is a casual footwear fashion line that uses plush materials. Its AHNU brand’s footwear products fuse high-performance technology for everyday wear. Its portfolio of brands includes UGG, HOKA, Teva, and AHNU. It sells its products through domestic and international retailers and international distributors in its wholesale channel.</v>
    <v>5500</v>
    <v>New York Stock Exchange</v>
    <v>XNYS</v>
    <v>XNYS</v>
    <v>250 Coromar Drive, GOLETA, CA, 93117 US</v>
    <v>103.175</v>
    <v>Textiles &amp; Apparel</v>
    <v>Stock</v>
    <v>46106.612685671091</v>
    <v>1210</v>
    <v>98.85</v>
    <v>14197839000</v>
    <v>DECKERS OUTDOOR CORPORATION</v>
    <v>DECKERS OUTDOOR CORPORATION</v>
    <v>102.81</v>
    <v>14.1317</v>
    <v>101.39</v>
    <v>100.02</v>
    <v>141950000</v>
    <v>DECK</v>
    <v>DECKERS OUTDOOR CORPORATION (XNYS:DECK)</v>
    <v>481418</v>
    <v>2228823</v>
    <v>1993</v>
  </rv>
  <rv s="2">
    <v>1211</v>
  </rv>
  <rv s="3">
    <v>5</v>
    <v>Biohaven Ltd. (XNYS:BHVN)</v>
    <v>6</v>
    <v>3</v>
    <v>Finance</v>
    <v>4</v>
    <v>en-US</v>
    <v>c7ez52</v>
    <v>268435456</v>
    <v>1</v>
    <v>Powered by Refinitiv</v>
    <v>31.18</v>
    <v>7.48</v>
    <v>3.6358999999999999</v>
    <v>0.32500000000000001</v>
    <v>3.8737000000000001E-2</v>
    <v>USD</v>
    <v>Biohaven Ltd. is a biopharmaceutical company focused on the discovery, development and commercialization of treatments in key therapeutic areas, including immunology, neuroscience, and oncology. It is advancing its portfolio of therapeutics, leveraging its drug development experience and multiple proprietary drug development platforms. Its clinical and preclinical programs include Kv7 ion channel modulation for epilepsy and mood disorders; extracellular protein degradation for immunological diseases; TRPM3 antagonism for migraine and neuropathic pain; TYK2/JAK1 inhibition for neuroinflammatory disorders; glutamate modulation for obsessive-compulsive disorder (OCD) and spinocerebellar ataxia (SCA); myostatin inhibition for neuromuscular and metabolic diseases, including spinal muscular atrophy (SMA) and obesity; antibody recruiting bispecific molecules; and antibody drug conjugates for cancer. Its advanced product candidate from its glutamate receptor antagonist platform is troriluzole.</v>
    <v>274</v>
    <v>New York Stock Exchange</v>
    <v>XNYS</v>
    <v>XNYS</v>
    <v>215 Church Street, NEW HAVEN, CT, 06510 US</v>
    <v>8.7949999999999999</v>
    <v>Biotechnology &amp; Medical Research</v>
    <v>Stock</v>
    <v>46106.612668529684</v>
    <v>8.5250000000000004</v>
    <v>1310915529</v>
    <v>Biohaven Ltd.</v>
    <v>Biohaven Ltd.</v>
    <v>8.6</v>
    <v>0</v>
    <v>8.39</v>
    <v>8.7149999999999999</v>
    <v>150420600</v>
    <v>BHVN</v>
    <v>Biohaven Ltd. (XNYS:BHVN)</v>
    <v>409713</v>
    <v>2324969</v>
    <v>2022</v>
  </rv>
  <rv s="2">
    <v>1213</v>
  </rv>
  <rv s="0">
    <v>https://www.bing.com/financeapi/forcetrigger?t=a1z5cw&amp;q=XNYS%3aOHI&amp;form=skydnc</v>
    <v>Learn more on Bing</v>
  </rv>
  <rv s="1">
    <v>0</v>
    <v>OMEGA HEALTHCARE INVESTORS, INC. (XNYS:OHI)</v>
    <v>2</v>
    <v>3</v>
    <v>Finance</v>
    <v>4</v>
    <v>en-US</v>
    <v>a1z5cw</v>
    <v>268435456</v>
    <v>1</v>
    <v>Powered by Refinitiv</v>
    <v>49.14</v>
    <v>35.04</v>
    <v>0.56999999999999995</v>
    <v>0.13</v>
    <v>2.9060000000000002E-3</v>
    <v>USD</v>
    <v>Omega Healthcare Investors, Inc. is a real estate investment trust (REIT). The Company operates through a single segment, which invests in healthcare-related real estate properties located in the United States and the United Kingdom. Its core business is to provide financing and capital to the long-term healthcare industry with a particular focus on skilled nursing facilities (SNFs), assisted living facilities (ALFs), and to a lesser extent, independent living facilities (ILFs), rehabilitation and acute care facilities (specialty facilities) and medical office buildings (MOBs). Its core portfolio consists of its long-term leases and real estate loans with healthcare operating companies and affiliates. In addition, the Company makes loans to operators and/or their principals. The Company's portfolio of real estate investments includes over 1,026 healthcare facilities, located in 42 states and the United Kingdom that are operated by 87 third-party operators.</v>
    <v>69</v>
    <v>New York Stock Exchange</v>
    <v>XNYS</v>
    <v>XNYS</v>
    <v>303 International Circle, Suite 200, HUNT VALLEY, MD, 21030 US</v>
    <v>45.1</v>
    <v>Residential &amp; Commercial REIT</v>
    <v>Stock</v>
    <v>46106.612697441407</v>
    <v>1215</v>
    <v>44.64</v>
    <v>13259270200</v>
    <v>OMEGA HEALTHCARE INVESTORS, INC.</v>
    <v>OMEGA HEALTHCARE INVESTORS, INC.</v>
    <v>44.88</v>
    <v>23.224299999999999</v>
    <v>44.73</v>
    <v>44.86</v>
    <v>295570000</v>
    <v>OHI</v>
    <v>OMEGA HEALTHCARE INVESTORS, INC. (XNYS:OHI)</v>
    <v>147156</v>
    <v>1904887</v>
    <v>1992</v>
  </rv>
  <rv s="2">
    <v>1216</v>
  </rv>
  <rv s="0">
    <v>https://www.bing.com/financeapi/forcetrigger?t=bv2x5r&amp;q=XNAS%3aALXO&amp;form=skydnc</v>
    <v>Learn more on Bing</v>
  </rv>
  <rv s="1">
    <v>0</v>
    <v>ALX ONCOLOGY HOLDINGS INC. (XNAS:ALXO)</v>
    <v>2</v>
    <v>3</v>
    <v>Finance</v>
    <v>4</v>
    <v>en-US</v>
    <v>bv2x5r</v>
    <v>268435456</v>
    <v>1</v>
    <v>Powered by Refinitiv</v>
    <v>2.66</v>
    <v>0.40400000000000003</v>
    <v>0.49619999999999997</v>
    <v>0.105</v>
    <v>5.1471000000000003E-2</v>
    <v>USD</v>
    <v>ALX Oncology Holdings Inc. is a clinical-stage biotechnology company advancing a pipeline of therapies designed to treat cancer and extend patients’ lives. The Company's lead product candidate, evorpacept, is a CD47 blocking therapeutic that combines a high-affinity CD47 binding domain with an inactivated, proprietary Fc domain. It is engaged in focusing on combining evorpacept with anti-cancer antibodies, antibody drug conjugate (ADCs), and PD-1/PD-L1 immune checkpoint inhibitors. Evorpacept is being evaluated across multiple ongoing clinical trials in a range of cancer indications. Its second product candidate is ALX2004, an epidermal growth factor receptor (EGFR)-targeted ADC. ALX2004 comprises an affinity-tuned EGFR antibody backbone engineered for optimal activity as an ADC, a proprietary topoisomerase I inhibitor payload with enhanced bystander effect, and a linker with enhanced stability.</v>
    <v>43</v>
    <v>Nasdaq Stock Market</v>
    <v>XNAS</v>
    <v>XNAS</v>
    <v>323 Allerton Avenue, SOUTH SAN FRANCISCO, CA, 94080 US</v>
    <v>2.19</v>
    <v>Biotechnology &amp; Medical Research</v>
    <v>Stock</v>
    <v>46106.612565450778</v>
    <v>1218</v>
    <v>2.0299999999999998</v>
    <v>110604720</v>
    <v>ALX ONCOLOGY HOLDINGS INC.</v>
    <v>ALX ONCOLOGY HOLDINGS INC.</v>
    <v>2.0299999999999998</v>
    <v>0</v>
    <v>2.04</v>
    <v>2.145</v>
    <v>131608300</v>
    <v>ALXO</v>
    <v>ALX ONCOLOGY HOLDINGS INC. (XNAS:ALXO)</v>
    <v>613998</v>
    <v>809960</v>
    <v>2020</v>
  </rv>
  <rv s="2">
    <v>1219</v>
  </rv>
  <rv s="0">
    <v>https://www.bing.com/financeapi/forcetrigger?t=a1se77&amp;q=XNYS%3aEVR&amp;form=skydnc</v>
    <v>Learn more on Bing</v>
  </rv>
  <rv s="1">
    <v>0</v>
    <v>EVERCORE INC. (XNYS:EVR)</v>
    <v>2</v>
    <v>3</v>
    <v>Finance</v>
    <v>4</v>
    <v>en-US</v>
    <v>a1se77</v>
    <v>268435456</v>
    <v>1</v>
    <v>Powered by Refinitiv</v>
    <v>388.71</v>
    <v>148.63</v>
    <v>1.5886</v>
    <v>5.04</v>
    <v>1.8100999999999999E-2</v>
    <v>USD</v>
    <v>Evercore Inc. is an investment banking and investment management company. The Company's segment includes Investment Banking &amp; Equities and Investment Management. Investment Banking &amp; Equities includes the investment banking business through which it provides advice to clients on significant mergers, acquisitions, divestitures, shareholder activism, and other strategic corporate transactions, with a particular focus on advising multinational corporations and private equity firms on large, complex transactions. It also provides liability management and restructuring advice to companies in financial transition, as well as to creditors, shareholders, and potential acquirers. Investment Management includes the wealth management business, through which it provides investment advisory, wealth management and fiduciary services for high-net-worth individuals and associated entities, and the private equity business, which holds interests in private equity funds not managed by the Company.</v>
    <v>2570</v>
    <v>New York Stock Exchange</v>
    <v>XNYS</v>
    <v>XNYS</v>
    <v>55 E 52nd St Fl 38, NEW YORK, NY, 10055-0002 US</v>
    <v>289.73</v>
    <v>Investment Banking &amp; Investment Services</v>
    <v>Stock</v>
    <v>46106.612647534377</v>
    <v>1221</v>
    <v>281.67</v>
    <v>11891129956</v>
    <v>EVERCORE INC.</v>
    <v>EVERCORE INC.</v>
    <v>284.60000000000002</v>
    <v>20.235399999999998</v>
    <v>278.43</v>
    <v>283.47000000000003</v>
    <v>41948460</v>
    <v>EVR</v>
    <v>EVERCORE INC. (XNYS:EVR)</v>
    <v>103844</v>
    <v>736921</v>
    <v>2005</v>
  </rv>
  <rv s="2">
    <v>1222</v>
  </rv>
  <rv s="23">
    <v>48</v>
    <v>Simplify:ShTm Trs FS (ARCX:TUA)</v>
    <v>49</v>
    <v>24</v>
    <v>Finance</v>
    <v>25</v>
    <v>en-US</v>
    <v>c7xhsm</v>
    <v>268435456</v>
    <v>1</v>
    <v>Powered by Refinitiv</v>
    <v>22.82</v>
    <v>20.79</v>
    <v>5.6577000000000002</v>
    <v>0.11</v>
    <v>5.2719999999999998E-3</v>
    <v>USD</v>
    <v>NYSE Arca</v>
    <v>ARCX</v>
    <v>1.5E-3</v>
    <v>20.98</v>
    <v>ETF</v>
    <v>46106.610184825782</v>
    <v>20.93</v>
    <v>693541187.03999996</v>
    <v>Simplify:ShTm Trs FS</v>
    <v>20.965</v>
    <v>20.864999999999998</v>
    <v>20.975000000000001</v>
    <v>TUA</v>
    <v>Simplify:ShTm Trs FS (ARCX:TUA)</v>
    <v>3434731</v>
    <v>603165</v>
  </rv>
  <rv s="2">
    <v>1224</v>
  </rv>
  <rv s="0">
    <v>https://www.bing.com/financeapi/forcetrigger?t=bubcrw&amp;q=XNYS%3aRSI&amp;form=skydnc</v>
    <v>Learn more on Bing</v>
  </rv>
  <rv s="1">
    <v>0</v>
    <v>RUSH STREET INTERACTIVE, INC. (XNYS:RSI)</v>
    <v>2</v>
    <v>3</v>
    <v>Finance</v>
    <v>4</v>
    <v>en-US</v>
    <v>bubcrw</v>
    <v>268435456</v>
    <v>1</v>
    <v>Powered by Refinitiv</v>
    <v>22.65</v>
    <v>9.66</v>
    <v>1.4562999999999999</v>
    <v>0.12</v>
    <v>5.4149999999999997E-3</v>
    <v>USD</v>
    <v>Rush Street Interactive, Inc. is an online gaming and sports entertainment company focused on markets in the United States, Canada and Latin America. Through its brands, BetRivers, PlaySugarHouse and RushBet, offers real-money mobile and online operations in fifteen U.S. states: New Jersey, Pennsylvania, Indiana, Colorado, Illinois, Iowa, Michigan, Virginia, West Virginia, Arizona, New York, Louisiana, Maryland, Ohio and Delaware, as well as in the regulated international markets of Colombia, Ontario (Canada), Mexico and Peru. It operates and/or supports retail sports betting for its bricks-and-mortar partners under its brands or its partners’ respective brands depending on the terms of its arrangement. It also provides social gaming where users can earn or purchase virtual credits to enjoy free-to-play games. Users who exhaust their credits can either purchase additional virtual credits from the virtual cashier or wait until their virtual credits are replenished for free.</v>
    <v>912</v>
    <v>New York Stock Exchange</v>
    <v>XNYS</v>
    <v>XNYS</v>
    <v>900 N. Michigan Avenue, Suite 950, CHICAGO, IL, 60611 US</v>
    <v>22.5</v>
    <v>Hotels &amp; Entertainment Services</v>
    <v>Stock</v>
    <v>46106.612606342191</v>
    <v>1226</v>
    <v>22.04</v>
    <v>5176784736</v>
    <v>RUSH STREET INTERACTIVE, INC.</v>
    <v>RUSH STREET INTERACTIVE, INC.</v>
    <v>22.44</v>
    <v>70.595699999999994</v>
    <v>22.16</v>
    <v>22.28</v>
    <v>232351200</v>
    <v>RSI</v>
    <v>RUSH STREET INTERACTIVE, INC. (XNYS:RSI)</v>
    <v>140623</v>
    <v>2033065</v>
    <v>2019</v>
  </rv>
  <rv s="2">
    <v>1227</v>
  </rv>
  <rv s="0">
    <v>https://www.bing.com/financeapi/forcetrigger?t=a1w2cw&amp;q=XNYS%3aJCI&amp;form=skydnc</v>
    <v>Learn more on Bing</v>
  </rv>
  <rv s="1">
    <v>0</v>
    <v>JOHNSON CONTROLS INTERNATIONAL PUBLIC LIMITED COMPANY (XNYS:JCI)</v>
    <v>2</v>
    <v>3</v>
    <v>Finance</v>
    <v>4</v>
    <v>en-US</v>
    <v>a1w2cw</v>
    <v>268435456</v>
    <v>1</v>
    <v>Powered by Refinitiv</v>
    <v>146.49</v>
    <v>68.03</v>
    <v>1.3849</v>
    <v>1.085</v>
    <v>7.953E-3</v>
    <v>USD</v>
    <v>Johnson Controls International plc specializes in smart buildings. The Company's segments include Americas, EMEA and APAC. The Company is engaged in engineering, manufacturing, commissioning and retrofitting building products and systems, including commercial heating, ventilating, air-conditioning (HVAC) equipment, industrial refrigeration systems, controls, security systems, fire-detection systems and fire-suppression solutions. The Company also serves customers by providing technical services, including maintenance, management, repair, retrofit and replacement of equipment (in the HVAC, industrial refrigeration, controls, security and fire-protection space) and energy-management consulting. The Company serves various industries, including healthcare, schools, data centers, airports, stadiums and manufacturing. The Company's OpenBlue digital software platform enables enterprises to better manage their physical spaces by combining its building products and services.</v>
    <v>87000</v>
    <v>New York Stock Exchange</v>
    <v>XNYS</v>
    <v>XNYS</v>
    <v>One Albert Quay, Albert Quay, CORK, CORK IE</v>
    <v>137.995</v>
    <v>Machinery, Equipment &amp; Components</v>
    <v>Stock</v>
    <v>46106.612795983594</v>
    <v>1229</v>
    <v>136.5</v>
    <v>84168283492</v>
    <v>JOHNSON CONTROLS INTERNATIONAL PUBLIC LIMITED COMPANY</v>
    <v>JOHNSON CONTROLS INTERNATIONAL PUBLIC LIMITED COMPANY</v>
    <v>137.5</v>
    <v>46.125900000000001</v>
    <v>136.43</v>
    <v>137.51499999999999</v>
    <v>612066200</v>
    <v>JCI</v>
    <v>JOHNSON CONTROLS INTERNATIONAL PUBLIC LIMITED COMPANY (XNYS:JCI)</v>
    <v>403956</v>
    <v>4479686</v>
    <v>2014</v>
  </rv>
  <rv s="2">
    <v>1230</v>
  </rv>
  <rv s="0">
    <v>https://www.bing.com/financeapi/forcetrigger?t=a263cw&amp;q=XNYS%3aWTRG&amp;form=skydnc</v>
    <v>Learn more on Bing</v>
  </rv>
  <rv s="1">
    <v>0</v>
    <v>Essential Utilities, Inc. (XNYS:WTRG)</v>
    <v>2</v>
    <v>3</v>
    <v>Finance</v>
    <v>4</v>
    <v>en-US</v>
    <v>a263cw</v>
    <v>268435456</v>
    <v>1</v>
    <v>Powered by Refinitiv</v>
    <v>42.37</v>
    <v>36.32</v>
    <v>0.77780000000000005</v>
    <v>-0.33</v>
    <v>-8.3119999999999999E-3</v>
    <v>USD</v>
    <v>Essential Utilities, Inc. is the holding company for regulated utilities providing water, wastewater, or natural gas services. The Company’s segments include Regulated Water and Regulated Natural Gas. The Regulated Water segment consists of eight operating segments representing its water and wastewater regulated utility companies, which are organized by the states where the Company provides water and wastewater services. The Regulated Natural Gas segment consists of one operating segment representing natural gas utility companies for which the Company provides natural gas distribution services. It provides services in Pennsylvania, Ohio, Texas, Illinois, North Carolina, New Jersey, Indiana, Virginia, and Kentucky under the Aqua and Peoples brands. The Company also operates market-based activities, conducted through its non-regulated subsidiaries, that provide utility service line protection solutions and repair services to households and gas marketing and production activities.</v>
    <v>3303</v>
    <v>New York Stock Exchange</v>
    <v>XNYS</v>
    <v>XNYS</v>
    <v>762 W Lancaster Ave, BRYN MAWR, PA, 19010-3489 US</v>
    <v>40</v>
    <v>Water Utilities</v>
    <v>Stock</v>
    <v>46106.612707407032</v>
    <v>1232</v>
    <v>38.895000000000003</v>
    <v>11153666669</v>
    <v>Essential Utilities, Inc.</v>
    <v>Essential Utilities, Inc.</v>
    <v>39.869999999999997</v>
    <v>17.828199999999999</v>
    <v>39.700000000000003</v>
    <v>39.369999999999997</v>
    <v>283303700</v>
    <v>WTRG</v>
    <v>Essential Utilities, Inc. (XNYS:WTRG)</v>
    <v>432422</v>
    <v>3230034</v>
    <v>1968</v>
  </rv>
  <rv s="2">
    <v>1233</v>
  </rv>
  <rv s="0">
    <v>http://fr.wikipedia.org/wiki/TE_Connectivity</v>
    <v>Wikipedia</v>
  </rv>
  <rv s="6">
    <v>65</v>
    <v>1235</v>
  </rv>
  <rv s="7">
    <v>14</v>
    <v>https://www.bing.com/th?id=AMMS_e83e68f97f5001b753ff93f8a5154da3&amp;qlt=95</v>
    <v>1236</v>
    <v>0</v>
    <v>https://www.bing.com/images/search?form=xlimg&amp;q=te+connectivity</v>
    <v>Image of TE CONNECTIVITY PUBLIC LIMITED COMPANY</v>
  </rv>
  <rv s="0">
    <v>https://www.bing.com/financeapi/forcetrigger?t=a244dm&amp;q=XNYS%3aTEL&amp;form=skydnc</v>
    <v>Learn more on Bing</v>
  </rv>
  <rv s="8">
    <v>10</v>
    <v>TE CONNECTIVITY PUBLIC LIMITED COMPANY (XNYS:TEL)</v>
    <v>12</v>
    <v>13</v>
    <v>Finance</v>
    <v>4</v>
    <v>en-US</v>
    <v>a244dm</v>
    <v>268435456</v>
    <v>1</v>
    <v>Powered by Refinitiv</v>
    <v>250.67</v>
    <v>116.3018</v>
    <v>1.2666999999999999</v>
    <v>3.1349999999999998</v>
    <v>1.5191E-2</v>
    <v>USD</v>
    <v>TE Connectivity plc is a global industrial technology company. The Company’s range of connectivity and sensor solutions enable the distribution of power, signal, and data to advance next generation transportation, renewable energy, automated factories, data centers, medical technology, and more. The Company operates through two segments: Transportation Solutions and Industrial Solutions. Transportation Solutions segment includes its automotive, commercial transportation, and sensor businesses. The Industrial Solutions segment includes its aerospace, defense, and marine; medical; energy; digital data networks, and automation and connected living businesses. Its services and training include 3D Printing For Production (3D4P), Backshells Prototyping - BIT Workx, Electrical Installation Trainings, HarnWare Software, Machine Tooling Service &amp; Repair, Medical Device Design Services, Microfluidic Devices and THE ACADEMY - Automotive Webinars.</v>
    <v>90000</v>
    <v>New York Stock Exchange</v>
    <v>XNYS</v>
    <v>XNYS</v>
    <v>Parkmore Business Park West, Parkmore, Ballybrit, Galway, H91VN2T IE</v>
    <v>210.57</v>
    <v>1237</v>
    <v>Electronic Equipment &amp; Parts</v>
    <v>Stock</v>
    <v>46106.612704085157</v>
    <v>1238</v>
    <v>206.28</v>
    <v>61475953021</v>
    <v>TE CONNECTIVITY PUBLIC LIMITED COMPANY</v>
    <v>TE CONNECTIVITY PUBLIC LIMITED COMPANY</v>
    <v>206.63</v>
    <v>30.195</v>
    <v>206.37</v>
    <v>209.505</v>
    <v>293434300</v>
    <v>TEL</v>
    <v>TE CONNECTIVITY PUBLIC LIMITED COMPANY (XNYS:TEL)</v>
    <v>322662</v>
    <v>2235427</v>
    <v>2015</v>
  </rv>
  <rv s="2">
    <v>1239</v>
  </rv>
  <rv s="0">
    <v>https://www.bing.com/financeapi/forcetrigger?t=a25obh&amp;q=XNYS%3aVZ&amp;form=skydnc</v>
    <v>Learn more on Bing</v>
  </rv>
  <rv s="1">
    <v>0</v>
    <v>VERIZON COMMUNICATIONS INC. (XNYS:VZ)</v>
    <v>2</v>
    <v>3</v>
    <v>Finance</v>
    <v>4</v>
    <v>en-US</v>
    <v>a25obh</v>
    <v>268435456</v>
    <v>1</v>
    <v>Powered by Refinitiv</v>
    <v>51.68</v>
    <v>38.39</v>
    <v>0.26519999999999999</v>
    <v>-0.185</v>
    <v>-3.6340000000000001E-3</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89900</v>
    <v>New York Stock Exchange</v>
    <v>XNYS</v>
    <v>XNYS</v>
    <v>1095 Avenue Of The Americas, NEW YORK, NY, 10036 US</v>
    <v>50.755000000000003</v>
    <v>Telecommunications Services</v>
    <v>Stock</v>
    <v>46106.612721226564</v>
    <v>1241</v>
    <v>50.354999999999997</v>
    <v>213942020900</v>
    <v>VERIZON COMMUNICATIONS INC.</v>
    <v>VERIZON COMMUNICATIONS INC.</v>
    <v>50.704999999999998</v>
    <v>12.4938</v>
    <v>50.91</v>
    <v>50.725000000000001</v>
    <v>4217684000</v>
    <v>VZ</v>
    <v>VERIZON COMMUNICATIONS INC. (XNYS:VZ)</v>
    <v>4238854</v>
    <v>27408076</v>
    <v>1983</v>
  </rv>
  <rv s="2">
    <v>1242</v>
  </rv>
  <rv s="0">
    <v>https://www.bing.com/financeapi/forcetrigger?t=a21277&amp;q=XNYS%3aPNC&amp;form=skydnc</v>
    <v>Learn more on Bing</v>
  </rv>
  <rv s="1">
    <v>0</v>
    <v>THE PNC FINANCIAL SERVICES GROUP, INC. (XNYS:PNC)</v>
    <v>2</v>
    <v>3</v>
    <v>Finance</v>
    <v>4</v>
    <v>en-US</v>
    <v>a21277</v>
    <v>268435456</v>
    <v>1</v>
    <v>Powered by Refinitiv</v>
    <v>243.94</v>
    <v>145.12</v>
    <v>0.96360000000000001</v>
    <v>0.66</v>
    <v>3.1979999999999999E-3</v>
    <v>USD</v>
    <v>The PNC Financial Services Group, Inc. is a diversified financial services company in the United States. It is engaged in the delivery of retail and business banking, including a full range of lending products; specialized services for corporations and government entities, including corporate banking, real estate finance and asset-based lending; wealth management and asset management. Its Retail Banking segment provides deposit, lending, brokerage, insurance services, investment management and cash management products and services to consumer and small business customers. Its Corporate &amp; Institutional Banking segment provides lending, treasury management, capital markets and advisory products and services to mid-sized and large corporations and government and not-for-profit entities. Its Asset Management Group segment provides private banking for high-net worth and ultra-high net worth clients and institutional asset management. The Company's bank subsidiary is PNC Bank.</v>
    <v>53859</v>
    <v>New York Stock Exchange</v>
    <v>XNYS</v>
    <v>XNYS</v>
    <v>The Tower At Pnc Plaza, 300 Fifth Avenue, PITTSBURGH, PA, 15222-2401 US</v>
    <v>209.27</v>
    <v>Banking Services</v>
    <v>Stock</v>
    <v>46106.61272260391</v>
    <v>1244</v>
    <v>206.01</v>
    <v>83501810009</v>
    <v>THE PNC FINANCIAL SERVICES GROUP, INC.</v>
    <v>THE PNC FINANCIAL SERVICES GROUP, INC.</v>
    <v>207.965</v>
    <v>12.4588</v>
    <v>206.35</v>
    <v>207.01</v>
    <v>403370900</v>
    <v>PNC</v>
    <v>THE PNC FINANCIAL SERVICES GROUP, INC. (XNYS:PNC)</v>
    <v>324004</v>
    <v>2788758</v>
    <v>1983</v>
  </rv>
  <rv s="2">
    <v>1245</v>
  </rv>
  <rv s="0">
    <v>https://www.bing.com/financeapi/forcetrigger?t=a256im&amp;q=XNYS%3aVALE&amp;form=skydnc</v>
    <v>Learn more on Bing</v>
  </rv>
  <rv s="1">
    <v>0</v>
    <v>Vale SA (XNYS:VALE)</v>
    <v>2</v>
    <v>3</v>
    <v>Finance</v>
    <v>4</v>
    <v>en-US</v>
    <v>a256im</v>
    <v>268435456</v>
    <v>1</v>
    <v>Powered by Refinitiv</v>
    <v>17.72</v>
    <v>8.0549999999999997</v>
    <v>0.60240000000000005</v>
    <v>0.38</v>
    <v>2.5554999999999998E-2</v>
    <v>USD</v>
    <v>Vale SA, formerly Companhia Vale do Rio Doce, is a Brazil-based metal and mining company which is primarily engaged in producing iron ore and nickel. The Company also produces iron ore pellets, copper, platinum group metals (PGMs), gold, silver and cobalt. Vale is engaged in greenfield mineral exploration in five countries and operates logistics systems in Brazil and other regions in the world, including railroads, maritime terminals and ports, which are integrated with mining operations. In addition, Vale has distribution centers to support the delivery of iron ore worldwide. Vale has numerous subsidiaries, including Vale Logistica Uruguay SA, Vale Holdings BV, Vale Overseas Ltd. The Company’s operations abroad cover approximately 30 countries.</v>
    <v>65805</v>
    <v>New York Stock Exchange</v>
    <v>XNYS</v>
    <v>XNYS</v>
    <v>Torre Oscar Niemeyer, Praia de Botafogo n 186 Salas 1101 1701 1801, Botafogo, RIO DE JANEIRO, RIO DE JANEIRO, 22.250-145 BR</v>
    <v>15.28</v>
    <v>Metals &amp; Mining</v>
    <v>Stock</v>
    <v>46106.61280666641</v>
    <v>1247</v>
    <v>15.0809</v>
    <v>67697190000</v>
    <v>Vale SA</v>
    <v>Vale SA</v>
    <v>15.16</v>
    <v>25.8125</v>
    <v>14.87</v>
    <v>15.25</v>
    <v>4439160000</v>
    <v>VALE</v>
    <v>Vale SA (XNYS:VALE)</v>
    <v>4052266</v>
    <v>32642451</v>
    <v>1943</v>
  </rv>
  <rv s="2">
    <v>1248</v>
  </rv>
  <rv s="0">
    <v>https://www.bing.com/financeapi/forcetrigger?t=a1mrar&amp;q=XNYS%3aABT&amp;form=skydnc</v>
    <v>Learn more on Bing</v>
  </rv>
  <rv s="1">
    <v>0</v>
    <v>ABBOTT LABORATORIES (XNYS:ABT)</v>
    <v>2</v>
    <v>3</v>
    <v>Finance</v>
    <v>4</v>
    <v>en-US</v>
    <v>a1mrar</v>
    <v>268435456</v>
    <v>1</v>
    <v>Powered by Refinitiv</v>
    <v>139.06</v>
    <v>102.41</v>
    <v>0.77569999999999995</v>
    <v>0.55000000000000004</v>
    <v>5.2849999999999998E-3</v>
    <v>USD</v>
    <v>Abbott Laboratories is a global healthcare company. The Company’s principal business is the discovery, development, manufacture, and sale of a broad and diversified line of healthcare products. Its segments include Established Pharmaceutical Products, Diagnostic Products, Nutritional Products, and Medical Devices. Established Pharmaceutical Products segment is engaged in the international sales of a broad line of branded generic pharmaceutical products. Diagnostic Products segment is involved in the worldwide sales of diagnostic systems and tests for blood banks, hospitals, commercial laboratories and alternate-care testing sites. Nutritional Products segment is engaged in the worldwide sales of a broad line of adult and pediatric nutritional products. Medical Devices segment is involved in the worldwide sales of rhythm management, electrophysiology, heart failure, vascular, structural heart, neuromodulation and diabetes care products. It serves people in more than 160 countries.</v>
    <v>115000</v>
    <v>New York Stock Exchange</v>
    <v>XNYS</v>
    <v>XNYS</v>
    <v>100 Abbott Park Road, Abbot Park, ABBOTT PARK, IL, 60064-3500 US</v>
    <v>105.815</v>
    <v>Healthcare Equipment &amp; Supplies</v>
    <v>Stock</v>
    <v>46106.612710000001</v>
    <v>1250</v>
    <v>104.25</v>
    <v>181778181750</v>
    <v>ABBOTT LABORATORIES</v>
    <v>ABBOTT LABORATORIES</v>
    <v>105.41</v>
    <v>28.028300000000002</v>
    <v>104.06</v>
    <v>104.61</v>
    <v>1737675000</v>
    <v>ABT</v>
    <v>ABBOTT LABORATORIES (XNYS:ABT)</v>
    <v>869185</v>
    <v>11708195</v>
    <v>1900</v>
  </rv>
  <rv s="2">
    <v>1251</v>
  </rv>
  <rv s="0">
    <v>https://www.bing.com/financeapi/forcetrigger?t=a1q56h&amp;q=XNAS%3aCOMM&amp;form=skydnc</v>
    <v>Learn more on Bing</v>
  </rv>
  <rv s="1">
    <v>0</v>
    <v>VISTANCE NETWORKS, INC. (XNAS:VISN)</v>
    <v>2</v>
    <v>3</v>
    <v>Finance</v>
    <v>4</v>
    <v>en-US</v>
    <v>a1q56h</v>
    <v>268435456</v>
    <v>1</v>
    <v>Powered by Refinitiv</v>
    <v>20.55</v>
    <v>2.94</v>
    <v>2.395</v>
    <v>0.65</v>
    <v>3.5813000000000005E-2</v>
    <v>USD</v>
    <v>Vistance Networks, Inc., formerly CommScope Holding Company, Inc. is a global provider of infrastructure solutions for communication, data center and entertainment networks. The Company's solutions for wired and wireless networks enable service providers, including cable, telephone and digital broadcast satellite operators and media programmers, to deliver media, voice, Internet Protocol (IP) data services and Wi-Fi to their subscribers and allow businesses to experience constant wireless and wired connectivity across complex and varied networking environments. RUCKUS segment develops networking solutions and provides wireless networks for enterprises and service providers. The Ruckus’s product offerings include indoor cellular solutions such as indoor and outdoor Wi-Fi. The Aurora Networks segment provides access network solutions. Its comprehensive, end-to-end product portfolio supports global service providers with hybrid fiber-coaxial (HFC) and broadband network products.</v>
    <v>4500</v>
    <v>Nasdaq Stock Market</v>
    <v>XNAS</v>
    <v>XNAS</v>
    <v>2601 TELECOM PARKWAY, RICHARDSON, TX, 75082 US</v>
    <v>18.87</v>
    <v>Communications &amp; Networking</v>
    <v>Stock</v>
    <v>46106.612750450782</v>
    <v>1253</v>
    <v>18.305</v>
    <v>4238702520</v>
    <v>VISTANCE NETWORKS, INC.</v>
    <v>VISTANCE NETWORKS, INC.</v>
    <v>18.37</v>
    <v>18.597300000000001</v>
    <v>18.149999999999999</v>
    <v>18.8</v>
    <v>225462900</v>
    <v>VISN</v>
    <v>VISTANCE NETWORKS, INC. (XNAS:VISN)</v>
    <v>812368</v>
    <v>5122701</v>
    <v>2010</v>
  </rv>
  <rv s="2">
    <v>1254</v>
  </rv>
  <rv s="0">
    <v>https://www.bing.com/financeapi/forcetrigger?t=a22k9c&amp;q=XNAS%3aSBUX&amp;form=skydnc</v>
    <v>Learn more on Bing</v>
  </rv>
  <rv s="1">
    <v>0</v>
    <v>STARBUCKS CORPORATION (XNAS:SBUX)</v>
    <v>2</v>
    <v>3</v>
    <v>Finance</v>
    <v>4</v>
    <v>en-US</v>
    <v>a22k9c</v>
    <v>268435456</v>
    <v>1</v>
    <v>Powered by Refinitiv</v>
    <v>104.82</v>
    <v>75.5</v>
    <v>0.93330000000000002</v>
    <v>0.62</v>
    <v>6.7410000000000005E-3</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93.29</v>
    <v>Hotels &amp; Entertainment Services</v>
    <v>Stock</v>
    <v>46106.612729443747</v>
    <v>1256</v>
    <v>92.040099999999995</v>
    <v>105499180000</v>
    <v>STARBUCKS CORPORATION</v>
    <v>STARBUCKS CORPORATION</v>
    <v>92.33</v>
    <v>77.141000000000005</v>
    <v>91.98</v>
    <v>92.6</v>
    <v>1139300000</v>
    <v>SBUX</v>
    <v>STARBUCKS CORPORATION (XNAS:SBUX)</v>
    <v>1441851</v>
    <v>8064264</v>
    <v>1985</v>
  </rv>
  <rv s="2">
    <v>1257</v>
  </rv>
  <rv s="0">
    <v>https://www.bing.com/financeapi/forcetrigger?t=a1soec&amp;q=XNAS%3aFCNCA&amp;form=skydnc</v>
    <v>Learn more on Bing</v>
  </rv>
  <rv s="1">
    <v>0</v>
    <v>FIRST CITIZENS BANCSHARES, INC. (XNAS:FCNCA)</v>
    <v>2</v>
    <v>3</v>
    <v>Finance</v>
    <v>4</v>
    <v>en-US</v>
    <v>a1soec</v>
    <v>268435456</v>
    <v>1</v>
    <v>Powered by Refinitiv</v>
    <v>2232.21</v>
    <v>1473.62</v>
    <v>0.65559999999999996</v>
    <v>14.65</v>
    <v>7.8869999999999999E-3</v>
    <v>USD</v>
    <v>First Citizens BancShares, Inc. is the financial holding company for First-Citizens Bank &amp; Trust Company (First Citizens Bank). The Company’s General Bank segment delivers products and services to consumers and businesses through its network of branches and various digital channels. It offers a full suite of deposit products, loans, cash management, private banking and wealth management, payment services, and treasury services. The Commercial Bank segment provides a range of lending, leasing, capital markets, asset management, and other financial and advisory services, primarily to small and middle market companies. The SVB Commercial segment offers products and services to commercial clients and investors across stages, sectors and regions in the innovation ecosystem, as well as private equity and venture capital firms. The Rail segment offers customized leasing and financing solutions on a fleet of railcars and locomotives to railroads and shippers throughout North America.</v>
    <v>17876</v>
    <v>Nasdaq Stock Market</v>
    <v>XNAS</v>
    <v>XNAS</v>
    <v>4300 Six Forks Rd, RALEIGH, NC, 27609 US</v>
    <v>1901.89</v>
    <v>Banking Services</v>
    <v>Stock</v>
    <v>46106.612776296097</v>
    <v>1259</v>
    <v>1862.05</v>
    <v>22152391517</v>
    <v>FIRST CITIZENS BANCSHARES, INC.</v>
    <v>FIRST CITIZENS BANCSHARES, INC.</v>
    <v>1872.07</v>
    <v>11.295400000000001</v>
    <v>1857.42</v>
    <v>1872.07</v>
    <v>11833100</v>
    <v>FCNCA</v>
    <v>FIRST CITIZENS BANCSHARES, INC. (XNAS:FCNCA)</v>
    <v>16586</v>
    <v>114719</v>
    <v>1986</v>
  </rv>
  <rv s="2">
    <v>1260</v>
  </rv>
  <rv s="0">
    <v>https://www.bing.com/financeapi/forcetrigger?t=a24fh7&amp;q=XNYS%3aTPL&amp;form=skydnc</v>
    <v>Learn more on Bing</v>
  </rv>
  <rv s="1">
    <v>0</v>
    <v>TEXAS PACIFIC LAND CORPORATION (XNYS:TPL)</v>
    <v>2</v>
    <v>3</v>
    <v>Finance</v>
    <v>4</v>
    <v>en-US</v>
    <v>a24fh7</v>
    <v>268435456</v>
    <v>1</v>
    <v>Powered by Refinitiv</v>
    <v>547.20000000000005</v>
    <v>269.23309999999998</v>
    <v>0.70530000000000004</v>
    <v>-0.24</v>
    <v>-4.484E-4</v>
    <v>USD</v>
    <v>Texas Pacific Land Corporation is the landowner in the State of Texas with approximately 882,000 surface acres of land, principally concentrated in the Permian Basin. Its segments include Land and Resource Management and Water Services and Operations. The Land and Resource Management segment focuses on managing Company’s oil and gas royalty interest and surface acres located in 19 different countries. The Land and Resource Management segment encompasses the business of managing its approximately 882,000 surface acres of land and its approximately 207,000 NRA of oil and gas royalty interests, principally concentrated in the Permian Basin. This segment consists of royalties from oil and gas, revenues from easements, commercial leases and renewables, and land and material sales. The Water Services and Operations segment encompasses the business of providing a full-service water offering to operators in the Permian Basin. Its services include water sourcing and produced water disposal.</v>
    <v>114</v>
    <v>New York Stock Exchange</v>
    <v>XNYS</v>
    <v>XNYS</v>
    <v>2699 Howell Street, Suite 800, DALLAS, TX, 75204 US</v>
    <v>541.88</v>
    <v>Oil &amp; Gas</v>
    <v>Stock</v>
    <v>46106.612723599217</v>
    <v>1262</v>
    <v>534.70000000000005</v>
    <v>36885108081</v>
    <v>TEXAS PACIFIC LAND CORPORATION</v>
    <v>TEXAS PACIFIC LAND CORPORATION</v>
    <v>534.91</v>
    <v>76.722999999999999</v>
    <v>535.26</v>
    <v>535.02</v>
    <v>68941550</v>
    <v>TPL</v>
    <v>TEXAS PACIFIC LAND CORPORATION (XNYS:TPL)</v>
    <v>43777</v>
    <v>648346</v>
    <v>2020</v>
  </rv>
  <rv s="2">
    <v>1263</v>
  </rv>
  <rv s="0">
    <v>https://www.bing.com/financeapi/forcetrigger?t=a1zlu2&amp;q=XNAS%3aPCRX&amp;form=skydnc</v>
    <v>Learn more on Bing</v>
  </rv>
  <rv s="1">
    <v>0</v>
    <v>PACIRA BIOSCIENCES, INC. (XNAS:PCRX)</v>
    <v>2</v>
    <v>3</v>
    <v>Finance</v>
    <v>4</v>
    <v>en-US</v>
    <v>a1zlu2</v>
    <v>268435456</v>
    <v>1</v>
    <v>Powered by Refinitiv</v>
    <v>27.64</v>
    <v>18.8</v>
    <v>0.18440000000000001</v>
    <v>0.14000000000000001</v>
    <v>6.0340000000000003E-3</v>
    <v>USD</v>
    <v>Pacira BioSciences, Inc. is the holding company for its subsidiary, Pacira Pharmaceuticals, Inc. The Company has three commercial-stage non-opioid treatments: EXPAREL (bupivacaine liposome injectable suspension), a long-acting local analgesic approved for infiltration, fascial plane block, and as an interscalene brachial plexus nerve block, an adductor canal nerve block, and a sciatic nerve block in the popliteal fossa for postsurgical pain management; ZILRETTA (triamcinolone acetonide extended-release injectable suspension), an extended-release, intra-articular injection indicated for the management of osteoarthritis knee pain, and iovera, a handheld device for delivering immediate, long-acting, drug-free pain control using precise, controlled doses of cold temperature to a targeted nerve. The Company is also advancing the development of PCRX-201, a locally administered gene therapy with the potential to treat largely prevalent diseases like osteoarthritis.</v>
    <v>829</v>
    <v>Nasdaq Stock Market</v>
    <v>XNAS</v>
    <v>XNAS</v>
    <v>2000 SIERRA POINT PARKWAY, SUITE 900, BRISBANE, CA, 94005 US</v>
    <v>23.53</v>
    <v>Pharmaceuticals</v>
    <v>Stock</v>
    <v>46106.612668853908</v>
    <v>1265</v>
    <v>23.155000000000001</v>
    <v>945034032</v>
    <v>PACIRA BIOSCIENCES, INC.</v>
    <v>PACIRA BIOSCIENCES, INC.</v>
    <v>23.17</v>
    <v>148.56780000000001</v>
    <v>23.2</v>
    <v>23.34</v>
    <v>40489890</v>
    <v>PCRX</v>
    <v>PACIRA BIOSCIENCES, INC. (XNAS:PCRX)</v>
    <v>66396</v>
    <v>938245</v>
    <v>2006</v>
  </rv>
  <rv s="2">
    <v>1266</v>
  </rv>
  <rv s="0">
    <v>https://www.bing.com/financeapi/forcetrigger?t=a1zhcw&amp;q=XNAS%3aPAYX&amp;form=skydnc</v>
    <v>Learn more on Bing</v>
  </rv>
  <rv s="1">
    <v>0</v>
    <v>PAYCHEX, INC. (XNAS:PAYX)</v>
    <v>2</v>
    <v>3</v>
    <v>Finance</v>
    <v>4</v>
    <v>en-US</v>
    <v>a1zhcw</v>
    <v>268435456</v>
    <v>1</v>
    <v>Powered by Refinitiv</v>
    <v>161.24</v>
    <v>86.89</v>
    <v>0.88009999999999999</v>
    <v>-0.49</v>
    <v>-5.4079999999999996E-3</v>
    <v>USD</v>
    <v>Paychex, Inc. is a human capital management (HCM) company. The Company is engaged in delivering a full suite of technology and advisory services in human resources, employee benefit solutions, insurance, and payroll. It is a provider of integrated HCM solutions for human resources (HR), payroll, benefits, and insurance for small- to medium-sized businesses in the United States (U.S.) and parts of Europe. It supports its small-business clients by utilizing its proprietary, software as a service (SaaS) Paychex Flex platform and the Company’s SurePayroll SaaS-based solutions. Its HR solutions include HR packages, HR consulting, employee onboarding, hiring services, and artificial intelligence -assisted recruiting. Its payroll services include payroll packages, small business payroll, midsize to enterprise payroll, switch payroll companies, and payroll tax services. Its employee benefits services include Group health insurance, retirement services, and benefits administration services.</v>
    <v>19000</v>
    <v>Nasdaq Stock Market</v>
    <v>XNAS</v>
    <v>XNAS</v>
    <v>911 Panorama Trail S, ROCHESTER, NY, 14625-0397 US</v>
    <v>95.49</v>
    <v>Professional &amp; Commercial Services</v>
    <v>Stock</v>
    <v>46106.612814455468</v>
    <v>1268</v>
    <v>89.01</v>
    <v>32350142088</v>
    <v>PAYCHEX, INC.</v>
    <v>PAYCHEX, INC.</v>
    <v>95.29</v>
    <v>20.4238</v>
    <v>90.61</v>
    <v>90.12</v>
    <v>358967400</v>
    <v>PAYX</v>
    <v>PAYCHEX, INC. (XNAS:PAYX)</v>
    <v>2649484</v>
    <v>4350854</v>
    <v>1979</v>
  </rv>
  <rv s="2">
    <v>1269</v>
  </rv>
  <rv s="0">
    <v>https://www.bing.com/financeapi/forcetrigger?t=a1plec&amp;q=XNYS%3aCHE&amp;form=skydnc</v>
    <v>Learn more on Bing</v>
  </rv>
  <rv s="1">
    <v>0</v>
    <v>CHEMED CORPORATION (XNYS:CHE)</v>
    <v>2</v>
    <v>3</v>
    <v>Finance</v>
    <v>4</v>
    <v>en-US</v>
    <v>a1plec</v>
    <v>268435456</v>
    <v>1</v>
    <v>Powered by Refinitiv</v>
    <v>623.60500000000002</v>
    <v>368.4425</v>
    <v>0.48830000000000001</v>
    <v>-2.2000000000000002</v>
    <v>-5.8840000000000003E-3</v>
    <v>USD</v>
    <v>Chemed Corporation is engaged in purchasing, operating, and divesting subsidiaries in diverse business activities. The Company's segment includes VITAS and the Roto-Rooter. The VITAS segment provides hospice and palliative care services to its patients through a network of physicians, registered nurses, home health aides, social workers, clergy and volunteers. It provides direct medical services to patients, as well as spiritual and emotional counseling to both patients and their families. The Roto-Rooter segment provides plumbing, drain cleaning, excavation, water restoration and other related services to residential and commercial customers. The Roto-Rooter services are provided through a network of Company-owned branches, independent contractors and franchisees. The Company's water restoration services involve the remediation of water and humidity after a flood and are provided to both commercial and residential customers.</v>
    <v>15811</v>
    <v>New York Stock Exchange</v>
    <v>XNYS</v>
    <v>XNYS</v>
    <v>255 E. Fifth Street,, Suite 2600,, CINCINNATI, OH, 45202 US</v>
    <v>375.97</v>
    <v>Healthcare Providers &amp; Services</v>
    <v>Stock</v>
    <v>46106.612703865627</v>
    <v>1271</v>
    <v>368.4425</v>
    <v>5116364886</v>
    <v>CHEMED CORPORATION</v>
    <v>CHEMED CORPORATION</v>
    <v>375.65</v>
    <v>20.236899999999999</v>
    <v>373.89</v>
    <v>371.69</v>
    <v>13765140</v>
    <v>CHE</v>
    <v>CHEMED CORPORATION (XNYS:CHE)</v>
    <v>28301</v>
    <v>291614</v>
    <v>1970</v>
  </rv>
  <rv s="2">
    <v>1272</v>
  </rv>
  <rv s="0">
    <v>https://www.bing.com/financeapi/forcetrigger?t=a216ww&amp;q=XNAS%3aPRIM&amp;form=skydnc</v>
    <v>Learn more on Bing</v>
  </rv>
  <rv s="1">
    <v>0</v>
    <v>PRIMORIS SERVICES CORPORATION (XNYS:PRIM)</v>
    <v>2</v>
    <v>3</v>
    <v>Finance</v>
    <v>4</v>
    <v>en-US</v>
    <v>a216ww</v>
    <v>268435456</v>
    <v>1</v>
    <v>Powered by Refinitiv</v>
    <v>174.43</v>
    <v>49.1</v>
    <v>1.3798999999999999</v>
    <v>2.09</v>
    <v>1.4212000000000001E-2</v>
    <v>USD</v>
    <v>Primoris Services Corporation is a provider of critical infrastructure services to the utility, energy, and renewables markets throughout the United States and Canada. The Company provides a range of construction, maintenance, replacement, fabrication, and engineering services to a diversified base of customers through its two segments: Utilities, and Energy. The Utilities segment offers services, including the installation and maintenance of new and existing natural gas and electric utility distribution and transmission systems, and communications systems. The Energy segment operates throughout the United States and Canada and specializes in a range of services that include engineering, procurement, construction, and maintenance services for entities in the energy, renewable energy and energy storage, renewable fuels, and petroleum and petrochemical industries, as well as state departments of transportation.</v>
    <v>3055</v>
    <v>New York Stock Exchange</v>
    <v>XNYS</v>
    <v>XNYS</v>
    <v>2300 N. Field Street, Suite 1900, DALLAS, TX, 75201 US</v>
    <v>151.09</v>
    <v>Construction &amp; Engineering</v>
    <v>Stock</v>
    <v>46106.61268754609</v>
    <v>1274</v>
    <v>147.41</v>
    <v>8088632699</v>
    <v>PRIMORIS SERVICES CORPORATION</v>
    <v>PRIMORIS SERVICES CORPORATION</v>
    <v>149.66499999999999</v>
    <v>29.734300000000001</v>
    <v>147.06</v>
    <v>149.15</v>
    <v>54231530</v>
    <v>PRIM</v>
    <v>PRIMORIS SERVICES CORPORATION (XNYS:PRIM)</v>
    <v>114489</v>
    <v>892497</v>
    <v>2006</v>
  </rv>
  <rv s="2">
    <v>1275</v>
  </rv>
  <rv s="0">
    <v>https://www.bing.com/financeapi/forcetrigger?t=a1n6f2&amp;q=XNYS%3aAIG&amp;form=skydnc</v>
    <v>Learn more on Bing</v>
  </rv>
  <rv s="1">
    <v>0</v>
    <v>AMERICAN INTERNATIONAL GROUP, INC. (XNYS:AIG)</v>
    <v>2</v>
    <v>3</v>
    <v>Finance</v>
    <v>4</v>
    <v>en-US</v>
    <v>a1n6f2</v>
    <v>268435456</v>
    <v>1</v>
    <v>Powered by Refinitiv</v>
    <v>88.07</v>
    <v>71.245000000000005</v>
    <v>0.60709999999999997</v>
    <v>0.76</v>
    <v>1.0222999999999999E-2</v>
    <v>USD</v>
    <v>American International Group, Inc. is a global insurance company. It provides insurance solutions that help businesses and individuals in over 200 countries and jurisdictions protect their assets and manage risks through its operations, licenses and authorizations and network partners. Its segment includes General Insurance and Other Operations. General Insurance business includes its three segments, including North America Commercial, International Commercial and Global Personal. The North America Commercial consists of insurance businesses in the United States, Canada and Bermuda. The International Commercial consists of insurance businesses in Japan, the United Kingdom, Europe, Middle East and Africa, Asia Pacific, Latin America and Caribbean and China. The North America and International Commercial segment products include property and short tail, casualty, financial lines and global specialty. Global Personal segment products include global accident and health and personal lines.</v>
    <v>22100</v>
    <v>New York Stock Exchange</v>
    <v>XNYS</v>
    <v>XNYS</v>
    <v>1271 Ave Of The Americas, Fl 37, NEW YORK, NY, 10020-1304 US</v>
    <v>75.510000000000005</v>
    <v>Insurance</v>
    <v>Stock</v>
    <v>46106.612756435155</v>
    <v>1277</v>
    <v>74.41</v>
    <v>40295625960</v>
    <v>AMERICAN INTERNATIONAL GROUP, INC.</v>
    <v>AMERICAN INTERNATIONAL GROUP, INC.</v>
    <v>75.239999999999995</v>
    <v>13.857900000000001</v>
    <v>74.34</v>
    <v>75.099999999999994</v>
    <v>536559600</v>
    <v>AIG</v>
    <v>AMERICAN INTERNATIONAL GROUP, INC. (XNYS:AIG)</v>
    <v>530417</v>
    <v>4343978</v>
    <v>1967</v>
  </rv>
  <rv s="2">
    <v>1278</v>
  </rv>
  <rv s="0">
    <v>https://www.bing.com/financeapi/forcetrigger?t=a22w6h&amp;q=XNAS%3aSHIP&amp;form=skydnc</v>
    <v>Learn more on Bing</v>
  </rv>
  <rv s="1">
    <v>0</v>
    <v>SEANERGY MARITIME HOLDINGS CORP. (XNAS:SHIP)</v>
    <v>2</v>
    <v>3</v>
    <v>Finance</v>
    <v>4</v>
    <v>en-US</v>
    <v>a22w6h</v>
    <v>268435456</v>
    <v>1</v>
    <v>Powered by Refinitiv</v>
    <v>14.93</v>
    <v>4.78</v>
    <v>0.97299999999999998</v>
    <v>-0.15</v>
    <v>-1.1235999999999999E-2</v>
    <v>USD</v>
    <v>Seanergy Maritime Holdings Corp is a Greece-based shipping company specializing in the worldwide seaborne transportation of dry bulk commodities. The Company operates Capesize and Newcastlemax vessels. Seanergy Maritime Holdings Corp’s fleet includes such vessels as Titanship, Flagship, Hellasship, Patriotship as well as Squireship. The Company manages their vessels’ operations, insurances and bunkering and has the general supervision of their third-party technical and commercial managers. Seanergy Maritime Holdings Corp’s subsidiaries include Seanergy Shipmanagement Corp, Squire Ocean Navigation Co, Pembroke Chartering Services Limited, Harbour Business International Corp as well as Friend Ocean Navigation Co and Seanergy Management Corp.</v>
    <v>93</v>
    <v>Nasdaq Stock Market</v>
    <v>XNAS</v>
    <v>XNAS</v>
    <v>154 Vouliagmenis Avenue, Glyfada, ATHINA, ATTIKI, 166 74 GR</v>
    <v>13.61</v>
    <v>Freight &amp; Logistics Services</v>
    <v>Stock</v>
    <v>46106.612235786721</v>
    <v>1280</v>
    <v>13.19</v>
    <v>278706120</v>
    <v>SEANERGY MARITIME HOLDINGS CORP.</v>
    <v>SEANERGY MARITIME HOLDINGS CORP.</v>
    <v>13.37</v>
    <v>13.0693</v>
    <v>13.35</v>
    <v>13.2</v>
    <v>21114100</v>
    <v>SHIP</v>
    <v>SEANERGY MARITIME HOLDINGS CORP. (XNAS:SHIP)</v>
    <v>98566</v>
    <v>361403</v>
    <v>2008</v>
  </rv>
  <rv s="2">
    <v>1281</v>
  </rv>
  <rv s="0">
    <v>https://www.bing.com/financeapi/forcetrigger?t=a1sh52&amp;q=ARCX%3aEWZ&amp;form=skydnc</v>
    <v>Learn more on Bing</v>
  </rv>
  <rv s="14">
    <v>22</v>
    <v>iShares:MSCI Brazil (ARCX:EWZ)</v>
    <v>23</v>
    <v>24</v>
    <v>Finance</v>
    <v>25</v>
    <v>en-US</v>
    <v>a1sh52</v>
    <v>268435456</v>
    <v>1</v>
    <v>Powered by Refinitiv</v>
    <v>39.69</v>
    <v>23.05</v>
    <v>1.1205000000000001</v>
    <v>0.8901</v>
    <v>2.4272999999999999E-2</v>
    <v>USD</v>
    <v>NYSE Arca</v>
    <v>ARCX</v>
    <v>5.8999999999999999E-3</v>
    <v>37.61</v>
    <v>ETF</v>
    <v>46106.612713159375</v>
    <v>1283</v>
    <v>37.204999999999998</v>
    <v>9654648115.7800007</v>
    <v>iShares:MSCI Brazil</v>
    <v>37.340000000000003</v>
    <v>36.67</v>
    <v>37.560099999999998</v>
    <v>EWZ</v>
    <v>iShares:MSCI Brazil (ARCX:EWZ)</v>
    <v>8345830</v>
    <v>40263827</v>
  </rv>
  <rv s="2">
    <v>1284</v>
  </rv>
  <rv s="0">
    <v>https://www.bing.com/financeapi/forcetrigger?t=a1qnrw&amp;q=XNYS%3aCXW&amp;form=skydnc</v>
    <v>Learn more on Bing</v>
  </rv>
  <rv s="1">
    <v>0</v>
    <v>CORECIVIC, INC. (XNYS:CXW)</v>
    <v>2</v>
    <v>3</v>
    <v>Finance</v>
    <v>4</v>
    <v>en-US</v>
    <v>a1qnrw</v>
    <v>268435456</v>
    <v>1</v>
    <v>Powered by Refinitiv</v>
    <v>23.54</v>
    <v>15.734999999999999</v>
    <v>0.58389999999999997</v>
    <v>0.30499999999999999</v>
    <v>1.5296000000000001E-2</v>
    <v>USD</v>
    <v>CoreCivic, Inc. is a diversified, government-solutions company. The Company provides a range of solutions to government partners that serve the public good through corrections and detention management, a network of residential and non-residential alternatives to incarceration to help address America’s recidivism crisis, and government real estate solutions. Its CoreCivic Safety segment consists of correctional and detention facilities that are owned or controlled via a long-term lease and managed by the Company, as well as those correctional and detention facilities owned by third parties but managed by the Company. The segment also provides transportation services. CoreCivic Community segment consists of residential reentry centers that are owned or controlled via a long-term lease and managed by the Company. The segment also includes electronic monitoring and case management services. CoreCivic Properties segment consists of correctional real estate properties owned by the Company.</v>
    <v>13651</v>
    <v>New York Stock Exchange</v>
    <v>XNYS</v>
    <v>XNYS</v>
    <v>5501 Virginia Way, BRENTWOOD, TN, 37027 US</v>
    <v>20.25</v>
    <v>Professional &amp; Commercial Services</v>
    <v>Stock</v>
    <v>46106.612359536717</v>
    <v>1286</v>
    <v>19.97</v>
    <v>1978123361</v>
    <v>CORECIVIC, INC.</v>
    <v>CORECIVIC, INC.</v>
    <v>20.09</v>
    <v>18.6144</v>
    <v>19.940000000000001</v>
    <v>20.245000000000001</v>
    <v>97709230</v>
    <v>CXW</v>
    <v>CORECIVIC, INC. (XNYS:CXW)</v>
    <v>73985</v>
    <v>1396862</v>
    <v>1998</v>
  </rv>
  <rv s="2">
    <v>1287</v>
  </rv>
  <rv s="0">
    <v>https://www.bing.com/financeapi/forcetrigger?t=az6zf2&amp;q=XNYS%3aWELL&amp;form=skydnc</v>
    <v>Learn more on Bing</v>
  </rv>
  <rv s="10">
    <v>18</v>
    <v>WELLTOWER INC. (XNYS:WELL)</v>
    <v>2</v>
    <v>8</v>
    <v>Finance</v>
    <v>4</v>
    <v>en-US</v>
    <v>az6zf2</v>
    <v>268435456</v>
    <v>1</v>
    <v>Powered by Refinitiv</v>
    <v>216.43</v>
    <v>130.29</v>
    <v>0.82499999999999996</v>
    <v>1.0149999999999999</v>
    <v>5.1630000000000001E-3</v>
    <v>USD</v>
    <v>Welltower Inc. is focused on rental housing for aging seniors across the United States, United Kingdom, and Canada. The Company's portfolio of 2,000+ seniors and wellness housing communities are positioned at the intersection of housing and hospitality. Its segments include Seniors Housing Operating, Triple-net and Outpatient Medical. Its Seniors Housing Operating properties include seniors apartments, assisted living communities, independent living/continuing care retirement communities, independent supportive living communities (Canada), care homes with and without nursing (United Kingdom) and combinations thereof. Its Triple-net properties include the property types described above as well as long-term/post-acute care facilities. It invests in seniors housing and healthcare real estate through acquisition of single tenant properties. Its Outpatient Medical properties are typically leased to multiple tenants and generally require a certain level of property management by the Company.</v>
    <v>712</v>
    <v>New York Stock Exchange</v>
    <v>XNYS</v>
    <v>XNYS</v>
    <v>4500 Dorr Street, TOLEDO, OH, 43615 US</v>
    <v>197.68</v>
    <v>Residential &amp; Commercial REIT</v>
    <v>Stock</v>
    <v>46106.61272804375</v>
    <v>1289</v>
    <v>195.63</v>
    <v>137893337812</v>
    <v>WELLTOWER INC.</v>
    <v>WELLTOWER INC.</v>
    <v>197.42</v>
    <v>196.61</v>
    <v>197.625</v>
    <v>697752500</v>
    <v>WELL</v>
    <v>WELLTOWER INC. (XNYS:WELL)</v>
    <v>389964</v>
    <v>3282921</v>
    <v>2022</v>
  </rv>
  <rv s="2">
    <v>1290</v>
  </rv>
  <rv s="0">
    <v>https://www.bing.com/financeapi/forcetrigger?t=a1ryhw&amp;q=XNAS%3aEMXC&amp;form=skydnc</v>
    <v>Learn more on Bing</v>
  </rv>
  <rv s="14">
    <v>22</v>
    <v>iShares:MSCI EM xChn (XNAS:EMXC)</v>
    <v>23</v>
    <v>24</v>
    <v>Finance</v>
    <v>25</v>
    <v>en-US</v>
    <v>a1ryhw</v>
    <v>268435456</v>
    <v>1</v>
    <v>Powered by Refinitiv</v>
    <v>88.87</v>
    <v>49.6</v>
    <v>1.0906</v>
    <v>1.385</v>
    <v>1.7606999999999998E-2</v>
    <v>USD</v>
    <v>Nasdaq Stock Market</v>
    <v>XNAS</v>
    <v>2.5000000000000001E-3</v>
    <v>80.12</v>
    <v>ETF</v>
    <v>46106.612720289064</v>
    <v>1292</v>
    <v>79.209999999999994</v>
    <v>18039655121.259998</v>
    <v>iShares:MSCI EM xChn</v>
    <v>79.88</v>
    <v>78.66</v>
    <v>80.045000000000002</v>
    <v>EMXC</v>
    <v>iShares:MSCI EM xChn (XNAS:EMXC)</v>
    <v>872284</v>
    <v>5009196</v>
  </rv>
  <rv s="2">
    <v>1293</v>
  </rv>
  <rv s="0">
    <v>https://www.bing.com/financeapi/forcetrigger?t=a221mw&amp;q=XNYS%3aRIO&amp;form=skydnc</v>
    <v>Learn more on Bing</v>
  </rv>
  <rv s="1">
    <v>0</v>
    <v>RIO TINTO PLC (XNYS:RIO)</v>
    <v>2</v>
    <v>3</v>
    <v>Finance</v>
    <v>4</v>
    <v>en-US</v>
    <v>a221mw</v>
    <v>268435456</v>
    <v>1</v>
    <v>Powered by Refinitiv</v>
    <v>101.53</v>
    <v>51.67</v>
    <v>0.61599999999999999</v>
    <v>1.23</v>
    <v>1.4175E-2</v>
    <v>USD</v>
    <v>Rio Tinto plc is a United Kingdom-based mining and materials company. It operates in over 35 countries, and its portfolio includes iron ore, copper, aluminum and a range of other minerals and materials. Its segments include Iron Ore, Aluminum, Copper, and Minerals. The Iron Ore segment includes iron ore mining and salt and gypsum production in Western Australia. Its iron ore operations in Pilbara comprise an integrated network of over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v>
    <v>61230</v>
    <v>New York Stock Exchange</v>
    <v>XNYS</v>
    <v>XNYS</v>
    <v>6 St James's Square, LONDON, SW1Y 4AD GB</v>
    <v>88.07</v>
    <v>Metals &amp; Mining</v>
    <v>Stock</v>
    <v>46106.612696122655</v>
    <v>1295</v>
    <v>87.33</v>
    <v>143156376000</v>
    <v>RIO TINTO PLC</v>
    <v>RIO TINTO PLC</v>
    <v>87.98</v>
    <v>14.463900000000001</v>
    <v>86.77</v>
    <v>88</v>
    <v>1626777000</v>
    <v>RIO</v>
    <v>RIO TINTO PLC (XNYS:RIO)</v>
    <v>553948</v>
    <v>3457254</v>
    <v>1962</v>
  </rv>
  <rv s="2">
    <v>1296</v>
  </rv>
  <rv s="0">
    <v>https://www.bing.com/financeapi/forcetrigger?t=a1mvjc&amp;q=XNAS%3aADI&amp;form=skydnc</v>
    <v>Learn more on Bing</v>
  </rv>
  <rv s="1">
    <v>0</v>
    <v>ANALOG DEVICES, INC. (XNAS:ADI)</v>
    <v>2</v>
    <v>3</v>
    <v>Finance</v>
    <v>4</v>
    <v>en-US</v>
    <v>a1mvjc</v>
    <v>268435456</v>
    <v>1</v>
    <v>Powered by Refinitiv</v>
    <v>363.2</v>
    <v>158.65</v>
    <v>1.0478000000000001</v>
    <v>2.56</v>
    <v>7.9550000000000003E-3</v>
    <v>USD</v>
    <v>Analog Devices, Inc. is a global semiconductor company. The Company designs, manufactures, tests, and markets a portfolio of solutions, including integrated circuits (ICs), software and subsystems that leverage high-performance analog, mixed-signal and digital signal processing technologies. Its comprehensive product portfolio, domain specialization and manufacturing capabilities extend across high-performance precision and high-speed mixed-signal, power management and processing technologies, including data converters, amplifiers, power management, radio frequency (RF) ICs, edge processors and other sensors. The Company's IC product portfolio includes both general-purpose products used by a range of customers and applications, as well as application-specific products designed for specific target markets. Its analog ICs monitor, condition, amplify or transform continuous analog signals associated with physical properties, such as temperature, pressure, weight, light, sound or motion.</v>
    <v>24500</v>
    <v>Nasdaq Stock Market</v>
    <v>XNAS</v>
    <v>XNAS</v>
    <v>One Analog Way, WILMINGTON, MA, 01887 US</v>
    <v>328.16</v>
    <v>Semiconductors &amp; Semiconductor Equipment</v>
    <v>Stock</v>
    <v>46106.612777013281</v>
    <v>1298</v>
    <v>322.61</v>
    <v>158368560438</v>
    <v>ANALOG DEVICES, INC.</v>
    <v>ANALOG DEVICES, INC.</v>
    <v>325</v>
    <v>56.1432</v>
    <v>321.83</v>
    <v>324.39</v>
    <v>488204200</v>
    <v>ADI</v>
    <v>ANALOG DEVICES, INC. (XNAS:ADI)</v>
    <v>399189</v>
    <v>4430383</v>
    <v>1965</v>
  </rv>
  <rv s="2">
    <v>1299</v>
  </rv>
  <rv s="0">
    <v>https://www.bing.com/financeapi/forcetrigger?t=a1qkcw&amp;q=XNAS%3aCVCO&amp;form=skydnc</v>
    <v>Learn more on Bing</v>
  </rv>
  <rv s="1">
    <v>0</v>
    <v>CAVCO INDUSTRIES, INC. (XNAS:CVCO)</v>
    <v>2</v>
    <v>3</v>
    <v>Finance</v>
    <v>4</v>
    <v>en-US</v>
    <v>a1qkcw</v>
    <v>268435456</v>
    <v>1</v>
    <v>Powered by Refinitiv</v>
    <v>713.005</v>
    <v>393.53</v>
    <v>1.3373999999999999</v>
    <v>0.46</v>
    <v>9.6790000000000005E-4</v>
    <v>USD</v>
    <v>Cavco Industries, Inc. designs and produces factory-built homes primarily distributed through a network of independent and Company-owned retailers, planned community operators and residential developers. Its segments include Factory-built housing and Financial services. The Factory-built housing segment includes wholesale and retail factory-built housing operations. The Financial services segment includes manufactured housing, consumer finance and insurance. The Company also produces park model recreational vehicles (RVs), vacation cabins and factory-built commercial structures. It operates homebuilding production lines in Millersburg and Woodburn, Oregon; Riverside, California; Nampa, Idaho; Glendale, Goodyear and Phoenix, Arizona; Deming, New Mexico; Duncan, Oklahoma; Austin, Fort Worth, Seguin and Waco, Texas; Ojinaga, Mexico (two lines); Montevideo, Minnesota; Dorchester, Wisconsin; Nappanee and Goshen, Indiana; Lafayette, Tennessee, and Douglas and Moultrie.</v>
    <v>7000</v>
    <v>Nasdaq Stock Market</v>
    <v>XNAS</v>
    <v>XNAS</v>
    <v>3636 North Central Ave, Ste 1200, PHOENIX, AZ, 85012 US</v>
    <v>487.1</v>
    <v>Homebuilding &amp; Construction Supplies</v>
    <v>Stock</v>
    <v>46106.612630682816</v>
    <v>1301</v>
    <v>467.505</v>
    <v>3691983812</v>
    <v>CAVCO INDUSTRIES, INC.</v>
    <v>CAVCO INDUSTRIES, INC.</v>
    <v>483.01</v>
    <v>20.6738</v>
    <v>475.24</v>
    <v>475.7</v>
    <v>7761160</v>
    <v>CVCO</v>
    <v>CAVCO INDUSTRIES, INC. (XNAS:CVCO)</v>
    <v>49849</v>
    <v>173837</v>
    <v>2003</v>
  </rv>
  <rv s="2">
    <v>1302</v>
  </rv>
  <rv s="0">
    <v>https://www.bing.com/financeapi/forcetrigger?t=a1seww&amp;q=XNAS%3aEWBC&amp;form=skydnc</v>
    <v>Learn more on Bing</v>
  </rv>
  <rv s="1">
    <v>0</v>
    <v>EAST WEST BANCORP, INC. (XNAS:EWBC)</v>
    <v>2</v>
    <v>3</v>
    <v>Finance</v>
    <v>4</v>
    <v>en-US</v>
    <v>a1seww</v>
    <v>268435456</v>
    <v>1</v>
    <v>Powered by Refinitiv</v>
    <v>123.82</v>
    <v>68.27</v>
    <v>0.89439999999999997</v>
    <v>1.2</v>
    <v>1.1343000000000001E-2</v>
    <v>USD</v>
    <v>East West Bancorp, Inc. is a bank holding company that offers a full range of banking services to individuals and businesses through its subsidiary bank, East West Bank (the Bank). Its segments include Consumer and Business Banking, Commercial Banking, and Treasury and Other. The Consumer and Business Banking segment provides financial products and services to consumer and commercial customers through its domestic branch network and digital banking platforms. This segment also offers consumer and commercial deposits, mortgage and home equity loans, and other products and services. The Commercial Banking segment generates commercial loans and deposits. Commercial loan products include construction finance, commercial business lending, working capital lines of credit, trade finance, letters of credit, and others. Commercial deposit products and other financial services include treasury management, foreign exchange services, interest rate, and commodity risk hedging.</v>
    <v>3350</v>
    <v>Nasdaq Stock Market</v>
    <v>XNAS</v>
    <v>XNAS</v>
    <v>135 N. Los Robles Ave. 7Th Floor, PASADENA, CA, 91101 US</v>
    <v>107.84</v>
    <v>Banking Services</v>
    <v>Stock</v>
    <v>46106.612718529686</v>
    <v>1304</v>
    <v>106.35</v>
    <v>14724252673</v>
    <v>EAST WEST BANCORP, INC.</v>
    <v>EAST WEST BANCORP, INC.</v>
    <v>106.73</v>
    <v>11.224299999999999</v>
    <v>105.79</v>
    <v>106.99</v>
    <v>137622700</v>
    <v>EWBC</v>
    <v>EAST WEST BANCORP, INC. (XNAS:EWBC)</v>
    <v>119890</v>
    <v>1308325</v>
    <v>1998</v>
  </rv>
  <rv s="2">
    <v>1305</v>
  </rv>
  <rv s="0">
    <v>https://www.bing.com/financeapi/forcetrigger?t=a1xzr7&amp;q=XNYS%3aMSI&amp;form=skydnc</v>
    <v>Learn more on Bing</v>
  </rv>
  <rv s="1">
    <v>0</v>
    <v>MOTOROLA SOLUTIONS, INC. (XNYS:MSI)</v>
    <v>2</v>
    <v>3</v>
    <v>Finance</v>
    <v>4</v>
    <v>en-US</v>
    <v>a1xzr7</v>
    <v>268435456</v>
    <v>1</v>
    <v>Powered by Refinitiv</v>
    <v>492.22</v>
    <v>359.36</v>
    <v>0.97050000000000003</v>
    <v>-10.365</v>
    <v>-2.2793000000000001E-2</v>
    <v>USD</v>
    <v>Motorola Solutions, Inc. provides public safety and enterprise security. The Company offers safety and security technologies, which include land mobile radio communications (LMR), video security, and command center. Across technologies, it offers cloud-based and hybrid software solutions, and services such as cybersecurity subscription services and managed and support services. Its segments include Products and Systems Integration, and Software and Services. The Products and Systems Integration segment offers a portfolio of infrastructure, devices, accessories, video security devices and infrastructure, and the implementation and integration of such systems, devices, and applications. Its Software and Services segment provide a range of solution offerings for government, public safety and commercial customers. The Company also provides cloud-native voice and multimedia recording and logging solutions for mission-critical communications, based in Manchester, New Hampshire.</v>
    <v>23000</v>
    <v>New York Stock Exchange</v>
    <v>XNYS</v>
    <v>XNYS</v>
    <v>500 W. Monroe St., CHICAGO, IL, 60661 US</v>
    <v>457.56</v>
    <v>Communications &amp; Networking</v>
    <v>Stock</v>
    <v>46106.61274061328</v>
    <v>1307</v>
    <v>438.33</v>
    <v>73616330276</v>
    <v>MOTOROLA SOLUTIONS, INC.</v>
    <v>MOTOROLA SOLUTIONS, INC.</v>
    <v>456.35</v>
    <v>34.851300000000002</v>
    <v>454.75</v>
    <v>444.38499999999999</v>
    <v>165658900</v>
    <v>MSI</v>
    <v>MOTOROLA SOLUTIONS, INC. (XNYS:MSI)</v>
    <v>293615</v>
    <v>1112141</v>
    <v>1973</v>
  </rv>
  <rv s="2">
    <v>1308</v>
  </rv>
  <rv s="0">
    <v>https://www.bing.com/financeapi/forcetrigger?t=a1xxmw&amp;q=XNYS%3aMRK&amp;form=skydnc</v>
    <v>Learn more on Bing</v>
  </rv>
  <rv s="1">
    <v>0</v>
    <v>MERCK &amp; CO., INC. (XNYS:MRK)</v>
    <v>2</v>
    <v>3</v>
    <v>Finance</v>
    <v>4</v>
    <v>en-US</v>
    <v>a1xxmw</v>
    <v>268435456</v>
    <v>1</v>
    <v>Powered by Refinitiv</v>
    <v>125.14</v>
    <v>73.31</v>
    <v>0.29670000000000002</v>
    <v>2.48</v>
    <v>2.1311E-2</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119.18</v>
    <v>Pharmaceuticals</v>
    <v>Stock</v>
    <v>46106.612708506247</v>
    <v>1310</v>
    <v>116.79519999999999</v>
    <v>293843789200</v>
    <v>MERCK &amp; CO., INC.</v>
    <v>MERCK &amp; CO., INC.</v>
    <v>116.98</v>
    <v>16.334299999999999</v>
    <v>116.37</v>
    <v>118.85</v>
    <v>2472392000</v>
    <v>MRK</v>
    <v>MERCK &amp; CO., INC. (XNYS:MRK)</v>
    <v>2088472</v>
    <v>10531719</v>
    <v>1970</v>
  </rv>
  <rv s="2">
    <v>1311</v>
  </rv>
  <rv s="0">
    <v>https://www.bing.com/financeapi/forcetrigger?t=a1p2ar&amp;q=XNYS%3aBX&amp;form=skydnc</v>
    <v>Learn more on Bing</v>
  </rv>
  <rv s="1">
    <v>0</v>
    <v>BLACKSTONE INC. (XNYS:BX)</v>
    <v>2</v>
    <v>3</v>
    <v>Finance</v>
    <v>4</v>
    <v>en-US</v>
    <v>a1p2ar</v>
    <v>268435456</v>
    <v>1</v>
    <v>Powered by Refinitiv</v>
    <v>190.08500000000001</v>
    <v>101.73</v>
    <v>1.7726</v>
    <v>2.0550000000000002</v>
    <v>1.9030999999999999E-2</v>
    <v>USD</v>
    <v>Blackstone Inc. is an alternative asset manager. Its asset management includes global investment strategies focused on real estate, private equity, infrastructure, life sciences, growth equity, credit, real assets, secondaries, and hedge funds. Its Real Estate segment comprises its management of opportunistic real estate funds, Core+ real estate funds, and real estate debt strategies. Its Private Equity segment includes its management of flagship Corporate Private Equity funds, sector and geographically focused Corporate Private Equity funds, core private equity funds, an investment platform, and others. Its Credit &amp; Insurance segment consists of Blackstone Credit &amp; Insurance, which is organized into three overarching strategies: private corporate credit, liquid corporate credit and infrastructure and asset-based credit. Its Multi-Asset Investing segment is organized into four investment platforms: Absolute Return, Multi-Strategy, Total Portfolio Management, and Public Real Assets.</v>
    <v>5285</v>
    <v>New York Stock Exchange</v>
    <v>XNYS</v>
    <v>XNYS</v>
    <v>345 Park Avenue, NEW YORK, NY, 10154 US</v>
    <v>111.7</v>
    <v>Investment Banking &amp; Investment Services</v>
    <v>Stock</v>
    <v>46106.612685659376</v>
    <v>1313</v>
    <v>109.01</v>
    <v>130695941845</v>
    <v>BLACKSTONE INC.</v>
    <v>BLACKSTONE INC.</v>
    <v>110.46</v>
    <v>28.421800000000001</v>
    <v>107.98</v>
    <v>110.035</v>
    <v>1187767000</v>
    <v>BX</v>
    <v>BLACKSTONE INC. (XNYS:BX)</v>
    <v>1174264</v>
    <v>11777148</v>
    <v>2007</v>
  </rv>
  <rv s="2">
    <v>1314</v>
  </rv>
  <rv s="0">
    <v>https://www.bing.com/financeapi/forcetrigger?t=a1yo1h&amp;q=XNYS%3aNOV&amp;form=skydnc</v>
    <v>Learn more on Bing</v>
  </rv>
  <rv s="1">
    <v>0</v>
    <v>NOV INC. (XNYS:NOV)</v>
    <v>2</v>
    <v>3</v>
    <v>Finance</v>
    <v>4</v>
    <v>en-US</v>
    <v>a1yo1h</v>
    <v>268435456</v>
    <v>1</v>
    <v>Powered by Refinitiv</v>
    <v>20.855</v>
    <v>10.6503</v>
    <v>0.93389999999999995</v>
    <v>0.17469999999999999</v>
    <v>8.9540000000000002E-3</v>
    <v>USD</v>
    <v>NOV Inc. is an independent provider of equipment and technology to the upstream oil and gas industry. The Company's proprietary technology portfolio supports the industry’s drilling, completion, and production needs. It operates under two segments: Energy Products and Services, and Energy Equipment. The Company’s Energy Products and Services segment primarily designs, manufactures, rents, and sells products and equipment used in drilling, intervention, completion, and production activities. Its products include drill bits, downhole tools, premium drill pipe, drilling fluids, managed pressure drilling, integral and weld-on connectors for conductor strings and surface casing, completion tools, and artificial lift systems. Its Energy Equipment segment manufactures and supports the capital equipment and integrated systems needed for oil and gas exploration and production, both onshore and offshore, as well as for other marine-based, industrial and renewable energy markets.</v>
    <v>31605</v>
    <v>New York Stock Exchange</v>
    <v>XNYS</v>
    <v>XNYS</v>
    <v>10353 RICHMOND AVE., HOUSTON, TX, 77042 US</v>
    <v>19.75</v>
    <v>Oil &amp; Gas Related Equipment and Services</v>
    <v>Stock</v>
    <v>46106.612708263281</v>
    <v>1316</v>
    <v>19.46</v>
    <v>7094454461</v>
    <v>NOV INC.</v>
    <v>NOV INC.</v>
    <v>19.46</v>
    <v>52.325099999999999</v>
    <v>19.510000000000002</v>
    <v>19.684699999999999</v>
    <v>360404500</v>
    <v>NOV</v>
    <v>NOV INC. (XNYS:NOV)</v>
    <v>490019</v>
    <v>4990368</v>
    <v>1995</v>
  </rv>
  <rv s="2">
    <v>1317</v>
  </rv>
  <rv s="3">
    <v>5</v>
    <v>REDDIT, INC. (XNYS:RDDT)</v>
    <v>6</v>
    <v>3</v>
    <v>Finance</v>
    <v>4</v>
    <v>en-US</v>
    <v>cchsh7</v>
    <v>268435456</v>
    <v>1</v>
    <v>Powered by Refinitiv</v>
    <v>282.95</v>
    <v>79.749899999999997</v>
    <v>2.3690000000000002</v>
    <v>6.94</v>
    <v>5.0984000000000002E-2</v>
    <v>USD</v>
    <v>Reddit, Inc. operates a social platform, Reddit. Reddit is a community of communities. It is built on shared interests, passion, and trust and is home to open and authentic conversations on the Internet. Reddit is a global, digital city where anyone in the world can join a community to learn from one another, engage in authentic conversations, explore passions, research new hobbies, exchange goods and services, create new communities and experiences, share a few laughs, and find belonging. Reddit has thousands of communities, endless conversations, and authentic human connections. Communities on Reddit are organized based on specific interests and are called subreddits. Reddit offers real-time access to evolving and dynamic topics, such as sports, movies, news, fashion, and the latest trends. On Reddit, users can submit, vote, and comment on the topics they care about. It has approximately 100,000+ active communities and approximately 101+ million daily active visitors.</v>
    <v>2555</v>
    <v>New York Stock Exchange</v>
    <v>XNYS</v>
    <v>XNYS</v>
    <v>303 2nd Street, Suite 500S, SAN FRANCISCO, CA, 94107 US</v>
    <v>143.14500000000001</v>
    <v>Software &amp; IT Services</v>
    <v>Stock</v>
    <v>46106.612783796096</v>
    <v>138.77000000000001</v>
    <v>27329581548</v>
    <v>REDDIT, INC.</v>
    <v>REDDIT, INC.</v>
    <v>138.77000000000001</v>
    <v>54.915399999999998</v>
    <v>136.12</v>
    <v>143.06</v>
    <v>191035800</v>
    <v>RDDT</v>
    <v>REDDIT, INC. (XNYS:RDDT)</v>
    <v>971111</v>
    <v>4953774</v>
    <v>2011</v>
  </rv>
  <rv s="2">
    <v>1319</v>
  </rv>
  <rv s="0">
    <v>https://www.bing.com/financeapi/forcetrigger?t=a1otrw&amp;q=XNYS%3aBRK.B&amp;form=skydnc</v>
    <v>Learn more on Bing</v>
  </rv>
  <rv s="1">
    <v>0</v>
    <v>BERKSHIRE HATHAWAY INC. (XNYS:BRK.B)</v>
    <v>2</v>
    <v>3</v>
    <v>Finance</v>
    <v>4</v>
    <v>en-US</v>
    <v>a1otrw</v>
    <v>268435456</v>
    <v>1</v>
    <v>Powered by Refinitiv</v>
    <v>542.07000000000005</v>
    <v>455.185</v>
    <v>0.69979999999999998</v>
    <v>-1.0149999999999999</v>
    <v>-2.1180000000000001E-3</v>
    <v>USD</v>
    <v>Berkshire Hathaway Inc. and its subsidiaries are engaged in diverse business activities, including insurance and reinsurance, utilities and energy, freight rail transportation, manufacturing, services and retailing. Its segments include Insurance, Burlington Northern Santa Fe (BNSF), Berkshire Hathaway Energy (BHE), Pilot Travel Centers (Pilot), Manufacturing, McLane Company (McLane), and Service and retailing. The Insurance segment includes GEICO, Berkshire Hathaway Primary Group, and Berkshire Hathaway Reinsurance Group. The BNSF segment includes the operation of railroad systems in North America. BHE segment offers regulated electric and gas utilities and real estate brokerage activities. Manufacturing segment manufacturers various products, such as industrial, consumer and building products. The McLane segment is engaged in wholesale distribution of groceries and non-food items. The Pilot segment is an operator of travel centers in North America and a marketer of wholesale fuel.</v>
    <v>387800</v>
    <v>New York Stock Exchange</v>
    <v>XNYS</v>
    <v>XNYS</v>
    <v>3555 Farnam Street, OMAHA, NE, 68131 US</v>
    <v>483.23</v>
    <v>Consumer Goods Conglomerates</v>
    <v>Stock</v>
    <v>46106.61275251094</v>
    <v>1321</v>
    <v>477.07</v>
    <v>1068106000000</v>
    <v>BERKSHIRE HATHAWAY INC.</v>
    <v>BERKSHIRE HATHAWAY INC.</v>
    <v>482.63</v>
    <v>15.409599999999999</v>
    <v>479.33</v>
    <v>478.315</v>
    <v>1437910</v>
    <v>BRK.B</v>
    <v>BERKSHIRE HATHAWAY INC. (XNYS:BRK.B)</v>
    <v>797159</v>
    <v>4904572</v>
    <v>1998</v>
  </rv>
  <rv s="2">
    <v>1322</v>
  </rv>
  <rv s="0">
    <v>https://www.bing.com/financeapi/forcetrigger?t=a1o48m&amp;q=XNYS%3aAZZ&amp;form=skydnc</v>
    <v>Learn more on Bing</v>
  </rv>
  <rv s="1">
    <v>0</v>
    <v>AZZ INC. (XNYS:AZZ)</v>
    <v>2</v>
    <v>3</v>
    <v>Finance</v>
    <v>4</v>
    <v>en-US</v>
    <v>a1o48m</v>
    <v>268435456</v>
    <v>1</v>
    <v>Powered by Refinitiv</v>
    <v>141.18</v>
    <v>70.900000000000006</v>
    <v>1.1474</v>
    <v>1.835</v>
    <v>1.4744E-2</v>
    <v>USD</v>
    <v>AZZ Inc. is a provider of hot-dip galvanizing and coil coating solutions to a range of end-markets in North America. The Company operates through three segments. Its AZZ Metal Coatings segment provides metal coating solutions for corrosion protection, including hot-dip galvanizing, spin galvanizing, powder coating, anodizing and plating to the North American steel fabrication industry and other industries. AZZ Precoat Metals segment provides aesthetic and corrosion protective coatings and related value-added services for steel and aluminum coils, primarily serving the construction, transportation and other end markets in North America. The AZZ Infrastructure Solutions segment holds a non-controlling interest in AIS Investment Holdings LLC, which is primarily dedicated to delivering safe and reliable transmission of power from generation sources to end customers, and automated weld overlay solutions for corrosion and erosion mitigation to critical infrastructure in markets worldwide.</v>
    <v>3684</v>
    <v>New York Stock Exchange</v>
    <v>XNYS</v>
    <v>XNYS</v>
    <v>One Museum Place, Suite 500, 3100 W 7Th Street, FORT WORTH, TX, 76107 US</v>
    <v>127</v>
    <v>Metals &amp; Mining</v>
    <v>Stock</v>
    <v>46106.611736365623</v>
    <v>1324</v>
    <v>125.2</v>
    <v>3770621842</v>
    <v>AZZ INC.</v>
    <v>AZZ INC.</v>
    <v>126.11</v>
    <v>11.869</v>
    <v>124.46</v>
    <v>126.295</v>
    <v>29855670</v>
    <v>AZZ</v>
    <v>AZZ INC. (XNYS:AZZ)</v>
    <v>11430</v>
    <v>205880</v>
    <v>1956</v>
  </rv>
  <rv s="2">
    <v>1325</v>
  </rv>
  <rv s="0">
    <v>https://creativecommons.org/licenses/by-sa/4.0</v>
    <v>CC BY-SA 4.0</v>
  </rv>
  <rv s="0">
    <v>http://en.wikipedia.org/wiki/Fleetcor</v>
    <v>Wikipedia</v>
  </rv>
  <rv s="6">
    <v>1327</v>
    <v>1328</v>
  </rv>
  <rv s="7">
    <v>14</v>
    <v>https://www.bing.com/th?id=AMMS_10f3aca41262dec4fa8e7ae778ea9a00&amp;qlt=95</v>
    <v>1329</v>
    <v>0</v>
    <v>https://www.bing.com/images/search?form=xlimg&amp;q=fleetcor</v>
    <v>Image of CORPAY, INC.</v>
  </rv>
  <rv s="0">
    <v>https://www.bing.com/financeapi/forcetrigger?t=a1t377&amp;q=XNYS%3aFLT&amp;form=skydnc</v>
    <v>Learn more on Bing</v>
  </rv>
  <rv s="8">
    <v>10</v>
    <v>CORPAY, INC. (XNYS:CPAY)</v>
    <v>12</v>
    <v>13</v>
    <v>Finance</v>
    <v>4</v>
    <v>en-US</v>
    <v>a1t377</v>
    <v>268435456</v>
    <v>1</v>
    <v>Powered by Refinitiv</v>
    <v>361.99</v>
    <v>252.84</v>
    <v>0.84670000000000001</v>
    <v>1.03</v>
    <v>3.5049999999999999E-3</v>
    <v>USD</v>
    <v>Corpay, Inc. is a corporate payments company that helps businesses and consumers manage and pay expenses. The Company's suite of payment solutions helps customers to manage vehicle-related expenses, such as fueling and parking; travel expenses, such as hotel bookings; and accounts payable, such as paying vendors. Its segments include Vehicle Payments, Corporate Payments, Lodging Payments and Other. Its solutions include AP Automation, Cross-Border, Purchasing and T&amp;E Cards, and Virtual Card. Its AP Automation solutions include Payments Automation, Invoice Automation, Purchase Order Automation and Integrations. Its Virtual Card solution provides a single-use card number for a specific amount, usable within a defined timeframe. Its trading platform and integrated payment solutions, which can be customized as per client’s business requirements. Its Cross-Border solution is used by its customers to pay international vendors, foreign office and for-profit repatriation and dividends.</v>
    <v>11800</v>
    <v>New York Stock Exchange</v>
    <v>XNYS</v>
    <v>XNYS</v>
    <v>3280 Peachtree Road, Suite 2400, ATLANTA, GA, 30305 US</v>
    <v>301.63</v>
    <v>1330</v>
    <v>Professional &amp; Commercial Services</v>
    <v>Stock</v>
    <v>46106.612700705467</v>
    <v>1331</v>
    <v>292.65499999999997</v>
    <v>20065311458</v>
    <v>CORPAY, INC.</v>
    <v>CORPAY, INC.</v>
    <v>299.10000000000002</v>
    <v>19.583400000000001</v>
    <v>293.83</v>
    <v>294.86</v>
    <v>68050300</v>
    <v>CPAY</v>
    <v>CORPAY, INC. (XNYS:CPAY)</v>
    <v>34915</v>
    <v>741820</v>
    <v>1998</v>
  </rv>
  <rv s="2">
    <v>1332</v>
  </rv>
  <rv s="0">
    <v>https://www.bing.com/financeapi/forcetrigger?t=a1wicw&amp;q=ARCX%3aKIE&amp;form=skydnc</v>
    <v>Learn more on Bing</v>
  </rv>
  <rv s="14">
    <v>22</v>
    <v>SS SPDR S&amp;P Insurance (ARCX:KIE)</v>
    <v>23</v>
    <v>24</v>
    <v>Finance</v>
    <v>25</v>
    <v>en-US</v>
    <v>a1wicw</v>
    <v>268435456</v>
    <v>1</v>
    <v>Powered by Refinitiv</v>
    <v>61.27</v>
    <v>52.37</v>
    <v>1.0347999999999999</v>
    <v>-5.0000000000000001E-3</v>
    <v>-9.1369999999999987E-5</v>
    <v>USD</v>
    <v>NYSE Arca</v>
    <v>ARCX</v>
    <v>3.4999999999999996E-3</v>
    <v>55.305</v>
    <v>ETF</v>
    <v>46106.612711029687</v>
    <v>1334</v>
    <v>54.46</v>
    <v>409981637.26999998</v>
    <v>SS SPDR S&amp;P Insurance</v>
    <v>55.305</v>
    <v>54.72</v>
    <v>54.715000000000003</v>
    <v>KIE</v>
    <v>SS SPDR S&amp;P Insurance (ARCX:KIE)</v>
    <v>324074</v>
    <v>1919933</v>
  </rv>
  <rv s="2">
    <v>1335</v>
  </rv>
  <rv s="0">
    <v>https://www.bing.com/financeapi/forcetrigger?t=c3iqk2&amp;q=XNAS%3aAVDX&amp;form=skydnc</v>
    <v>Learn more on Bing</v>
  </rv>
  <rv s="13">
    <v>20</v>
    <v>Avidxchange Holdings Inc (XNAS:AVDX)</v>
    <v>2</v>
    <v>3</v>
    <v>Finance</v>
    <v>21</v>
    <v>en-US</v>
    <v>c3iqk2</v>
    <v>268435456</v>
    <v>1</v>
    <v>1</v>
    <v>Powered by Refinitiv</v>
    <v>11.68</v>
    <v>6.6050000000000004</v>
    <v>1.1903999999999999</v>
    <v>0</v>
    <v>0</v>
    <v>USD</v>
    <v>AvidXchange Holdings, Inc. is a provider of accounts payable (AP) automation software and payment solutions for middle market businesses and their suppliers. Its Software-as-a-Service (SaaS)-based, end-to-end software and payment platform digitizes and automates the AP workflows for more than 8,500 businesses (its buyers) and it has made payments to more than 1,350,000 supplier customers of its buyers (suppliers). Its platform automates end-to-end AP workflows for its buyers and enhances the payment experience for its suppliers through the various products and features: AP Automation Software, the AvidPay Network, and the AvidXchange Supplier Hub. The Company provides solutions and services throughout North America spanning multiple industries, including real estate, community association management, construction, financial services (including banks and credit unions), healthcare facilities, social services, education, media, and hospitality.</v>
    <v>1600</v>
    <v>Nasdaq Stock Market</v>
    <v>XNAS</v>
    <v>XNAS</v>
    <v>1210 Avidxchange Lane, CHARLOTTE, NC, 28206 US</v>
    <v>10.01</v>
    <v>Professional &amp; Commercial Services</v>
    <v>Stock</v>
    <v>45944.986510207811</v>
    <v>1337</v>
    <v>9.99</v>
    <v>2076988000</v>
    <v>Avidxchange Holdings Inc</v>
    <v>Avidxchange Holdings Inc</v>
    <v>10</v>
    <v>0</v>
    <v>10</v>
    <v>10</v>
    <v>207698700</v>
    <v>AVDX</v>
    <v>Avidxchange Holdings Inc (XNAS:AVDX)</v>
    <v>4499926</v>
    <v>2108418</v>
    <v>2021</v>
  </rv>
  <rv s="2">
    <v>1338</v>
  </rv>
  <rv s="0">
    <v>https://www.bing.com/financeapi/forcetrigger?t=a1qfxm&amp;q=XNYS%3aSNDA&amp;form=skydnc</v>
    <v>Learn more on Bing</v>
  </rv>
  <rv s="1">
    <v>0</v>
    <v>SONIDA SENIOR LIVING, INC. (XNYS:SNDA)</v>
    <v>2</v>
    <v>3</v>
    <v>Finance</v>
    <v>4</v>
    <v>en-US</v>
    <v>a1qfxm</v>
    <v>268435456</v>
    <v>1</v>
    <v>Powered by Refinitiv</v>
    <v>37.57</v>
    <v>19.34</v>
    <v>0.75770000000000004</v>
    <v>-0.13450000000000001</v>
    <v>-4.2640000000000004E-3</v>
    <v>USD</v>
    <v>Sonida Senior Living, Inc. is an owner, operator and investor in independent living, assisted living and memory care communities and services for senior adults. It provides compassionate, resident-centric services and care as well as engaging programming at its senior housing communities. It owns, manages or invests in 97 senior housing communities in 20 states with an aggregate capacity of approximately 10,260 residents, including 84 owned senior housing communities (including four owned through joint venture investments in consolidated entities, and four owned through a joint venture investment in an unconsolidated entity, and one unoccupied) and 13 communities that the Company managed on behalf of a third party. It offers independent living services to seniors, including daily meals, transportation, social and recreational activities, laundry, and housekeeping. It offers a range of assisted living care and services, including personal care services and other supplemental services.</v>
    <v>5140</v>
    <v>New York Stock Exchange</v>
    <v>XNYS</v>
    <v>XNYS</v>
    <v>14755 Preston Road, Suite 810, DALLAS, TX, 75254 US</v>
    <v>32</v>
    <v>Healthcare Providers &amp; Services</v>
    <v>Stock</v>
    <v>46106.612669849215</v>
    <v>1340</v>
    <v>31.21</v>
    <v>629156992</v>
    <v>SONIDA SENIOR LIVING, INC.</v>
    <v>SONIDA SENIOR LIVING, INC.</v>
    <v>31.754999999999999</v>
    <v>0</v>
    <v>31.54</v>
    <v>31.4055</v>
    <v>47388040</v>
    <v>SNDA</v>
    <v>SONIDA SENIOR LIVING, INC. (XNYS:SNDA)</v>
    <v>86530</v>
    <v>513385</v>
    <v>1996</v>
  </rv>
  <rv s="2">
    <v>1341</v>
  </rv>
  <rv s="0">
    <v>https://www.bing.com/financeapi/forcetrigger?t=a1yx3m&amp;q=XNAS%3aNWPX&amp;form=skydnc</v>
    <v>Learn more on Bing</v>
  </rv>
  <rv s="1">
    <v>0</v>
    <v>NWPX INFRASTRUCTURE, INC. (XNAS:NWPX)</v>
    <v>2</v>
    <v>3</v>
    <v>Finance</v>
    <v>4</v>
    <v>en-US</v>
    <v>a1yx3m</v>
    <v>268435456</v>
    <v>1</v>
    <v>Powered by Refinitiv</v>
    <v>83.119900000000001</v>
    <v>36.965000000000003</v>
    <v>0.91759999999999997</v>
    <v>1.425</v>
    <v>1.8110999999999999E-2</v>
    <v>USD</v>
    <v>NWPX Infrastructure, Inc., formerly Northwest Pipe Company, is a manufacturer of water-related infrastructure products. The Company is the manufacturer of engineered water transmission systems in North America and produces steel casing pipes, bar-wrapped concrete cylinder pipe, and pipeline system joints and fittings through its Engineered Steel Pressure Pipe segment. The Company provides solution-based products for a wide range of markets, including reinforced precast concrete products, lined precast sanitary sewer system components, water distribution and management equipment including pump lift stations, wastewater pretreatment and stormwater quality products through its Precast Infrastructure and Engineered Systems segment. The Company provides solutions-based products for a wide range of markets under the Northwest Pipe Company, Permalok, NWPX Geneva, and NWPX ParkUSA product lines. It operates 13 manufacturing facilities across North America.</v>
    <v>1318</v>
    <v>Nasdaq Stock Market</v>
    <v>XNAS</v>
    <v>XNAS</v>
    <v>201 Ne Park Plaza Drive, Suite 100, VANCOUVER, WA, 98684 US</v>
    <v>80.94</v>
    <v>Metals &amp; Mining</v>
    <v>Stock</v>
    <v>46106.612391608593</v>
    <v>1343</v>
    <v>78.69</v>
    <v>766943694</v>
    <v>NWPX INFRASTRUCTURE, INC.</v>
    <v>NWPX INFRASTRUCTURE, INC.</v>
    <v>79.650000000000006</v>
    <v>21.808</v>
    <v>78.680000000000007</v>
    <v>80.105000000000004</v>
    <v>9574230</v>
    <v>NWPX</v>
    <v>NWPX INFRASTRUCTURE, INC. (XNAS:NWPX)</v>
    <v>15171</v>
    <v>125882</v>
    <v>1966</v>
  </rv>
  <rv s="2">
    <v>1344</v>
  </rv>
  <rv s="0">
    <v>https://www.bing.com/financeapi/forcetrigger?t=a23www&amp;q=XNYS%3aT&amp;form=skydnc</v>
    <v>Learn more on Bing</v>
  </rv>
  <rv s="1">
    <v>0</v>
    <v>AT&amp;T INC. (XNYS:T)</v>
    <v>2</v>
    <v>3</v>
    <v>Finance</v>
    <v>4</v>
    <v>en-US</v>
    <v>a23www</v>
    <v>268435456</v>
    <v>1</v>
    <v>Powered by Refinitiv</v>
    <v>29.79</v>
    <v>22.95</v>
    <v>0.32369999999999999</v>
    <v>4.4999999999999998E-2</v>
    <v>1.5590000000000001E-3</v>
    <v>USD</v>
    <v>AT&amp;T Inc. is a holding company. The Company is a provider of telecommunications and technology services globally. The Company’s segments include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Internet Protocol (IP) Voice and managed professional services, as well as legacy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133030</v>
    <v>New York Stock Exchange</v>
    <v>XNYS</v>
    <v>XNYS</v>
    <v>208 S. Akard St, DALLAS, TX, 75202 US</v>
    <v>29.135000000000002</v>
    <v>Telecommunications Services</v>
    <v>Stock</v>
    <v>46106.612826712502</v>
    <v>1346</v>
    <v>28.79</v>
    <v>201888751590</v>
    <v>AT&amp;T INC.</v>
    <v>AT&amp;T INC.</v>
    <v>28.79</v>
    <v>9.4754000000000005</v>
    <v>28.87</v>
    <v>28.914999999999999</v>
    <v>6982146000</v>
    <v>T</v>
    <v>AT&amp;T INC. (XNYS:T)</v>
    <v>6355538</v>
    <v>43377184</v>
    <v>1983</v>
  </rv>
  <rv s="2">
    <v>1347</v>
  </rv>
  <rv s="0">
    <v>https://www.bing.com/financeapi/forcetrigger?t=buo152&amp;q=ARCX%3aSGOV&amp;form=skydnc</v>
    <v>Learn more on Bing</v>
  </rv>
  <rv s="14">
    <v>22</v>
    <v>iShares:0-3 Month Trs Bd (XNYS:SGOV)</v>
    <v>23</v>
    <v>24</v>
    <v>Finance</v>
    <v>25</v>
    <v>en-US</v>
    <v>buo152</v>
    <v>268435456</v>
    <v>1</v>
    <v>Powered by Refinitiv</v>
    <v>100.74</v>
    <v>100.27</v>
    <v>0.60440000000000005</v>
    <v>-1E-4</v>
    <v>-9.9389999999999992E-7</v>
    <v>USD</v>
    <v>New York Stock Exchange</v>
    <v>XNYS</v>
    <v>8.9999999999999998E-4</v>
    <v>100.62</v>
    <v>ETF</v>
    <v>46106.612751678127</v>
    <v>1349</v>
    <v>100.6</v>
    <v>75028907362.199997</v>
    <v>iShares:0-3 Month Trs Bd</v>
    <v>100.61499999999999</v>
    <v>100.61</v>
    <v>100.6099</v>
    <v>SGOV</v>
    <v>iShares:0-3 Month Trs Bd (XNYS:SGOV)</v>
    <v>5742087</v>
    <v>17395832</v>
  </rv>
  <rv s="2">
    <v>1350</v>
  </rv>
  <rv s="0">
    <v>https://www.bing.com/financeapi/forcetrigger?t=a1ohxm&amp;q=ARCX%3aBIL&amp;form=skydnc</v>
    <v>Learn more on Bing</v>
  </rv>
  <rv s="14">
    <v>22</v>
    <v>SS SPDR Bbg 1-3 Mo T-Bll (ARCX:BIL)</v>
    <v>23</v>
    <v>24</v>
    <v>Finance</v>
    <v>25</v>
    <v>en-US</v>
    <v>a1ohxm</v>
    <v>268435456</v>
    <v>1</v>
    <v>Powered by Refinitiv</v>
    <v>91.78</v>
    <v>91.26</v>
    <v>0.72119999999999995</v>
    <v>2.0000000000000001E-4</v>
    <v>2.1839999999999998E-6</v>
    <v>USD</v>
    <v>NYSE Arca</v>
    <v>ARCX</v>
    <v>1.3450000000000001E-3</v>
    <v>91.6</v>
    <v>ETF</v>
    <v>46106.612776735936</v>
    <v>1352</v>
    <v>91.59</v>
    <v>43266320093.349998</v>
    <v>SS SPDR Bbg 1-3 Mo T-Bll</v>
    <v>91.6</v>
    <v>91.59</v>
    <v>91.590199999999996</v>
    <v>BIL</v>
    <v>SS SPDR Bbg 1-3 Mo T-Bll (ARCX:BIL)</v>
    <v>6796169</v>
    <v>10892311</v>
  </rv>
  <rv s="2">
    <v>1353</v>
  </rv>
  <rv s="0">
    <v>https://www.bing.com/financeapi/forcetrigger?t=a1sgvh&amp;q=ARCX%3aEWW&amp;form=skydnc</v>
    <v>Learn more on Bing</v>
  </rv>
  <rv s="14">
    <v>22</v>
    <v>iShares:MSCI Mexico (ARCX:EWW)</v>
    <v>23</v>
    <v>24</v>
    <v>Finance</v>
    <v>25</v>
    <v>en-US</v>
    <v>a1sgvh</v>
    <v>268435456</v>
    <v>1</v>
    <v>Powered by Refinitiv</v>
    <v>81.649900000000002</v>
    <v>47.19</v>
    <v>1.1741999999999999</v>
    <v>1.36</v>
    <v>1.8769000000000001E-2</v>
    <v>USD</v>
    <v>NYSE Arca</v>
    <v>ARCX</v>
    <v>5.0000000000000001E-3</v>
    <v>74.05</v>
    <v>ETF</v>
    <v>46106.612673032032</v>
    <v>1355</v>
    <v>72.920100000000005</v>
    <v>2596836635.02</v>
    <v>iShares:MSCI Mexico</v>
    <v>73.150000000000006</v>
    <v>72.459999999999994</v>
    <v>73.819999999999993</v>
    <v>EWW</v>
    <v>iShares:MSCI Mexico (ARCX:EWW)</v>
    <v>486726</v>
    <v>2359964</v>
  </rv>
  <rv s="2">
    <v>1356</v>
  </rv>
  <rv s="0">
    <v>https://www.bing.com/financeapi/forcetrigger?t=a1oifr&amp;q=XNAS%3aOPCH&amp;form=skydnc</v>
    <v>Learn more on Bing</v>
  </rv>
  <rv s="1">
    <v>0</v>
    <v>OPTION CARE HEALTH, INC. (XNAS:OPCH)</v>
    <v>2</v>
    <v>3</v>
    <v>Finance</v>
    <v>4</v>
    <v>en-US</v>
    <v>a1oifr</v>
    <v>268435456</v>
    <v>1</v>
    <v>Powered by Refinitiv</v>
    <v>36.799999999999997</v>
    <v>24.234999999999999</v>
    <v>0.92720000000000002</v>
    <v>0.20499999999999999</v>
    <v>7.2160000000000002E-3</v>
    <v>USD</v>
    <v>Option Care Health, Inc. is an independent provider of home and alternate site infusion services. The Company’s infusion services include the clinical management of infusion therapy, nursing support and care coordination. It provides a therapy portfolio through its network of 92 full-service pharmacies and 93 stand-alone ambulatory infusion suites. It administers a wide variety of therapies and services, including anti-infectives infusion, nutrition support, immunoglobulin infusion, chronic inflammatory disorders, neurological disorders, bleeding disorders infusion, Naven health, women’s health, heart failure, and others. Its home infusion services include medication and supplies for administration and use at home or within one of its ambulatory infusion suites, consultation and education regarding the patient’s condition and the prescribed medication nursing support, clinical monitoring and assistance in monitoring potential side effects, and assistance in obtaining reimbursement.</v>
    <v>6528</v>
    <v>Nasdaq Stock Market</v>
    <v>XNAS</v>
    <v>XNAS</v>
    <v>3000 Lakeside Dr, Suite 300N, BANNOCKBURN, IL, 60015 US</v>
    <v>28.79</v>
    <v>Healthcare Providers &amp; Services</v>
    <v>Stock</v>
    <v>46106.612693171097</v>
    <v>1358</v>
    <v>28.3933</v>
    <v>4476759520</v>
    <v>OPTION CARE HEALTH, INC.</v>
    <v>OPTION CARE HEALTH, INC.</v>
    <v>28.7</v>
    <v>22.4925</v>
    <v>28.41</v>
    <v>28.614999999999998</v>
    <v>156448000</v>
    <v>OPCH</v>
    <v>OPTION CARE HEALTH, INC. (XNAS:OPCH)</v>
    <v>173265</v>
    <v>2029338</v>
    <v>1996</v>
  </rv>
  <rv s="2">
    <v>1359</v>
  </rv>
  <rv s="0">
    <v>https://www.bing.com/financeapi/forcetrigger?t=a1o4sm&amp;q=XNYS%3aBAC&amp;form=skydnc</v>
    <v>Learn more on Bing</v>
  </rv>
  <rv s="1">
    <v>0</v>
    <v>BANK OF AMERICA CORPORATION (XNYS:BAC)</v>
    <v>2</v>
    <v>3</v>
    <v>Finance</v>
    <v>4</v>
    <v>en-US</v>
    <v>a1o4sm</v>
    <v>268435456</v>
    <v>1</v>
    <v>Powered by Refinitiv</v>
    <v>57.55</v>
    <v>33.064999999999998</v>
    <v>1.2474000000000001</v>
    <v>0.57499999999999996</v>
    <v>1.1944E-2</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213207</v>
    <v>New York Stock Exchange</v>
    <v>XNYS</v>
    <v>XNYS</v>
    <v>Bank Of America Corporate Center, 100 N Tryon St, CHARLOTTE, NC, 28255 US</v>
    <v>49.11</v>
    <v>Banking Services</v>
    <v>Stock</v>
    <v>46106.612755161717</v>
    <v>1361</v>
    <v>48.52</v>
    <v>348103213935</v>
    <v>BANK OF AMERICA CORPORATION</v>
    <v>BANK OF AMERICA CORPORATION</v>
    <v>48.62</v>
    <v>12.878</v>
    <v>48.14</v>
    <v>48.715000000000003</v>
    <v>7145709000</v>
    <v>BAC</v>
    <v>BANK OF AMERICA CORPORATION (XNYS:BAC)</v>
    <v>7986248</v>
    <v>46731825</v>
    <v>1998</v>
  </rv>
  <rv s="2">
    <v>1362</v>
  </rv>
  <rv s="0">
    <v>https://www.bing.com/financeapi/forcetrigger?t=bwigmw&amp;q=XNAS%3aPAYO&amp;form=skydnc</v>
    <v>Learn more on Bing</v>
  </rv>
  <rv s="1">
    <v>0</v>
    <v>Payoneer Global Inc. (XNAS:PAYO)</v>
    <v>2</v>
    <v>3</v>
    <v>Finance</v>
    <v>4</v>
    <v>en-US</v>
    <v>bwigmw</v>
    <v>268435456</v>
    <v>1</v>
    <v>Powered by Refinitiv</v>
    <v>7.97</v>
    <v>4.0800999999999998</v>
    <v>1.0537000000000001</v>
    <v>0.08</v>
    <v>1.6913000000000001E-2</v>
    <v>USD</v>
    <v>Payoneer Global Inc. is a financial technology company that helps small and medium-sized businesses (SMBs) to transact, do business, and grow globally. The Company's financial stack provides a suite of cross-border accounts receivable (AR) and accounts payable (AP) capabilities, including multicurrency account capabilities, and includes services such as working capital and funds management. Its customers include goods exporters selling cross-border to consumers and other businesses, services companies exporting their capabilities to international clients, independent professionals, creators, contractors, and business owners capitalizing on the digitization of the workplace and remote work, vacation rental hosts, and others. Its customers sell their goods or services either via a marketplace or directly to other businesses (B2B), and/or to customers via webstores. The Company serves SMBs located in more than 190 countries and territories and operating in a variety of industries.</v>
    <v>2540</v>
    <v>Nasdaq Stock Market</v>
    <v>XNAS</v>
    <v>XNAS</v>
    <v>195 Broadway, 27Th Floor, NEW YORK, NY, 10007 US</v>
    <v>4.9550000000000001</v>
    <v>Professional &amp; Commercial Services</v>
    <v>Stock</v>
    <v>46106.612605635935</v>
    <v>1364</v>
    <v>4.8049999999999997</v>
    <v>1658358129</v>
    <v>Payoneer Global Inc.</v>
    <v>Payoneer Global Inc.</v>
    <v>4.87</v>
    <v>24.2684</v>
    <v>4.7300000000000004</v>
    <v>4.8099999999999996</v>
    <v>344773000</v>
    <v>PAYO</v>
    <v>Payoneer Global Inc. (XNAS:PAYO)</v>
    <v>689522</v>
    <v>4794865</v>
    <v>2021</v>
  </rv>
  <rv s="2">
    <v>1365</v>
  </rv>
  <rv s="0">
    <v>https://www.bing.com/financeapi/forcetrigger?t=c5o9kr&amp;q=BATS%3aSVIX&amp;form=skydnc</v>
    <v>Learn more on Bing</v>
  </rv>
  <rv s="14">
    <v>22</v>
    <v>VS:-1x Short VIX Futures (BATS:SVIX)</v>
    <v>23</v>
    <v>24</v>
    <v>Finance</v>
    <v>25</v>
    <v>en-US</v>
    <v>c5o9kr</v>
    <v>268435456</v>
    <v>1</v>
    <v>Powered by Refinitiv</v>
    <v>25.045000000000002</v>
    <v>9.3000000000000007</v>
    <v>2.9056000000000002</v>
    <v>0.40500000000000003</v>
    <v>2.4908E-2</v>
    <v>USD</v>
    <v>CBOE BZX Exchange</v>
    <v>BATS</v>
    <v>2.58E-2</v>
    <v>16.835000000000001</v>
    <v>ETF</v>
    <v>46106.612707789063</v>
    <v>1367</v>
    <v>16.34</v>
    <v>136512787.44</v>
    <v>VS:-1x Short VIX Futures</v>
    <v>16.71</v>
    <v>16.260000000000002</v>
    <v>16.664999999999999</v>
    <v>SVIX</v>
    <v>VS:-1x Short VIX Futures (BATS:SVIX)</v>
    <v>1941898</v>
    <v>8566390</v>
  </rv>
  <rv s="2">
    <v>1368</v>
  </rv>
  <rv s="0">
    <v>https://www.bing.com/financeapi/forcetrigger?t=a1s152&amp;q=XNAS%3aENTG&amp;form=skydnc</v>
    <v>Learn more on Bing</v>
  </rv>
  <rv s="1">
    <v>0</v>
    <v>ENTEGRIS, INC. (XNAS:ENTG)</v>
    <v>2</v>
    <v>3</v>
    <v>Finance</v>
    <v>4</v>
    <v>en-US</v>
    <v>a1s152</v>
    <v>268435456</v>
    <v>1</v>
    <v>Powered by Refinitiv</v>
    <v>142.5</v>
    <v>60.750100000000003</v>
    <v>1.3027</v>
    <v>2.0699999999999998</v>
    <v>1.7013E-2</v>
    <v>USD</v>
    <v>Entegris, Inc. is a supplier of critical advanced materials and process solutions for semiconductors and other high-technology industries. Its segments include Materials Solutions (MS) and Advanced Purity Solutions (APS). The MS segment provides materials-based solutions, such as chemical vapor and atomic layer deposition materials, chemical mechanical planarization (CMP) slurries and pads, ion implantation specialty gases, formulated etch and clean materials, and other specialty materials. The APS segment offers filtration, purification and contamination-control solutions that improve customers’ yield and device reliability by ensuring the purity of critical liquid chemistries and gases and the cleanliness of wafers and other substrates used throughout semiconductor manufacturing processes, the semiconductor ecosystem and other high-technology industries. It has manufacturing, customer service and/or research facilities in the United States, Canada, China, Germany and others.</v>
    <v>7700</v>
    <v>Nasdaq Stock Market</v>
    <v>XNAS</v>
    <v>XNAS</v>
    <v>129 Concord Road, BILLERICA, MA, 01821 US</v>
    <v>124.2872</v>
    <v>Semiconductors &amp; Semiconductor Equipment</v>
    <v>Stock</v>
    <v>46106.612693078125</v>
    <v>1370</v>
    <v>121.07</v>
    <v>18839278886</v>
    <v>ENTEGRIS, INC.</v>
    <v>ENTEGRIS, INC.</v>
    <v>123.81</v>
    <v>79.919899999999998</v>
    <v>121.67</v>
    <v>123.74</v>
    <v>152248900</v>
    <v>ENTG</v>
    <v>ENTEGRIS, INC. (XNAS:ENTG)</v>
    <v>205405</v>
    <v>2323512</v>
    <v>2005</v>
  </rv>
  <rv s="2">
    <v>1371</v>
  </rv>
  <rv s="0">
    <v>https://www.bing.com/financeapi/forcetrigger?t=a239hw&amp;q=XNAS%3aSNPS&amp;form=skydnc</v>
    <v>Learn more on Bing</v>
  </rv>
  <rv s="1">
    <v>0</v>
    <v>SYNOPSYS, INC. (XNAS:SNPS)</v>
    <v>2</v>
    <v>3</v>
    <v>Finance</v>
    <v>4</v>
    <v>en-US</v>
    <v>a239hw</v>
    <v>268435456</v>
    <v>1</v>
    <v>Powered by Refinitiv</v>
    <v>651.73</v>
    <v>365.74</v>
    <v>1.1279999999999999</v>
    <v>0.28999999999999998</v>
    <v>6.9779999999999994E-4</v>
    <v>USD</v>
    <v>Synopsys, Inc. is engaged in providing engineering solutions from silicon to systems, enabling customers to innovate artificial intelligence (AI)-powered products. It delivers silicon design, intellectual property (IP), simulation and analysis solutions, and design services. It supplies mission-critical electronic design automation (EDA) software that engineers use to design and test integrated circuits (ICs). Its Design Automation segment includes its advanced silicon design, verification products and services and system integration products. This segment also includes digital, custom and field programmable gate arrays, integrated circuit design software, verification software and hardware products, system integration products and services, and manufacturing software products. Its Design IP segment includes its interface, foundation, security, and embedded processor IP, IP subsystems, and IP implementation services that serve companies in the semiconductor and electronics industries.</v>
    <v>28000</v>
    <v>Nasdaq Stock Market</v>
    <v>XNAS</v>
    <v>XNAS</v>
    <v>675 Almanor Ave, SUNNYVALE, CA, 94085 US</v>
    <v>425.93</v>
    <v>Software &amp; IT Services</v>
    <v>Stock</v>
    <v>46106.612729478904</v>
    <v>1373</v>
    <v>414.33</v>
    <v>79672551420</v>
    <v>SYNOPSYS, INC.</v>
    <v>SYNOPSYS, INC.</v>
    <v>422.5</v>
    <v>64.349500000000006</v>
    <v>415.62</v>
    <v>415.91</v>
    <v>191562000</v>
    <v>SNPS</v>
    <v>SYNOPSYS, INC. (XNAS:SNPS)</v>
    <v>256534</v>
    <v>2311943</v>
    <v>1987</v>
  </rv>
  <rv s="2">
    <v>1374</v>
  </rv>
  <rv s="0">
    <v>https://www.bing.com/financeapi/forcetrigger?t=a1q44c&amp;q=XNYS%3aCTRA&amp;form=skydnc</v>
    <v>Learn more on Bing</v>
  </rv>
  <rv s="1">
    <v>0</v>
    <v>COTERRA ENERGY INC. (XNYS:CTRA)</v>
    <v>2</v>
    <v>3</v>
    <v>Finance</v>
    <v>4</v>
    <v>en-US</v>
    <v>a1q44c</v>
    <v>268435456</v>
    <v>1</v>
    <v>Powered by Refinitiv</v>
    <v>35.32</v>
    <v>22.33</v>
    <v>0.2903</v>
    <v>-0.14499999999999999</v>
    <v>-4.1399999999999996E-3</v>
    <v>USD</v>
    <v>Coterra Energy Inc. is an exploration and production company based in Houston, Texas with focused operations in the Permian Basin, Marcellus Shale and Anadarko Basin. The Company is engaged in the development, exploration and production of oil, natural gas and natural gas liquids exclusively within the continental United States. Its Permian Basin operation consists of approximately 345,000 net acres. Its development activities are primarily focused on the Wolfcamp Shale and the Bone Spring formation in Culberson and Reeves Counties in Texas and Lea and Eddy Counties in New Mexico. Its Marcellus Shale operation includes properties that are principally located in Susquehanna County, Pennsylvania, where it holds approximately 186,000 net acres in the dry gas window of the Marcellus Shale. Its Anadarko Basin operation holds around 182,000 net acres that are located in Oklahoma. Its development activities are primarily focused on both the Woodford Shale and the Meramec formations.</v>
    <v>1075</v>
    <v>New York Stock Exchange</v>
    <v>XNYS</v>
    <v>XNYS</v>
    <v>Three Memorial City Plaza, 840 Gessner Road, Suite 1400, HOUSTON, TX, 77024 US</v>
    <v>35.21</v>
    <v>Oil &amp; Gas</v>
    <v>Stock</v>
    <v>46106.612705242966</v>
    <v>1376</v>
    <v>34.67</v>
    <v>26479635412</v>
    <v>COTERRA ENERGY INC.</v>
    <v>COTERRA ENERGY INC.</v>
    <v>34.79</v>
    <v>15.3445</v>
    <v>35.020000000000003</v>
    <v>34.875</v>
    <v>759272700</v>
    <v>CTRA</v>
    <v>COTERRA ENERGY INC. (XNYS:CTRA)</v>
    <v>1339605</v>
    <v>11683180</v>
    <v>1989</v>
  </rv>
  <rv s="2">
    <v>1377</v>
  </rv>
  <rv s="0">
    <v>https://www.bing.com/financeapi/forcetrigger?t=c1sd3m&amp;q=XNAS%3aAPP&amp;form=skydnc</v>
    <v>Learn more on Bing</v>
  </rv>
  <rv s="1">
    <v>0</v>
    <v>APPLOVIN CORPORATION (XNAS:APP)</v>
    <v>2</v>
    <v>3</v>
    <v>Finance</v>
    <v>4</v>
    <v>en-US</v>
    <v>c1sd3m</v>
    <v>268435456</v>
    <v>1</v>
    <v>Powered by Refinitiv</v>
    <v>745.61</v>
    <v>200.5</v>
    <v>2.4634999999999998</v>
    <v>6.33</v>
    <v>1.4520999999999999E-2</v>
    <v>USD</v>
    <v>AppLovin Corporation is a marketing platform. The Company provides end-to-end software and artificial intelligence (AI) solutions for businesses to reach, monetize and grow their global audiences. Its advertising solutions include a comprehensive suite of tools including AppDiscovery, MAX, Adjust, Wurl and Axon Ads Manager. AppDiscovery is powered by AXON, its AI-powered advertising engine, and matches advertiser demand with publisher supply through auctions at vast scale and at microsecond-level speeds. MAX is its monetization solution, utilizing an advanced in-app bidding technology that optimizes the value of a publisher’s advertising inventory by running a real-time competitive auction, driving more competition, and higher returns for publishers. Adjust is its measurement and analytics marketing platform which provides marketers with the visibility, insights, and data needed to scale their apps marketing and drive more informed results. Wurl is its connected TV (CTV) platform.</v>
    <v>898</v>
    <v>Nasdaq Stock Market</v>
    <v>XNAS</v>
    <v>XNAS</v>
    <v>1100 Page Mill Rd, PALO ALTO, CA, 94304-1047 US</v>
    <v>444.88</v>
    <v>Software &amp; IT Services</v>
    <v>Stock</v>
    <v>46106.612737742966</v>
    <v>1379</v>
    <v>436.06</v>
    <v>149157822720</v>
    <v>APPLOVIN CORPORATION</v>
    <v>APPLOVIN CORPORATION</v>
    <v>442.44</v>
    <v>45.974200000000003</v>
    <v>435.91</v>
    <v>442.24</v>
    <v>337278000</v>
    <v>APP</v>
    <v>APPLOVIN CORPORATION (XNAS:APP)</v>
    <v>598973</v>
    <v>5468605</v>
    <v>2011</v>
  </rv>
  <rv s="2">
    <v>1380</v>
  </rv>
  <rv s="0">
    <v>http://en.wikipedia.org/wiki/Cemex</v>
    <v>Wikipedia</v>
  </rv>
  <rv s="6">
    <v>65</v>
    <v>1382</v>
  </rv>
  <rv s="7">
    <v>14</v>
    <v>https://www.bing.com/th?id=AMMS_14dc493781cc2e54e2723a2f5736cfa6&amp;qlt=95</v>
    <v>1383</v>
    <v>0</v>
    <v>https://www.bing.com/images/search?form=xlimg&amp;q=cemex</v>
    <v>Image of CEMEX PUBLICLY TRADED STOCK CORPORATION WITH VARIABLE CAPITAL</v>
  </rv>
  <rv s="0">
    <v>https://www.bing.com/financeapi/forcetrigger?t=a1qn52&amp;q=XNYS%3aCX&amp;form=skydnc</v>
    <v>Learn more on Bing</v>
  </rv>
  <rv s="8">
    <v>10</v>
    <v>CEMEX PUBLICLY TRADED STOCK CORPORATION WITH VARIABLE CAPITAL (XNYS:CX)</v>
    <v>12</v>
    <v>13</v>
    <v>Finance</v>
    <v>4</v>
    <v>en-US</v>
    <v>a1qn52</v>
    <v>268435456</v>
    <v>1</v>
    <v>Powered by Refinitiv</v>
    <v>13.35</v>
    <v>4.8899999999999997</v>
    <v>1.6315999999999999</v>
    <v>0.28000000000000003</v>
    <v>2.5805999999999999E-2</v>
    <v>USD</v>
    <v>Cemex SAB de CV is a Mexico-based operating and holding company primarily engaged, directly or indirectly, through subsidiaries, in the production, distribution, marketing and sale of cement, ready-mix concrete, aggregates, clinker and other globally provided construction materials. The construction-related services supply customers and communities in over 50 countries throughout the world. The Company operates in various locations, including Mexico, the United States, Europe, South America, Central America, Caribbean, Asia, Middle East and Africa. The cement production facilities are located in Mexico, the United States, Spain, Egypt, Germany, Colombia, Poland, Dominican Republic, United Kingdom, Panama, Puerto Rico, Thailand and Nicaragua. The Company is a supplier of aggregates, primarily the crushed stone, sand and gravel, used in various forms of construction.</v>
    <v>39462</v>
    <v>New York Stock Exchange</v>
    <v>XNYS</v>
    <v>XNYS</v>
    <v>Ave. Ricardo Margain Zozaya 325 Valle del Campestre, SAN PEDRO GARZA GARCIA, NUEVO LEON, 66265 MX</v>
    <v>11.23</v>
    <v>1384</v>
    <v>Construction Materials</v>
    <v>Stock</v>
    <v>46106.612687337503</v>
    <v>1385</v>
    <v>11.01</v>
    <v>18615780000</v>
    <v>CEMEX PUBLICLY TRADED STOCK CORPORATION WITH VARIABLE CAPITAL</v>
    <v>CEMEX PUBLICLY TRADED STOCK CORPORATION WITH VARIABLE CAPITAL</v>
    <v>11.07</v>
    <v>41.685400000000001</v>
    <v>10.85</v>
    <v>11.13</v>
    <v>505163900</v>
    <v>CX</v>
    <v>CEMEX PUBLICLY TRADED STOCK CORPORATION WITH VARIABLE CAPITAL (XNYS:CX)</v>
    <v>1003419</v>
    <v>7389197</v>
    <v>1920</v>
  </rv>
  <rv s="2">
    <v>1386</v>
  </rv>
  <rv s="0">
    <v>https://www.bing.com/financeapi/forcetrigger?t=azlb8m&amp;q=XNYS%3aEQX&amp;form=skydnc</v>
    <v>Learn more on Bing</v>
  </rv>
  <rv s="1">
    <v>0</v>
    <v>Equinox Gold Corp. (XNYS:EQX)</v>
    <v>2</v>
    <v>3</v>
    <v>Finance</v>
    <v>4</v>
    <v>en-US</v>
    <v>azlb8m</v>
    <v>268435456</v>
    <v>1</v>
    <v>Powered by Refinitiv</v>
    <v>18.96</v>
    <v>5.59</v>
    <v>1.3774</v>
    <v>0.67</v>
    <v>5.3259000000000001E-2</v>
    <v>USD</v>
    <v>Equinox Gold Corp. is a Canadian mining company. It is focused on the gold operations in Canada and across the Americas, and a pipeline of development and expansion projects. Its operating mines include Greenstone, Valentine, Mesquite, Nicaragua Ops: Libertad; Nicaragua Ops: Limon. Its growth projects include Castle Mountain Phase 2, and Los Filos Expansion. Greenstone is a multi-million-ounce gold project located in the top-tier mining jurisdiction of Ontario, Canada, approximately 275 km northeast of Thunder Bay in Geraldton, Ontario. Mesquite is an open pit, run-of-mine heap leach gold mine located in Imperial County, California, United States of America, approximately 200 miles south of its Castle Mountain Mine, 16 miles west of the state border with Arizona and 24 miles north of the border with Mexico. Libertad Mine and Mill is located approximately 110 km east of the capital of Managua. The Limon Mine &amp; Mill is located in western Nicaragua.</v>
    <v>683</v>
    <v>New York Stock Exchange</v>
    <v>XNYS</v>
    <v>XNYS</v>
    <v>Suite 1501, 700 West Pender St., VANCOUVER, BC, V6C 1G8 CA</v>
    <v>13.46</v>
    <v>Metals &amp; Mining</v>
    <v>Stock</v>
    <v>46106.612695867967</v>
    <v>1388</v>
    <v>13</v>
    <v>10444735175</v>
    <v>Equinox Gold Corp.</v>
    <v>Equinox Gold Corp.</v>
    <v>13.32</v>
    <v>0</v>
    <v>12.58</v>
    <v>13.25</v>
    <v>788281900</v>
    <v>EQX</v>
    <v>Equinox Gold Corp. (XNYS:EQX)</v>
    <v>2470463</v>
    <v>10077987</v>
    <v>2007</v>
  </rv>
  <rv s="2">
    <v>1389</v>
  </rv>
  <rv s="0">
    <v>https://www.bing.com/financeapi/forcetrigger?t=a24s7w&amp;q=XNYS%3aUBS&amp;form=skydnc</v>
    <v>Learn more on Bing</v>
  </rv>
  <rv s="1">
    <v>0</v>
    <v>UBS Group Inc. (XNYS:UBS)</v>
    <v>2</v>
    <v>50</v>
    <v>Finance</v>
    <v>4</v>
    <v>en-US</v>
    <v>a24s7w</v>
    <v>268435456</v>
    <v>1</v>
    <v>Powered by Refinitiv</v>
    <v>49.36</v>
    <v>25.745000000000001</v>
    <v>0.99919999999999998</v>
    <v>1.26</v>
    <v>3.4062999999999996E-2</v>
    <v>USD</v>
    <v>UBS Group AG is a Switzerland-based holding company and conducts its operations through UBS AG and its subsidiaries. The company operates as a wealth manager with focused asset management and investment banking capabilities and a capital-light and cash-generative business model. The Company comprises four business divisions: Global Wealth Management, which provides tailored advice and solutions to its clients around the globe; Personal &amp; Corporate Banking division provides comprehensive financial products and services to private, corporate and institutional clients in Switzerland; Asset Management division offers investment capabilities and styles across all traditional and alternative asset classes, as well as advisory support to institutions; Investment Bank provides investment advice, financial solutions and capital markets access to institutional, corporate and wealth management clients.</v>
    <v>119589</v>
    <v>New York Stock Exchange</v>
    <v>XNYS</v>
    <v>XNYS</v>
    <v>Bahnhofstr. 45, ZUERICH, ZUERICH, 8098 CH</v>
    <v>38.340000000000003</v>
    <v>Investment Banking &amp; Investment Services</v>
    <v>Stock</v>
    <v>46106.612711376561</v>
    <v>1391</v>
    <v>38.03</v>
    <v>146728865620</v>
    <v>UBS Group Inc.</v>
    <v>UBS Group Inc.</v>
    <v>38.200000000000003</v>
    <v>16.213100000000001</v>
    <v>36.99</v>
    <v>38.25</v>
    <v>3341582000</v>
    <v>UBS</v>
    <v>UBS Group Inc. (XNYS:UBS)</v>
    <v>633749</v>
    <v>2862108</v>
    <v>2014</v>
  </rv>
  <rv s="2">
    <v>1392</v>
  </rv>
  <rv s="0">
    <v>https://www.bing.com/financeapi/forcetrigger?t=a1x1k2&amp;q=XNYS%3aLNN&amp;form=skydnc</v>
    <v>Learn more on Bing</v>
  </rv>
  <rv s="1">
    <v>0</v>
    <v>LINDSAY CORPORATION (XNYS:LNN)</v>
    <v>2</v>
    <v>3</v>
    <v>Finance</v>
    <v>4</v>
    <v>en-US</v>
    <v>a1x1k2</v>
    <v>268435456</v>
    <v>1</v>
    <v>Powered by Refinitiv</v>
    <v>150.96</v>
    <v>106.1</v>
    <v>0.81710000000000005</v>
    <v>0.59</v>
    <v>4.9290000000000002E-3</v>
    <v>USD</v>
    <v>Lindsay Corporation is a global manufacturer and distributor of irrigation and infrastructure equipment and technology. The Company operates through two segments: Irrigation and Infrastructure. The Company’s Irrigation segment includes the manufacture and marketing of center pivot, lateral move, and hose reel irrigation systems which are used principally in the agricultural industry to increase or stabilize crop production while conserving water, energy and labor. Its family of irrigation brands includes Zimmatic center pivot and lateral move agricultural irrigation systems, FieldNET and FieldWise remote irrigation management technology, FieldNET Advisor irrigation scheduling technology, and industrial IoT solutions. The Company’s Infrastructure segment includes the manufacture and marketing of moveable barriers, specialty barriers and crash cushions, road marking and road safety equipment, and railroad signals and structures.</v>
    <v>1275</v>
    <v>New York Stock Exchange</v>
    <v>XNYS</v>
    <v>XNYS</v>
    <v>18135 Burke Street, Suite 100, OMAHA, NE, 68022 US</v>
    <v>121.625</v>
    <v>Machinery, Equipment &amp; Components</v>
    <v>Stock</v>
    <v>46106.611521250001</v>
    <v>1394</v>
    <v>118.87</v>
    <v>1257696801</v>
    <v>LINDSAY CORPORATION</v>
    <v>LINDSAY CORPORATION</v>
    <v>121.13</v>
    <v>17.811399999999999</v>
    <v>119.71</v>
    <v>120.3</v>
    <v>10454670</v>
    <v>LNN</v>
    <v>LINDSAY CORPORATION (XNYS:LNN)</v>
    <v>13924</v>
    <v>132998</v>
    <v>1974</v>
  </rv>
  <rv s="2">
    <v>1395</v>
  </rv>
  <rv s="0">
    <v>http://en.wikipedia.org/wiki/McDonald's</v>
    <v>Wikipedia</v>
  </rv>
  <rv s="6">
    <v>65</v>
    <v>1397</v>
  </rv>
  <rv s="7">
    <v>14</v>
    <v>https://www.bing.com/th?id=AMMS_7d8255243964a8970376f8dd41121106&amp;qlt=95</v>
    <v>1398</v>
    <v>0</v>
    <v>https://www.bing.com/images/search?form=xlimg&amp;q=mcdonald%27s</v>
    <v>Image of MCDONALD'S CORPORATION</v>
  </rv>
  <rv s="0">
    <v>https://www.bing.com/financeapi/forcetrigger?t=a1xdec&amp;q=XNYS%3aMCD&amp;form=skydnc</v>
    <v>Learn more on Bing</v>
  </rv>
  <rv s="8">
    <v>10</v>
    <v>MCDONALD'S CORPORATION (XNYS:MCD)</v>
    <v>12</v>
    <v>13</v>
    <v>Finance</v>
    <v>4</v>
    <v>en-US</v>
    <v>a1xdec</v>
    <v>268435456</v>
    <v>1</v>
    <v>Powered by Refinitiv</v>
    <v>341.75</v>
    <v>283.47000000000003</v>
    <v>0.53439999999999999</v>
    <v>2.5499999999999998</v>
    <v>8.2839999999999997E-3</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310.77999999999997</v>
    <v>1399</v>
    <v>Hotels &amp; Entertainment Services</v>
    <v>Stock</v>
    <v>46106.612758286719</v>
    <v>1400</v>
    <v>308.11</v>
    <v>220500621454</v>
    <v>MCDONALD'S CORPORATION</v>
    <v>MCDONALD'S CORPORATION</v>
    <v>310</v>
    <v>25.966699999999999</v>
    <v>307.83999999999997</v>
    <v>310.39</v>
    <v>710398600</v>
    <v>MCD</v>
    <v>MCDONALD'S CORPORATION (XNYS:MCD)</v>
    <v>821408</v>
    <v>3284593</v>
    <v>1964</v>
  </rv>
  <rv s="2">
    <v>1401</v>
  </rv>
  <rv s="0">
    <v>https://www.bing.com/financeapi/forcetrigger?t=a25t27&amp;q=XNYS%3aWEX&amp;form=skydnc</v>
    <v>Learn more on Bing</v>
  </rv>
  <rv s="1">
    <v>0</v>
    <v>WEX INC. (XNYS:WEX)</v>
    <v>2</v>
    <v>3</v>
    <v>Finance</v>
    <v>4</v>
    <v>en-US</v>
    <v>a25t27</v>
    <v>268435456</v>
    <v>1</v>
    <v>Powered by Refinitiv</v>
    <v>180.70670000000001</v>
    <v>110.45</v>
    <v>0.92969999999999997</v>
    <v>-1.66</v>
    <v>-1.0684000000000001E-2</v>
    <v>USD</v>
    <v>WEX Inc. provides a global commerce platform, which simplifies the business of running a business. The Company has three segments: Mobility, Benefits and Corporate Payments. Its Mobility segment provides payment solutions, transaction processing, and information management services to a diverse customer base globally. Its Benefits segment simplifies employee benefit plan administration through Software as a service (SaaS) software integrated with payment solutions, delivering diverse product offerings including Benefit Administration, HSAs, FSAs, HRAs, COBRA and Direct Billing and compliance administration. Its Corporate Payments segment delivers global B2B payment solutions, including its Direct to Corporate solution that integrates with ERPs and accounting workflows to maximize virtual payment usage, and its Embedded Payments solution that integrates virtual payment capabilities into existing workflows for a range of industries, including online travel.</v>
    <v>6600</v>
    <v>New York Stock Exchange</v>
    <v>XNYS</v>
    <v>XNYS</v>
    <v>1 Hancock Street, PORTLAND, ME, 04101 US</v>
    <v>158.32</v>
    <v>Professional &amp; Commercial Services</v>
    <v>Stock</v>
    <v>46106.612633599216</v>
    <v>1403</v>
    <v>152.83000000000001</v>
    <v>5273885400</v>
    <v>WEX INC.</v>
    <v>WEX INC.</v>
    <v>156.31</v>
    <v>18.145900000000001</v>
    <v>155.37</v>
    <v>153.71</v>
    <v>34310620</v>
    <v>WEX</v>
    <v>WEX INC. (XNYS:WEX)</v>
    <v>37864</v>
    <v>461470</v>
    <v>1999</v>
  </rv>
  <rv s="2">
    <v>1404</v>
  </rv>
  <rv s="0">
    <v>https://www.bing.com/financeapi/forcetrigger?t=b12om7&amp;q=XNAS%3aSRRK&amp;form=skydnc</v>
    <v>Learn more on Bing</v>
  </rv>
  <rv s="1">
    <v>0</v>
    <v>SCHOLAR ROCK HOLDING CORPORATION (XNAS:SRRK)</v>
    <v>2</v>
    <v>3</v>
    <v>Finance</v>
    <v>4</v>
    <v>en-US</v>
    <v>b12om7</v>
    <v>268435456</v>
    <v>1</v>
    <v>Powered by Refinitiv</v>
    <v>49.82</v>
    <v>22.71</v>
    <v>0.76910000000000001</v>
    <v>2.7850000000000001</v>
    <v>6.5838999999999995E-2</v>
    <v>USD</v>
    <v>Scholar Rock Holding Corporation is a late-stage biopharmaceutical company. It is focused on advancing treatments for neuromuscular diseases, cardiometabolic disorders, and other serious diseases. Its transforming growth factor beta (TGFb) superfamily biology, its novel molecular mechanisms of growth factor activation enabled it to develop a proprietary platform for the discovery and development of monoclonal antibodies that locally and selectively target the precursor, or latent, forms of growth factors. Its product candidate, apitegromab, is a selective, fully human, monoclonal antibody, with a mechanism of action that results in inhibition of the activation of the growth factor, myostatin, in skeletal muscle. Apitegromab is being developed as a potential first muscle-targeted therapy for the treatment of SMA. Its products include SRK-439, SRK-181, SRK-373 and SRK-256. SRK-181 is a selective inhibitor of the activation of latent TGFb1, is being developed for the treatment of cancers.</v>
    <v>289</v>
    <v>Nasdaq Stock Market</v>
    <v>XNAS</v>
    <v>XNAS</v>
    <v>301 BINNEY STREET, 3RD FLOOR, CAMBRIDGE, MA, 02142 US</v>
    <v>45.57</v>
    <v>Biotechnology &amp; Medical Research</v>
    <v>Stock</v>
    <v>46106.612696666409</v>
    <v>1406</v>
    <v>43.03</v>
    <v>5179504563</v>
    <v>SCHOLAR ROCK HOLDING CORPORATION</v>
    <v>SCHOLAR ROCK HOLDING CORPORATION</v>
    <v>43.03</v>
    <v>0</v>
    <v>42.3</v>
    <v>45.085000000000001</v>
    <v>114883100</v>
    <v>SRRK</v>
    <v>SCHOLAR ROCK HOLDING CORPORATION (XNAS:SRRK)</v>
    <v>393792</v>
    <v>1472452</v>
    <v>2017</v>
  </rv>
  <rv s="2">
    <v>1407</v>
  </rv>
  <rv s="0">
    <v>https://www.bing.com/financeapi/forcetrigger?t=a2maxm&amp;q=OTCM%3aKMTUY&amp;form=skydnc</v>
    <v>Learn more on Bing</v>
  </rv>
  <rv s="1">
    <v>0</v>
    <v>KOMATSU LTD. (OTCM:KMTUY)</v>
    <v>2</v>
    <v>3</v>
    <v>Finance</v>
    <v>43</v>
    <v>en-US</v>
    <v>a2maxm</v>
    <v>268435456</v>
    <v>1</v>
    <v>Powered by Refinitiv</v>
    <v>52.739899999999999</v>
    <v>24.75</v>
    <v>1.0443</v>
    <v>0.8</v>
    <v>2.0111E-2</v>
    <v>USD</v>
    <v>Komatsu Ltd is a Japan-based company principally engaged in the research, development, sale, sales finance of products such as construction machinery. The Company operates in three business segments. Construction Machinery &amp; Vehicle segment provides drilling machinery, loading machinery, land preparation and roadbed machinery, transport machinery, forestry machinery, underground construction machinery, underground mining machinery, environmental recycling machinery, industrial vehicles, cast products and logistics services. Retail Finance segment is engaged in the sales finance business related to construction and mining equipment. Industrial Machinery &amp; Others segment engages in the provision of forging machinery, sheet metal machinery, machine tools, defense-related equipment, temperature control equipment, and optical machinery.</v>
    <v>66697</v>
    <v>OTC Markets</v>
    <v>OTCM</v>
    <v>OTCM</v>
    <v>Shiodome Bldg., 1-2-20, Kaigan, MINATO-KU, TOKYO-TO, 105-0022 JP</v>
    <v>40.75</v>
    <v>Machinery, Equipment &amp; Components</v>
    <v>Stock</v>
    <v>46106.602257661718</v>
    <v>1409</v>
    <v>39.119999999999997</v>
    <v>37753221548</v>
    <v>KOMATSU LTD.</v>
    <v>KOMATSU LTD.</v>
    <v>39.119999999999997</v>
    <v>14.569699999999999</v>
    <v>39.78</v>
    <v>40.58</v>
    <v>930340600</v>
    <v>KMTUY</v>
    <v>KOMATSU LTD. (OTCM:KMTUY)</v>
    <v>12942</v>
    <v>126920</v>
    <v>1921</v>
  </rv>
  <rv s="2">
    <v>1410</v>
  </rv>
  <rv s="0">
    <v>https://www.bing.com/financeapi/forcetrigger?t=a1mor7&amp;q=XNYS%3aAAP&amp;form=skydnc</v>
    <v>Learn more on Bing</v>
  </rv>
  <rv s="1">
    <v>0</v>
    <v>ADVANCE AUTO PARTS, INC. (XNYS:AAP)</v>
    <v>2</v>
    <v>3</v>
    <v>Finance</v>
    <v>4</v>
    <v>en-US</v>
    <v>a1mor7</v>
    <v>268435456</v>
    <v>1</v>
    <v>Powered by Refinitiv</v>
    <v>70</v>
    <v>28.8901</v>
    <v>1.0927</v>
    <v>0.41</v>
    <v>8.0549999999999997E-3</v>
    <v>USD</v>
    <v>Advance Auto Parts, Inc. is an automotive aftermarket parts provider in North America, serving both professional installers (professional) and do-it-yourself (DIY) customers, as well as independently owned operators. The Company's stores and branches offer a range selection of brand names, original equipment manufacturer (OEM) and owned brand automotive replacement parts, accessories, batteries and maintenance items for domestic and imported cars, vans, sport utility vehicles and light and heavy-duty trucks. The Company operates approximately 4,788 stores primarily within the United States (U.S.), with additional locations in Canada, Puerto Rico and the U.S. Virgin Islands. The Company also serves approximately 934 independently owned Carquest branded stores across these locations in addition to Mexico and various Caribbean islands. Its stores operate primarily under the Advance Auto Parts and Carquest trade names.</v>
    <v>28274</v>
    <v>New York Stock Exchange</v>
    <v>XNYS</v>
    <v>XNYS</v>
    <v>4200 Six Forks Road, RALEIGH, NC, 27609 US</v>
    <v>51.98</v>
    <v>Specialty Retailers</v>
    <v>Stock</v>
    <v>46106.61253210625</v>
    <v>1412</v>
    <v>50.655000000000001</v>
    <v>3079741134</v>
    <v>ADVANCE AUTO PARTS, INC.</v>
    <v>ADVANCE AUTO PARTS, INC.</v>
    <v>51.57</v>
    <v>45.726799999999997</v>
    <v>50.9</v>
    <v>51.31</v>
    <v>60022240</v>
    <v>AAP</v>
    <v>ADVANCE AUTO PARTS, INC. (XNYS:AAP)</v>
    <v>65963</v>
    <v>1766015</v>
    <v>2001</v>
  </rv>
  <rv s="2">
    <v>1413</v>
  </rv>
  <rv s="0">
    <v>https://www.bing.com/financeapi/forcetrigger?t=c2kbcw&amp;q=XNYS%3aBLND&amp;form=skydnc</v>
    <v>Learn more on Bing</v>
  </rv>
  <rv s="10">
    <v>18</v>
    <v>BLEND LABS, INC. (XNYS:BLND)</v>
    <v>2</v>
    <v>8</v>
    <v>Finance</v>
    <v>4</v>
    <v>en-US</v>
    <v>c2kbcw</v>
    <v>268435456</v>
    <v>1</v>
    <v>Powered by Refinitiv</v>
    <v>4.49</v>
    <v>1.44</v>
    <v>1.2403</v>
    <v>0.09</v>
    <v>5.4217000000000001E-2</v>
    <v>USD</v>
    <v>Blend Labs, Inc. is a digital origination platform for banks, credit unions, and mortgage lenders. The Company has built a cloud-based software platform and suite of products for financial services firms. From mortgages to consumer loans to deposit accounts, the Company helps financial institutions streamline workflows and deliver customer experiences. The Company has technology, data, and service providers on its software platform, including access to an extensive marketplace of insurance carriers and settlement agencies. The Company's platform also includes Blend Builder, which gives its customers the ability to easily configure or build custom workflows from a pre-built set of components, all while leveraging existing infrastructure. Financial services firms can create custom solutions with Blend Builder, or choose from pre-built solutions for Mortgage and Consumer Banking, including Home Equity, Deposit Accounts, Credit Cards, Personal Lending, Auto Lending and more.</v>
    <v>419</v>
    <v>New York Stock Exchange</v>
    <v>XNYS</v>
    <v>XNYS</v>
    <v>415 Kearny St., SAN FRANCISCO, CA, 94108 US</v>
    <v>1.8</v>
    <v>Software &amp; IT Services</v>
    <v>Stock</v>
    <v>46106.612534628905</v>
    <v>1415</v>
    <v>1.69</v>
    <v>449950725</v>
    <v>BLEND LABS, INC.</v>
    <v>BLEND LABS, INC.</v>
    <v>1.73</v>
    <v>1.66</v>
    <v>1.75</v>
    <v>257114700</v>
    <v>BLND</v>
    <v>BLEND LABS, INC. (XNYS:BLND)</v>
    <v>850172</v>
    <v>4164044</v>
    <v>2012</v>
  </rv>
  <rv s="2">
    <v>1416</v>
  </rv>
  <rv s="0">
    <v>https://www.bing.com/financeapi/forcetrigger?t=c22p1h&amp;q=XNAS%3aFLYW&amp;form=skydnc</v>
    <v>Learn more on Bing</v>
  </rv>
  <rv s="1">
    <v>0</v>
    <v>FLYWIRE CORPORATION (XNAS:FLYW)</v>
    <v>2</v>
    <v>3</v>
    <v>Finance</v>
    <v>4</v>
    <v>en-US</v>
    <v>c22p1h</v>
    <v>268435456</v>
    <v>1</v>
    <v>Powered by Refinitiv</v>
    <v>15.25</v>
    <v>8.1999999999999993</v>
    <v>1.2403</v>
    <v>0.15</v>
    <v>1.2185E-2</v>
    <v>USD</v>
    <v>Flywire Corporation is a global payments enablement and software company. The Company combines its global payments network, payments platform and vertical-specific software to deliver important and complex payments for its clients and their customers. It leverages its vertical-specific software and payments technology to embed within the existing accounts receivable (A/R) workflows for its clients across the education, healthcare and travel vertical markets, as well as in key business-to-business (B2B) industries. It also integrates with enterprise resource planning (ERP) systems, such as NetSuite, to optimize the payment experience for their customers while eliminating operational challenges. The Company’s payments-as-a-services include payment services, enabling services, and transaction processing services. The Company supports approximately 4,500 clients with diverse payment methods in more than 140 currencies across 240 countries and territories around the world.</v>
    <v>1400</v>
    <v>Nasdaq Stock Market</v>
    <v>XNAS</v>
    <v>XNAS</v>
    <v>141 Tremont Street, Suite 10, BOSTON, MA, 02111 US</v>
    <v>12.775</v>
    <v>Professional &amp; Commercial Services</v>
    <v>Stock</v>
    <v>46106.612696238284</v>
    <v>1418</v>
    <v>12.45</v>
    <v>1510205578</v>
    <v>FLYWIRE CORPORATION</v>
    <v>FLYWIRE CORPORATION</v>
    <v>12.46</v>
    <v>120.0385</v>
    <v>12.31</v>
    <v>12.46</v>
    <v>121204300</v>
    <v>FLYW</v>
    <v>FLYWIRE CORPORATION (XNAS:FLYW)</v>
    <v>314056</v>
    <v>2154015</v>
    <v>2009</v>
  </rv>
  <rv s="2">
    <v>1419</v>
  </rv>
  <rv s="0">
    <v>https://www.bing.com/financeapi/forcetrigger?t=a1t5k2&amp;q=XNYS%3aFN&amp;form=skydnc</v>
    <v>Learn more on Bing</v>
  </rv>
  <rv s="1">
    <v>0</v>
    <v>FABRINET (XNYS:FN)</v>
    <v>2</v>
    <v>3</v>
    <v>Finance</v>
    <v>4</v>
    <v>en-US</v>
    <v>a1t5k2</v>
    <v>268435456</v>
    <v>1</v>
    <v>Powered by Refinitiv</v>
    <v>632.98990000000003</v>
    <v>148.55000000000001</v>
    <v>0.96289999999999998</v>
    <v>21.77</v>
    <v>3.6227999999999996E-2</v>
    <v>USD</v>
    <v>Fabrinet is a provider of advanced optical packaging and precision optical, electro-mechanical and electronic manufacturing services to original equipment manufacturers of complex products, such as optical communication components, modules and sub-systems, automotive components, industrial lasers, medical devices and sensors. The Company offers a range of advanced optical and electro-mechanical capabilities across the entire manufacturing process, including process design and engineering, supply chain management, manufacturing, complex printed circuit board assembly, advanced packaging, integration, final assembly and testing. It focuses primarily on low-volume production of a wide variety of high complexity products. It also designs and fabricates applications-specific crystals, lenses, prisms, mirrors, laser components, and substrates (customized optics) and other custom and standard borosilicate, clear fused quartz, and synthetic fused silica glass products (customized glass).</v>
    <v>16457</v>
    <v>New York Stock Exchange</v>
    <v>XNYS</v>
    <v>XNYS</v>
    <v>c/o Walkers Corporate Ltd., 190 Elgin Avenue, Grand Cayman, GRAND CAYMAN, KY1-9008 KY</v>
    <v>624.95000000000005</v>
    <v>Electronic Equipment &amp; Parts</v>
    <v>Stock</v>
    <v>46106.612663714841</v>
    <v>1421</v>
    <v>594.88</v>
    <v>22308208401</v>
    <v>FABRINET</v>
    <v>FABRINET</v>
    <v>608.99</v>
    <v>59.7117</v>
    <v>600.91</v>
    <v>622.67999999999995</v>
    <v>35826120</v>
    <v>FN</v>
    <v>FABRINET (XNYS:FN)</v>
    <v>195996</v>
    <v>697371</v>
    <v>1999</v>
  </rv>
  <rv s="2">
    <v>1422</v>
  </rv>
  <rv s="0">
    <v>https://www.bing.com/financeapi/forcetrigger?t=a24bh7&amp;q=XNYS%3aTM&amp;form=skydnc</v>
    <v>Learn more on Bing</v>
  </rv>
  <rv s="1">
    <v>0</v>
    <v>TOYOTA MOTOR CORPORATION (XNYS:TM)</v>
    <v>2</v>
    <v>3</v>
    <v>Finance</v>
    <v>4</v>
    <v>en-US</v>
    <v>a24bh7</v>
    <v>268435456</v>
    <v>1</v>
    <v>Powered by Refinitiv</v>
    <v>248.9</v>
    <v>155</v>
    <v>0.66690000000000005</v>
    <v>2.1120999999999999</v>
    <v>1.0067999999999999E-2</v>
    <v>USD</v>
    <v>Toyota Motor Corp is a Japan-based company mainly engaged in the automotive business, as well as financial services and other businesses. It operates through three business segments. The Automotive segment designs, manufactures, and sells automobiles, including sedans, minivans, compact cars, sport utility vehicles (SUVs), and trucks, as well as related parts and accessories. The Financial Services segment provides financing and vehicle leasing services to complement the sales of automobiles and other products manufactured by itself and its affiliates. The Other segment engages in information and communications services. It also oversees manufacturing and sales companies, conducts public relations and research activities, oversees financial companies, and develops various mobility products, primarily software.</v>
    <v>383853</v>
    <v>New York Stock Exchange</v>
    <v>XNYS</v>
    <v>XNYS</v>
    <v>1, Toyota-cho, TOYOTA-SHI, AICHI-KEN, 471-8571 JP</v>
    <v>212.75</v>
    <v>Automobiles &amp; Auto Parts</v>
    <v>Stock</v>
    <v>46106.612626747657</v>
    <v>1424</v>
    <v>211.19</v>
    <v>334683360057</v>
    <v>TOYOTA MOTOR CORPORATION</v>
    <v>TOYOTA MOTOR CORPORATION</v>
    <v>211.59</v>
    <v>11.7113</v>
    <v>209.78</v>
    <v>211.8921</v>
    <v>1579499000</v>
    <v>TM</v>
    <v>TOYOTA MOTOR CORPORATION (XNYS:TM)</v>
    <v>43051</v>
    <v>310903</v>
    <v>1937</v>
  </rv>
  <rv s="2">
    <v>1425</v>
  </rv>
  <rv s="0">
    <v>https://www.bing.com/financeapi/forcetrigger?t=a1xv4c&amp;q=XNYS%3aMOS&amp;form=skydnc</v>
    <v>Learn more on Bing</v>
  </rv>
  <rv s="1">
    <v>0</v>
    <v>THE MOSAIC COMPANY (XNYS:MOS)</v>
    <v>2</v>
    <v>3</v>
    <v>Finance</v>
    <v>4</v>
    <v>en-US</v>
    <v>a1xv4c</v>
    <v>268435456</v>
    <v>1</v>
    <v>Powered by Refinitiv</v>
    <v>38.229999999999997</v>
    <v>22.36</v>
    <v>0.96930000000000005</v>
    <v>-0.28499999999999998</v>
    <v>-1.1310000000000001E-2</v>
    <v>USD</v>
    <v>The Mosaic Company is a producer and marketer of concentrated phosphate and potash crop nutrients. The Company’s segments include Phosphates, Potash and Mosaic Fertilizantes. The Phosphates segment sells phosphate-based crop nutrients and animal feed ingredients throughout North America and internationally. The Potash business segment owns and operates potash mines and production facilities in Canada and the United States, which produces potash-based crop nutrients, animal feed ingredients and industrial products, and is sold both in domestic and international. The Mosaic Fertilizantes Segment produces and sells phosphate- and potash-based crop nutrients, and animal feed ingredients, in Brazil. In addition to phosphate rock mines and chemical plants, this segment consists of sales offices, crop nutrient blending and bagging facilities, port terminals and warehouses in Brazil and Paraguay. This segment also serves as a distribution outlet for its Phosphates and Potash segments.</v>
    <v>13249</v>
    <v>New York Stock Exchange</v>
    <v>XNYS</v>
    <v>XNYS</v>
    <v>101 East Kennedy Blvd., Suite 2500, TAMPA, FL, 33602 US</v>
    <v>25.25</v>
    <v>Chemicals</v>
    <v>Stock</v>
    <v>46106.612711921094</v>
    <v>1427</v>
    <v>24.78</v>
    <v>7910642058</v>
    <v>THE MOSAIC COMPANY</v>
    <v>THE MOSAIC COMPANY</v>
    <v>25.25</v>
    <v>14.694800000000001</v>
    <v>25.2</v>
    <v>24.914999999999999</v>
    <v>317505200</v>
    <v>MOS</v>
    <v>THE MOSAIC COMPANY (XNYS:MOS)</v>
    <v>1601980</v>
    <v>11396799</v>
    <v>2004</v>
  </rv>
  <rv s="2">
    <v>1428</v>
  </rv>
  <rv s="0">
    <v>https://www.bing.com/financeapi/forcetrigger?t=a1nuqh&amp;q=XNYS%3aASX&amp;form=skydnc</v>
    <v>Learn more on Bing</v>
  </rv>
  <rv s="1">
    <v>0</v>
    <v>ASE Technology Holding Co., Ltd. (XNYS:ASX)</v>
    <v>2</v>
    <v>3</v>
    <v>Finance</v>
    <v>4</v>
    <v>en-US</v>
    <v>a1nuqh</v>
    <v>268435456</v>
    <v>1</v>
    <v>Powered by Refinitiv</v>
    <v>25.285</v>
    <v>6.94</v>
    <v>1.4843</v>
    <v>0.878</v>
    <v>4.0780000000000004E-2</v>
    <v>USD</v>
    <v>ASE Technology Holding Co Ltd is a Taiwan-based company that mainly invests in packaging services, testing services, electronic product assembly technology and manufacturing services. The investment business includes general investment business projects. The packaging and testing business provides integrated circuit (IC) services, including packaging and module design, IC packaging, multi-chip packaging, micro and hybrid modules, memory packaging, front-end testing, wafer probe testing, finished product testing, substrate design, and manufacturing. The electronic manufacturing service business mainly provides a series of professional services such as development and design, material procurement, production and manufacturing, logistics, maintenance and other after-sales services for domestic and foreign brand manufacturers in the fields of communications, consumer electronics, computers, storage industrial, automotive electronics and other types of electronic products.</v>
    <v>95492</v>
    <v>New York Stock Exchange</v>
    <v>XNYS</v>
    <v>XNYS</v>
    <v>No.26, Chin 3rd Road, Nanzih District, KAOHSIUNG, KAOHSIUNG, 811 TW</v>
    <v>22.55</v>
    <v>Semiconductors &amp; Semiconductor Equipment</v>
    <v>Stock</v>
    <v>46106.612734363283</v>
    <v>1430</v>
    <v>22.05</v>
    <v>49824524120</v>
    <v>ASE Technology Holding Co., Ltd.</v>
    <v>ASE Technology Holding Co., Ltd.</v>
    <v>22.05</v>
    <v>38.134799999999998</v>
    <v>21.53</v>
    <v>22.408000000000001</v>
    <v>2223515000</v>
    <v>ASX</v>
    <v>ASE Technology Holding Co., Ltd. (XNYS:ASX)</v>
    <v>1306330</v>
    <v>7097214</v>
    <v>2018</v>
  </rv>
  <rv s="2">
    <v>1431</v>
  </rv>
  <rv s="0">
    <v>https://www.bing.com/financeapi/forcetrigger?t=a1qr27&amp;q=ARCX%3aDBA&amp;form=skydnc</v>
    <v>Learn more on Bing</v>
  </rv>
  <rv s="14">
    <v>22</v>
    <v>Invesco DB MS Agri (ARCX:DBA)</v>
    <v>23</v>
    <v>24</v>
    <v>Finance</v>
    <v>25</v>
    <v>en-US</v>
    <v>a1qr27</v>
    <v>268435456</v>
    <v>1</v>
    <v>Powered by Refinitiv</v>
    <v>28.010100000000001</v>
    <v>25.27</v>
    <v>0.59940000000000004</v>
    <v>-2.5000000000000001E-2</v>
    <v>-9.2969999999999999E-4</v>
    <v>USD</v>
    <v>NYSE Arca</v>
    <v>ARCX</v>
    <v>8.5000000000000006E-3</v>
    <v>26.879899999999999</v>
    <v>ETF</v>
    <v>46106.612679247657</v>
    <v>1433</v>
    <v>26.77</v>
    <v>745591597.49000001</v>
    <v>Invesco DB MS Agri</v>
    <v>26.79</v>
    <v>26.89</v>
    <v>26.864999999999998</v>
    <v>DBA</v>
    <v>Invesco DB MS Agri (ARCX:DBA)</v>
    <v>348386</v>
    <v>1442702</v>
  </rv>
  <rv s="2">
    <v>1434</v>
  </rv>
  <rv s="0">
    <v>https://www.bing.com/financeapi/forcetrigger?t=aocohw&amp;q=XLON%3aPSN&amp;form=skydnc</v>
    <v>Learn more on Bing</v>
  </rv>
  <rv s="1">
    <v>0</v>
    <v>PERSIMMON PUBLIC LIMITED COMPANY (XLON:PSN)</v>
    <v>2</v>
    <v>51</v>
    <v>Finance</v>
    <v>52</v>
    <v>en-US</v>
    <v>aocohw</v>
    <v>268435456</v>
    <v>1</v>
    <v>Powered by Refinitiv</v>
    <v>1552</v>
    <v>1030.5</v>
    <v>1.8546</v>
    <v>11.4945</v>
    <v>1.0407E-2</v>
    <v>GBp</v>
    <v>Persimmon Plc is a United Kingdom-based housebuilder serving local markets with 30 offices across the country and three off-site manufacturing facilities. The Company operates from 30 regional offices throughout the United Kingdom, trading under the brand names of Persimmon Homes, Charles Church, and Westbury Partnerships. The Company operates three off-site manufacturing facilities: Space4, Brickworks, and Tileworks. Its Persimmon Homes brand delivers a range of traditional family housing throughout the United Kingdom in places where customers wish to live and work. The Charles Church brand complements and differentiates itself from Persimmon by delivering higher-specification homes in locations across the United Kingdom. It builds homes under this brand tailored to local markets. Its Westbury Partnerships focuses on affordable social housing. The Space4 business operates an off-site manufacturing plant producing timber frames, insulated wall panels and roof cassettes.</v>
    <v>4574</v>
    <v>London Stock Exchange</v>
    <v>XLON</v>
    <v>XLON</v>
    <v>Persimmon House, FULFORD, YORK, YO19 4FE GB</v>
    <v>1146.5</v>
    <v>Homebuilding &amp; Construction Supplies</v>
    <v>Stock</v>
    <v>46106.601884096875</v>
    <v>1436</v>
    <v>1113</v>
    <v>4418986000</v>
    <v>PERSIMMON PUBLIC LIMITED COMPANY</v>
    <v>PERSIMMON PUBLIC LIMITED COMPANY</v>
    <v>1124</v>
    <v>13.9308</v>
    <v>1104.5</v>
    <v>1115.9945</v>
    <v>320747400</v>
    <v>PSN</v>
    <v>PERSIMMON PUBLIC LIMITED COMPANY (XLON:PSN)</v>
    <v>1085112</v>
    <v>2860490</v>
    <v>1984</v>
  </rv>
  <rv s="2">
    <v>1437</v>
  </rv>
  <rv s="0">
    <v>https://www.bing.com/financeapi/forcetrigger?t=a1vbpr&amp;q=XNAS%3aIEP&amp;form=skydnc</v>
    <v>Learn more on Bing</v>
  </rv>
  <rv s="17">
    <v>32</v>
    <v>ICAHN ENTERPRISES UNT (XNAS:IEP)</v>
    <v>23</v>
    <v>33</v>
    <v>Finance</v>
    <v>25</v>
    <v>en-US</v>
    <v>a1vbpr</v>
    <v>268435456</v>
    <v>1</v>
    <v>Powered by Refinitiv</v>
    <v>9.99</v>
    <v>7.08</v>
    <v>6.5000000000000002E-2</v>
    <v>8.6090000000000003E-3</v>
    <v>USD</v>
    <v>Nasdaq Stock Market</v>
    <v>XNAS</v>
    <v>7.66</v>
    <v>ETF</v>
    <v>46106.612420914062</v>
    <v>1439</v>
    <v>7.56</v>
    <v>ICAHN ENTERPRISES UNT</v>
    <v>7.58</v>
    <v>7.55</v>
    <v>7.6150000000000002</v>
    <v>IEP</v>
    <v>ICAHN ENTERPRISES UNT (XNAS:IEP)</v>
    <v>177390</v>
    <v>1126118</v>
  </rv>
  <rv s="2">
    <v>1440</v>
  </rv>
  <rv s="0">
    <v>https://www.bing.com/financeapi/forcetrigger?t=a1pxbh&amp;q=XNYS%3aCMG&amp;form=skydnc</v>
    <v>Learn more on Bing</v>
  </rv>
  <rv s="1">
    <v>0</v>
    <v>CHIPOTLE MEXICAN GRILL, INC. (XNYS:CMG)</v>
    <v>2</v>
    <v>3</v>
    <v>Finance</v>
    <v>4</v>
    <v>en-US</v>
    <v>a1pxbh</v>
    <v>268435456</v>
    <v>1</v>
    <v>Powered by Refinitiv</v>
    <v>58.42</v>
    <v>29.75</v>
    <v>1.0533999999999999</v>
    <v>-0.32500000000000001</v>
    <v>-9.9209999999999993E-3</v>
    <v>USD</v>
    <v>Chipotle Mexican Grill, Inc. is a restaurant company. The Company develops and operates restaurants that serve a menu of burritos, burrito bowls, quesadillas, tacos, and salads, made using fresh ingredients. The Company operates approximately 3839 restaurants in the United States, Canada, the United Kingdom, France, Germany, Kuwait, and United Arab Emirates. It owns and operates all its restaurants in North America and Europe. The Company is focused in serving sourced, classically cooked, real food with wholesome ingredients without artificial colors, flavors or preservatives. Its menu includes Burrito, Burrito Bowl, Lifestyle Bowl, Quesadilla, Salad, Tacos, Kid’s Meal, Chips and Sides, and Build your Own (digital only). It also includes Raymonte’s Chicken Bowl, The Mr. Fantasy Burrito, Carne Asada, Build-Your-Own Chipotle, catering and group order. Its subsidiaries include Chipotle Mexican Grill Canada Corp., Chipotle Mexican Grill France SAS, among others.</v>
    <v>130301</v>
    <v>New York Stock Exchange</v>
    <v>XNYS</v>
    <v>XNYS</v>
    <v>610 Newport Center Dr., NEWPORT BEACH, CA, 92660 US</v>
    <v>33.297800000000002</v>
    <v>Hotels &amp; Entertainment Services</v>
    <v>Stock</v>
    <v>46106.612717175783</v>
    <v>1442</v>
    <v>32.185000000000002</v>
    <v>42244090005</v>
    <v>CHIPOTLE MEXICAN GRILL, INC.</v>
    <v>CHIPOTLE MEXICAN GRILL, INC.</v>
    <v>33.17</v>
    <v>28.354800000000001</v>
    <v>32.76</v>
    <v>32.435000000000002</v>
    <v>1302423000</v>
    <v>CMG</v>
    <v>CHIPOTLE MEXICAN GRILL, INC. (XNYS:CMG)</v>
    <v>2771281</v>
    <v>16177498</v>
    <v>1998</v>
  </rv>
  <rv s="2">
    <v>1443</v>
  </rv>
  <rv s="0">
    <v>https://www.bing.com/financeapi/forcetrigger?t=a1olar&amp;q=XNYS%3aBLD&amp;form=skydnc</v>
    <v>Learn more on Bing</v>
  </rv>
  <rv s="1">
    <v>0</v>
    <v>TOPBUILD CORP. (XNYS:BLD)</v>
    <v>2</v>
    <v>3</v>
    <v>Finance</v>
    <v>4</v>
    <v>en-US</v>
    <v>a1olar</v>
    <v>268435456</v>
    <v>1</v>
    <v>Powered by Refinitiv</v>
    <v>559.46839999999997</v>
    <v>266.26</v>
    <v>1.7896000000000001</v>
    <v>0.05</v>
    <v>1.4239999999999999E-4</v>
    <v>USD</v>
    <v>TopBuild Corp. is an installer and specialty distributor of insulation and related building material products to the construction industry in the United States and Canada. The Company’s segments include Installation and Specialty Distribution. The Installation segment primarily installs insulation and other building products. Installation sells primarily to the residential new construction market, commercial/industrial construction market, along with repair/remodel of residential housing. In addition to insulation, it installs other building products, including glass and windows, rain gutters, garage doors, closet shelving, and fireplaces, among other items. The Specialty Distribution segment distributes building and mechanical insulation, insulation accessories and other building product materials for the residential and commercial/industrial end markets. In addition to insulation and accessories, it distributes rain gutters, closet shelving, and roofing materials, among other items.</v>
    <v>14707</v>
    <v>New York Stock Exchange</v>
    <v>XNYS</v>
    <v>XNYS</v>
    <v>475 N. WILLIAMSON BLVD., DAYTONA BEACH, FL, 32114 US</v>
    <v>359.82</v>
    <v>Construction &amp; Engineering</v>
    <v>Stock</v>
    <v>46106.612716399999</v>
    <v>1445</v>
    <v>343.20010000000002</v>
    <v>9886543327</v>
    <v>TOPBUILD CORP.</v>
    <v>TOPBUILD CORP.</v>
    <v>357.87</v>
    <v>19.162700000000001</v>
    <v>351.22</v>
    <v>351.27</v>
    <v>28145140</v>
    <v>BLD</v>
    <v>TOPBUILD CORP. (XNYS:BLD)</v>
    <v>63833</v>
    <v>383356</v>
    <v>2015</v>
  </rv>
  <rv s="2">
    <v>1446</v>
  </rv>
  <rv s="0">
    <v>https://www.bing.com/financeapi/forcetrigger?t=c27jkr&amp;q=XNAS%3aMQ&amp;form=skydnc</v>
    <v>Learn more on Bing</v>
  </rv>
  <rv s="1">
    <v>0</v>
    <v>MARQETA, INC. (XNAS:MQ)</v>
    <v>2</v>
    <v>3</v>
    <v>Finance</v>
    <v>4</v>
    <v>en-US</v>
    <v>c27jkr</v>
    <v>268435456</v>
    <v>1</v>
    <v>Powered by Refinitiv</v>
    <v>7.04</v>
    <v>3.4750000000000001</v>
    <v>1.3874</v>
    <v>-5.0000000000000001E-3</v>
    <v>-1.199E-3</v>
    <v>USD</v>
    <v>Marqeta, Inc. is engaged in providing modern card issuing platform empowers its customers to create customized and payment card programs. The Company provides a single, global, cloud-based, open application programming interface (API) platform for modern card issuing and transaction processing. It works with companies in a range of different configurations, such as Managed By Marqeta and Powered By Marqeta. With Managed By Marqeta, the Company provides an issuing bank partner to act as the bank identification number; sponsor for the customer’s card program; manages the customer’s card program on behalf of the issuing bank, and provides a full range of services, including configuring many of the critical resources required by a customer’s production environment. With Powered By Marqeta, it provides payment processing, and assists with certain configuration elements that enable the customer to use the platform independently.</v>
    <v>938</v>
    <v>Nasdaq Stock Market</v>
    <v>XNAS</v>
    <v>XNAS</v>
    <v>180 Grand Avenue, 6th Floor, OAKLAND, CA, 94612 US</v>
    <v>4.2850000000000001</v>
    <v>Financial Technology (Fintech) &amp; Infrastructure</v>
    <v>Stock</v>
    <v>46106.612604235939</v>
    <v>1448</v>
    <v>4.16</v>
    <v>1779337563</v>
    <v>MARQETA, INC.</v>
    <v>MARQETA, INC.</v>
    <v>4.2300000000000004</v>
    <v>0</v>
    <v>4.17</v>
    <v>4.165</v>
    <v>427211900</v>
    <v>MQ</v>
    <v>MARQETA, INC. (XNAS:MQ)</v>
    <v>374570</v>
    <v>4525228</v>
    <v>2010</v>
  </rv>
  <rv s="2">
    <v>1449</v>
  </rv>
  <rv s="0">
    <v>https://www.bing.com/financeapi/forcetrigger?t=a1rzk2&amp;q=XNYS%3aENR&amp;form=skydnc</v>
    <v>Learn more on Bing</v>
  </rv>
  <rv s="1">
    <v>0</v>
    <v>Energizer Holdings, Inc. (XNYS:ENR)</v>
    <v>2</v>
    <v>3</v>
    <v>Finance</v>
    <v>4</v>
    <v>en-US</v>
    <v>a1rzk2</v>
    <v>268435456</v>
    <v>1</v>
    <v>Powered by Refinitiv</v>
    <v>30.29</v>
    <v>16.375</v>
    <v>0.6875</v>
    <v>0.01</v>
    <v>6.0099999999999997E-4</v>
    <v>USD</v>
    <v>Energizer Holdings, Inc. is a manufacturer and distributor of primary batteries, portable lights, and auto care appearance, performance, refrigerant, and fragrance products. The Company's segments include Batteries &amp; Lights, and Auto Care. The Company offers household batteries including primary, rechargeable, specialty and hearing aid using many technologies including lithium, alkaline, carbon zinc, nickel metal hydride, zinc air, and silver oxide. It offers auto care products in the appearance, fragrance, performance, and air conditioning recharge product categories. Its portfolio of brands includes Energizer, Armor All, Eveready, Rayovac, STP, Varta, A/C Pro, Refresh Your Car!, California Scents, Driven, Bahama &amp; Co., LEXOL, Eagle One, Nu Finish, Scratch Doctor, and Tuff Stuff. It distributes its products to consumers through numerous retail locations worldwide, including mass merchandisers and warehouse clubs, food, drug and convenience stores, e-commerce and military stores.</v>
    <v>6050</v>
    <v>New York Stock Exchange</v>
    <v>XNYS</v>
    <v>XNYS</v>
    <v>8235 Forsyth Boulevard, Suite 100, ST. LOUIS, MO, 63105 US</v>
    <v>16.84</v>
    <v>Machinery, Equipment &amp; Components</v>
    <v>Stock</v>
    <v>46106.612458517971</v>
    <v>1451</v>
    <v>16.5</v>
    <v>1140004854</v>
    <v>Energizer Holdings, Inc.</v>
    <v>Energizer Holdings, Inc.</v>
    <v>16.824999999999999</v>
    <v>5.6078999999999999</v>
    <v>16.64</v>
    <v>16.649999999999999</v>
    <v>68468760</v>
    <v>ENR</v>
    <v>Energizer Holdings, Inc. (XNYS:ENR)</v>
    <v>147365</v>
    <v>1320346</v>
    <v>2015</v>
  </rv>
  <rv s="2">
    <v>1452</v>
  </rv>
  <rv s="0">
    <v>https://www.bing.com/financeapi/forcetrigger?t=a1pflh&amp;q=XNAS%3aCECE&amp;form=skydnc</v>
    <v>Learn more on Bing</v>
  </rv>
  <rv s="1">
    <v>0</v>
    <v>CECO ENVIRONMENTAL CORP. (XNAS:CECO)</v>
    <v>2</v>
    <v>3</v>
    <v>Finance</v>
    <v>4</v>
    <v>en-US</v>
    <v>a1pflh</v>
    <v>268435456</v>
    <v>1</v>
    <v>Powered by Refinitiv</v>
    <v>81.716700000000003</v>
    <v>17.567900000000002</v>
    <v>1.3928</v>
    <v>1.5049999999999999</v>
    <v>2.4258999999999999E-2</v>
    <v>USD</v>
    <v>CECO Environmental Corp. is an environmentally focused, diversified industrial company. The Company serves a broad landscape of industrial air, industrial water and energy transition markets globally, providing solutions and application expertise. Its Engineered System segment serves the power generation, hydrocarbon processing, water/wastewater treatment, oily water separation and treatment, marine and naval vessels, and midstream oil and gas sectors. The segment seeks to address the global demand for environmental and equipment protection solutions with its engineered platforms, including emissions management, fluid bed cyclones, thermal acoustics, separation and filtration, and dampers and expansion joints. Its Industrial Process Solutions segment serves the industrial sector with solutions for air pollution and contamination control, and process filtration in applications, such as aluminum beverage can production, automobile production, electronics production, and other markets.</v>
    <v>1540</v>
    <v>Nasdaq Stock Market</v>
    <v>XNAS</v>
    <v>XNAS</v>
    <v>5080 Spectrum Drive, Suite 800E, ADDISON, TX, 75001 US</v>
    <v>63.9</v>
    <v>Professional &amp; Commercial Services</v>
    <v>Stock</v>
    <v>46106.612631075783</v>
    <v>1454</v>
    <v>62.34</v>
    <v>2266383896</v>
    <v>CECO ENVIRONMENTAL CORP.</v>
    <v>CECO ENVIRONMENTAL CORP.</v>
    <v>62.95</v>
    <v>46.542900000000003</v>
    <v>62.04</v>
    <v>63.545000000000002</v>
    <v>35665810</v>
    <v>CECO</v>
    <v>CECO ENVIRONMENTAL CORP. (XNAS:CECO)</v>
    <v>158704</v>
    <v>870044</v>
    <v>2002</v>
  </rv>
  <rv s="2">
    <v>1455</v>
  </rv>
  <rv s="0">
    <v>https://www.bing.com/financeapi/forcetrigger?t=bxb4pr&amp;q=OTCM%3aHRSHF&amp;form=skydnc</v>
    <v>Learn more on Bing</v>
  </rv>
  <rv s="1">
    <v>0</v>
    <v>Haier Smart Home Co., Ltd. (OTCM:HRSHF)</v>
    <v>2</v>
    <v>53</v>
    <v>Finance</v>
    <v>43</v>
    <v>en-US</v>
    <v>bxb4pr</v>
    <v>268435456</v>
    <v>1</v>
    <v>Powered by Refinitiv</v>
    <v>3.7498999999999998</v>
    <v>2.16</v>
    <v>0.90990000000000004</v>
    <v>-0.02</v>
    <v>-6.4520000000000003E-3</v>
    <v>USD</v>
    <v>Haier Smart Home Co Ltd, formerly Qingdao Haier Co Ltd, is a China-based company principally engaged in research and development, manufacturing and sales of home appliances. The Company operates its businesses through five segments. The Household Food Storage and Cooking Solutions segment is engaged in manufacturing and selling refrigerator/freezers and kitchen appliances. The Air Solutions segment is engaged in manufacturing and selling air conditioners. The Household Laundry Management Solutions segment is engaged in manufacturing and selling washing machines and dryers. The Household Water Solutions segment is engaged in manufacturing and selling water home appliances such as water heaters and water purifiers. The Other business segment mainly includes channel, equipment components, small home appliance business and others. The Company mainly operates its businesses in the domestic and overseas markets.</v>
    <v>119133</v>
    <v>OTC Markets</v>
    <v>OTCM</v>
    <v>OTCM</v>
    <v>Haier Technology Innovation Ecological Park in Laoshan District, QINGDAO, SHANDONG, 266101 CN</v>
    <v>3.08</v>
    <v>Household Goods</v>
    <v>Stock</v>
    <v>46106.570776758592</v>
    <v>1457</v>
    <v>3.08</v>
    <v>260875900000</v>
    <v>Haier Smart Home Co., Ltd.</v>
    <v>Haier Smart Home Co., Ltd.</v>
    <v>3.08</v>
    <v>10.0029</v>
    <v>3.1</v>
    <v>3.08</v>
    <v>9377630000</v>
    <v>HRSHF</v>
    <v>Haier Smart Home Co., Ltd. (OTCM:HRSHF)</v>
    <v>828</v>
    <v>12034900</v>
    <v>1994</v>
  </rv>
  <rv s="2">
    <v>1458</v>
  </rv>
  <rv s="0">
    <v>https://www.bing.com/financeapi/forcetrigger?t=bwv58m&amp;q=XNAS%3aCMPO&amp;form=skydnc</v>
    <v>Learn more on Bing</v>
  </rv>
  <rv s="1">
    <v>0</v>
    <v>GPGI, Inc. (XNYS:GPGI)</v>
    <v>2</v>
    <v>3</v>
    <v>Finance</v>
    <v>4</v>
    <v>en-US</v>
    <v>bwv58m</v>
    <v>268435456</v>
    <v>1</v>
    <v>Powered by Refinitiv</v>
    <v>26.78</v>
    <v>9.2438000000000002</v>
    <v>1.1057999999999999</v>
    <v>0.26</v>
    <v>1.4114999999999999E-2</v>
    <v>USD</v>
    <v>GPGI, Inc., formerly CompoSecure, Inc., is a diversified, multi-industry compounder. The Company's segments include CompoSecure and Husky. CompoSecure segment is a technology partner to fintechs, and consumers around the globe. It specializes in metal payment cards, security, and authentication solutions. Its payment card technology and metal cards with Arculus security and authentication capabilities deliver branded experiences, enable people to access and use their financial and digital assets. Husky segment is a technology pioneer that enables the delivery of essential needs to the global community. It specializes in highly engineered equipment and aftermarket services. Its products are used to manufacture a range of plastic products, including beverage and food containers, medical devices, and consumer electronic parts. It provides comprehensive and integrated systems solutions that are comprised of injection molding machines, molds, hot runners, controllers, and auxiliaries.</v>
    <v>971</v>
    <v>New York Stock Exchange</v>
    <v>XNYS</v>
    <v>XNYS</v>
    <v>309 Pierce Street, SOMERSET, NJ, 08873 US</v>
    <v>18.82</v>
    <v>Professional &amp; Commercial Services</v>
    <v>Stock</v>
    <v>46106.612755937502</v>
    <v>1460</v>
    <v>18.36</v>
    <v>3004905259</v>
    <v>GPGI, Inc.</v>
    <v>GPGI, Inc.</v>
    <v>18.649999999999999</v>
    <v>0</v>
    <v>18.420000000000002</v>
    <v>18.68</v>
    <v>289642600</v>
    <v>GPGI</v>
    <v>GPGI, Inc. (XNYS:GPGI)</v>
    <v>570678</v>
    <v>5800400</v>
    <v>2020</v>
  </rv>
  <rv s="2">
    <v>1461</v>
  </rv>
  <rv s="0">
    <v>https://www.bing.com/financeapi/forcetrigger?t=a1mnur&amp;q=XNYS%3aAA&amp;form=skydnc</v>
    <v>Learn more on Bing</v>
  </rv>
  <rv s="1">
    <v>0</v>
    <v>ALCOA CORPORATION (XNYS:AA)</v>
    <v>2</v>
    <v>3</v>
    <v>Finance</v>
    <v>4</v>
    <v>en-US</v>
    <v>a1mnur</v>
    <v>268435456</v>
    <v>1</v>
    <v>Powered by Refinitiv</v>
    <v>68.400000000000006</v>
    <v>21.53</v>
    <v>1.7826</v>
    <v>1.645</v>
    <v>2.9023E-2</v>
    <v>USD</v>
    <v>Alcoa Corporation is a vertically integrated aluminum company comprised of bauxite mining, alumina refining, aluminum production (smelting and casting), and energy generation. The Company’s operations are comprised of two business segments: Alumina and Aluminum. The Alumina segment primarily consists of its bauxite mines and alumina refineries, which generally include the mining of bauxite and other aluminous ores, as well as the refining, production, and sale of smelter grade and non-metallurgical alumina. The alumina produced by this segment is sold to internal and external aluminum smelter customers; a portion of the alumina is sold to external customers who process it into industrial chemical products. The Aluminum segment consists of the Company’s aluminum smelting and casting operations along with the Company’s energy production assets in Brazil, Canada, and the United States. It has direct and indirect ownership of 26 operating locations across nine countries on six continents.</v>
    <v>14900</v>
    <v>New York Stock Exchange</v>
    <v>XNYS</v>
    <v>XNYS</v>
    <v>201 Isabella Street, Suite 500, PITTSBURGH, PA, 15212 US</v>
    <v>59.112499999999997</v>
    <v>Metals &amp; Mining</v>
    <v>Stock</v>
    <v>46106.612689849222</v>
    <v>1463</v>
    <v>57.77</v>
    <v>15389786145</v>
    <v>ALCOA CORPORATION</v>
    <v>ALCOA CORPORATION</v>
    <v>58.35</v>
    <v>13.1534</v>
    <v>56.68</v>
    <v>58.325000000000003</v>
    <v>263862600</v>
    <v>AA</v>
    <v>ALCOA CORPORATION (XNYS:AA)</v>
    <v>812609</v>
    <v>6758109</v>
    <v>2016</v>
  </rv>
  <rv s="2">
    <v>1464</v>
  </rv>
  <rv s="0">
    <v>https://www.bing.com/financeapi/forcetrigger?t=a1r1lh&amp;q=XNYS%3aDHI&amp;form=skydnc</v>
    <v>Learn more on Bing</v>
  </rv>
  <rv s="1">
    <v>0</v>
    <v>D.R. HORTON, INC. (XNYS:DHI)</v>
    <v>2</v>
    <v>3</v>
    <v>Finance</v>
    <v>4</v>
    <v>en-US</v>
    <v>a1r1lh</v>
    <v>268435456</v>
    <v>1</v>
    <v>Powered by Refinitiv</v>
    <v>184.54499999999999</v>
    <v>110.44</v>
    <v>1.4424999999999999</v>
    <v>-3.3650000000000002</v>
    <v>-2.4326E-2</v>
    <v>USD</v>
    <v>D.R. Horton, Inc. is a homebuilding company. The Company constructs and sells homes through its operating divisions in 125 markets across 36 states. The Company’s segments include Homebuilding, Rental, Forestar, Financial Services, and Other. The Homebuilding divisions are primarily engaged in the acquisition and development of land and the construction and sale of residential homes. The Company’s rental segment consists of single-family and multifamily rental operations. The single-family rental operations construct and lease single-family homes within a community and then generally market each community for a bulk sale of rental homes. The Forestar segment is a residential lot development company with operations in 59 markets across 24 states. The Financial services segment provides mortgage financing and title agency services to homebuyers in many of the Company’s homebuilding markets. It also conducts insurance-related operations.</v>
    <v>14341</v>
    <v>New York Stock Exchange</v>
    <v>XNYS</v>
    <v>XNYS</v>
    <v>1341 Horton Circle, ARLINGTON, TX, 76011 US</v>
    <v>140.31</v>
    <v>Homebuilding &amp; Construction Supplies</v>
    <v>Stock</v>
    <v>46106.612737164061</v>
    <v>1466</v>
    <v>133.56</v>
    <v>39099819381</v>
    <v>D.R. HORTON, INC.</v>
    <v>D.R. HORTON, INC.</v>
    <v>139.76</v>
    <v>12.288</v>
    <v>138.33000000000001</v>
    <v>134.965</v>
    <v>289703400</v>
    <v>DHI</v>
    <v>D.R. HORTON, INC. (XNYS:DHI)</v>
    <v>751738</v>
    <v>2632419</v>
    <v>1991</v>
  </rv>
  <rv s="2">
    <v>1467</v>
  </rv>
  <rv s="0">
    <v>https://www.bing.com/financeapi/forcetrigger?t=a244gh&amp;q=XNYS%3aTELL&amp;form=skydnc</v>
    <v>Learn more on Bing</v>
  </rv>
  <rv s="16">
    <v>29</v>
    <v>TELLURIAN INC. (XNYS:TELL)</v>
    <v>2</v>
    <v>30</v>
    <v>Finance</v>
    <v>31</v>
    <v>en-US</v>
    <v>a244gh</v>
    <v>268435456</v>
    <v>1</v>
    <v>1</v>
    <v>Powered by Refinitiv</v>
    <v>1.07</v>
    <v>0.35520000000000002</v>
    <v>2.5621</v>
    <v>0</v>
    <v>0</v>
    <v>0</v>
    <v>0</v>
    <v>USD</v>
    <v>Tellurian Inc. develops and plans to own and operate a portfolio of liquefied natural gas (LNG) marketing and infrastructure assets that includes an LNG terminal facility (the Driftwood terminal) and related pipelines. The Company’s segments include Midstream, and Marketing &amp; Trading. The Midstream segment is organized to develop, construct and operate LNG terminals and pipelines. The Marketing &amp; Trading segment operates the Driftwood terminal’s LNG production capacity and trades LNG. The Company is developing a portfolio of LNG marketing and infrastructure assets that includes an approximately 27.6 million tons per annum (mtpa) LNG export facility and an associated pipeline.</v>
    <v>168</v>
    <v>New York Stock Exchange</v>
    <v>XNYS</v>
    <v>XNYS</v>
    <v>1201 Louisiana Street, Suite 3100, HOUSTON, TX, 77002 US</v>
    <v>0.99950000000000006</v>
    <v>Oil &amp; Gas</v>
    <v>Stock</v>
    <v>45573.999549166409</v>
    <v>1469</v>
    <v>0.99660000000000004</v>
    <v>892984621</v>
    <v>TELLURIAN INC.</v>
    <v>TELLURIAN INC.</v>
    <v>0.99780000000000002</v>
    <v>0.99739999999999995</v>
    <v>0.999</v>
    <v>0.999</v>
    <v>893878500</v>
    <v>TELL</v>
    <v>TELLURIAN INC. (XNYS:TELL)</v>
    <v>72335990</v>
    <v>48840903</v>
    <v>1967</v>
  </rv>
  <rv s="2">
    <v>1470</v>
  </rv>
  <rv s="0">
    <v>https://www.bing.com/financeapi/forcetrigger?t=a1trzr&amp;q=XNYS%3aGEO&amp;form=skydnc</v>
    <v>Learn more on Bing</v>
  </rv>
  <rv s="1">
    <v>0</v>
    <v>THE GEO GROUP, INC. (XNYS:GEO)</v>
    <v>2</v>
    <v>3</v>
    <v>Finance</v>
    <v>4</v>
    <v>en-US</v>
    <v>a1trzr</v>
    <v>268435456</v>
    <v>1</v>
    <v>Powered by Refinitiv</v>
    <v>32.090000000000003</v>
    <v>12.51</v>
    <v>0.68789999999999996</v>
    <v>0.35</v>
    <v>2.0660999999999999E-2</v>
    <v>USD</v>
    <v>The GEO Group, Inc. is a diversified government service provider. The Company specializes in design, financing, development, and support services for secure facilities, processing centers, and community reentry centers in the United States, Australia, South Africa, and the United Kingdom. The Company’s U.S. Secure Services segment primarily encompasses the United Sates-based secure services business. Its Electronic Monitoring and Supervision Services segment represents technology and services provided to adults for monitoring services for community-based parolees, probationers, and pretrial defendants. Its Reentry Services segment represents evidence-based supervision and treatment programs provided to adults for residential and non-residential treatment, educational and community-based programs, pre-release and half-way house programs. Its International Services segment primarily consists of secure services operations in South Africa and Australia.</v>
    <v>18000</v>
    <v>New York Stock Exchange</v>
    <v>XNYS</v>
    <v>XNYS</v>
    <v>4955 Technology Way, BOCA RATON, FL, 33431 US</v>
    <v>17.350000000000001</v>
    <v>Professional &amp; Commercial Services</v>
    <v>Stock</v>
    <v>46106.612584015624</v>
    <v>1472</v>
    <v>17</v>
    <v>2294509217</v>
    <v>THE GEO GROUP, INC.</v>
    <v>THE GEO GROUP, INC.</v>
    <v>17.100000000000001</v>
    <v>9.5009999999999994</v>
    <v>16.940000000000001</v>
    <v>17.29</v>
    <v>132707300</v>
    <v>GEO</v>
    <v>THE GEO GROUP, INC. (XNYS:GEO)</v>
    <v>130389</v>
    <v>3345164</v>
    <v>2013</v>
  </rv>
  <rv s="2">
    <v>1473</v>
  </rv>
  <rv s="0">
    <v>https://www.bing.com/financeapi/forcetrigger?t=a1wo5r&amp;q=XNYS%3aKSS&amp;form=skydnc</v>
    <v>Learn more on Bing</v>
  </rv>
  <rv s="1">
    <v>0</v>
    <v>KOHL'S CORPORATION (XNYS:KSS)</v>
    <v>2</v>
    <v>3</v>
    <v>Finance</v>
    <v>4</v>
    <v>en-US</v>
    <v>a1wo5r</v>
    <v>268435456</v>
    <v>1</v>
    <v>Powered by Refinitiv</v>
    <v>25.22</v>
    <v>6.04</v>
    <v>1.5077</v>
    <v>0.1749</v>
    <v>1.4161999999999999E-2</v>
    <v>USD</v>
    <v>Kohl's Corporation is an omnichannel retailer. The Company operates approximately 1,100 stores and a Website www.Kohls.com. The Company’s Kohl's stores and Website sell private and national brand apparel, footwear, accessories, beauty, and home products. The Company’s Kohl's stores generally carry a consistent merchandise assortment with some differences attributable to local preferences, store size, and Sephora at Kohl's shop-in-shops (Sephora shops). Its Website includes merchandise, which is available in the Company’s stores, as well as merchandise that is available only online. Its merchandise mix includes both national brands and private brands that are available only at Kohl's. Its private portfolio includes established brands such as Apt. 9, Croft &amp; Barrow, Jumping Beans, SO, Sonoma Goods for Life, and Tek Gear, and nationally recognized brands such as LC Lauren Conrad, Nine West, and Simply Vera Vera Wang.</v>
    <v>29000</v>
    <v>New York Stock Exchange</v>
    <v>XNYS</v>
    <v>XNYS</v>
    <v>N56W17000 Ridgewood Dr, MENOMONEE FALLS, WI, 53051-5660 US</v>
    <v>12.6831</v>
    <v>Diversified Retail</v>
    <v>Stock</v>
    <v>46106.612683251566</v>
    <v>1475</v>
    <v>12.3</v>
    <v>1405474138</v>
    <v>KOHL'S CORPORATION</v>
    <v>KOHL'S CORPORATION</v>
    <v>12.53</v>
    <v>7.3361000000000001</v>
    <v>12.35</v>
    <v>12.524900000000001</v>
    <v>112214400</v>
    <v>KSS</v>
    <v>KOHL'S CORPORATION (XNYS:KSS)</v>
    <v>622230</v>
    <v>6083996</v>
    <v>1993</v>
  </rv>
  <rv s="2">
    <v>1476</v>
  </rv>
  <rv s="0">
    <v>https://www.bing.com/financeapi/forcetrigger?t=a2xwk2&amp;q=OTCM%3aTCEHY&amp;form=skydnc</v>
    <v>Learn more on Bing</v>
  </rv>
  <rv s="1">
    <v>0</v>
    <v>Tencent Holdings Limited (OTCM:TCEHY)</v>
    <v>2</v>
    <v>53</v>
    <v>Finance</v>
    <v>43</v>
    <v>en-US</v>
    <v>a2xwk2</v>
    <v>268435456</v>
    <v>1</v>
    <v>Powered by Refinitiv</v>
    <v>87.68</v>
    <v>52.3</v>
    <v>1.3523000000000001</v>
    <v>-0.39</v>
    <v>-5.9919999999999999E-3</v>
    <v>USD</v>
    <v>Tencent Holdings Ltd is an investment holding company primarily engaged in the provision of value-added services (VAS), online advertising services, as well as FinTech and business services. The Company primarily operates through four segments. The VAS segment is mainly engaged in the provision of online games, video account live broadcast services, paid video membership services and other social network services. The Online Advertising segment is mainly engaged in media advertising, social and other advertising businesses. The FinTech and Business Services segment mainly provides commercial payment, FinTech and cloud services. The Others segment is principally engaged in the investment, production and distribution of films and television program for third parties, copyrights licensing, merchandise sales and various other activities.</v>
    <v>115849</v>
    <v>OTC Markets</v>
    <v>OTCM</v>
    <v>OTCM</v>
    <v>Tencent Binhai Towers, No. 33 Haitian 2nd Road, Nanshan District, SHENZHEN, GUANGDONG, 518054 CN</v>
    <v>65.09</v>
    <v>Software &amp; IT Services</v>
    <v>Stock</v>
    <v>46106.602285010937</v>
    <v>1478</v>
    <v>64.53</v>
    <v>5723093000000</v>
    <v>Tencent Holdings Limited</v>
    <v>Tencent Holdings Limited</v>
    <v>65</v>
    <v>0</v>
    <v>65.09</v>
    <v>64.7</v>
    <v>9123516000</v>
    <v>TCEHY</v>
    <v>Tencent Holdings Limited (OTCM:TCEHY)</v>
    <v>1109625</v>
    <v>33025560</v>
    <v>2004</v>
  </rv>
  <rv s="2">
    <v>1479</v>
  </rv>
  <rv s="0">
    <v>https://www.bing.com/financeapi/forcetrigger?t=a22jfr&amp;q=XNYS%3aSBOW&amp;form=skydnc</v>
    <v>Learn more on Bing</v>
  </rv>
  <rv s="13">
    <v>20</v>
    <v>SilverBow Resources, Inc. (XNYS:SBOW)</v>
    <v>2</v>
    <v>3</v>
    <v>Finance</v>
    <v>21</v>
    <v>en-US</v>
    <v>a22jfr</v>
    <v>268435456</v>
    <v>1</v>
    <v>1</v>
    <v>Powered by Refinitiv</v>
    <v>43.95</v>
    <v>25.19</v>
    <v>2.5949</v>
    <v>0</v>
    <v>0</v>
    <v>USD</v>
    <v>SilverBow Resources, Inc. is an energy company. The Company explores, develops, and produces oil and gas in the Eagle Ford Shale and Austin Chalk in South Texas where it has assembled approximately 222,000 net acres across five operating areas. Its operating areas include Webb County Gas, Western Condensate, Southern Eagle Ford, Central Oil and Eastern Extension. As operator, it designs and manages the development of a well and supervises operation and maintenance activities on a day-to-day basis. The Company has gas gathering agreements with Howard Energy Partners providing for the transportation of its Eagle Ford and Austin Chalk production on the pipeline from its Fasken, Rio Bravo, La Mesa and Northern Webb areas to the Kinder Morgan Texas Pipeline, Eagle Ford Midstream or Howard's Impulsora Pipeline (Nueva Era). It has an agreement with Eagle Ford Gathering LLC that provides for the gathering and processing for almost all of its natural gas production in the Artesia area.</v>
    <v>134</v>
    <v>New York Stock Exchange</v>
    <v>XNYS</v>
    <v>XNYS</v>
    <v>920 MEMORIAL CITY WAY, SUITE 850, HOUSTON, TX, 77024 US</v>
    <v>38</v>
    <v>Oil &amp; Gas</v>
    <v>Stock</v>
    <v>45502.958333344533</v>
    <v>1481</v>
    <v>35.31</v>
    <v>940368808</v>
    <v>SilverBow Resources, Inc.</v>
    <v>SilverBow Resources, Inc.</v>
    <v>38</v>
    <v>4.9775999999999998</v>
    <v>37.729999999999997</v>
    <v>36.82</v>
    <v>25539620</v>
    <v>SBOW</v>
    <v>SilverBow Resources, Inc. (XNYS:SBOW)</v>
    <v>2055255</v>
    <v>586375</v>
    <v>2016</v>
  </rv>
  <rv s="2">
    <v>1482</v>
  </rv>
  <rv s="0">
    <v>https://www.bing.com/financeapi/forcetrigger?t=c12mu2&amp;q=XNYS%3aTUYA&amp;form=skydnc</v>
    <v>Learn more on Bing</v>
  </rv>
  <rv s="1">
    <v>0</v>
    <v>Tuya Inc. (XNYS:TUYA)</v>
    <v>2</v>
    <v>3</v>
    <v>Finance</v>
    <v>4</v>
    <v>en-US</v>
    <v>c12mu2</v>
    <v>268435456</v>
    <v>1</v>
    <v>Powered by Refinitiv</v>
    <v>3.4249999999999998</v>
    <v>1.825</v>
    <v>0.41489999999999999</v>
    <v>3.5000000000000003E-2</v>
    <v>1.4343999999999999E-2</v>
    <v>USD</v>
    <v>Tuya Inc is a company primarily engaged in the provision of artificial intelligence (AI) cloud platform service. Through its TuyaOpen open-source development framework and universal AI Agent engines, including the AI Agent development platform, the Company integrates multimodal AI capabilities to promote the deep integration of AI with the physical world. The Company offers physical AI solutions for smart devices, commercial applications, and industry developers through its cloud computing and spatial intelligence capabilities. Through its artificial Internet of Things developer platform, the Company has activated a global developer community of brands, original equipment manufacturers (OEMs), AI agents, system integrators and independent software vendors to collectively strive for smart solutions ecosystem.</v>
    <v>1435</v>
    <v>New York Stock Exchange</v>
    <v>XNYS</v>
    <v>XNYS</v>
    <v>10/F, Building A, Huace Center, Xihu District, Hangzhou, ZHEJIANG, 310012 CN</v>
    <v>2.5099999999999998</v>
    <v>Software &amp; IT Services</v>
    <v>Stock</v>
    <v>46106.612629385934</v>
    <v>1484</v>
    <v>2.4649999999999999</v>
    <v>1516492395</v>
    <v>Tuya Inc.</v>
    <v>Tuya Inc.</v>
    <v>2.4700000000000002</v>
    <v>31.935500000000001</v>
    <v>2.44</v>
    <v>2.4750000000000001</v>
    <v>612724200</v>
    <v>TUYA</v>
    <v>Tuya Inc. (XNYS:TUYA)</v>
    <v>164609</v>
    <v>2812842</v>
    <v>2014</v>
  </rv>
  <rv s="2">
    <v>1485</v>
  </rv>
  <rv s="0">
    <v>https://www.bing.com/financeapi/forcetrigger?t=bnheoc&amp;q=XMEX%3aXAR*&amp;form=skydnc</v>
    <v>Learn more on Bing</v>
  </rv>
  <rv s="24">
    <v>54</v>
    <v>SS SPDR S&amp;P Aero&amp;Def (XMEX:XAR*)</v>
    <v>23</v>
    <v>55</v>
    <v>Finance</v>
    <v>47</v>
    <v>en-US</v>
    <v>bnheoc</v>
    <v>268435456</v>
    <v>1</v>
    <v>Powered by Refinitiv</v>
    <v>5144</v>
    <v>3110</v>
    <v>0</v>
    <v>0</v>
    <v>MXN</v>
    <v>Mexican Stock Exchange</v>
    <v>XMEX</v>
    <v>3.4999999999999996E-3</v>
    <v>5144</v>
    <v>ETF</v>
    <v>46100.678749999999</v>
    <v>1487</v>
    <v>5144</v>
    <v>6179803186.6700001</v>
    <v>SS SPDR S&amp;P Aero&amp;Def</v>
    <v>5144</v>
    <v>5144</v>
    <v>5144</v>
    <v>XAR*</v>
    <v>SS SPDR S&amp;P Aero&amp;Def (XMEX:XAR*)</v>
    <v>126</v>
  </rv>
  <rv s="2">
    <v>1488</v>
  </rv>
  <rv s="0">
    <v>https://www.bing.com/financeapi/forcetrigger?t=a2sxr7&amp;q=OTCM%3aPSIX&amp;form=skydnc</v>
    <v>Learn more on Bing</v>
  </rv>
  <rv s="1">
    <v>0</v>
    <v>POWER SOLUTIONS INTERNATIONAL, INC. (XNAS:PSIX)</v>
    <v>2</v>
    <v>3</v>
    <v>Finance</v>
    <v>4</v>
    <v>en-US</v>
    <v>a2sxr7</v>
    <v>268435456</v>
    <v>1</v>
    <v>Powered by Refinitiv</v>
    <v>121.78</v>
    <v>18.100000000000001</v>
    <v>2.1985999999999999</v>
    <v>8.76</v>
    <v>0.14829900000000001</v>
    <v>USD</v>
    <v>Power Solutions International, Inc. designs, engineers, and manufactures a broad range of advanced, emission-certified engines, power systems, and accessories. It provides integrated turnkey solutions to global original equipment manufacturers and end-user customers. It develops and delivers complete power systems that are used worldwide in stationery and mobile power generation applications supporting standby, prime, demand response and microgrid solutions, as well as products and packages supporting the rapidly growing data center markets. Its industrial segment provides engine and battery powertrain solutions to serve applications such as forklifts, agricultural and turf, arbor care, industrial sweepers, aerial lifts, irrigation pumps, ground support, construction equipment. Its transportation segment provides engine powertrain solutions to specialized applications such as terminal tractors, port equipment, military vehicles, and other non-road vocational vehicles.</v>
    <v>1000</v>
    <v>Nasdaq Stock Market</v>
    <v>XNAS</v>
    <v>XNAS</v>
    <v>201 Mittel Drive, WOOD DALE, IL, 60191 US</v>
    <v>68.05</v>
    <v>Machinery, Equipment &amp; Components</v>
    <v>Stock</v>
    <v>46106.61263891172</v>
    <v>1490</v>
    <v>60.94</v>
    <v>1563512023</v>
    <v>POWER SOLUTIONS INTERNATIONAL, INC.</v>
    <v>POWER SOLUTIONS INTERNATIONAL, INC.</v>
    <v>60.94</v>
    <v>12.908200000000001</v>
    <v>59.07</v>
    <v>67.83</v>
    <v>23050450</v>
    <v>PSIX</v>
    <v>POWER SOLUTIONS INTERNATIONAL, INC. (XNAS:PSIX)</v>
    <v>529408</v>
    <v>687096</v>
    <v>2011</v>
  </rv>
  <rv s="2">
    <v>1491</v>
  </rv>
  <rv s="0">
    <v>https://www.bing.com/financeapi/forcetrigger?t=brfk4c&amp;q=XNAS%3aSWTX&amp;form=skydnc</v>
    <v>Learn more on Bing</v>
  </rv>
  <rv s="13">
    <v>20</v>
    <v>SPRINGWORKS THERAPEUTICS, INC. (XNAS:SWTX)</v>
    <v>2</v>
    <v>3</v>
    <v>Finance</v>
    <v>21</v>
    <v>en-US</v>
    <v>brfk4c</v>
    <v>268435456</v>
    <v>1</v>
    <v>1</v>
    <v>Powered by Refinitiv</v>
    <v>62</v>
    <v>28.21</v>
    <v>0.68500000000000005</v>
    <v>0</v>
    <v>0</v>
    <v>USD</v>
    <v>SpringWorks Therapeutics, Inc. is a commercial-stage biopharmaceutical company focused on severe rare diseases and cancer. The Company developed and is commercializing OGSIVEO (nirogacestat) as a Food and Drug Administration (FDA)-approved medicine for adults with desmoid tumors and GOMEKLI (mirdametinib) as an FDA-approved medicine for both adults and children with neurofibromatosis type I associated plexiform neurofibromas (NF1-PN). It is also advancing a diverse portfolio of novel targeted therapy product candidates for patients with both solid tumors and hematological cancers. Brimarafenib is an investigational oral, small molecule, next-generation RAF dimer inhibitor that the Company is advancing in the clinic. SW-682 is an investigational oral, small molecule TEA Domain (TEAD), inhibitor that is evaluating in Hippo-mutant solid tumors. SW-3431 is an investigational, potentially first-in-class, small molecule activator of Protein Phosphotase 2A (PP2A), complexes.</v>
    <v>368</v>
    <v>Nasdaq Stock Market</v>
    <v>XNAS</v>
    <v>XNAS</v>
    <v>100 Washington Blvd, STAMFORD, CT, 06902-9302 US</v>
    <v>47.01</v>
    <v>Pharmaceuticals</v>
    <v>Stock</v>
    <v>45838.976575207809</v>
    <v>1493</v>
    <v>46.98</v>
    <v>3539413673</v>
    <v>SPRINGWORKS THERAPEUTICS, INC.</v>
    <v>SPRINGWORKS THERAPEUTICS, INC.</v>
    <v>46.99</v>
    <v>0</v>
    <v>46.98</v>
    <v>46.99</v>
    <v>75322700</v>
    <v>SWTX</v>
    <v>SPRINGWORKS THERAPEUTICS, INC. (XNAS:SWTX)</v>
    <v>5010844</v>
    <v>4686227</v>
    <v>2019</v>
  </rv>
  <rv s="2">
    <v>1494</v>
  </rv>
  <rv s="0">
    <v>https://www.bing.com/financeapi/forcetrigger?t=bxi4ar&amp;q=XNAS%3aSHLS&amp;form=skydnc</v>
    <v>Learn more on Bing</v>
  </rv>
  <rv s="1">
    <v>0</v>
    <v>SHOALS TECHNOLOGIES GROUP, INC. (XNAS:SHLS)</v>
    <v>2</v>
    <v>3</v>
    <v>Finance</v>
    <v>4</v>
    <v>en-US</v>
    <v>bxi4ar</v>
    <v>268435456</v>
    <v>1</v>
    <v>Powered by Refinitiv</v>
    <v>11.36</v>
    <v>2.92</v>
    <v>1.6331</v>
    <v>0.12</v>
    <v>1.7517999999999999E-2</v>
    <v>USD</v>
    <v>Shoals Technologies Group, Inc. is a provider of electrical balance of system (EBOS) solutions and components, including battery energy storage solutions (BESS) and original equipment manufacturer (OEM) components, for the global energy transition market. It encompasses all the components that are necessary to carry the electric current produced by solar panels to an inverter and ultimately to the power grid. It designs, manufactures and sells various products used by the solar and battery storage industries, including solar big lead assembly (BLA) solutions; homeruns, interconnection and extension solutions; combiners and re-combiners; load break disconnects and transition solutions; wireless performance monitoring; and BESS. Solar BLA solutions offers a range of plug-and-play cable and cabinet solutions that harness the power of solar energy. Load break disconnects and transition solutions provide solutions to reduce feeder sizes or disconnect systems for maintenance and shutdowns.</v>
    <v>1480</v>
    <v>Nasdaq Stock Market</v>
    <v>XNAS</v>
    <v>XNAS</v>
    <v>1500 Shoals Way, PORTLAND, TN, 37148 US</v>
    <v>7.05</v>
    <v>Machinery, Equipment &amp; Components</v>
    <v>Stock</v>
    <v>46106.612712337497</v>
    <v>1496</v>
    <v>6.875</v>
    <v>1169369446</v>
    <v>SHOALS TECHNOLOGIES GROUP, INC.</v>
    <v>SHOALS TECHNOLOGIES GROUP, INC.</v>
    <v>6.98</v>
    <v>34.711199999999998</v>
    <v>6.85</v>
    <v>6.97</v>
    <v>167771800</v>
    <v>SHLS</v>
    <v>SHOALS TECHNOLOGIES GROUP, INC. (XNAS:SHLS)</v>
    <v>543939</v>
    <v>6170818</v>
    <v>2020</v>
  </rv>
  <rv s="2">
    <v>1497</v>
  </rv>
  <rv s="0">
    <v>http://en.wikipedia.org/wiki/The_Walt_Disney_Company</v>
    <v>Wikipedia</v>
  </rv>
  <rv s="6">
    <v>65</v>
    <v>1499</v>
  </rv>
  <rv s="7">
    <v>14</v>
    <v>https://www.bing.com/th?id=AMMS_0aa288ba528f6f45e3de87d97e250136&amp;qlt=95</v>
    <v>1500</v>
    <v>0</v>
    <v>https://www.bing.com/images/search?form=xlimg&amp;q=the+walt+disney+company</v>
    <v>Image of THE WALT DISNEY COMPANY</v>
  </rv>
  <rv s="0">
    <v>https://www.bing.com/financeapi/forcetrigger?t=a1r2z2&amp;q=XNYS%3aDIS&amp;form=skydnc</v>
    <v>Learn more on Bing</v>
  </rv>
  <rv s="8">
    <v>10</v>
    <v>THE WALT DISNEY COMPANY (XNYS:DIS)</v>
    <v>12</v>
    <v>13</v>
    <v>Finance</v>
    <v>4</v>
    <v>en-US</v>
    <v>a1r2z2</v>
    <v>268435456</v>
    <v>1</v>
    <v>Powered by Refinitiv</v>
    <v>124.69</v>
    <v>80.099999999999994</v>
    <v>1.4442999999999999</v>
    <v>-0.45</v>
    <v>-4.6689999999999995E-3</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97.18</v>
    <v>1501</v>
    <v>Media &amp; Publishing</v>
    <v>Stock</v>
    <v>46106.612699999998</v>
    <v>1502</v>
    <v>95.18</v>
    <v>169959628800</v>
    <v>THE WALT DISNEY COMPANY</v>
    <v>THE WALT DISNEY COMPANY</v>
    <v>96.82</v>
    <v>14.136900000000001</v>
    <v>96.39</v>
    <v>95.94</v>
    <v>1771520000</v>
    <v>DIS</v>
    <v>THE WALT DISNEY COMPANY (XNYS:DIS)</v>
    <v>2066862</v>
    <v>11508978</v>
    <v>2018</v>
  </rv>
  <rv s="2">
    <v>1503</v>
  </rv>
  <rv s="3">
    <v>5</v>
    <v>Nextpower Inc. (XNAS:NXT)</v>
    <v>6</v>
    <v>3</v>
    <v>Finance</v>
    <v>4</v>
    <v>en-US</v>
    <v>c8ssgh</v>
    <v>268435456</v>
    <v>1</v>
    <v>Powered by Refinitiv</v>
    <v>131.58500000000001</v>
    <v>36.06</v>
    <v>1.456</v>
    <v>3.14</v>
    <v>2.5148E-2</v>
    <v>USD</v>
    <v>Nextpower Inc., formerly Nextracker Inc., designs, engineers, and delivers an advanced energy technology platform for solar power plants. Its integrated solutions are designed to streamline project execution, increase energy yield and long-term reliability. The Company's products and services include trackers, foundations, eBOS, software, controls, and module mounting. Its services include design, deploy, and operate. Its design services include site evaluations, design and engineering, and training programs. Its deploying services include efficient commissioning, fully equipped, and fast-tracked scheduling. Its operating services engaged in the monitor, manage, and mitigating risk with tools and tech.</v>
    <v>1300</v>
    <v>Nasdaq Stock Market</v>
    <v>XNAS</v>
    <v>XNAS</v>
    <v>6200 Paseo Padre Parkway, FREMONT, CA, 94555 US</v>
    <v>128.74</v>
    <v>Renewable Energy</v>
    <v>Stock</v>
    <v>46106.612721296093</v>
    <v>125.64</v>
    <v>19004902400</v>
    <v>Nextpower Inc.</v>
    <v>Nextpower Inc.</v>
    <v>126.38</v>
    <v>32.712299999999999</v>
    <v>124.86</v>
    <v>128</v>
    <v>148475800</v>
    <v>NXT</v>
    <v>Nextpower Inc. (XNAS:NXT)</v>
    <v>244691</v>
    <v>1876558</v>
    <v>2022</v>
  </rv>
  <rv s="2">
    <v>1505</v>
  </rv>
  <rv s="0">
    <v>https://www.bing.com/financeapi/forcetrigger?t=a24fbh&amp;q=XNAS%3aTPIC&amp;form=skydnc</v>
    <v>Learn more on Bing</v>
  </rv>
  <rv s="1">
    <v>0</v>
    <v>TPI COMPOSITES, INC. (OTCM:TPICQ)</v>
    <v>2</v>
    <v>3</v>
    <v>Finance</v>
    <v>43</v>
    <v>en-US</v>
    <v>a24fbh</v>
    <v>268435456</v>
    <v>1</v>
    <v>Powered by Refinitiv</v>
    <v>1.39</v>
    <v>5.1999999999999998E-3</v>
    <v>1.9957</v>
    <v>-4.0000000000000002E-4</v>
    <v>-4.7618999999999995E-2</v>
    <v>USD</v>
    <v>TPI Composites, Inc. is a manufacturer of composite wind blades for the wind energy market. The Company’s geographic segments include the United States, Mexico, Europe, the Middle East and Africa, and India. It enables wind turbine original equipment manufacturers (OEM) to outsource the manufacturing of a portion of their wind blades through its global footprint of advanced manufacturing facilities strategically located to serve wind markets. It also provides field service inspection and repair services to its OEM customers and wind farm owners and operators. Its field service inspection and repair services include diagnostic, repair and maintenance service offerings for wind blades that have been installed on wind turbines located at wind farms. It has produced precision molding and assembly systems, ranging from 30 meters to over 80 meters in length, to support its global operations. Its tooling solutions include precision wind blade patterns, precision molding and assembly systems.</v>
    <v>11700</v>
    <v>OTC Markets</v>
    <v>OTCM</v>
    <v>OTCM</v>
    <v>8501 N Scottsdale Road, Gainey Center Ii, Suite 100, SCOTTSDALE, AZ, 85253 US</v>
    <v>8.0000000000000002E-3</v>
    <v>Renewable Energy</v>
    <v>Stock</v>
    <v>46106.565779791403</v>
    <v>1507</v>
    <v>8.0000000000000002E-3</v>
    <v>389842</v>
    <v>TPI COMPOSITES, INC.</v>
    <v>TPI COMPOSITES, INC.</v>
    <v>8.0000000000000002E-3</v>
    <v>0</v>
    <v>8.3999999999999995E-3</v>
    <v>8.0000000000000002E-3</v>
    <v>48730270</v>
    <v>TPICQ</v>
    <v>TPI COMPOSITES, INC. (OTCM:TPICQ)</v>
    <v>10107</v>
    <v>33074015</v>
    <v>2004</v>
  </rv>
  <rv s="2">
    <v>1508</v>
  </rv>
  <rv s="0">
    <v>https://www.bing.com/financeapi/forcetrigger?t=a1r6qh&amp;q=XNAS%3aDMRC&amp;form=skydnc</v>
    <v>Learn more on Bing</v>
  </rv>
  <rv s="1">
    <v>0</v>
    <v>DIGIMARC CORPORATION (XNAS:DMRC)</v>
    <v>2</v>
    <v>3</v>
    <v>Finance</v>
    <v>4</v>
    <v>en-US</v>
    <v>a1r6qh</v>
    <v>268435456</v>
    <v>1</v>
    <v>Powered by Refinitiv</v>
    <v>15.175000000000001</v>
    <v>4.07</v>
    <v>1.7077</v>
    <v>0.3</v>
    <v>6.8807000000000007E-2</v>
    <v>USD</v>
    <v>Digimarc Corporation is engaged in providing digital watermarking technologies. The Company offers a Digimarc Illuminate Platform, which is a software-as-a-service (SaaS) cloud-based platform for digital connectivity that provides the tools for the application of advanced digital watermarks and quick response (QR) codes, software (digital twins) that enables various systems and devices to interact with those data carriers, and a centralized platform for capturing insights about digital interactions and automating activities based on that information. The Digimarc product suite is built on top of the Digimarc Illuminate platform and addresses specific business needs in areas, such as automation, authenticity, sustainability, and customer trust and connectivity. The Company operates under a single segment: product digitization solutions. Its products provide various benefits, including Digimarc Automate, Digimarc Engage, Digimarc Recycle, Digimarc Retail Experience and Digimarc Validate.</v>
    <v>110</v>
    <v>Nasdaq Stock Market</v>
    <v>XNAS</v>
    <v>XNAS</v>
    <v>8500 Sw Creekside Place, BEAVERTON, OR, 97008 US</v>
    <v>4.74</v>
    <v>Software &amp; IT Services</v>
    <v>Stock</v>
    <v>46106.612356457816</v>
    <v>1510</v>
    <v>4.4000000000000004</v>
    <v>102954731</v>
    <v>DIGIMARC CORPORATION</v>
    <v>DIGIMARC CORPORATION</v>
    <v>4.4400000000000004</v>
    <v>0</v>
    <v>4.3600000000000003</v>
    <v>4.66</v>
    <v>22093290</v>
    <v>DMRC</v>
    <v>DIGIMARC CORPORATION (XNAS:DMRC)</v>
    <v>68956</v>
    <v>288964</v>
    <v>2010</v>
  </rv>
  <rv s="2">
    <v>1511</v>
  </rv>
  <rv s="0">
    <v>https://www.bing.com/financeapi/forcetrigger?t=bwvf4c&amp;q=XNAS%3aSBTX&amp;form=skydnc</v>
    <v>Learn more on Bing</v>
  </rv>
  <rv s="1">
    <v>0</v>
    <v>ARS PHARMACEUTICALS, INC. (XNAS:SPRY)</v>
    <v>2</v>
    <v>3</v>
    <v>Finance</v>
    <v>4</v>
    <v>en-US</v>
    <v>bwvf4c</v>
    <v>268435456</v>
    <v>1</v>
    <v>Powered by Refinitiv</v>
    <v>18.899999999999999</v>
    <v>6.66</v>
    <v>0.87929999999999997</v>
    <v>0.48</v>
    <v>6.3659999999999994E-2</v>
    <v>USD</v>
    <v>ARS Pharmaceuticals, Inc. is a biopharmaceutical company. The Company is focused on the commercialization and development of neffy for the needle-free intranasal delivery of epinephrine for the emergency treatment of Type I allergic reactions, including anaphylaxis. neffy is a proprietary composition of epinephrine with an innovative absorption enhancer called Intravail, which allows neffy to safely provide intranasal delivery of epinephrine at a low dose within the exposures of approved injectable products across a range of dosing conditions. Type I allergic reactions are potentially life-threatening hypersensitivity reactions that can occur within minutes of exposure to an allergen and need to be treated immediately to relieve symptoms and prevent further progression.</v>
    <v>158</v>
    <v>Nasdaq Stock Market</v>
    <v>XNAS</v>
    <v>XNAS</v>
    <v>11682 El Camino Real, Suite 300, SAN DIEGO, CA, 92130 US</v>
    <v>8.1750000000000007</v>
    <v>Biotechnology &amp; Medical Research</v>
    <v>Stock</v>
    <v>46106.6127289</v>
    <v>1513</v>
    <v>7.61</v>
    <v>796364426</v>
    <v>ARS PHARMACEUTICALS, INC.</v>
    <v>ARS PHARMACEUTICALS, INC.</v>
    <v>7.74</v>
    <v>0</v>
    <v>7.54</v>
    <v>8.02</v>
    <v>99297310</v>
    <v>SPRY</v>
    <v>ARS PHARMACEUTICALS, INC. (XNAS:SPRY)</v>
    <v>370193</v>
    <v>1298699</v>
    <v>2016</v>
  </rv>
  <rv s="2">
    <v>1514</v>
  </rv>
  <rv s="0">
    <v>https://www.bing.com/financeapi/forcetrigger?t=a1uqbh&amp;q=XNAS%3aHLIT&amp;form=skydnc</v>
    <v>Learn more on Bing</v>
  </rv>
  <rv s="1">
    <v>0</v>
    <v>HARMONIC INC. (XNAS:HLIT)</v>
    <v>2</v>
    <v>3</v>
    <v>Finance</v>
    <v>4</v>
    <v>en-US</v>
    <v>a1uqbh</v>
    <v>268435456</v>
    <v>1</v>
    <v>Powered by Refinitiv</v>
    <v>12.18</v>
    <v>7.8</v>
    <v>1.0831</v>
    <v>0.26</v>
    <v>2.7896999999999998E-2</v>
    <v>USD</v>
    <v>Harmonic Inc. provider of broadband access solutions that enable broadband operators to deploy internet for data, voice and video services for customers. Its broadband business provides broadband access solutions and related services, including content optimization system (cOS) software-based broadband access solution, to broadband operators. Its cOS software-based broadband access solution is an end-to-end solution consisting of virtualized cloud-native software elements that orchestrate and connect with Harmonic and third-party indoor and outdoor hardware devices. Its solutions include software-based broadband access solutions, technical support and professional services. It offers hardware products which include Oyster, Ripple and SeaStar DAA nodes; Reef and Wave PHY shelf products; Pebble Remote PHY Devices (RPDs); and Fin, Pearl and Pier OLT modules and devices. It also provides maintenance and support services to customers.</v>
    <v>534</v>
    <v>Nasdaq Stock Market</v>
    <v>XNAS</v>
    <v>XNAS</v>
    <v>2590 Orchard Parkway, SAN JOSE, CA, 95131 US</v>
    <v>9.59</v>
    <v>Communications &amp; Networking</v>
    <v>Stock</v>
    <v>46106.612736318748</v>
    <v>1516</v>
    <v>9.3800000000000008</v>
    <v>1056122192</v>
    <v>HARMONIC INC.</v>
    <v>HARMONIC INC.</v>
    <v>9.4600000000000009</v>
    <v>1197.5</v>
    <v>9.32</v>
    <v>9.58</v>
    <v>110242400</v>
    <v>HLIT</v>
    <v>HARMONIC INC. (XNAS:HLIT)</v>
    <v>73651</v>
    <v>1328024</v>
    <v>1995</v>
  </rv>
  <rv s="2">
    <v>1517</v>
  </rv>
  <rv s="3">
    <v>5</v>
    <v>FORTREA HOLDINGS INC. (XNAS:FTRE)</v>
    <v>6</v>
    <v>3</v>
    <v>Finance</v>
    <v>4</v>
    <v>en-US</v>
    <v>ca29zr</v>
    <v>268435456</v>
    <v>1</v>
    <v>Powered by Refinitiv</v>
    <v>18.670000000000002</v>
    <v>3.97</v>
    <v>1.7370000000000001</v>
    <v>0.15</v>
    <v>1.5658000000000002E-2</v>
    <v>USD</v>
    <v>Fortrea Holdings Inc. is a global contract research organization (CRO), which provides clinical development solutions to the life sciences industry. The Company is engaged in providing biopharmaceutical product and medical device development services to pharmaceutical, biotechnology and medical device customers. The Company offers customers flexible delivery models that include full service, functional service provider, and hybrid service structures. It provides phase I-IV clinical trial management, clinical pharmacology and consulting services. The Company manages its business through a single segment, Clinical Services, that provides services across the clinical pharmacology and clinical development spectrum. The Company has access to all key markets worldwide through a footprint of primary office locations in five countries (the United States, the United Kingdom, China, India and Singapore) with field operations in other jurisdictions worldwide.</v>
    <v>14300</v>
    <v>Nasdaq Stock Market</v>
    <v>XNAS</v>
    <v>XNAS</v>
    <v>8 Moore Drive, DURHAM, NC, 27709 US</v>
    <v>9.92</v>
    <v>Biotechnology &amp; Medical Research</v>
    <v>Stock</v>
    <v>46106.61262626094</v>
    <v>9.6950000000000003</v>
    <v>909755000</v>
    <v>FORTREA HOLDINGS INC.</v>
    <v>FORTREA HOLDINGS INC.</v>
    <v>9.76</v>
    <v>0</v>
    <v>9.58</v>
    <v>9.73</v>
    <v>93500000</v>
    <v>FTRE</v>
    <v>FORTREA HOLDINGS INC. (XNAS:FTRE)</v>
    <v>90483</v>
    <v>1862561</v>
    <v>2023</v>
  </rv>
  <rv s="2">
    <v>1519</v>
  </rv>
  <rv s="0">
    <v>https://www.bing.com/financeapi/forcetrigger?t=a1na6h&amp;q=XNAS%3aALGN&amp;form=skydnc</v>
    <v>Learn more on Bing</v>
  </rv>
  <rv s="1">
    <v>0</v>
    <v>ALIGN TECHNOLOGY, INC. (XNAS:ALGN)</v>
    <v>2</v>
    <v>3</v>
    <v>Finance</v>
    <v>4</v>
    <v>en-US</v>
    <v>a1na6h</v>
    <v>268435456</v>
    <v>1</v>
    <v>Powered by Refinitiv</v>
    <v>208.30500000000001</v>
    <v>122</v>
    <v>1.7954000000000001</v>
    <v>0.875</v>
    <v>4.8789999999999997E-3</v>
    <v>USD</v>
    <v>Align Technology, Inc. is a global medical device company that designs, manufactures, and sells the Invisalign system of clear aligners, iTero intraoral scanners, and exocad computer-aided design and computer-aided manufacturing (CAD/CAM) software for digital orthodontics and restorative dentistry. The Company provides Align Digital Platform. Its segments include Clear Aligner, and Imaging Systems and CAD/CAM Services (Systems and Services). The Clear Aligner segment consists of comprehensive products, non-comprehensive products and non-case products. Its comprehensive products include Invisalign Comprehensive and Invisalign First. The Company's non-case products include retention products, Invisalign training and adjusting tools. It offers up to four sets of custom clear aligners called Vivera retainers. The Systems and Services segment consists of its iTero intraoral scanning systems. Its services include subscription software, disposables, rentals, leases and pay per scan services.</v>
    <v>20290</v>
    <v>Nasdaq Stock Market</v>
    <v>XNAS</v>
    <v>XNAS</v>
    <v>410 North Scottsdale Road, Suite 1300, TEMPE, AZ, 85288 US</v>
    <v>183.34</v>
    <v>Healthcare Equipment &amp; Supplies</v>
    <v>Stock</v>
    <v>46106.612714432813</v>
    <v>1521</v>
    <v>179.38</v>
    <v>12846109057</v>
    <v>ALIGN TECHNOLOGY, INC.</v>
    <v>ALIGN TECHNOLOGY, INC.</v>
    <v>180.78</v>
    <v>31.847999999999999</v>
    <v>179.34</v>
    <v>180.215</v>
    <v>71282130</v>
    <v>ALGN</v>
    <v>ALIGN TECHNOLOGY, INC. (XNAS:ALGN)</v>
    <v>106371</v>
    <v>1394361</v>
    <v>1997</v>
  </rv>
  <rv s="2">
    <v>1522</v>
  </rv>
  <rv s="3">
    <v>5</v>
    <v>ARM HOLDINGS PLC (XNAS:ARM)</v>
    <v>6</v>
    <v>3</v>
    <v>Finance</v>
    <v>4</v>
    <v>en-US</v>
    <v>cau7bh</v>
    <v>268435456</v>
    <v>1</v>
    <v>Powered by Refinitiv</v>
    <v>183.16</v>
    <v>80</v>
    <v>1.7949999999999999</v>
    <v>22.89</v>
    <v>0.16960600000000001</v>
    <v>USD</v>
    <v>Arm Holdings plc is engaged in operating a global computing platform. It architects, develops, and licenses high-performance and energy-efficient Arm compute platforms. The Company’s principal operations and activities are the licensing, marketing, research and development of central processing unit (CPU) design intellectual property (IP), graphics processors, system IP, market optimized platform IP, and associated software, tools and other related services. Its complementary products include GPU and NPU accelerators, interconnect, and others. Its primary product offerings are CPU products that address diverse performance, power, and cost requirements. It offers a family of GPU and NPU products providing efficient computing acceleration and an optimal visual experience across a wide range of devices. Its CPU, GPU, and System IP products integrated into a foundational compute platform optimized for a specific end market.</v>
    <v>8330</v>
    <v>Nasdaq Stock Market</v>
    <v>XNAS</v>
    <v>XNAS</v>
    <v>110 Fulbourn Road, CAMBRIDGE, CAMBRIDGESHIRE, CB1 9NJ GB</v>
    <v>158.19999999999999</v>
    <v>Semiconductors &amp; Semiconductor Equipment</v>
    <v>Stock</v>
    <v>46106.61274290469</v>
    <v>148.25</v>
    <v>167636700000</v>
    <v>ARM HOLDINGS PLC</v>
    <v>ARM HOLDINGS PLC</v>
    <v>148.37</v>
    <v>210.38249999999999</v>
    <v>134.96</v>
    <v>157.85</v>
    <v>1062000000</v>
    <v>ARM</v>
    <v>ARM HOLDINGS PLC (XNAS:ARM)</v>
    <v>12160195</v>
    <v>4641590</v>
    <v>2018</v>
  </rv>
  <rv s="2">
    <v>1524</v>
  </rv>
  <rv s="0">
    <v>https://www.bing.com/financeapi/forcetrigger?t=a1t8w7&amp;q=XNAS%3aFORM&amp;form=skydnc</v>
    <v>Learn more on Bing</v>
  </rv>
  <rv s="1">
    <v>0</v>
    <v>FORMFACTOR, INC. (XNAS:FORM)</v>
    <v>2</v>
    <v>3</v>
    <v>Finance</v>
    <v>4</v>
    <v>en-US</v>
    <v>a1t8w7</v>
    <v>268435456</v>
    <v>1</v>
    <v>Powered by Refinitiv</v>
    <v>110.09</v>
    <v>22.58</v>
    <v>0.99760000000000004</v>
    <v>4.3600000000000003</v>
    <v>4.1314999999999998E-2</v>
    <v>USD</v>
    <v>FormFactor, Inc. is a provider of essential test and measurement technologies along the full semiconductor product lifecycle, from characterization, modeling, reliability, and design de-bug to qualification and production test. The Company provides a range of high-performance probe cards, analytical probes, probe stations, thermal systems, and cryogenic systems to both semiconductor companies and scientific institutions. Its products provide electrical and optical information from a variety of semiconductor and electro-optical devices and integrated circuits from early research, through development, to high-volume production. It operates in two segments: Probe Cards and the Systems. The Probe Cards segment includes sales of its probe cards and analytical probes. The Systems segment includes sales of its probe stations, thermal systems and cryogenic systems. It also offers optical probing technology for silicon photonics (SiPh) and co-packaged optics (CPO) wafer testing.</v>
    <v>2153</v>
    <v>Nasdaq Stock Market</v>
    <v>XNAS</v>
    <v>XNAS</v>
    <v>7005 Southfront Rd, LIVERMORE, CA, 94551 US</v>
    <v>110.09</v>
    <v>Semiconductors &amp; Semiconductor Equipment</v>
    <v>Stock</v>
    <v>46106.612711608592</v>
    <v>1526</v>
    <v>103.65009999999999</v>
    <v>8562403525</v>
    <v>FORMFACTOR, INC.</v>
    <v>FORMFACTOR, INC.</v>
    <v>107.62</v>
    <v>159.1917</v>
    <v>105.53</v>
    <v>109.89</v>
    <v>77917950</v>
    <v>FORM</v>
    <v>FORMFACTOR, INC. (XNAS:FORM)</v>
    <v>659292</v>
    <v>1361340</v>
    <v>1993</v>
  </rv>
  <rv s="2">
    <v>1527</v>
  </rv>
  <rv s="0">
    <v>https://www.bing.com/financeapi/forcetrigger?t=a2286h&amp;q=XNAS%3aRPD&amp;form=skydnc</v>
    <v>Learn more on Bing</v>
  </rv>
  <rv s="1">
    <v>0</v>
    <v>RAPID7, INC. (XNAS:RPD)</v>
    <v>2</v>
    <v>3</v>
    <v>Finance</v>
    <v>4</v>
    <v>en-US</v>
    <v>a2286h</v>
    <v>268435456</v>
    <v>1</v>
    <v>Powered by Refinitiv</v>
    <v>29.92</v>
    <v>5.7</v>
    <v>0.89070000000000005</v>
    <v>0.05</v>
    <v>8.7570000000000009E-3</v>
    <v>USD</v>
    <v>Rapid7, Inc. is a global cybersecurity software and services provider. The Company has the expertise of the security operations center across information security, cloud operations, development, and information technology teams, enabling them to understand the attacker and leverage that information to take control of their fragmented attack surface. Its Command Platform is a threat exposure, detection and response platform that allows SecOps teams to integrate their critical security data by providing a unified view of vulnerabilities, exposures, and threats from endpoint to cloud to close security gaps and prevent attacks. Its offerings are consumed via its platform and delivered as either software-as-a-service solutions, managed services or professional services, which include Managed Threat Complete, Threat Complete, InsightIDR, Exposure Command, Surface Command, Vector Command, InsightCloudSec, InsightVM, InsightAppSec, Managed VM, Managed AppSec and Penetration Testing, others.</v>
    <v>2613</v>
    <v>Nasdaq Stock Market</v>
    <v>XNAS</v>
    <v>XNAS</v>
    <v>120 Causeway Street, BOSTON, MA, 02114 US</v>
    <v>5.88</v>
    <v>Software &amp; IT Services</v>
    <v>Stock</v>
    <v>46106.612730173438</v>
    <v>1529</v>
    <v>5.75</v>
    <v>379544313</v>
    <v>RAPID7, INC.</v>
    <v>RAPID7, INC.</v>
    <v>5.75</v>
    <v>16.017800000000001</v>
    <v>5.71</v>
    <v>5.76</v>
    <v>65893110</v>
    <v>RPD</v>
    <v>RAPID7, INC. (XNAS:RPD)</v>
    <v>193700</v>
    <v>2350300</v>
    <v>2011</v>
  </rv>
  <rv s="2">
    <v>1530</v>
  </rv>
  <rv s="0">
    <v>https://www.bing.com/financeapi/forcetrigger?t=c3m9kr&amp;q=XNAS%3aPTLO&amp;form=skydnc</v>
    <v>Learn more on Bing</v>
  </rv>
  <rv s="1">
    <v>0</v>
    <v>Portillos Inc (XNAS:PTLO)</v>
    <v>2</v>
    <v>3</v>
    <v>Finance</v>
    <v>4</v>
    <v>en-US</v>
    <v>c3m9kr</v>
    <v>268435456</v>
    <v>1</v>
    <v>Powered by Refinitiv</v>
    <v>13.55</v>
    <v>4.41</v>
    <v>1.6943999999999999</v>
    <v>6.5000000000000002E-2</v>
    <v>1.2218E-2</v>
    <v>USD</v>
    <v>Portillo's Inc. owns and operates fast-casual restaurants in the United States, along with two food production commissaries in Illinois. The Company serves Chicago Street food in multichannel restaurants. The Company's diverse menu features all-American favorites such as Chicago-style hot dogs and sausages, Italian beef sandwiches, char-grilled burgers, chopped salads, crinkle-cut fries, homemade chocolate cake and signature chocolate cake shake. The Company accommodates a variety of access modes including dine-in, carryout, delivery and catering to quickly and efficiently serve its guests. It owns and operates 94 restaurants across 10 states, including a restaurant owned by C&amp;O Chicago, L.L.C. The Company also operates in non-traditional locations, which includes a food truck and a ghost kitchen in Chicago (small kitchen with no store-front presence, used to fill online orders).</v>
    <v>7890</v>
    <v>Nasdaq Stock Market</v>
    <v>XNAS</v>
    <v>XNAS</v>
    <v>C/O The Portillo Restaurant Group, 2001 Spring Road, Suite 400, OAK BROOK, IL, 60523-1903 US</v>
    <v>5.4349999999999996</v>
    <v>Hotels &amp; Entertainment Services</v>
    <v>Stock</v>
    <v>46106.612731284375</v>
    <v>1532</v>
    <v>5.335</v>
    <v>406610526</v>
    <v>Portillos Inc</v>
    <v>Portillos Inc</v>
    <v>5.37</v>
    <v>19.674800000000001</v>
    <v>5.32</v>
    <v>5.3849999999999998</v>
    <v>75507990</v>
    <v>PTLO</v>
    <v>Portillos Inc (XNAS:PTLO)</v>
    <v>179191</v>
    <v>1482393</v>
    <v>2021</v>
  </rv>
  <rv s="2">
    <v>1533</v>
  </rv>
  <rv s="0">
    <v>https://www.bing.com/financeapi/forcetrigger?t=c62ogh&amp;q=XNAS%3aSOUN&amp;form=skydnc</v>
    <v>Learn more on Bing</v>
  </rv>
  <rv s="1">
    <v>0</v>
    <v>SOUNDHOUND AI, INC. (XNAS:SOUN)</v>
    <v>2</v>
    <v>3</v>
    <v>Finance</v>
    <v>4</v>
    <v>en-US</v>
    <v>c62ogh</v>
    <v>268435456</v>
    <v>1</v>
    <v>Powered by Refinitiv</v>
    <v>22.17</v>
    <v>6.36</v>
    <v>3.0072999999999999</v>
    <v>0.16500000000000001</v>
    <v>2.5943000000000001E-2</v>
    <v>USD</v>
    <v>SoundHound AI, Inc. is engaged in conversational intelligence, offering voice and conversational artificial intelligence (AI) solutions that let businesses offer experiences to their customers. Through its proprietary technology, its voice AI delivers speed and accuracy in numerous languages to product creators and service providers across retail, financial services, healthcare, automotive, smart devices, and restaurants via AI-driven products, such as Smart Answering, Smart Ordering, Dynamic Drive Thru, and Amelia AI Agents. Along with SoundHound Chat AI, a voice assistant with integrated Generative AI, it powers various products and services, and processes billions of interactions each year for businesses. Its developer platform, Houndify, is an open-access platform that allows developers to leverage its Voice AI technology and a library of over 100 content domains, including commonly used domains for points of interest, weather, flight status, sports and more.</v>
    <v>954</v>
    <v>Nasdaq Stock Market</v>
    <v>XNAS</v>
    <v>XNAS</v>
    <v>5400 Betsy Ross Drive, SANTA CLARA, CA, 95054 US</v>
    <v>6.65</v>
    <v>Software &amp; IT Services</v>
    <v>Stock</v>
    <v>46106.612745289065</v>
    <v>1535</v>
    <v>6.5149999999999997</v>
    <v>2758862655</v>
    <v>SOUNDHOUND AI, INC.</v>
    <v>SOUNDHOUND AI, INC.</v>
    <v>6.56</v>
    <v>0</v>
    <v>6.36</v>
    <v>6.5250000000000004</v>
    <v>422814200</v>
    <v>SOUN</v>
    <v>SOUNDHOUND AI, INC. (XNAS:SOUN)</v>
    <v>6160528</v>
    <v>28199964</v>
    <v>2020</v>
  </rv>
  <rv s="2">
    <v>1536</v>
  </rv>
  <rv s="0">
    <v>https://www.bing.com/financeapi/forcetrigger?t=a1y41h&amp;q=XNAS%3aMTSI&amp;form=skydnc</v>
    <v>Learn more on Bing</v>
  </rv>
  <rv s="1">
    <v>0</v>
    <v>MACOM TECHNOLOGY SOLUTIONS HOLDINGS, INC. (XNAS:MTSI)</v>
    <v>2</v>
    <v>3</v>
    <v>Finance</v>
    <v>4</v>
    <v>en-US</v>
    <v>a1y41h</v>
    <v>268435456</v>
    <v>1</v>
    <v>Powered by Refinitiv</v>
    <v>258.98</v>
    <v>84</v>
    <v>1.4523999999999999</v>
    <v>7.1749999999999998</v>
    <v>3.0245000000000001E-2</v>
    <v>USD</v>
    <v>MACOM Technology Solutions Holdings, Inc. designs and manufactures high-performance semiconductor products for the industrial and defense, data center and telecommunications industries. It services over 6,000 customers annually with a product portfolio that incorporates radio frequency (RF), microwave, analog and mixed signal and optical semiconductor technologies. The Company is specialized in application, analog and mixed signal circuit design, compound semiconductor fabrication (including gallium arsenide (GaAs), gallium nitride (GaN), indium phosphide (InP) and specialized silicon), advanced packaging and back-end assembly and test. It offers a broad portfolio of standard and custom devices, which include integrated circuits (IC), multi-chip modules (MCM), diodes, amplifiers, switches and switch limiters, passive and active components and RF and optical subsystems. Its products are electronic components that its customers generally incorporate into larger electronic systems.</v>
    <v>2000</v>
    <v>Nasdaq Stock Market</v>
    <v>XNAS</v>
    <v>XNAS</v>
    <v>100 Chelmsford St, LOWELL, MA, 01851-2620 US</v>
    <v>245.27</v>
    <v>Semiconductors &amp; Semiconductor Equipment</v>
    <v>Stock</v>
    <v>46106.612691318747</v>
    <v>1538</v>
    <v>235.33</v>
    <v>18333300527</v>
    <v>MACOM TECHNOLOGY SOLUTIONS HOLDINGS, INC.</v>
    <v>MACOM TECHNOLOGY SOLUTIONS HOLDINGS, INC.</v>
    <v>238.59</v>
    <v>114.1386</v>
    <v>237.23</v>
    <v>244.405</v>
    <v>75011970</v>
    <v>MTSI</v>
    <v>MACOM TECHNOLOGY SOLUTIONS HOLDINGS, INC. (XNAS:MTSI)</v>
    <v>174996</v>
    <v>1176157</v>
    <v>2009</v>
  </rv>
  <rv s="2">
    <v>1539</v>
  </rv>
  <rv s="0">
    <v>https://www.bing.com/financeapi/forcetrigger?t=a1zyhw&amp;q=XNYS%3aPLOW&amp;form=skydnc</v>
    <v>Learn more on Bing</v>
  </rv>
  <rv s="1">
    <v>0</v>
    <v>DOUGLAS DYNAMICS, INC. (XNYS:PLOW)</v>
    <v>2</v>
    <v>3</v>
    <v>Finance</v>
    <v>4</v>
    <v>en-US</v>
    <v>a1zyhw</v>
    <v>268435456</v>
    <v>1</v>
    <v>Powered by Refinitiv</v>
    <v>47.16</v>
    <v>21.3</v>
    <v>1.2413000000000001</v>
    <v>0.51</v>
    <v>1.1949000000000001E-2</v>
    <v>USD</v>
    <v>Douglas Dynamics, Inc. is a manufacturer and upfitter of commercial work truck attachments and equipment. The Company operates through two segments: Work Truck Attachments and Work Truck Solutions. The Work Truck Attachments segment is engaged in manufacturing and selling snow and ice control attachments and other products sold under the FISHER, SNOWEX and WESTERN brands, as well as its vertically integrated products. It offers a range of product lines of snowplows and sand and salt spreaders for light trucks. The Work Truck Solutions segment is engaged in manufacturing municipal snow and ice control products under the HENDERSON brand and the upfit of attachments and storage solutions under the HENDERSON brand, and the DEJANA brand and its related sub-brands. Work Truck Solutions products consist of truck and vehicle upfits where it attaches component pieces of equipment, truck bodies, racking, and storage solutions, and which are typically used by end-users for work related purposes.</v>
    <v>1764</v>
    <v>New York Stock Exchange</v>
    <v>XNYS</v>
    <v>XNYS</v>
    <v>11270 W. Park Place Suite 300, MILWAUKEE, WI, 53224 US</v>
    <v>43.37</v>
    <v>Machinery, Equipment &amp; Components</v>
    <v>Stock</v>
    <v>46106.612630346877</v>
    <v>1541</v>
    <v>42.5901</v>
    <v>997032943</v>
    <v>DOUGLAS DYNAMICS, INC.</v>
    <v>DOUGLAS DYNAMICS, INC.</v>
    <v>43.37</v>
    <v>21.977399999999999</v>
    <v>42.68</v>
    <v>43.19</v>
    <v>23084810</v>
    <v>PLOW</v>
    <v>DOUGLAS DYNAMICS, INC. (XNYS:PLOW)</v>
    <v>18298</v>
    <v>280636</v>
    <v>2004</v>
  </rv>
  <rv s="2">
    <v>1542</v>
  </rv>
  <rv s="0">
    <v>https://www.bing.com/financeapi/forcetrigger?t=a238a2&amp;q=XNAS%3aSNDX&amp;form=skydnc</v>
    <v>Learn more on Bing</v>
  </rv>
  <rv s="1">
    <v>0</v>
    <v>SYNDAX PHARMACEUTICALS, INC. (XNAS:SNDX)</v>
    <v>2</v>
    <v>3</v>
    <v>Finance</v>
    <v>4</v>
    <v>en-US</v>
    <v>a238a2</v>
    <v>268435456</v>
    <v>1</v>
    <v>Powered by Refinitiv</v>
    <v>25.59</v>
    <v>8.58</v>
    <v>0.39639999999999997</v>
    <v>1.07</v>
    <v>4.4546000000000002E-2</v>
    <v>USD</v>
    <v>Syndax Pharmaceuticals, Inc. is a commercial-stage biopharmaceutical company. It is focused on developing a pipeline of cancer therapies. Its product candidates include Revuforj and Niktimvo. It is developing Revuforj, a potent, selective, small molecule inhibitor of the menin-MLL binding interaction for the treatment of KMT2A rearranged also known as mixed lineage leukemia rearranged, acute leukemias including acute lymphoblastic leukemia and acute myeloid leukemia (AML), and necleophosmin 1, also known as NPM1, mutant AML. It is also exploring the use of Revuforj as a treatment in solid tumors, specifically its activity in metastatic colorectal cancer. It is also developing Niktimvo, a monoclonal antibody that blocks the colony stimulating factor 1 receptor (CSF-1R) in chronic graft-versus-host disease (cGVHD), as well as idiopathic pulmonary fibrosis. Entinostat is its oral, small molecule product candidate that has direct effects on both cancer cells and immune regulatory cells.</v>
    <v>298</v>
    <v>Nasdaq Stock Market</v>
    <v>XNAS</v>
    <v>XNAS</v>
    <v>730 Third Avenue, 9Th Floor, NEW YORK, NY, 10017 US</v>
    <v>25.59</v>
    <v>Biotechnology &amp; Medical Research</v>
    <v>Stock</v>
    <v>46106.612677638281</v>
    <v>1544</v>
    <v>24.4</v>
    <v>2212953054</v>
    <v>SYNDAX PHARMACEUTICALS, INC.</v>
    <v>SYNDAX PHARMACEUTICALS, INC.</v>
    <v>24.49</v>
    <v>0</v>
    <v>24.02</v>
    <v>25.09</v>
    <v>88200600</v>
    <v>SNDX</v>
    <v>SYNDAX PHARMACEUTICALS, INC. (XNAS:SNDX)</v>
    <v>735044</v>
    <v>1418333</v>
    <v>2005</v>
  </rv>
  <rv s="2">
    <v>1545</v>
  </rv>
  <rv s="0">
    <v>https://www.bing.com/financeapi/forcetrigger?t=a2nk77&amp;q=XNAS%3aLWLG&amp;form=skydnc</v>
    <v>Learn more on Bing</v>
  </rv>
  <rv s="1">
    <v>0</v>
    <v>LIGHTWAVE LOGIC, INC. (XNAS:LWLG)</v>
    <v>2</v>
    <v>3</v>
    <v>Finance</v>
    <v>4</v>
    <v>en-US</v>
    <v>a2nk77</v>
    <v>268435456</v>
    <v>1</v>
    <v>Powered by Refinitiv</v>
    <v>8.7899999999999991</v>
    <v>0.79010000000000002</v>
    <v>2.7597</v>
    <v>1.135</v>
    <v>0.154422</v>
    <v>USD</v>
    <v>Lightwave Logic, Inc. is a technology platform company leveraging its proprietary engineered electro-optic (EO) polymers known as Perkinamine, to transmit data at higher speeds with less power in a small form factor. The Company’s organic polymers allow it to create next-generation photonic EO devices that convert data from electrical signals into light/optical signals for applications in telecommunications, and for data transmission potentially used to support generative Artificial Intelligence. It designs its own proprietary materials for electro-optical modulation devices. Electro-optical modulators convert data from electric signals into optical signals that can then be transmitted over high-speed fiber-optic cables. It is focused on testing and demonstrating the manufacturability and reliability of its devices. In polymer photonics, polymer devices such as modulators, waveguides, and multiplexers can be fabricated on to a silicon platform.</v>
    <v>34</v>
    <v>Nasdaq Stock Market</v>
    <v>XNAS</v>
    <v>XNAS</v>
    <v>369 Inverness Parkway, Suite 350, ENGLEWOOD, CO, 80112 US</v>
    <v>8.7899999999999991</v>
    <v>Electronic Equipment &amp; Parts</v>
    <v>Stock</v>
    <v>46106.612678182813</v>
    <v>1547</v>
    <v>7.45</v>
    <v>1262831883</v>
    <v>LIGHTWAVE LOGIC, INC.</v>
    <v>LIGHTWAVE LOGIC, INC.</v>
    <v>7.45</v>
    <v>0</v>
    <v>7.35</v>
    <v>8.4849999999999994</v>
    <v>148831100</v>
    <v>LWLG</v>
    <v>LIGHTWAVE LOGIC, INC. (XNAS:LWLG)</v>
    <v>4520481</v>
    <v>4964503</v>
    <v>1997</v>
  </rv>
  <rv s="2">
    <v>1548</v>
  </rv>
  <rv s="0">
    <v>https://www.bing.com/financeapi/forcetrigger?t=a1mt9c&amp;q=XNAS%3aACLS&amp;form=skydnc</v>
    <v>Learn more on Bing</v>
  </rv>
  <rv s="1">
    <v>0</v>
    <v>AXCELIS TECHNOLOGIES, INC. (XNAS:ACLS)</v>
    <v>2</v>
    <v>3</v>
    <v>Finance</v>
    <v>4</v>
    <v>en-US</v>
    <v>a1mt9c</v>
    <v>268435456</v>
    <v>1</v>
    <v>Powered by Refinitiv</v>
    <v>102.93</v>
    <v>40.4</v>
    <v>1.6521999999999999</v>
    <v>4.6314000000000002</v>
    <v>4.9067E-2</v>
    <v>USD</v>
    <v>Axcelis Technologies, Inc. provides high-productivity solutions for the semiconductor industry. The Company is focused on developing enabling process applications through the design, manufacture and complete life cycle support of ion implantation systems, one of the critical and enabling steps in the IC manufacturing process. Its ion implantation products include high current ion implant, high energy ion implant and medium current ion implant. The Company's Purion H, Purion Dragon, Purion H200, and GSD/E2 Ovation spot beam, high current systems cover all traditional high current requirements as well as those associated with emerging and future devices. Its Purion XE, EXE, and other Purion high energy systems combine its production-proven RF Linac high energy, spot beam technology with the Purion platform wafer handling system. Its medium current ion implant products include its Purion M Si and SiC medium current systems. It also offers its customers aftermarket service and support.</v>
    <v>1465</v>
    <v>Nasdaq Stock Market</v>
    <v>XNAS</v>
    <v>XNAS</v>
    <v>108 Cherry Hill Dr, BEVERLY, MA, 01915 US</v>
    <v>99.61</v>
    <v>Semiconductors &amp; Semiconductor Equipment</v>
    <v>Stock</v>
    <v>46106.612759860938</v>
    <v>1550</v>
    <v>95.265000000000001</v>
    <v>3041819572</v>
    <v>AXCELIS TECHNOLOGIES, INC.</v>
    <v>AXCELIS TECHNOLOGIES, INC.</v>
    <v>95.265000000000001</v>
    <v>26.084299999999999</v>
    <v>94.39</v>
    <v>99.0214</v>
    <v>30718810</v>
    <v>ACLS</v>
    <v>AXCELIS TECHNOLOGIES, INC. (XNAS:ACLS)</v>
    <v>213864</v>
    <v>994515</v>
    <v>1995</v>
  </rv>
  <rv s="2">
    <v>1551</v>
  </rv>
  <rv s="0">
    <v>https://www.bing.com/financeapi/forcetrigger?t=a1rzh7&amp;q=XNAS%3aENPH&amp;form=skydnc</v>
    <v>Learn more on Bing</v>
  </rv>
  <rv s="1">
    <v>0</v>
    <v>ENPHASE ENERGY, INC. (XNAS:ENPH)</v>
    <v>2</v>
    <v>3</v>
    <v>Finance</v>
    <v>4</v>
    <v>en-US</v>
    <v>a1rzh7</v>
    <v>268435456</v>
    <v>1</v>
    <v>Powered by Refinitiv</v>
    <v>64.400000000000006</v>
    <v>25.774999999999999</v>
    <v>1.347</v>
    <v>0.18</v>
    <v>4.3930000000000002E-3</v>
    <v>USD</v>
    <v>Enphase Energy, Inc. is a global energy technology company. The Company is a supplier of microinverter-based solar and battery systems that enable people to harness the sun to make, use, save, and sell their own power and control it all with a smart mobile application. It designs, develops, manufactures and sells home energy solutions that manage energy generation, energy storage, and control and communications on one intelligent platform. The Enphase Energy System brings a technology, networked approach to solar generation plus energy storage, by leveraging its design expertise across power electronics, semiconductors and cloud-based software technologies. The Enphase Energy System, powered by IQ Microinverters, IQ Batteries and other products and services, is an integrated solar, storage and energy management offering that enables self-consumption. The Company also offers a predictive software platform dedicated to simplifying the cleantech service landscape.</v>
    <v>2872</v>
    <v>Nasdaq Stock Market</v>
    <v>XNAS</v>
    <v>XNAS</v>
    <v>47281 Bayside Parkway, FREMONT, CA, 94538 US</v>
    <v>41.59</v>
    <v>Renewable Energy</v>
    <v>Stock</v>
    <v>46106.61278226797</v>
    <v>1553</v>
    <v>39.909999999999997</v>
    <v>5394715620</v>
    <v>ENPHASE ENERGY, INC.</v>
    <v>ENPHASE ENERGY, INC.</v>
    <v>40.99</v>
    <v>32.246699999999997</v>
    <v>40.97</v>
    <v>41.15</v>
    <v>131098800</v>
    <v>ENPH</v>
    <v>ENPHASE ENERGY, INC. (XNAS:ENPH)</v>
    <v>1264233</v>
    <v>5062626</v>
    <v>2006</v>
  </rv>
  <rv s="2">
    <v>1554</v>
  </rv>
  <rv s="0">
    <v>https://www.bing.com/financeapi/forcetrigger?t=bwxgur&amp;q=XNAS%3aMASS&amp;form=skydnc</v>
    <v>Learn more on Bing</v>
  </rv>
  <rv s="1">
    <v>0</v>
    <v>908 DEVICES INC. (XNAS:MASS)</v>
    <v>2</v>
    <v>3</v>
    <v>Finance</v>
    <v>4</v>
    <v>en-US</v>
    <v>bwxgur</v>
    <v>268435456</v>
    <v>1</v>
    <v>Powered by Refinitiv</v>
    <v>9.34</v>
    <v>3.55</v>
    <v>0.5222</v>
    <v>0.16</v>
    <v>2.5517999999999999E-2</v>
    <v>USD</v>
    <v>908 Devices Inc. is revolutionizing chemical analysis with its simple handheld and desktop devices, addressing life-altering applications. Its devices are used at the point-of-need to interrogate unknown and invisible materials and provide actionable answers to directly address some of the critical problems in forensics, bioprocessing, pharma/biopharma, life science research and adjacent markets. Its forensics &amp; field detection products include MX908, XplorIR, ProtectIR, ThreatID, and InterceptIR. MX908 is a handheld, battery-powered, Mass Spec device designed for the analysis of solid, liquid, vapor and aerosol materials of unknown identity. MX908 is a multi-purpose device utilized by a spectrum of user segments for a variety of forensic field applications, including chemical, explosive, priority drug and hazardous materials operations, detecting materials at the trace level. XplorIR is a handheld gas detector that can detect and quantify unknown chemicals and vapors in seconds.</v>
    <v>172</v>
    <v>Nasdaq Stock Market</v>
    <v>XNAS</v>
    <v>XNAS</v>
    <v>44 Third Avenue, BURLINGTON, MA, 01803 US</v>
    <v>6.52</v>
    <v>Healthcare Equipment &amp; Supplies</v>
    <v>Stock</v>
    <v>46106.610400046091</v>
    <v>1556</v>
    <v>6.38</v>
    <v>240353078</v>
    <v>908 DEVICES INC.</v>
    <v>908 DEVICES INC.</v>
    <v>6.39</v>
    <v>0</v>
    <v>6.27</v>
    <v>6.43</v>
    <v>37379950</v>
    <v>MASS</v>
    <v>908 DEVICES INC. (XNAS:MASS)</v>
    <v>30344</v>
    <v>290026</v>
    <v>2012</v>
  </rv>
  <rv s="2">
    <v>1557</v>
  </rv>
  <rv s="0">
    <v>https://www.bing.com/financeapi/forcetrigger?t=c2rztc&amp;q=XNAS%3aRXST&amp;form=skydnc</v>
    <v>Learn more on Bing</v>
  </rv>
  <rv s="1">
    <v>0</v>
    <v>RXSIGHT, INC. (XNAS:RXST)</v>
    <v>2</v>
    <v>3</v>
    <v>Finance</v>
    <v>4</v>
    <v>en-US</v>
    <v>c2rztc</v>
    <v>268435456</v>
    <v>1</v>
    <v>Powered by Refinitiv</v>
    <v>27.13</v>
    <v>6.02</v>
    <v>1.2001999999999999</v>
    <v>0.375</v>
    <v>5.9903999999999999E-2</v>
    <v>USD</v>
    <v>RxSight, Inc. is a commercial-stage medical technology company engaged in providing customized vision to patients following cataract surgery. Its RxSight Light Adjustable Lens system (RxSight system) is a cataract technology that enables doctors to customize and optimize visual acuity for patients after surgery. The RxSight system is composed of RxSight Light Adjustable Lens (LAL), RxSight Light Delivery Device (LDD) and related accessories. The LAL is an intraocular lens (IOL) made from the silicone-based photosensitive material that undergoes controlled changes in refractive power when exposed to specific ultraviolet (UV) light patterns generated by the LDD. Its LAL uses a silicone formulation that enables changing the mechanical and optical properties of the lens following implantation. The LDD uses software and algorithms to deliver a short UV light exposure treatment that polymerizes specific portions of the lens and allows doctors to adjust spherical and cylindrical refraction.</v>
    <v>461</v>
    <v>Nasdaq Stock Market</v>
    <v>XNAS</v>
    <v>XNAS</v>
    <v>100 COLUMBIA STREET, SUITE 120, ALISO VIEJO, CA, 92656 US</v>
    <v>6.6449999999999996</v>
    <v>Healthcare Equipment &amp; Supplies</v>
    <v>Stock</v>
    <v>46106.612723714847</v>
    <v>1559</v>
    <v>6.36</v>
    <v>273802099</v>
    <v>RXSIGHT, INC.</v>
    <v>RXSIGHT, INC.</v>
    <v>6.37</v>
    <v>0</v>
    <v>6.26</v>
    <v>6.6349999999999998</v>
    <v>41266330</v>
    <v>RXST</v>
    <v>RXSIGHT, INC. (XNAS:RXST)</v>
    <v>93487</v>
    <v>755079</v>
    <v>2016</v>
  </rv>
  <rv s="2">
    <v>1560</v>
  </rv>
  <rv s="0">
    <v>https://www.bing.com/financeapi/forcetrigger?t=a2643m&amp;q=XNAS%3aWVE&amp;form=skydnc</v>
    <v>Learn more on Bing</v>
  </rv>
  <rv s="1">
    <v>0</v>
    <v>WAVE LIFE SCIENCES LTD. (XNAS:WVE)</v>
    <v>2</v>
    <v>3</v>
    <v>Finance</v>
    <v>4</v>
    <v>en-US</v>
    <v>a2643m</v>
    <v>268435456</v>
    <v>1</v>
    <v>Powered by Refinitiv</v>
    <v>21.73</v>
    <v>5.28</v>
    <v>-1.5004</v>
    <v>0.77</v>
    <v>6.6208000000000003E-2</v>
    <v>USD</v>
    <v>Wave Life Sciences Ltd. is a biotechnology company focused on unlocking the broad potential of ribonucleic acid (RNA) medicines to transform human health. The Company’s RNA medicines platform, PRISM, combines multiple modalities, chemistry innovation and deep insights in human genetics to deliver scientific breakthroughs that treat both rare and common disorders. Its toolkit of RNA-targeting modalities includes editing, splicing, RNA interference and antisense silencing, providing Wave with unmatched capabilities for designing and sustainably delivering candidates that optimally address disease biology. The Company’s diversified pipeline includes clinical programs in alpha-1 antitrypsin deficiency, obesity, Duchenne muscular dystrophy, and Huntington’s disease, as well as several preclinical programs utilizing the Company’s broad RNA therapeutics toolkit. Its programs include WVE-006, SERPINA1 (AATD); WVE-007 (GalNAc), INHBE (Obesity); WVE-N531, Exon 53 (DMD), and WVE-003, mHTT (HD).</v>
    <v>317</v>
    <v>Nasdaq Stock Market</v>
    <v>XNAS</v>
    <v>XNAS</v>
    <v>7 Straits View, #12-00, Marina One East Tower, 018936 SG</v>
    <v>12.67</v>
    <v>Biotechnology &amp; Medical Research</v>
    <v>Stock</v>
    <v>46106.612658171092</v>
    <v>1562</v>
    <v>12.07</v>
    <v>2334360760</v>
    <v>WAVE LIFE SCIENCES LTD.</v>
    <v>WAVE LIFE SCIENCES LTD.</v>
    <v>12.18</v>
    <v>0</v>
    <v>11.63</v>
    <v>12.4</v>
    <v>188254900</v>
    <v>WVE</v>
    <v>WAVE LIFE SCIENCES LTD. (XNAS:WVE)</v>
    <v>934974</v>
    <v>2674876</v>
    <v>2012</v>
  </rv>
  <rv s="2">
    <v>1563</v>
  </rv>
  <rv s="0">
    <v>https://www.bing.com/financeapi/forcetrigger?t=bqbtfr&amp;q=XNAS%3aPSNL&amp;form=skydnc</v>
    <v>Learn more on Bing</v>
  </rv>
  <rv s="1">
    <v>0</v>
    <v>PERSONALIS, INC. (XNAS:PSNL)</v>
    <v>2</v>
    <v>3</v>
    <v>Finance</v>
    <v>4</v>
    <v>en-US</v>
    <v>bqbtfr</v>
    <v>268435456</v>
    <v>1</v>
    <v>Powered by Refinitiv</v>
    <v>11.5</v>
    <v>2.8262</v>
    <v>2.1278000000000001</v>
    <v>0.39</v>
    <v>5.0129E-2</v>
    <v>USD</v>
    <v>Personalis, Inc. is engaged in developing, marketing and selling advanced cancer genomic tests and analytics. The Company’s advanced genomic sequencing and analytics support the development of personalized cancer vaccines and other cancer immunotherapies. Its products include NeXT Personal, ImmunoI DNeXT, NeXT Personal Dx, NeXT Dx, whole exome sequencing (WES), and whole genome sequencing (WGS). NeXT Personal is a tumor-informed liquid biopsy test for the detection of minimal residual disease (MRD) and recurrence in cancer. NeXT Dx is a comprehensive tumor profiling test that is used to help select therapy for a cancer patient and identify potential clinical trials for a patient. The Company performed WGS on human samples for research projects, such as population sequencing initiatives. The Company’s tests and analytics are used by pharmaceutical companies for translational research, biomarker discovery, and the development of personalized cancer therapies.</v>
    <v>260</v>
    <v>Nasdaq Stock Market</v>
    <v>XNAS</v>
    <v>XNAS</v>
    <v>6600 Dumbarton Circle, FREMONT, CA, 94555 US</v>
    <v>8.23</v>
    <v>Biotechnology &amp; Medical Research</v>
    <v>Stock</v>
    <v>46106.612621284374</v>
    <v>1565</v>
    <v>7.9</v>
    <v>854841806</v>
    <v>PERSONALIS, INC.</v>
    <v>PERSONALIS, INC.</v>
    <v>7.93</v>
    <v>0</v>
    <v>7.78</v>
    <v>8.17</v>
    <v>104631800</v>
    <v>PSNL</v>
    <v>PERSONALIS, INC. (XNAS:PSNL)</v>
    <v>271848</v>
    <v>1551152</v>
    <v>2011</v>
  </rv>
  <rv s="2">
    <v>1566</v>
  </rv>
  <rv s="0">
    <v>https://www.bing.com/financeapi/forcetrigger?t=a1uupr&amp;q=XNAS%3aHQY&amp;form=skydnc</v>
    <v>Learn more on Bing</v>
  </rv>
  <rv s="1">
    <v>0</v>
    <v>HEALTHEQUITY, INC. (XNAS:HQY)</v>
    <v>2</v>
    <v>3</v>
    <v>Finance</v>
    <v>4</v>
    <v>en-US</v>
    <v>a1uupr</v>
    <v>268435456</v>
    <v>1</v>
    <v>Powered by Refinitiv</v>
    <v>116.65</v>
    <v>72.760000000000005</v>
    <v>0.27550000000000002</v>
    <v>0.13750000000000001</v>
    <v>1.6750000000000001E-3</v>
    <v>USD</v>
    <v>HealthEquity, Inc. is engaged in providing technology-enabled services that enables consumers to make healthcare saving and spending decisions. The Company uses its technology to manage consumer tax-advantaged health savings accounts (HSAs) and other consumer-directed benefits (CDBs) offered by employers, including flexible spending accounts and health reimbursement arrangements (FSAs and HRAs), and to administer Consolidated Omnibus Budget Reconciliation Act (COBRA), commuter and other benefits. It provides consumers with payment processing services, personalized benefit information, the ability to earn wellness incentives, and investment advice. It offers an investment platform and access to an online-only automated investment advisory service to all of its members whose account balances exceed a stated threshold. It administers pre-tax commuter benefit programs through which employers are permitted to provide employees with commuter benefits including qualified transit and parking.</v>
    <v>2814</v>
    <v>Nasdaq Stock Market</v>
    <v>XNAS</v>
    <v>XNAS</v>
    <v>15 W Scenic Pointe Dr Ste 100, DRAPER, UT, 84020-6120 US</v>
    <v>83.04</v>
    <v>Software &amp; IT Services</v>
    <v>Stock</v>
    <v>46106.612572082813</v>
    <v>1568</v>
    <v>81.814999999999998</v>
    <v>6947293242</v>
    <v>HEALTHEQUITY, INC.</v>
    <v>HEALTHEQUITY, INC.</v>
    <v>82.43</v>
    <v>37.692500000000003</v>
    <v>82.1</v>
    <v>82.237499999999997</v>
    <v>84478410</v>
    <v>HQY</v>
    <v>HEALTHEQUITY, INC. (XNAS:HQY)</v>
    <v>83467</v>
    <v>919139</v>
    <v>2002</v>
  </rv>
  <rv s="2">
    <v>1569</v>
  </rv>
  <rv s="0">
    <v>https://www.bing.com/financeapi/forcetrigger?t=c1daw7&amp;q=XNAS%3aNPCE&amp;form=skydnc</v>
    <v>Learn more on Bing</v>
  </rv>
  <rv s="1">
    <v>0</v>
    <v>NEUROPACE, INC. (XNAS:NPCE)</v>
    <v>2</v>
    <v>3</v>
    <v>Finance</v>
    <v>4</v>
    <v>en-US</v>
    <v>c1daw7</v>
    <v>268435456</v>
    <v>1</v>
    <v>Powered by Refinitiv</v>
    <v>18.975000000000001</v>
    <v>7.5625</v>
    <v>1.8762000000000001</v>
    <v>0.11</v>
    <v>8.2889999999999995E-3</v>
    <v>USD</v>
    <v>NeuroPace, Inc. is a medical device company. The Company is focused on transforming the lives of people living with epilepsy by reducing or eliminating the occurrence of debilitating seizures. Its novel and differentiated RNS System is a brain-responsive platform that delivers personalized, real-time treatment at the seizure source. The Company has developed its RNS System to address the individualized nature of drug-resistant epilepsy and deliver a safe therapy for focal onset seizures anywhere in the brain. The RNS System is a device that records brain activity data and allows clinicians to monitor patients not only in person, but also remotely. The RNS System monitors and analyzes the brain’s electrical activity, recognizes patient-specific abnormal patterns, and delivers treatment at the seizure source. The Company’s RNS System is also engaged in treating other brain disorders, including depression, impulse control disorders, memory disorders, and post-traumatic stress disorders.</v>
    <v>209</v>
    <v>Nasdaq Stock Market</v>
    <v>XNAS</v>
    <v>XNAS</v>
    <v>455 N. Bernardo Avenue, MOUNTAIN VIEW, CA, 94043 US</v>
    <v>13.49</v>
    <v>Healthcare Equipment &amp; Supplies</v>
    <v>Stock</v>
    <v>46106.612553668747</v>
    <v>1571</v>
    <v>13.14</v>
    <v>450463791</v>
    <v>NEUROPACE, INC.</v>
    <v>NEUROPACE, INC.</v>
    <v>13.47</v>
    <v>0</v>
    <v>13.27</v>
    <v>13.38</v>
    <v>33666950</v>
    <v>NPCE</v>
    <v>NEUROPACE, INC. (XNAS:NPCE)</v>
    <v>58101</v>
    <v>230124</v>
    <v>1997</v>
  </rv>
  <rv s="2">
    <v>1572</v>
  </rv>
  <rv s="0">
    <v>https://www.bing.com/financeapi/forcetrigger?t=a22gc7&amp;q=XNYS%3aSAIC&amp;form=skydnc</v>
    <v>Learn more on Bing</v>
  </rv>
  <rv s="1">
    <v>0</v>
    <v>SCIENCE APPLICATIONS INTERNATIONAL CORPORATION (XNAS:SAIC)</v>
    <v>2</v>
    <v>3</v>
    <v>Finance</v>
    <v>4</v>
    <v>en-US</v>
    <v>a22gc7</v>
    <v>268435456</v>
    <v>1</v>
    <v>Powered by Refinitiv</v>
    <v>124.105</v>
    <v>81.08</v>
    <v>0.29799999999999999</v>
    <v>-0.19</v>
    <v>-1.993E-3</v>
    <v>USD</v>
    <v>Science Applications International Corporation is a technology integrator providing full life cycle services and solutions in the technical, engineering and enterprise information technology (IT) markets. The Company's portfolio of offerings across the defense, space, civilian and intelligence markets includes secure solutions in mission IT, enterprise IT, engineering services and professional services. It integrates emerging technology securely into mission critical operations that modernize and enable critical national imperatives, including IT modernization, digital engineering, artificial intelligence and ground vehicles support. Its segments include Defense and Intelligence, and Civilian. Defense and Intelligence segment provides a diverse portfolio of national security solutions to the defense and intelligence departments and agencies of the United States Government. Civilian segment provides solutions to the civilian markets, encompassing federal, state, and local governments.</v>
    <v>23000</v>
    <v>Nasdaq Stock Market</v>
    <v>XNAS</v>
    <v>XNAS</v>
    <v>12010 Sunset Hills Road, RESTON, VA, 20190 US</v>
    <v>96.05</v>
    <v>Software &amp; IT Services</v>
    <v>Stock</v>
    <v>46106.612752360939</v>
    <v>1574</v>
    <v>93.73</v>
    <v>4131781539</v>
    <v>SCIENCE APPLICATIONS INTERNATIONAL CORPORATION</v>
    <v>SCIENCE APPLICATIONS INTERNATIONAL CORPORATION</v>
    <v>95.35</v>
    <v>12.136799999999999</v>
    <v>95.35</v>
    <v>95.16</v>
    <v>43419310</v>
    <v>SAIC</v>
    <v>SCIENCE APPLICATIONS INTERNATIONAL CORPORATION (XNAS:SAIC)</v>
    <v>58555</v>
    <v>753413</v>
    <v>2013</v>
  </rv>
  <rv s="2">
    <v>1575</v>
  </rv>
  <rv s="0">
    <v>https://www.bing.com/financeapi/forcetrigger?t=a2km9c&amp;q=OTCM%3aIFNNY&amp;form=skydnc</v>
    <v>Learn more on Bing</v>
  </rv>
  <rv s="1">
    <v>0</v>
    <v>Infineon Technologies AG (OTCM:IFNNY)</v>
    <v>2</v>
    <v>3</v>
    <v>Finance</v>
    <v>43</v>
    <v>en-US</v>
    <v>a2km9c</v>
    <v>268435456</v>
    <v>1</v>
    <v>Powered by Refinitiv</v>
    <v>56.19</v>
    <v>25.8</v>
    <v>1.8411</v>
    <v>2.2799999999999998</v>
    <v>5.1478999999999997E-2</v>
    <v>USD</v>
    <v>Infineon Technologies AG is a Germany based Company. The Company is a developer and manufacturer of semiconductors and related system solutions. The Company operates through four divisions: Automotive, Green Industrial Power, Power &amp; Sensor Systems and Connected Secure Systems. Automotive division designs, develops, manufactures and markets semiconductors to support automotive applications like electromobility, automated driving, connectivity, and advanced security. Industrial Power Control division provides products, solutions and services for energy generation, transmission, storage, and use. Power &amp; Sensor Systems provides semiconductors and power and connectivity devices like chargers, servers, mainboards, power tools, and lighting systems. Connected Secure Systems provides Internet of Things (IoT) technologies like computing, wireless connectivity, and technologies that provide secure connections.</v>
    <v>57280</v>
    <v>OTC Markets</v>
    <v>OTCM</v>
    <v>OTCM</v>
    <v>Am Campeon 1-12, MUNICH, BAYERN, 85579 DE</v>
    <v>46.57</v>
    <v>Semiconductors &amp; Semiconductor Equipment</v>
    <v>Stock</v>
    <v>46106.601765798434</v>
    <v>1577</v>
    <v>45.82</v>
    <v>60816740970</v>
    <v>Infineon Technologies AG</v>
    <v>Infineon Technologies AG</v>
    <v>46.000999999999998</v>
    <v>51.7879</v>
    <v>44.29</v>
    <v>46.57</v>
    <v>1305921000</v>
    <v>IFNNY</v>
    <v>Infineon Technologies AG (OTCM:IFNNY)</v>
    <v>16369</v>
    <v>436410</v>
    <v>1999</v>
  </rv>
  <rv s="2">
    <v>1578</v>
  </rv>
  <rv s="0">
    <v>https://www.bing.com/financeapi/forcetrigger?t=a1xwnm&amp;q=XNAS%3aMPWR&amp;form=skydnc</v>
    <v>Learn more on Bing</v>
  </rv>
  <rv s="1">
    <v>0</v>
    <v>MONOLITHIC POWER SYSTEMS, INC. (XNAS:MPWR)</v>
    <v>2</v>
    <v>3</v>
    <v>Finance</v>
    <v>4</v>
    <v>en-US</v>
    <v>a1xwnm</v>
    <v>268435456</v>
    <v>1</v>
    <v>Powered by Refinitiv</v>
    <v>1256.22</v>
    <v>438.86</v>
    <v>1.4781</v>
    <v>22.64</v>
    <v>2.0552000000000001E-2</v>
    <v>USD</v>
    <v>Monolithic Power Systems, Inc. is a fabless company, which provides semiconductor-based power electronic solutions. The Company design and develop its products for the enterprise data, storage and computing, automotive, communications, consumer, and industrial end markets. Direct Current (DC) to DC, Alternating Current (AC) to DC, driver metal-oxide-semiconductor field-effect transistor, power management integrated circuit (IC), current limit switch and lighting control products. Its DC to DC ICs are used to convert and control voltages within a range of electronic systems, such as cloud-based central processing unit (CPU) servers, server artificial intelligence (AI) applications, storage applications, commercial notebooks, digital cockpit, power sources, home appliances, fourth generation (4G) and fifth generation (5G) infrastructure and satellite communications applications. The Company have sales offices in various locations in Asia, Europe and the United States.</v>
    <v>4501</v>
    <v>Nasdaq Stock Market</v>
    <v>XNAS</v>
    <v>XNAS</v>
    <v>5808 Lake Washington Blvd. Ne, KIRKLAND, WA, 98033 US</v>
    <v>1127.74</v>
    <v>Semiconductors &amp; Semiconductor Equipment</v>
    <v>Stock</v>
    <v>46106.612702696097</v>
    <v>1580</v>
    <v>1110.1125</v>
    <v>55219929140</v>
    <v>MONOLITHIC POWER SYSTEMS, INC.</v>
    <v>MONOLITHIC POWER SYSTEMS, INC.</v>
    <v>1112.6099999999999</v>
    <v>88.224000000000004</v>
    <v>1101.5899999999999</v>
    <v>1124.23</v>
    <v>49118000</v>
    <v>MPWR</v>
    <v>MONOLITHIC POWER SYSTEMS, INC. (XNAS:MPWR)</v>
    <v>40407</v>
    <v>537050</v>
    <v>2004</v>
  </rv>
  <rv s="2">
    <v>1581</v>
  </rv>
  <rv s="0">
    <v>https://www.bing.com/financeapi/forcetrigger?t=a1nr2w&amp;q=XNYS%3aAROC&amp;form=skydnc</v>
    <v>Learn more on Bing</v>
  </rv>
  <rv s="1">
    <v>0</v>
    <v>ARCHROCK INC. (XNYS:AROC)</v>
    <v>2</v>
    <v>3</v>
    <v>Finance</v>
    <v>4</v>
    <v>en-US</v>
    <v>a1nr2w</v>
    <v>268435456</v>
    <v>1</v>
    <v>Powered by Refinitiv</v>
    <v>37.725000000000001</v>
    <v>20.12</v>
    <v>0.87580000000000002</v>
    <v>-0.16</v>
    <v>-4.3219999999999995E-3</v>
    <v>USD</v>
    <v>Archrock, Inc. is an energy infrastructure company with a primary focus on midstream natural gas compression. The Company is a provider of natural gas compression services to customers in the energy industry throughout the United States. It is a supplier of aftermarket services to customers that own compression equipment. Its segments include Contract Operations and Aftermarket Services. The Contract Operations business is comprised of its owned fleet of natural gas compression equipment that it uses to provide operations services to its customers. The aftermarket services business provides a full range of services to support the compression needs of its customers that own compression equipment, including operations, maintenance, overhaul and reconfiguration services and sales of parts and components. The Company provides comprehensive contract operations services, such as personnel, equipment, tools, materials and supplies to meet its customer’s natural gas compression needs.</v>
    <v>1350</v>
    <v>New York Stock Exchange</v>
    <v>XNYS</v>
    <v>XNYS</v>
    <v>9807 Katy Fwy Ste 100, HOUSTON, TX, 77024-1276 US</v>
    <v>37.548000000000002</v>
    <v>Oil &amp; Gas Related Equipment and Services</v>
    <v>Stock</v>
    <v>46106.612817534377</v>
    <v>1583</v>
    <v>36.799999999999997</v>
    <v>6459633908</v>
    <v>ARCHROCK INC.</v>
    <v>ARCHROCK INC.</v>
    <v>37.36</v>
    <v>24.4268</v>
    <v>37.020000000000003</v>
    <v>36.86</v>
    <v>175247800</v>
    <v>AROC</v>
    <v>ARCHROCK INC. (XNYS:AROC)</v>
    <v>238411</v>
    <v>1792123</v>
    <v>2007</v>
  </rv>
  <rv s="2">
    <v>1584</v>
  </rv>
  <rv s="3">
    <v>5</v>
    <v>KODIAK GAS SERVICES, INC. (XNYS:KGS)</v>
    <v>6</v>
    <v>3</v>
    <v>Finance</v>
    <v>4</v>
    <v>en-US</v>
    <v>ca71m7</v>
    <v>268435456</v>
    <v>1</v>
    <v>Powered by Refinitiv</v>
    <v>60.07</v>
    <v>29.25</v>
    <v>0.80900000000000005</v>
    <v>0.22</v>
    <v>3.7209999999999999E-3</v>
    <v>USD</v>
    <v>Kodiak Gas Services, Inc. is the contract compression service provider in the United States, serving as a link in the infrastructure that enables the production and transportation of natural gas and oil. The Company’s segments include Contract Services and Other Services. The Contract Services segment consists of operating Company-owned and customer-owned compression and gas treating and cooling infrastructure to enable the production, gathering, processing and transportation of natural gas and oil. The Other Services segment consists of a broad range of services to support the needs of its customers, including station construction, customer-owned compression maintenance and overhaul, freight and crane charges, parts sales and other ancillary time and material-based offerings. It offers its services to oil and gas producers and midstream customers in high-volume gas gathering systems, processing facilities, multi-well gas lift applications and natural gas transmission systems.</v>
    <v>1300</v>
    <v>New York Stock Exchange</v>
    <v>XNYS</v>
    <v>XNYS</v>
    <v>9950 Woodloch Forest Drive, 19Th Floor, THE WOODLANDS, TX, 77380 US</v>
    <v>59.76</v>
    <v>Oil &amp; Gas Related Equipment and Services</v>
    <v>Stock</v>
    <v>46106.612514120316</v>
    <v>58.63</v>
    <v>5095489602</v>
    <v>KODIAK GAS SERVICES, INC.</v>
    <v>KODIAK GAS SERVICES, INC.</v>
    <v>59.76</v>
    <v>67.716499999999996</v>
    <v>59.12</v>
    <v>59.34</v>
    <v>85869390</v>
    <v>KGS</v>
    <v>KODIAK GAS SERVICES, INC. (XNYS:KGS)</v>
    <v>83066</v>
    <v>1525035</v>
    <v>2018</v>
  </rv>
  <rv s="2">
    <v>1586</v>
  </rv>
  <rv s="0">
    <v>https://www.bing.com/financeapi/forcetrigger?t=a1xw6h&amp;q=XNYS%3aMPLX&amp;form=skydnc</v>
    <v>Learn more on Bing</v>
  </rv>
  <rv s="17">
    <v>32</v>
    <v>MPLX COM UNT (XNYS:MPLX)</v>
    <v>23</v>
    <v>33</v>
    <v>Finance</v>
    <v>25</v>
    <v>en-US</v>
    <v>a1xw6h</v>
    <v>268435456</v>
    <v>1</v>
    <v>Powered by Refinitiv</v>
    <v>59.98</v>
    <v>44.6</v>
    <v>-0.06</v>
    <v>-1.0140000000000001E-3</v>
    <v>USD</v>
    <v>New York Stock Exchange</v>
    <v>XNYS</v>
    <v>59.2</v>
    <v>ETF</v>
    <v>46106.612636793747</v>
    <v>1588</v>
    <v>58.84</v>
    <v>MPLX COM UNT</v>
    <v>58.84</v>
    <v>59.17</v>
    <v>59.11</v>
    <v>MPLX</v>
    <v>MPLX COM UNT (XNYS:MPLX)</v>
    <v>123929</v>
    <v>1484579</v>
  </rv>
  <rv s="2">
    <v>1589</v>
  </rv>
  <rv s="0">
    <v>https://www.bing.com/financeapi/forcetrigger?t=a25kec&amp;q=XNAS%3aVSAT&amp;form=skydnc</v>
    <v>Learn more on Bing</v>
  </rv>
  <rv s="1">
    <v>0</v>
    <v>VIASAT, INC. (XNAS:VSAT)</v>
    <v>2</v>
    <v>3</v>
    <v>Finance</v>
    <v>4</v>
    <v>en-US</v>
    <v>a25kec</v>
    <v>268435456</v>
    <v>1</v>
    <v>Powered by Refinitiv</v>
    <v>52.7</v>
    <v>7.36</v>
    <v>1.4315</v>
    <v>2.3650000000000002</v>
    <v>4.9168000000000003E-2</v>
    <v>USD</v>
    <v>Viasat, Inc. is a global communications company. Its segments include communication services and defense and advanced technologies. The communication services segment provides a wide range of broadband and narrowband communications solutions across government and commercial mobility markets, as well as for residential and enterprise fixed broadband customers. In addition, this segment includes the development and sale of a wide array of advanced satellite and wireless products and terminals that support or enable the provision of fixed and mobile broadband and narrowband services. The defense and advanced technologies segment develops and offers a diverse array of vertically integrated solutions to government and commercial customers, leveraging its core technical competencies in encryption, cybersecurity, tactical gateways, modems and waveforms. Its services are designed to provide customers with the capacity density, market access, speed, bandwidth and responsiveness they need.</v>
    <v>7000</v>
    <v>Nasdaq Stock Market</v>
    <v>XNAS</v>
    <v>XNAS</v>
    <v>6155 El Camino Real, CARLSBAD, CA, 92009 US</v>
    <v>51</v>
    <v>Communications &amp; Networking</v>
    <v>Stock</v>
    <v>46106.612653645316</v>
    <v>1591</v>
    <v>48.69</v>
    <v>6854731601</v>
    <v>VIASAT, INC.</v>
    <v>VIASAT, INC.</v>
    <v>48.84</v>
    <v>0</v>
    <v>48.1</v>
    <v>50.465000000000003</v>
    <v>135831400</v>
    <v>VSAT</v>
    <v>VIASAT, INC. (XNAS:VSAT)</v>
    <v>644773</v>
    <v>1544834</v>
    <v>1996</v>
  </rv>
  <rv s="2">
    <v>1592</v>
  </rv>
  <rv s="0">
    <v>https://www.bing.com/financeapi/forcetrigger?t=a1y9hw&amp;q=XNYS%3aONTO&amp;form=skydnc</v>
    <v>Learn more on Bing</v>
  </rv>
  <rv s="1">
    <v>0</v>
    <v>ONTO INNOVATION INC. (XNYS:ONTO)</v>
    <v>2</v>
    <v>3</v>
    <v>Finance</v>
    <v>4</v>
    <v>en-US</v>
    <v>a1y9hw</v>
    <v>268435456</v>
    <v>1</v>
    <v>Powered by Refinitiv</v>
    <v>232.49</v>
    <v>85.88</v>
    <v>1.4392</v>
    <v>0.17</v>
    <v>7.7459999999999996E-4</v>
    <v>USD</v>
    <v>Onto Innovation Inc. is engaged in the design, development, manufacture and support of metrology and inspection tools for the semiconductor industry. The Company’s products include Automated Metrology Systems; Integrated Metrology Systems; Silicon Wafer All-surface Inspection/Characterization; Macro Defect Inspection; Automated Defect Classification and Pattern Analysis; Yield Analysis; Opaque Film Metrology, and others. Its products are used by silicon wafer manufacturers, semiconductor integrated circuit fabricators, and advanced packaging manufacturers operating in the semiconductor market. Its products are also used for process control in several other specialty device manufacturing markets, including light-emitting diodes, vertical-cavity surface-emitting lasers, micro-electromechanical systems, CMOS image sensors, silicon and compound semiconductor power devices, analog devices, RF filters, and others. It also offers three advanced product lines, including FAaST, CnCV and MBIR.</v>
    <v>1615</v>
    <v>New York Stock Exchange</v>
    <v>XNYS</v>
    <v>XNYS</v>
    <v>16 Jonspin Road, WILMINGTON, MA, 01887 US</v>
    <v>221.5</v>
    <v>Semiconductors &amp; Semiconductor Equipment</v>
    <v>Stock</v>
    <v>46106.612709003908</v>
    <v>1594</v>
    <v>210.58</v>
    <v>10916129326</v>
    <v>ONTO INNOVATION INC.</v>
    <v>ONTO INNOVATION INC.</v>
    <v>220.1</v>
    <v>79.105999999999995</v>
    <v>219.46</v>
    <v>219.63</v>
    <v>49702360</v>
    <v>ONTO</v>
    <v>ONTO INNOVATION INC. (XNYS:ONTO)</v>
    <v>132392</v>
    <v>950127</v>
    <v>2005</v>
  </rv>
  <rv s="2">
    <v>1595</v>
  </rv>
  <rv s="0">
    <v>https://www.bing.com/financeapi/forcetrigger?t=c1dbvh&amp;q=XNYS%3aPATH&amp;form=skydnc</v>
    <v>Learn more on Bing</v>
  </rv>
  <rv s="1">
    <v>0</v>
    <v>UIPATH, INC. (XNYS:PATH)</v>
    <v>2</v>
    <v>3</v>
    <v>Finance</v>
    <v>4</v>
    <v>en-US</v>
    <v>c1dbvh</v>
    <v>268435456</v>
    <v>1</v>
    <v>Powered by Refinitiv</v>
    <v>19.84</v>
    <v>9.3800000000000008</v>
    <v>1.0331999999999999</v>
    <v>0.01</v>
    <v>9.0329999999999989E-4</v>
    <v>USD</v>
    <v>UiPath, Inc. is focused on agentic automation and orchestration, empowering enterprises to harness the full potential of AI agents to autonomously execute and optimize complex business processes. It is focused on building and managing automations, starting with computer vision technology and user interface automation in its initial robotic process automation offering. Its AI-powered UiPath Platform offers a robust set of capabilities that allows its customers to discover opportunities for automation, automate using a digital workforce that seamlessly collaborates with humans, and operate a mission-critical automation program at scale. It enables employees to quickly build automations for both existing and new processes and to automate a range of actions including logging into applications, moving folders, filling in forms, reading emails and others. Its platform allows users to design and combine UI automations, API integrations and AI-based document understanding in a single workflow.</v>
    <v>3868</v>
    <v>New York Stock Exchange</v>
    <v>XNYS</v>
    <v>XNYS</v>
    <v>One Vanderbilt Avenue, 60th Floor, NEW YORK, NY, 10017 US</v>
    <v>11.37</v>
    <v>Software &amp; IT Services</v>
    <v>Stock</v>
    <v>46106.61264634219</v>
    <v>1597</v>
    <v>11.04</v>
    <v>5925026676</v>
    <v>UIPATH, INC.</v>
    <v>UIPATH, INC.</v>
    <v>11.22</v>
    <v>26.381</v>
    <v>11.07</v>
    <v>11.08</v>
    <v>534749700</v>
    <v>PATH</v>
    <v>UIPATH, INC. (XNYS:PATH)</v>
    <v>3894088</v>
    <v>41395449</v>
    <v>2015</v>
  </rv>
  <rv s="2">
    <v>1598</v>
  </rv>
  <rv s="0">
    <v>https://www.bing.com/financeapi/forcetrigger?t=a1mwoc&amp;q=XNAS%3aADSK&amp;form=skydnc</v>
    <v>Learn more on Bing</v>
  </rv>
  <rv s="1">
    <v>0</v>
    <v>AUTODESK, INC. (XNAS:ADSK)</v>
    <v>2</v>
    <v>3</v>
    <v>Finance</v>
    <v>4</v>
    <v>en-US</v>
    <v>a1mwoc</v>
    <v>268435456</v>
    <v>1</v>
    <v>Powered by Refinitiv</v>
    <v>329.09</v>
    <v>215.01</v>
    <v>1.4386000000000001</v>
    <v>-1.0349999999999999</v>
    <v>-4.3230000000000005E-3</v>
    <v>USD</v>
    <v>Autodesk, Inc. is engaged in three-dimensional (3D) design, engineering and entertainment technology solutions, spanning architecture, engineering, construction, product design, manufacturing, media and entertainment. Its architecture, engineering, construction and operations products improve the way building, infrastructure, and industrial projects are designed, built, and operated. Its product development and manufacturing software provides manufacturers in the automotive, transportation, industrial machinery, consumer products, and building product industries with comprehensive digital design, engineering, manufacturing, and production solutions. Its product offerings include AutoCAD Civil 3D, Autodesk Build, BIM Collaborate Pro, Revit, Tandem, AutoCAD, AutoCAD LT, Inventor, Vault, Maya, and 3ds Max. AutoCAD Civil 3D solution offers a surveying, design, analysis, and documentation solution for civil engineering, including land development, transportation, and environmental projects.</v>
    <v>14300</v>
    <v>Nasdaq Stock Market</v>
    <v>XNAS</v>
    <v>XNAS</v>
    <v>One Market, Ste. 400., SAN FRANCISCO, CA, 94105 US</v>
    <v>243.2</v>
    <v>Software &amp; IT Services</v>
    <v>Stock</v>
    <v>46106.612702430466</v>
    <v>1600</v>
    <v>237.15</v>
    <v>50292905000</v>
    <v>AUTODESK, INC.</v>
    <v>AUTODESK, INC.</v>
    <v>240.67</v>
    <v>45.561500000000002</v>
    <v>239.39</v>
    <v>238.35499999999999</v>
    <v>211000000</v>
    <v>ADSK</v>
    <v>AUTODESK, INC. (XNAS:ADSK)</v>
    <v>301445</v>
    <v>2293227</v>
    <v>1994</v>
  </rv>
  <rv s="2">
    <v>1601</v>
  </rv>
  <rv s="0">
    <v>https://www.bing.com/financeapi/forcetrigger?t=alvtfr&amp;q=XPHS%3aPHR&amp;form=skydnc</v>
    <v>Learn more on Bing</v>
  </rv>
  <rv s="10">
    <v>18</v>
    <v>PH RESORTS GROUP HOLDINGS, INC. (XPHS:PHR)</v>
    <v>2</v>
    <v>56</v>
    <v>Finance</v>
    <v>57</v>
    <v>en-US</v>
    <v>alvtfr</v>
    <v>268435456</v>
    <v>1</v>
    <v>Powered by Refinitiv</v>
    <v>0.28999999999999998</v>
    <v>0.09</v>
    <v>0.48089999999999999</v>
    <v>-5.0000000000000001E-3</v>
    <v>-3.5971000000000003E-2</v>
    <v>PHP</v>
    <v>PH Resorts Group Holdings, Inc. is a Philippines-based holding company of PH Travel and Leisure Holdings Corp. (PH Trave). PH Travel is a holding company for the gaming and hospitality arm of the Udenna Group, which includes LapuLapu Leisure, Inc., and Donatela Hotel Panglao Corp. LapuLapu Leisure, Inc. is the developer of Emerald, an integrated tourist resort to be located on a prime beachfront area on Mactan Island, Lapu-Lapu City, Cebu. Clark Grand Leisure Corp. is the developer of an integrated tourist resort to be located in Clark Freeport Zone, Luzon, Philippines. Donatela Hotel Panglao Corp. is the owner of the Donatela Hotel, a boutique-style, upscale hotel in Tawala, Panglao Island, Bohol. The Donatela Hotel has approximately 12 upscale villas with pools, fine-dining restaurants and a wine cellar. It is located on an approximately 7.5 hectare property, a 14-minute drive from the Bohol International Airport. It has two segments: Hotel and restaurant, and Gaming.</v>
    <v>51</v>
    <v>Philippine Stock Exchange</v>
    <v>XPHS</v>
    <v>XPHS</v>
    <v>GGDC Administrative Services Building, Clark Global City, Clark Freeport Zone PH</v>
    <v>0.13400000000000001</v>
    <v>Hotels &amp; Entertainment Services</v>
    <v>Stock</v>
    <v>46106.291666666664</v>
    <v>1603</v>
    <v>0.13400000000000001</v>
    <v>1004918000</v>
    <v>PH RESORTS GROUP HOLDINGS, INC.</v>
    <v>PH RESORTS GROUP HOLDINGS, INC.</v>
    <v>0.13400000000000001</v>
    <v>0.13900000000000001</v>
    <v>0.13400000000000001</v>
    <v>7282017000</v>
    <v>PHR</v>
    <v>PH RESORTS GROUP HOLDINGS, INC. (XPHS:PHR)</v>
    <v>40000</v>
    <v>658000</v>
    <v>2009</v>
  </rv>
  <rv s="2">
    <v>1604</v>
  </rv>
  <rv s="0">
    <v>https://www.bing.com/financeapi/forcetrigger?t=a259jc&amp;q=XNYS%3aVEEV&amp;form=skydnc</v>
    <v>Learn more on Bing</v>
  </rv>
  <rv s="1">
    <v>0</v>
    <v>VEEVA SYSTEMS INC. (XNYS:VEEV)</v>
    <v>2</v>
    <v>3</v>
    <v>Finance</v>
    <v>4</v>
    <v>en-US</v>
    <v>a259jc</v>
    <v>268435456</v>
    <v>1</v>
    <v>Powered by Refinitiv</v>
    <v>310.5</v>
    <v>168.13499999999999</v>
    <v>1.097</v>
    <v>0.86499999999999999</v>
    <v>4.829E-3</v>
    <v>USD</v>
    <v>Veeva Systems Inc. is a provider of cloud solutions for the global life sciences industry. It offers span cloud software, data, and business consulting and is designed to meet the needs of its customers and the strategic business functions from research and development (R&amp;D) through commercialization. Its four product categories include Veeva Development Cloud, Veeva Quality Cloud, Veeva Commercial Cloud, and Veeva Data Cloud. Veeva Development Cloud includes application suites for the clinical, regulatory, and safety functions of life sciences companies, all built on its Veeva Vault platform. Veeva Quality Cloud unifies applications, processes, and partners across content management, training, quality management, assurance, and control lab solutions on the Veeva Vault platform. Veeva Commercial Cloud is a product category comprised of software and analytics solutions. Veeva Data Cloud is a data platform comprised of connected reference data, deep data, and transaction data.</v>
    <v>7928</v>
    <v>New York Stock Exchange</v>
    <v>XNYS</v>
    <v>XNYS</v>
    <v>4280 Hacienda Drive, PLEASANTON, CA, 94588 US</v>
    <v>183.82499999999999</v>
    <v>Healthcare Equipment &amp; Supplies</v>
    <v>Stock</v>
    <v>46106.612706122658</v>
    <v>1606</v>
    <v>178.15</v>
    <v>29395478727</v>
    <v>VEEVA SYSTEMS INC.</v>
    <v>VEEVA SYSTEMS INC.</v>
    <v>182.49</v>
    <v>35.007800000000003</v>
    <v>179.11</v>
    <v>179.97499999999999</v>
    <v>163330900</v>
    <v>VEEV</v>
    <v>VEEVA SYSTEMS INC. (XNYS:VEEV)</v>
    <v>240179</v>
    <v>2249578</v>
    <v>2007</v>
  </rv>
  <rv s="2">
    <v>1607</v>
  </rv>
  <rv s="0">
    <v>https://www.bing.com/financeapi/forcetrigger?t=a24hfr&amp;q=XNAS%3aTRMB&amp;form=skydnc</v>
    <v>Learn more on Bing</v>
  </rv>
  <rv s="1">
    <v>0</v>
    <v>TRIMBLE INC. (XNAS:TRMB)</v>
    <v>2</v>
    <v>3</v>
    <v>Finance</v>
    <v>4</v>
    <v>en-US</v>
    <v>a24hfr</v>
    <v>268435456</v>
    <v>1</v>
    <v>Powered by Refinitiv</v>
    <v>87.5</v>
    <v>52.91</v>
    <v>1.5407999999999999</v>
    <v>0.64</v>
    <v>9.7889999999999991E-3</v>
    <v>USD</v>
    <v>Trimble Inc. is a global technology company. The Company's segments include Architects, Engineers, Construction and Owners (AECO), Field Systems, and Transportation and Logistics (T&amp;L). The AECO segment primarily serves customers working in architecture, engineering, construction, design, asset management, operations, and maintenance. Within this segment, its substantial product portfolios are software solutions focused on design, engineering, building and civil construction, capital planning, and asset management software. The Field Systems segment primarily serves customers working in surveying and mapping, civil construction, building construction field services, and positioning systems. Within this segment, its substantial product portfolios are hardware and software solutions focused on geospatial, civil engineering construction, and positioning services. The T&amp;L segment provides a suite of solutions for shippers, carriers, and intermediaries globally.</v>
    <v>11500</v>
    <v>Nasdaq Stock Market</v>
    <v>XNAS</v>
    <v>XNAS</v>
    <v>10368 Westmoor Dr, WESTMINSTER, CO, 80021 US</v>
    <v>66.75</v>
    <v>Software &amp; IT Services</v>
    <v>Stock</v>
    <v>46106.612667719528</v>
    <v>1609</v>
    <v>65.635000000000005</v>
    <v>15444018988</v>
    <v>TRIMBLE INC.</v>
    <v>TRIMBLE INC.</v>
    <v>66.209999999999994</v>
    <v>37.521999999999998</v>
    <v>65.38</v>
    <v>66.02</v>
    <v>233929400</v>
    <v>TRMB</v>
    <v>TRIMBLE INC. (XNAS:TRMB)</v>
    <v>183276</v>
    <v>1875682</v>
    <v>2016</v>
  </rv>
  <rv s="2">
    <v>1610</v>
  </rv>
  <rv s="0">
    <v>https://www.bing.com/financeapi/forcetrigger?t=c2i1cw&amp;q=XNAS%3aCFLT&amp;form=skydnc</v>
    <v>Learn more on Bing</v>
  </rv>
  <rv s="1">
    <v>0</v>
    <v>CONFLUENT, INC. (XNAS:CFLT)</v>
    <v>2</v>
    <v>3</v>
    <v>Finance</v>
    <v>21</v>
    <v>en-US</v>
    <v>c2i1cw</v>
    <v>268435456</v>
    <v>1</v>
    <v>Powered by Refinitiv</v>
    <v>31</v>
    <v>15.64</v>
    <v>0.93779999999999997</v>
    <v>0</v>
    <v>0</v>
    <v>USD</v>
    <v>Confluent, Inc. provides a data streaming platform that enables customers to connect their applications, systems, and data layers and can be deployed as a fully-managed cloud-native software-as-a-service (SaaS) offering, Confluent Cloud, as a self-managed software offering, Confluent Platform, or as a Bring Your Own Cloud (BYOC) managed service offering where the raw data resides inside a customer’s own cloud environment, WarpStream. The Company also offers professional services and educational services. The Company is focused on developing a category of data infrastructure focused on data in motion for developers and enterprises. Its cloud-native offering works across multi-cloud and hybrid infrastructures and supports a variety of deployment models to support diverse customer requirements, delivering massive scalability, elasticity, security, and global interconnectedness, enabling agile development. WarpStream offers a lower-cost option for relaxed latency use cases for customers.</v>
    <v>3241</v>
    <v>Nasdaq Stock Market</v>
    <v>XNAS</v>
    <v>XNAS</v>
    <v>899 W. Evelyn Avenue, Suite 111, MOUNTAIN VIEW, CA, 94041 US</v>
    <v>31</v>
    <v>Software &amp; IT Services</v>
    <v>Stock</v>
    <v>46097.992174883591</v>
    <v>1612</v>
    <v>30.67</v>
    <v>11133730815</v>
    <v>CONFLUENT, INC.</v>
    <v>CONFLUENT, INC.</v>
    <v>30.68</v>
    <v>0</v>
    <v>30.67</v>
    <v>30.99</v>
    <v>359268500</v>
    <v>CFLT</v>
    <v>CONFLUENT, INC. (XNAS:CFLT)</v>
    <v>18393291</v>
    <v>9641109</v>
    <v>2014</v>
  </rv>
  <rv s="2">
    <v>1613</v>
  </rv>
  <rv s="0">
    <v>https://www.bing.com/financeapi/forcetrigger?t=az837w&amp;q=XNAS%3aLPRO&amp;form=skydnc</v>
    <v>Learn more on Bing</v>
  </rv>
  <rv s="1">
    <v>0</v>
    <v>OPEN LENDING CORPORATION (XNAS:LPRO)</v>
    <v>2</v>
    <v>3</v>
    <v>Finance</v>
    <v>4</v>
    <v>en-US</v>
    <v>az837w</v>
    <v>268435456</v>
    <v>1</v>
    <v>Powered by Refinitiv</v>
    <v>3.37</v>
    <v>0.7</v>
    <v>2.0287999999999999</v>
    <v>-3.5000000000000003E-2</v>
    <v>-2.7778000000000001E-2</v>
    <v>USD</v>
    <v>Open Lending Corporation provides loan analytics, risk-based pricing, risk modeling and default insurance to auto lenders throughout the United States, which enables each lending institution to book near-prime and non-prime automotive loans, coupled with real-time underwriting of loan default insurance, out of its existing business flow. The Company also operates as a third-party administrator that adjudicates insurance claims and premium adjustments on automotive loans. Its flagship product, Lenders Protection platform (LPP), is a cloud-based automotive lending enablement platform. The platform uses risk-based pricing models that enable automotive lenders to assess the credit risk of a potential borrower using data-driven analysis. The Company's proprietary risk models project loan performance, including expected losses and prepayments, in arriving at the optimal contract interest rate.</v>
    <v>164</v>
    <v>Nasdaq Stock Market</v>
    <v>XNAS</v>
    <v>XNAS</v>
    <v>1501 S. Mopac Expressway, Suite #450, AUSTIN, TX, 78746 US</v>
    <v>1.29</v>
    <v>Professional &amp; Commercial Services</v>
    <v>Stock</v>
    <v>46106.611393286716</v>
    <v>1615</v>
    <v>1.2050000000000001</v>
    <v>144153345</v>
    <v>OPEN LENDING CORPORATION</v>
    <v>OPEN LENDING CORPORATION</v>
    <v>1.28</v>
    <v>0</v>
    <v>1.26</v>
    <v>1.2250000000000001</v>
    <v>117676200</v>
    <v>LPRO</v>
    <v>OPEN LENDING CORPORATION (XNAS:LPRO)</v>
    <v>177873</v>
    <v>582941</v>
    <v>2019</v>
  </rv>
  <rv s="2">
    <v>1616</v>
  </rv>
  <rv s="0">
    <v>https://www.bing.com/financeapi/forcetrigger?t=bqrtfr&amp;q=XNAS%3aDKNG&amp;form=skydnc</v>
    <v>Learn more on Bing</v>
  </rv>
  <rv s="1">
    <v>0</v>
    <v>DRAFTKINGS INC. (XNAS:DKNG)</v>
    <v>2</v>
    <v>3</v>
    <v>Finance</v>
    <v>4</v>
    <v>en-US</v>
    <v>bqrtfr</v>
    <v>268435456</v>
    <v>1</v>
    <v>Powered by Refinitiv</v>
    <v>48.78</v>
    <v>21.01</v>
    <v>1.6432</v>
    <v>-0.71989999999999998</v>
    <v>-3.0884000000000002E-2</v>
    <v>USD</v>
    <v>DraftKings Inc. is a digital sports entertainment and gaming company. It provides users with online and retail sports betting (together, Sportsbook), online casino (iGaming) and daily fantasy sports product offerings, as well as digital lottery courier, media, and other product offerings. Sportsbook is live with mobile and/or retail sports betting operations pursuant to regulations in 28 states, Washington, D.C., and in Ontario, Canada. It operates iGaming pursuant to regulations in five states and in Ontario, Canada under its DraftKings brand and pursuant to regulations in four states under its Golden Nugget Online Gaming brand. It owns Jackpocket, a digital lottery courier app in the United States. It is both an official daily fantasy and sports betting partner of the NFL, NHL, PGA TOUR, WNBA and UFC, as well as an official daily fantasy partner of NASCAR, an official sports betting partner of the NBA. It also owns and operates DraftKings Network, a multi-platform content ecosystem.</v>
    <v>5500</v>
    <v>Nasdaq Stock Market</v>
    <v>XNAS</v>
    <v>XNAS</v>
    <v>222 Berkeley Street, 5th Floor, BOSTON, MA, 02116 US</v>
    <v>23.675000000000001</v>
    <v>Hotels &amp; Entertainment Services</v>
    <v>Stock</v>
    <v>46106.612702615625</v>
    <v>1618</v>
    <v>22.45</v>
    <v>11136725025</v>
    <v>DRAFTKINGS INC.</v>
    <v>DRAFTKINGS INC.</v>
    <v>23.48</v>
    <v>0</v>
    <v>23.31</v>
    <v>22.5901</v>
    <v>492991400</v>
    <v>DKNG</v>
    <v>DRAFTKINGS INC. (XNAS:DKNG)</v>
    <v>3614411</v>
    <v>14579638</v>
    <v>2021</v>
  </rv>
  <rv s="2">
    <v>1619</v>
  </rv>
  <rv s="0">
    <v>https://www.bing.com/financeapi/forcetrigger?t=bwzzzr&amp;q=XNAS%3aCERT&amp;form=skydnc</v>
    <v>Learn more on Bing</v>
  </rv>
  <rv s="1">
    <v>0</v>
    <v>CERTARA, INC. (XNAS:CERT)</v>
    <v>2</v>
    <v>3</v>
    <v>Finance</v>
    <v>4</v>
    <v>en-US</v>
    <v>bwzzzr</v>
    <v>268435456</v>
    <v>1</v>
    <v>Powered by Refinitiv</v>
    <v>15.38</v>
    <v>6.02</v>
    <v>1.5857000000000001</v>
    <v>1.4999999999999999E-2</v>
    <v>2.3999999999999998E-3</v>
    <v>USD</v>
    <v>Certara, Inc. is a provider of biosimulation technology and solutions for using Model-Informed Drug Development (MIDD) in the global biopharmaceutical industry. It accelerates medicine using biosimulation software, technology and services to transform traditional drug discovery and development. It delivers software products and technology-driven services to customers to carry out and realize the full benefits of biosimulation in drug discovery, preclinical and clinical research, regulatory submissions and market access. Its regulatory science and market access software and services, such as regulatory submissions software, natural language processing and Bayesian analytics. It offers both mechanistic and empirical biosimulation solutions providing clients with a comprehensive offering based on their therapy goals, mechanism of action, and available data sources. Its clients include 2,400 biopharmaceutical companies, academic institutions and regulatory agencies across 70 countries.</v>
    <v>1515</v>
    <v>Nasdaq Stock Market</v>
    <v>XNAS</v>
    <v>XNAS</v>
    <v>4 Radnor Corporate Center, Suite 350, RADNOR, PA, 19087 US</v>
    <v>6.42</v>
    <v>Software &amp; IT Services</v>
    <v>Stock</v>
    <v>46106.612632164062</v>
    <v>1621</v>
    <v>6.2001999999999997</v>
    <v>997009594</v>
    <v>CERTARA, INC.</v>
    <v>CERTARA, INC.</v>
    <v>6.34</v>
    <v>0</v>
    <v>6.25</v>
    <v>6.2649999999999997</v>
    <v>159139600</v>
    <v>CERT</v>
    <v>CERTARA, INC. (XNAS:CERT)</v>
    <v>314132</v>
    <v>3774585</v>
    <v>2017</v>
  </rv>
  <rv s="2">
    <v>1622</v>
  </rv>
  <rv s="0">
    <v>https://www.bing.com/financeapi/forcetrigger?t=a242z2&amp;q=XNYS%3aTDOC&amp;form=skydnc</v>
    <v>Learn more on Bing</v>
  </rv>
  <rv s="1">
    <v>0</v>
    <v>Teladoc Health, Inc. (XNYS:TDOC)</v>
    <v>2</v>
    <v>3</v>
    <v>Finance</v>
    <v>4</v>
    <v>en-US</v>
    <v>a242z2</v>
    <v>268435456</v>
    <v>1</v>
    <v>Powered by Refinitiv</v>
    <v>9.77</v>
    <v>4.4000000000000004</v>
    <v>2.0935999999999999</v>
    <v>0.11</v>
    <v>2.0295000000000001E-2</v>
    <v>USD</v>
    <v>Teladoc Health, Inc. provides virtual healthcare services. Its segments include Teladoc Health Integrated Care (Integrated Care) and BetterHelp. Integrated Care segment includes a suite of global virtual medical services including general medical, expert medical services, specialty medical, chronic condition management, mental health, and enabling technologies and enterprise telehealth solutions for hospitals and health systems. Services in this segment are distributed on a B2B basis. BetterHelp segment includes direct-to-consumer mental health platform. The online counseling and therapy services are provided via its network of over 35,000 licensed clinicians leveraging its platform for Web, mobile app, phone, and text-based interactions. Its Teladoc Health family of brands, including Teladoc and BetterHelp, deliver access to advice and resolution for an array of healthcare needs. Its Telecare brand is a tech-enabled provider of specialist and allied health care via virtual delivery.</v>
    <v>5600</v>
    <v>New York Stock Exchange</v>
    <v>XNYS</v>
    <v>XNYS</v>
    <v>155 E 44TH STREET, SUITE 1700, NEW YORK, NY, 10017 US</v>
    <v>5.58</v>
    <v>Healthcare Providers &amp; Services</v>
    <v>Stock</v>
    <v>46106.612675867967</v>
    <v>1624</v>
    <v>5.46</v>
    <v>986532092</v>
    <v>Teladoc Health, Inc.</v>
    <v>Teladoc Health, Inc.</v>
    <v>5.56</v>
    <v>0</v>
    <v>5.42</v>
    <v>5.53</v>
    <v>178396400</v>
    <v>TDOC</v>
    <v>Teladoc Health, Inc. (XNYS:TDOC)</v>
    <v>748083</v>
    <v>6134568</v>
    <v>2008</v>
  </rv>
  <rv s="2">
    <v>1625</v>
  </rv>
  <rv s="0">
    <v>https://www.bing.com/financeapi/forcetrigger?t=a28ynm&amp;q=XNAS%3aRCEL&amp;form=skydnc</v>
    <v>Learn more on Bing</v>
  </rv>
  <rv s="1">
    <v>0</v>
    <v>AVITA MEDICAL, INC. (XNAS:RCEL)</v>
    <v>2</v>
    <v>3</v>
    <v>Finance</v>
    <v>4</v>
    <v>en-US</v>
    <v>a28ynm</v>
    <v>268435456</v>
    <v>1</v>
    <v>Powered by Refinitiv</v>
    <v>10.29</v>
    <v>3.22</v>
    <v>1.8753</v>
    <v>0.13</v>
    <v>3.3854000000000002E-2</v>
    <v>USD</v>
    <v>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v>
    <v>226</v>
    <v>Nasdaq Stock Market</v>
    <v>XNAS</v>
    <v>XNAS</v>
    <v>28159 Avenue Stanford, Suite 220, VALENCIA, CA, 91355 US</v>
    <v>4.0650000000000004</v>
    <v>Biotechnology &amp; Medical Research</v>
    <v>Stock</v>
    <v>46106.612731122659</v>
    <v>1627</v>
    <v>3.95</v>
    <v>121608206</v>
    <v>AVITA MEDICAL, INC.</v>
    <v>AVITA MEDICAL, INC.</v>
    <v>3.95</v>
    <v>0</v>
    <v>3.84</v>
    <v>3.97</v>
    <v>30631790</v>
    <v>RCEL</v>
    <v>AVITA MEDICAL, INC. (XNAS:RCEL)</v>
    <v>73032</v>
    <v>232724</v>
    <v>2020</v>
  </rv>
  <rv s="2">
    <v>1628</v>
  </rv>
  <rv s="0">
    <v>https://www.bing.com/financeapi/forcetrigger?t=a1uj52&amp;q=XNYS%3aHD&amp;form=skydnc</v>
    <v>Learn more on Bing</v>
  </rv>
  <rv s="1">
    <v>0</v>
    <v>THE HOME DEPOT, INC. (XNYS:HD)</v>
    <v>2</v>
    <v>3</v>
    <v>Finance</v>
    <v>4</v>
    <v>en-US</v>
    <v>a1uj52</v>
    <v>268435456</v>
    <v>1</v>
    <v>Powered by Refinitiv</v>
    <v>426.75</v>
    <v>320.2645</v>
    <v>1.0824</v>
    <v>-0.86</v>
    <v>-2.5990000000000002E-3</v>
    <v>USD</v>
    <v>The Home Depot, Inc. is a home improvement specialty retailer. The Company offers an assortment of building materials, home improvement products, lawn and garden products, decor products, and facilities maintenance, repair, and operations products, in stores and online. It also provides various services, including home improvement installation services, and tool and equipment rental. The Company operates approximately 2,353 retail stores, over 800 branches and more than 325 distribution centers that directly fulfill customer orders across all 50 states, the District of Columbia, Puerto Rico, the U.S. Virgin Islands, Guam, 10 Canadian provinces and Mexico. Its stores average approximately 105,000 square feet of enclosed space, with approximately 24,000 additional square feet of outside garden area. The Company serves two primary customer groups, including both do-it-yourself (DIY) and Do-It-For-Me (DIFM) customers and Professional Customers (Pros).</v>
    <v>472400</v>
    <v>New York Stock Exchange</v>
    <v>XNYS</v>
    <v>XNYS</v>
    <v>2455 Paces Ferry Road, ATLANTA, GA, 30339 US</v>
    <v>337.185</v>
    <v>Specialty Retailers</v>
    <v>Stock</v>
    <v>46106.61270852969</v>
    <v>1630</v>
    <v>326.99</v>
    <v>328733595575</v>
    <v>THE HOME DEPOT, INC.</v>
    <v>THE HOME DEPOT, INC.</v>
    <v>335.55</v>
    <v>23.185500000000001</v>
    <v>330.91</v>
    <v>330.05</v>
    <v>996011500</v>
    <v>HD</v>
    <v>THE HOME DEPOT, INC. (XNYS:HD)</v>
    <v>724386</v>
    <v>4286224</v>
    <v>1978</v>
  </rv>
  <rv s="2">
    <v>1631</v>
  </rv>
  <rv s="0">
    <v>https://www.bing.com/financeapi/forcetrigger?t=a1pp5r&amp;q=XNYS%3aCI&amp;form=skydnc</v>
    <v>Learn more on Bing</v>
  </rv>
  <rv s="1">
    <v>0</v>
    <v>THE CIGNA GROUP (XNYS:CI)</v>
    <v>2</v>
    <v>3</v>
    <v>Finance</v>
    <v>4</v>
    <v>en-US</v>
    <v>a1pp5r</v>
    <v>268435456</v>
    <v>1</v>
    <v>Powered by Refinitiv</v>
    <v>350</v>
    <v>239.51</v>
    <v>0.27189999999999998</v>
    <v>2.21</v>
    <v>8.3119999999999999E-3</v>
    <v>USD</v>
    <v>The Cigna Group is a global health company. The Company has two growth platforms: Evernorth Health Services and Cigna Healthcare. Evernorth Health Services includes its Pharmacy Benefit Services and Specialty and Care Services operating segments, which provide independent and coordinated health solutions and capabilities to enable the healthcare system to work better and help people live richer, healthier lives. Cigna Healthcare includes the U.S. Healthcare and International Health operating segments, which provide comprehensive medical plan services and coordinated solutions to clients and customers. Its Other Operations include corporate-owned life insurance (COLI), the Company's run-off operations and other non-strategic businesses. Specialty and Care Services provides specialty drugs for the treatment of complex and rare diseases, specialty distribution of pharmaceuticals and medical supplies, and clinical programs to help its clients.</v>
    <v>67700</v>
    <v>New York Stock Exchange</v>
    <v>XNYS</v>
    <v>XNYS</v>
    <v>900 Cottage Grove Road, BLOOMFIELD, CT, 06002 US</v>
    <v>268.39499999999998</v>
    <v>Healthcare Providers &amp; Services</v>
    <v>Stock</v>
    <v>46106.612720022655</v>
    <v>1633</v>
    <v>264.76</v>
    <v>70682187264</v>
    <v>THE CIGNA GROUP</v>
    <v>THE CIGNA GROUP</v>
    <v>265.505</v>
    <v>12.112399999999999</v>
    <v>265.87</v>
    <v>268.08</v>
    <v>263660800</v>
    <v>CI</v>
    <v>THE CIGNA GROUP (XNYS:CI)</v>
    <v>463844</v>
    <v>1790484</v>
    <v>2018</v>
  </rv>
  <rv s="2">
    <v>1634</v>
  </rv>
  <rv s="0">
    <v>https://www.bing.com/financeapi/forcetrigger?t=a1x49c&amp;q=XNAS%3aLQDT&amp;form=skydnc</v>
    <v>Learn more on Bing</v>
  </rv>
  <rv s="1">
    <v>0</v>
    <v>LIQUIDITY SERVICES, INC. (XNAS:LQDT)</v>
    <v>2</v>
    <v>3</v>
    <v>Finance</v>
    <v>4</v>
    <v>en-US</v>
    <v>a1x49c</v>
    <v>268435456</v>
    <v>1</v>
    <v>Powered by Refinitiv</v>
    <v>33.61</v>
    <v>21.67</v>
    <v>1.0339</v>
    <v>-0.15</v>
    <v>-4.9849999999999998E-3</v>
    <v>USD</v>
    <v>Liquidity Services, Inc. operates a business-to-business e-commerce marketplace platform for surplus assets with buyers and corporate and government sellers. Its segments include GovDeals, Retail Supply Chain Group (RSCG), Capital Assets Group (CAG), and Machinio. GovDeals segment offers solutions that enable government entities including city, county, state and federal agencies and related commercial businesses to sell surplus property and real estate assets through its GovDeals, Bid4Assets and Sierra marketplaces. RSCG segment includes marketplaces that enable corporations located in the United States and Canada to sell excess, returned, and overstocked consumer goods. CAG segment enables commercial businesses to sell surplus assets on its AllSurplus marketplace. Machinio segment operates a search engine platform for listing equipment for sale in the construction, agriculture and other sectors. Its Auction software specializes in the development of auction and marketplace solutions.</v>
    <v>818</v>
    <v>Nasdaq Stock Market</v>
    <v>XNAS</v>
    <v>XNAS</v>
    <v>6931 Arlington Road, Suite 460, BETHESDA, MD, 20814 US</v>
    <v>30.53</v>
    <v>Software &amp; IT Services</v>
    <v>Stock</v>
    <v>46106.612705902342</v>
    <v>1636</v>
    <v>29.88</v>
    <v>928555567</v>
    <v>LIQUIDITY SERVICES, INC.</v>
    <v>LIQUIDITY SERVICES, INC.</v>
    <v>30.49</v>
    <v>32.617899999999999</v>
    <v>30.09</v>
    <v>29.94</v>
    <v>31013880</v>
    <v>LQDT</v>
    <v>LIQUIDITY SERVICES, INC. (XNAS:LQDT)</v>
    <v>12900</v>
    <v>178912</v>
    <v>1999</v>
  </rv>
  <rv s="2">
    <v>1637</v>
  </rv>
  <rv s="0">
    <v>https://www.bing.com/financeapi/forcetrigger?t=a1olgh&amp;q=XNYS%3aBLDR&amp;form=skydnc</v>
    <v>Learn more on Bing</v>
  </rv>
  <rv s="1">
    <v>0</v>
    <v>BUILDERS FIRSTSOURCE, INC. (XNYS:BLDR)</v>
    <v>2</v>
    <v>3</v>
    <v>Finance</v>
    <v>4</v>
    <v>en-US</v>
    <v>a1olgh</v>
    <v>268435456</v>
    <v>1</v>
    <v>Powered by Refinitiv</v>
    <v>151.03</v>
    <v>80</v>
    <v>1.6267</v>
    <v>-0.87</v>
    <v>-1.0364999999999999E-2</v>
    <v>USD</v>
    <v>Builders FirstSource, Inc. is a supplier of building products, prefabricated components, and value-added services to the professional market segment for new residential construction and repair and remodeling. It provides customers with an integrated homebuilding solution, offering manufacturing, supply, delivery and installation of a full range of structural and related building products. Its product categories include Manufactured Products; Windows, Doors and Millwork; Specialty Building Products and Services, and Lumber and Lumber Sheet Goods. It serves customers from distribution and manufacturing facilities (some of which are co-located) that produce value-added products such as roof and floor trusses, wall panels, stairs, vinyl windows, custom millwork and pre-hung doors. It also distributes dimensional lumber and lumber sheet goods, millwork, windows, interior and exterior doors, and other specialty building products. It operates in 43 states with approximately 585 locations.</v>
    <v>28000</v>
    <v>New York Stock Exchange</v>
    <v>XNYS</v>
    <v>XNYS</v>
    <v>6031 CONNECTION DR., STE. 400, IRVING, TX, 75039 US</v>
    <v>86.84</v>
    <v>Homebuilding &amp; Construction Supplies</v>
    <v>Stock</v>
    <v>46106.612616990627</v>
    <v>1639</v>
    <v>82.27</v>
    <v>9187965657</v>
    <v>BUILDERS FIRSTSOURCE, INC.</v>
    <v>BUILDERS FIRSTSOURCE, INC.</v>
    <v>86.03</v>
    <v>21.335599999999999</v>
    <v>83.94</v>
    <v>83.07</v>
    <v>110605100</v>
    <v>BLDR</v>
    <v>BUILDERS FIRSTSOURCE, INC. (XNYS:BLDR)</v>
    <v>365130</v>
    <v>2514799</v>
    <v>1998</v>
  </rv>
  <rv s="2">
    <v>1640</v>
  </rv>
  <rv s="25">
    <v>58</v>
    <v>Kyivstar Group Ltd (XNAS:KYIV)</v>
    <v>6</v>
    <v>59</v>
    <v>Finance</v>
    <v>4</v>
    <v>en-US</v>
    <v>cfavp2</v>
    <v>268435456</v>
    <v>1</v>
    <v>Powered by Refinitiv</v>
    <v>16.48</v>
    <v>9.99</v>
    <v>0.40500000000000003</v>
    <v>3.8607999999999996E-2</v>
    <v>USD</v>
    <v>Kyivstar Group Ltd is a United Arab Emirates-based telecommunications and digital services company. The Company provides services across mobile and fixed line technologies, including fourth Generation Mobile Network Technology (4G), big data, cloud solutions, cybersecurity, and digital television (TV), among others.</v>
    <v>5000</v>
    <v>Nasdaq Stock Market</v>
    <v>XNAS</v>
    <v>XNAS</v>
    <v>Unit 517, Level 5, Index Tower, Dubai International Financial Centre, DUBAI, DUBAI AE</v>
    <v>10.925000000000001</v>
    <v>Telecommunications Services</v>
    <v>Stock</v>
    <v>46106.611745821094</v>
    <v>10.53</v>
    <v>2515258922</v>
    <v>Kyivstar Group Ltd</v>
    <v>Kyivstar Group Ltd</v>
    <v>10.53</v>
    <v>20.448599999999999</v>
    <v>10.49</v>
    <v>10.895</v>
    <v>230863600</v>
    <v>KYIV</v>
    <v>Kyivstar Group Ltd (XNAS:KYIV)</v>
    <v>222663</v>
    <v>906048</v>
    <v>2025</v>
  </rv>
  <rv s="2">
    <v>1642</v>
  </rv>
  <rv s="0">
    <v>https://www.bing.com/financeapi/forcetrigger?t=a249r7&amp;q=XNYS%3aTJX&amp;form=skydnc</v>
    <v>Learn more on Bing</v>
  </rv>
  <rv s="1">
    <v>0</v>
    <v>THE TJX COMPANIES, INC. (XNYS:TJX)</v>
    <v>2</v>
    <v>3</v>
    <v>Finance</v>
    <v>4</v>
    <v>en-US</v>
    <v>a249r7</v>
    <v>268435456</v>
    <v>1</v>
    <v>Powered by Refinitiv</v>
    <v>162.6799</v>
    <v>116.37</v>
    <v>0.73309999999999997</v>
    <v>0.16500000000000001</v>
    <v>1.042E-3</v>
    <v>USD</v>
    <v>The TJX Companies, Inc. is an off-price apparel and home fashions retailer in the United States (U.S.) and worldwide. The Company's segments include Marmaxx and HomeGoods, both in the U.S., TJX Canada and TJX International, including Europe and Australia. The TJ Maxx and Marshalls chains sell family apparel, including footwear and accessories, home fashions, including home basics, decorative accessories, and giftware and other merchandise. The HomeGoods segment operates HomeGoods and Homesense chains. HomeGoods offers an eclectic assortment of home fashions, including furniture, rugs, lighting, soft home, decorative accessories, tabletop, and cookware, as well as expanded pet and gourmet food departments. The TJX Canada segment operates the Winners, HomeSense and Marshalls chains in Canada, offering a range of home decor, furniture, and seasonal home merchandise. The TJX International segment operates the TK Maxx and Homesense chains in Europe and the TK Maxx chain in Australia.</v>
    <v>364000</v>
    <v>New York Stock Exchange</v>
    <v>XNYS</v>
    <v>XNYS</v>
    <v>770 Cochituate Rd, FRAMINGHAM, MA, 01701 US</v>
    <v>159.38</v>
    <v>Diversified Retail</v>
    <v>Stock</v>
    <v>46106.612807615624</v>
    <v>1644</v>
    <v>156.77000000000001</v>
    <v>176058990515</v>
    <v>THE TJX COMPANIES, INC.</v>
    <v>THE TJX COMPANIES, INC.</v>
    <v>157.43</v>
    <v>35.011299999999999</v>
    <v>158.38</v>
    <v>158.54499999999999</v>
    <v>1110467000</v>
    <v>TJX</v>
    <v>THE TJX COMPANIES, INC. (XNYS:TJX)</v>
    <v>825282</v>
    <v>4981487</v>
    <v>1962</v>
  </rv>
  <rv s="2">
    <v>1645</v>
  </rv>
  <rv s="0">
    <v>https://www.bing.com/financeapi/forcetrigger?t=bx11nm&amp;q=XNYS%3aDASH&amp;form=skydnc</v>
    <v>Learn more on Bing</v>
  </rv>
  <rv s="1">
    <v>0</v>
    <v>DOORDASH, INC. (XNAS:DASH)</v>
    <v>2</v>
    <v>3</v>
    <v>Finance</v>
    <v>4</v>
    <v>en-US</v>
    <v>bx11nm</v>
    <v>268435456</v>
    <v>1</v>
    <v>Powered by Refinitiv</v>
    <v>285.5</v>
    <v>153</v>
    <v>1.9148000000000001</v>
    <v>-0.01</v>
    <v>-6.4629999999999996E-5</v>
    <v>USD</v>
    <v>DoorDash, Inc. is engaged in providing services that reduce friction in local commerce and help merchants connect with consumers in their communities. The Company's primary offerings include the DoorDash Marketplace and the Wolt Marketplace (together, the Marketplaces), and its Commerce Platform. The Company's Marketplaces operate in over 30 countries across the globe and provide an integrated suite of services that help merchants establish an online presence, connect with consumers in their communities, and solve mission-critical challenges, such as customer acquisition, demand generation, order fulfillment, merchandising, payment processing, and customer support. It also offers advertising as a value-added service through its Marketplaces to help merchants and consumer packaged goods companies increase consumer engagement. The Company also has offsite advertising capabilities. Its white-label delivery fulfillment services include DoorDash Drive On-Demand and Wolt Drive.</v>
    <v>31400</v>
    <v>Nasdaq Stock Market</v>
    <v>XNAS</v>
    <v>XNAS</v>
    <v>303 2nd Street, South Tower, 8th Floor, San Francisco, CA, 94107 US</v>
    <v>159.05000000000001</v>
    <v>Software &amp; IT Services</v>
    <v>Stock</v>
    <v>46106.612786492966</v>
    <v>1647</v>
    <v>154.37</v>
    <v>67214452608</v>
    <v>DOORDASH, INC.</v>
    <v>DOORDASH, INC.</v>
    <v>157.87</v>
    <v>72.963899999999995</v>
    <v>154.72999999999999</v>
    <v>154.72</v>
    <v>434426400</v>
    <v>DASH</v>
    <v>DOORDASH, INC. (XNAS:DASH)</v>
    <v>521255</v>
    <v>5501964</v>
    <v>2013</v>
  </rv>
  <rv s="2">
    <v>1648</v>
  </rv>
  <rv s="0">
    <v>https://www.bing.com/financeapi/forcetrigger?t=a24g52&amp;q=XNAS%3aTQQQ&amp;form=skydnc</v>
    <v>Learn more on Bing</v>
  </rv>
  <rv s="14">
    <v>22</v>
    <v>ProShares:UltP QQQ (XNAS:TQQQ)</v>
    <v>23</v>
    <v>24</v>
    <v>Finance</v>
    <v>25</v>
    <v>en-US</v>
    <v>a24g52</v>
    <v>268435456</v>
    <v>1</v>
    <v>Powered by Refinitiv</v>
    <v>60.685000000000002</v>
    <v>17.5</v>
    <v>2.9527999999999999</v>
    <v>1.4817</v>
    <v>3.4023999999999999E-2</v>
    <v>USD</v>
    <v>Nasdaq Stock Market</v>
    <v>XNAS</v>
    <v>8.199999999999999E-3</v>
    <v>45.2194</v>
    <v>ETF</v>
    <v>46106.612734652343</v>
    <v>1650</v>
    <v>44.164999999999999</v>
    <v>27316505859.220001</v>
    <v>ProShares:UltP QQQ</v>
    <v>44.7</v>
    <v>43.548400000000001</v>
    <v>45.030099999999997</v>
    <v>TQQQ</v>
    <v>ProShares:UltP QQQ (XNAS:TQQQ)</v>
    <v>33294583</v>
    <v>110511079</v>
  </rv>
  <rv s="2">
    <v>1651</v>
  </rv>
  <rv s="0">
    <v>https://www.bing.com/financeapi/forcetrigger?t=a21sk2&amp;q=XNAS%3aRDFN&amp;form=skydnc</v>
    <v>Learn more on Bing</v>
  </rv>
  <rv s="13">
    <v>20</v>
    <v>REDFIN CORPORATION (XNAS:RDFN)</v>
    <v>2</v>
    <v>3</v>
    <v>Finance</v>
    <v>21</v>
    <v>en-US</v>
    <v>a21sk2</v>
    <v>268435456</v>
    <v>1</v>
    <v>1</v>
    <v>Powered by Refinitiv</v>
    <v>15.29</v>
    <v>5.49</v>
    <v>2.3729</v>
    <v>0</v>
    <v>0</v>
    <v>USD</v>
    <v>Redfin Corporation is a technology-powered real estate company. The Company operates an online real estate marketplace and provides real estate services, including assisting individuals in the purchase or sale of their home. The Company’s segments include real estate services, rentals, mortgage, title, and monetization. It uses digital platforms to connect consumers with rental properties. It helps people find a place to live with brokerage, rentals, lending, and title insurance services. Its home-buying customers see homes first with on-demand tours, and its lending and title services help them close quickly. It uses the same combination of technology and local service to originate, service, and subsequently sell mortgage loans and offer title and settlement services. The Company also offers digital platforms to connect consumers with available apartments and houses for rent and for other advertising. It serves approximately 100 markets across the United States and Canada.</v>
    <v>4778</v>
    <v>Nasdaq Stock Market</v>
    <v>XNAS</v>
    <v>XNAS</v>
    <v>1099 Stewart Street, Suite 600, SEATTLE, WA, 98101 US</v>
    <v>11.41</v>
    <v>Real Estate Operations</v>
    <v>Stock</v>
    <v>45838.990161296097</v>
    <v>1653</v>
    <v>11</v>
    <v>1432669128</v>
    <v>REDFIN CORPORATION</v>
    <v>REDFIN CORPORATION</v>
    <v>11.37</v>
    <v>0</v>
    <v>11.23</v>
    <v>11.19</v>
    <v>128031200</v>
    <v>RDFN</v>
    <v>REDFIN CORPORATION (XNAS:RDFN)</v>
    <v>29672835</v>
    <v>7376248</v>
    <v>2005</v>
  </rv>
  <rv s="2">
    <v>1654</v>
  </rv>
  <rv s="0">
    <v>https://www.bing.com/financeapi/forcetrigger?t=c2i1lh&amp;q=XNYS%3aDOCS&amp;form=skydnc</v>
    <v>Learn more on Bing</v>
  </rv>
  <rv s="1">
    <v>0</v>
    <v>DOXIMITY, INC. (XNYS:DOCS)</v>
    <v>2</v>
    <v>3</v>
    <v>Finance</v>
    <v>4</v>
    <v>en-US</v>
    <v>c2i1lh</v>
    <v>268435456</v>
    <v>1</v>
    <v>Powered by Refinitiv</v>
    <v>76.510000000000005</v>
    <v>23.53</v>
    <v>1.4023000000000001</v>
    <v>-0.17</v>
    <v>-6.9840000000000006E-3</v>
    <v>USD</v>
    <v>Doximity, Inc. provides a digital platform for the United States medical professionals. It offers marketing, hiring, and workflow solutions to pharmaceutical manufacturers, health systems, medical recruiting firms, and other healthcare companies. Its marketing solutions enable its pharmaceutical and health system customers to get the right content, services, and peer connections to the right medical professionals through a variety of modules. Its hiring solutions provide digital recruiting capabilities to health systems and medical recruiting firms, enabling them to identify, connect with, and hire from its network of both active and passive medical professional candidates, who might otherwise be missed through traditional recruiting channels. Its workflow solutions include its telehealth, on-call scheduling, and AI-powered workflow tools, are designed to help clinicians streamline their clinical workflow, reduce their administrative burden, and connect with patients and colleagues.</v>
    <v>830</v>
    <v>New York Stock Exchange</v>
    <v>XNYS</v>
    <v>XNYS</v>
    <v>500 Third Street, Suite 510, SAN FRANCISCO, CA, 94107 US</v>
    <v>24.94</v>
    <v>Software &amp; IT Services</v>
    <v>Stock</v>
    <v>46106.612563726565</v>
    <v>1656</v>
    <v>24.0623</v>
    <v>4464416530</v>
    <v>DOXIMITY, INC.</v>
    <v>DOXIMITY, INC.</v>
    <v>24.684999999999999</v>
    <v>20.2956</v>
    <v>24.34</v>
    <v>24.17</v>
    <v>184709000</v>
    <v>DOCS</v>
    <v>DOXIMITY, INC. (XNYS:DOCS)</v>
    <v>247513</v>
    <v>2741590</v>
    <v>2010</v>
  </rv>
  <rv s="2">
    <v>1657</v>
  </rv>
  <rv s="0">
    <v>https://www.bing.com/financeapi/forcetrigger?t=a1v1r7&amp;q=ARCX%3aHYG&amp;form=skydnc</v>
    <v>Learn more on Bing</v>
  </rv>
  <rv s="14">
    <v>22</v>
    <v>iShares:iBoxx $HY Corp (ARCX:HYG)</v>
    <v>23</v>
    <v>24</v>
    <v>Finance</v>
    <v>25</v>
    <v>en-US</v>
    <v>a1v1r7</v>
    <v>268435456</v>
    <v>1</v>
    <v>Powered by Refinitiv</v>
    <v>81.36</v>
    <v>75.08</v>
    <v>1.0508</v>
    <v>0.35499999999999998</v>
    <v>4.4840000000000001E-3</v>
    <v>USD</v>
    <v>NYSE Arca</v>
    <v>ARCX</v>
    <v>4.8999999999999998E-3</v>
    <v>79.579899999999995</v>
    <v>ETF</v>
    <v>46106.612780080468</v>
    <v>1659</v>
    <v>79.4101</v>
    <v>16744918800.18</v>
    <v>iShares:iBoxx $HY Corp</v>
    <v>79.459999999999994</v>
    <v>79.17</v>
    <v>79.525000000000006</v>
    <v>HYG</v>
    <v>iShares:iBoxx $HY Corp (ARCX:HYG)</v>
    <v>14973573</v>
    <v>64916862</v>
  </rv>
  <rv s="2">
    <v>1660</v>
  </rv>
  <rv s="0">
    <v>https://www.bing.com/financeapi/forcetrigger?t=bxcyrw&amp;q=XSTC%3aVIX&amp;form=skydnc</v>
    <v>Learn more on Bing</v>
  </rv>
  <rv s="1">
    <v>0</v>
    <v>VIX Securities Joint Stock Company (XSTC:VIX)</v>
    <v>2</v>
    <v>60</v>
    <v>Finance</v>
    <v>43</v>
    <v>en-US</v>
    <v>bxcyrw</v>
    <v>268435456</v>
    <v>1</v>
    <v>Powered by Refinitiv</v>
    <v>34161</v>
    <v>8405</v>
    <v>2.8601999999999999</v>
    <v>550</v>
    <v>3.5144000000000002E-2</v>
    <v>VND</v>
    <v>VIX Securities JSC is a Vietnam-based company engaged in the provision of investment banking and brokerage services. It is involved in the offering of securities brokerage services through multiple forms and transactions are carried out via the Internet, Call Center or cellphones. The Company is also involved in securities dealing. It provides investment advice, securities custody services and underwriting services. In addition, it offers investor relations consulting and financial consulting services for corporate events, such as corporate restructurings, equitizations, stock listings, share auctions, mergers and acquisitions, equity offerings and bond offerings.</v>
    <v>86</v>
    <v>Hochiminh Stock Exchange</v>
    <v>XSTC</v>
    <v>XSTC</v>
    <v>22nd Floor, No. 52 Le Dai Hanh Street, Hai Ba Trung Ward, HANOI, HANOI VN</v>
    <v>16350</v>
    <v>Investment Banking &amp; Investment Services</v>
    <v>Stock</v>
    <v>46106.336805555555</v>
    <v>1662</v>
    <v>15750</v>
    <v>37366890000000</v>
    <v>VIX Securities Joint Stock Company</v>
    <v>VIX Securities Joint Stock Company</v>
    <v>15900</v>
    <v>5.4291999999999998</v>
    <v>15650</v>
    <v>16200</v>
    <v>2450288000</v>
    <v>VIX</v>
    <v>VIX Securities Joint Stock Company (XSTC:VIX)</v>
    <v>35740900</v>
    <v>30858580</v>
    <v>2007</v>
  </rv>
  <rv s="2">
    <v>1663</v>
  </rv>
  <rv s="0">
    <v>https://www.bing.com/financeapi/forcetrigger?t=a26a7w&amp;q=XNYS%3aXPO&amp;form=skydnc</v>
    <v>Learn more on Bing</v>
  </rv>
  <rv s="1">
    <v>0</v>
    <v>XPO, INC. (XNYS:XPO)</v>
    <v>2</v>
    <v>3</v>
    <v>Finance</v>
    <v>4</v>
    <v>en-US</v>
    <v>a26a7w</v>
    <v>268435456</v>
    <v>1</v>
    <v>Powered by Refinitiv</v>
    <v>220.5</v>
    <v>85.06</v>
    <v>2.0169000000000001</v>
    <v>4.7149999999999999</v>
    <v>2.5305000000000001E-2</v>
    <v>USD</v>
    <v>XPO, Inc. is a provider of freight transportation services. The Company moves goods through its customers supply chains in North America and Europe. It operates through two segments: North American Less-Than-Truckload (LTL), and European Transportation. The North American LTL segment provides shippers with geographic density and day-definite domestic and cross-border services to the United States (U.S.), as well as Mexico, Canada, and the Caribbean. It also includes trailer manufacturing operations. The European Transportation segment offers a range of services, such as truckload, LTL, truck brokerage, managed transportation, last mile, freight forwarding and multimodal solutions, including road-rail and road-short sea combinations. It serves a base of customers in consumer, trade, and industrial markets. The Company offers XPO Smart, its proprietary suite of intelligent tools and analytics that self-adjusts site by site to drive productivity across LTL service center operations.</v>
    <v>37000</v>
    <v>New York Stock Exchange</v>
    <v>XNYS</v>
    <v>XNYS</v>
    <v>Five American Lane, GREENWICH, CT, 06831 US</v>
    <v>192.04480000000001</v>
    <v>Freight &amp; Logistics Services</v>
    <v>Stock</v>
    <v>46106.612689085159</v>
    <v>1665</v>
    <v>186.94</v>
    <v>22380425033</v>
    <v>XPO, INC.</v>
    <v>XPO, INC.</v>
    <v>188.92500000000001</v>
    <v>72.231499999999997</v>
    <v>186.33</v>
    <v>191.04499999999999</v>
    <v>117147400</v>
    <v>XPO</v>
    <v>XPO, INC. (XNYS:XPO)</v>
    <v>214461</v>
    <v>1646459</v>
    <v>2000</v>
  </rv>
  <rv s="2">
    <v>1666</v>
  </rv>
  <rv s="26">
    <v>61</v>
    <v>iShares Bitcoin Trust (XNAS:IBIT)</v>
    <v>49</v>
    <v>62</v>
    <v>Finance</v>
    <v>25</v>
    <v>en-US</v>
    <v>cc5pdm</v>
    <v>268435456</v>
    <v>1</v>
    <v>Powered by Refinitiv</v>
    <v>71.819999999999993</v>
    <v>35.299999999999997</v>
    <v>1.1499999999999999</v>
    <v>2.9277000000000001E-2</v>
    <v>USD</v>
    <v>Nasdaq Stock Market</v>
    <v>XNAS</v>
    <v>2.5000000000000001E-3</v>
    <v>40.799999999999997</v>
    <v>ETF</v>
    <v>46106.612795798435</v>
    <v>40.375</v>
    <v>50146574884.489998</v>
    <v>iShares Bitcoin Trust</v>
    <v>40.619999999999997</v>
    <v>39.28</v>
    <v>40.43</v>
    <v>IBIT</v>
    <v>iShares Bitcoin Trust (XNAS:IBIT)</v>
    <v>13893006</v>
    <v>61623569</v>
  </rv>
  <rv s="2">
    <v>1668</v>
  </rv>
  <rv s="0">
    <v>https://www.bing.com/financeapi/forcetrigger?t=a1mpqh&amp;q=XNYS%3aABBV&amp;form=skydnc</v>
    <v>Learn more on Bing</v>
  </rv>
  <rv s="1">
    <v>0</v>
    <v>ABBVIE INC. (XNYS:ABBV)</v>
    <v>2</v>
    <v>3</v>
    <v>Finance</v>
    <v>4</v>
    <v>en-US</v>
    <v>a1mpqh</v>
    <v>268435456</v>
    <v>1</v>
    <v>Powered by Refinitiv</v>
    <v>244.81</v>
    <v>164.39</v>
    <v>0.38969999999999999</v>
    <v>2.8650000000000002</v>
    <v>1.3962E-2</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Aesthetics portfolio consists of facial injectables, plastics and regenerative medicine, body contouring, and skincare products. Its Neuroscience products include Botox Therapeutic, Vraylar, Duopa and Duodopa, Ubrelvy, and Qulipta. Eye Care products include Ozurdex, Lumigan/Ganfort, Alphagan/Combigan, Restasis, and other eye care. Other key products include Mavyret/Maviret, Creon, and Linzess/Constella. Its investigational candidate, bretisilocin, is for the treatment of patients with moderate-to-severe major depressive disorder (MDD).</v>
    <v>57000</v>
    <v>New York Stock Exchange</v>
    <v>XNYS</v>
    <v>XNYS</v>
    <v>1 N Waukegan Rd, NORTH CHICAGO, IL, 60064 US</v>
    <v>209.68</v>
    <v>Pharmaceuticals</v>
    <v>Stock</v>
    <v>46106.612722152342</v>
    <v>1670</v>
    <v>206.26</v>
    <v>368017465530</v>
    <v>ABBVIE INC.</v>
    <v>ABBVIE INC.</v>
    <v>206.86</v>
    <v>88.151899999999998</v>
    <v>205.2</v>
    <v>208.065</v>
    <v>1768762000</v>
    <v>ABBV</v>
    <v>ABBVIE INC. (XNYS:ABBV)</v>
    <v>1054206</v>
    <v>7247487</v>
    <v>2012</v>
  </rv>
  <rv s="2">
    <v>1671</v>
  </rv>
  <rv s="0">
    <v>https://www.bing.com/financeapi/forcetrigger?t=a1tvoc&amp;q=XNAS%3aGILD&amp;form=skydnc</v>
    <v>Learn more on Bing</v>
  </rv>
  <rv s="1">
    <v>0</v>
    <v>GILEAD SCIENCES, INC. (XNAS:GILD)</v>
    <v>2</v>
    <v>3</v>
    <v>Finance</v>
    <v>4</v>
    <v>en-US</v>
    <v>a1tvoc</v>
    <v>268435456</v>
    <v>1</v>
    <v>Powered by Refinitiv</v>
    <v>157.29</v>
    <v>93.37</v>
    <v>0.40679999999999999</v>
    <v>1.5249999999999999</v>
    <v>1.1042000000000001E-2</v>
    <v>USD</v>
    <v>Gilead Sciences, Inc. is a biopharmaceutical company. It is engaged in advancing medicines to prevent and treat life-threatening diseases, including HIV, viral hepatitis, COVID-19, cancer, and inflammation. It is focused on discovering, developing, and delivering medicines to address unmet medical needs in virology, oncology, and other therapeutic areas. Its portfolio of marketed products includes Biktarvy, Genvoya, Descovy, Complera/Eviplera, Symtuza, Truvada, Stribild, Sunlenca, Epclusa, Vemlidy, Harvoni, Viread, Livdelzi, Veklury, Yescarta, Tecartus, Trodelvy, AmBisome, and Letairis. Its product candidates include Bulevirtide, Lenacapavir, Axicabtagene ciloleucel, Sacituzumab govitecan-hziy, and others. It also develops the HB-400 program and the HB-500 program. It develops therapies that are intended to provide functional cures for hepatitis B virus and human immunodeficiency virus-1. It has a cancer program, namely TREX1. It operates in more than 35 countries worldwide.</v>
    <v>17000</v>
    <v>Nasdaq Stock Market</v>
    <v>XNAS</v>
    <v>XNAS</v>
    <v>333 LAKESIDE DR, FOSTER CITY, CA, 94404-1147 US</v>
    <v>140.41499999999999</v>
    <v>Pharmaceuticals</v>
    <v>Stock</v>
    <v>46106.612722777347</v>
    <v>1673</v>
    <v>138.70500000000001</v>
    <v>173318033970</v>
    <v>GILEAD SCIENCES, INC.</v>
    <v>GILEAD SCIENCES, INC.</v>
    <v>139.76</v>
    <v>20.5839</v>
    <v>138.11000000000001</v>
    <v>139.63499999999999</v>
    <v>1241222000</v>
    <v>GILD</v>
    <v>GILEAD SCIENCES, INC. (XNAS:GILD)</v>
    <v>780388</v>
    <v>6832146</v>
    <v>1987</v>
  </rv>
  <rv s="2">
    <v>1674</v>
  </rv>
  <rv s="0">
    <v>https://www.bing.com/financeapi/forcetrigger?t=bvsk7w&amp;q=XNYS%3aPLTR&amp;form=skydnc</v>
    <v>Learn more on Bing</v>
  </rv>
  <rv s="1">
    <v>0</v>
    <v>PALANTIR TECHNOLOGIES INC. (XNAS:PLTR)</v>
    <v>2</v>
    <v>3</v>
    <v>Finance</v>
    <v>4</v>
    <v>en-US</v>
    <v>bvsk7w</v>
    <v>268435456</v>
    <v>1</v>
    <v>Powered by Refinitiv</v>
    <v>207.52</v>
    <v>66.12</v>
    <v>1.6509</v>
    <v>4.1100000000000003</v>
    <v>2.6554000000000001E-2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160.27000000000001</v>
    <v>Software &amp; IT Services</v>
    <v>Stock</v>
    <v>46106.61271820547</v>
    <v>1676</v>
    <v>157.07</v>
    <v>379853715189</v>
    <v>PALANTIR TECHNOLOGIES INC.</v>
    <v>PALANTIR TECHNOLOGIES INC.</v>
    <v>157.37</v>
    <v>251.09039999999999</v>
    <v>154.78</v>
    <v>158.88999999999999</v>
    <v>2390671000</v>
    <v>PLTR</v>
    <v>PALANTIR TECHNOLOGIES INC. (XNAS:PLTR)</v>
    <v>12734831</v>
    <v>50536071</v>
    <v>2003</v>
  </rv>
  <rv s="2">
    <v>1677</v>
  </rv>
  <rv s="0">
    <v>https://www.bing.com/financeapi/forcetrigger?t=bptw77&amp;q=XNYS%3aUBER&amp;form=skydnc</v>
    <v>Learn more on Bing</v>
  </rv>
  <rv s="1">
    <v>0</v>
    <v>UBER TECHNOLOGIES, INC. (XNYS:UBER)</v>
    <v>2</v>
    <v>3</v>
    <v>Finance</v>
    <v>4</v>
    <v>en-US</v>
    <v>bptw77</v>
    <v>268435456</v>
    <v>1</v>
    <v>Powered by Refinitiv</v>
    <v>101.99</v>
    <v>60.63</v>
    <v>1.2061999999999999</v>
    <v>0.63</v>
    <v>8.7089999999999997E-3</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73.825000000000003</v>
    <v>Software &amp; IT Services</v>
    <v>Stock</v>
    <v>46106.612732858594</v>
    <v>1679</v>
    <v>72.790000000000006</v>
    <v>148627120250</v>
    <v>UBER TECHNOLOGIES, INC.</v>
    <v>UBER TECHNOLOGIES, INC.</v>
    <v>73.099999999999994</v>
    <v>15.4101</v>
    <v>72.34</v>
    <v>72.97</v>
    <v>2036825000</v>
    <v>UBER</v>
    <v>UBER TECHNOLOGIES, INC. (XNYS:UBER)</v>
    <v>2499375</v>
    <v>19374552</v>
    <v>2010</v>
  </rv>
  <rv s="2">
    <v>1680</v>
  </rv>
  <rv s="0">
    <v>https://www.bing.com/financeapi/forcetrigger?t=a1y44c&amp;q=XNAS%3aSBET&amp;form=skydnc</v>
    <v>Learn more on Bing</v>
  </rv>
  <rv s="1">
    <v>0</v>
    <v>SHARPLINK, INC. (XNAS:SBET)</v>
    <v>2</v>
    <v>3</v>
    <v>Finance</v>
    <v>4</v>
    <v>en-US</v>
    <v>a1y44c</v>
    <v>268435456</v>
    <v>1</v>
    <v>Powered by Refinitiv</v>
    <v>124.12</v>
    <v>2.2559999999999998</v>
    <v>3.06</v>
    <v>0.21</v>
    <v>2.9288999999999999E-2</v>
    <v>USD</v>
    <v>SharpLink, Inc. manages the Ether (ETH), the native token of the Ethereum blockchain in the United States. Its segments include ETH Treasury Management and Affiliate Marketing. The ETH Treasury Management segment captures ETH based yield generated by participating in the Ethereum network’s staking protocol, which comprises rewards received from native staking. ETH is the global platform for stablecoins, tokenized real world assets, and decentralized finance. The Affiliate Marketing segment is focused on performance-based customer acquisition services for leading sportsbooks and online casino gaming operators. Through its iGaming affiliate marketing network, known as PAS.net, it focuses on driving qualified traffic and player acquisitions, retention and conversions to U.S. regulated and global iGaming operator partners worldwide.</v>
    <v>15</v>
    <v>Nasdaq Stock Market</v>
    <v>XNAS</v>
    <v>XNAS</v>
    <v>200 S. Biscayne Boulevard, MIAMI, FL, 33131 US</v>
    <v>7.57</v>
    <v>Media &amp; Publishing</v>
    <v>Stock</v>
    <v>46106.612595902341</v>
    <v>1682</v>
    <v>7.37</v>
    <v>1455052608</v>
    <v>SHARPLINK, INC.</v>
    <v>SHARPLINK, INC.</v>
    <v>7.37</v>
    <v>0</v>
    <v>7.17</v>
    <v>7.38</v>
    <v>197161600</v>
    <v>SBET</v>
    <v>SHARPLINK, INC. (XNAS:SBET)</v>
    <v>1598724</v>
    <v>5948817</v>
    <v>2022</v>
  </rv>
  <rv s="2">
    <v>1683</v>
  </rv>
  <rv s="0">
    <v>https://www.bing.com/financeapi/forcetrigger?t=a1v8rw&amp;q=XNAS%3aICLN&amp;form=skydnc</v>
    <v>Learn more on Bing</v>
  </rv>
  <rv s="14">
    <v>22</v>
    <v>iShares:Gl Cl Energy (XNAS:ICLN)</v>
    <v>23</v>
    <v>24</v>
    <v>Finance</v>
    <v>25</v>
    <v>en-US</v>
    <v>a1v8rw</v>
    <v>268435456</v>
    <v>1</v>
    <v>Powered by Refinitiv</v>
    <v>19.38</v>
    <v>10.463699999999999</v>
    <v>1.0004999999999999</v>
    <v>0.41</v>
    <v>2.2391999999999999E-2</v>
    <v>USD</v>
    <v>Nasdaq Stock Market</v>
    <v>XNAS</v>
    <v>3.9000000000000003E-3</v>
    <v>18.77</v>
    <v>ETF</v>
    <v>46106.612657360936</v>
    <v>1685</v>
    <v>18.559999999999999</v>
    <v>2121759184.7</v>
    <v>iShares:Gl Cl Energy</v>
    <v>18.559999999999999</v>
    <v>18.309999999999999</v>
    <v>18.72</v>
    <v>ICLN</v>
    <v>iShares:Gl Cl Energy (XNAS:ICLN)</v>
    <v>617472</v>
    <v>4755387</v>
  </rv>
  <rv s="2">
    <v>1686</v>
  </rv>
  <rv s="0">
    <v>https://www.bing.com/financeapi/forcetrigger?t=a2txar&amp;q=OTCM%3aBMNR&amp;form=skydnc</v>
    <v>Learn more on Bing</v>
  </rv>
  <rv s="1">
    <v>0</v>
    <v>BITMINE IMMERSION TECHNOLOGIES, INC. (XNYS:BMNR)</v>
    <v>2</v>
    <v>3</v>
    <v>Finance</v>
    <v>4</v>
    <v>en-US</v>
    <v>a2txar</v>
    <v>268435456</v>
    <v>1</v>
    <v>Powered by Refinitiv</v>
    <v>161</v>
    <v>3.2</v>
    <v>1.4045000000000001</v>
    <v>0.49619999999999997</v>
    <v>2.3856000000000002E-2</v>
    <v>USD</v>
    <v>Bitmine Immersion Technologies Inc. is a Bitcoin (BTC) and Ethereum (ETH) network company, focusing on the accumulation of Crypto for long-term investment. The Company’s business lines include Bitcoin Mining, synthetic Bitcoin mining through involvement in Bitcoin mining, hashrate as a financial product, offering advisory and mining services to companies, and general Bitcoin advisory to public companies. Its business integrates a digital asset treasury anchored in ETH with an operating platform historically focused on BTC mining and hosting. Through its legacy mining-as-a-service business, it provided turnkey infrastructure and management solutions for institutional clients seeking BTC mining exposure without direct operational obligations. The mining-as-a-services include hardware sales and deployment support; operations management, uptime maximization, and pool payout optimization; and financial reporting and compliance support.</v>
    <v>3</v>
    <v>New York Stock Exchange</v>
    <v>XNYS</v>
    <v>XNYS</v>
    <v>10845 Griffith Peak Dr. #2, LAS VEGAS, NV, 89135 US</v>
    <v>21.88</v>
    <v>Financial Technology (Fintech) &amp; Infrastructure</v>
    <v>Stock</v>
    <v>46106.612710508591</v>
    <v>1688</v>
    <v>21.27</v>
    <v>9686842772</v>
    <v>BITMINE IMMERSION TECHNOLOGIES, INC.</v>
    <v>BITMINE IMMERSION TECHNOLOGIES, INC.</v>
    <v>21.46</v>
    <v>0</v>
    <v>20.8</v>
    <v>21.296199999999999</v>
    <v>454862500</v>
    <v>BMNR</v>
    <v>BITMINE IMMERSION TECHNOLOGIES, INC. (XNYS:BMNR)</v>
    <v>12408139</v>
    <v>44924647</v>
    <v>2019</v>
  </rv>
  <rv s="2">
    <v>1689</v>
  </rv>
  <rv s="0">
    <v>https://www.bing.com/financeapi/forcetrigger?t=a26gf2&amp;q=XNAS%3aLRMR&amp;form=skydnc</v>
    <v>Learn more on Bing</v>
  </rv>
  <rv s="1">
    <v>0</v>
    <v>LARIMAR THERAPEUTICS, INC. (XNAS:LRMR)</v>
    <v>2</v>
    <v>3</v>
    <v>Finance</v>
    <v>4</v>
    <v>en-US</v>
    <v>a26gf2</v>
    <v>268435456</v>
    <v>1</v>
    <v>Powered by Refinitiv</v>
    <v>6.42</v>
    <v>1.61</v>
    <v>1.0146999999999999</v>
    <v>9.5000000000000001E-2</v>
    <v>2.0788000000000001E-2</v>
    <v>USD</v>
    <v>Larimar Therapeutics, Inc. is a clinical-stage biotechnology company. The Company is focused on developing treatments for patients suffering from complex rare diseases using its novel cell penetrating peptide (CPP) technology platform. The Company’s lead product candidate, nomlabofusp, is a subcutaneously administered, recombinant fusion protein intended to deliver tissue frataxin (FXN), an essential protein, to the mitochondria of patients with Friedreich's ataxia (FA). FA is a rare, progressive, and fatal disease in which patients are unable to produce sufficient FXN due to a genetic abnormality. Its CPP platform, which enables a therapeutic molecule to cross a cell membrane in order to reach intracellular targets, has the potential to enable the treatment of other rare and orphan diseases. The Company intends to use its proprietary platform to target additional orphan indications characterized by deficiencies in or alterations of intracellular content or activity.</v>
    <v>71</v>
    <v>Nasdaq Stock Market</v>
    <v>XNAS</v>
    <v>XNAS</v>
    <v>THREE BALA PLAZA EAST. SUITE 506, BALA CYNWYD, PA, 19004 US</v>
    <v>4.75</v>
    <v>Biotechnology &amp; Medical Research</v>
    <v>Stock</v>
    <v>46106.612682707811</v>
    <v>1691</v>
    <v>4.6100000000000003</v>
    <v>484613728</v>
    <v>LARIMAR THERAPEUTICS, INC.</v>
    <v>LARIMAR THERAPEUTICS, INC.</v>
    <v>4.6100000000000003</v>
    <v>0</v>
    <v>4.57</v>
    <v>4.665</v>
    <v>103882900</v>
    <v>LRMR</v>
    <v>LARIMAR THERAPEUTICS, INC. (XNAS:LRMR)</v>
    <v>2235050</v>
    <v>8529152</v>
    <v>2005</v>
  </rv>
  <rv s="2">
    <v>1692</v>
  </rv>
  <rv s="0">
    <v>http://en.wikipedia.org/wiki/Progressive_Corporation</v>
    <v>Wikipedia</v>
  </rv>
  <rv s="6">
    <v>65</v>
    <v>1694</v>
  </rv>
  <rv s="7">
    <v>14</v>
    <v>https://www.bing.com/th?id=AMMS_1ae7fef605fb644f70b899c25b5ca660&amp;qlt=95</v>
    <v>1695</v>
    <v>0</v>
    <v>https://www.bing.com/images/search?form=xlimg&amp;q=progressive</v>
    <v>Image of THE PROGRESSIVE CORPORATION</v>
  </rv>
  <rv s="0">
    <v>https://www.bing.com/financeapi/forcetrigger?t=a1ztlh&amp;q=XNYS%3aPGR&amp;form=skydnc</v>
    <v>Learn more on Bing</v>
  </rv>
  <rv s="8">
    <v>10</v>
    <v>THE PROGRESSIVE CORPORATION (XNYS:PGR)</v>
    <v>12</v>
    <v>13</v>
    <v>Finance</v>
    <v>4</v>
    <v>en-US</v>
    <v>a1ztlh</v>
    <v>268435456</v>
    <v>1</v>
    <v>Powered by Refinitiv</v>
    <v>289.95999999999998</v>
    <v>197.92</v>
    <v>0.30759999999999998</v>
    <v>-2.89</v>
    <v>-1.4015E-2</v>
    <v>USD</v>
    <v>The Progressive Corporation is an insurance holding company, which has insurance and non-insurance subsidiaries and affiliates. The Company’s segments include Personal Lines, Commercial Lines and Other indemnity. The Personal Lines segment writes insurance for personal autos and special lines products. Its special lines of products include recreational vehicles, such as motorcycles, RVs, and watercraft. Its Personal Lines products are sold through both the agency and direct channels. The Commercial Lines segment writes auto-related liability and physical damage insurance, business-related general liability and commercial property insurance predominately for small businesses, and workers’ compensation insurance primarily for the transportation industry. Its reinsurance activity includes both transactions which are regulated and those that are non-regulated. It offers shopping tools and services, such as Name Your Price, Snapshot, and HomeQuote Explorer.</v>
    <v>70000</v>
    <v>New York Stock Exchange</v>
    <v>XNYS</v>
    <v>XNYS</v>
    <v>300 North Commons Blvd., MAYFIELD VILLAGE, OH, 44143 US</v>
    <v>207.7</v>
    <v>1696</v>
    <v>Insurance</v>
    <v>Stock</v>
    <v>46106.612752383597</v>
    <v>1697</v>
    <v>203.01499999999999</v>
    <v>118934636496</v>
    <v>THE PROGRESSIVE CORPORATION</v>
    <v>THE PROGRESSIVE CORPORATION</v>
    <v>205.89500000000001</v>
    <v>10.571400000000001</v>
    <v>206.21</v>
    <v>203.32</v>
    <v>584962800</v>
    <v>PGR</v>
    <v>THE PROGRESSIVE CORPORATION (XNYS:PGR)</v>
    <v>421337</v>
    <v>3223148</v>
    <v>1965</v>
  </rv>
  <rv s="2">
    <v>1698</v>
  </rv>
  <rv s="0">
    <v>https://www.bing.com/financeapi/forcetrigger?t=a24t4c&amp;q=XNAS%3aUCTT&amp;form=skydnc</v>
    <v>Learn more on Bing</v>
  </rv>
  <rv s="1">
    <v>0</v>
    <v>ULTRA CLEAN HOLDINGS, INC. (XNAS:UCTT)</v>
    <v>2</v>
    <v>3</v>
    <v>Finance</v>
    <v>4</v>
    <v>en-US</v>
    <v>a24t4c</v>
    <v>268435456</v>
    <v>1</v>
    <v>Powered by Refinitiv</v>
    <v>73.8</v>
    <v>16.655000000000001</v>
    <v>1.7938000000000001</v>
    <v>1.83</v>
    <v>2.8036999999999999E-2</v>
    <v>USD</v>
    <v>Ultra Clean Holdings, Inc. is a developer and supplier of critical subsystems, components, parts, and ultra-high purity cleaning and analytical services, primarily for the semiconductor industry. It offers its customers an integrated outsourced solution for major subassemblies, design-to-delivery cycle times, design for manufacturability, and prototyping. The Company’s segments are Products and Services. The Products segment primarily designs, engineers, and manufactures production tools, components, parts, and modules and subsystems. The Products segment includes chemical delivery modules, frame assemblies, gas delivery systems, fluid delivery systems, precision robotics and process modules as well as other high-level assemblies. The Services segment provides ultra-high purity parts cleaning, process tool part recoating, surface encapsulation and high sensitivity micro contamination analysis primarily for the semiconductor device makers and wafer fabrication equipment (WFE) markets.</v>
    <v>7411</v>
    <v>Nasdaq Stock Market</v>
    <v>XNAS</v>
    <v>XNAS</v>
    <v>26462 Corporate Ave, HAYWARD, CA, 94545 US</v>
    <v>67.2</v>
    <v>Semiconductors &amp; Semiconductor Equipment</v>
    <v>Stock</v>
    <v>46106.61273490703</v>
    <v>1700</v>
    <v>64.209999999999994</v>
    <v>3052381683</v>
    <v>ULTRA CLEAN HOLDINGS, INC.</v>
    <v>ULTRA CLEAN HOLDINGS, INC.</v>
    <v>65.8</v>
    <v>0</v>
    <v>65.27</v>
    <v>67.099999999999994</v>
    <v>45490040</v>
    <v>UCTT</v>
    <v>ULTRA CLEAN HOLDINGS, INC. (XNAS:UCTT)</v>
    <v>158361</v>
    <v>1833253</v>
    <v>2002</v>
  </rv>
  <rv s="2">
    <v>1701</v>
  </rv>
  <rv s="0">
    <v>https://www.bing.com/financeapi/forcetrigger?t=bvu46h&amp;q=XNAS%3aLCID&amp;form=skydnc</v>
    <v>Learn more on Bing</v>
  </rv>
  <rv s="1">
    <v>0</v>
    <v>LUCID GROUP, INC. (XNAS:LCID)</v>
    <v>2</v>
    <v>3</v>
    <v>Finance</v>
    <v>4</v>
    <v>en-US</v>
    <v>bvu46h</v>
    <v>268435456</v>
    <v>1</v>
    <v>Powered by Refinitiv</v>
    <v>33.700000000000003</v>
    <v>9.1199999999999992</v>
    <v>1.127</v>
    <v>0.27</v>
    <v>2.6061999999999998E-2</v>
    <v>USD</v>
    <v>Lucid Group, Inc. is a technology company, which designs, engineers, and manufactures electric vehicles (EVs), EV powertrains, and battery systems in-house using its own equipment and factories. It sells vehicles directly to consumers through its retail sales network and through direct online sales. Its vehicles include Lucid Air and Lucid Gravity. Lucid Air is an advanced car, featuring powertrain technology. It offers 420 miles of the United States Environmental Protection Agency (EPA)-estimated range, with an 84-kWh battery pack. The Lucid Air Sapphire is the highest-performance version of the Lucid Air, boasting 1,234 horsepower from three motors, 427 miles of an EPA-estimated range (when equipped with standard wheel covers). The Lucid Gravity provides the interior space and practicality of a full-size SUV within the exterior footprint of a mid-size SUV. It provides space for up to seven adults. It has engineered the Lucid Gravity to deliver up to 450 miles of EPA-estimated range.</v>
    <v>9000</v>
    <v>Nasdaq Stock Market</v>
    <v>XNAS</v>
    <v>XNAS</v>
    <v>7373 Gateway Blvd., NEWARK, CA, 94560 US</v>
    <v>10.9</v>
    <v>Automobiles &amp; Auto Parts</v>
    <v>Stock</v>
    <v>46106.612698796096</v>
    <v>1703</v>
    <v>10.51</v>
    <v>3483283046</v>
    <v>LUCID GROUP, INC.</v>
    <v>LUCID GROUP, INC.</v>
    <v>10.51</v>
    <v>0</v>
    <v>10.36</v>
    <v>10.63</v>
    <v>327684200</v>
    <v>LCID</v>
    <v>LUCID GROUP, INC. (XNAS:LCID)</v>
    <v>1395939</v>
    <v>6464949</v>
    <v>2020</v>
  </rv>
  <rv s="2">
    <v>1704</v>
  </rv>
  <rv s="0">
    <v>https://www.bing.com/financeapi/forcetrigger?t=c1db5r&amp;q=XNAS%3aSKYT&amp;form=skydnc</v>
    <v>Learn more on Bing</v>
  </rv>
  <rv s="1">
    <v>0</v>
    <v>SKYWATER TECHNOLOGY, INC. (XNAS:SKYT)</v>
    <v>2</v>
    <v>3</v>
    <v>Finance</v>
    <v>4</v>
    <v>en-US</v>
    <v>c1db5r</v>
    <v>268435456</v>
    <v>1</v>
    <v>Powered by Refinitiv</v>
    <v>36.268000000000001</v>
    <v>5.67</v>
    <v>3.4535</v>
    <v>0.28999999999999998</v>
    <v>9.9319999999999999E-3</v>
    <v>USD</v>
    <v>SkyWater Technology, Inc. is an independent, pure-play technology foundry that offers advanced semiconductor development and manufacturing services. The Company’s Technology-as-a-Service (TaaS) model leverages a foundation of proprietary technology, engineering know-how capabilities, and microelectronics manufacturing capacity to co-develop process technology intellectual property (IP) with its customers that enable disruptive concepts through its Advanced Technology Services (ATS) for diverse microelectronics (integrated circuits (ICs)) and related micro- and nanotechnology applications. In addition to differentiated technology development services, it supports customers with volume production of ICs for high-growth markets through its Wafer Services. Its Wafer Services include the manufacture of silicon-based analog and mixed-signal ICs for its end markets. Through its ATS model, it specializes in co-creating advanced solutions with its customers that directly serve its end markets.</v>
    <v>1551</v>
    <v>Nasdaq Stock Market</v>
    <v>XNAS</v>
    <v>XNAS</v>
    <v>2401 East 86Th Street, BLOOMINGTON, MN, 55425 US</v>
    <v>29.73</v>
    <v>Semiconductors &amp; Semiconductor Equipment</v>
    <v>Stock</v>
    <v>46106.612658553124</v>
    <v>1706</v>
    <v>29.29</v>
    <v>1415374909</v>
    <v>SKYWATER TECHNOLOGY, INC.</v>
    <v>SKYWATER TECHNOLOGY, INC.</v>
    <v>29.29</v>
    <v>11.4413</v>
    <v>29.2</v>
    <v>29.49</v>
    <v>47995080</v>
    <v>SKYT</v>
    <v>SKYWATER TECHNOLOGY, INC. (XNAS:SKYT)</v>
    <v>192517</v>
    <v>1042311</v>
    <v>2016</v>
  </rv>
  <rv s="2">
    <v>1707</v>
  </rv>
  <rv s="4">
    <v>63</v>
    <v>GALAXY DIGITAL INC. (NEOE:GLXY)</v>
    <v>6</v>
    <v>64</v>
    <v>Finance</v>
    <v>65</v>
    <v>en-US</v>
    <v>cdrkc7</v>
    <v>268435456</v>
    <v>1</v>
    <v>Powered by Refinitiv</v>
    <v>64.2</v>
    <v>11.5</v>
    <v>3.6051000000000002</v>
    <v>0</v>
    <v>0</v>
    <v>CAD</v>
    <v>Galaxy Digital Inc. is engaged in the business of digital assets and data center infrastructure, delivering solutions that accelerate progress in finance and artificial intelligence (AI). The Company's digital assets platform offers institutional access to trading, advisory, asset management, staking, self-custody, and tokenization technology. In addition, it develops and operates data center infrastructure to power AI and high-performance computing workloads. The Company's segments include Digital Assets, Data Centers, and Treasury and Corporate. Its Digital Assets operating business segment provides new products and capabilities such as staking, margin-based financing and active exchange-traded funds. The Data Centers segment comprises the Helios infrastructure assets. Its Data Centers segment develops and operates High Performance Computing (HPC) infrastructure to meet the growing demand for large-scale, power-ready facilities in the AI/HPC industry.</v>
    <v>520</v>
    <v>NEO Exchange</v>
    <v>NEOE</v>
    <v>NEOE</v>
    <v>300 Vesey Street, 13Th Floor, NEW YORK, NY, 10282 US</v>
    <v>29.62</v>
    <v>Investment Banking &amp; Investment Services</v>
    <v>Stock</v>
    <v>46100.833671203123</v>
    <v>28.05</v>
    <v>10489410000</v>
    <v>GALAXY DIGITAL INC.</v>
    <v>GALAXY DIGITAL INC.</v>
    <v>28.51</v>
    <v>29.91</v>
    <v>28.68</v>
    <v>391109300</v>
    <v>GLXY</v>
    <v>GALAXY DIGITAL INC. (NEOE:GLXY)</v>
    <v>59200</v>
    <v>4703340</v>
    <v>2021</v>
  </rv>
  <rv s="2">
    <v>1709</v>
  </rv>
  <rv s="0">
    <v>https://www.bing.com/financeapi/forcetrigger?t=a223r7&amp;q=XNYS%3aRMD&amp;form=skydnc</v>
    <v>Learn more on Bing</v>
  </rv>
  <rv s="1">
    <v>0</v>
    <v>RESMED INC. (XNYS:RMD)</v>
    <v>2</v>
    <v>3</v>
    <v>Finance</v>
    <v>4</v>
    <v>en-US</v>
    <v>a223r7</v>
    <v>268435456</v>
    <v>1</v>
    <v>Powered by Refinitiv</v>
    <v>293.81</v>
    <v>199.92</v>
    <v>0.92</v>
    <v>-6.0250000000000004</v>
    <v>-2.6402999999999999E-2</v>
    <v>USD</v>
    <v>ResMed Inc. is a holding company. The Company, through its subsidiaries, in the development, manufacturing, distribution and marketing of medical devices and cloud-based software applications that diagnose, treat and manage respiratory disorders, including sleep disordered breathing (SDB), chronic obstructive pulmonary disease, neuromuscular disease and other chronic diseases. Its segments include Sleep and Breathing Health segment and the Residential Care Software segment. It also operates a Software as a Service (SaaS) business in the United States and Germany that includes out-of-hospital software platforms designed to support the professionals and caregivers who help people stay healthy in the home or care setting of their choice. Its products and solutions are designed to improve patients' quality of life and reduce the impact of chronic disease. Its cloud-based digital health software applications, along with its devices, are designed to provide connected care.</v>
    <v>10600</v>
    <v>New York Stock Exchange</v>
    <v>XNYS</v>
    <v>XNYS</v>
    <v>9001 Spectrum Center Blvd, SAN DIEGO, CA, 92123 US</v>
    <v>232.6</v>
    <v>Healthcare Equipment &amp; Supplies</v>
    <v>Stock</v>
    <v>46106.612726284373</v>
    <v>1711</v>
    <v>219.4</v>
    <v>32364641736</v>
    <v>RESMED INC.</v>
    <v>RESMED INC.</v>
    <v>230.85</v>
    <v>21.961300000000001</v>
    <v>228.19</v>
    <v>222.16499999999999</v>
    <v>145678400</v>
    <v>RMD</v>
    <v>RESMED INC. (XNYS:RMD)</v>
    <v>687889</v>
    <v>989729</v>
    <v>1994</v>
  </rv>
  <rv s="2">
    <v>1712</v>
  </rv>
  <rv s="0">
    <v>https://www.bing.com/financeapi/forcetrigger?t=bxb5m7&amp;q=XNYS%3aIONQ&amp;form=skydnc</v>
    <v>Learn more on Bing</v>
  </rv>
  <rv s="10">
    <v>18</v>
    <v>IONQ, INC. (XNYS:IONQ)</v>
    <v>2</v>
    <v>8</v>
    <v>Finance</v>
    <v>4</v>
    <v>en-US</v>
    <v>bxb5m7</v>
    <v>268435456</v>
    <v>1</v>
    <v>Powered by Refinitiv</v>
    <v>84.64</v>
    <v>18.809999999999999</v>
    <v>2.7538</v>
    <v>0.99</v>
    <v>3.0275E-2</v>
    <v>USD</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1132</v>
    <v>New York Stock Exchange</v>
    <v>XNYS</v>
    <v>XNYS</v>
    <v>4505 Campus Drive, Suite 100, COLLEGE PARK, MD, 20740 US</v>
    <v>34.18</v>
    <v>Computers, Phones &amp; Household Electronics</v>
    <v>Stock</v>
    <v>46106.612718228906</v>
    <v>1714</v>
    <v>33.36</v>
    <v>12352125183</v>
    <v>IONQ, INC.</v>
    <v>IONQ, INC.</v>
    <v>33.450000000000003</v>
    <v>32.700000000000003</v>
    <v>33.69</v>
    <v>366640700</v>
    <v>IONQ</v>
    <v>IONQ, INC. (XNYS:IONQ)</v>
    <v>4833886</v>
    <v>21967648</v>
    <v>2020</v>
  </rv>
  <rv s="2">
    <v>1715</v>
  </rv>
  <rv s="0">
    <v>https://www.bing.com/financeapi/forcetrigger?t=c2mtim&amp;q=XNAS%3aDUOL&amp;form=skydnc</v>
    <v>Learn more on Bing</v>
  </rv>
  <rv s="1">
    <v>0</v>
    <v>DUOLINGO, INC. (XNAS:DUOL)</v>
    <v>2</v>
    <v>3</v>
    <v>Finance</v>
    <v>4</v>
    <v>en-US</v>
    <v>c2mtim</v>
    <v>268435456</v>
    <v>1</v>
    <v>Powered by Refinitiv</v>
    <v>544.92999999999995</v>
    <v>91.99</v>
    <v>0.88900000000000001</v>
    <v>1.34</v>
    <v>1.3717999999999999E-2</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101.85</v>
    <v>Software &amp; IT Services</v>
    <v>Stock</v>
    <v>46106.612776678128</v>
    <v>1717</v>
    <v>99.02</v>
    <v>4649017715</v>
    <v>DUOLINGO, INC.</v>
    <v>DUOLINGO, INC.</v>
    <v>99.89</v>
    <v>11.679600000000001</v>
    <v>97.68</v>
    <v>99.02</v>
    <v>46950290</v>
    <v>DUOL</v>
    <v>DUOLINGO, INC. (XNAS:DUOL)</v>
    <v>244910</v>
    <v>3294672</v>
    <v>2011</v>
  </rv>
  <rv s="2">
    <v>1718</v>
  </rv>
  <rv s="0">
    <v>https://www.bing.com/financeapi/forcetrigger?t=a1zgm7&amp;q=XNAS%3aPANW&amp;form=skydnc</v>
    <v>Learn more on Bing</v>
  </rv>
  <rv s="1">
    <v>0</v>
    <v>PALO ALTO NETWORKS, INC. (XNAS:PANW)</v>
    <v>2</v>
    <v>3</v>
    <v>Finance</v>
    <v>4</v>
    <v>en-US</v>
    <v>a1zgm7</v>
    <v>268435456</v>
    <v>1</v>
    <v>Powered by Refinitiv</v>
    <v>223.61</v>
    <v>139.57060000000001</v>
    <v>0.78169999999999995</v>
    <v>1.9</v>
    <v>1.2086E-2</v>
    <v>USD</v>
    <v>Palo Alto Networks, Inc. is a global artificial intelligence (AI) cybersecurity company, with a comprehensive portfolio of cybersecurity solutions and platforms across network, cloud, security operations, AI and Identity. Its network security platform includes Secure Access Service Edge (SASE), Next-Generation Firewalls, Cloud Delivered Security Services (CDSS), Prisma AIRS, and Strata Cloud Manager (SCM). It delivers security operations capabilities that unifies standalone Security Information and Event Management (SIEM) tools, endpoint security, security automation, cloud detection and response (CDR), as well as attack surface management (ASM) capabilities on its Cortex platform. It delivers comprehensive security across the cloud application development lifecycle through Cortex Cloud. Its Unit 42 brings together expertise across threat research, incident response, and security consulting to deliver intelligence-driven, response-ready outcomes that help customers reduce cyber risk.</v>
    <v>17027</v>
    <v>Nasdaq Stock Market</v>
    <v>XNAS</v>
    <v>XNAS</v>
    <v>3000 Tannery Way, SANTA CLARA, CA, 95054 US</v>
    <v>160.285</v>
    <v>Software &amp; IT Services</v>
    <v>Stock</v>
    <v>46106.612680439066</v>
    <v>1720</v>
    <v>157.405</v>
    <v>129038210000</v>
    <v>PALO ALTO NETWORKS, INC.</v>
    <v>PALO ALTO NETWORKS, INC.</v>
    <v>159.69999999999999</v>
    <v>88.100800000000007</v>
    <v>157.21</v>
    <v>159.11000000000001</v>
    <v>811000000</v>
    <v>PANW</v>
    <v>PALO ALTO NETWORKS, INC. (XNAS:PANW)</v>
    <v>1246658</v>
    <v>11136499</v>
    <v>2005</v>
  </rv>
  <rv s="2">
    <v>1721</v>
  </rv>
  <rv s="0">
    <v>https://www.bing.com/financeapi/forcetrigger?t=aw1wlh&amp;q=XNAS%3aASYS&amp;form=skydnc</v>
    <v>Learn more on Bing</v>
  </rv>
  <rv s="1">
    <v>0</v>
    <v>AMTECH SYSTEMS, INC. (XNAS:ASYS)</v>
    <v>2</v>
    <v>3</v>
    <v>Finance</v>
    <v>4</v>
    <v>en-US</v>
    <v>aw1wlh</v>
    <v>268435456</v>
    <v>1</v>
    <v>Powered by Refinitiv</v>
    <v>18.59</v>
    <v>3.2</v>
    <v>1.6498999999999999</v>
    <v>0.38279999999999997</v>
    <v>3.3345E-2</v>
    <v>USD</v>
    <v>Amtech Systems, Inc. is a global manufacturer of thermal processing, wafer cleaning and chemical mechanical polishing (CMP) capital equipment and related consumables used in semiconductor, advanced mobility and renewable energy manufacturing applications. The Company’s segment includes Thermal Processing Solutions and Semiconductor Fabrication Solutions. The Thermal Processing Solutions include reflow equipment for chip packaging and electronic assembly, diffusion furnaces and furnaces used to produce ceramic-based power semiconductor packages and passive electronic components. The Semiconductor Fabrication Solutions include consumables, equipment and services for wafer polishing, cleaning, slicing and dicing. It sells process equipment and services used in the fabrication of semiconductor devices, such as silicon carbide (SiC), silicon power, electronic assemblies and modules to semiconductor device and module manufacturers globally, particularly in Asia, North America and Europe.</v>
    <v>264</v>
    <v>Nasdaq Stock Market</v>
    <v>XNAS</v>
    <v>XNAS</v>
    <v>58 S River Drive Suite 370, TEMPE, AZ, 85288 US</v>
    <v>11.94</v>
    <v>Semiconductors &amp; Semiconductor Equipment</v>
    <v>Stock</v>
    <v>46106.612515439061</v>
    <v>1723</v>
    <v>11.48</v>
    <v>170901309</v>
    <v>AMTECH SYSTEMS, INC.</v>
    <v>AMTECH SYSTEMS, INC.</v>
    <v>11.57</v>
    <v>0</v>
    <v>11.48</v>
    <v>11.8628</v>
    <v>14406490</v>
    <v>ASYS</v>
    <v>AMTECH SYSTEMS, INC. (XNAS:ASYS)</v>
    <v>19628</v>
    <v>192411</v>
    <v>1981</v>
  </rv>
  <rv s="2">
    <v>1724</v>
  </rv>
  <rv s="0">
    <v>https://www.bing.com/financeapi/forcetrigger?t=c5m45r&amp;q=XNAS%3aSTSS&amp;form=skydnc</v>
    <v>Learn more on Bing</v>
  </rv>
  <rv s="1">
    <v>0</v>
    <v>Sharps Technology Inc (XNAS:STSS)</v>
    <v>2</v>
    <v>3</v>
    <v>Finance</v>
    <v>4</v>
    <v>en-US</v>
    <v>c5m45r</v>
    <v>268435456</v>
    <v>1</v>
    <v>Powered by Refinitiv</v>
    <v>55.26</v>
    <v>1.415</v>
    <v>2.0651000000000002</v>
    <v>0.03</v>
    <v>1.7340999999999999E-2</v>
    <v>USD</v>
    <v>Sharps Technology, Inc. is a medical device and pharmaceutical packaging company. The Company is engaged in offering patented smart-safety syringe products to the healthcare industry. The Company's smart safety syringe products, such as Securgard, Sologard, and Sharps Provensa, are ultra-low waste syringes that incorporate both passive and active safety and reuse prevention features. It Sharps Securegard and Sologard safety syringe product lines incorporate both active and passive safety features and have been designed to address the primary administration concerns with syringe delivery systems, including accidental needlestick injuries, wasted medicine/dead space and reuse prevention. It also offers products that are designed with specialized copolymer technology to support the prefillable syringe market segment. It has a manufacturing facility in Hungary and is pursuing plans to expand its manufacturing capacity in the United States.</v>
    <v>5</v>
    <v>Nasdaq Stock Market</v>
    <v>XNAS</v>
    <v>XNAS</v>
    <v>105 Maxess Road, Ste. 124, MELVILLE, NY, 11747 US</v>
    <v>1.8</v>
    <v>Healthcare Equipment &amp; Supplies</v>
    <v>Stock</v>
    <v>46106.612570728903</v>
    <v>1726</v>
    <v>1.7574000000000001</v>
    <v>51031904</v>
    <v>Sharps Technology Inc</v>
    <v>Sharps Technology Inc</v>
    <v>1.79</v>
    <v>0</v>
    <v>1.73</v>
    <v>1.76</v>
    <v>28995400</v>
    <v>STSS</v>
    <v>Sharps Technology Inc (XNAS:STSS)</v>
    <v>98710</v>
    <v>294799</v>
    <v>2022</v>
  </rv>
  <rv s="2">
    <v>1727</v>
  </rv>
  <rv s="0">
    <v>https://www.bing.com/financeapi/forcetrigger?t=a1vt77&amp;q=XNAS%3aISRG&amp;form=skydnc</v>
    <v>Learn more on Bing</v>
  </rv>
  <rv s="1">
    <v>0</v>
    <v>INTUITIVE SURGICAL, INC. (XNAS:ISRG)</v>
    <v>2</v>
    <v>3</v>
    <v>Finance</v>
    <v>4</v>
    <v>en-US</v>
    <v>a1vt77</v>
    <v>268435456</v>
    <v>1</v>
    <v>Powered by Refinitiv</v>
    <v>603.88</v>
    <v>425</v>
    <v>1.6717</v>
    <v>0.38500000000000001</v>
    <v>8.1579999999999999E-4</v>
    <v>USD</v>
    <v>Intuitive Surgical, Inc. develops, manufactures, and markets da Vinci surgical systems and the Ion endoluminal system. The Company specializes in invasive care and robotic-assisted surgery. Its technologies include the da Vinci surgical systems and the Ion endoluminal system. The da Vinci surgical system is designed to enable surgeons to perform a range of surgical procedures within its targeted general surgery, urologic, gynecologic, cardiothoracic, and head and neck specialties and consists of a surgeon's console or consoles, a patient-side cart, and a high-performance vision system. The Ion endoluminal system is a flexible, robotic-assisted, catheter-based platform for which the cleared indication is minimally invasive biopsies in the lung and consists of a system cart, a controller, a catheter, and a vision probe. Its Ion system extends its commercial offering beyond surgery into diagnostic and endoluminal procedures.</v>
    <v>17021</v>
    <v>Nasdaq Stock Market</v>
    <v>XNAS</v>
    <v>XNAS</v>
    <v>1020 Kifer Road, SUNNYVALE, CA, 94086 US</v>
    <v>480.18</v>
    <v>Healthcare Equipment &amp; Supplies</v>
    <v>Stock</v>
    <v>46106.61268543906</v>
    <v>1729</v>
    <v>468.89</v>
    <v>167744873461</v>
    <v>INTUITIVE SURGICAL, INC.</v>
    <v>INTUITIVE SURGICAL, INC.</v>
    <v>474.46</v>
    <v>59.979300000000002</v>
    <v>471.91</v>
    <v>472.29500000000002</v>
    <v>355169700</v>
    <v>ISRG</v>
    <v>INTUITIVE SURGICAL, INC. (XNAS:ISRG)</v>
    <v>199349</v>
    <v>1631966</v>
    <v>1995</v>
  </rv>
  <rv s="2">
    <v>1730</v>
  </rv>
  <rv s="0">
    <v>https://www.bing.com/financeapi/forcetrigger?t=a1x7r7&amp;q=XNAS%3aLWAY&amp;form=skydnc</v>
    <v>Learn more on Bing</v>
  </rv>
  <rv s="1">
    <v>0</v>
    <v>LIFEWAY FOODS, INC. (XNAS:LWAY)</v>
    <v>2</v>
    <v>3</v>
    <v>Finance</v>
    <v>4</v>
    <v>en-US</v>
    <v>a1x7r7</v>
    <v>268435456</v>
    <v>1</v>
    <v>Powered by Refinitiv</v>
    <v>34.200000000000003</v>
    <v>17.309999999999999</v>
    <v>0.2495</v>
    <v>3.5000000000000003E-2</v>
    <v>1.9380000000000001E-3</v>
    <v>USD</v>
    <v>Lifeway Foods, Inc. is a supplier of the probiotic, fermented beverage known as Kefir. In addition to its line of drinkable Kefir, the Company also produces a variety of cheeses and a ProBugs line for kids. Its primary product is drinkable kefir, a cultured dairy product. Lifeway kefir is tart and tangy, high in protein, calcium and vitamin D. It manufactures products under the Lifeway, Fresh Made and GlenOaks Farms brand names, as well as under private labels on behalf of certain customers. Its product categories are Drinkable kefir; European-style soft cheeses, including farmer cheese, white cheese, and Sweet Kiss; Cream and others, which consist primarily of cream, a byproduct of making its kefir; Drinkable yogurt, sold in a variety of sizes and flavors; ProBugs, a line of kefir products designed for children; and Other dairy, which consists primarily of Fresh Made butter and sour cream. The Company’s dairy products are sold across the United States, Mexico, and other countries.</v>
    <v>293</v>
    <v>Nasdaq Stock Market</v>
    <v>XNAS</v>
    <v>XNAS</v>
    <v>6431 W Oakton, MORTON GROVE, IL, 60053 US</v>
    <v>18.350000000000001</v>
    <v>Food &amp; Tobacco</v>
    <v>Stock</v>
    <v>46106.611264525003</v>
    <v>1732</v>
    <v>17.98</v>
    <v>274132012</v>
    <v>LIFEWAY FOODS, INC.</v>
    <v>LIFEWAY FOODS, INC.</v>
    <v>18.27</v>
    <v>24.958600000000001</v>
    <v>18.059999999999999</v>
    <v>18.094999999999999</v>
    <v>15149600</v>
    <v>LWAY</v>
    <v>LIFEWAY FOODS, INC. (XNAS:LWAY)</v>
    <v>10621</v>
    <v>47786</v>
    <v>1986</v>
  </rv>
  <rv s="2">
    <v>1733</v>
  </rv>
  <rv s="0">
    <v>https://www.bing.com/financeapi/forcetrigger?t=a246z2&amp;q=XNYS%3aTGT&amp;form=skydnc</v>
    <v>Learn more on Bing</v>
  </rv>
  <rv s="1">
    <v>0</v>
    <v>TARGET CORPORATION (XNYS:TGT)</v>
    <v>2</v>
    <v>3</v>
    <v>Finance</v>
    <v>4</v>
    <v>en-US</v>
    <v>a246z2</v>
    <v>268435456</v>
    <v>1</v>
    <v>Powered by Refinitiv</v>
    <v>126</v>
    <v>83.44</v>
    <v>1.0611999999999999</v>
    <v>-0.58989999999999998</v>
    <v>-5.0889999999999998E-3</v>
    <v>USD</v>
    <v>Target Corporation is a general merchandise retailer selling products to its guests through its stores and digital channels. The Company offers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are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 It serves guests at nearly 2,000 stores and at Target.com.</v>
    <v>415000</v>
    <v>New York Stock Exchange</v>
    <v>XNYS</v>
    <v>XNYS</v>
    <v>1000 Nicollet Mall, MINNEAPOLIS, MN, 55403 US</v>
    <v>117.65</v>
    <v>Diversified Retail</v>
    <v>Stock</v>
    <v>46106.612712001559</v>
    <v>1735</v>
    <v>114.685</v>
    <v>52227881633</v>
    <v>TARGET CORPORATION</v>
    <v>TARGET CORPORATION</v>
    <v>117.33</v>
    <v>13.994199999999999</v>
    <v>115.92</v>
    <v>115.3301</v>
    <v>452855600</v>
    <v>TGT</v>
    <v>TARGET CORPORATION (XNYS:TGT)</v>
    <v>819971</v>
    <v>6733521</v>
    <v>1902</v>
  </rv>
  <rv s="2">
    <v>1736</v>
  </rv>
  <rv s="0">
    <v>https://www.bing.com/financeapi/forcetrigger?t=a2215r&amp;q=XNYS%3aRIG&amp;form=skydnc</v>
    <v>Learn more on Bing</v>
  </rv>
  <rv s="10">
    <v>18</v>
    <v>Transocean Ltd (XNYS:RIG)</v>
    <v>2</v>
    <v>8</v>
    <v>Finance</v>
    <v>4</v>
    <v>en-US</v>
    <v>a2215r</v>
    <v>268435456</v>
    <v>1</v>
    <v>Powered by Refinitiv</v>
    <v>6.96</v>
    <v>1.97</v>
    <v>1.3807</v>
    <v>0.13500000000000001</v>
    <v>2.0362000000000002E-2</v>
    <v>USD</v>
    <v>Transocean Ltd. is an international provider of offshore contract drilling services for oil and gas wells. The Company's primary business is to contract its drilling rigs, related equipment and work crews on a dayrate basis to drill oil and gas wells. As of February 9, 2017, it owned or had partial ownership interests in and operated 56 mobile offshore drilling units. As of February 9, 2017, its fleet consisted of 30 floaters, seven harsh environment floaters, three deepwater floaters, six midwater floaters and 10 high-specification jackups. As February 9, 2017, it also had four ultra-deepwater drillships and five high-specification jackups under construction or under contract to be constructed. Its contract drilling services operations are spread across oil and gas exploration and development areas throughout the world. The Company's drilling fleet can be characterized as floaters, including drillships and semisubmersibles, and jackups.</v>
    <v>5600</v>
    <v>New York Stock Exchange</v>
    <v>XNYS</v>
    <v>XNYS</v>
    <v>Turmstrasse 30, STEINHAUSEN, ZUG, 6312 CH</v>
    <v>6.8150000000000004</v>
    <v>Oil &amp; Gas Related Equipment and Services</v>
    <v>Stock</v>
    <v>46106.612735948438</v>
    <v>1738</v>
    <v>6.63</v>
    <v>7460773485</v>
    <v>Transocean Ltd</v>
    <v>Transocean Ltd</v>
    <v>6.67</v>
    <v>6.63</v>
    <v>6.7649999999999997</v>
    <v>1102849000</v>
    <v>RIG</v>
    <v>Transocean Ltd (XNYS:RIG)</v>
    <v>6853641</v>
    <v>41606611</v>
    <v>2008</v>
  </rv>
  <rv s="2">
    <v>1739</v>
  </rv>
  <rv s="0">
    <v>https://www.bing.com/financeapi/forcetrigger?t=a1wma2&amp;q=XNAS%3aKOPN&amp;form=skydnc</v>
    <v>Learn more on Bing</v>
  </rv>
  <rv s="1">
    <v>0</v>
    <v>KOPIN CORPORATION (XNAS:KOPN)</v>
    <v>2</v>
    <v>3</v>
    <v>Finance</v>
    <v>4</v>
    <v>en-US</v>
    <v>a1wma2</v>
    <v>268435456</v>
    <v>1</v>
    <v>Powered by Refinitiv</v>
    <v>4.16</v>
    <v>0.70909999999999995</v>
    <v>2.7730000000000001</v>
    <v>0.28010000000000002</v>
    <v>0.134019</v>
    <v>USD</v>
    <v>Kopin Corporation is a developer and provider of application-specific optical solutions consisting of high-resolution micro-displays and optics, subassemblies, and headsets. Its portfolio consists of four types of miniature active-matrix liquid crystal displays (AMLCDs), liquid crystal on silicon (LCOS) displays, organic light-emitting diode (OLED) displays, and emerging micro-light-emitting diode (MicroLED) displays, in addition to optics, electronics, and housing for subsystems, such as Application Specific Optical Solutions (ASOS). Its AMLCDs, branded as CyberDisplay products, utilize a proprietary process involving the transfer of integrated circuits from silicon wafers to glass. The Company’s products are used for defense applications (thermal weapon rifle sights, fixed and rotary wing pilot helmets, and training and simulation headsets); industrial and medical headsets, and three-dimensional (3D) optical inspection systems.</v>
    <v>181</v>
    <v>Nasdaq Stock Market</v>
    <v>XNAS</v>
    <v>XNAS</v>
    <v>125 North Dr, WESTBOROUGH, MA, 01581 US</v>
    <v>2.38</v>
    <v>Semiconductors &amp; Semiconductor Equipment</v>
    <v>Stock</v>
    <v>46106.612720717188</v>
    <v>1741</v>
    <v>2.14</v>
    <v>432575009</v>
    <v>KOPIN CORPORATION</v>
    <v>KOPIN CORPORATION</v>
    <v>2.14</v>
    <v>0</v>
    <v>2.09</v>
    <v>2.3700999999999999</v>
    <v>182513400</v>
    <v>KOPN</v>
    <v>KOPIN CORPORATION (XNAS:KOPN)</v>
    <v>1392260</v>
    <v>1801562</v>
    <v>1984</v>
  </rv>
  <rv s="2">
    <v>1742</v>
  </rv>
  <rv s="0">
    <v>https://www.bing.com/financeapi/forcetrigger?t=axoa1h&amp;q=XNAS%3aAMEH&amp;form=skydnc</v>
    <v>Learn more on Bing</v>
  </rv>
  <rv s="1">
    <v>0</v>
    <v>ASTRANA HEALTH, INC. (XNAS:ASTH)</v>
    <v>2</v>
    <v>3</v>
    <v>Finance</v>
    <v>4</v>
    <v>en-US</v>
    <v>axoa1h</v>
    <v>268435456</v>
    <v>1</v>
    <v>Powered by Refinitiv</v>
    <v>34.799999999999997</v>
    <v>18.079999999999998</v>
    <v>0.79100000000000004</v>
    <v>0.17</v>
    <v>7.077E-3</v>
    <v>USD</v>
    <v>Astrana Health, Inc. is a physician-centric, artificial intelligence (AI)-powered healthcare company focused on delivering patient-centered care. The Company provides care coordination services to each major constituent of the healthcare delivery system, including patients, families, primary care physicians, specialists, acute care hospitals, alternative sites of inpatient care, physician groups, and health plans. The Company's segments include Care Partners, Care Delivery, and Care Enablement. Its Care Partners segment is focused on building and managing provider networks by partnering with, empowering, and investing in provider partners aligned on a shared vision for coordinated care delivery. Its Care Delivery organization includes primary care, multi-specialty care, and ancillary care services. Its Care Enablement segment represents a comprehensive platform that integrates clinical, operational, financial, and administrative information. It supports more than 20,000 providers.</v>
    <v>3000</v>
    <v>Nasdaq Stock Market</v>
    <v>XNAS</v>
    <v>XNAS</v>
    <v>1668 S. Garfield Avenue, 2Nd Floor, ALHAMBRA, CA, 91801 US</v>
    <v>24.32</v>
    <v>Healthcare Providers &amp; Services</v>
    <v>Stock</v>
    <v>46106.612695346877</v>
    <v>1744</v>
    <v>23.58</v>
    <v>1196698652</v>
    <v>ASTRANA HEALTH, INC.</v>
    <v>ASTRANA HEALTH, INC.</v>
    <v>24.32</v>
    <v>125.53189999999999</v>
    <v>24.02</v>
    <v>24.19</v>
    <v>49470800</v>
    <v>ASTH</v>
    <v>ASTRANA HEALTH, INC. (XNAS:ASTH)</v>
    <v>37650</v>
    <v>543075</v>
    <v>2008</v>
  </rv>
  <rv s="2">
    <v>1745</v>
  </rv>
  <rv s="3">
    <v>5</v>
    <v>CAVA GROUP, INC. (XNYS:CAVA)</v>
    <v>6</v>
    <v>3</v>
    <v>Finance</v>
    <v>4</v>
    <v>en-US</v>
    <v>ca26qh</v>
    <v>268435456</v>
    <v>1</v>
    <v>Powered by Refinitiv</v>
    <v>101.5</v>
    <v>43.41</v>
    <v>1.992</v>
    <v>-1.9275</v>
    <v>-2.283E-2</v>
    <v>USD</v>
    <v>CAVA Group, Inc. is a category-defining Mediterranean fast-casual restaurant brand. The Company’s Mediterranean cuisine unites taste and health, with a menu that features chef-curated and customizable bowls and pitas. Its dips, spreads, and dressings are centrally produced and sold in grocery stores. Its menu offers a range of dietary preferences, from hearty and indulgent to vegan, vegetarian, gluten-free, dairy-free, paleo, keto, and nut-free diets. Its guests can choose a chef-curated meal or a build-your-own-bowl or pita using its 38 ingredients with over 17.4 billion combinations. It has developed a multi-channel experience that consists of in-restaurant dining, digital pick-up, drive-thru pick-up in select restaurants, delivery, catering, and consumer packaged goods offerings, fully supported by its digital infrastructure. It operates two production facilities: one in Maryland and one in Virginia. It operates in approximately 26 states and the District of Columbia.</v>
    <v>12900</v>
    <v>New York Stock Exchange</v>
    <v>XNYS</v>
    <v>XNYS</v>
    <v>14 RIDGE SQUARE NW, SUITE 500, WASHINGTON, DC, 20016 US</v>
    <v>87</v>
    <v>Hotels &amp; Entertainment Services</v>
    <v>Stock</v>
    <v>46106.612777175782</v>
    <v>80.59</v>
    <v>9601459444</v>
    <v>CAVA GROUP, INC.</v>
    <v>CAVA GROUP, INC.</v>
    <v>86.99</v>
    <v>153.0943</v>
    <v>84.43</v>
    <v>82.502499999999998</v>
    <v>116377800</v>
    <v>CAVA</v>
    <v>CAVA GROUP, INC. (XNYS:CAVA)</v>
    <v>616976</v>
    <v>3987126</v>
    <v>2015</v>
  </rv>
  <rv s="2">
    <v>1747</v>
  </rv>
  <rv s="0">
    <v>https://www.bing.com/financeapi/forcetrigger?t=bssf27&amp;q=XNAS%3aSITM&amp;form=skydnc</v>
    <v>Learn more on Bing</v>
  </rv>
  <rv s="1">
    <v>0</v>
    <v>SITIME CORPORATION (XNAS:SITM)</v>
    <v>2</v>
    <v>3</v>
    <v>Finance</v>
    <v>4</v>
    <v>en-US</v>
    <v>bssf27</v>
    <v>268435456</v>
    <v>1</v>
    <v>Powered by Refinitiv</v>
    <v>446.95499999999998</v>
    <v>105.4</v>
    <v>2.5594999999999999</v>
    <v>15.88</v>
    <v>4.4814E-2</v>
    <v>USD</v>
    <v>SiTime Corporation is the Precision Timing company. The Company's products have been designed into over 300 applications across its target markets, including communications, datacenter and enterprise, automotive, industrial, aerospace, mobile, internet of things, and consumer. The Company's Precision Timing solutions comprise of Oscillators and Clock ICs, MEMS resonators, and Advanced system-level integration. Its analog mixed-signal technologies include several low-noise circuit-based oscillators, high-performance PLLs, low-noise data converters, and precision low-aging reference circuits. Its low-power nano-ampere and high-resolution DualMEMS sensing technologies stabilize its Precision Timing solutions despite rapid temperature changes. It is specialized in the silicon MEMS timing industry with the MEMS First, EpiSeal, TempFlat and ApexMEMS processes and technologies. It has extensive know-how in integrating various timing components into elegant system-level solutions.</v>
    <v>441</v>
    <v>Nasdaq Stock Market</v>
    <v>XNAS</v>
    <v>XNAS</v>
    <v>5451 Patrick Henry Dr, SANTA CLARA, CA, 95054-1167 US</v>
    <v>375.02</v>
    <v>Semiconductors &amp; Semiconductor Equipment</v>
    <v>Stock</v>
    <v>46106.612688437497</v>
    <v>1749</v>
    <v>358.42</v>
    <v>9737015679</v>
    <v>SITIME CORPORATION</v>
    <v>SITIME CORPORATION</v>
    <v>359.42</v>
    <v>0</v>
    <v>354.35</v>
    <v>370.23</v>
    <v>26299910</v>
    <v>SITM</v>
    <v>SITIME CORPORATION (XNAS:SITM)</v>
    <v>64256</v>
    <v>505765</v>
    <v>2003</v>
  </rv>
  <rv s="2">
    <v>1750</v>
  </rv>
  <rv s="0">
    <v>https://www.bing.com/financeapi/forcetrigger?t=a2218m&amp;q=XNAS%3aRIGL&amp;form=skydnc</v>
    <v>Learn more on Bing</v>
  </rv>
  <rv s="1">
    <v>0</v>
    <v>RIGEL PHARMACEUTICALS, INC. (XNAS:RIGL)</v>
    <v>2</v>
    <v>3</v>
    <v>Finance</v>
    <v>4</v>
    <v>en-US</v>
    <v>a2218m</v>
    <v>268435456</v>
    <v>1</v>
    <v>Powered by Refinitiv</v>
    <v>52.24</v>
    <v>15.5</v>
    <v>1.2766999999999999</v>
    <v>0.46</v>
    <v>1.7603999999999998E-2</v>
    <v>USD</v>
    <v>Rigel Pharmaceuticals, Inc. is a biotechnology company. The Company is engaged in developing and providing novel therapies that significantly improve the lives of patients with hematologic disorders and cancer. It is focused on products that address signaling pathways that are critical to disease mechanisms. Its first product is TAVALISSE (fostamatinib disodium hexahydrate) tablets, the approved oral spleen tyrosine kinase inhibitor for the treatment of adult patients with chronic immune thrombocytopenia (ITP) who have had an insufficient response to a previous treatment. Its second product is REZLIDHIA (olutasidenib) capsules for the treatment of adult patients with relapsed or refractory (R/R) acute myeloid leukemia (AML) with a susceptible isocitrate dehydrogenase-1 (IDH1) mutation as detected by an FDA-approved test. Its GAVRETO (pralsetinib) product is a once daily, small molecule, oral, kinase inhibitor of wild type rearranged during transfection (RET) and oncogenic RET fusions.</v>
    <v>172</v>
    <v>Nasdaq Stock Market</v>
    <v>XNAS</v>
    <v>XNAS</v>
    <v>611 GATEWAY BOULEVARD, SUITE 900, SOUTH SAN FRANCISCO, CA, 94080 US</v>
    <v>26.84</v>
    <v>Pharmaceuticals</v>
    <v>Stock</v>
    <v>46106.612477580471</v>
    <v>1752</v>
    <v>26.36</v>
    <v>491200526</v>
    <v>RIGEL PHARMACEUTICALS, INC.</v>
    <v>RIGEL PHARMACEUTICALS, INC.</v>
    <v>26.39</v>
    <v>4.3112000000000004</v>
    <v>26.13</v>
    <v>26.59</v>
    <v>18473130</v>
    <v>RIGL</v>
    <v>RIGEL PHARMACEUTICALS, INC. (XNAS:RIGL)</v>
    <v>42909</v>
    <v>413175</v>
    <v>1996</v>
  </rv>
  <rv s="2">
    <v>1753</v>
  </rv>
  <rv s="0">
    <v>https://www.bing.com/financeapi/forcetrigger?t=a1sh27&amp;q=ARCX%3aEWY&amp;form=skydnc</v>
    <v>Learn more on Bing</v>
  </rv>
  <rv s="14">
    <v>22</v>
    <v>iShares:MSCI S Korea (ARCX:EWY)</v>
    <v>23</v>
    <v>24</v>
    <v>Finance</v>
    <v>25</v>
    <v>en-US</v>
    <v>a1sh27</v>
    <v>268435456</v>
    <v>1</v>
    <v>Powered by Refinitiv</v>
    <v>154.22</v>
    <v>48.49</v>
    <v>2.1619999999999999</v>
    <v>1.26</v>
    <v>9.7859999999999996E-3</v>
    <v>USD</v>
    <v>NYSE Arca</v>
    <v>ARCX</v>
    <v>5.8999999999999999E-3</v>
    <v>130.36000000000001</v>
    <v>ETF</v>
    <v>46106.61272094844</v>
    <v>1755</v>
    <v>127.03</v>
    <v>17952391790.419998</v>
    <v>iShares:MSCI S Korea</v>
    <v>129.57</v>
    <v>128.75</v>
    <v>130.01</v>
    <v>EWY</v>
    <v>iShares:MSCI S Korea (ARCX:EWY)</v>
    <v>6908782</v>
    <v>30429356</v>
  </rv>
  <rv s="2">
    <v>1756</v>
  </rv>
  <rv s="0">
    <v>https://www.bing.com/financeapi/forcetrigger?t=a25kmw&amp;q=XNYS%3aVSH&amp;form=skydnc</v>
    <v>Learn more on Bing</v>
  </rv>
  <rv s="1">
    <v>0</v>
    <v>VISHAY INTERTECHNOLOGY, INC. (XNYS:VSH)</v>
    <v>2</v>
    <v>3</v>
    <v>Finance</v>
    <v>4</v>
    <v>en-US</v>
    <v>a25kmw</v>
    <v>268435456</v>
    <v>1</v>
    <v>Powered by Refinitiv</v>
    <v>22</v>
    <v>10.35</v>
    <v>1.1335</v>
    <v>0.4</v>
    <v>2.1905999999999998E-2</v>
    <v>USD</v>
    <v>Vishay Intertechnology, Inc. is engaged in manufacturing a portfolio of discrete semiconductors and passive electronic components, which supports designs in the automotive, industrial, computing, consumer, telecommunications, military, aerospace, and medical markets. The Company manufactures and markets electronic components that cover a range of functions and technologies. The Company’s products include commodity, non-commodity, and custom products. Its brands include Siliconix, Dale, Draloric, Beyschlag, Sfernice, MCB, UltraSource, Applied Thin-Film Products, IHLP, HiRel Systems, Sprague, Vitramon, Barry, Roederstein, ESTA, BCcomponents, and Ametherm. Its semiconductor products include metal oxide semiconductor field-effect transistors (MOSFETs), diodes, and optoelectronic components. Its semiconductor components are used for a variety of functions, including switching, amplifying, rectifying, routing, or transmitting electrical signals, power conversion, and power management.</v>
    <v>22600</v>
    <v>New York Stock Exchange</v>
    <v>XNYS</v>
    <v>XNYS</v>
    <v>63 Lancaster Ave, MALVERN, PA, 19355 US</v>
    <v>18.829999999999998</v>
    <v>Semiconductors &amp; Semiconductor Equipment</v>
    <v>Stock</v>
    <v>46106.612635566409</v>
    <v>1758</v>
    <v>18.399999999999999</v>
    <v>2533919772</v>
    <v>VISHAY INTERTECHNOLOGY, INC.</v>
    <v>VISHAY INTERTECHNOLOGY, INC.</v>
    <v>18.545000000000002</v>
    <v>0</v>
    <v>18.260000000000002</v>
    <v>18.66</v>
    <v>135794200</v>
    <v>VSH</v>
    <v>VISHAY INTERTECHNOLOGY, INC. (XNYS:VSH)</v>
    <v>188219</v>
    <v>1852765</v>
    <v>1962</v>
  </rv>
  <rv s="2">
    <v>1759</v>
  </rv>
  <rv s="0">
    <v>https://www.bing.com/financeapi/forcetrigger?t=c6jaa2&amp;q=XNAS%3aIPX&amp;form=skydnc</v>
    <v>Learn more on Bing</v>
  </rv>
  <rv s="27">
    <v>66</v>
    <v>IPERIONX LIMITED (XNAS:IPX)</v>
    <v>2</v>
    <v>35</v>
    <v>Finance</v>
    <v>4</v>
    <v>en-US</v>
    <v>c6jaa2</v>
    <v>268435456</v>
    <v>1</v>
    <v>Powered by Refinitiv</v>
    <v>61.45</v>
    <v>12.275</v>
    <v>1.3847</v>
    <v>1.49</v>
    <v>6.4086000000000004E-2</v>
    <v>USD</v>
    <v>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10,000 acres of mineral properties in Tennessee, United States, which consider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v>
    <v>Nasdaq Stock Market</v>
    <v>XNAS</v>
    <v>XNAS</v>
    <v>129 W Trade St, Suite 1405, CHARLOTTE, NC, 28202 US</v>
    <v>24.89</v>
    <v>Metals &amp; Mining</v>
    <v>Stock</v>
    <v>46106.612690358597</v>
    <v>1761</v>
    <v>24.21</v>
    <v>839636263</v>
    <v>IPERIONX LIMITED</v>
    <v>IPERIONX LIMITED</v>
    <v>24.48</v>
    <v>0</v>
    <v>23.25</v>
    <v>24.74</v>
    <v>33938410</v>
    <v>IPX</v>
    <v>IPERIONX LIMITED (XNAS:IPX)</v>
    <v>47032</v>
    <v>308040</v>
    <v>2017</v>
  </rv>
  <rv s="2">
    <v>1762</v>
  </rv>
  <rv s="0">
    <v>https://www.bing.com/financeapi/forcetrigger?t=bpoxyc&amp;q=XNAS%3aZM&amp;form=skydnc</v>
    <v>Learn more on Bing</v>
  </rv>
  <rv s="1">
    <v>0</v>
    <v>ZOOM COMMUNICATIONS, INC. (XNAS:ZM)</v>
    <v>2</v>
    <v>3</v>
    <v>Finance</v>
    <v>4</v>
    <v>en-US</v>
    <v>bpoxyc</v>
    <v>268435456</v>
    <v>1</v>
    <v>Powered by Refinitiv</v>
    <v>97.58</v>
    <v>64.41</v>
    <v>0.9204</v>
    <v>1.77</v>
    <v>2.3296000000000001E-2</v>
    <v>USD</v>
    <v>Zoom Communications, Inc. provides an artificial intelligence (AI) work platform for human connection. Zoom Workplace, the Company’s AI-powered, open collaboration platform built for modern work, enables us to streamline communications, increase employee engagement, optimize in-person time, improve productivity, and offer customer choice with third-party apps and integrations. Zoom Workplace, powered by Zoom AI Companion, includes collaboration solutions like meetings, team chat, phone, scheduler, whiteboard, spaces, Workvivo, and more. Its communication products include Zoom Meetings, Zoom Phone, Zoom Team Chat, Zoom scheduler, and Zoom mail and calendar. Its productivity products include Zoom Docs, Zoom Whiteboard, Zoom Clips, and Zoom Tasks. Its space products include Zoom Rooms, Zoom Workspace Reservation, and Zoom Visitor Management. It serves various industries, including education, financial services, government, retail, manufacturing and healthcare.</v>
    <v>7438</v>
    <v>Nasdaq Stock Market</v>
    <v>XNAS</v>
    <v>XNAS</v>
    <v>55 Almaden Boulevard, 6Th Floor, SAN JOSE, CA, 95113 US</v>
    <v>77.88</v>
    <v>Software &amp; IT Services</v>
    <v>Stock</v>
    <v>46106.612725983592</v>
    <v>1764</v>
    <v>76.394999999999996</v>
    <v>22910351475</v>
    <v>ZOOM COMMUNICATIONS, INC.</v>
    <v>ZOOM COMMUNICATIONS, INC.</v>
    <v>77</v>
    <v>12.5322</v>
    <v>75.98</v>
    <v>77.75</v>
    <v>294666900</v>
    <v>ZM</v>
    <v>ZOOM COMMUNICATIONS, INC. (XNAS:ZM)</v>
    <v>547844</v>
    <v>4722005</v>
    <v>2011</v>
  </rv>
  <rv s="2">
    <v>1765</v>
  </rv>
  <rv s="0">
    <v>https://www.bing.com/financeapi/forcetrigger?t=a1yofr&amp;q=XNYS%3aNPK&amp;form=skydnc</v>
    <v>Learn more on Bing</v>
  </rv>
  <rv s="1">
    <v>0</v>
    <v>NATIONAL PRESTO INDUSTRIES, INC. (XNYS:NPK)</v>
    <v>2</v>
    <v>3</v>
    <v>Finance</v>
    <v>4</v>
    <v>en-US</v>
    <v>a1yofr</v>
    <v>268435456</v>
    <v>1</v>
    <v>Powered by Refinitiv</v>
    <v>149.85499999999999</v>
    <v>77.63</v>
    <v>0.50380000000000003</v>
    <v>1.85</v>
    <v>1.3906E-2</v>
    <v>USD</v>
    <v>National Presto Industries, Inc. is engaged in various business segments, which include Housewares/Small Appliance, Defense and Safety. The Housewares/Small Appliance segment designs, markets and distributes housewares and small electrical appliances, including pressure cookers and canners, kitchen electrics, and comfort appliances. The Defense segment manufactures 40-millimeter (mm) ammunition, precision mechanical and electro-mechanical assemblies, medium-caliber cartridge cases and metal parts; performs Load, Assemble and Pack (LAP) operations on ordnance-related products and manufactures detonators, booster pellets, release cartridges, lead azide, other military energetic devices and materials, and assemblies. The Safety segment offers systems that provide early warning of conditions that could ultimately lead to losses and also offers carbon monoxide alarms with large digital displays and an array of voice messages that clearly inform of incipient danger.</v>
    <v>1200</v>
    <v>New York Stock Exchange</v>
    <v>XNYS</v>
    <v>XNYS</v>
    <v>3925 N Hastings Way, EAU CLAIRE, WI, 54703 US</v>
    <v>135.9</v>
    <v>Aerospace &amp; Defense</v>
    <v>Stock</v>
    <v>46106.612626122653</v>
    <v>1767</v>
    <v>133.28</v>
    <v>966399171</v>
    <v>NATIONAL PRESTO INDUSTRIES, INC.</v>
    <v>NATIONAL PRESTO INDUSTRIES, INC.</v>
    <v>133.28</v>
    <v>24.810099999999998</v>
    <v>133.04</v>
    <v>134.88999999999999</v>
    <v>7164350</v>
    <v>NPK</v>
    <v>NATIONAL PRESTO INDUSTRIES, INC. (XNYS:NPK)</v>
    <v>47561</v>
    <v>96023</v>
    <v>1905</v>
  </rv>
  <rv s="2">
    <v>1768</v>
  </rv>
  <rv s="0">
    <v>https://www.bing.com/financeapi/forcetrigger?t=c432pr&amp;q=XNAS%3aIPAX&amp;form=skydnc</v>
    <v>Learn more on Bing</v>
  </rv>
  <rv s="1">
    <v>0</v>
    <v>INTUITIVE MACHINES, INC. (XNAS:LUNR)</v>
    <v>2</v>
    <v>3</v>
    <v>Finance</v>
    <v>4</v>
    <v>en-US</v>
    <v>c432pr</v>
    <v>268435456</v>
    <v>1</v>
    <v>Powered by Refinitiv</v>
    <v>23.315000000000001</v>
    <v>6.1349999999999998</v>
    <v>1.3446</v>
    <v>3.1899000000000002</v>
    <v>0.178008</v>
    <v>USD</v>
    <v>Intuitive Machines, Inc. is a space technology, infrastructure, and services company. It is a provider and supplier of space products and services that enable sustained robotic and human exploration to the Moon, Mars, and beyond. Its services include delivery services, data transmission services, and infrastructure as a service. Its delivery services provide transportation and delivery of payloads, such as satellites, scientific instruments and cargo to various destinations in space, in addition to rideshare delivery and lunar surface access. Its data transmission services offerings include the collection, processing, and interpretation of space-based data, utilizing applications, such as command, control, communications, reconnaissance and prospecting. Its infrastructure as a service delivers space assets, performing tasks and making decisions without human intervention that are designed to perform essential functions, such as navigation, scientific data collection, and others.</v>
    <v>525</v>
    <v>Nasdaq Stock Market</v>
    <v>XNAS</v>
    <v>XNAS</v>
    <v>13467 Columbia Shuttle Street, HOUSTON, TX, 77059 US</v>
    <v>21.824999999999999</v>
    <v>Aerospace &amp; Defense</v>
    <v>Stock</v>
    <v>46106.612731700778</v>
    <v>1770</v>
    <v>18.84</v>
    <v>4576643207</v>
    <v>INTUITIVE MACHINES, INC.</v>
    <v>INTUITIVE MACHINES, INC.</v>
    <v>18.86</v>
    <v>0</v>
    <v>17.920000000000002</v>
    <v>21.1099</v>
    <v>216800800</v>
    <v>LUNR</v>
    <v>INTUITIVE MACHINES, INC. (XNAS:LUNR)</v>
    <v>10985975</v>
    <v>11533444</v>
    <v>2023</v>
  </rv>
  <rv s="2">
    <v>1771</v>
  </rv>
  <rv s="0">
    <v>https://www.bing.com/financeapi/forcetrigger?t=bx8zr7&amp;q=XNYS%3aAI&amp;form=skydnc</v>
    <v>Learn more on Bing</v>
  </rv>
  <rv s="19">
    <v>36</v>
    <v>C3.AI, INC. (XNYS:AI)</v>
    <v>2</v>
    <v>37</v>
    <v>Finance</v>
    <v>67</v>
    <v>en-US</v>
    <v>bx8zr7</v>
    <v>268435456</v>
    <v>1</v>
    <v>Powered by Refinitiv</v>
    <v>30.24</v>
    <v>7.7248000000000001</v>
    <v>2.1021000000000001</v>
    <v>3.5000000000000003E-2</v>
    <v>4.2269999999999999E-3</v>
    <v>0.01</v>
    <v>1.2030000000000001E-3</v>
    <v>USD</v>
    <v>C3.ai, Inc. is an enterprise artificial intelligence (AI) application software company. The Company has built a solution that enables its customers to rapidly develop, deploy, and operate enterprise AI applications. It offers families of software solutions, which it collectively refers to as its C3 AI software: The C3 AI Platform, C3 AI Applications, and C3 Generative AI. The C3 AI Platform, its core technology, is a comprehensive, end-to-end application development and runtime environment that is designed to allow its customers to rapidly design, develop, and deploy Enterprise AI applications of any type. Its C3 AI Applications, built using the C3 AI Platform, is a portfolio of pre-built, extensible, industry-specific, and application-specific software-as-a-service offerings (SaaS) Enterprise AI applications that can be rapidly installed and deployed. Its C3 Generative AI combines the utility of large language models, generative AI, reinforcement learning, natural language processing.</v>
    <v>1181</v>
    <v>New York Stock Exchange</v>
    <v>XNYS</v>
    <v>XNYS</v>
    <v>1400 Seaport Blvd, REDWOOD CITY, CA, 94063 US</v>
    <v>8.48</v>
    <v>Software &amp; IT Services</v>
    <v>Stock</v>
    <v>46107.862251828126</v>
    <v>1773</v>
    <v>8.1476000000000006</v>
    <v>1208096328</v>
    <v>C3.AI, INC.</v>
    <v>C3.AI, INC.</v>
    <v>8.17</v>
    <v>0</v>
    <v>8.2799999999999994</v>
    <v>8.3149999999999995</v>
    <v>8.32</v>
    <v>145291200</v>
    <v>AI</v>
    <v>C3.AI, INC. (XNYS:AI)</v>
    <v>4078791</v>
    <v>7171719</v>
    <v>2009</v>
  </rv>
  <rv s="2">
    <v>1774</v>
  </rv>
  <rv s="0">
    <v>https://www.bing.com/financeapi/forcetrigger?t=a21cvh&amp;q=XNYS%3aPSTG&amp;form=skydnc</v>
    <v>Learn more on Bing</v>
  </rv>
  <rv s="19">
    <v>36</v>
    <v>Everpure, Inc (XNYS:PSTG)</v>
    <v>2</v>
    <v>37</v>
    <v>Finance</v>
    <v>67</v>
    <v>en-US</v>
    <v>a21cvh</v>
    <v>268435456</v>
    <v>1</v>
    <v>Powered by Refinitiv</v>
    <v>100.5899</v>
    <v>34.51</v>
    <v>1.3019000000000001</v>
    <v>-3.44</v>
    <v>-5.2542999999999999E-2</v>
    <v>1.1499999999999999</v>
    <v>1.8536E-2</v>
    <v>USD</v>
    <v>Everpure Inc, formerly Pure Storage, Inc., is a data management and storage company. The Company is focused on delivering a disruptive data storage platform, which supports a range of structured and unstructured data at scale and across any data workloads in on-premises, cloud and hosted environments and includes mission-critical production, test and development, analytics, disaster recovery, backup and restore, artificial intelligence (AI) and machine learning. Its integrated hardware systems include Evergreen Architecture, FlashArray, and FlashBlade. Its cloud-native storage includes Portworx, Portworx Data Services, Cloud Block Store, Evergreen//One, and Evergreen//Flex. Its Pure Software includes Purity, Pure1, and Pure Fusion. Its Pure1 is a cloud-based data storage management plane, bringing the convenience of cloud storage to on-premises storage. The Company sells its products and subscription services using a direct sales force and its channel partners.</v>
    <v>6000</v>
    <v>New York Stock Exchange</v>
    <v>XNYS</v>
    <v>XNYS</v>
    <v>2555 Augustine Drive, SANTA CLARA, CA, 95054 US</v>
    <v>64.760000000000005</v>
    <v>Computers, Phones &amp; Household Electronics</v>
    <v>Stock</v>
    <v>46107.864915810154</v>
    <v>1776</v>
    <v>62.01</v>
    <v>20480550551</v>
    <v>Everpure, Inc</v>
    <v>Everpure, Inc</v>
    <v>64.16</v>
    <v>113.8583</v>
    <v>65.47</v>
    <v>62.03</v>
    <v>63.19</v>
    <v>330171700</v>
    <v>PSTG</v>
    <v>Everpure, Inc (XNYS:PSTG)</v>
    <v>1913700</v>
    <v>3564548</v>
    <v>2009</v>
  </rv>
  <rv s="2">
    <v>1777</v>
  </rv>
  <rv s="0">
    <v>https://www.bing.com/financeapi/forcetrigger?t=a1vqw7&amp;q=XNAS%3aIRDM&amp;form=skydnc</v>
    <v>Learn more on Bing</v>
  </rv>
  <rv s="19">
    <v>36</v>
    <v>IRIDIUM COMMUNICATIONS INC. (XNAS:IRDM)</v>
    <v>2</v>
    <v>37</v>
    <v>Finance</v>
    <v>31</v>
    <v>en-US</v>
    <v>a1vqw7</v>
    <v>268435456</v>
    <v>1</v>
    <v>Powered by Refinitiv</v>
    <v>33.340000000000003</v>
    <v>15.645</v>
    <v>0.4627</v>
    <v>-1.37</v>
    <v>-4.6158999999999999E-2</v>
    <v>0.19</v>
    <v>6.711E-3</v>
    <v>USD</v>
    <v>Iridium Communications Inc. operates the mobile voice and data satellite communications network that spans the entire globe. The Company enables connections between people, organizations and assets to and from anywhere, in real time. Together with its ecosystem of partner companies, it delivers a portfolio of solutions for markets that require global communications. Its principal vertical lines of business include land mobile, maritime, aviation, IoT, hosted payloads and other data services, which includes navigation and timing (PNT), and the United States government. Its products include Iridium 9555, Iridium Extreme satellite phones, Iridium Extreme PTT, Iridium GO! Iridium GO!, and others. It provides voice and data communications services to businesses, the United States and foreign governments, non-governmental organizations, and consumers via its satellite network, which has an architecture of 66 operational satellites with in-orbit spares and related ground infrastructure.</v>
    <v>975</v>
    <v>Nasdaq Stock Market</v>
    <v>XNAS</v>
    <v>XNAS</v>
    <v>SUITE 1400, 1750 TYSONS BOULEVARD, MCLEAN, VA, 22102 US</v>
    <v>29.846299999999999</v>
    <v>Telecommunications Services</v>
    <v>Stock</v>
    <v>46107.998286689064</v>
    <v>1779</v>
    <v>28.19</v>
    <v>2971327008</v>
    <v>IRIDIUM COMMUNICATIONS INC.</v>
    <v>IRIDIUM COMMUNICATIONS INC.</v>
    <v>29.39</v>
    <v>26.612100000000002</v>
    <v>29.68</v>
    <v>28.31</v>
    <v>28.5</v>
    <v>104956800</v>
    <v>IRDM</v>
    <v>IRIDIUM COMMUNICATIONS INC. (XNAS:IRDM)</v>
    <v>2137431</v>
    <v>1979523</v>
    <v>2007</v>
  </rv>
  <rv s="2">
    <v>1780</v>
  </rv>
  <rv s="28">
    <v>68</v>
    <v>Sprott Junior Copp Mnrs (XNAS:COPJ)</v>
    <v>49</v>
    <v>69</v>
    <v>Finance</v>
    <v>70</v>
    <v>en-US</v>
    <v>c8pspr</v>
    <v>268435456</v>
    <v>1</v>
    <v>Powered by Refinitiv</v>
    <v>53.945</v>
    <v>16.2211</v>
    <v>0.74409999999999998</v>
    <v>-2.02</v>
    <v>-5.3397E-2</v>
    <v>0.89</v>
    <v>2.4853E-2</v>
    <v>USD</v>
    <v>Nasdaq Stock Market</v>
    <v>XNAS</v>
    <v>7.6E-3</v>
    <v>37.159999999999997</v>
    <v>ETF</v>
    <v>46107.977593448435</v>
    <v>35.75</v>
    <v>211882837.55000001</v>
    <v>Sprott Junior Copp Mnrs</v>
    <v>36.53</v>
    <v>37.83</v>
    <v>35.81</v>
    <v>36.700000000000003</v>
    <v>COPJ</v>
    <v>Sprott Junior Copp Mnrs (XNAS:COPJ)</v>
    <v>94488</v>
    <v>185569</v>
  </rv>
  <rv s="2">
    <v>1782</v>
  </rv>
  <rv s="29">
    <v>71</v>
    <v>AMPRIUS TECHNOLOGIES, INC. (XNYS:AMPX)</v>
    <v>6</v>
    <v>30</v>
    <v>Finance</v>
    <v>31</v>
    <v>en-US</v>
    <v>c7d5mw</v>
    <v>268435456</v>
    <v>1</v>
    <v>Powered by Refinitiv</v>
    <v>19.760000000000002</v>
    <v>1.97</v>
    <v>2.2517999999999998</v>
    <v>-0.77</v>
    <v>-4.2945000000000004E-2</v>
    <v>6.9900000000000004E-2</v>
    <v>4.0730000000000002E-3</v>
    <v>USD</v>
    <v>Amprius Technologies, Inc. develops, manufactures and markets lithium-ion batteries for mobility applications, including the aviation, electric vehicle (EV) and light electric vehicle (LEV) industries. The Company’s commercially available SiMaxx batteries deliver up to 450 Wh/kg and 1,150 Wh/L, with third-party validation of 500 Wh/kg and 1,300 Wh/L. Its batteries are primarily used for existing and emerging aviation applications, including unmanned aerial systems (UAS), such as drones and high-altitude pseudo satellites (HAPS). It offers high-performance silicon anode batteries under product platforms: SiCore and SiMaxx. Its SiCore batteries are based on an innovative, proprietary silicon anode material system delivering high-energy-density silicon anode batteries that surpass current graphite cell performance. Its SiMaxx high-energy battery cells are designed to maximize specific energy for applications with low power requirements.</v>
    <v>97</v>
    <v>New York Stock Exchange</v>
    <v>XNYS</v>
    <v>XNYS</v>
    <v>1180 Page Avenue, FREMONT, CA, 94538 US</v>
    <v>18.100000000000001</v>
    <v>Machinery, Equipment &amp; Components</v>
    <v>Stock</v>
    <v>46107.999890253908</v>
    <v>16.79</v>
    <v>2351246040</v>
    <v>AMPRIUS TECHNOLOGIES, INC.</v>
    <v>AMPRIUS TECHNOLOGIES, INC.</v>
    <v>17.39</v>
    <v>17.93</v>
    <v>17.16</v>
    <v>17.229900000000001</v>
    <v>137019000</v>
    <v>AMPX</v>
    <v>AMPRIUS TECHNOLOGIES, INC. (XNYS:AMPX)</v>
    <v>5939086</v>
    <v>9884786</v>
    <v>2022</v>
  </rv>
  <rv s="2">
    <v>1784</v>
  </rv>
  <rv s="0">
    <v>https://www.bing.com/financeapi/forcetrigger?t=a24wm7&amp;q=XNYS%3aUMC&amp;form=skydnc</v>
    <v>Learn more on Bing</v>
  </rv>
  <rv s="19">
    <v>36</v>
    <v>United Microelectronics Corporation (XNYS:UMC)</v>
    <v>2</v>
    <v>37</v>
    <v>Finance</v>
    <v>31</v>
    <v>en-US</v>
    <v>a24wm7</v>
    <v>268435456</v>
    <v>1</v>
    <v>Powered by Refinitiv</v>
    <v>12.68</v>
    <v>5.7112999999999996</v>
    <v>1.0956999999999999</v>
    <v>-0.28999999999999998</v>
    <v>-3.1149E-2</v>
    <v>0.03</v>
    <v>3.326E-3</v>
    <v>USD</v>
    <v>United Microelectronics Corp is a global semiconductor foundry. The Company provides integrated circuit (IC) production for applications spanning every sector of the electronics industry. The Company operates through two segments. The Wafer Fabrication segment is mainly engaged in the manufacture of chips to the design specifications of its customers by using its own processes and techniques. The New Business segment is engaged in the research, development, manufacture and provision of solar energy. The Company is engaged in the maintenance of a customer base across various industries, including communication, consumer electronics, computer, memory, new generation light-emitting diode (LED) and others, while focusing on manufacturing for applications, including networking, telecommunications, Internet, multimedia, personal computers (PCs) and graphics.</v>
    <v>19426</v>
    <v>New York Stock Exchange</v>
    <v>XNYS</v>
    <v>XNYS</v>
    <v>No.3, Li-Shin Road II, Hsinchu Science Park, HSINCHU, HSINCHU, 300 TW</v>
    <v>9.14</v>
    <v>Semiconductors &amp; Semiconductor Equipment</v>
    <v>Stock</v>
    <v>46107.971440312504</v>
    <v>1786</v>
    <v>8.89</v>
    <v>22691659100</v>
    <v>United Microelectronics Corporation</v>
    <v>United Microelectronics Corporation</v>
    <v>9.1300000000000008</v>
    <v>17.054300000000001</v>
    <v>9.31</v>
    <v>9.02</v>
    <v>9.0500000000000007</v>
    <v>2515705000</v>
    <v>UMC</v>
    <v>United Microelectronics Corporation (XNYS:UMC)</v>
    <v>8801957</v>
    <v>7603835</v>
    <v>1980</v>
  </rv>
  <rv s="2">
    <v>1787</v>
  </rv>
  <rv s="0">
    <v>http://pt.wikipedia.org/wiki/Oracle_Corporation</v>
    <v>Wikipedia</v>
  </rv>
  <rv s="6">
    <v>65</v>
    <v>1789</v>
  </rv>
  <rv s="7">
    <v>14</v>
    <v>https://www.bing.com/th?id=AMMS_672116c618c664d13b2515d6587ba357&amp;qlt=95</v>
    <v>1790</v>
    <v>0</v>
    <v>https://www.bing.com/images/search?form=xlimg&amp;q=oracle+corporation</v>
    <v>Image of ORACLE CORPORATION</v>
  </rv>
  <rv s="0">
    <v>https://www.bing.com/financeapi/forcetrigger?t=a1zbec&amp;q=XNYS%3aORCL&amp;form=skydnc</v>
    <v>Learn more on Bing</v>
  </rv>
  <rv s="30">
    <v>72</v>
    <v>ORACLE CORPORATION (XNYS:ORCL)</v>
    <v>12</v>
    <v>73</v>
    <v>Finance</v>
    <v>31</v>
    <v>en-US</v>
    <v>a1zbec</v>
    <v>268435456</v>
    <v>1</v>
    <v>Powered by Refinitiv</v>
    <v>345.72</v>
    <v>118.86</v>
    <v>1.6148</v>
    <v>-3.21</v>
    <v>-2.1983000000000003E-2</v>
    <v>0.32469999999999999</v>
    <v>2.274E-3</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146.47</v>
    <v>1791</v>
    <v>Software &amp; IT Services</v>
    <v>Stock</v>
    <v>46107.999898495313</v>
    <v>1792</v>
    <v>142.54</v>
    <v>410728129260</v>
    <v>ORACLE CORPORATION</v>
    <v>ORACLE CORPORATION</v>
    <v>143.88999999999999</v>
    <v>25.270700000000001</v>
    <v>146.02000000000001</v>
    <v>142.81</v>
    <v>143.13470000000001</v>
    <v>2876046000</v>
    <v>ORCL</v>
    <v>ORACLE CORPORATION (XNYS:ORCL)</v>
    <v>16961884</v>
    <v>28946221</v>
    <v>2005</v>
  </rv>
  <rv s="2">
    <v>1793</v>
  </rv>
  <rv s="0">
    <v>https://www.bing.com/financeapi/forcetrigger?t=a23u5r&amp;q=XNYS%3aSWN&amp;form=skydnc</v>
    <v>Learn more on Bing</v>
  </rv>
  <rv s="31">
    <v>74</v>
    <v>SOUTHWESTERN ENERGY COMPANY (XNYS:SWN)</v>
    <v>2</v>
    <v>8</v>
    <v>Finance</v>
    <v>21</v>
    <v>en-US</v>
    <v>a23u5r</v>
    <v>268435456</v>
    <v>1</v>
    <v>1</v>
    <v>Powered by Refinitiv</v>
    <v>7.8</v>
    <v>5.85</v>
    <v>1.1196999999999999</v>
    <v>0</v>
    <v>0</v>
    <v>USD</v>
    <v>Southwestern Energy Company is an independent energy company. The Company operates through two segments: Exploration and Production (E&amp;P) and Marketing. The Company is engaged in development, exploration and production of natural gas, as well as associated natural gas liquids (NGLs) and oil in its core positions in the Appalachia and Haynesville natural gas basins in the United States. It is focused on the development of unconventional natural gas reservoirs located in Louisiana, West Virginia, Pennsylvania, and Ohio. Its operations in West Virginia, Pennsylvania and Ohio (Appalachia) are primarily focused on the Marcellus Shale, the Utica and the Upper Devonian unconventional natural gas and liquids reservoirs. Its operations in Louisiana (Haynesville) are primarily focused on the Haynesville and Bossier natural gas reservoirs. It operates a fleet of drilling rigs and leased two pressure pumping spreads with an associated pump down horsepower capacity of 102,000 horsepower.</v>
    <v>1165</v>
    <v>New York Stock Exchange</v>
    <v>XNYS</v>
    <v>XNYS</v>
    <v>10000 Energy Drive, SPRING, TX, 77389 US</v>
    <v>7.26</v>
    <v>Oil &amp; Gas</v>
    <v>Stock</v>
    <v>45565.989435589843</v>
    <v>1795</v>
    <v>7.09</v>
    <v>6904666000</v>
    <v>SOUTHWESTERN ENERGY COMPANY</v>
    <v>SOUTHWESTERN ENERGY COMPANY</v>
    <v>7.12</v>
    <v>7.15</v>
    <v>7.11</v>
    <v>1102982000</v>
    <v>SWN</v>
    <v>SOUTHWESTERN ENERGY COMPANY (XNYS:SWN)</v>
    <v>119459687</v>
    <v>25191966</v>
    <v>2006</v>
  </rv>
  <rv s="2">
    <v>1796</v>
  </rv>
  <rv s="0">
    <v>https://www.bing.com/financeapi/forcetrigger?t=aoadim&amp;q=XLON%3aINDV&amp;form=skydnc</v>
    <v>Learn more on Bing</v>
  </rv>
  <rv s="22">
    <v>44</v>
    <v>INDIVIOR PLC (XLON:INDV)</v>
    <v>2</v>
    <v>75</v>
    <v>Finance</v>
    <v>76</v>
    <v>en-US</v>
    <v>aoadim</v>
    <v>268435456</v>
    <v>1</v>
    <v>1</v>
    <v>Powered by Refinitiv</v>
    <v>1264</v>
    <v>554.5</v>
    <v>0.28410000000000002</v>
    <v>0</v>
    <v>0</v>
    <v>-27.7089</v>
    <v>-2.2381999999999999E-2</v>
    <v>GBp</v>
    <v>Indivior PLC is a global pharmaceutical company engaged in developing medicines to treat substance-use disorders (SUD). The Company provides treatment for addiction, including SUBLOCADE (buprenorphine extended-release) injection for subcutaneous use, a long-acting injectable (LAI) for opioid use disorder and OPVEE (Nalmefene) nasal spray for opioid overdose recovery. Its core products include SUBOXONE Film, SUBOXONE Tablet, SUBUTEX Tablet, OPVEE (nalmefene), and SUBLOCADE. SUBOXONE Film is a buprenorphine and naloxone sublingual film. SUBOXONE Tablet is a buprenorphine and naloxone sublingual tablet. SUBUTEX Tablet is a buprenorphine sublingual tablet. SUBOXONE Film, SUBOXONE Tablet, SUBUTEX Tablet, and SUBLOCADE are treatments for opioid use disorder (OUD). In addition to its commercially available products, its product pipeline includes two drug candidates for the treatment of OUD. The Company sells its products in the United States and in other selected areas of the world.</v>
    <v>1030</v>
    <v>London Stock Exchange</v>
    <v>XLON</v>
    <v>XLON</v>
    <v>234 Bath Road, SLOUGH, BERKSHIRE, SL1 4EE GB</v>
    <v>1264</v>
    <v>Pharmaceuticals</v>
    <v>Stock</v>
    <v>45862.650358796294</v>
    <v>1798</v>
    <v>1230</v>
    <v>1515121000</v>
    <v>INDIVIOR PLC</v>
    <v>INDIVIOR PLC</v>
    <v>1248</v>
    <v>0</v>
    <v>1219</v>
    <v>1238</v>
    <v>1210.2910999999999</v>
    <v>124769800</v>
    <v>INDV</v>
    <v>INDIVIOR PLC (XLON:INDV)</v>
    <v>8726282</v>
    <v>343370</v>
    <v>2014</v>
  </rv>
  <rv s="2">
    <v>1799</v>
  </rv>
  <rv s="0">
    <v>https://www.bing.com/financeapi/forcetrigger?t=bvn2mw&amp;q=ARCX%3aMSOS&amp;form=skydnc</v>
    <v>Learn more on Bing</v>
  </rv>
  <rv s="14">
    <v>22</v>
    <v>AdvsrShs Pure USCannabis (ARCX:MSOS)</v>
    <v>23</v>
    <v>24</v>
    <v>Finance</v>
    <v>25</v>
    <v>en-US</v>
    <v>bvn2mw</v>
    <v>268435456</v>
    <v>1</v>
    <v>Powered by Refinitiv</v>
    <v>7.25</v>
    <v>2.02</v>
    <v>-1.3257000000000001</v>
    <v>0.03</v>
    <v>7.8949999999999992E-3</v>
    <v>USD</v>
    <v>NYSE Arca</v>
    <v>ARCX</v>
    <v>7.8000000000000005E-3</v>
    <v>3.895</v>
    <v>ETF</v>
    <v>46106.612667152345</v>
    <v>1801</v>
    <v>3.7814000000000001</v>
    <v>775061769.80999994</v>
    <v>AdvsrShs Pure USCannabis</v>
    <v>3.84</v>
    <v>3.8</v>
    <v>3.83</v>
    <v>MSOS</v>
    <v>AdvsrShs Pure USCannabis (ARCX:MSOS)</v>
    <v>886680</v>
    <v>6063772</v>
  </rv>
  <rv s="2">
    <v>1802</v>
  </rv>
</rvData>
</file>

<file path=xl/richData/rdrichvaluestructure.xml><?xml version="1.0" encoding="utf-8"?>
<rvStructures xmlns="http://schemas.microsoft.com/office/spreadsheetml/2017/richdata" count="32">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error">
    <k n="errorType" t="i"/>
    <k n="field" t="s"/>
    <k n="subType" t="i"/>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error">
    <k n="errorType" t="i"/>
    <k n="propagated" t="b"/>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7">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a count="31">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Volume average</v>
      <v t="s">Instrument type</v>
      <v t="s">_Flags</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7">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Beta</v>
      <v t="s">P/E</v>
      <v t="s">Description</v>
      <v t="s">Headquarters</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ExchangeID</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6">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spbArrays>
  <spbData count="77">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v>
      <v>Name</v>
    </spb>
    <spb s="6">
      <v>1</v>
      <v>1</v>
      <v>1</v>
    </spb>
    <spb s="5">
      <v>2</v>
      <v>Name</v>
    </spb>
    <spb s="7">
      <v>1</v>
      <v>2</v>
      <v>1</v>
      <v>3</v>
      <v>1</v>
      <v>1</v>
      <v>1</v>
      <v>4</v>
      <v>4</v>
      <v>5</v>
      <v>6</v>
      <v>1</v>
      <v>1</v>
      <v>1</v>
      <v>4</v>
      <v>7</v>
      <v>8</v>
      <v>9</v>
      <v>4</v>
    </spb>
    <spb s="3">
      <v>1</v>
      <v>2</v>
      <v>2</v>
      <v>1</v>
      <v>3</v>
      <v>1</v>
      <v>1</v>
      <v>1</v>
      <v>4</v>
      <v>4</v>
      <v>5</v>
      <v>10</v>
      <v>1</v>
      <v>1</v>
      <v>1</v>
      <v>4</v>
      <v>7</v>
      <v>8</v>
      <v>9</v>
      <v>4</v>
    </spb>
    <spb s="0">
      <v>3</v>
      <v>Name</v>
      <v>LearnMoreOnLink</v>
    </spb>
    <spb s="8">
      <v>0</v>
      <v>0</v>
    </spb>
    <spb s="9">
      <v>11</v>
      <v>1</v>
      <v>1</v>
      <v>1</v>
      <v>1</v>
    </spb>
    <spb s="10">
      <v>1</v>
      <v>2</v>
      <v>2</v>
      <v>1</v>
      <v>3</v>
      <v>1</v>
      <v>11</v>
      <v>1</v>
      <v>1</v>
      <v>4</v>
      <v>4</v>
      <v>5</v>
      <v>6</v>
      <v>1</v>
      <v>1</v>
      <v>1</v>
      <v>4</v>
      <v>7</v>
      <v>8</v>
      <v>9</v>
      <v>4</v>
    </spb>
    <spb s="11">
      <v>Powered by Refinitiv</v>
    </spb>
    <spb s="0">
      <v>4</v>
      <v>Name</v>
      <v>LearnMoreOnLink</v>
    </spb>
    <spb s="12">
      <v>1</v>
      <v>2</v>
      <v>2</v>
      <v>1</v>
      <v>3</v>
      <v>1</v>
      <v>1</v>
      <v>1</v>
      <v>4</v>
      <v>4</v>
      <v>5</v>
      <v>6</v>
      <v>1</v>
      <v>1</v>
      <v>1</v>
      <v>4</v>
      <v>7</v>
      <v>9</v>
      <v>4</v>
    </spb>
    <spb s="3">
      <v>1</v>
      <v>2</v>
      <v>2</v>
      <v>1</v>
      <v>3</v>
      <v>1</v>
      <v>1</v>
      <v>1</v>
      <v>4</v>
      <v>4</v>
      <v>5</v>
      <v>12</v>
      <v>1</v>
      <v>1</v>
      <v>1</v>
      <v>4</v>
      <v>7</v>
      <v>8</v>
      <v>9</v>
      <v>4</v>
    </spb>
    <spb s="0">
      <v>5</v>
      <v>Name</v>
      <v>LearnMoreOnLink</v>
    </spb>
    <spb s="5">
      <v>6</v>
      <v>Name</v>
    </spb>
    <spb s="0">
      <v>7</v>
      <v>Name</v>
      <v>LearnMoreOnLink</v>
    </spb>
    <spb s="4">
      <v>Delayed 15 minutes</v>
      <v>from previous close</v>
      <v>from previous close</v>
      <v>Source: Nasdaq</v>
      <v>GMT</v>
    </spb>
    <spb s="0">
      <v>8</v>
      <v>Name</v>
      <v>LearnMoreOnLink</v>
    </spb>
    <spb s="13">
      <v>1</v>
      <v>1</v>
      <v>1</v>
    </spb>
    <spb s="14">
      <v>1</v>
      <v>2</v>
      <v>1</v>
      <v>3</v>
      <v>1</v>
      <v>1</v>
      <v>1</v>
      <v>4</v>
      <v>5</v>
      <v>6</v>
      <v>1</v>
      <v>1</v>
      <v>5</v>
      <v>1</v>
      <v>4</v>
      <v>7</v>
      <v>9</v>
    </spb>
    <spb s="15">
      <v>Real-Time Nasdaq Last Sale</v>
      <v>from previous close</v>
      <v>Source: Nasdaq Last Sale</v>
      <v>from previous close</v>
      <v>GMT</v>
    </spb>
    <spb s="0">
      <v>9</v>
      <v>Name</v>
      <v>LearnMoreOnLink</v>
    </spb>
    <spb s="16">
      <v>1</v>
      <v>1</v>
      <v>3</v>
      <v>1</v>
      <v>1</v>
      <v>1</v>
      <v>5</v>
      <v>1</v>
      <v>1</v>
      <v>1</v>
      <v>9</v>
    </spb>
    <spb s="17">
      <v>from previous close</v>
      <v>from previous close</v>
    </spb>
    <spb s="0">
      <v>10</v>
      <v>Name</v>
      <v>LearnMoreOnLink</v>
    </spb>
    <spb s="18">
      <v>1</v>
      <v>2</v>
      <v>1</v>
      <v>3</v>
      <v>1</v>
      <v>1</v>
      <v>1</v>
      <v>4</v>
      <v>4</v>
      <v>5</v>
      <v>6</v>
      <v>1</v>
      <v>1</v>
      <v>1</v>
      <v>4</v>
      <v>7</v>
      <v>8</v>
      <v>9</v>
      <v>4</v>
      <v>1</v>
      <v>1</v>
      <v>5</v>
    </spb>
    <spb s="19">
      <v>at close</v>
      <v>from previous close</v>
      <v>from previous close</v>
      <v>Source: Nasdaq</v>
      <v>GMT</v>
      <v>Delayed 15 minutes</v>
      <v>from close</v>
      <v>from close</v>
    </spb>
    <spb s="0">
      <v>11</v>
      <v>Name</v>
      <v>LearnMoreOnLink</v>
    </spb>
    <spb s="20">
      <v>1</v>
      <v>1</v>
      <v>3</v>
      <v>1</v>
      <v>1</v>
      <v>1</v>
      <v>4</v>
      <v>5</v>
      <v>1</v>
      <v>1</v>
      <v>1</v>
      <v>4</v>
      <v>7</v>
      <v>9</v>
    </spb>
    <spb s="5">
      <v>12</v>
      <v>Name</v>
    </spb>
    <spb s="21">
      <v>1</v>
      <v>2</v>
      <v>2</v>
      <v>1</v>
      <v>3</v>
      <v>1</v>
      <v>1</v>
      <v>1</v>
      <v>4</v>
      <v>5</v>
      <v>6</v>
      <v>1</v>
      <v>1</v>
      <v>1</v>
      <v>4</v>
      <v>7</v>
      <v>8</v>
      <v>9</v>
      <v>4</v>
    </spb>
    <spb s="0">
      <v>13</v>
      <v>Name</v>
      <v>LearnMoreOnLink</v>
    </spb>
    <spb s="22">
      <v>1</v>
      <v>2</v>
      <v>2</v>
      <v>1</v>
      <v>3</v>
      <v>1</v>
      <v>1</v>
      <v>1</v>
      <v>4</v>
      <v>4</v>
      <v>5</v>
      <v>6</v>
      <v>1</v>
      <v>1</v>
      <v>1</v>
      <v>4</v>
      <v>7</v>
      <v>8</v>
      <v>9</v>
      <v>4</v>
      <v>1</v>
      <v>1</v>
      <v>5</v>
    </spb>
    <spb s="23">
      <v>at close</v>
      <v>from previous close</v>
      <v>from previous close</v>
      <v>GMT</v>
      <v>Delayed 15 minutes</v>
      <v>from close</v>
      <v>from close</v>
    </spb>
    <spb s="0">
      <v>14</v>
      <v>Name</v>
      <v>LearnMoreOnLink</v>
    </spb>
    <spb s="24">
      <v>1</v>
      <v>2</v>
      <v>2</v>
      <v>1</v>
      <v>3</v>
      <v>1</v>
      <v>1</v>
      <v>1</v>
      <v>4</v>
      <v>5</v>
      <v>1</v>
      <v>1</v>
      <v>1</v>
      <v>4</v>
      <v>7</v>
      <v>9</v>
    </spb>
    <spb s="5">
      <v>15</v>
      <v>Name</v>
    </spb>
    <spb s="25">
      <v>1</v>
      <v>2</v>
      <v>1</v>
      <v>3</v>
      <v>1</v>
      <v>1</v>
      <v>1</v>
      <v>4</v>
      <v>5</v>
      <v>6</v>
      <v>1</v>
      <v>1</v>
      <v>1</v>
      <v>4</v>
      <v>7</v>
      <v>8</v>
      <v>9</v>
      <v>4</v>
    </spb>
    <spb s="26">
      <v>Delayed 15 minutes</v>
      <v>from previous close</v>
      <v>from previous close</v>
      <v>GMT</v>
    </spb>
    <spb s="0">
      <v>16</v>
      <v>Name</v>
      <v>LearnMoreOnLink</v>
    </spb>
    <spb s="22">
      <v>1</v>
      <v>2</v>
      <v>2</v>
      <v>1</v>
      <v>3</v>
      <v>1</v>
      <v>1</v>
      <v>1</v>
      <v>4</v>
      <v>4</v>
      <v>5</v>
      <v>12</v>
      <v>1</v>
      <v>1</v>
      <v>1</v>
      <v>4</v>
      <v>7</v>
      <v>8</v>
      <v>9</v>
      <v>4</v>
      <v>1</v>
      <v>1</v>
      <v>5</v>
    </spb>
    <spb s="3">
      <v>13</v>
      <v>2</v>
      <v>2</v>
      <v>13</v>
      <v>3</v>
      <v>13</v>
      <v>13</v>
      <v>13</v>
      <v>4</v>
      <v>4</v>
      <v>5</v>
      <v>12</v>
      <v>13</v>
      <v>13</v>
      <v>13</v>
      <v>4</v>
      <v>7</v>
      <v>8</v>
      <v>9</v>
      <v>4</v>
    </spb>
    <spb s="26">
      <v>Delayed 20 minutes</v>
      <v>from previous close</v>
      <v>from previous close</v>
      <v>GMT</v>
    </spb>
    <spb s="5">
      <v>17</v>
      <v>Name</v>
    </spb>
    <spb s="27">
      <v>1</v>
      <v>1</v>
    </spb>
    <spb s="3">
      <v>1</v>
      <v>2</v>
      <v>2</v>
      <v>1</v>
      <v>3</v>
      <v>1</v>
      <v>1</v>
      <v>1</v>
      <v>4</v>
      <v>4</v>
      <v>5</v>
      <v>14</v>
      <v>1</v>
      <v>1</v>
      <v>1</v>
      <v>4</v>
      <v>7</v>
      <v>8</v>
      <v>9</v>
      <v>4</v>
    </spb>
    <spb s="3">
      <v>15</v>
      <v>2</v>
      <v>2</v>
      <v>15</v>
      <v>3</v>
      <v>15</v>
      <v>15</v>
      <v>15</v>
      <v>4</v>
      <v>4</v>
      <v>5</v>
      <v>16</v>
      <v>15</v>
      <v>15</v>
      <v>15</v>
      <v>4</v>
      <v>7</v>
      <v>8</v>
      <v>9</v>
      <v>4</v>
    </spb>
    <spb s="4">
      <v>Delayed 15 minutes</v>
      <v>from previous close</v>
      <v>from previous close</v>
      <v>LSE</v>
      <v>GMT</v>
    </spb>
    <spb s="3">
      <v>1</v>
      <v>2</v>
      <v>2</v>
      <v>1</v>
      <v>3</v>
      <v>1</v>
      <v>1</v>
      <v>1</v>
      <v>4</v>
      <v>4</v>
      <v>5</v>
      <v>17</v>
      <v>1</v>
      <v>1</v>
      <v>1</v>
      <v>4</v>
      <v>7</v>
      <v>8</v>
      <v>9</v>
      <v>4</v>
    </spb>
    <spb s="0">
      <v>18</v>
      <v>Name</v>
      <v>LearnMoreOnLink</v>
    </spb>
    <spb s="28">
      <v>18</v>
      <v>18</v>
      <v>3</v>
      <v>18</v>
      <v>18</v>
      <v>18</v>
      <v>4</v>
      <v>5</v>
      <v>19</v>
      <v>18</v>
      <v>18</v>
      <v>5</v>
      <v>18</v>
      <v>7</v>
      <v>9</v>
    </spb>
    <spb s="7">
      <v>20</v>
      <v>2</v>
      <v>20</v>
      <v>3</v>
      <v>20</v>
      <v>20</v>
      <v>20</v>
      <v>4</v>
      <v>4</v>
      <v>5</v>
      <v>21</v>
      <v>20</v>
      <v>20</v>
      <v>20</v>
      <v>4</v>
      <v>7</v>
      <v>8</v>
      <v>9</v>
      <v>4</v>
    </spb>
    <spb s="4">
      <v>Delayed 15 minutes</v>
      <v>from previous close</v>
      <v>from previous close</v>
      <v>PSE</v>
      <v>GMT</v>
    </spb>
    <spb s="5">
      <v>19</v>
      <v>Name</v>
    </spb>
    <spb s="29">
      <v>1</v>
      <v>2</v>
      <v>1</v>
      <v>3</v>
      <v>1</v>
      <v>1</v>
      <v>1</v>
      <v>4</v>
      <v>4</v>
      <v>5</v>
      <v>6</v>
      <v>1</v>
      <v>1</v>
      <v>1</v>
      <v>4</v>
      <v>7</v>
      <v>8</v>
      <v>9</v>
      <v>4</v>
    </spb>
    <spb s="3">
      <v>22</v>
      <v>2</v>
      <v>2</v>
      <v>22</v>
      <v>3</v>
      <v>22</v>
      <v>22</v>
      <v>22</v>
      <v>4</v>
      <v>4</v>
      <v>5</v>
      <v>23</v>
      <v>22</v>
      <v>22</v>
      <v>22</v>
      <v>4</v>
      <v>7</v>
      <v>8</v>
      <v>9</v>
      <v>4</v>
    </spb>
    <spb s="5">
      <v>20</v>
      <v>Name</v>
    </spb>
    <spb s="30">
      <v>1</v>
      <v>1</v>
      <v>3</v>
      <v>1</v>
      <v>1</v>
      <v>1</v>
      <v>4</v>
      <v>5</v>
      <v>6</v>
      <v>1</v>
      <v>1</v>
      <v>5</v>
      <v>1</v>
      <v>4</v>
      <v>7</v>
      <v>9</v>
    </spb>
    <spb s="5">
      <v>21</v>
      <v>Name</v>
    </spb>
    <spb s="7">
      <v>13</v>
      <v>2</v>
      <v>13</v>
      <v>3</v>
      <v>13</v>
      <v>13</v>
      <v>13</v>
      <v>4</v>
      <v>4</v>
      <v>5</v>
      <v>6</v>
      <v>13</v>
      <v>13</v>
      <v>13</v>
      <v>4</v>
      <v>7</v>
      <v>8</v>
      <v>9</v>
      <v>4</v>
    </spb>
    <spb s="31">
      <v>from previous close</v>
      <v>from previous close</v>
      <v>GMT</v>
    </spb>
    <spb s="0">
      <v>22</v>
      <v>Name</v>
      <v>LearnMoreOnLink</v>
    </spb>
    <spb s="19">
      <v>at close</v>
      <v>from previous close</v>
      <v>from previous close</v>
      <v>Source: Nasdaq Last Sale</v>
      <v>GMT</v>
      <v>Real-Time Nasdaq Last Sale</v>
      <v>from close</v>
      <v>from close</v>
    </spb>
    <spb s="5">
      <v>23</v>
      <v>Name</v>
    </spb>
    <spb s="32">
      <v>1</v>
      <v>2</v>
      <v>1</v>
      <v>3</v>
      <v>1</v>
      <v>1</v>
      <v>1</v>
      <v>4</v>
      <v>5</v>
      <v>6</v>
      <v>1</v>
      <v>1</v>
      <v>5</v>
      <v>1</v>
      <v>4</v>
      <v>7</v>
      <v>9</v>
      <v>1</v>
      <v>1</v>
      <v>5</v>
    </spb>
    <spb s="33">
      <v>at close</v>
      <v>from previous close</v>
      <v>Source: Nasdaq</v>
      <v>from previous close</v>
      <v>GMT</v>
      <v>Delayed 15 minutes</v>
      <v>from close</v>
      <v>from close</v>
    </spb>
    <spb s="5">
      <v>24</v>
      <v>Name</v>
    </spb>
    <spb s="0">
      <v>25</v>
      <v>Name</v>
      <v>LearnMoreOnLink</v>
    </spb>
    <spb s="34">
      <v>1</v>
      <v>2</v>
      <v>2</v>
      <v>1</v>
      <v>3</v>
      <v>1</v>
      <v>11</v>
      <v>1</v>
      <v>1</v>
      <v>4</v>
      <v>4</v>
      <v>5</v>
      <v>6</v>
      <v>1</v>
      <v>1</v>
      <v>1</v>
      <v>4</v>
      <v>7</v>
      <v>8</v>
      <v>9</v>
      <v>4</v>
      <v>1</v>
      <v>1</v>
      <v>5</v>
    </spb>
    <spb s="0">
      <v>26</v>
      <v>Name</v>
      <v>LearnMoreOnLink</v>
    </spb>
    <spb s="22">
      <v>15</v>
      <v>2</v>
      <v>2</v>
      <v>15</v>
      <v>3</v>
      <v>15</v>
      <v>15</v>
      <v>15</v>
      <v>4</v>
      <v>4</v>
      <v>5</v>
      <v>16</v>
      <v>15</v>
      <v>15</v>
      <v>15</v>
      <v>4</v>
      <v>7</v>
      <v>8</v>
      <v>9</v>
      <v>4</v>
      <v>15</v>
      <v>15</v>
      <v>5</v>
    </spb>
    <spb s="19">
      <v>at close</v>
      <v>from previous close</v>
      <v>from previous close</v>
      <v>LSE</v>
      <v>GMT</v>
      <v>Delayed 15 minutes</v>
      <v>from close</v>
      <v>from close</v>
    </spb>
  </spbData>
</supportingPropertyBags>
</file>

<file path=xl/richData/rdsupportingpropertybagstructure.xml><?xml version="1.0" encoding="utf-8"?>
<spbStructures xmlns="http://schemas.microsoft.com/office/spreadsheetml/2017/richdata2" count="3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Low" t="i"/>
    <k n="High" t="i"/>
    <k n="Name" t="i"/>
    <k n="Open" t="i"/>
    <k n="Price" t="i"/>
    <k n="Change" t="i"/>
    <k n="Change (%)" t="i"/>
    <k n="52 week low" t="i"/>
    <k n="52 week high" t="i"/>
    <k n="Previous close" t="i"/>
    <k n="`%EntityServiceId" t="i"/>
  </s>
  <s>
    <k n="Change" t="s"/>
    <k n="Change (%)"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High" t="i"/>
    <k n="Name" t="i"/>
    <k n="Open" t="i"/>
    <k n="Price" t="i"/>
    <k n="Change" t="i"/>
    <k n="Volume" t="i"/>
    <k n="Change (%)" t="i"/>
    <k n="52 week low" t="i"/>
    <k n="52 week high" t="i"/>
    <k n="Previous close" t="i"/>
    <k n="Volume average" t="i"/>
    <k n="Last trade time" t="i"/>
    <k n="`%EntityServiceId"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Low" t="i"/>
    <k n="P/E" t="i"/>
    <k n="Beta" t="i"/>
    <k n="High" t="i"/>
    <k n="Name" t="i"/>
    <k n="Open" t="i"/>
    <k n="Price" t="i"/>
    <k n="Change" t="i"/>
    <k n="Volume" t="i"/>
    <k n="Change (%)" t="i"/>
    <k n="52 week low" t="i"/>
    <k n="52 week high" t="i"/>
    <k n="Previous close" t="i"/>
    <k n="Volume average" t="i"/>
    <k n="Last trade time" t="i"/>
    <k n="`%EntityServiceId"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s>
  <s>
    <k n="Low" t="i"/>
    <k n="High" t="i"/>
    <k n="Name" t="i"/>
    <k n="Open" t="i"/>
    <k n="Price" t="i"/>
    <k n="Change" t="i"/>
    <k n="Volume" t="i"/>
    <k n="Change (%)" t="i"/>
    <k n="Market cap" t="i"/>
    <k n="52 week low" t="i"/>
    <k n="52 week high" t="i"/>
    <k n="Expense ratio" t="i"/>
    <k n="Previous close" t="i"/>
    <k n="Last trade time" t="i"/>
    <k n="`%EntityServiceId" t="i"/>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Market cap" t="i"/>
    <k n="52 week low" t="i"/>
    <k n="52 week high" t="i"/>
    <k n="Expense ratio" t="i"/>
    <k n="Previous close" t="i"/>
    <k n="Volume average" t="i"/>
    <k n="Last trade time" t="i"/>
    <k n="`%EntityServiceId" t="i"/>
  </s>
  <s>
    <k n="Change" t="s"/>
    <k n="Change (%)" t="s"/>
    <k n="Last trade time" t="s"/>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x:dxf>
      <x:numFmt numFmtId="35" formatCode="_(* #,##0.00_);_(* \(#,##0.00\);_(* &quot;-&quot;??_);_(@_)"/>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_-* #,##0[$₪-he-IL]_-;-* #,##0[$₪-he-IL]_-;_-* "-"[$₪-he-IL]_-;_-@_-</rpv>
    </rSty>
    <rSty>
      <rpv i="2">1</rpv>
    </rSty>
    <rSty dxfid="1">
      <rpv i="0">_([$$-en-CA]* #,##0_);_([$$-en-CA]* (#,##0);_([$$-en-CA]* "-"_);_(@_)</rpv>
    </rSty>
    <rSty dxfid="1">
      <rpv i="0">_([$$-en-CA]* #,##0.00_);_([$$-en-CA]* (#,##0.00);_([$$-en-CA]* "-"??_);_(@_)</rpv>
    </rSty>
    <rSty dxfid="1">
      <rpv i="0" xml:space="preserve">_ [$CHF-fr-CH] * #,##0_ ;_ [$CHF-fr-CH] * -#,##0_ ;_ [$CHF-fr-CH] * "-"_ ;_ @_ </rpv>
    </rSty>
    <rSty dxfid="7">
      <rpv i="0">_(* #,##0.00_);_(* (#,##0.00);_(* "-"??_);_(@_)</rpv>
    </rSty>
    <rSty dxfid="1">
      <rpv i="0">_([$£-en-GB]* #,##0_);_([$£-en-GB]* (#,##0);_([$£-en-GB]* "-"_);_(@_)</rpv>
    </rSty>
    <rSty dxfid="1">
      <rpv i="0">_([$HK$-zh-HK]* #,##0_);_([$HK$-zh-HK]* (#,##0);_([$HK$-zh-HK]* "-"_);_(@_)</rpv>
    </rSty>
    <rSty dxfid="1">
      <rpv i="0">_-[$$-es-MX]* #,##0.00_-;-[$$-es-MX]* #,##0.00_-;_-[$$-es-MX]* "-"??_-;_-@_-</rpv>
    </rSty>
    <rSty dxfid="1">
      <rpv i="0">_-[$$-es-MX]* #,##0_-;-[$$-es-MX]* #,##0_-;_-[$$-es-MX]* "-"_-;_-@_-</rpv>
    </rSty>
    <rSty dxfid="1">
      <rpv i="0">_([$₱-en-PH]* #,##0.00_);_([$₱-en-PH]* (#,##0.00);_([$₱-en-PH]* "-"??_);_(@_)</rpv>
    </rSty>
    <rSty dxfid="1">
      <rpv i="0">_([$₱-en-PH]* #,##0_);_([$₱-en-PH]* (#,##0);_([$₱-en-PH]* "-"_);_(@_)</rpv>
    </rSty>
    <rSty dxfid="1">
      <rpv i="0">_-* #,##0.00 [$₫-vi-VN]_-;-* #,##0.00 [$₫-vi-VN]_-;_-* "-"?? [$₫-vi-VN]_-;_-@_-</rpv>
    </rSty>
    <rSty dxfid="1">
      <rpv i="0">_-* #,##0 [$₫-vi-VN]_-;-* #,##0 [$₫-vi-VN]_-;_-* "-" [$₫-vi-VN]_-;_-@_-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FCC99A-9E40-DD4D-BF55-9A1DFB95152B}" name="Table1" displayName="Table1" ref="A2:J11" totalsRowShown="0">
  <autoFilter ref="A2:J11" xr:uid="{D1FCC99A-9E40-DD4D-BF55-9A1DFB95152B}"/>
  <tableColumns count="10">
    <tableColumn id="1" xr3:uid="{10FAE63B-B0E9-8546-B729-36657A1437DD}" name="Company"/>
    <tableColumn id="2" xr3:uid="{DE1E7759-5213-1146-A762-847DC109AC29}" name="Price" dataCellStyle="Currency">
      <calculatedColumnFormula array="1">_FV(A3,"Price")</calculatedColumnFormula>
    </tableColumn>
    <tableColumn id="3" xr3:uid="{C7EADDD9-9B88-F044-B4D4-C1BCEE8EA0C9}" name="Number of shares"/>
    <tableColumn id="4" xr3:uid="{383B5B74-DC70-0B4F-9E3A-80F8C3DF64B0}" name="Value" dataDxfId="308" dataCellStyle="Currency">
      <calculatedColumnFormula>IFERROR(Table1[[#This Row],[Price]]*Table1[[#This Row],[Number of shares]],0)</calculatedColumnFormula>
    </tableColumn>
    <tableColumn id="5" xr3:uid="{A9C613CE-2062-A641-ADE7-599BE2BE25D7}" name="Employees">
      <calculatedColumnFormula array="1">_FV(Table1[[#This Row],[Company]],"Employees")</calculatedColumnFormula>
    </tableColumn>
    <tableColumn id="6" xr3:uid="{789261AF-B8D1-954B-80BC-F9993869768D}" name="MarketCap">
      <calculatedColumnFormula array="1">_FV(Table1[[#This Row],[Company]],"Market cap",TRUE)</calculatedColumnFormula>
    </tableColumn>
    <tableColumn id="7" xr3:uid="{04E7D359-D245-1D49-BD0E-0C7CC0DEB56C}" name="P/E">
      <calculatedColumnFormula array="1">_FV(Table1[[#This Row],[Company]],"P/E",TRUE)</calculatedColumnFormula>
    </tableColumn>
    <tableColumn id="8" xr3:uid="{F5B6B15D-435B-D341-9E81-33AA3BAA1124}" name="Beta">
      <calculatedColumnFormula array="1">_FV(Table1[[#This Row],[Company]],"Beta")</calculatedColumnFormula>
    </tableColumn>
    <tableColumn id="10" xr3:uid="{F44CECF9-C7B7-DA4D-A832-991513657690}" name="Marketcap per employee">
      <calculatedColumnFormula>Table1[[#This Row],[MarketCap]]/Table1[[#This Row],[Employees]]</calculatedColumnFormula>
    </tableColumn>
    <tableColumn id="11" xr3:uid="{A94A021D-E3EF-9541-9F52-BC6DF179326F}" name="Share of portfolio" dataDxfId="307" dataCellStyle="Percent">
      <calculatedColumnFormula>Table1[[#This Row],[Value]] / SUM(Table1[Value])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2C1A-42C3-504B-905D-9146493F3182}" name="Table13" displayName="Table13" ref="A16:J25" totalsRowShown="0">
  <autoFilter ref="A16:J25" xr:uid="{54AA2C1A-42C3-504B-905D-9146493F3182}"/>
  <tableColumns count="10">
    <tableColumn id="1" xr3:uid="{3B7777F8-4619-A14F-8C63-23729C2A9B7E}" name="Company"/>
    <tableColumn id="2" xr3:uid="{C74B835A-F87C-2943-8E7D-8C828F06765B}" name="Price" dataCellStyle="Currency">
      <calculatedColumnFormula array="1">_FV(A17,"Price")</calculatedColumnFormula>
    </tableColumn>
    <tableColumn id="3" xr3:uid="{FB4D1715-40F5-3145-8EE8-CFC5407A3229}" name="Number of shares"/>
    <tableColumn id="4" xr3:uid="{C74619D4-BFAE-544C-B92F-F0616689A8E0}" name="Value" dataDxfId="306" dataCellStyle="Currency">
      <calculatedColumnFormula>IFERROR(Table13[[#This Row],[Price]]*Table13[[#This Row],[Number of shares]],0)</calculatedColumnFormula>
    </tableColumn>
    <tableColumn id="5" xr3:uid="{D5D140C1-B12A-4F45-8869-94A7A7C004E8}" name="Employees">
      <calculatedColumnFormula array="1">_FV(Table13[[#This Row],[Company]],"Employees")</calculatedColumnFormula>
    </tableColumn>
    <tableColumn id="6" xr3:uid="{10D287AD-A58A-1C48-A706-FB65D9E7F3E0}" name="MarketCap">
      <calculatedColumnFormula array="1">_FV(Table13[[#This Row],[Company]],"Market cap",TRUE)</calculatedColumnFormula>
    </tableColumn>
    <tableColumn id="7" xr3:uid="{1723F8DD-3315-A94B-9C00-C4B8BEEB8A50}" name="P/E">
      <calculatedColumnFormula array="1">_FV(Table13[[#This Row],[Company]],"P/E",TRUE)</calculatedColumnFormula>
    </tableColumn>
    <tableColumn id="8" xr3:uid="{50C76AD1-362E-6E41-9A67-C39A65883708}" name="Beta">
      <calculatedColumnFormula array="1">_FV(Table13[[#This Row],[Company]],"Beta")</calculatedColumnFormula>
    </tableColumn>
    <tableColumn id="10" xr3:uid="{D5E9AAE9-68DD-5E46-BFF9-FD2491BE0EC5}" name="Marketcap per employee">
      <calculatedColumnFormula>Table13[[#This Row],[MarketCap]]/Table13[[#This Row],[Employees]]</calculatedColumnFormula>
    </tableColumn>
    <tableColumn id="11" xr3:uid="{ACB804AF-2680-9643-950E-B0197708BA9B}" name="Share of Portfolio" dataDxfId="305" dataCellStyle="Percent">
      <calculatedColumnFormula>Table13[[#This Row],[Value]] / SUM(Table13[Value])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918A54-B2FC-2746-B8C9-3525F86AB6E9}" name="Table134" displayName="Table134" ref="A30:J39" totalsRowShown="0">
  <autoFilter ref="A30:J39" xr:uid="{DF918A54-B2FC-2746-B8C9-3525F86AB6E9}"/>
  <tableColumns count="10">
    <tableColumn id="1" xr3:uid="{64F43877-03D2-D244-ABEC-7E90BB741AC4}" name="Company"/>
    <tableColumn id="2" xr3:uid="{17B34948-5F1E-F646-8EDC-C3FEC370B87F}" name="Price" dataCellStyle="Currency">
      <calculatedColumnFormula array="1">_FV(A31,"Price")</calculatedColumnFormula>
    </tableColumn>
    <tableColumn id="3" xr3:uid="{CE30AA36-B036-D147-938E-7EE7EBB3F95D}" name="Number of shares"/>
    <tableColumn id="4" xr3:uid="{900FE4C0-99F5-6D46-B78B-29987FADB7AE}" name="Value" dataDxfId="304" dataCellStyle="Currency">
      <calculatedColumnFormula>IFERROR(Table134[[#This Row],[Price]]*Table134[[#This Row],[Number of shares]],0)</calculatedColumnFormula>
    </tableColumn>
    <tableColumn id="5" xr3:uid="{9D445453-581C-3A4A-BB60-8DB262E0B7E5}" name="Employees">
      <calculatedColumnFormula array="1">_FV(Table134[[#This Row],[Company]],"Employees")</calculatedColumnFormula>
    </tableColumn>
    <tableColumn id="6" xr3:uid="{64AA8740-4D7C-FD4C-86F7-F9DCB5510C62}" name="MarketCap">
      <calculatedColumnFormula array="1">_FV(Table134[[#This Row],[Company]],"Market cap",TRUE)</calculatedColumnFormula>
    </tableColumn>
    <tableColumn id="7" xr3:uid="{E9F79F50-0C9C-AA47-AB23-1785E0892884}" name="P/E">
      <calculatedColumnFormula array="1">_FV(Table134[[#This Row],[Company]],"P/E",TRUE)</calculatedColumnFormula>
    </tableColumn>
    <tableColumn id="8" xr3:uid="{4E4D4FD0-98E4-3849-9539-3BBDCC5A3A33}" name="Beta">
      <calculatedColumnFormula array="1">_FV(Table134[[#This Row],[Company]],"Beta")</calculatedColumnFormula>
    </tableColumn>
    <tableColumn id="10" xr3:uid="{36A62708-D8E1-0B4E-B1D5-5540F012F267}" name="Marketcap per employee">
      <calculatedColumnFormula>Table134[[#This Row],[MarketCap]]/Table134[[#This Row],[Employees]]</calculatedColumnFormula>
    </tableColumn>
    <tableColumn id="11" xr3:uid="{24AFFD40-ED44-544C-9E2C-BF3C6742A5BD}" name="Share of Portfolio" dataDxfId="303" dataCellStyle="Percent">
      <calculatedColumnFormula>Table134[[#This Row],[Value]] / SUM(Table134[Value])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E7DE9C-B08B-064E-BDC5-EE3D573990A8}" name="Table1345" displayName="Table1345" ref="A44:J53" totalsRowShown="0">
  <autoFilter ref="A44:J53" xr:uid="{F1E7DE9C-B08B-064E-BDC5-EE3D573990A8}"/>
  <tableColumns count="10">
    <tableColumn id="1" xr3:uid="{E949C8D8-7D49-E043-A167-792E0FE2760E}" name="Company"/>
    <tableColumn id="2" xr3:uid="{A3D4B532-DA48-9243-BDE8-71EE1EEFD14F}" name="Price" dataCellStyle="Currency">
      <calculatedColumnFormula array="1">_FV(A45,"Price")</calculatedColumnFormula>
    </tableColumn>
    <tableColumn id="3" xr3:uid="{F91E48CB-E69F-2F48-837B-F788188670AF}" name="Number of shares"/>
    <tableColumn id="4" xr3:uid="{109014E7-86B4-D241-A8C9-98E9E806BC8C}" name="Value" dataDxfId="302" dataCellStyle="Currency">
      <calculatedColumnFormula>IFERROR(Table1345[[#This Row],[Price]]*Table1345[[#This Row],[Number of shares]],0)</calculatedColumnFormula>
    </tableColumn>
    <tableColumn id="5" xr3:uid="{33A25D58-6DE1-6746-8A7A-47F19D08CB0E}" name="Employees">
      <calculatedColumnFormula array="1">_FV(Table1345[[#This Row],[Company]],"Employees")</calculatedColumnFormula>
    </tableColumn>
    <tableColumn id="6" xr3:uid="{322DB0EE-A20B-7146-8568-7C97FA4B5A93}" name="MarketCap">
      <calculatedColumnFormula array="1">_FV(Table1345[[#This Row],[Company]],"Market cap",TRUE)</calculatedColumnFormula>
    </tableColumn>
    <tableColumn id="7" xr3:uid="{E9A3086E-D366-9842-8681-6EE91EEA5505}" name="P/E">
      <calculatedColumnFormula array="1">_FV(Table1345[[#This Row],[Company]],"P/E",TRUE)</calculatedColumnFormula>
    </tableColumn>
    <tableColumn id="8" xr3:uid="{89E16388-5A50-E04A-81FB-20FE6E4311EF}" name="Beta">
      <calculatedColumnFormula array="1">_FV(Table1345[[#This Row],[Company]],"Beta")</calculatedColumnFormula>
    </tableColumn>
    <tableColumn id="10" xr3:uid="{C0647396-AAC0-9B42-BA65-77A6E3C8F744}" name="Marketcap per employee">
      <calculatedColumnFormula>Table1345[[#This Row],[MarketCap]]/Table1345[[#This Row],[Employees]]</calculatedColumnFormula>
    </tableColumn>
    <tableColumn id="11" xr3:uid="{29BD07AF-2907-4140-8430-57788A966087}" name="Share of Portfolio" dataDxfId="301" dataCellStyle="Percent">
      <calculatedColumnFormula>Table1345[[#This Row],[Value]] / SUM(Table1345[Value])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1E8895-7239-5A4E-B898-6E996B004F93}" name="Table13456" displayName="Table13456" ref="A58:J67" totalsRowShown="0">
  <autoFilter ref="A58:J67" xr:uid="{911E8895-7239-5A4E-B898-6E996B004F93}"/>
  <tableColumns count="10">
    <tableColumn id="1" xr3:uid="{E82F0E08-361D-394E-A58C-ACD9D6245D3E}" name="Company"/>
    <tableColumn id="2" xr3:uid="{3BE31729-158A-E542-B929-4319B9FC4E54}" name="Price" dataCellStyle="Currency">
      <calculatedColumnFormula array="1">_FV(A59,"Price")</calculatedColumnFormula>
    </tableColumn>
    <tableColumn id="3" xr3:uid="{71093F8B-9C17-E344-8728-4CE739663FCA}" name="Number of shares"/>
    <tableColumn id="4" xr3:uid="{CB85F6AA-1E34-F844-86B4-C995116329A1}" name="Value" dataDxfId="300" dataCellStyle="Currency">
      <calculatedColumnFormula>IFERROR(Table13456[[#This Row],[Price]]*Table13456[[#This Row],[Number of shares]],0)</calculatedColumnFormula>
    </tableColumn>
    <tableColumn id="5" xr3:uid="{24EBB36F-19A1-FB4F-9D29-4CDA0547E065}" name="Employees">
      <calculatedColumnFormula array="1">_FV(Table13456[[#This Row],[Company]],"Employees")</calculatedColumnFormula>
    </tableColumn>
    <tableColumn id="6" xr3:uid="{48DE4E62-7419-6A4A-84ED-5086476D9F65}" name="MarketCap">
      <calculatedColumnFormula array="1">_FV(Table13456[[#This Row],[Company]],"Market cap",TRUE)</calculatedColumnFormula>
    </tableColumn>
    <tableColumn id="7" xr3:uid="{A4113EBA-D582-4246-96AA-A2CC02F5CA24}" name="P/E">
      <calculatedColumnFormula array="1">_FV(Table13456[[#This Row],[Company]],"P/E",TRUE)</calculatedColumnFormula>
    </tableColumn>
    <tableColumn id="8" xr3:uid="{EB4052B9-51BA-3440-9048-B482F1329FBD}" name="Beta">
      <calculatedColumnFormula array="1">_FV(Table13456[[#This Row],[Company]],"Beta")</calculatedColumnFormula>
    </tableColumn>
    <tableColumn id="10" xr3:uid="{54DE7A07-2F6F-CD46-B672-54F2C4677DFD}" name="Marketcap per employee">
      <calculatedColumnFormula>Table13456[[#This Row],[MarketCap]]/Table13456[[#This Row],[Employees]]</calculatedColumnFormula>
    </tableColumn>
    <tableColumn id="11" xr3:uid="{697C2CE8-92A8-E848-9418-E308C12CA79D}" name="Share of Portfolio" dataDxfId="299" dataCellStyle="Percent">
      <calculatedColumnFormula>Table13456[[#This Row],[Value]] / SUM(Table13456[Value])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99460D-09BB-2840-AE31-2C07C3EEA93E}" name="Table134567" displayName="Table134567" ref="A72:J81" totalsRowShown="0">
  <autoFilter ref="A72:J81" xr:uid="{1499460D-09BB-2840-AE31-2C07C3EEA93E}"/>
  <tableColumns count="10">
    <tableColumn id="1" xr3:uid="{752BCEBD-AD86-824F-A904-016F1ED329A3}" name="Company"/>
    <tableColumn id="2" xr3:uid="{0AC89417-0133-494C-80F1-6C5B03BC1CCF}" name="Price" dataCellStyle="Currency">
      <calculatedColumnFormula array="1">_FV(A73,"Price")</calculatedColumnFormula>
    </tableColumn>
    <tableColumn id="3" xr3:uid="{5A645D4E-DCA8-C24D-860C-F88B6A57A60F}" name="Number of shares"/>
    <tableColumn id="4" xr3:uid="{D4B43F69-9CBE-D84B-A484-FFA3ED32EF7D}" name="Value" dataDxfId="298" dataCellStyle="Currency">
      <calculatedColumnFormula>IFERROR(Table134567[[#This Row],[Price]]*Table134567[[#This Row],[Number of shares]],0)</calculatedColumnFormula>
    </tableColumn>
    <tableColumn id="5" xr3:uid="{DF5F2523-39B4-4E44-83C6-4E8874C664C8}" name="Employees">
      <calculatedColumnFormula array="1">_FV(Table134567[[#This Row],[Company]],"Employees")</calculatedColumnFormula>
    </tableColumn>
    <tableColumn id="6" xr3:uid="{61BBD53D-D5CA-D74D-89B1-2AB29499A044}" name="MarketCap">
      <calculatedColumnFormula array="1">_FV(Table134567[[#This Row],[Company]],"Market cap",TRUE)</calculatedColumnFormula>
    </tableColumn>
    <tableColumn id="7" xr3:uid="{69C83CBE-1875-814C-9938-D8EA0D5DF4D9}" name="P/E">
      <calculatedColumnFormula array="1">_FV(Table134567[[#This Row],[Company]],"P/E",TRUE)</calculatedColumnFormula>
    </tableColumn>
    <tableColumn id="8" xr3:uid="{973A5C08-5E0B-0E4D-90B2-0AB6930A8F5E}" name="Beta">
      <calculatedColumnFormula array="1">_FV(Table134567[[#This Row],[Company]],"Beta")</calculatedColumnFormula>
    </tableColumn>
    <tableColumn id="10" xr3:uid="{AC64720B-E15C-E546-B59A-5F0639C19756}" name="Marketcap per employee">
      <calculatedColumnFormula>Table134567[[#This Row],[MarketCap]]/Table134567[[#This Row],[Employees]]</calculatedColumnFormula>
    </tableColumn>
    <tableColumn id="11" xr3:uid="{DB210895-B4B2-C447-BF9A-FEB60603E58D}" name="Share of Portfolio" dataDxfId="297" dataCellStyle="Percent">
      <calculatedColumnFormula>Table134567[[#This Row],[Value]] / SUM(Table134567[Value])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18B27A-6520-7B4E-9B6E-9A9F20A51063}" name="Table1345678" displayName="Table1345678" ref="A86:J95" totalsRowShown="0">
  <autoFilter ref="A86:J95" xr:uid="{1F18B27A-6520-7B4E-9B6E-9A9F20A51063}"/>
  <tableColumns count="10">
    <tableColumn id="1" xr3:uid="{CA77CDA0-055A-5E4B-B67D-09C948789769}" name="Company"/>
    <tableColumn id="2" xr3:uid="{98624AE4-69C0-1E47-8C38-694BFCA85F18}" name="Price" dataCellStyle="Currency">
      <calculatedColumnFormula array="1">_FV(A87,"Price")</calculatedColumnFormula>
    </tableColumn>
    <tableColumn id="3" xr3:uid="{04406C59-CA8E-4C48-834B-9A29507F0CE6}" name="Number of shares"/>
    <tableColumn id="4" xr3:uid="{26FF71D1-DE24-7E48-B4DD-DFAE5F7542C7}" name="Value" dataDxfId="296" dataCellStyle="Currency">
      <calculatedColumnFormula>IFERROR(Table1345678[[#This Row],[Price]]*Table1345678[[#This Row],[Number of shares]],0)</calculatedColumnFormula>
    </tableColumn>
    <tableColumn id="5" xr3:uid="{00498E6E-8B2A-5444-ADF0-E9E6189F2A65}" name="Employees">
      <calculatedColumnFormula array="1">_FV(Table1345678[[#This Row],[Company]],"Employees")</calculatedColumnFormula>
    </tableColumn>
    <tableColumn id="6" xr3:uid="{64E3D82E-0896-1345-9A49-F1792B013F4C}" name="MarketCap">
      <calculatedColumnFormula array="1">_FV(Table1345678[[#This Row],[Company]],"Market cap",TRUE)</calculatedColumnFormula>
    </tableColumn>
    <tableColumn id="7" xr3:uid="{32C147C8-F652-164B-8D2B-6E1A4DCF5A78}" name="P/E">
      <calculatedColumnFormula array="1">_FV(Table1345678[[#This Row],[Company]],"P/E",TRUE)</calculatedColumnFormula>
    </tableColumn>
    <tableColumn id="8" xr3:uid="{B6CCD646-77FD-2041-84E1-5DF2D3233750}" name="Beta">
      <calculatedColumnFormula array="1">_FV(Table1345678[[#This Row],[Company]],"Beta")</calculatedColumnFormula>
    </tableColumn>
    <tableColumn id="10" xr3:uid="{28B43745-50B4-6B44-A9BD-C2062F1DC1E5}" name="Marketcap per employee">
      <calculatedColumnFormula>Table1345678[[#This Row],[MarketCap]]/Table1345678[[#This Row],[Employees]]</calculatedColumnFormula>
    </tableColumn>
    <tableColumn id="11" xr3:uid="{DC15E257-49A8-7841-B777-7D675262ABA6}" name="Share of Portfolio" dataDxfId="295" dataCellStyle="Percent">
      <calculatedColumnFormula>Table1345678[[#This Row],[Value]] / SUM(Table1345678[Value])</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0DB23D-6A6E-0146-B9F7-3181A0B2D53A}" name="Table13456789" displayName="Table13456789" ref="A100:J109" totalsRowShown="0">
  <autoFilter ref="A100:J109" xr:uid="{260DB23D-6A6E-0146-B9F7-3181A0B2D53A}"/>
  <tableColumns count="10">
    <tableColumn id="1" xr3:uid="{10E1C4A9-EDE5-9A41-AB47-57DDA6E6E47C}" name="Company"/>
    <tableColumn id="2" xr3:uid="{021626AA-FA52-8847-8290-D4505F809E83}" name="Price" dataCellStyle="Currency">
      <calculatedColumnFormula array="1">_FV(A101,"Price")</calculatedColumnFormula>
    </tableColumn>
    <tableColumn id="3" xr3:uid="{A45D5327-6058-3F4A-928E-9C0E15AB23C5}" name="Number of shares"/>
    <tableColumn id="4" xr3:uid="{C0A9D101-A0A4-544F-BDDE-7AAEB398DA9D}" name="Value" dataDxfId="294" dataCellStyle="Currency">
      <calculatedColumnFormula>IFERROR(Table13456789[[#This Row],[Price]]*Table13456789[[#This Row],[Number of shares]],0)</calculatedColumnFormula>
    </tableColumn>
    <tableColumn id="5" xr3:uid="{7CB77244-E7EB-0745-9862-DF0666E27647}" name="Employees">
      <calculatedColumnFormula array="1">_FV(Table13456789[[#This Row],[Company]],"Employees")</calculatedColumnFormula>
    </tableColumn>
    <tableColumn id="6" xr3:uid="{650411C7-2C0E-5A43-A4AD-BC5D07F64126}" name="MarketCap">
      <calculatedColumnFormula array="1">_FV(Table13456789[[#This Row],[Company]],"Market cap",TRUE)</calculatedColumnFormula>
    </tableColumn>
    <tableColumn id="7" xr3:uid="{7B3702CB-CA17-F148-8CF1-D6E92CC7F08A}" name="P/E">
      <calculatedColumnFormula array="1">_FV(Table13456789[[#This Row],[Company]],"P/E",TRUE)</calculatedColumnFormula>
    </tableColumn>
    <tableColumn id="8" xr3:uid="{756E0645-4447-E746-9A49-9A0FD974175C}" name="Beta">
      <calculatedColumnFormula array="1">_FV(Table13456789[[#This Row],[Company]],"Beta")</calculatedColumnFormula>
    </tableColumn>
    <tableColumn id="10" xr3:uid="{58E1C9EC-0E93-F644-AE9C-726CA286522F}" name="Marketcap per employee">
      <calculatedColumnFormula>Table13456789[[#This Row],[MarketCap]]/Table13456789[[#This Row],[Employees]]</calculatedColumnFormula>
    </tableColumn>
    <tableColumn id="11" xr3:uid="{C08825D7-213C-FA45-BEAC-17A1DB6EEB9F}" name="Share of Portfolio" dataDxfId="293" dataCellStyle="Percent">
      <calculatedColumnFormula>Table13456789[[#This Row],[Value]] / SUM(Table13456789[Value])</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ADFB7C3-CBF5-6F44-8231-CC0AF6FF486E}" name="Table134567810" displayName="Table134567810" ref="A114:J123" totalsRowShown="0">
  <autoFilter ref="A114:J123" xr:uid="{9ADFB7C3-CBF5-6F44-8231-CC0AF6FF486E}"/>
  <tableColumns count="10">
    <tableColumn id="1" xr3:uid="{F9DC9A5C-8E71-B942-9AC6-0ADEB5BB6EFC}" name="Company"/>
    <tableColumn id="2" xr3:uid="{4CDE437F-BD33-3B44-9CBF-9017BAD991D3}" name="Price" dataCellStyle="Currency">
      <calculatedColumnFormula array="1">_FV(A115,"Price")</calculatedColumnFormula>
    </tableColumn>
    <tableColumn id="3" xr3:uid="{AB234996-0598-9349-8490-CC153B348250}" name="Number of shares"/>
    <tableColumn id="4" xr3:uid="{91B6EFED-62ED-2747-9BEB-7AE3DD69EE2F}" name="Value" dataDxfId="292" dataCellStyle="Currency">
      <calculatedColumnFormula>IFERROR(Table134567810[[#This Row],[Price]]*Table134567810[[#This Row],[Number of shares]],0)</calculatedColumnFormula>
    </tableColumn>
    <tableColumn id="5" xr3:uid="{64143E83-DD50-AB4C-BE7D-AC5EF02C0359}" name="Employees">
      <calculatedColumnFormula array="1">_FV(Table134567810[[#This Row],[Company]],"Employees")</calculatedColumnFormula>
    </tableColumn>
    <tableColumn id="6" xr3:uid="{BD888290-033F-2F4A-BCA2-A4305279E6B6}" name="MarketCap">
      <calculatedColumnFormula array="1">_FV(Table134567810[[#This Row],[Company]],"Market cap",TRUE)</calculatedColumnFormula>
    </tableColumn>
    <tableColumn id="7" xr3:uid="{77D6D517-34CF-BE4F-A350-0CBB0EB9D15D}" name="P/E">
      <calculatedColumnFormula array="1">_FV(Table134567810[[#This Row],[Company]],"P/E",TRUE)</calculatedColumnFormula>
    </tableColumn>
    <tableColumn id="8" xr3:uid="{F35F3C93-1590-4242-986B-24B662AB5C9C}" name="Beta">
      <calculatedColumnFormula array="1">_FV(Table134567810[[#This Row],[Company]],"Beta")</calculatedColumnFormula>
    </tableColumn>
    <tableColumn id="10" xr3:uid="{92AC3ACD-4408-2945-9765-C4C286709373}" name="Marketcap per employee">
      <calculatedColumnFormula>Table134567810[[#This Row],[MarketCap]]/Table134567810[[#This Row],[Employees]]</calculatedColumnFormula>
    </tableColumn>
    <tableColumn id="11" xr3:uid="{349CBBA3-05F8-BA48-85C8-BCCA7217EF83}" name="Share of Portfolio" dataDxfId="291" dataCellStyle="Percent">
      <calculatedColumnFormula>Table134567810[[#This Row],[Value]] / SUM(Table134567810[Value])</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015BF4-20C5-FE4E-AE04-486B3FE9220B}" name="Table134567811" displayName="Table134567811" ref="A128:J137" totalsRowShown="0">
  <autoFilter ref="A128:J137" xr:uid="{1C015BF4-20C5-FE4E-AE04-486B3FE9220B}"/>
  <tableColumns count="10">
    <tableColumn id="1" xr3:uid="{764AFFB9-A320-0346-BC62-AB32C004FBC6}" name="Company"/>
    <tableColumn id="2" xr3:uid="{2A3FFD27-DD4B-B94D-B82E-FB23E20046A6}" name="Price" dataCellStyle="Currency">
      <calculatedColumnFormula array="1">_FV(A129,"Price")</calculatedColumnFormula>
    </tableColumn>
    <tableColumn id="3" xr3:uid="{BDF5A986-E4AA-2D4A-BE2E-A47E934D07EB}" name="Number of shares"/>
    <tableColumn id="4" xr3:uid="{832ACB67-C185-EE42-B254-EE1E77607175}" name="Value" dataDxfId="290" dataCellStyle="Currency">
      <calculatedColumnFormula>IFERROR(Table134567811[[#This Row],[Price]]*Table134567811[[#This Row],[Number of shares]],0)</calculatedColumnFormula>
    </tableColumn>
    <tableColumn id="5" xr3:uid="{06A908A7-24D6-3649-8921-DC593EAA5BB7}" name="Employees">
      <calculatedColumnFormula array="1">_FV(Table134567811[[#This Row],[Company]],"Employees")</calculatedColumnFormula>
    </tableColumn>
    <tableColumn id="6" xr3:uid="{34F8A5CC-FD6D-5D4B-826C-1E9A13E42316}" name="MarketCap">
      <calculatedColumnFormula array="1">_FV(Table134567811[[#This Row],[Company]],"Market cap",TRUE)</calculatedColumnFormula>
    </tableColumn>
    <tableColumn id="7" xr3:uid="{BEFD6C7C-540E-FA49-8C8F-501DDFBA5E3E}" name="P/E">
      <calculatedColumnFormula array="1">_FV(Table134567811[[#This Row],[Company]],"P/E",TRUE)</calculatedColumnFormula>
    </tableColumn>
    <tableColumn id="8" xr3:uid="{A046DC11-8604-4D49-89C7-74C0BB0928CF}" name="Beta">
      <calculatedColumnFormula array="1">_FV(Table134567811[[#This Row],[Company]],"Beta")</calculatedColumnFormula>
    </tableColumn>
    <tableColumn id="10" xr3:uid="{77DA9F4C-F6DE-0147-9A2E-E5F4A173F170}" name="Marketcap per employee">
      <calculatedColumnFormula>Table134567811[[#This Row],[MarketCap]]/Table134567811[[#This Row],[Employees]]</calculatedColumnFormula>
    </tableColumn>
    <tableColumn id="11" xr3:uid="{1F8DC90D-0BD2-724C-B8F1-A6A66D5048FC}" name="Share of Portfolio" dataDxfId="289" dataCellStyle="Percent">
      <calculatedColumnFormula>Table134567811[[#This Row],[Value]] / SUM(Table134567811[Value])</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E54BDF2-5E41-DA4E-A895-5E5D14E4C04F}" name="Table13456781112" displayName="Table13456781112" ref="A142:J151" totalsRowShown="0">
  <autoFilter ref="A142:J151" xr:uid="{6E54BDF2-5E41-DA4E-A895-5E5D14E4C04F}"/>
  <tableColumns count="10">
    <tableColumn id="1" xr3:uid="{6763F264-3435-F54B-892B-BB8AFC53B323}" name="Company"/>
    <tableColumn id="2" xr3:uid="{FCF2AC5D-9B46-0543-B326-189033763337}" name="Price" dataCellStyle="Currency">
      <calculatedColumnFormula array="1">_FV(A143,"Price")</calculatedColumnFormula>
    </tableColumn>
    <tableColumn id="3" xr3:uid="{DC7748AB-F918-2B45-A9C6-B2D264812B3E}" name="Number of shares"/>
    <tableColumn id="4" xr3:uid="{DCDA2DF6-6BA1-4540-9314-B62952C293AC}" name="Value" dataDxfId="288" dataCellStyle="Currency">
      <calculatedColumnFormula>IFERROR(Table13456781112[[#This Row],[Price]]*Table13456781112[[#This Row],[Number of shares]],0)</calculatedColumnFormula>
    </tableColumn>
    <tableColumn id="5" xr3:uid="{A17E8A91-F700-A64E-8585-12A3D92ED1F5}" name="Employees">
      <calculatedColumnFormula array="1">_FV(Table13456781112[[#This Row],[Company]],"Employees")</calculatedColumnFormula>
    </tableColumn>
    <tableColumn id="6" xr3:uid="{220B728F-4A6E-2346-BACD-1F510575C834}" name="MarketCap">
      <calculatedColumnFormula array="1">_FV(Table13456781112[[#This Row],[Company]],"Market cap",TRUE)</calculatedColumnFormula>
    </tableColumn>
    <tableColumn id="7" xr3:uid="{45BFE08A-BF90-7240-B737-1871B6019D9A}" name="P/E">
      <calculatedColumnFormula array="1">_FV(Table13456781112[[#This Row],[Company]],"P/E",TRUE)</calculatedColumnFormula>
    </tableColumn>
    <tableColumn id="8" xr3:uid="{732E719B-A11C-D248-9351-30F2283F17F0}" name="Beta">
      <calculatedColumnFormula array="1">_FV(Table13456781112[[#This Row],[Company]],"Beta")</calculatedColumnFormula>
    </tableColumn>
    <tableColumn id="10" xr3:uid="{6283405E-CB71-284E-9F78-E6A4028A9259}" name="Marketcap per employee">
      <calculatedColumnFormula>Table13456781112[[#This Row],[MarketCap]]/Table13456781112[[#This Row],[Employees]]</calculatedColumnFormula>
    </tableColumn>
    <tableColumn id="11" xr3:uid="{34476AC5-5590-6946-B12B-5E4AA1949492}" name="Share of Portfolio" dataDxfId="287" dataCellStyle="Percent">
      <calculatedColumnFormula>Table13456781112[[#This Row],[Value]] / SUM(Table13456781112[Value])</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BEF4AF2-DE2A-6A41-9E06-8A1B805CB8CF}" name="Table13456781113" displayName="Table13456781113" ref="A156:J165" totalsRowShown="0">
  <autoFilter ref="A156:J165" xr:uid="{DBEF4AF2-DE2A-6A41-9E06-8A1B805CB8CF}"/>
  <tableColumns count="10">
    <tableColumn id="1" xr3:uid="{059E6409-2CBA-134B-95E3-5A27C5FD83BE}" name="Company"/>
    <tableColumn id="2" xr3:uid="{7FB0544D-C852-5442-B7A7-D85CED00C32A}" name="Price" dataCellStyle="Currency">
      <calculatedColumnFormula array="1">_FV(A157,"Price")</calculatedColumnFormula>
    </tableColumn>
    <tableColumn id="3" xr3:uid="{5A53A100-1C07-4E4B-BA99-E035BE579A4E}" name="Number of shares"/>
    <tableColumn id="4" xr3:uid="{430ABC15-3C24-604D-B13E-1093049F8F67}" name="Value" dataDxfId="286" dataCellStyle="Currency">
      <calculatedColumnFormula>IFERROR(Table13456781113[[#This Row],[Price]]*Table13456781113[[#This Row],[Number of shares]],0)</calculatedColumnFormula>
    </tableColumn>
    <tableColumn id="5" xr3:uid="{8176444C-0565-594C-9179-634820497F31}" name="Employees">
      <calculatedColumnFormula array="1">_FV(Table13456781113[[#This Row],[Company]],"Employees")</calculatedColumnFormula>
    </tableColumn>
    <tableColumn id="6" xr3:uid="{43DD214C-ED06-3044-9676-A339C3501EE7}" name="MarketCap">
      <calculatedColumnFormula array="1">_FV(Table13456781113[[#This Row],[Company]],"Market cap",TRUE)</calculatedColumnFormula>
    </tableColumn>
    <tableColumn id="7" xr3:uid="{391DEBCA-5ACB-4E48-B495-191392207E44}" name="P/E">
      <calculatedColumnFormula array="1">_FV(Table13456781113[[#This Row],[Company]],"P/E",TRUE)</calculatedColumnFormula>
    </tableColumn>
    <tableColumn id="8" xr3:uid="{A7908EF5-ABDC-9B4C-A44F-CB2B0D6B1212}" name="Beta">
      <calculatedColumnFormula array="1">_FV(Table13456781113[[#This Row],[Company]],"Beta")</calculatedColumnFormula>
    </tableColumn>
    <tableColumn id="10" xr3:uid="{00B78ED6-F5E9-3B41-B621-803F2EC46E44}" name="Marketcap per employee">
      <calculatedColumnFormula>Table13456781113[[#This Row],[MarketCap]]/Table13456781113[[#This Row],[Employees]]</calculatedColumnFormula>
    </tableColumn>
    <tableColumn id="11" xr3:uid="{F9D0C17E-2665-6F46-BA55-F958146AB06F}" name="Share of Portfolio" dataDxfId="285" dataCellStyle="Percent">
      <calculatedColumnFormula>Table13456781113[[#This Row],[Value]] / SUM(Table13456781113[Value])</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23364CC-2260-544C-8365-3778F2F2933C}" name="Table13456781114" displayName="Table13456781114" ref="A170:J179" totalsRowShown="0">
  <autoFilter ref="A170:J179" xr:uid="{123364CC-2260-544C-8365-3778F2F2933C}"/>
  <tableColumns count="10">
    <tableColumn id="1" xr3:uid="{38184E8F-2D98-B24E-8EE2-A569FDE42B96}" name="Company"/>
    <tableColumn id="2" xr3:uid="{9560977B-42D1-2E43-9667-669CAF1027C5}" name="Price" dataCellStyle="Currency">
      <calculatedColumnFormula array="1">_FV(A171,"Price")</calculatedColumnFormula>
    </tableColumn>
    <tableColumn id="3" xr3:uid="{836408B5-AE07-954E-8F88-2F96AE4E4BEF}" name="Number of shares"/>
    <tableColumn id="4" xr3:uid="{D6B05FB4-1FF7-F043-84C1-063F0EC8AD38}" name="Value" dataDxfId="284" dataCellStyle="Currency">
      <calculatedColumnFormula>IFERROR(Table13456781114[[#This Row],[Price]]*Table13456781114[[#This Row],[Number of shares]],0)</calculatedColumnFormula>
    </tableColumn>
    <tableColumn id="5" xr3:uid="{E65AC064-B4C9-C04F-8B3A-9B94F308C5FB}" name="Employees">
      <calculatedColumnFormula array="1">_FV(Table13456781114[[#This Row],[Company]],"Employees")</calculatedColumnFormula>
    </tableColumn>
    <tableColumn id="6" xr3:uid="{1A6F82C3-B2E6-2846-9887-FBCA811F9C98}" name="MarketCap">
      <calculatedColumnFormula array="1">_FV(Table13456781114[[#This Row],[Company]],"Market cap",TRUE)</calculatedColumnFormula>
    </tableColumn>
    <tableColumn id="7" xr3:uid="{B30BA9AC-FF12-3343-8558-E578457E79FA}" name="P/E">
      <calculatedColumnFormula array="1">_FV(Table13456781114[[#This Row],[Company]],"P/E",TRUE)</calculatedColumnFormula>
    </tableColumn>
    <tableColumn id="8" xr3:uid="{516FB344-DB66-AA4E-85AF-F7DFBDE4A8F0}" name="Beta">
      <calculatedColumnFormula array="1">_FV(Table13456781114[[#This Row],[Company]],"Beta")</calculatedColumnFormula>
    </tableColumn>
    <tableColumn id="10" xr3:uid="{9B37B5DE-D3FE-C34D-B6F0-6760CB61D094}" name="Marketcap per employee">
      <calculatedColumnFormula>Table13456781114[[#This Row],[MarketCap]]/Table13456781114[[#This Row],[Employees]]</calculatedColumnFormula>
    </tableColumn>
    <tableColumn id="11" xr3:uid="{3635E99B-94E6-AB45-81C4-4049033A990E}" name="Share of Portfolio" dataDxfId="283" dataCellStyle="Percent">
      <calculatedColumnFormula>Table13456781114[[#This Row],[Value]] / SUM(Table13456781114[Value])</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477D12D-0355-2A41-A6FA-8D9424238318}" name="Table13456781115" displayName="Table13456781115" ref="A184:J193" totalsRowShown="0">
  <autoFilter ref="A184:J193" xr:uid="{1477D12D-0355-2A41-A6FA-8D9424238318}"/>
  <tableColumns count="10">
    <tableColumn id="1" xr3:uid="{38A4EDD5-A3FB-BD40-840F-A7AB6F92A12E}" name="Company"/>
    <tableColumn id="2" xr3:uid="{9E3AF156-C5B1-5949-B7BA-D58642B96307}" name="Price" dataCellStyle="Currency">
      <calculatedColumnFormula array="1">_FV(A185,"Price")</calculatedColumnFormula>
    </tableColumn>
    <tableColumn id="3" xr3:uid="{E67FE5E3-4929-624D-A41B-BB872369CA9E}" name="Number of shares"/>
    <tableColumn id="4" xr3:uid="{6DD81E32-3D71-7548-B89E-D26B4CA9C22B}" name="Value" dataDxfId="282" dataCellStyle="Currency">
      <calculatedColumnFormula>IFERROR(Table13456781115[[#This Row],[Price]]*Table13456781115[[#This Row],[Number of shares]],0)</calculatedColumnFormula>
    </tableColumn>
    <tableColumn id="5" xr3:uid="{B8982972-190F-1140-BAE2-0395503C7FF9}" name="Employees">
      <calculatedColumnFormula array="1">_FV(Table13456781115[[#This Row],[Company]],"Employees")</calculatedColumnFormula>
    </tableColumn>
    <tableColumn id="6" xr3:uid="{667EB627-5B67-B94E-9F62-90437644DFA2}" name="MarketCap">
      <calculatedColumnFormula array="1">_FV(Table13456781115[[#This Row],[Company]],"Market cap",TRUE)</calculatedColumnFormula>
    </tableColumn>
    <tableColumn id="7" xr3:uid="{0D8F8A57-430E-0248-A0C2-6F2DD093DDC7}" name="P/E">
      <calculatedColumnFormula array="1">_FV(Table13456781115[[#This Row],[Company]],"P/E",TRUE)</calculatedColumnFormula>
    </tableColumn>
    <tableColumn id="8" xr3:uid="{E61EEF1C-EF74-BC4E-B253-2A370624F9AB}" name="Beta">
      <calculatedColumnFormula array="1">_FV(Table13456781115[[#This Row],[Company]],"Beta")</calculatedColumnFormula>
    </tableColumn>
    <tableColumn id="10" xr3:uid="{C45709BB-A3CE-104F-B142-64CF062B45B1}" name="Marketcap per employee">
      <calculatedColumnFormula>Table13456781115[[#This Row],[MarketCap]]/Table13456781115[[#This Row],[Employees]]</calculatedColumnFormula>
    </tableColumn>
    <tableColumn id="11" xr3:uid="{29C17318-88ED-7545-95FC-6ACF2351F2BE}" name="Share of Portfolio" dataDxfId="281" dataCellStyle="Percent">
      <calculatedColumnFormula>Table13456781115[[#This Row],[Value]] / SUM(Table13456781115[Value])</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5D0A677-4DD3-8943-B931-EAC4E8F55B69}" name="Table1345678111516" displayName="Table1345678111516" ref="A198:J207" totalsRowShown="0">
  <autoFilter ref="A198:J207" xr:uid="{A5D0A677-4DD3-8943-B931-EAC4E8F55B69}"/>
  <tableColumns count="10">
    <tableColumn id="1" xr3:uid="{9BB826BC-62D4-4647-AD41-EC7752A49B6A}" name="Company"/>
    <tableColumn id="2" xr3:uid="{3B0A2860-524C-9344-A9D7-72E14BCCBCA3}" name="Price" dataCellStyle="Currency">
      <calculatedColumnFormula array="1">_FV(A199,"Price")</calculatedColumnFormula>
    </tableColumn>
    <tableColumn id="3" xr3:uid="{8FE5956F-243B-9046-80AB-1B8FBFC196A9}" name="Number of shares"/>
    <tableColumn id="4" xr3:uid="{2D26FC18-0881-6E47-BF92-2EC29CA127A4}" name="Value" dataDxfId="280" dataCellStyle="Currency">
      <calculatedColumnFormula>IFERROR(Table1345678111516[[#This Row],[Price]]*Table1345678111516[[#This Row],[Number of shares]],0)</calculatedColumnFormula>
    </tableColumn>
    <tableColumn id="5" xr3:uid="{7FC64EE8-1153-744B-9F54-C80BEA451CDB}" name="Employees">
      <calculatedColumnFormula array="1">_FV(Table1345678111516[[#This Row],[Company]],"Employees")</calculatedColumnFormula>
    </tableColumn>
    <tableColumn id="6" xr3:uid="{5E0DA58C-9293-6A44-AE03-66771445FCE7}" name="MarketCap">
      <calculatedColumnFormula array="1">_FV(Table1345678111516[[#This Row],[Company]],"Market cap",TRUE)</calculatedColumnFormula>
    </tableColumn>
    <tableColumn id="7" xr3:uid="{9E6E143E-00C5-6148-B9FC-3B68A029E55B}" name="P/E">
      <calculatedColumnFormula array="1">_FV(Table1345678111516[[#This Row],[Company]],"P/E",TRUE)</calculatedColumnFormula>
    </tableColumn>
    <tableColumn id="8" xr3:uid="{866746F1-AACE-FD41-9119-CDDDF832E03C}" name="Beta">
      <calculatedColumnFormula array="1">_FV(Table1345678111516[[#This Row],[Company]],"Beta")</calculatedColumnFormula>
    </tableColumn>
    <tableColumn id="10" xr3:uid="{22CB0EEC-219B-D44C-BEDD-4373DBF6F514}" name="Marketcap per employee">
      <calculatedColumnFormula>Table1345678111516[[#This Row],[MarketCap]]/Table1345678111516[[#This Row],[Employees]]</calculatedColumnFormula>
    </tableColumn>
    <tableColumn id="11" xr3:uid="{80CF67D3-029D-9A4A-8CA5-CD612B862EAC}" name="Share of Portfolio" dataDxfId="279" dataCellStyle="Percent">
      <calculatedColumnFormula>Table1345678111516[[#This Row],[Value]] / SUM(Table1345678111516[Value])</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E4A43D1-89B2-7A4B-9624-2F734344B022}" name="Table33" displayName="Table33" ref="A4:G93" totalsRowShown="0" headerRowDxfId="278" dataDxfId="276" headerRowBorderDxfId="277" tableBorderDxfId="275">
  <autoFilter ref="A4:G93" xr:uid="{2E4A43D1-89B2-7A4B-9624-2F734344B022}"/>
  <sortState xmlns:xlrd2="http://schemas.microsoft.com/office/spreadsheetml/2017/richdata2" ref="A5:G91">
    <sortCondition descending="1" ref="C4:C91"/>
  </sortState>
  <tableColumns count="7">
    <tableColumn id="1" xr3:uid="{569D4DF3-FF8E-B64A-A65C-2018A4D86908}" name="Secondary theme" dataDxfId="274"/>
    <tableColumn id="2" xr3:uid="{FE116266-5448-1847-987F-CC513FE2A324}" name="Stock Exposure" dataDxfId="273" dataCellStyle="Currency">
      <calculatedColumnFormula>SUMIF(Table19[Secondary theme],Table33[[#This Row],[Secondary theme]],Table19[Stock Exposure])</calculatedColumnFormula>
    </tableColumn>
    <tableColumn id="3" xr3:uid="{6D6AB854-1AAA-024B-B8DD-B666D32BCBC9}" name="Percentage of Stock Exposure" dataDxfId="272" dataCellStyle="Percent">
      <calculatedColumnFormula>Table33[[#This Row],[Stock Exposure]]/'Primary Theme'!$D$5</calculatedColumnFormula>
    </tableColumn>
    <tableColumn id="4" xr3:uid="{63550AEA-F433-3E4B-A17F-7BC51BE59D68}" name="Target" dataDxfId="271"/>
    <tableColumn id="5" xr3:uid="{32ACE654-A411-3949-9D3C-5F5FE3077071}" name="Option Exposure" dataDxfId="270" dataCellStyle="Currency">
      <calculatedColumnFormula>SUMIF(Table19[Secondary theme],Table33[[#This Row],[Secondary theme]],Table19[Option Exposure])</calculatedColumnFormula>
    </tableColumn>
    <tableColumn id="6" xr3:uid="{1DFF9086-0F9D-544C-98DA-457366C9B0D7}" name="Combined Exposure" dataDxfId="269">
      <calculatedColumnFormula>Table33[[#This Row],[Stock Exposure]]+Table33[[#This Row],[Option Exposure]]</calculatedColumnFormula>
    </tableColumn>
    <tableColumn id="7" xr3:uid="{FFCE8F0C-B0F1-4B46-A20F-4ACFB8F535AC}" name="Percentage of Total" dataDxfId="268" dataCellStyle="Percent">
      <calculatedColumnFormula>Table33[[#This Row],[Combined Exposure]]/'Primary Theme'!$D$4</calculatedColumnFormula>
    </tableColumn>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DF3F369-17D0-F74D-B38F-5B35593971BB}" name="Table44" displayName="Table44" ref="B1:P122" totalsRowShown="0" headerRowDxfId="267" dataDxfId="266" dataCellStyle="Currency">
  <autoFilter ref="B1:P122" xr:uid="{ADF3F369-17D0-F74D-B38F-5B35593971BB}"/>
  <sortState xmlns:xlrd2="http://schemas.microsoft.com/office/spreadsheetml/2017/richdata2" ref="B3:P84">
    <sortCondition ref="P1:P122"/>
  </sortState>
  <tableColumns count="15">
    <tableColumn id="1" xr3:uid="{57D44C80-563A-5240-A843-1D2923F37B40}" name="Ticker" dataDxfId="265">
      <calculatedColumnFormula>VLOOKUP(A2,Table41[#All],2,FALSE)</calculatedColumnFormula>
    </tableColumn>
    <tableColumn id="8" xr3:uid="{5E4A1987-315F-CF47-A189-62CBA205751E}" name="Asset type" dataDxfId="264">
      <calculatedColumnFormula>VLOOKUP(A2,Table41[#All],20,FALSE)</calculatedColumnFormula>
    </tableColumn>
    <tableColumn id="14" xr3:uid="{4EC3B8D7-8C57-BA43-AE96-E327CC35816E}" name="52 week low" dataDxfId="263" dataCellStyle="Currency">
      <calculatedColumnFormula array="1">_FV(A2,"52 week low",TRUE)</calculatedColumnFormula>
    </tableColumn>
    <tableColumn id="18" xr3:uid="{878975E6-87B9-A443-BF0B-7515C4449341}" name="Dis to 52 week low" dataDxfId="262" dataCellStyle="Currency">
      <calculatedColumnFormula>(Table44[[#This Row],[Current Price]]-Table44[[#This Row],[52 week low]])/Table44[[#This Row],[52 week low]]</calculatedColumnFormula>
    </tableColumn>
    <tableColumn id="3" xr3:uid="{A8EDE8A7-6035-F34C-B1B0-8390AD0BA154}" name="Current Price" dataDxfId="261" dataCellStyle="Currency">
      <calculatedColumnFormula>VLOOKUP(A2,Table41[#All],15,FALSE)</calculatedColumnFormula>
    </tableColumn>
    <tableColumn id="17" xr3:uid="{012A1B0F-028D-7848-A3D4-C8B29CE6EB95}" name="Dis to 52w high" dataDxfId="260" dataCellStyle="Currency">
      <calculatedColumnFormula>(Table44[[#This Row],[52 week high]]-Table44[[#This Row],[Current Price]])/Table44[[#This Row],[Current Price]]</calculatedColumnFormula>
    </tableColumn>
    <tableColumn id="13" xr3:uid="{4EE3E136-8BD0-8E45-A536-55D2DE8081F3}" name="52 week high" dataDxfId="259" dataCellStyle="Currency">
      <calculatedColumnFormula array="1">_FV(A2,"52 week high",TRUE)</calculatedColumnFormula>
    </tableColumn>
    <tableColumn id="5" xr3:uid="{D66FBFC6-0138-5A44-9640-2C86479CF855}" name="Bullish">
      <calculatedColumnFormula>VLOOKUP(A2,Table41[#All],17,FALSE)</calculatedColumnFormula>
    </tableColumn>
    <tableColumn id="6" xr3:uid="{69545459-1EAD-1D42-BBE3-73CA07FCDC41}" name="Bearish">
      <calculatedColumnFormula>VLOOKUP(A2,Table41[#All],18,FALSE)</calculatedColumnFormula>
    </tableColumn>
    <tableColumn id="7" xr3:uid="{937B9934-4DEF-3442-8C8B-119DC3C0D686}" name="Next Earning" dataDxfId="258" dataCellStyle="Currency">
      <calculatedColumnFormula>VLOOKUP(A2,Table41[#All],21,FALSE)</calculatedColumnFormula>
    </tableColumn>
    <tableColumn id="9" xr3:uid="{920EF973-5D65-7D4B-B7AC-DF155056EFD4}" name="From Support" dataDxfId="257" dataCellStyle="Percent">
      <calculatedColumnFormula>VLOOKUP(A2,Table41[#All],26,FALSE)</calculatedColumnFormula>
    </tableColumn>
    <tableColumn id="10" xr3:uid="{935B74EE-B80F-4E47-A482-26187D2BDEEC}" name="From Resistance" dataDxfId="256" dataCellStyle="Percent">
      <calculatedColumnFormula>VLOOKUP(A2,Table41[#All],27,FALSE)</calculatedColumnFormula>
    </tableColumn>
    <tableColumn id="2" xr3:uid="{5BC24D74-0CB2-A944-A974-D4B66A76C166}" name="Latest Update" dataDxfId="255" dataCellStyle="Percent">
      <calculatedColumnFormula>HLOOKUP(Table44[[#This Row],[Theme]],Table46[#All],2,FALSE)</calculatedColumnFormula>
    </tableColumn>
    <tableColumn id="11" xr3:uid="{5C071BEB-6AE5-E747-A44E-65B405C05A86}" name="Theme" dataDxfId="254" dataCellStyle="Currency">
      <calculatedColumnFormula>VLOOKUP(A2,Table41[#All],22,FALSE)</calculatedColumnFormula>
    </tableColumn>
    <tableColumn id="12" xr3:uid="{7F2E9AE1-3CF9-C94A-A593-7C607483BF95}" name="Signal" dataDxfId="253" dataCellStyle="Currency"/>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F089F91-D7A6-F648-BC91-907D941F5910}" name="Table21" displayName="Table21" ref="A10:L50" totalsRowShown="0" headerRowDxfId="252" dataDxfId="250" headerRowBorderDxfId="251" tableBorderDxfId="249">
  <autoFilter ref="A10:L50" xr:uid="{0F089F91-D7A6-F648-BC91-907D941F5910}">
    <filterColumn colId="0">
      <filters>
        <filter val="Bitcoin mining"/>
        <filter val="Mining"/>
      </filters>
    </filterColumn>
  </autoFilter>
  <sortState xmlns:xlrd2="http://schemas.microsoft.com/office/spreadsheetml/2017/richdata2" ref="A11:L49">
    <sortCondition descending="1" ref="B10:B49"/>
  </sortState>
  <tableColumns count="12">
    <tableColumn id="1" xr3:uid="{7432C301-A205-C445-90BD-6366700FAB42}" name="Primary theme" dataDxfId="248"/>
    <tableColumn id="2" xr3:uid="{88AF87E8-ED88-5E48-AF13-2CD2F1198946}" name="Stock Exposure" dataDxfId="247" dataCellStyle="Currency">
      <calculatedColumnFormula>SUMIF(Table19[[#All],[Primary theme]],Table21[[#This Row],[Primary theme]],Table19[[#All],[Stock Exposure]])</calculatedColumnFormula>
    </tableColumn>
    <tableColumn id="11" xr3:uid="{A21B0E5B-DB84-4B47-AA4C-449FB2D38D9F}" name="Cost basis" dataDxfId="246" dataCellStyle="Currency">
      <calculatedColumnFormula>SUMIF(Table19[[#All],[Primary theme]],Table21[[#This Row],[Primary theme]],Table19[[#All],[Cost of current position]])</calculatedColumnFormula>
    </tableColumn>
    <tableColumn id="5" xr3:uid="{31B41ABA-9D2A-B748-A2A7-A5197DC2A510}" name="Percentage of Stock Exposure" dataDxfId="245" dataCellStyle="Percent">
      <calculatedColumnFormula>Table21[[#This Row],[Stock Exposure]]/$D$5</calculatedColumnFormula>
    </tableColumn>
    <tableColumn id="6" xr3:uid="{B7D8E078-0962-E24B-BDB6-35EA2B561492}" name="Target" dataDxfId="244" dataCellStyle="Percent"/>
    <tableColumn id="3" xr3:uid="{D8AB2EED-105C-4B44-ABA5-865160813E58}" name="Option Exposure" dataDxfId="243" dataCellStyle="Currency">
      <calculatedColumnFormula>SUMIF(Table19[[#All],[Primary theme]],Table21[[#This Row],[Primary theme]],Table19[[#All],[Option Exposure]])</calculatedColumnFormula>
    </tableColumn>
    <tableColumn id="4" xr3:uid="{329EADD9-43F6-A648-8C13-86A03A34B5EE}" name="Combined Exposure" dataDxfId="242">
      <calculatedColumnFormula>Table21[[#This Row],[Option Exposure]]+Table21[[#This Row],[Stock Exposure]]</calculatedColumnFormula>
    </tableColumn>
    <tableColumn id="7" xr3:uid="{2BDF7500-05A5-F142-B210-243A7769B651}" name="Percentage of Total" dataDxfId="241" dataCellStyle="Percent">
      <calculatedColumnFormula>Table21[[#This Row],[Combined Exposure]]/$D$4</calculatedColumnFormula>
    </tableColumn>
    <tableColumn id="8" xr3:uid="{E261AD50-67D8-A94F-B8DF-14F38FBDE1BC}" name="Realized Profit" dataDxfId="240" dataCellStyle="Currency">
      <calculatedColumnFormula>SUMIF(Table19[Primary theme],Table21[[#This Row],[Primary theme]],Table19[Realized Profit])</calculatedColumnFormula>
    </tableColumn>
    <tableColumn id="9" xr3:uid="{790FE7D1-53B4-A442-9B5C-3A6801D5C65E}" name="Unrealized Profit" dataDxfId="239" dataCellStyle="Currency">
      <calculatedColumnFormula>SUMIF(Table19[Primary theme],Table21[[#This Row],[Primary theme]],Table19[Unrealized Profit])</calculatedColumnFormula>
    </tableColumn>
    <tableColumn id="10" xr3:uid="{498E404E-50C5-9243-B703-AF6561F525D7}" name="Percentage in profit" dataDxfId="238">
      <calculatedColumnFormula>IFERROR(Table21[[#This Row],[Unrealized Profit]]/Table21[[#This Row],[Cost basis]],"")</calculatedColumnFormula>
    </tableColumn>
    <tableColumn id="12" xr3:uid="{91B9DF07-7009-5540-97A3-833950C5F2F8}" name="Over allocated" dataDxfId="237">
      <calculatedColumnFormula>IF(Table21[[#This Row],[Percentage of Stock Exposure]]&gt;Table21[[#This Row],[Target]],TRUE,FALSE)</calculatedColumnFormula>
    </tableColumn>
  </tableColumns>
  <tableStyleInfo name="TableStyleMedium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F89B2A3-5841-8242-8897-74096A7F6111}" name="Table26" displayName="Table26" ref="A4:J113" totalsRowShown="0">
  <autoFilter ref="A4:J113" xr:uid="{7F89B2A3-5841-8242-8897-74096A7F6111}"/>
  <sortState xmlns:xlrd2="http://schemas.microsoft.com/office/spreadsheetml/2017/richdata2" ref="A5:J110">
    <sortCondition descending="1" ref="F4:F110"/>
  </sortState>
  <tableColumns count="10">
    <tableColumn id="1" xr3:uid="{E88D902F-580F-0249-9BB8-874A98CC3E24}" name="Asset"/>
    <tableColumn id="2" xr3:uid="{A5CDD061-A660-6346-AB29-66391F129058}" name="Theme"/>
    <tableColumn id="3" xr3:uid="{58278FCD-8F97-B743-867A-4C7917A4A334}" name="Realized Profit" dataDxfId="236" dataCellStyle="Currency">
      <calculatedColumnFormula>IFERROR(VLOOKUP(Table26[[#This Row],[Asset]],Table228[],19,FALSE),0)</calculatedColumnFormula>
    </tableColumn>
    <tableColumn id="4" xr3:uid="{035ECBD7-F095-374F-AD7A-01E6DA03CA01}" name="Unrealized Profit" dataDxfId="235" dataCellStyle="Currency">
      <calculatedColumnFormula>IFERROR(VLOOKUP(Table26[[#This Row],[Asset]],Table228[#All],20,FALSE),0)</calculatedColumnFormula>
    </tableColumn>
    <tableColumn id="5" xr3:uid="{5D9C21FE-3F8C-744E-971A-22BED7E61301}" name="Blockchain"/>
    <tableColumn id="6" xr3:uid="{846FA128-3158-CF43-BC80-8218FD6FEB16}" name="Current Exposure" dataDxfId="234" dataCellStyle="Currency">
      <calculatedColumnFormula>Table26[[#This Row],[How many tokens]]*Table26[[#This Row],[Current Price]]</calculatedColumnFormula>
    </tableColumn>
    <tableColumn id="8" xr3:uid="{10B42456-566B-2D47-9528-6F37F00CE7FB}" name="Average Entry" dataDxfId="233" dataCellStyle="Currency">
      <calculatedColumnFormula>IFERROR(VLOOKUP(Table26[[#This Row],[Asset]],Table228[#All],16,FALSE),0)</calculatedColumnFormula>
    </tableColumn>
    <tableColumn id="9" xr3:uid="{7F1FC5F9-14A1-2A44-9A8F-A6EEA33D23F7}" name="How many tokens" dataDxfId="232" dataCellStyle="Comma">
      <calculatedColumnFormula>IFERROR(VLOOKUP(Table26[[#This Row],[Asset]],Table228[#All],18,FALSE),0)</calculatedColumnFormula>
    </tableColumn>
    <tableColumn id="11" xr3:uid="{3E9931B5-5114-1B48-B474-843620E7BB3B}" name="Distance from entry" dataDxfId="231" dataCellStyle="Percent">
      <calculatedColumnFormula>IFERROR((Table26[[#This Row],[Current Price]]-Table26[[#This Row],[Average Entry]])/Table26[[#This Row],[Average Entry]],0)</calculatedColumnFormula>
    </tableColumn>
    <tableColumn id="7" xr3:uid="{CB48DA3E-1C22-7C43-A436-43452691A199}" name="Current Price" dataDxfId="230" dataCellStyle="Currency"/>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355DA7C-0D56-A14C-BE9D-672A7345926A}" name="Table228" displayName="Table228" ref="A3:U453" totalsRowShown="0">
  <autoFilter ref="A3:U453" xr:uid="{6355DA7C-0D56-A14C-BE9D-672A7345926A}"/>
  <tableColumns count="21">
    <tableColumn id="2" xr3:uid="{F8EE6FA7-6381-4B4F-976D-F56AA0F344C8}" name="Asset"/>
    <tableColumn id="1" xr3:uid="{6693A895-3A16-E249-990C-9BFDDBA46AD2}" name="Date" dataDxfId="229"/>
    <tableColumn id="3" xr3:uid="{83C04ECF-D3E3-6A4E-A6BD-2CE80EF53522}" name="State" dataDxfId="228"/>
    <tableColumn id="4" xr3:uid="{5C8E8E12-85C5-6F43-B309-A61404178E19}" name="Platform"/>
    <tableColumn id="13" xr3:uid="{14D22CF7-4A4A-FF48-9AD7-5C783225BD19}" name="Specific wallet"/>
    <tableColumn id="5" xr3:uid="{17CE9B9B-87AC-D44A-908A-1D1D093DC98D}" name="Price" dataDxfId="227" dataCellStyle="Currency"/>
    <tableColumn id="6" xr3:uid="{94CB3396-CC79-E64E-9C95-0F8982A99A4B}" name="Number" dataCellStyle="Comma"/>
    <tableColumn id="7" xr3:uid="{56858675-41A7-2946-AFF9-0BD5D3D0DC04}" name="Bought number" dataDxfId="226">
      <calculatedColumnFormula>IF(G4&gt;0,G4,0)</calculatedColumnFormula>
    </tableColumn>
    <tableColumn id="8" xr3:uid="{32686831-56E3-E841-BBA7-56400DB418C8}" name="Sold Number" dataDxfId="225">
      <calculatedColumnFormula>IF(G4&lt;0,ABS(G4),0)</calculatedColumnFormula>
    </tableColumn>
    <tableColumn id="9" xr3:uid="{1E97BACC-3B44-7D46-BDA0-79682097F50D}" name="Bought amount" dataDxfId="224" dataCellStyle="Currency">
      <calculatedColumnFormula>H4*F4</calculatedColumnFormula>
    </tableColumn>
    <tableColumn id="10" xr3:uid="{45637CC3-6CF2-6E49-A563-4EA096EABC8D}" name="Sold amount" dataDxfId="223" dataCellStyle="Currency">
      <calculatedColumnFormula>I4*F4</calculatedColumnFormula>
    </tableColumn>
    <tableColumn id="11" xr3:uid="{084C1B4B-AAF2-7A44-9C79-8984BFDE6688}" name="Total bought Number" dataDxfId="222">
      <calculatedColumnFormula>SUMIF(Table228[[#All],[Asset]],Table228[[#This Row],[Asset]],Table228[[#All],[Bought number]])</calculatedColumnFormula>
    </tableColumn>
    <tableColumn id="12" xr3:uid="{D29FF7E0-BFAD-474C-905F-F717A4ACB26D}" name="Total Sold Number" dataDxfId="221">
      <calculatedColumnFormula>SUMIF(Table228[[#All],[Asset]],Table228[[#This Row],[Asset]],Table228[[#All],[Sold Number]])</calculatedColumnFormula>
    </tableColumn>
    <tableColumn id="14" xr3:uid="{A8F75B79-9F92-954F-8E67-7361BB5E9318}" name="Total bought Amount" dataDxfId="220" dataCellStyle="Currency">
      <calculatedColumnFormula>SUMIF(Table228[[#All],[Asset]],Table228[[#This Row],[Asset]],Table228[[#All],[Bought amount]])</calculatedColumnFormula>
    </tableColumn>
    <tableColumn id="15" xr3:uid="{B3DC0943-DAD7-9A41-9320-64BBE36076D5}" name="Total Sold Amount" dataDxfId="219" dataCellStyle="Currency">
      <calculatedColumnFormula>SUMIF(Table228[[#All],[Asset]],Table228[[#This Row],[Asset]],Table228[[#All],[Sold amount]])</calculatedColumnFormula>
    </tableColumn>
    <tableColumn id="17" xr3:uid="{AEA1E820-CAC8-7142-9FE6-8DE92F764EA0}" name="Ave Entry price" dataDxfId="218" dataCellStyle="Currency">
      <calculatedColumnFormula>Table228[[#This Row],[Total bought Amount]]/Table228[[#This Row],[Total bought Number]]</calculatedColumnFormula>
    </tableColumn>
    <tableColumn id="18" xr3:uid="{C1F997A9-F0CC-BA41-9E3E-D3F7795178D6}" name="Ave exit price" dataDxfId="217" dataCellStyle="Currency">
      <calculatedColumnFormula>IFERROR(Table228[[#This Row],[Total Sold Amount]]/Table228[[#This Row],[Total Sold Number]],0)</calculatedColumnFormula>
    </tableColumn>
    <tableColumn id="16" xr3:uid="{4F4D3E88-F23A-8042-8266-D34D90D94285}" name="How many tokens now" dataDxfId="216">
      <calculatedColumnFormula>Table228[[#This Row],[Total bought Number]]-Table228[[#This Row],[Total Sold Number]]</calculatedColumnFormula>
    </tableColumn>
    <tableColumn id="19" xr3:uid="{95873D94-317C-BD4C-B645-EECC936CDF22}" name="Realized Profit" dataDxfId="215">
      <calculatedColumnFormula>(Table228[[#This Row],[Ave exit price]]-Table228[[#This Row],[Ave Entry price]])*Table228[[#This Row],[Total Sold Number]]</calculatedColumnFormula>
    </tableColumn>
    <tableColumn id="20" xr3:uid="{A601A0D1-6571-8E4C-9B3C-84B0C8BE270C}" name="Unrealized Profit" dataDxfId="214" dataCellStyle="Currency">
      <calculatedColumnFormula>(Table228[[#This Row],[Current Price]]-Table228[[#This Row],[Ave Entry price]])*Table228[[#This Row],[How many tokens now]]</calculatedColumnFormula>
    </tableColumn>
    <tableColumn id="21" xr3:uid="{6D7E0152-8C1E-9A42-AAB9-C16A688AB1EA}" name="Current Price" dataDxfId="213" dataCellStyle="Currency">
      <calculatedColumnFormula>VLOOKUP(Table228[[#This Row],[Asset]],Table26[#All],10,FALSE)</calculatedColumnFormula>
    </tableColum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57BF909-5F2B-FC45-B892-8AB6ADF69BB4}" name="Table19" displayName="Table19" ref="A16:T615" totalsRowShown="0" dataDxfId="212">
  <autoFilter ref="A16:T615" xr:uid="{757BF909-5F2B-FC45-B892-8AB6ADF69BB4}"/>
  <sortState xmlns:xlrd2="http://schemas.microsoft.com/office/spreadsheetml/2017/richdata2" ref="A17:T602">
    <sortCondition descending="1" ref="Q16:Q602"/>
  </sortState>
  <tableColumns count="20">
    <tableColumn id="1" xr3:uid="{14562F37-C360-9747-A324-E872247E9838}" name="Assets"/>
    <tableColumn id="2" xr3:uid="{9F532C5B-2079-0048-8635-7E2AF928DE1E}" name="Ticker" dataDxfId="211">
      <calculatedColumnFormula array="1">_FV(A17,"Ticker symbol",TRUE)</calculatedColumnFormula>
    </tableColumn>
    <tableColumn id="5" xr3:uid="{2B24DE45-BBF5-4E4F-82DE-64B52A7EF62B}" name="Primary theme" dataDxfId="210"/>
    <tableColumn id="6" xr3:uid="{31CEEB7B-8B88-D240-A8D2-C5FD261D026A}" name="Secondary theme" dataDxfId="209"/>
    <tableColumn id="7" xr3:uid="{76DAE964-4B37-0B48-BEE3-313263B29B70}" name="Beta" dataDxfId="208">
      <calculatedColumnFormula array="1">IFERROR(_FV(A17,"Beta"),2)</calculatedColumnFormula>
    </tableColumn>
    <tableColumn id="8" xr3:uid="{6B3D1C1E-F825-2E4D-B485-CBAACA6C48FA}" name="Instrument type" dataDxfId="207">
      <calculatedColumnFormula array="1">_FV(A17,"Instrument type",TRUE)</calculatedColumnFormula>
    </tableColumn>
    <tableColumn id="10" xr3:uid="{349E58A4-AD09-5142-AF73-22977D79A663}" name="Price" dataDxfId="206">
      <calculatedColumnFormula array="1">_FV(Table19[[#This Row],[Assets]],"Price")</calculatedColumnFormula>
    </tableColumn>
    <tableColumn id="18" xr3:uid="{035FCC4E-8BE2-E846-A999-3695B41B303D}" name="Ave Entry" dataDxfId="205" dataCellStyle="Currency">
      <calculatedColumnFormula>IFERROR(VLOOKUP(Table19[[#This Row],[Assets]],Table25[#All],15,FALSE),"")</calculatedColumnFormula>
    </tableColumn>
    <tableColumn id="21" xr3:uid="{6B977EB4-B507-1249-912C-34B00B6B7FAE}" name="Realized Profit" dataDxfId="204" dataCellStyle="Currency">
      <calculatedColumnFormula>IFERROR(VLOOKUP(Table19[[#This Row],[Assets]],Table25[#All],16,FALSE),0)</calculatedColumnFormula>
    </tableColumn>
    <tableColumn id="19" xr3:uid="{1FE84E4E-AF24-564B-BCAD-7826E345728E}" name="Unrealized profit percentage" dataDxfId="203" dataCellStyle="Percent">
      <calculatedColumnFormula>IFERROR((Table19[[#This Row],[Price]]-Table19[[#This Row],[Ave Entry]])/Table19[[#This Row],[Ave Entry]],"")</calculatedColumnFormula>
    </tableColumn>
    <tableColumn id="20" xr3:uid="{71EC5869-9C7E-9E46-AEB2-AAACACF79272}" name="Unrealized Profit" dataDxfId="202" dataCellStyle="Percent">
      <calculatedColumnFormula>IFERROR((Table19[[#This Row],[Price]]-Table19[[#This Row],[Ave Entry]])*Table19[[#This Row],[Num of Stocks]],0)</calculatedColumnFormula>
    </tableColumn>
    <tableColumn id="11" xr3:uid="{E51EA048-8725-6246-BD91-ABA6F56EAC68}" name="Price Change" dataDxfId="201" dataCellStyle="Percent">
      <calculatedColumnFormula array="1">_FV(Table19[[#This Row],[Assets]],"Change (%)",TRUE)</calculatedColumnFormula>
    </tableColumn>
    <tableColumn id="22" xr3:uid="{550AF874-0D7E-644A-9F64-FBF6F54CE9AF}" name="Realized from option" dataDxfId="200" dataCellStyle="Currency">
      <calculatedColumnFormula>SUMIF(Table20[Asset],Table19[[#This Row],[Assets]],Table20[realized_profit])</calculatedColumnFormula>
    </tableColumn>
    <tableColumn id="3" xr3:uid="{6FEC7EB4-0252-D848-9E05-70E644142928}" name="Option Exposure" dataDxfId="199" dataCellStyle="Currency">
      <calculatedColumnFormula>SUMIF(Table20[[#All],[Asset]],Table19[[#This Row],[Assets]],Table20[[#All],[delta_exposure]])</calculatedColumnFormula>
    </tableColumn>
    <tableColumn id="14" xr3:uid="{E770D99C-AFC5-AD45-8FBF-59AB3127A4B0}" name="Perc of Op Exp" dataDxfId="198" dataCellStyle="Percent">
      <calculatedColumnFormula>Table19[[#This Row],[Option Exposure]]/$B$6</calculatedColumnFormula>
    </tableColumn>
    <tableColumn id="15" xr3:uid="{C845A4AF-D5BB-7C46-8DD1-228D75D995B0}" name="Num of Stocks" dataDxfId="197" dataCellStyle="Percent">
      <calculatedColumnFormula>SUMIF(Table25[[#All],[Assets]],Table19[[#This Row],[Assets]],Table25[[#All],[Number of stocks]])</calculatedColumnFormula>
    </tableColumn>
    <tableColumn id="16" xr3:uid="{5192142C-4E76-2E4B-9F7A-256CA39FCDFD}" name="Stock Exposure" dataDxfId="196" dataCellStyle="Currency">
      <calculatedColumnFormula>Table19[[#This Row],[Num of Stocks]]*Table19[[#This Row],[Price]]</calculatedColumnFormula>
    </tableColumn>
    <tableColumn id="17" xr3:uid="{A2E6A250-96D1-2D42-BE22-CD1E877E3132}" name="Combined Exposure" dataDxfId="195" dataCellStyle="Currency">
      <calculatedColumnFormula>Table19[[#This Row],[Stock Exposure]]+Table19[[#This Row],[Option Exposure]]</calculatedColumnFormula>
    </tableColumn>
    <tableColumn id="23" xr3:uid="{1C71D7B0-2883-094B-A1A4-F006D7F54D5B}" name="Cost of current position" dataDxfId="194">
      <calculatedColumnFormula>IFERROR(Table19[[#This Row],[Num of Stocks]]*Table19[[#This Row],[Ave Entry]],"")</calculatedColumnFormula>
    </tableColumn>
    <tableColumn id="24" xr3:uid="{BAECD075-FDD3-894E-9CDC-C28BC5707375}" name="Percentage of portfolio" dataDxfId="193">
      <calculatedColumnFormula>Table19[[#This Row],[Combined Exposure]]/$C$8</calculatedColumnFormula>
    </tableColum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CE34E38-78DF-D044-A957-EFAFE3C5E694}" name="Table22" displayName="Table22" ref="A2:C14" totalsRowShown="0" headerRowDxfId="192" dataDxfId="191" tableBorderDxfId="190">
  <autoFilter ref="A2:C14" xr:uid="{ACE34E38-78DF-D044-A957-EFAFE3C5E694}"/>
  <tableColumns count="3">
    <tableColumn id="1" xr3:uid="{7F1F7283-79A0-1645-92FB-3F6ED32BA0C4}" name="Main" dataDxfId="189"/>
    <tableColumn id="2" xr3:uid="{D5464C64-B82B-734F-97C2-406EF81BC304}" name="Stats" dataDxfId="188"/>
    <tableColumn id="3" xr3:uid="{A1196EAE-987E-FC41-A547-FE24B9835A3B}" name="Has to be same" dataDxfId="187"/>
  </tableColumns>
  <tableStyleInfo name="TableStyleMedium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2BD8C95-5B55-874F-8D16-30590D6CFEF4}" name="Table25" displayName="Table25" ref="A3:Q2075" totalsRowShown="0" headerRowDxfId="60" headerRowBorderDxfId="58" tableBorderDxfId="59">
  <autoFilter ref="A3:Q2075" xr:uid="{32BD8C95-5B55-874F-8D16-30590D6CFEF4}"/>
  <sortState xmlns:xlrd2="http://schemas.microsoft.com/office/spreadsheetml/2017/richdata2" ref="A111:Q143">
    <sortCondition descending="1" ref="B3:B143"/>
  </sortState>
  <tableColumns count="17">
    <tableColumn id="2" xr3:uid="{9805A12B-47AA-C646-9978-A905EE41C8B6}" name="Assets"/>
    <tableColumn id="1" xr3:uid="{1FAAFC43-49ED-5849-8A19-6667657025BC}" name="Date" dataDxfId="57"/>
    <tableColumn id="3" xr3:uid="{3437B2BC-8EF7-C54F-92C9-AF17411A5F1F}" name="Ticker">
      <calculatedColumnFormula array="1">_FV(A4,"Ticker symbol",TRUE)</calculatedColumnFormula>
    </tableColumn>
    <tableColumn id="4" xr3:uid="{695EE2E4-2659-B247-92B6-95B6E9CA3468}" name="Price" dataCellStyle="Currency"/>
    <tableColumn id="5" xr3:uid="{822D68EA-7717-274F-B757-1C42CFDA44C6}" name="Number of stocks" dataDxfId="56"/>
    <tableColumn id="11" xr3:uid="{490D2912-1860-0144-9653-E685CB0B41E3}" name="Bought" dataDxfId="55" dataCellStyle="Comma">
      <calculatedColumnFormula>IF(Table25[[#This Row],[Number of stocks]]&gt;0,Table25[[#This Row],[Number of stocks]],0)</calculatedColumnFormula>
    </tableColumn>
    <tableColumn id="12" xr3:uid="{9DB2F97E-E92E-E74B-8092-58066007F547}" name="Bought Amount" dataDxfId="54" dataCellStyle="Comma">
      <calculatedColumnFormula>Table25[[#This Row],[Bought]]*Table25[[#This Row],[Price]]</calculatedColumnFormula>
    </tableColumn>
    <tableColumn id="8" xr3:uid="{5F16A501-5378-B242-BE8D-B63860B51B0E}" name="Total number bought" dataDxfId="53">
      <calculatedColumnFormula>SUMIF(Table25[[#All],[Assets]],Table25[[#This Row],[Assets]],Table25[[#All],[Bought]])</calculatedColumnFormula>
    </tableColumn>
    <tableColumn id="9" xr3:uid="{E5E2A263-CCAF-EA48-9A34-E576B5D2AF87}" name="Total Amount bought" dataDxfId="52">
      <calculatedColumnFormula>SUMIF(Table25[[#All],[Assets]],Table25[[#This Row],[Assets]],Table25[[#All],[Bought Amount]])</calculatedColumnFormula>
    </tableColumn>
    <tableColumn id="13" xr3:uid="{21DA189D-03C6-D94B-A517-D0260C3B707D}" name="Sold" dataDxfId="51" dataCellStyle="Comma">
      <calculatedColumnFormula>IF(Table25[[#This Row],[Number of stocks]]&lt;0,Table25[[#This Row],[Number of stocks]],0)</calculatedColumnFormula>
    </tableColumn>
    <tableColumn id="6" xr3:uid="{601DC778-7637-0C43-8B68-EC340A963DEB}" name="Sold Amount" dataDxfId="50">
      <calculatedColumnFormula>Table25[[#This Row],[Sold]]*Table25[[#This Row],[Price]]</calculatedColumnFormula>
    </tableColumn>
    <tableColumn id="16" xr3:uid="{7D3F97D3-F159-3F44-BECD-079D2965797F}" name="Total Sold number of stocks" dataDxfId="49">
      <calculatedColumnFormula>ABS(SUMIF(Table25[[#All],[Assets]],Table25[[#This Row],[Assets]],Table25[[#All],[Sold]]))</calculatedColumnFormula>
    </tableColumn>
    <tableColumn id="15" xr3:uid="{7315CF8E-831D-5941-AEFA-A2320E9A7D63}" name="Total sold amount" dataDxfId="48">
      <calculatedColumnFormula>ABS(SUMIF(Table25[[#All],[Assets]],Table25[[#This Row],[Assets]],Table25[[#All],[Sold Amount]]))</calculatedColumnFormula>
    </tableColumn>
    <tableColumn id="14" xr3:uid="{16BC6C2C-3996-BF47-AC01-FDAB42871161}" name="Average sell price" dataDxfId="47">
      <calculatedColumnFormula>IFERROR(Table25[[#This Row],[Total sold amount]]/Table25[[#This Row],[Total Sold number of stocks]],"")</calculatedColumnFormula>
    </tableColumn>
    <tableColumn id="10" xr3:uid="{AF2672C2-6567-3040-AF8E-E94143477E5B}" name="Average buy price" dataDxfId="46" dataCellStyle="Currency">
      <calculatedColumnFormula>IFERROR(Table25[[#This Row],[Total Amount bought]]/Table25[[#This Row],[Total number bought]],"")</calculatedColumnFormula>
    </tableColumn>
    <tableColumn id="17" xr3:uid="{89BAA1B1-53D1-8C4A-A414-AC01FF3CC3EB}" name="Realized Profit" dataDxfId="45" dataCellStyle="Currency">
      <calculatedColumnFormula>IFERROR((Table25[[#This Row],[Average sell price]]-Table25[[#This Row],[Average buy price]])*Table25[[#This Row],[Total Sold number of stocks]],0)</calculatedColumnFormula>
    </tableColumn>
    <tableColumn id="7" xr3:uid="{64CE2075-5B98-AF42-B290-A24B05B237F6}" name="Current Amount" dataDxfId="44" dataCellStyle="Comma">
      <calculatedColumnFormula>SUMIF(Table25[[#All],[Assets]],Table25[[#This Row],[Assets]],Table25[[#All],[Number of stocks]])</calculatedColumnFormula>
    </tableColumn>
  </tableColumns>
  <tableStyleInfo name="TableStyleMedium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1625C02-B764-B04F-9D89-5C4EDA27A625}" name="Table20" displayName="Table20" ref="A5:AF836" totalsRowShown="0">
  <autoFilter ref="A5:AF836" xr:uid="{31625C02-B764-B04F-9D89-5C4EDA27A625}">
    <filterColumn colId="21">
      <filters>
        <filter val="1.00"/>
        <filter val="2.00"/>
        <filter val="3.00"/>
        <filter val="5.00"/>
        <filter val="9.00"/>
      </filters>
    </filterColumn>
  </autoFilter>
  <sortState xmlns:xlrd2="http://schemas.microsoft.com/office/spreadsheetml/2017/richdata2" ref="A691:AF790">
    <sortCondition ref="A5:A790"/>
  </sortState>
  <tableColumns count="32">
    <tableColumn id="10" xr3:uid="{28934B00-3081-8947-8888-EAFC69FDB683}" name="Expiration Date" dataDxfId="186"/>
    <tableColumn id="2" xr3:uid="{78B8E277-F3C0-3749-944F-E995E3423356}" name="Asset" dataDxfId="185"/>
    <tableColumn id="3" xr3:uid="{70EECCDE-2C66-A140-A5EB-4F742E38DEC3}" name="Ticker" dataDxfId="184">
      <calculatedColumnFormula array="1">_FV(Table20[[#This Row],[Asset]],"Ticker symbol",TRUE)</calculatedColumnFormula>
    </tableColumn>
    <tableColumn id="4" xr3:uid="{E4B98AD5-70CD-0442-8359-ADA3916132E7}" name="Current Price" dataDxfId="183" dataCellStyle="Currency">
      <calculatedColumnFormula array="1">_FV(Table20[[#This Row],[Asset]],"Price")</calculatedColumnFormula>
    </tableColumn>
    <tableColumn id="11" xr3:uid="{41D4C685-7863-2B47-9C6D-60AEC7D8D44B}" name="strike_price" dataDxfId="182" dataCellStyle="Currency"/>
    <tableColumn id="6" xr3:uid="{B5E80302-9752-9F4D-ADEE-3B7189A010BB}" name="Number of options" dataDxfId="181" dataCellStyle="Currency"/>
    <tableColumn id="32" xr3:uid="{B14119CA-535A-F243-BE11-C97B6AA131E1}" name="Buy or Sell" dataDxfId="180" dataCellStyle="Percent"/>
    <tableColumn id="12" xr3:uid="{D55D7929-EA8D-154C-9DB9-E2F8B2CD5A24}" name="Strategy" dataDxfId="179" dataCellStyle="Percent"/>
    <tableColumn id="1" xr3:uid="{CBC4119F-E7B9-A446-857C-6C0FBD995808}" name="date_purchased" dataDxfId="178" dataCellStyle="Currency"/>
    <tableColumn id="7" xr3:uid="{F16818B0-9A6E-4E4A-9FCC-682851D7529C}" name="AvePrice" dataDxfId="177" dataCellStyle="Currency"/>
    <tableColumn id="26" xr3:uid="{8888B5F4-BDF8-0A49-BA4B-556B555C07AC}" name="Vol" dataDxfId="176" dataCellStyle="Percent"/>
    <tableColumn id="27" xr3:uid="{8DFF37C2-A172-8640-A342-B916EE8AFD25}" name="Direction" dataDxfId="175" dataCellStyle="Currency">
      <calculatedColumnFormula>VLOOKUP(Table20[[#This Row],[Strategy]],Table29[#All],6,FALSE)</calculatedColumnFormula>
    </tableColumn>
    <tableColumn id="15" xr3:uid="{17B08206-083E-E844-B146-18E37F755F73}" name="Exit1" dataDxfId="174"/>
    <tableColumn id="16" xr3:uid="{178CCBAA-01FF-DD40-9320-2557BD02BD72}" name="ex1_price" dataDxfId="173"/>
    <tableColumn id="17" xr3:uid="{5221667A-297B-A646-8955-6A02A8EBE603}" name="Exit2" dataDxfId="172"/>
    <tableColumn id="18" xr3:uid="{0809012E-52CF-5243-8892-25FDD969CB86}" name="ex2_price" dataDxfId="171"/>
    <tableColumn id="19" xr3:uid="{CB3A9904-02A2-ED45-A86C-C6FC9D104A1C}" name="ex1_amnt">
      <calculatedColumnFormula>Table20[[#This Row],[Exit1]]*Table20[[#This Row],[ex1_price]]</calculatedColumnFormula>
    </tableColumn>
    <tableColumn id="20" xr3:uid="{44017D57-BA4E-F040-9665-CFAC247A5851}" name="ex2_amnt">
      <calculatedColumnFormula>Table20[[#This Row],[Exit2]]*Table20[[#This Row],[ex2_price]]</calculatedColumnFormula>
    </tableColumn>
    <tableColumn id="23" xr3:uid="{F3A23E92-4A01-2A44-84F1-E5DC571E0092}" name="avg_exit_price">
      <calculatedColumnFormula>IFERROR((Table20[[#This Row],[ex2_amnt]]+Table20[[#This Row],[ex1_amnt]])/(Table20[[#This Row],[Exit2]]+Table20[[#This Row],[Exit1]]),0)</calculatedColumnFormula>
    </tableColumn>
    <tableColumn id="21" xr3:uid="{47816B0C-6E3F-E544-811A-1F26BD6B18D2}" name="realized_profit" dataDxfId="170">
      <calculatedColumnFormula>(Table20[[#This Row],[Exit1]]+Table20[[#This Row],[Exit2]])*(Table20[[#This Row],[avg_exit_price]]-Table20[[#This Row],[AvePrice]])*100*Table20[[#This Row],[Buy or Sell]]</calculatedColumnFormula>
    </tableColumn>
    <tableColumn id="29" xr3:uid="{2F8E07F5-E9A1-CD45-B864-9A8F7C4E407D}" name="Invested" dataDxfId="169">
      <calculatedColumnFormula>Table20[[#This Row],[Number of options]]*Table20[[#This Row],[AvePrice]]*100*Table20[[#This Row],[Buy or Sell]]</calculatedColumnFormula>
    </tableColumn>
    <tableColumn id="28" xr3:uid="{442E92BF-1AD7-624D-A5E7-6A60371AC98C}" name="Remaining" dataDxfId="168">
      <calculatedColumnFormula>Table20[[#This Row],[Number of options]]-Table20[[#This Row],[Exit1]]-Table20[[#This Row],[Exit2]]</calculatedColumnFormula>
    </tableColumn>
    <tableColumn id="30" xr3:uid="{FB2CA7DD-E3D4-C34B-93BA-B1C833ABEA20}" name="Time to expiration" dataDxfId="167">
      <calculatedColumnFormula>(Table20[[#This Row],[Expiration Date]]-TODAY())/365</calculatedColumnFormula>
    </tableColumn>
    <tableColumn id="24" xr3:uid="{D4D769C9-7013-A243-99BC-5B17B2917438}" name="d1" dataDxfId="166">
      <calculatedColumnFormula>(LN(Table20[[#This Row],[Current Price]]/Table20[[#This Row],[strike_price]]) + ($B$2 + (Table20[[#This Row],[Vol]]^2)/2)*Table20[[#This Row],[Time to expiration]]) / (Table20[[#This Row],[Vol]] * SQRT(Table20[[#This Row],[Time to expiration]]))</calculatedColumnFormula>
    </tableColumn>
    <tableColumn id="31" xr3:uid="{503A7515-9E87-FB44-B0A1-57A8AC93EC13}" name="Delta" dataDxfId="165">
      <calculatedColumnFormula>IF(Table20[[#This Row],[Direction]]&gt;0, _xlfn.NORM.S.DIST(Table20[[#This Row],[d1]], TRUE), _xlfn.NORM.S.DIST(Table20[[#This Row],[d1]], TRUE) - 1) * Table20[[#This Row],[Buy or Sell]]</calculatedColumnFormula>
    </tableColumn>
    <tableColumn id="5" xr3:uid="{FBF644A8-BB22-B24D-9427-894EE9A0C956}" name="nominal_exposure" dataDxfId="164">
      <calculatedColumnFormula>Table20[[#This Row],[Remaining]]*Table20[[#This Row],[Current Price]]*100</calculatedColumnFormula>
    </tableColumn>
    <tableColumn id="25" xr3:uid="{DD58929C-3D6A-BF4B-9A1D-5DA9D0E1D190}" name="delta_exposure" dataDxfId="163" dataCellStyle="Currency">
      <calculatedColumnFormula>IFERROR(Table20[[#This Row],[nominal_exposure]]*Table20[[#This Row],[Delta]],0)</calculatedColumnFormula>
    </tableColumn>
    <tableColumn id="8" xr3:uid="{6A6D770E-6A72-D14C-A8E9-8A44D0F42D7F}" name="Day Trading" dataDxfId="162">
      <calculatedColumnFormula>IF(Table20[[#This Row],[date_purchased]]&lt;&gt;Table20[[#This Row],[Expiration Date]],FALSE,TRUE)</calculatedColumnFormula>
    </tableColumn>
    <tableColumn id="9" xr3:uid="{AC0F2F18-7A25-3A41-94AC-C5C3CC2653C1}" name="Primary Theme" dataDxfId="161">
      <calculatedColumnFormula>VLOOKUP(Table20[[#This Row],[Asset]],Table19[#All],3,FALSE)</calculatedColumnFormula>
    </tableColumn>
    <tableColumn id="13" xr3:uid="{31B1AFE0-9AC2-EE4B-B466-269F0ABF8C61}" name="Value at risk" dataDxfId="160">
      <calculatedColumnFormula>IF(Table20[[#This Row],[Remaining]]&lt;&gt;0,Table20[[#This Row],[Invested]]*Table20[[#This Row],[Remaining]]/Table20[[#This Row],[Number of options]],0)</calculatedColumnFormula>
    </tableColumn>
    <tableColumn id="14" xr3:uid="{FA569591-B4CE-7C48-9D63-9CBDD3EE8C1E}" name="Total realized" dataDxfId="159">
      <calculatedColumnFormula>SUMIF(Table20[Ticker],Table20[[#This Row],[Ticker]],Table20[realized_profit])</calculatedColumnFormula>
    </tableColumn>
    <tableColumn id="22" xr3:uid="{D59A0AE8-A69F-4E4C-B028-4E9352438193}" name="Bullish or Bearish" dataDxfId="158">
      <calculatedColumnFormula>VLOOKUP(Table20[[#This Row],[Strategy]],Table29[#All],7,FALSE)</calculatedColumnFormula>
    </tableColumn>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CB73AA5-C5A9-374C-A07C-DDB69023489F}" name="Table29" displayName="Table29" ref="A845:H853" totalsRowShown="0">
  <autoFilter ref="A845:H853" xr:uid="{ACB73AA5-C5A9-374C-A07C-DDB69023489F}"/>
  <tableColumns count="8">
    <tableColumn id="1" xr3:uid="{1F10DFC8-8203-0B4F-ADF5-1C89A5E46618}" name="Strategy"/>
    <tableColumn id="2" xr3:uid="{206AE0F5-F121-8841-8FE1-2086ED257038}" name="Realized " dataCellStyle="Currency">
      <calculatedColumnFormula>SUMIF(Table20[[#All],[Strategy]],Table29[[#This Row],[Strategy]],Table20[[#All],[realized_profit]])</calculatedColumnFormula>
    </tableColumn>
    <tableColumn id="3" xr3:uid="{0B8D1F43-400F-1942-81B1-1691037976EB}" name="% of Total" dataDxfId="157">
      <calculatedColumnFormula>Table29[[#This Row],[Realized ]]/ABS($B$865)</calculatedColumnFormula>
    </tableColumn>
    <tableColumn id="4" xr3:uid="{6B7A7F0D-00C1-854E-9531-87374876A3E9}" name="Invested" dataCellStyle="Currency">
      <calculatedColumnFormula>SUMIF(Table20[[#All],[Strategy]],Table29[[#This Row],[Strategy]],Table20[[#All],[Invested]])</calculatedColumnFormula>
    </tableColumn>
    <tableColumn id="5" xr3:uid="{A34BF65C-6259-3C45-A56D-C7958A176624}" name="Percentage of investment amount" dataDxfId="156" dataCellStyle="Percent">
      <calculatedColumnFormula>Table29[[#This Row],[Realized ]]/ABS(Table29[[#This Row],[Invested]])</calculatedColumnFormula>
    </tableColumn>
    <tableColumn id="8" xr3:uid="{BFA4E1B8-4A81-D647-A93D-9F79864C8002}" name="Strategy direction" dataDxfId="155" dataCellStyle="Comma"/>
    <tableColumn id="7" xr3:uid="{10728869-5381-2745-A6F4-3FAF6C852061}" name="Bullish or Bearish strategy" dataDxfId="154" dataCellStyle="Comma"/>
    <tableColumn id="6" xr3:uid="{9B1EE72C-C98A-EC43-A5E1-7B50BC6A7491}" name="Delta Exposure" dataCellStyle="Currency">
      <calculatedColumnFormula>SUMIF(Table20[[#All],[Strategy]],Table29[[#This Row],[Strategy]],Table20[[#All],[delta_exposure]])</calculatedColumnFormula>
    </tableColumn>
  </tableColumns>
  <tableStyleInfo name="TableStyleMedium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156011E-8127-3844-A8E3-D84347A3C591}" name="Table36" displayName="Table36" ref="A1032:G1053" totalsRowShown="0" headerRowDxfId="153" dataDxfId="151" headerRowBorderDxfId="152" tableBorderDxfId="150" totalsRowBorderDxfId="149">
  <autoFilter ref="A1032:G1053" xr:uid="{E156011E-8127-3844-A8E3-D84347A3C591}"/>
  <sortState xmlns:xlrd2="http://schemas.microsoft.com/office/spreadsheetml/2017/richdata2" ref="A1033:F1053">
    <sortCondition descending="1" ref="B1032:B1053"/>
  </sortState>
  <tableColumns count="7">
    <tableColumn id="1" xr3:uid="{FE6C24B4-8CF4-2440-9258-FF0C1B2BF82D}" name="Primary Theme" dataDxfId="148"/>
    <tableColumn id="2" xr3:uid="{E68208B7-5E6E-804F-BB67-E13ED17C94DF}" name="Delta Exposure" dataDxfId="147" dataCellStyle="Currency">
      <calculatedColumnFormula>SUMIF(Table20[[#All],[Primary Theme]],Table36[[#This Row],[Primary Theme]],Table20[[#All],[delta_exposure]])</calculatedColumnFormula>
    </tableColumn>
    <tableColumn id="3" xr3:uid="{825386F2-0901-444A-8F93-02419BFFAC39}" name="Percentage of long and short exposure" dataDxfId="146" dataCellStyle="Percent">
      <calculatedColumnFormula>IF(Table36[[#This Row],[Delta Exposure]]&gt;0,Table36[[#This Row],[Delta Exposure]]/$B$860,Table36[[#This Row],[Delta Exposure]]/$B$861)</calculatedColumnFormula>
    </tableColumn>
    <tableColumn id="4" xr3:uid="{FD778222-7C25-144B-AD4F-D3BD697133ED}" name="Upperbound" dataDxfId="145"/>
    <tableColumn id="5" xr3:uid="{449644C8-C926-3840-BA5D-3C4C20D16A1B}" name="Too much?" dataDxfId="144" dataCellStyle="Percent">
      <calculatedColumnFormula>IF(Table36[[#This Row],[Percentage of long and short exposure]]&gt;Table36[[#This Row],[Upperbound]],Table36[[#This Row],[Percentage of long and short exposure]]/Table36[[#This Row],[Upperbound]],"")</calculatedColumnFormula>
    </tableColumn>
    <tableColumn id="6" xr3:uid="{0AC33927-3B7E-9447-B57C-CC52E06295B2}" name="Realized Profit" dataDxfId="143" dataCellStyle="Currency">
      <calculatedColumnFormula>SUMIF(Table20[Primary Theme],Table36[[#This Row],[Primary Theme]],Table20[realized_profit])</calculatedColumnFormula>
    </tableColumn>
    <tableColumn id="7" xr3:uid="{DBA371D7-664D-4640-97A0-688E83C4012D}" name="By purchase date" dataDxfId="142"/>
  </tableColumns>
  <tableStyleInfo name="TableStyleMedium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5C1B19B-1FCE-9249-B2F1-1DB5ED570142}" name="Table2941" displayName="Table2941" ref="A874:F882" totalsRowShown="0">
  <autoFilter ref="A874:F882" xr:uid="{F5C1B19B-1FCE-9249-B2F1-1DB5ED570142}"/>
  <tableColumns count="6">
    <tableColumn id="1" xr3:uid="{16A1D42A-3206-1B4F-8F2D-23E6C8FD4BF9}" name="Strategy"/>
    <tableColumn id="2" xr3:uid="{F4B50FB8-7016-6A41-BFC7-07B9527A100F}" name="Realized " dataDxfId="141" dataCellStyle="Currency">
      <calculatedColumnFormula>SUMIFS(Table20[realized_profit],Table20[Strategy],Table2941[[#This Row],[Strategy]],Table20[date_purchased], "&gt;" &amp; $C$872, Table20[date_purchased], "&lt;" &amp; $E$872)</calculatedColumnFormula>
    </tableColumn>
    <tableColumn id="3" xr3:uid="{96DEF169-41F9-C140-9B86-4FC407229B86}" name="% of Total" dataDxfId="140" dataCellStyle="Percent">
      <calculatedColumnFormula>IFERROR(Table2941[[#This Row],[Realized ]]/ABS($B$884),0)</calculatedColumnFormula>
    </tableColumn>
    <tableColumn id="4" xr3:uid="{AD614268-D0E9-CD45-BB09-BBDAB0BA544E}" name="Invested" dataDxfId="139" dataCellStyle="Currency">
      <calculatedColumnFormula>ABS(SUMIFS(Table20[Invested],Table20[Strategy],Table2941[[#This Row],[Strategy]],Table20[date_purchased],"&gt;"&amp;$C$872,Table20[date_purchased],"&lt;"&amp;$E$872))</calculatedColumnFormula>
    </tableColumn>
    <tableColumn id="5" xr3:uid="{E619A53E-E17D-DF4C-A396-1ED08E420C7E}" name="Percentage of investment amount" dataDxfId="138" dataCellStyle="Percent">
      <calculatedColumnFormula>Table2941[[#This Row],[Invested]]/$D$884</calculatedColumnFormula>
    </tableColumn>
    <tableColumn id="6" xr3:uid="{F7CB4942-2B3C-B141-87CF-003740C6C18A}" name="Return on investment" dataDxfId="137" dataCellStyle="Percent">
      <calculatedColumnFormula>IFERROR(Table2941[[#This Row],[Realized ]]/Table2941[[#This Row],[Invested]],"")</calculatedColumnFormula>
    </tableColumn>
  </tableColumns>
  <tableStyleInfo name="TableStyleMedium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40E7981-A3D3-9542-A120-60603F23D988}" name="Table41" displayName="Table41" ref="A903:AA1024">
  <autoFilter ref="A903:AA1024" xr:uid="{640E7981-A3D3-9542-A120-60603F23D988}">
    <filterColumn colId="3">
      <filters>
        <filter val="$(195.00)"/>
        <filter val="$(2,562.00)"/>
        <filter val="$(201.00)"/>
        <filter val="$(244.00)"/>
        <filter val="$(246.00)"/>
        <filter val="$(249.00)"/>
        <filter val="$(270.00)"/>
        <filter val="$(30.00)"/>
        <filter val="$(376.00)"/>
        <filter val="$(417.00)"/>
        <filter val="$(42.00)"/>
        <filter val="$(426.00)"/>
        <filter val="$(48.00)"/>
        <filter val="$(482.00)"/>
        <filter val="$(63.00)"/>
        <filter val="$(780.00)"/>
        <filter val="$(808.00)"/>
        <filter val="$159.00"/>
        <filter val="$220.00"/>
        <filter val="$300.00"/>
        <filter val="$49.00"/>
        <filter val="$534.00"/>
        <filter val="$78.00"/>
      </filters>
    </filterColumn>
  </autoFilter>
  <sortState xmlns:xlrd2="http://schemas.microsoft.com/office/spreadsheetml/2017/richdata2" ref="A907:AA1022">
    <sortCondition ref="D903:D1022"/>
  </sortState>
  <tableColumns count="27">
    <tableColumn id="1" xr3:uid="{5333C716-0B33-EF49-8850-F293F9A062D2}" name="Asset Name" totalsRowLabel="Total" dataDxfId="136"/>
    <tableColumn id="22" xr3:uid="{B41BD78F-0703-7E4F-84EE-88246C93AE78}" name="Ticker" dataDxfId="135" totalsRowDxfId="134">
      <calculatedColumnFormula array="1">_FV(Table41[[#This Row],[Asset Name]],"Ticker symbol",TRUE)</calculatedColumnFormula>
    </tableColumn>
    <tableColumn id="2" xr3:uid="{B9DF46A8-CA90-9048-B21A-8A9FF8F756D1}" name="Realized" totalsRowDxfId="133" dataCellStyle="Currency">
      <calculatedColumnFormula>SUMIF(Table20[Asset],Table41[[#This Row],[Asset Name]],Table20[realized_profit])</calculatedColumnFormula>
    </tableColumn>
    <tableColumn id="3" xr3:uid="{79F0E39C-F6D2-FB4D-A557-9F1F945BBEC9}" name="Within timeline" totalsRowDxfId="132" dataCellStyle="Currency">
      <calculatedColumnFormula>SUMIFS(Table20[realized_profit],Table20[Asset],Table41[[#This Row],[Asset Name]],Table20[date_purchased],"&gt;"&amp;$C$872,Table20[date_purchased],"&lt;"&amp;$E$872)</calculatedColumnFormula>
    </tableColumn>
    <tableColumn id="14" xr3:uid="{D6ADA26B-DF39-DC4B-B699-FF5AE98FE483}" name="Bullish" totalsRowDxfId="131" dataCellStyle="Currency">
      <calculatedColumnFormula>SUMIFS(Table20[realized_profit],Table20[Asset],Table41[[#This Row],[Asset Name]],Table20[Bullish or Bearish],"Bullish",Table20[date_purchased],"&gt;"&amp;$C$872,Table20[date_purchased],"&lt;"&amp;$E$872)</calculatedColumnFormula>
    </tableColumn>
    <tableColumn id="13" xr3:uid="{B76F7E8C-5F2A-174D-86F6-B6BA585880E1}" name="Bearish" dataDxfId="130" totalsRowDxfId="129" dataCellStyle="Currency">
      <calculatedColumnFormula>SUMIFS(Table20[realized_profit],Table20[Asset],Table41[[#This Row],[Asset Name]],Table20[Bullish or Bearish],"Bearish",Table20[date_purchased],"&gt;"&amp;$C$872,Table20[date_purchased],"&lt;"&amp;$E$872)</calculatedColumnFormula>
    </tableColumn>
    <tableColumn id="6" xr3:uid="{73EB1FA6-2EC9-4A4A-BAC2-9B729FFA3F23}" name="call" dataDxfId="128" totalsRowDxfId="127" dataCellStyle="Currency">
      <calculatedColumnFormula>SUMIFS(Table20[realized_profit],Table20[Asset],Table41[[#This Row],[Asset Name]],Table20[Strategy],"call",Table20[date_purchased],"&gt;"&amp;$C$872,Table20[date_purchased],"&lt;"&amp;$E$872)</calculatedColumnFormula>
    </tableColumn>
    <tableColumn id="7" xr3:uid="{91DF2033-E0DE-AF4C-954B-FDC9688DBDFA}" name="put" dataDxfId="126" totalsRowDxfId="125" dataCellStyle="Currency">
      <calculatedColumnFormula>SUMIFS(Table20[realized_profit],Table20[Asset],Table41[[#This Row],[Asset Name]],Table20[Strategy],"put",Table20[date_purchased],"&gt;"&amp;$C$872,Table20[date_purchased],"&lt;"&amp;$E$872)</calculatedColumnFormula>
    </tableColumn>
    <tableColumn id="8" xr3:uid="{CCBD3DB4-6A4E-E640-B2FE-0EC480E900B6}" name="calendar spread" totalsRowDxfId="124" dataCellStyle="Currency">
      <calculatedColumnFormula>SUMIFS(Table20[realized_profit],Table20[Asset],Table41[[#This Row],[Asset Name]],Table20[Strategy],"calendar spread",Table20[date_purchased],"&gt;"&amp;$C$872,Table20[date_purchased],"&lt;"&amp;$E$872)</calculatedColumnFormula>
    </tableColumn>
    <tableColumn id="19" xr3:uid="{5C2C315A-C837-7D4C-9B1F-ABD036B0FAC4}" name="put calendar spread" dataDxfId="123" totalsRowDxfId="122" dataCellStyle="Currency">
      <calculatedColumnFormula>SUMIFS(Table20[realized_profit],Table20[Asset],Table41[[#This Row],[Asset Name]],Table20[Strategy],"put calendar spread",Table20[date_purchased],"&gt;"&amp;$C$872,Table20[date_purchased],"&lt;"&amp;$E$872)</calculatedColumnFormula>
    </tableColumn>
    <tableColumn id="24" xr3:uid="{E08F9B1C-D957-C04E-BF98-34008FF3D51B}" name="put spread" dataDxfId="121" totalsRowDxfId="120" dataCellStyle="Currency">
      <calculatedColumnFormula>SUMIFS(Table20[realized_profit],Table20[Asset],Table41[[#This Row],[Asset Name]],Table20[Strategy],"put spread",Table20[date_purchased],"&gt;"&amp;$C$872,Table20[date_purchased],"&lt;"&amp;$E$872)</calculatedColumnFormula>
    </tableColumn>
    <tableColumn id="9" xr3:uid="{07FD4AD1-2385-F24D-850E-24285D696570}" name="Invested" totalsRowDxfId="119" dataCellStyle="Currency">
      <calculatedColumnFormula>SUMIFS(Table20[Invested],Table20[Asset],Table41[[#This Row],[Asset Name]],Table20[date_purchased],"&gt;"&amp;$C$872,Table20[date_purchased],"&lt;"&amp;$E$872)</calculatedColumnFormula>
    </tableColumn>
    <tableColumn id="10" xr3:uid="{AF4A84C7-5F7A-1E4A-B41E-E357A6B453B8}" name="Return on Investment" dataDxfId="118" totalsRowDxfId="117" dataCellStyle="Percent">
      <calculatedColumnFormula>IFERROR(Table41[[#This Row],[Within timeline]]/Table41[[#This Row],[Invested]],0)</calculatedColumnFormula>
    </tableColumn>
    <tableColumn id="4" xr3:uid="{FB25BE85-C4CB-674A-A9E5-EE2ADB967D32}" name="Put wall" dataDxfId="116" totalsRowDxfId="115" dataCellStyle="Currency"/>
    <tableColumn id="5" xr3:uid="{339E5891-1E4F-894D-B80B-EFC53FA59A2D}" name="Current Price" dataDxfId="114" totalsRowDxfId="113" dataCellStyle="Currency">
      <calculatedColumnFormula array="1">_FV(Table41[[#This Row],[Asset Name]],"Price")</calculatedColumnFormula>
    </tableColumn>
    <tableColumn id="15" xr3:uid="{586F0C4F-7A71-C540-A0D2-2D27EAADE6C1}" name="Call wall" dataDxfId="112" totalsRowDxfId="111" dataCellStyle="Currency"/>
    <tableColumn id="20" xr3:uid="{FA56C6F0-1B61-A84E-8C27-9F29FFB549FB}" name="Withing 2% of put wall">
      <calculatedColumnFormula>IF(Table41[[#This Row],[Current Price]]&lt;Table41[[#This Row],[Put wall]]*1.02,TRUE,FALSE)</calculatedColumnFormula>
    </tableColumn>
    <tableColumn id="21" xr3:uid="{0E01774D-474C-414B-9668-82D8E56C4197}" name="2% withing Call Wall">
      <calculatedColumnFormula>IF(Table41[[#This Row],[Current Price]]&gt;Table41[[#This Row],[Call wall]]*0.98,TRUE,FALSE)</calculatedColumnFormula>
    </tableColumn>
    <tableColumn id="11" xr3:uid="{776D1365-C560-FE4D-8C66-C912613E69CD}" name="Exposure" totalsRowDxfId="110" dataCellStyle="Currency">
      <calculatedColumnFormula>SUMIF(Table20[Asset],Table41[[#This Row],[Asset Name]],Table20[delta_exposure])</calculatedColumnFormula>
    </tableColumn>
    <tableColumn id="17" xr3:uid="{BE0CB737-FA5B-3A42-B129-A54E7E85B341}" name="Type of asset" dataDxfId="109" totalsRowDxfId="108" dataCellStyle="Currency">
      <calculatedColumnFormula array="1">_FV(Table41[[#This Row],[Asset Name]],"Instrument type",TRUE)</calculatedColumnFormula>
    </tableColumn>
    <tableColumn id="16" xr3:uid="{01C3ECFB-4B93-AD4C-9FDB-D6AC80129001}" name="Next earning" totalsRowFunction="count" dataDxfId="107" totalsRowDxfId="106"/>
    <tableColumn id="23" xr3:uid="{1ADC791F-C52C-A445-9D04-FBBBCF2D48B5}" name="Theme">
      <calculatedColumnFormula>VLOOKUP(Table41[[#This Row],[Asset Name]],Table19[#All],3,FALSE)</calculatedColumnFormula>
    </tableColumn>
    <tableColumn id="12" xr3:uid="{54F7832C-ABD2-7E4F-9947-5BBFD0511E90}" name="Column1"/>
    <tableColumn id="18" xr3:uid="{6C93F86D-C18C-9C48-9977-12BC78788182}" name="Sec Theme" dataDxfId="105">
      <calculatedColumnFormula>VLOOKUP(Table41[[#This Row],[Asset Name]],Table19[#All],4,FALSE)</calculatedColumnFormula>
    </tableColumn>
    <tableColumn id="25" xr3:uid="{2FE3F1CA-E3AB-8A43-9935-CCF3DF273BD1}" name="Signal" dataDxfId="104" dataCellStyle="Currency">
      <calculatedColumnFormula>IF(Table41[[#This Row],[Current Price]]&lt;Table41[[#This Row],[Put wall]]*1.02,"✅",IF(Table41[[#This Row],[Current Price]]&gt;Table41[[#This Row],[Call wall]]*0.98,"🔻",""))</calculatedColumnFormula>
    </tableColumn>
    <tableColumn id="26" xr3:uid="{0D197C1F-03B3-CE4E-99E8-BF964B8927E9}" name="Distance from put wall" dataDxfId="103" dataCellStyle="Currency"/>
    <tableColumn id="27" xr3:uid="{603C21D2-8DF1-E648-BD23-00719D405502}" name="Distance from call wall" dataDxfId="102" dataCellStyle="Currency">
      <calculatedColumnFormula>Table41[[#This Row],[Current Price]]/Table41[[#This Row],[Call wall]]-1</calculatedColumnFormula>
    </tableColumn>
  </tableColumns>
  <tableStyleInfo name="TableStyleMedium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C32D15-BADD-8048-A273-9960C2BD356D}" name="Table294143" displayName="Table294143" ref="A888:F896" totalsRowShown="0">
  <autoFilter ref="A888:F896" xr:uid="{28C32D15-BADD-8048-A273-9960C2BD356D}"/>
  <tableColumns count="6">
    <tableColumn id="1" xr3:uid="{27A0531A-32C1-D144-A517-0BFCAE156654}" name="Strategy"/>
    <tableColumn id="2" xr3:uid="{7C1BE7B8-0779-EE48-99D0-411C29143B0C}" name="Realized " dataDxfId="101" dataCellStyle="Currency">
      <calculatedColumnFormula>SUMIFS(Table20[realized_profit],Table20[Strategy],Table294143[[#This Row],[Strategy]],Table20[Expiration Date], "&gt;" &amp; $C$872, Table20[Expiration Date], "&lt;" &amp; $E$872)</calculatedColumnFormula>
    </tableColumn>
    <tableColumn id="3" xr3:uid="{A16EF94D-5FDA-4F45-82EB-D57B31A2AB06}" name="% of Total" dataDxfId="100" dataCellStyle="Percent">
      <calculatedColumnFormula>Table294143[[#This Row],[Realized ]]/ABS($B$898)</calculatedColumnFormula>
    </tableColumn>
    <tableColumn id="4" xr3:uid="{1A85D9D9-6DDC-094A-8269-7D4E47F35364}" name="Invested" dataDxfId="99" dataCellStyle="Currency">
      <calculatedColumnFormula>SUMIFS(Table20[Invested],Table20[Strategy],Table294143[[#This Row],[Strategy]],Table20[Expiration Date],"&gt;"&amp;$C$872,Table20[Expiration Date],"&lt;"&amp;$E$872)</calculatedColumnFormula>
    </tableColumn>
    <tableColumn id="5" xr3:uid="{56E85949-7E45-0349-84E0-9C869B7C20DA}" name="Percentage of investment amount" dataDxfId="98" dataCellStyle="Percent">
      <calculatedColumnFormula>Table294143[[#This Row],[Invested]]/$D$898</calculatedColumnFormula>
    </tableColumn>
    <tableColumn id="6" xr3:uid="{6C089537-AF13-0247-B857-D51C32F65F3D}" name="Return on investment" dataDxfId="97" dataCellStyle="Percent">
      <calculatedColumnFormula>IFERROR(Table294143[[#This Row],[Realized ]]/Table294143[[#This Row],[Invested]],"")</calculatedColumnFormula>
    </tableColumn>
  </tableColumns>
  <tableStyleInfo name="TableStyleMedium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A5A850A-D57A-FD49-A140-48C2390779C1}" name="Table46" displayName="Table46" ref="H888:AA890" totalsRowShown="0">
  <autoFilter ref="H888:AA890" xr:uid="{AA5A850A-D57A-FD49-A140-48C2390779C1}"/>
  <tableColumns count="20">
    <tableColumn id="1" xr3:uid="{C137E1D4-22CC-924C-A734-15D6347BAA98}" name="Update"/>
    <tableColumn id="2" xr3:uid="{4042CB65-63BC-E34F-AD2F-5229DB379E75}" name="Market" dataDxfId="96"/>
    <tableColumn id="3" xr3:uid="{2E184DC3-AB05-D849-86DF-E6434708D1E5}" name="Technology" dataDxfId="95"/>
    <tableColumn id="4" xr3:uid="{22D45618-072C-254F-85CF-049E3C74E852}" name="Semiconductor" dataDxfId="94"/>
    <tableColumn id="5" xr3:uid="{EF6A1B88-0E57-9444-80F1-5573615CE108}" name="AI" dataDxfId="93"/>
    <tableColumn id="6" xr3:uid="{B0950A5C-1AB1-8B43-951E-71D1D5EC8DB5}" name="Health care" dataDxfId="92"/>
    <tableColumn id="7" xr3:uid="{7091672D-46C8-0D47-A01B-91D30840DCB8}" name="Gold and Silver" dataDxfId="91"/>
    <tableColumn id="8" xr3:uid="{4CA524B9-785F-DC4F-82CD-96873128AFFC}" name="Energy" dataDxfId="90"/>
    <tableColumn id="9" xr3:uid="{B412AF72-A133-E042-8E0F-DCDAAC9EED8C}" name="Industrials" dataDxfId="89"/>
    <tableColumn id="10" xr3:uid="{9811759C-ABDD-1748-9640-069086909B1E}" name="Consumer Discretionary" dataDxfId="88"/>
    <tableColumn id="11" xr3:uid="{4AE669ED-4C47-614B-A156-4507ADC05F1D}" name="Utilities" dataDxfId="87"/>
    <tableColumn id="12" xr3:uid="{9A5E0E68-EA9E-1741-8918-A40EC0968580}" name="Consumer Staples" dataDxfId="86"/>
    <tableColumn id="13" xr3:uid="{4ABC5825-0E9A-5B4D-B23C-03600470897D}" name="Nuclear" dataDxfId="85"/>
    <tableColumn id="14" xr3:uid="{8248BFD2-FC49-FA4D-AAFA-A215B876E456}" name="Financials" dataDxfId="84"/>
    <tableColumn id="15" xr3:uid="{02C54F5D-1C07-624F-BC1E-7BF07085BB50}" name="Defense" dataDxfId="83"/>
    <tableColumn id="16" xr3:uid="{D2352541-3EF1-3E46-BFA3-4132387EDC3F}" name="Column1" dataDxfId="82"/>
    <tableColumn id="18" xr3:uid="{08E80442-F226-F34B-9052-65370CB3B7BB}" name="China" dataDxfId="81"/>
    <tableColumn id="19" xr3:uid="{4A10A62C-F914-A240-8207-7EC95FC0C193}" name="Auto" dataDxfId="80"/>
    <tableColumn id="20" xr3:uid="{61470706-E72B-A045-9530-9B9D2EAA12F9}" name="Connectivity" dataDxfId="79"/>
    <tableColumn id="17" xr3:uid="{0E36586F-347F-C046-8748-06DCACBDC4BC}" name="Real estate" dataDxfId="78"/>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4-07-07T23:39:04.66" personId="{91FE06CC-EECA-B346-8CC5-D7B907A0C552}" id="{D243A0F6-7F97-424C-9668-ADBFE7C6025B}">
    <text>https://tokenomics.psyfi.io/</text>
  </threadedComment>
  <threadedComment ref="C6" dT="2024-07-08T02:48:02.94" personId="{91FE06CC-EECA-B346-8CC5-D7B907A0C552}" id="{FC3C69C0-6DBC-4F48-819F-88A615C59338}">
    <text>https://app.hxro.finance/stake</text>
  </threadedComment>
  <threadedComment ref="E15" dT="2024-07-12T20:57:00.91" personId="{91FE06CC-EECA-B346-8CC5-D7B907A0C552}" id="{8F248413-2568-9547-81F3-6C7926EB6A8A}">
    <text>https://app.infinex.xyz/deposit</text>
  </threadedComment>
  <threadedComment ref="D24" dT="2024-07-08T05:10:59.98" personId="{91FE06CC-EECA-B346-8CC5-D7B907A0C552}" id="{66F75FE3-D150-A143-8816-DC82F330607D}">
    <text>https://app.circuit.trade/vault/supercharger</text>
  </threadedComment>
  <threadedComment ref="C39" dT="2024-07-11T01:34:30.70" personId="{91FE06CC-EECA-B346-8CC5-D7B907A0C552}" id="{0F45CF8F-740A-F746-A88E-78FF63368F9A}">
    <text>https://stake.futureprotocol.io/</text>
  </threadedComment>
  <threadedComment ref="E40" dT="2024-07-12T12:43:37.46" personId="{91FE06CC-EECA-B346-8CC5-D7B907A0C552}" id="{E5502C8E-736A-5243-A74B-28003C543397}">
    <text>https://app.infinex.xyz/deposit</text>
  </threadedComment>
  <threadedComment ref="F135" dT="2024-08-07T22:35:14.15" personId="{91FE06CC-EECA-B346-8CC5-D7B907A0C552}" id="{F5320B37-0C96-EC4C-8BF5-AC68FBAC0F94}">
    <text>fucking liquidated</text>
  </threadedComment>
  <threadedComment ref="G149" dT="2024-08-15T03:31:36.06" personId="{91FE06CC-EECA-B346-8CC5-D7B907A0C552}" id="{FAD4CFC4-60B8-0E4D-BDAD-A0D219AEFD06}">
    <text xml:space="preserve">hyperliquid ru deposit hiine
</text>
  </threadedComment>
  <threadedComment ref="G150" dT="2024-08-15T03:41:19.45" personId="{91FE06CC-EECA-B346-8CC5-D7B907A0C552}" id="{08F6F9BD-0EF4-F14F-B646-2EDE9853F5E2}">
    <text>depositing to robinhood</text>
  </threadedComment>
  <threadedComment ref="G234" dT="2024-11-06T06:43:56.17" personId="{91FE06CC-EECA-B346-8CC5-D7B907A0C552}" id="{F0C161BE-3B6C-ED47-BE64-1FEE28363C0A}">
    <text xml:space="preserve">ene data tentsuuleh gej oruulsan
</text>
  </threadedComment>
  <threadedComment ref="D308" dT="2025-01-01T04:42:09.19" personId="{91FE06CC-EECA-B346-8CC5-D7B907A0C552}" id="{E1114592-9B3F-2548-97E9-41A30F21BC50}">
    <text xml:space="preserve">https://holdstation.exchange/earn/HOLD-Staking
</text>
    <extLst>
      <x:ext xmlns:xltc2="http://schemas.microsoft.com/office/spreadsheetml/2020/threadedcomments2" uri="{F7C98A9C-CBB3-438F-8F68-D28B6AF4A901}">
        <xltc2:checksum>1200111597</xltc2:checksum>
        <xltc2:hyperlink startIndex="0" length="46" url="https://holdstation.exchange/earn/HOLD-Staking"/>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126" dT="2024-06-29T16:44:11.54" personId="{91FE06CC-EECA-B346-8CC5-D7B907A0C552}" id="{93B3794C-B371-1448-A60C-3878EC5D6404}">
    <text xml:space="preserve">Israel Defense company
</text>
  </threadedComment>
  <threadedComment ref="A214" dT="2024-07-15T13:09:40.54" personId="{91FE06CC-EECA-B346-8CC5-D7B907A0C552}" id="{13BD1AD4-B483-D045-A3CA-76CDFA4DD722}">
    <text>Was recommended by Lumida</text>
  </threadedComment>
  <threadedComment ref="A219" dT="2024-07-29T12:59:53.38" personId="{91FE06CC-EECA-B346-8CC5-D7B907A0C552}" id="{1B84B50B-7108-DA49-B594-ABDACBEB4573}">
    <text>spaceX байдаг хувьцаа</text>
  </threadedComment>
  <threadedComment ref="B299" dT="2024-06-29T16:51:34.78" personId="{91FE06CC-EECA-B346-8CC5-D7B907A0C552}" id="{A058E2EA-7566-914D-808D-BD41BF855504}">
    <text xml:space="preserve">Window, glass maker in case of increased protest
</text>
  </threadedComment>
  <threadedComment ref="A307" dT="2024-08-08T15:36:54.08" personId="{91FE06CC-EECA-B346-8CC5-D7B907A0C552}" id="{CE7372DA-A3DF-314F-9671-333C9AF5E5BC}">
    <text xml:space="preserve">Nel’s idea
</text>
  </threadedComment>
  <threadedComment ref="A342" dT="2024-10-21T19:07:44.36" personId="{91FE06CC-EECA-B346-8CC5-D7B907A0C552}" id="{7E08A2C5-F3B8-DB4F-88DB-069AFBBCB3DA}">
    <text xml:space="preserve">short idea by citrini
</text>
  </threadedComment>
  <threadedComment ref="B376" dT="2024-07-01T12:17:02.50" personId="{91FE06CC-EECA-B346-8CC5-D7B907A0C552}" id="{428A7BB7-3E08-B54D-924F-FB66EB29C46F}">
    <text>Casino stock</text>
  </threadedComment>
  <threadedComment ref="A432" dT="2024-07-17T13:52:41.76" personId="{91FE06CC-EECA-B346-8CC5-D7B907A0C552}" id="{D4F2B5C8-57A3-E144-A052-EA1767E9A84E}">
    <text xml:space="preserve">In App advertisement solution. Goy um baina. </text>
  </threadedComment>
  <threadedComment ref="B448" dT="2024-06-29T16:43:55.87" personId="{91FE06CC-EECA-B346-8CC5-D7B907A0C552}" id="{79333C64-7181-A84E-AFC8-2FB57BB5B141}">
    <text>AI based Draft One product</text>
  </threadedComment>
  <threadedComment ref="A482" dT="2024-08-19T15:21:03.27" personId="{91FE06CC-EECA-B346-8CC5-D7B907A0C552}" id="{B24A6F13-70D2-624A-A3C2-168D6ED5BABE}">
    <text xml:space="preserve">gold miner with some antimony </text>
  </threadedComment>
</ThreadedComments>
</file>

<file path=xl/threadedComments/threadedComment3.xml><?xml version="1.0" encoding="utf-8"?>
<ThreadedComments xmlns="http://schemas.microsoft.com/office/spreadsheetml/2018/threadedcomments" xmlns:x="http://schemas.openxmlformats.org/spreadsheetml/2006/main">
  <threadedComment ref="A197" dT="2024-07-30T14:26:01.23" personId="{91FE06CC-EECA-B346-8CC5-D7B907A0C552}" id="{9AF9CB41-E9B5-F744-81F9-457535DE6C32}">
    <text xml:space="preserve">FsInsight idea
</text>
  </threadedComment>
  <threadedComment ref="A198" dT="2024-07-30T14:27:24.17" personId="{91FE06CC-EECA-B346-8CC5-D7B907A0C552}" id="{2BE25E1D-6FAF-1F48-BBE3-40BBF0A76D11}">
    <text xml:space="preserve">FsInsight idea
</text>
  </threadedComment>
  <threadedComment ref="A199" dT="2024-07-30T14:30:15.69" personId="{91FE06CC-EECA-B346-8CC5-D7B907A0C552}" id="{8B84C118-F43A-0346-B553-001723CCFF1D}">
    <text>сүүлд FsInsight sanal bolgoson</text>
  </threadedComment>
  <threadedComment ref="E1608" dT="2025-09-03T00:02:03.59" personId="{91FE06CC-EECA-B346-8CC5-D7B907A0C552}" id="{5BB96A90-02D6-3E4C-876E-D02FDCADEF3E}">
    <text xml:space="preserve">Burtgel buruu bsan bolohoor this is adjustment made
</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3BACED4-EA97-AC42-8D5C-2FC87C100B70}">
  <we:reference id="wa104379220" version="8.0.0.0" store="en-US" storeType="OMEX"/>
  <we:alternateReferences>
    <we:reference id="wa104379220" version="8.0.0.0" store="en-US" storeType="OMEX"/>
  </we:alternateReferences>
  <we:properties>
    <we:property name="Office.AutoShowTaskpaneWithDocument" value="true"/>
    <we:property name="lastCryptoCompare" value="1774449741806"/>
    <we:property name="lastIexCall" value="null"/>
    <we:property name="lastMutualFundsCall" value="null"/>
    <we:property name="stocks" value="{&quot;BTC____USD&quot;:[&quot;BTC____USD&quot;,71323.8003550247,0.021239283833132366,1774449726000]}"/>
    <we:property name="stocksChange" value="{}"/>
    <we:property name="stocksOrder" value="[&quot;BTC____USD&quot;]"/>
    <we:property name="stocksSources" value="{&quot;BTC____USD&quot;:0}"/>
    <we:property name="updateIntervalIndex" value="6"/>
  </we:properties>
  <we:bindings>
    <we:binding id="BTC____USD" type="text" appref="{2902557D-D331-E34A-812D-17B3AAEE04F6}"/>
  </we:bindings>
  <we:snapshot xmlns:r="http://schemas.openxmlformats.org/officeDocument/2006/relationships"/>
</we:webextension>
</file>

<file path=xl/webextensions/webextension2.xml><?xml version="1.0" encoding="utf-8"?>
<we:webextension xmlns:we="http://schemas.microsoft.com/office/webextensions/webextension/2010/11" id="{A03DC440-6402-204D-80B4-46F7A2E1B452}">
  <we:reference id="wa104381695" version="1.0.10.0" store="en-US" storeType="OMEX"/>
  <we:alternateReferences>
    <we:reference id="wa104381695" version="1.0.1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_xldudf_CS_TIME</we:customFunctionIds>
        <we:customFunctionIds>_xldudf_CS_ATH</we:customFunctionIds>
        <we:customFunctionIds>_xldudf_CS_ENDPOINTS</we:customFunctionIds>
        <we:customFunctionIds>_xldudf_CS_EXCHANGES</we:customFunctionIds>
        <we:customFunctionIds>_xldudf_CS_EXRATE</we:customFunctionIds>
        <we:customFunctionIds>_xldudf_CS_OHLCV</we:customFunctionIds>
        <we:customFunctionIds>_xldudf_CS_ORDERBOOKS</we:customFunctionIds>
        <we:customFunctionIds>_xldudf_CS_PARAMETERS</we:customFunctionIds>
        <we:customFunctionIds>_xldudf_CS_PRICE</we:customFunctionIds>
        <we:customFunctionIds>_xldudf_CS_PRICEA</we:customFunctionIds>
        <we:customFunctionIds>_xldudf_CS_PROVIDERS</we:customFunctionIds>
        <we:customFunctionIds>_xldudf_CS_QUERY</we:customFunctionIds>
        <we:customFunctionIds>_xldudf_CS_QUERYA</we:customFunctionIds>
        <we:customFunctionIds>_xldudf_CS_SYMBOLS</we:customFunctionIds>
        <we:customFunctionIds>_xldudf_CS_TA</we:customFunctionIds>
        <we:customFunctionIds>_xldudf_CS_TAHIS</we:customFunctionIds>
        <we:customFunctionIds>_xldudf_CS_TRADES</we:customFunctionIds>
        <we:customFunctionIds>_xldudf_CS_ORDERBOOKSL3A</we:customFunctionIds>
        <we:customFunctionIds>_xldudf_CS_OHLCVA</we:customFunctionIds>
        <we:customFunctionIds>_xldudf_CS_ADDRESS</we:customFunctionIds>
        <we:customFunctionIds>_xldudf_CS_CHAIN</we:customFunctionIds>
        <we:customFunctionIds>_xldudf_CS_CLUSTERS</we:customFunctionIds>
        <we:customFunctionIds>_xldudf_CS_IDEAS</we:customFunctionIds>
        <we:customFunctionIds>_xldudf_CS_METRICS</we:customFunctionIds>
        <we:customFunctionIds>_xldudf_CS_AD</we:customFunctionIds>
        <we:customFunctionIds>_xldudf_CS_ADOSC</we:customFunctionIds>
        <we:customFunctionIds>_xldudf_CS_ADX</we:customFunctionIds>
        <we:customFunctionIds>_xldudf_CS_APO</we:customFunctionIds>
        <we:customFunctionIds>_xldudf_CS_AROON</we:customFunctionIds>
        <we:customFunctionIds>_xldudf_CS_AROONOSC</we:customFunctionIds>
        <we:customFunctionIds>_xldudf_CS_ATR</we:customFunctionIds>
        <we:customFunctionIds>_xldudf_CS_BBANDS</we:customFunctionIds>
        <we:customFunctionIds>_xldudf_CS_BETA</we:customFunctionIds>
        <we:customFunctionIds>_xldudf_CS_CCI</we:customFunctionIds>
        <we:customFunctionIds>_xldudf_CS_CDLINNECK</we:customFunctionIds>
        <we:customFunctionIds>_xldudf_CS_CDLMARUBOZU</we:customFunctionIds>
        <we:customFunctionIds>_xldudf_CS_CORREL</we:customFunctionIds>
        <we:customFunctionIds>_xldudf_CS_DEMA</we:customFunctionIds>
        <we:customFunctionIds>_xldudf_CS_DX</we:customFunctionIds>
        <we:customFunctionIds>_xldudf_CS_EMA</we:customFunctionIds>
        <we:customFunctionIds>_xldudf_CS_LINEARREG</we:customFunctionIds>
        <we:customFunctionIds>_xldudf_CS_LINEARREGANGLE</we:customFunctionIds>
        <we:customFunctionIds>_xldudf_CS_LINEARREGINTERCEPT</we:customFunctionIds>
        <we:customFunctionIds>_xldudf_CS_LINEARREGSLOPE</we:customFunctionIds>
        <we:customFunctionIds>_xldudf_CS_MACD</we:customFunctionIds>
        <we:customFunctionIds>_xldudf_CS_MACDEXT</we:customFunctionIds>
        <we:customFunctionIds>_xldudf_CS_MACDFIX</we:customFunctionIds>
        <we:customFunctionIds>_xldudf_CS_MFI</we:customFunctionIds>
        <we:customFunctionIds>_xldudf_CS_MOM</we:customFunctionIds>
        <we:customFunctionIds>_xldudf_CS_NATR</we:customFunctionIds>
        <we:customFunctionIds>_xldudf_CS_OBV</we:customFunctionIds>
        <we:customFunctionIds>_xldudf_CS_ROC</we:customFunctionIds>
        <we:customFunctionIds>_xldudf_CS_ROCP</we:customFunctionIds>
        <we:customFunctionIds>_xldudf_CS_ROCR</we:customFunctionIds>
        <we:customFunctionIds>_xldudf_CS_RSI</we:customFunctionIds>
        <we:customFunctionIds>_xldudf_CS_SAREXT</we:customFunctionIds>
        <we:customFunctionIds>_xldudf_CS_SMA</we:customFunctionIds>
        <we:customFunctionIds>_xldudf_CS_STDDEV</we:customFunctionIds>
        <we:customFunctionIds>_xldudf_CS_STOCH</we:customFunctionIds>
        <we:customFunctionIds>_xldudf_CS_T3</we:customFunctionIds>
        <we:customFunctionIds>_xldudf_CS_TEMA</we:customFunctionIds>
        <we:customFunctionIds>_xldudf_CS_TRANGE</we:customFunctionIds>
        <we:customFunctionIds>_xldudf_CS_TRIX</we:customFunctionIds>
        <we:customFunctionIds>_xldudf_CS_TSF</we:customFunctionIds>
        <we:customFunctionIds>_xldudf_CS_ULTOSC</we:customFunctionIds>
        <we:customFunctionIds>_xldudf_CS_VARI</we:customFunctionIds>
        <we:customFunctionIds>_xldudf_CS_WCLPRICE</we:customFunctionIds>
        <we:customFunctionIds>_xldudf_CS_WILLR</we:customFunctionIds>
        <we:customFunctionIds>_xldudf_CS_WMA</we:customFunctionIds>
        <we:customFunctionIds>_xldudf_CS_STATUS</we:customFunctionIds>
        <we:customFunctionIds>_xldudf_CS_LOGIN</we:customFunctionIds>
        <we:customFunctionIds>_xldudf_CS_TAMETADATA</we:customFunctionIds>
        <we:customFunctionIds>_xldudf_CS_FLOOR</we:customFunctionIds>
        <we:customFunctionIds>_xldudf_CS_LN</we:customFunctionIds>
        <we:customFunctionIds>_xldudf_CS_EXP</we:customFunctionIds>
        <we:customFunctionIds>_xldudf_CS_FIELDS</we:customFunctionIds>
        <we:customFunctionIds>_xldudf_CS_TRADESA</we:customFunctionIds>
        <we:customFunctionIds>_xldudf_CS_ORDERBOOKSA</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0.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4"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DF52-9CB6-E346-88AA-FFB11C69A60D}">
  <dimension ref="A1:A6"/>
  <sheetViews>
    <sheetView workbookViewId="0">
      <selection activeCell="G34" sqref="G34"/>
    </sheetView>
  </sheetViews>
  <sheetFormatPr baseColWidth="10" defaultRowHeight="16"/>
  <sheetData>
    <row r="1" spans="1:1">
      <c r="A1" t="s">
        <v>556</v>
      </c>
    </row>
    <row r="2" spans="1:1">
      <c r="A2" t="s">
        <v>554</v>
      </c>
    </row>
    <row r="3" spans="1:1">
      <c r="A3" t="s">
        <v>555</v>
      </c>
    </row>
    <row r="4" spans="1:1">
      <c r="A4" t="s">
        <v>557</v>
      </c>
    </row>
    <row r="6" spans="1:1">
      <c r="A6" t="s">
        <v>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5566-728E-4544-8EB5-DE1844E539FD}">
  <dimension ref="A1:J207"/>
  <sheetViews>
    <sheetView topLeftCell="A66" workbookViewId="0">
      <selection activeCell="O89" sqref="O89"/>
    </sheetView>
  </sheetViews>
  <sheetFormatPr baseColWidth="10" defaultRowHeight="16"/>
  <cols>
    <col min="1" max="1" width="55.33203125" bestFit="1" customWidth="1"/>
    <col min="2" max="2" width="12" customWidth="1"/>
    <col min="3" max="3" width="19" customWidth="1"/>
    <col min="4" max="4" width="14.5" customWidth="1"/>
    <col min="5" max="5" width="12.6640625" bestFit="1" customWidth="1"/>
    <col min="6" max="6" width="18.6640625" bestFit="1" customWidth="1"/>
    <col min="9" max="9" width="19.33203125" customWidth="1"/>
    <col min="10" max="10" width="14.6640625" customWidth="1"/>
  </cols>
  <sheetData>
    <row r="1" spans="1:10" s="243" customFormat="1" ht="24">
      <c r="A1" s="242" t="s">
        <v>524</v>
      </c>
    </row>
    <row r="2" spans="1:10">
      <c r="A2" t="s">
        <v>525</v>
      </c>
      <c r="B2" s="9" t="s">
        <v>143</v>
      </c>
      <c r="C2" t="s">
        <v>526</v>
      </c>
      <c r="D2" t="s">
        <v>527</v>
      </c>
      <c r="E2" t="s">
        <v>528</v>
      </c>
      <c r="F2" t="s">
        <v>529</v>
      </c>
      <c r="G2" t="s">
        <v>530</v>
      </c>
      <c r="H2" t="s">
        <v>79</v>
      </c>
      <c r="I2" t="s">
        <v>533</v>
      </c>
      <c r="J2" t="s">
        <v>535</v>
      </c>
    </row>
    <row r="3" spans="1:10">
      <c r="A3" t="e" vm="1">
        <v>#VALUE!</v>
      </c>
      <c r="B3" s="4" cm="1">
        <f t="array" aca="1" ref="B3" ca="1">_FV(A3,"Price")</f>
        <v>16.05</v>
      </c>
      <c r="C3">
        <v>88.731144631765758</v>
      </c>
      <c r="D3" s="4">
        <f ca="1">IFERROR(Table1[[#This Row],[Price]]*Table1[[#This Row],[Number of shares]],0)</f>
        <v>1424.1348713398404</v>
      </c>
      <c r="E3" s="239" cm="1">
        <f t="array" aca="1" ref="E3" ca="1">_FV(Table1[[#This Row],[Company]],"Employees")</f>
        <v>115</v>
      </c>
      <c r="F3" s="240" cm="1">
        <f t="array" aca="1" ref="F3" ca="1">_FV(Table1[[#This Row],[Company]],"Market cap",TRUE)</f>
        <v>1944277740</v>
      </c>
      <c r="G3" s="241" cm="1">
        <f t="array" aca="1" ref="G3" ca="1">_FV(Table1[[#This Row],[Company]],"P/E",TRUE)</f>
        <v>0</v>
      </c>
      <c r="H3" s="241" cm="1">
        <f t="array" aca="1" ref="H3" ca="1">_FV(Table1[[#This Row],[Company]],"Beta")</f>
        <v>1.2419</v>
      </c>
      <c r="I3" s="240">
        <f ca="1">Table1[[#This Row],[MarketCap]]/Table1[[#This Row],[Employees]]</f>
        <v>16906762.956521738</v>
      </c>
      <c r="J3" s="199">
        <f ca="1">Table1[[#This Row],[Value]] / SUM(Table1[Value])</f>
        <v>9.1773126842477834E-2</v>
      </c>
    </row>
    <row r="4" spans="1:10">
      <c r="A4" t="e" vm="2">
        <v>#VALUE!</v>
      </c>
      <c r="B4" s="4" cm="1">
        <f t="array" aca="1" ref="B4" ca="1">_FV(A4,"Price")</f>
        <v>71.38</v>
      </c>
      <c r="C4">
        <v>24.931438544003989</v>
      </c>
      <c r="D4" s="4">
        <f ca="1">IFERROR(Table1[[#This Row],[Price]]*Table1[[#This Row],[Number of shares]],0)</f>
        <v>1779.6060832710045</v>
      </c>
      <c r="E4" s="239" cm="1">
        <f t="array" aca="1" ref="E4" ca="1">_FV(Table1[[#This Row],[Company]],"Employees")</f>
        <v>226</v>
      </c>
      <c r="F4" s="240" cm="1">
        <f t="array" aca="1" ref="F4" ca="1">_FV(Table1[[#This Row],[Company]],"Market cap",TRUE)</f>
        <v>250688701</v>
      </c>
      <c r="G4" s="241" cm="1">
        <f t="array" aca="1" ref="G4" ca="1">_FV(Table1[[#This Row],[Company]],"P/E",TRUE)</f>
        <v>29.802499999999998</v>
      </c>
      <c r="H4" s="241" cm="1">
        <f t="array" aca="1" ref="H4" ca="1">_FV(Table1[[#This Row],[Company]],"Beta")</f>
        <v>0.65980000000000005</v>
      </c>
      <c r="I4" s="240">
        <f ca="1">Table1[[#This Row],[MarketCap]]/Table1[[#This Row],[Employees]]</f>
        <v>1109242.0398230089</v>
      </c>
      <c r="J4" s="199">
        <f ca="1">Table1[[#This Row],[Value]] / SUM(Table1[Value])</f>
        <v>0.11468015993177806</v>
      </c>
    </row>
    <row r="5" spans="1:10">
      <c r="A5" t="e" vm="3">
        <v>#VALUE!</v>
      </c>
      <c r="B5" s="4" cm="1">
        <f t="array" aca="1" ref="B5" ca="1">_FV(A5,"Price")</f>
        <v>14.73</v>
      </c>
      <c r="C5">
        <v>91.996320147194112</v>
      </c>
      <c r="D5" s="4">
        <f ca="1">IFERROR(Table1[[#This Row],[Price]]*Table1[[#This Row],[Number of shares]],0)</f>
        <v>1355.1057957681694</v>
      </c>
      <c r="E5" s="239" cm="1">
        <f t="array" aca="1" ref="E5" ca="1">_FV(Table1[[#This Row],[Company]],"Employees")</f>
        <v>141</v>
      </c>
      <c r="F5" s="240" cm="1">
        <f t="array" aca="1" ref="F5" ca="1">_FV(Table1[[#This Row],[Company]],"Market cap",TRUE)</f>
        <v>703866421</v>
      </c>
      <c r="G5" s="241" t="e" cm="1" vm="4">
        <f t="array" ref="G5">_FV(Table1[[#This Row],[Company]],"P/E",TRUE)</f>
        <v>#VALUE!</v>
      </c>
      <c r="H5" s="241" cm="1">
        <f t="array" aca="1" ref="H5" ca="1">_FV(Table1[[#This Row],[Company]],"Beta")</f>
        <v>3.3380000000000001</v>
      </c>
      <c r="I5" s="240">
        <f ca="1">Table1[[#This Row],[MarketCap]]/Table1[[#This Row],[Employees]]</f>
        <v>4991960.4326241137</v>
      </c>
      <c r="J5" s="199">
        <f ca="1">Table1[[#This Row],[Value]] / SUM(Table1[Value])</f>
        <v>8.7324802294187057E-2</v>
      </c>
    </row>
    <row r="6" spans="1:10">
      <c r="A6" t="e" vm="5">
        <v>#VALUE!</v>
      </c>
      <c r="B6" s="4" cm="1">
        <f t="array" aca="1" ref="B6" ca="1">_FV(A6,"Price")</f>
        <v>201.62</v>
      </c>
      <c r="C6">
        <v>3.6492354851658582</v>
      </c>
      <c r="D6" s="4">
        <f ca="1">IFERROR(Table1[[#This Row],[Price]]*Table1[[#This Row],[Number of shares]],0)</f>
        <v>735.75885851914029</v>
      </c>
      <c r="E6" s="239" cm="1">
        <f t="array" aca="1" ref="E6" ca="1">_FV(Table1[[#This Row],[Company]],"Employees")</f>
        <v>1456</v>
      </c>
      <c r="F6" s="240" cm="1">
        <f t="array" aca="1" ref="F6" ca="1">_FV(Table1[[#This Row],[Company]],"Market cap",TRUE)</f>
        <v>10202994213</v>
      </c>
      <c r="G6" s="241" cm="1">
        <f t="array" aca="1" ref="G6" ca="1">_FV(Table1[[#This Row],[Company]],"P/E",TRUE)</f>
        <v>0</v>
      </c>
      <c r="H6" s="241" cm="1">
        <f t="array" aca="1" ref="H6" ca="1">_FV(Table1[[#This Row],[Company]],"Beta")</f>
        <v>1.3455999999999999</v>
      </c>
      <c r="I6" s="240">
        <f ca="1">Table1[[#This Row],[MarketCap]]/Table1[[#This Row],[Employees]]</f>
        <v>7007550.9704670329</v>
      </c>
      <c r="J6" s="199">
        <f ca="1">Table1[[#This Row],[Value]] / SUM(Table1[Value])</f>
        <v>4.7413269913703857E-2</v>
      </c>
    </row>
    <row r="7" spans="1:10">
      <c r="A7" t="e" vm="6">
        <v>#VALUE!</v>
      </c>
      <c r="B7" s="4" cm="1">
        <f t="array" aca="1" ref="B7" ca="1">_FV(A7,"Price")</f>
        <v>78.194999999999993</v>
      </c>
      <c r="C7">
        <v>16.914749661705006</v>
      </c>
      <c r="D7" s="4">
        <f ca="1">IFERROR(Table1[[#This Row],[Price]]*Table1[[#This Row],[Number of shares]],0)</f>
        <v>1322.6488497970229</v>
      </c>
      <c r="E7" s="239" cm="1">
        <f t="array" aca="1" ref="E7" ca="1">_FV(Table1[[#This Row],[Company]],"Employees")</f>
        <v>4300</v>
      </c>
      <c r="F7" s="240" cm="1">
        <f t="array" aca="1" ref="F7" ca="1">_FV(Table1[[#This Row],[Company]],"Market cap",TRUE)</f>
        <v>14603518351</v>
      </c>
      <c r="G7" s="241" cm="1">
        <f t="array" aca="1" ref="G7" ca="1">_FV(Table1[[#This Row],[Company]],"P/E",TRUE)</f>
        <v>594.63879999999995</v>
      </c>
      <c r="H7" s="241" cm="1">
        <f t="array" aca="1" ref="H7" ca="1">_FV(Table1[[#This Row],[Company]],"Beta")</f>
        <v>1.1771</v>
      </c>
      <c r="I7" s="240">
        <f ca="1">Table1[[#This Row],[MarketCap]]/Table1[[#This Row],[Employees]]</f>
        <v>3396167.0583720929</v>
      </c>
      <c r="J7" s="199">
        <f ca="1">Table1[[#This Row],[Value]] / SUM(Table1[Value])</f>
        <v>8.5233233946642048E-2</v>
      </c>
    </row>
    <row r="8" spans="1:10">
      <c r="A8" t="e" vm="7">
        <v>#VALUE!</v>
      </c>
      <c r="B8" s="4" cm="1">
        <f t="array" aca="1" ref="B8" ca="1">_FV(A8,"Price")</f>
        <v>10.6</v>
      </c>
      <c r="C8">
        <v>448.4304932735426</v>
      </c>
      <c r="D8" s="4">
        <f ca="1">IFERROR(Table1[[#This Row],[Price]]*Table1[[#This Row],[Number of shares]],0)</f>
        <v>4753.3632286995517</v>
      </c>
      <c r="E8" s="239" cm="1">
        <f t="array" aca="1" ref="E8" ca="1">_FV(Table1[[#This Row],[Company]],"Employees")</f>
        <v>113</v>
      </c>
      <c r="F8" s="240" cm="1">
        <f t="array" aca="1" ref="F8" ca="1">_FV(Table1[[#This Row],[Company]],"Market cap",TRUE)</f>
        <v>4943604680</v>
      </c>
      <c r="G8" s="241" cm="1">
        <f t="array" aca="1" ref="G8" ca="1">_FV(Table1[[#This Row],[Company]],"P/E",TRUE)</f>
        <v>0</v>
      </c>
      <c r="H8" s="241" cm="1">
        <f t="array" aca="1" ref="H8" ca="1">_FV(Table1[[#This Row],[Company]],"Beta")</f>
        <v>2.5150999999999999</v>
      </c>
      <c r="I8" s="240">
        <f ca="1">Table1[[#This Row],[MarketCap]]/Table1[[#This Row],[Employees]]</f>
        <v>43748713.982300885</v>
      </c>
      <c r="J8" s="199">
        <f ca="1">Table1[[#This Row],[Value]] / SUM(Table1[Value])</f>
        <v>0.30631298712979582</v>
      </c>
    </row>
    <row r="9" spans="1:10">
      <c r="A9" t="e" vm="8">
        <v>#VALUE!</v>
      </c>
      <c r="B9" s="4" cm="1">
        <f t="array" aca="1" ref="B9" ca="1">_FV(A9,"Price")</f>
        <v>45.11</v>
      </c>
      <c r="C9">
        <v>20.77706212341575</v>
      </c>
      <c r="D9" s="4">
        <f ca="1">IFERROR(Table1[[#This Row],[Price]]*Table1[[#This Row],[Number of shares]],0)</f>
        <v>937.25327238728448</v>
      </c>
      <c r="E9" s="239" cm="1">
        <f t="array" aca="1" ref="E9" ca="1">_FV(Table1[[#This Row],[Company]],"Employees")</f>
        <v>7300</v>
      </c>
      <c r="F9" s="240" cm="1">
        <f t="array" aca="1" ref="F9" ca="1">_FV(Table1[[#This Row],[Company]],"Market cap",TRUE)</f>
        <v>11991248464</v>
      </c>
      <c r="G9" s="241" cm="1">
        <f t="array" aca="1" ref="G9" ca="1">_FV(Table1[[#This Row],[Company]],"P/E",TRUE)</f>
        <v>43.584499999999998</v>
      </c>
      <c r="H9" s="241" cm="1">
        <f t="array" aca="1" ref="H9" ca="1">_FV(Table1[[#This Row],[Company]],"Beta")</f>
        <v>0.43890000000000001</v>
      </c>
      <c r="I9" s="240">
        <f ca="1">Table1[[#This Row],[MarketCap]]/Table1[[#This Row],[Employees]]</f>
        <v>1642636.7758904109</v>
      </c>
      <c r="J9" s="199">
        <f ca="1">Table1[[#This Row],[Value]] / SUM(Table1[Value])</f>
        <v>6.0397835332409375E-2</v>
      </c>
    </row>
    <row r="10" spans="1:10">
      <c r="A10" t="e" vm="9">
        <v>#VALUE!</v>
      </c>
      <c r="B10" s="4" cm="1">
        <f t="array" aca="1" ref="B10" ca="1">_FV(A10,"Price")</f>
        <v>628.34500000000003</v>
      </c>
      <c r="C10">
        <v>1.7741191498421034</v>
      </c>
      <c r="D10" s="4">
        <f ca="1">IFERROR(Table1[[#This Row],[Price]]*Table1[[#This Row],[Number of shares]],0)</f>
        <v>1114.7588972075364</v>
      </c>
      <c r="E10" s="239" cm="1">
        <f t="array" aca="1" ref="E10" ca="1">_FV(Table1[[#This Row],[Company]],"Employees")</f>
        <v>15800</v>
      </c>
      <c r="F10" s="240" cm="1">
        <f t="array" aca="1" ref="F10" ca="1">_FV(Table1[[#This Row],[Company]],"Market cap",TRUE)</f>
        <v>29103231301</v>
      </c>
      <c r="G10" s="241" cm="1">
        <f t="array" aca="1" ref="G10" ca="1">_FV(Table1[[#This Row],[Company]],"P/E",TRUE)</f>
        <v>33.285200000000003</v>
      </c>
      <c r="H10" s="241" cm="1">
        <f t="array" aca="1" ref="H10" ca="1">_FV(Table1[[#This Row],[Company]],"Beta")</f>
        <v>0.9929</v>
      </c>
      <c r="I10" s="240">
        <f ca="1">Table1[[#This Row],[MarketCap]]/Table1[[#This Row],[Employees]]</f>
        <v>1841976.6646202533</v>
      </c>
      <c r="J10" s="199">
        <f ca="1">Table1[[#This Row],[Value]] / SUM(Table1[Value])</f>
        <v>7.1836531589145394E-2</v>
      </c>
    </row>
    <row r="11" spans="1:10">
      <c r="A11" t="e" vm="10">
        <v>#VALUE!</v>
      </c>
      <c r="B11" s="4" cm="1">
        <f t="array" aca="1" ref="B11" ca="1">_FV(A11,"Price")</f>
        <v>907.23</v>
      </c>
      <c r="C11">
        <v>2.3096288426449867</v>
      </c>
      <c r="D11" s="4">
        <f ca="1">IFERROR(Table1[[#This Row],[Price]]*Table1[[#This Row],[Number of shares]],0)</f>
        <v>2095.3645749128113</v>
      </c>
      <c r="E11" s="239" cm="1">
        <f t="array" aca="1" ref="E11" ca="1">_FV(Table1[[#This Row],[Company]],"Employees")</f>
        <v>19712</v>
      </c>
      <c r="F11" s="240" cm="1">
        <f t="array" aca="1" ref="F11" ca="1">_FV(Table1[[#This Row],[Company]],"Market cap",TRUE)</f>
        <v>102027000000</v>
      </c>
      <c r="G11" s="241" cm="1">
        <f t="array" aca="1" ref="G11" ca="1">_FV(Table1[[#This Row],[Company]],"P/E",TRUE)</f>
        <v>90.437399999999997</v>
      </c>
      <c r="H11" s="241" cm="1">
        <f t="array" aca="1" ref="H11" ca="1">_FV(Table1[[#This Row],[Company]],"Beta")</f>
        <v>0.46439999999999998</v>
      </c>
      <c r="I11" s="240">
        <f ca="1">Table1[[#This Row],[MarketCap]]/Table1[[#This Row],[Employees]]</f>
        <v>5175882.7110389611</v>
      </c>
      <c r="J11" s="199">
        <f ca="1">Table1[[#This Row],[Value]] / SUM(Table1[Value])</f>
        <v>0.13502805301986043</v>
      </c>
    </row>
    <row r="13" spans="1:10">
      <c r="A13" t="s">
        <v>531</v>
      </c>
    </row>
    <row r="15" spans="1:10" s="243" customFormat="1" ht="24">
      <c r="A15" s="242" t="s">
        <v>532</v>
      </c>
    </row>
    <row r="16" spans="1:10">
      <c r="A16" t="s">
        <v>525</v>
      </c>
      <c r="B16" s="4" t="s">
        <v>143</v>
      </c>
      <c r="C16" t="s">
        <v>526</v>
      </c>
      <c r="D16" t="s">
        <v>527</v>
      </c>
      <c r="E16" t="s">
        <v>528</v>
      </c>
      <c r="F16" t="s">
        <v>529</v>
      </c>
      <c r="G16" t="s">
        <v>530</v>
      </c>
      <c r="H16" t="s">
        <v>79</v>
      </c>
      <c r="I16" t="s">
        <v>533</v>
      </c>
      <c r="J16" t="s">
        <v>534</v>
      </c>
    </row>
    <row r="17" spans="1:10">
      <c r="A17" t="e" vm="11">
        <v>#VALUE!</v>
      </c>
      <c r="B17" s="4" cm="1">
        <f t="array" aca="1" ref="B17" ca="1">_FV(A17,"Price")</f>
        <v>212.15</v>
      </c>
      <c r="C17">
        <v>5</v>
      </c>
      <c r="D17" s="4">
        <f ca="1">IFERROR(Table13[[#This Row],[Price]]*Table13[[#This Row],[Number of shares]],0)</f>
        <v>1060.75</v>
      </c>
      <c r="E17" s="239" cm="1">
        <f t="array" aca="1" ref="E17" ca="1">_FV(Table13[[#This Row],[Company]],"Employees")</f>
        <v>1576000</v>
      </c>
      <c r="F17" s="240" cm="1">
        <f t="array" aca="1" ref="F17" ca="1">_FV(Table13[[#This Row],[Company]],"Market cap",TRUE)</f>
        <v>2277413278000</v>
      </c>
      <c r="G17" s="241" cm="1">
        <f t="array" aca="1" ref="G17" ca="1">_FV(Table13[[#This Row],[Company]],"P/E",TRUE)</f>
        <v>29.579499999999999</v>
      </c>
      <c r="H17" s="241" cm="1">
        <f t="array" aca="1" ref="H17" ca="1">_FV(Table13[[#This Row],[Company]],"Beta")</f>
        <v>1.3909</v>
      </c>
      <c r="I17" s="240">
        <f ca="1">Table13[[#This Row],[MarketCap]]/Table13[[#This Row],[Employees]]</f>
        <v>1445059.1865482233</v>
      </c>
      <c r="J17" s="199">
        <f ca="1">Table13[[#This Row],[Value]] / SUM(Table13[Value])</f>
        <v>7.9259581386868963E-2</v>
      </c>
    </row>
    <row r="18" spans="1:10">
      <c r="A18" t="e" vm="12">
        <v>#VALUE!</v>
      </c>
      <c r="B18" s="4" cm="1">
        <f t="array" aca="1" ref="B18" ca="1">_FV(A18,"Price")</f>
        <v>323.45999999999998</v>
      </c>
      <c r="C18">
        <v>11</v>
      </c>
      <c r="D18" s="4">
        <f ca="1">IFERROR(Table13[[#This Row],[Price]]*Table13[[#This Row],[Number of shares]],0)</f>
        <v>3558.06</v>
      </c>
      <c r="E18" s="239" cm="1">
        <f t="array" aca="1" ref="E18" ca="1">_FV(Table13[[#This Row],[Company]],"Employees")</f>
        <v>6600</v>
      </c>
      <c r="F18" s="240" cm="1">
        <f t="array" aca="1" ref="F18" ca="1">_FV(Table13[[#This Row],[Company]],"Market cap",TRUE)</f>
        <v>50639603760</v>
      </c>
      <c r="G18" s="241" cm="1">
        <f t="array" aca="1" ref="G18" ca="1">_FV(Table13[[#This Row],[Company]],"P/E",TRUE)</f>
        <v>92.868200000000002</v>
      </c>
      <c r="H18" s="241" cm="1">
        <f t="array" aca="1" ref="H18" ca="1">_FV(Table13[[#This Row],[Company]],"Beta")</f>
        <v>1.7619</v>
      </c>
      <c r="I18" s="240">
        <f ca="1">Table13[[#This Row],[MarketCap]]/Table13[[#This Row],[Employees]]</f>
        <v>7672667.2363636363</v>
      </c>
      <c r="J18" s="199">
        <f ca="1">Table13[[#This Row],[Value]] / SUM(Table13[Value])</f>
        <v>0.26585938830955735</v>
      </c>
    </row>
    <row r="19" spans="1:10">
      <c r="A19" t="e" vm="13">
        <v>#VALUE!</v>
      </c>
      <c r="B19" s="4" cm="1">
        <f t="array" aca="1" ref="B19" ca="1">_FV(A19,"Price")</f>
        <v>63.68</v>
      </c>
      <c r="C19">
        <v>17</v>
      </c>
      <c r="D19" s="4">
        <f ca="1">IFERROR(Table13[[#This Row],[Price]]*Table13[[#This Row],[Number of shares]],0)</f>
        <v>1082.56</v>
      </c>
      <c r="E19" s="239" cm="1">
        <f t="array" aca="1" ref="E19" ca="1">_FV(Table13[[#This Row],[Company]],"Employees")</f>
        <v>22600</v>
      </c>
      <c r="F19" s="240" cm="1">
        <f t="array" aca="1" ref="F19" ca="1">_FV(Table13[[#This Row],[Company]],"Market cap",TRUE)</f>
        <v>25091225440</v>
      </c>
      <c r="G19" s="241" cm="1">
        <f t="array" aca="1" ref="G19" ca="1">_FV(Table13[[#This Row],[Company]],"P/E",TRUE)</f>
        <v>192.21250000000001</v>
      </c>
      <c r="H19" s="241" cm="1">
        <f t="array" aca="1" ref="H19" ca="1">_FV(Table13[[#This Row],[Company]],"Beta")</f>
        <v>1.5246999999999999</v>
      </c>
      <c r="I19" s="240">
        <f ca="1">Table13[[#This Row],[MarketCap]]/Table13[[#This Row],[Employees]]</f>
        <v>1110231.2141592919</v>
      </c>
      <c r="J19" s="199">
        <f ca="1">Table13[[#This Row],[Value]] / SUM(Table13[Value])</f>
        <v>8.0889231606098386E-2</v>
      </c>
    </row>
    <row r="20" spans="1:10">
      <c r="A20" t="e" vm="14">
        <v>#VALUE!</v>
      </c>
      <c r="B20" s="4" cm="1">
        <f t="array" aca="1" ref="B20" ca="1">_FV(A20,"Price")</f>
        <v>9.77</v>
      </c>
      <c r="C20">
        <v>149</v>
      </c>
      <c r="D20" s="4">
        <f ca="1">IFERROR(Table13[[#This Row],[Price]]*Table13[[#This Row],[Number of shares]],0)</f>
        <v>1455.73</v>
      </c>
      <c r="E20" s="239" cm="1">
        <f t="array" aca="1" ref="E20" ca="1">_FV(Table13[[#This Row],[Company]],"Employees")</f>
        <v>190</v>
      </c>
      <c r="F20" s="240" cm="1">
        <f t="array" aca="1" ref="F20" ca="1">_FV(Table13[[#This Row],[Company]],"Market cap",TRUE)</f>
        <v>2254845656</v>
      </c>
      <c r="G20" s="241" cm="1">
        <f t="array" aca="1" ref="G20" ca="1">_FV(Table13[[#This Row],[Company]],"P/E",TRUE)</f>
        <v>0</v>
      </c>
      <c r="H20" s="241" cm="1">
        <f t="array" aca="1" ref="H20" ca="1">_FV(Table13[[#This Row],[Company]],"Beta")</f>
        <v>3.1238999999999999</v>
      </c>
      <c r="I20" s="240">
        <f ca="1">Table13[[#This Row],[MarketCap]]/Table13[[#This Row],[Employees]]</f>
        <v>11867608.715789475</v>
      </c>
      <c r="J20" s="199">
        <f ca="1">Table13[[#This Row],[Value]] / SUM(Table13[Value])</f>
        <v>0.1087726141054035</v>
      </c>
    </row>
    <row r="21" spans="1:10">
      <c r="A21" t="e" vm="15">
        <v>#VALUE!</v>
      </c>
      <c r="B21" s="4" cm="1">
        <f t="array" aca="1" ref="B21" ca="1">_FV(A21,"Price")</f>
        <v>3.2</v>
      </c>
      <c r="C21">
        <v>220</v>
      </c>
      <c r="D21" s="4">
        <f ca="1">IFERROR(Table13[[#This Row],[Price]]*Table13[[#This Row],[Number of shares]],0)</f>
        <v>704</v>
      </c>
      <c r="E21" s="239" cm="1">
        <f t="array" aca="1" ref="E21" ca="1">_FV(Table13[[#This Row],[Company]],"Employees")</f>
        <v>800</v>
      </c>
      <c r="F21" s="240" cm="1">
        <f t="array" aca="1" ref="F21" ca="1">_FV(Table13[[#This Row],[Company]],"Market cap",TRUE)</f>
        <v>715714240</v>
      </c>
      <c r="G21" s="241" cm="1">
        <f t="array" aca="1" ref="G21" ca="1">_FV(Table13[[#This Row],[Company]],"P/E",TRUE)</f>
        <v>0</v>
      </c>
      <c r="H21" s="241" cm="1">
        <f t="array" aca="1" ref="H21" ca="1">_FV(Table13[[#This Row],[Company]],"Beta")</f>
        <v>2.6059000000000001</v>
      </c>
      <c r="I21" s="240">
        <f ca="1">Table13[[#This Row],[MarketCap]]/Table13[[#This Row],[Employees]]</f>
        <v>894642.8</v>
      </c>
      <c r="J21" s="199">
        <f ca="1">Table13[[#This Row],[Value]] / SUM(Table13[Value])</f>
        <v>5.2603106572100634E-2</v>
      </c>
    </row>
    <row r="22" spans="1:10">
      <c r="A22" t="e" vm="16">
        <v>#VALUE!</v>
      </c>
      <c r="B22" s="4" cm="1">
        <f t="array" aca="1" ref="B22" ca="1">_FV(A22,"Price")</f>
        <v>290.39</v>
      </c>
      <c r="C22">
        <v>6</v>
      </c>
      <c r="D22" s="4">
        <f ca="1">IFERROR(Table13[[#This Row],[Price]]*Table13[[#This Row],[Number of shares]],0)</f>
        <v>1742.34</v>
      </c>
      <c r="E22" s="239" cm="1">
        <f t="array" aca="1" ref="E22" ca="1">_FV(Table13[[#This Row],[Company]],"Employees")</f>
        <v>190820</v>
      </c>
      <c r="F22" s="240" cm="1">
        <f t="array" aca="1" ref="F22" ca="1">_FV(Table13[[#This Row],[Company]],"Market cap",TRUE)</f>
        <v>3512847830000</v>
      </c>
      <c r="G22" s="241" cm="1">
        <f t="array" aca="1" ref="G22" ca="1">_FV(Table13[[#This Row],[Company]],"P/E",TRUE)</f>
        <v>26.903199999999998</v>
      </c>
      <c r="H22" s="241" cm="1">
        <f t="array" aca="1" ref="H22" ca="1">_FV(Table13[[#This Row],[Company]],"Beta")</f>
        <v>1.1251</v>
      </c>
      <c r="I22" s="240">
        <f ca="1">Table13[[#This Row],[MarketCap]]/Table13[[#This Row],[Employees]]</f>
        <v>18409222.46095797</v>
      </c>
      <c r="J22" s="199">
        <f ca="1">Table13[[#This Row],[Value]] / SUM(Table13[Value])</f>
        <v>0.13018820554663896</v>
      </c>
    </row>
    <row r="23" spans="1:10">
      <c r="A23" t="e" vm="17">
        <v>#VALUE!</v>
      </c>
      <c r="B23" s="4" cm="1">
        <f t="array" aca="1" ref="B23" ca="1">_FV(A23,"Price")</f>
        <v>44.77</v>
      </c>
      <c r="C23">
        <v>40</v>
      </c>
      <c r="D23" s="4">
        <f ca="1">IFERROR(Table13[[#This Row],[Price]]*Table13[[#This Row],[Number of shares]],0)</f>
        <v>1790.8000000000002</v>
      </c>
      <c r="E23" s="239" cm="1">
        <f t="array" aca="1" ref="E23" ca="1">_FV(Table13[[#This Row],[Company]],"Employees")</f>
        <v>2100</v>
      </c>
      <c r="F23" s="240" cm="1">
        <f t="array" aca="1" ref="F23" ca="1">_FV(Table13[[#This Row],[Company]],"Market cap",TRUE)</f>
        <v>595325045</v>
      </c>
      <c r="G23" s="241" cm="1">
        <f t="array" aca="1" ref="G23" ca="1">_FV(Table13[[#This Row],[Company]],"P/E",TRUE)</f>
        <v>112.8845</v>
      </c>
      <c r="H23" s="241" cm="1">
        <f t="array" aca="1" ref="H23" ca="1">_FV(Table13[[#This Row],[Company]],"Beta")</f>
        <v>0.90190000000000003</v>
      </c>
      <c r="I23" s="240">
        <f ca="1">Table13[[#This Row],[MarketCap]]/Table13[[#This Row],[Employees]]</f>
        <v>283488.11666666664</v>
      </c>
      <c r="J23" s="199">
        <f ca="1">Table13[[#This Row],[Value]] / SUM(Table13[Value])</f>
        <v>0.13380915234278101</v>
      </c>
    </row>
    <row r="24" spans="1:10">
      <c r="A24" t="e" vm="18">
        <v>#VALUE!</v>
      </c>
      <c r="B24" s="4" cm="1">
        <f t="array" aca="1" ref="B24" ca="1">_FV(A24,"Price")</f>
        <v>36.840000000000003</v>
      </c>
      <c r="C24">
        <v>35</v>
      </c>
      <c r="D24" s="4">
        <f ca="1">IFERROR(Table13[[#This Row],[Price]]*Table13[[#This Row],[Number of shares]],0)</f>
        <v>1289.4000000000001</v>
      </c>
      <c r="E24" s="239" cm="1">
        <f t="array" aca="1" ref="E24" ca="1">_FV(Table13[[#This Row],[Company]],"Employees")</f>
        <v>16700</v>
      </c>
      <c r="F24" s="240" cm="1">
        <f t="array" aca="1" ref="F24" ca="1">_FV(Table13[[#This Row],[Company]],"Market cap",TRUE)</f>
        <v>5371253580</v>
      </c>
      <c r="G24" s="241" cm="1">
        <f t="array" aca="1" ref="G24" ca="1">_FV(Table13[[#This Row],[Company]],"P/E",TRUE)</f>
        <v>184.84700000000001</v>
      </c>
      <c r="H24" s="241" cm="1">
        <f t="array" aca="1" ref="H24" ca="1">_FV(Table13[[#This Row],[Company]],"Beta")</f>
        <v>1.1191</v>
      </c>
      <c r="I24" s="240">
        <f ca="1">Table13[[#This Row],[MarketCap]]/Table13[[#This Row],[Employees]]</f>
        <v>321631.95089820359</v>
      </c>
      <c r="J24" s="199">
        <f ca="1">Table13[[#This Row],[Value]] / SUM(Table13[Value])</f>
        <v>9.6344382974526369E-2</v>
      </c>
    </row>
    <row r="25" spans="1:10">
      <c r="A25" t="e" vm="19">
        <v>#VALUE!</v>
      </c>
      <c r="B25" s="4" cm="1">
        <f t="array" aca="1" ref="B25" ca="1">_FV(A25,"Price")</f>
        <v>21.2</v>
      </c>
      <c r="C25">
        <v>33</v>
      </c>
      <c r="D25" s="4">
        <f ca="1">IFERROR(Table13[[#This Row],[Price]]*Table13[[#This Row],[Number of shares]],0)</f>
        <v>699.6</v>
      </c>
      <c r="E25" s="239" cm="1">
        <f t="array" aca="1" ref="E25" ca="1">_FV(Table13[[#This Row],[Company]],"Employees")</f>
        <v>320</v>
      </c>
      <c r="F25" s="240" cm="1">
        <f t="array" aca="1" ref="F25" ca="1">_FV(Table13[[#This Row],[Company]],"Market cap",TRUE)</f>
        <v>1331444588</v>
      </c>
      <c r="G25" s="241" cm="1">
        <f t="array" aca="1" ref="G25" ca="1">_FV(Table13[[#This Row],[Company]],"P/E",TRUE)</f>
        <v>0</v>
      </c>
      <c r="H25" s="241" cm="1">
        <f t="array" aca="1" ref="H25" ca="1">_FV(Table13[[#This Row],[Company]],"Beta")</f>
        <v>2.9340000000000002</v>
      </c>
      <c r="I25" s="240">
        <f ca="1">Table13[[#This Row],[MarketCap]]/Table13[[#This Row],[Employees]]</f>
        <v>4160764.3374999999</v>
      </c>
      <c r="J25" s="199">
        <f ca="1">Table13[[#This Row],[Value]] / SUM(Table13[Value])</f>
        <v>5.2274337156025009E-2</v>
      </c>
    </row>
    <row r="27" spans="1:10">
      <c r="A27" t="s">
        <v>537</v>
      </c>
    </row>
    <row r="29" spans="1:10" ht="24">
      <c r="A29" s="242" t="s">
        <v>536</v>
      </c>
      <c r="B29" s="243"/>
      <c r="C29" s="243"/>
      <c r="D29" s="243"/>
      <c r="E29" s="243"/>
      <c r="F29" s="243"/>
      <c r="G29" s="243"/>
      <c r="H29" s="243"/>
      <c r="I29" s="243"/>
      <c r="J29" s="243"/>
    </row>
    <row r="30" spans="1:10">
      <c r="A30" t="s">
        <v>525</v>
      </c>
      <c r="B30" s="9" t="s">
        <v>143</v>
      </c>
      <c r="C30" t="s">
        <v>526</v>
      </c>
      <c r="D30" t="s">
        <v>527</v>
      </c>
      <c r="E30" t="s">
        <v>528</v>
      </c>
      <c r="F30" t="s">
        <v>529</v>
      </c>
      <c r="G30" t="s">
        <v>530</v>
      </c>
      <c r="H30" t="s">
        <v>79</v>
      </c>
      <c r="I30" t="s">
        <v>533</v>
      </c>
      <c r="J30" t="s">
        <v>534</v>
      </c>
    </row>
    <row r="31" spans="1:10">
      <c r="A31" t="e" vm="20">
        <v>#VALUE!</v>
      </c>
      <c r="B31" s="4" cm="1">
        <f t="array" aca="1" ref="B31" ca="1">_FV(A31,"Price")</f>
        <v>100.285</v>
      </c>
      <c r="C31">
        <v>5</v>
      </c>
      <c r="D31" s="4">
        <f ca="1">IFERROR(Table134[[#This Row],[Price]]*Table134[[#This Row],[Number of shares]],0)</f>
        <v>501.42499999999995</v>
      </c>
      <c r="E31" s="239" cm="1">
        <f t="array" aca="1" ref="E31" ca="1">_FV(Table134[[#This Row],[Company]],"Employees")</f>
        <v>1174</v>
      </c>
      <c r="F31" s="240" cm="1">
        <f t="array" aca="1" ref="F31" ca="1">_FV(Table134[[#This Row],[Company]],"Market cap",TRUE)</f>
        <v>13725947779</v>
      </c>
      <c r="G31" s="241" cm="1">
        <f t="array" aca="1" ref="G31" ca="1">_FV(Table134[[#This Row],[Company]],"P/E",TRUE)</f>
        <v>4497.0852000000004</v>
      </c>
      <c r="H31" s="241" cm="1">
        <f t="array" aca="1" ref="H31" ca="1">_FV(Table134[[#This Row],[Company]],"Beta")</f>
        <v>1.629</v>
      </c>
      <c r="I31" s="240">
        <f ca="1">Table134[[#This Row],[MarketCap]]/Table134[[#This Row],[Employees]]</f>
        <v>11691607.988926746</v>
      </c>
      <c r="J31" s="199">
        <f ca="1">Table134[[#This Row],[Value]] / SUM(Table134[Value])</f>
        <v>5.5398514624433381E-3</v>
      </c>
    </row>
    <row r="32" spans="1:10">
      <c r="A32" t="e" vm="21">
        <v>#VALUE!</v>
      </c>
      <c r="B32" s="4" cm="1">
        <f t="array" aca="1" ref="B32" ca="1">_FV(A32,"Price")</f>
        <v>47.290100000000002</v>
      </c>
      <c r="C32">
        <v>11</v>
      </c>
      <c r="D32" s="4">
        <f ca="1">IFERROR(Table134[[#This Row],[Price]]*Table134[[#This Row],[Number of shares]],0)</f>
        <v>520.19110000000001</v>
      </c>
      <c r="E32" s="239" cm="1">
        <f t="array" aca="1" ref="E32" ca="1">_FV(Table134[[#This Row],[Company]],"Employees")</f>
        <v>85100</v>
      </c>
      <c r="F32" s="240" cm="1">
        <f t="array" aca="1" ref="F32" ca="1">_FV(Table134[[#This Row],[Company]],"Market cap",TRUE)</f>
        <v>237444065001</v>
      </c>
      <c r="G32" s="241" cm="1">
        <f t="array" aca="1" ref="G32" ca="1">_FV(Table134[[#This Row],[Company]],"P/E",TRUE)</f>
        <v>0</v>
      </c>
      <c r="H32" s="241" cm="1">
        <f t="array" aca="1" ref="H32" ca="1">_FV(Table134[[#This Row],[Company]],"Beta")</f>
        <v>1.3543000000000001</v>
      </c>
      <c r="I32" s="240">
        <f ca="1">Table134[[#This Row],[MarketCap]]/Table134[[#This Row],[Employees]]</f>
        <v>2790177.0270387777</v>
      </c>
      <c r="J32" s="199">
        <f ca="1">Table134[[#This Row],[Value]] / SUM(Table134[Value])</f>
        <v>5.7471833795383342E-3</v>
      </c>
    </row>
    <row r="33" spans="1:10">
      <c r="A33" t="e" vm="22">
        <v>#VALUE!</v>
      </c>
      <c r="B33" s="4" cm="1">
        <f t="array" aca="1" ref="B33" ca="1">_FV(A33,"Price")</f>
        <v>93.075000000000003</v>
      </c>
      <c r="C33">
        <v>17</v>
      </c>
      <c r="D33" s="4">
        <f ca="1">IFERROR(Table134[[#This Row],[Price]]*Table134[[#This Row],[Number of shares]],0)</f>
        <v>1582.2750000000001</v>
      </c>
      <c r="E33" s="239" cm="1">
        <f t="array" aca="1" ref="E33" ca="1">_FV(Table134[[#This Row],[Company]],"Employees")</f>
        <v>791</v>
      </c>
      <c r="F33" s="240" cm="1">
        <f t="array" aca="1" ref="F33" ca="1">_FV(Table134[[#This Row],[Company]],"Market cap",TRUE)</f>
        <v>10066936155</v>
      </c>
      <c r="G33" s="241" cm="1">
        <f t="array" aca="1" ref="G33" ca="1">_FV(Table134[[#This Row],[Company]],"P/E",TRUE)</f>
        <v>44.075899999999997</v>
      </c>
      <c r="H33" s="241" cm="1">
        <f t="array" aca="1" ref="H33" ca="1">_FV(Table134[[#This Row],[Company]],"Beta")</f>
        <v>1.5964</v>
      </c>
      <c r="I33" s="240">
        <f ca="1">Table134[[#This Row],[MarketCap]]/Table134[[#This Row],[Employees]]</f>
        <v>12726847.225031605</v>
      </c>
      <c r="J33" s="199">
        <f ca="1">Table134[[#This Row],[Value]] / SUM(Table134[Value])</f>
        <v>1.7481315197163155E-2</v>
      </c>
    </row>
    <row r="34" spans="1:10">
      <c r="A34" t="e" vm="23">
        <v>#VALUE!</v>
      </c>
      <c r="B34" s="4" cm="1">
        <f t="array" aca="1" ref="B34" ca="1">_FV(A34,"Price")</f>
        <v>33.049999999999997</v>
      </c>
      <c r="C34">
        <v>149</v>
      </c>
      <c r="D34" s="4">
        <f ca="1">IFERROR(Table134[[#This Row],[Price]]*Table134[[#This Row],[Number of shares]],0)</f>
        <v>4924.45</v>
      </c>
      <c r="E34" s="239" cm="1">
        <f t="array" aca="1" ref="E34" ca="1">_FV(Table134[[#This Row],[Company]],"Employees")</f>
        <v>4060</v>
      </c>
      <c r="F34" s="240" cm="1">
        <f t="array" aca="1" ref="F34" ca="1">_FV(Table134[[#This Row],[Company]],"Market cap",TRUE)</f>
        <v>6123864244</v>
      </c>
      <c r="G34" s="241" cm="1">
        <f t="array" aca="1" ref="G34" ca="1">_FV(Table134[[#This Row],[Company]],"P/E",TRUE)</f>
        <v>0</v>
      </c>
      <c r="H34" s="241" cm="1">
        <f t="array" aca="1" ref="H34" ca="1">_FV(Table134[[#This Row],[Company]],"Beta")</f>
        <v>1.6829000000000001</v>
      </c>
      <c r="I34" s="240">
        <f ca="1">Table134[[#This Row],[MarketCap]]/Table134[[#This Row],[Employees]]</f>
        <v>1508340.9467980296</v>
      </c>
      <c r="J34" s="199">
        <f ca="1">Table134[[#This Row],[Value]] / SUM(Table134[Value])</f>
        <v>5.4406384871574211E-2</v>
      </c>
    </row>
    <row r="35" spans="1:10">
      <c r="A35" t="e" vm="24">
        <v>#VALUE!</v>
      </c>
      <c r="B35" s="4" cm="1">
        <f t="array" aca="1" ref="B35" ca="1">_FV(A35,"Price")</f>
        <v>131.63499999999999</v>
      </c>
      <c r="C35">
        <v>220</v>
      </c>
      <c r="D35" s="4">
        <f ca="1">IFERROR(Table134[[#This Row],[Price]]*Table134[[#This Row],[Number of shares]],0)</f>
        <v>28959.699999999997</v>
      </c>
      <c r="E35" s="239" cm="1">
        <f t="array" aca="1" ref="E35" ca="1">_FV(Table134[[#This Row],[Company]],"Employees")</f>
        <v>52000</v>
      </c>
      <c r="F35" s="240" cm="1">
        <f t="array" aca="1" ref="F35" ca="1">_FV(Table134[[#This Row],[Company]],"Market cap",TRUE)</f>
        <v>140454545000</v>
      </c>
      <c r="G35" s="241" cm="1">
        <f t="array" aca="1" ref="G35" ca="1">_FV(Table134[[#This Row],[Company]],"P/E",TRUE)</f>
        <v>27.1951</v>
      </c>
      <c r="H35" s="241" cm="1">
        <f t="array" aca="1" ref="H35" ca="1">_FV(Table134[[#This Row],[Company]],"Beta")</f>
        <v>1.2816000000000001</v>
      </c>
      <c r="I35" s="240">
        <f ca="1">Table134[[#This Row],[MarketCap]]/Table134[[#This Row],[Employees]]</f>
        <v>2701048.9423076925</v>
      </c>
      <c r="J35" s="199">
        <f ca="1">Table134[[#This Row],[Value]] / SUM(Table134[Value])</f>
        <v>0.31995300672467536</v>
      </c>
    </row>
    <row r="36" spans="1:10">
      <c r="A36" t="e" vm="25">
        <v>#VALUE!</v>
      </c>
      <c r="B36" s="4" cm="1">
        <f t="array" aca="1" ref="B36" ca="1">_FV(A36,"Price")</f>
        <v>374.08</v>
      </c>
      <c r="C36">
        <v>6</v>
      </c>
      <c r="D36" s="4">
        <f ca="1">IFERROR(Table134[[#This Row],[Price]]*Table134[[#This Row],[Number of shares]],0)</f>
        <v>2244.48</v>
      </c>
      <c r="E36" s="239" cm="1">
        <f t="array" aca="1" ref="E36" ca="1">_FV(Table134[[#This Row],[Company]],"Employees")</f>
        <v>35500</v>
      </c>
      <c r="F36" s="240" cm="1">
        <f t="array" aca="1" ref="F36" ca="1">_FV(Table134[[#This Row],[Company]],"Market cap",TRUE)</f>
        <v>296873591392</v>
      </c>
      <c r="G36" s="241" cm="1">
        <f t="array" aca="1" ref="G36" ca="1">_FV(Table134[[#This Row],[Company]],"P/E",TRUE)</f>
        <v>38.328299999999999</v>
      </c>
      <c r="H36" s="241" cm="1">
        <f t="array" aca="1" ref="H36" ca="1">_FV(Table134[[#This Row],[Company]],"Beta")</f>
        <v>1.5969</v>
      </c>
      <c r="I36" s="240">
        <f ca="1">Table134[[#This Row],[MarketCap]]/Table134[[#This Row],[Employees]]</f>
        <v>8362636.3772394368</v>
      </c>
      <c r="J36" s="199">
        <f ca="1">Table134[[#This Row],[Value]] / SUM(Table134[Value])</f>
        <v>2.479749874941382E-2</v>
      </c>
    </row>
    <row r="37" spans="1:10">
      <c r="A37" t="e" vm="26">
        <v>#VALUE!</v>
      </c>
      <c r="B37" s="4" cm="1">
        <f t="array" aca="1" ref="B37" ca="1">_FV(A37,"Price")</f>
        <v>40.729999999999997</v>
      </c>
      <c r="C37">
        <v>40</v>
      </c>
      <c r="D37" s="4">
        <f ca="1">IFERROR(Table134[[#This Row],[Price]]*Table134[[#This Row],[Number of shares]],0)</f>
        <v>1629.1999999999998</v>
      </c>
      <c r="E37" s="239" cm="1">
        <f t="array" aca="1" ref="E37" ca="1">_FV(Table134[[#This Row],[Company]],"Employees")</f>
        <v>136</v>
      </c>
      <c r="F37" s="240" cm="1">
        <f t="array" aca="1" ref="F37" ca="1">_FV(Table134[[#This Row],[Company]],"Market cap",TRUE)</f>
        <v>1247451558</v>
      </c>
      <c r="G37" s="241" cm="1">
        <f t="array" aca="1" ref="G37" ca="1">_FV(Table134[[#This Row],[Company]],"P/E",TRUE)</f>
        <v>0</v>
      </c>
      <c r="H37" s="241" cm="1">
        <f t="array" aca="1" ref="H37" ca="1">_FV(Table134[[#This Row],[Company]],"Beta")</f>
        <v>2.2671000000000001</v>
      </c>
      <c r="I37" s="240">
        <f ca="1">Table134[[#This Row],[MarketCap]]/Table134[[#This Row],[Employees]]</f>
        <v>9172437.9264705889</v>
      </c>
      <c r="J37" s="199">
        <f ca="1">Table134[[#This Row],[Value]] / SUM(Table134[Value])</f>
        <v>1.7999752710001867E-2</v>
      </c>
    </row>
    <row r="38" spans="1:10">
      <c r="A38" t="e" vm="27">
        <v>#VALUE!</v>
      </c>
      <c r="B38" s="4" cm="1">
        <f t="array" aca="1" ref="B38" ca="1">_FV(A38,"Price")</f>
        <v>1398.7900999999999</v>
      </c>
      <c r="C38">
        <v>35</v>
      </c>
      <c r="D38" s="4">
        <f ca="1">IFERROR(Table134[[#This Row],[Price]]*Table134[[#This Row],[Number of shares]],0)</f>
        <v>48957.6535</v>
      </c>
      <c r="E38" s="239" cm="1">
        <f t="array" aca="1" ref="E38" ca="1">_FV(Table134[[#This Row],[Company]],"Employees")</f>
        <v>43520</v>
      </c>
      <c r="F38" s="240" cm="1">
        <f t="array" aca="1" ref="F38" ca="1">_FV(Table134[[#This Row],[Company]],"Market cap",TRUE)</f>
        <v>542937160097</v>
      </c>
      <c r="G38" s="241" cm="1">
        <f t="array" aca="1" ref="G38" ca="1">_FV(Table134[[#This Row],[Company]],"P/E",TRUE)</f>
        <v>48.190899999999999</v>
      </c>
      <c r="H38" s="241" cm="1">
        <f t="array" aca="1" ref="H38" ca="1">_FV(Table134[[#This Row],[Company]],"Beta")</f>
        <v>1.8562000000000001</v>
      </c>
      <c r="I38" s="240">
        <f ca="1">Table134[[#This Row],[MarketCap]]/Table134[[#This Row],[Employees]]</f>
        <v>12475578.12722886</v>
      </c>
      <c r="J38" s="199">
        <f ca="1">Table134[[#This Row],[Value]] / SUM(Table134[Value])</f>
        <v>0.54089470676525753</v>
      </c>
    </row>
    <row r="39" spans="1:10">
      <c r="A39" t="e" vm="28">
        <v>#VALUE!</v>
      </c>
      <c r="B39" s="4" cm="1">
        <f t="array" aca="1" ref="B39" ca="1">_FV(A39,"Price")</f>
        <v>198.83</v>
      </c>
      <c r="C39">
        <v>6</v>
      </c>
      <c r="D39" s="4">
        <f ca="1">IFERROR(Table134[[#This Row],[Price]]*Table134[[#This Row],[Number of shares]],0)</f>
        <v>1192.98</v>
      </c>
      <c r="E39" s="239" cm="1">
        <f t="array" aca="1" ref="E39" ca="1">_FV(Table134[[#This Row],[Company]],"Employees")</f>
        <v>32169</v>
      </c>
      <c r="F39" s="240" cm="1">
        <f t="array" aca="1" ref="F39" ca="1">_FV(Table134[[#This Row],[Company]],"Market cap",TRUE)</f>
        <v>50242929307</v>
      </c>
      <c r="G39" s="241" cm="1">
        <f t="array" aca="1" ref="G39" ca="1">_FV(Table134[[#This Row],[Company]],"P/E",TRUE)</f>
        <v>25.021999999999998</v>
      </c>
      <c r="H39" s="241" cm="1">
        <f t="array" aca="1" ref="H39" ca="1">_FV(Table134[[#This Row],[Company]],"Beta")</f>
        <v>1.4690000000000001</v>
      </c>
      <c r="I39" s="240">
        <f ca="1">Table134[[#This Row],[MarketCap]]/Table134[[#This Row],[Employees]]</f>
        <v>1561843.0571979235</v>
      </c>
      <c r="J39" s="199">
        <f ca="1">Table134[[#This Row],[Value]] / SUM(Table134[Value])</f>
        <v>1.31803001399325E-2</v>
      </c>
    </row>
    <row r="43" spans="1:10" ht="24">
      <c r="A43" s="242" t="s">
        <v>83</v>
      </c>
      <c r="B43" s="243"/>
      <c r="C43" s="243"/>
      <c r="D43" s="243"/>
      <c r="E43" s="243"/>
      <c r="F43" s="243"/>
      <c r="G43" s="243"/>
      <c r="H43" s="243"/>
      <c r="I43" s="243"/>
      <c r="J43" s="243"/>
    </row>
    <row r="44" spans="1:10">
      <c r="A44" t="s">
        <v>525</v>
      </c>
      <c r="B44" s="9" t="s">
        <v>143</v>
      </c>
      <c r="C44" t="s">
        <v>526</v>
      </c>
      <c r="D44" t="s">
        <v>527</v>
      </c>
      <c r="E44" t="s">
        <v>528</v>
      </c>
      <c r="F44" t="s">
        <v>529</v>
      </c>
      <c r="G44" t="s">
        <v>530</v>
      </c>
      <c r="H44" t="s">
        <v>79</v>
      </c>
      <c r="I44" t="s">
        <v>533</v>
      </c>
      <c r="J44" t="s">
        <v>534</v>
      </c>
    </row>
    <row r="45" spans="1:10">
      <c r="A45" t="e" vm="29">
        <v>#VALUE!</v>
      </c>
      <c r="B45" s="4" cm="1">
        <f t="array" aca="1" ref="B45" ca="1">_FV(A45,"Price")</f>
        <v>180.405</v>
      </c>
      <c r="C45">
        <v>5</v>
      </c>
      <c r="D45" s="4">
        <f ca="1">IFERROR(Table1345[[#This Row],[Price]]*Table1345[[#This Row],[Number of shares]],0)</f>
        <v>902.02499999999998</v>
      </c>
      <c r="E45" s="239" cm="1">
        <f t="array" aca="1" ref="E45" ca="1">_FV(Table1345[[#This Row],[Company]],"Employees")</f>
        <v>42000</v>
      </c>
      <c r="F45" s="240" cm="1">
        <f t="array" aca="1" ref="F45" ca="1">_FV(Table1345[[#This Row],[Company]],"Market cap",TRUE)</f>
        <v>4383841500000</v>
      </c>
      <c r="G45" s="241" cm="1">
        <f t="array" aca="1" ref="G45" ca="1">_FV(Table1345[[#This Row],[Company]],"P/E",TRUE)</f>
        <v>36.803800000000003</v>
      </c>
      <c r="H45" s="241" cm="1">
        <f t="array" aca="1" ref="H45" ca="1">_FV(Table1345[[#This Row],[Company]],"Beta")</f>
        <v>2.3397000000000001</v>
      </c>
      <c r="I45" s="240">
        <f ca="1">Table1345[[#This Row],[MarketCap]]/Table1345[[#This Row],[Employees]]</f>
        <v>104377178.57142857</v>
      </c>
      <c r="J45" s="199">
        <f ca="1">Table1345[[#This Row],[Value]] / SUM(Table1345[Value])</f>
        <v>8.3909147542474815E-3</v>
      </c>
    </row>
    <row r="46" spans="1:10">
      <c r="A46" t="e" vm="30">
        <v>#VALUE!</v>
      </c>
      <c r="B46" s="4" cm="1">
        <f t="array" aca="1" ref="B46" ca="1">_FV(A46,"Price")</f>
        <v>116.395</v>
      </c>
      <c r="C46">
        <v>11</v>
      </c>
      <c r="D46" s="4">
        <f ca="1">IFERROR(Table1345[[#This Row],[Price]]*Table1345[[#This Row],[Number of shares]],0)</f>
        <v>1280.345</v>
      </c>
      <c r="E46" s="239" cm="1">
        <f t="array" aca="1" ref="E46" ca="1">_FV(Table1345[[#This Row],[Company]],"Employees")</f>
        <v>1371</v>
      </c>
      <c r="F46" s="240" cm="1">
        <f t="array" aca="1" ref="F46" ca="1">_FV(Table1345[[#This Row],[Company]],"Market cap",TRUE)</f>
        <v>29449913715</v>
      </c>
      <c r="G46" s="241" cm="1">
        <f t="array" aca="1" ref="G46" ca="1">_FV(Table1345[[#This Row],[Company]],"P/E",TRUE)</f>
        <v>698.64949999999999</v>
      </c>
      <c r="H46" s="241" cm="1">
        <f t="array" aca="1" ref="H46" ca="1">_FV(Table1345[[#This Row],[Company]],"Beta")</f>
        <v>-13.254</v>
      </c>
      <c r="I46" s="240">
        <f ca="1">Table1345[[#This Row],[MarketCap]]/Table1345[[#This Row],[Employees]]</f>
        <v>21480608.107221007</v>
      </c>
      <c r="J46" s="199">
        <f ca="1">Table1345[[#This Row],[Value]] / SUM(Table1345[Value])</f>
        <v>1.1910164076413616E-2</v>
      </c>
    </row>
    <row r="47" spans="1:10">
      <c r="A47" t="e" vm="31">
        <v>#VALUE!</v>
      </c>
      <c r="B47" s="4" cm="1">
        <f t="array" aca="1" ref="B47" ca="1">_FV(A47,"Price")</f>
        <v>23.869900000000001</v>
      </c>
      <c r="C47">
        <v>17</v>
      </c>
      <c r="D47" s="4">
        <f ca="1">IFERROR(Table1345[[#This Row],[Price]]*Table1345[[#This Row],[Number of shares]],0)</f>
        <v>405.78830000000005</v>
      </c>
      <c r="E47" s="239" cm="1">
        <f t="array" aca="1" ref="E47" ca="1">_FV(Table1345[[#This Row],[Company]],"Employees")</f>
        <v>6238</v>
      </c>
      <c r="F47" s="240" cm="1">
        <f t="array" aca="1" ref="F47" ca="1">_FV(Table1345[[#This Row],[Company]],"Market cap",TRUE)</f>
        <v>14333442904</v>
      </c>
      <c r="G47" s="241" cm="1">
        <f t="array" aca="1" ref="G47" ca="1">_FV(Table1345[[#This Row],[Company]],"P/E",TRUE)</f>
        <v>18.196300000000001</v>
      </c>
      <c r="H47" s="241" cm="1">
        <f t="array" aca="1" ref="H47" ca="1">_FV(Table1345[[#This Row],[Company]],"Beta")</f>
        <v>1.6309</v>
      </c>
      <c r="I47" s="240">
        <f ca="1">Table1345[[#This Row],[MarketCap]]/Table1345[[#This Row],[Employees]]</f>
        <v>2297762.5687720422</v>
      </c>
      <c r="J47" s="199">
        <f ca="1">Table1345[[#This Row],[Value]] / SUM(Table1345[Value])</f>
        <v>3.7747679205908965E-3</v>
      </c>
    </row>
    <row r="48" spans="1:10">
      <c r="A48" t="e" vm="32">
        <v>#VALUE!</v>
      </c>
      <c r="B48" s="4" cm="1">
        <f t="array" aca="1" ref="B48" ca="1">_FV(A48,"Price")</f>
        <v>381.57</v>
      </c>
      <c r="C48">
        <v>149</v>
      </c>
      <c r="D48" s="4">
        <f ca="1">IFERROR(Table1345[[#This Row],[Price]]*Table1345[[#This Row],[Number of shares]],0)</f>
        <v>56853.93</v>
      </c>
      <c r="E48" s="239" cm="1">
        <f t="array" aca="1" ref="E48" ca="1">_FV(Table1345[[#This Row],[Company]],"Employees")</f>
        <v>53000</v>
      </c>
      <c r="F48" s="240" cm="1">
        <f t="array" aca="1" ref="F48" ca="1">_FV(Table1345[[#This Row],[Company]],"Market cap",TRUE)</f>
        <v>430309462380</v>
      </c>
      <c r="G48" s="241" cm="1">
        <f t="array" aca="1" ref="G48" ca="1">_FV(Table1345[[#This Row],[Company]],"P/E",TRUE)</f>
        <v>36.270899999999997</v>
      </c>
      <c r="H48" s="241" cm="1">
        <f t="array" aca="1" ref="H48" ca="1">_FV(Table1345[[#This Row],[Company]],"Beta")</f>
        <v>1.5364</v>
      </c>
      <c r="I48" s="240">
        <f ca="1">Table1345[[#This Row],[MarketCap]]/Table1345[[#This Row],[Employees]]</f>
        <v>8119046.46</v>
      </c>
      <c r="J48" s="199">
        <f ca="1">Table1345[[#This Row],[Value]] / SUM(Table1345[Value])</f>
        <v>0.52887279185604996</v>
      </c>
    </row>
    <row r="49" spans="1:10">
      <c r="A49" t="e" vm="33">
        <v>#VALUE!</v>
      </c>
      <c r="B49" s="4" cm="1">
        <f t="array" aca="1" ref="B49" ca="1">_FV(A49,"Price")</f>
        <v>103.09</v>
      </c>
      <c r="C49">
        <v>220</v>
      </c>
      <c r="D49" s="4">
        <f ca="1">IFERROR(Table1345[[#This Row],[Price]]*Table1345[[#This Row],[Number of shares]],0)</f>
        <v>22679.8</v>
      </c>
      <c r="E49" s="239" cm="1">
        <f t="array" aca="1" ref="E49" ca="1">_FV(Table1345[[#This Row],[Company]],"Employees")</f>
        <v>622</v>
      </c>
      <c r="F49" s="240" cm="1">
        <f t="array" aca="1" ref="F49" ca="1">_FV(Table1345[[#This Row],[Company]],"Market cap",TRUE)</f>
        <v>19014940191</v>
      </c>
      <c r="G49" s="241" cm="1">
        <f t="array" aca="1" ref="G49" ca="1">_FV(Table1345[[#This Row],[Company]],"P/E",TRUE)</f>
        <v>90.074299999999994</v>
      </c>
      <c r="H49" s="241" cm="1">
        <f t="array" aca="1" ref="H49" ca="1">_FV(Table1345[[#This Row],[Company]],"Beta")</f>
        <v>2.6899000000000002</v>
      </c>
      <c r="I49" s="240">
        <f ca="1">Table1345[[#This Row],[MarketCap]]/Table1345[[#This Row],[Employees]]</f>
        <v>30570643.393890675</v>
      </c>
      <c r="J49" s="199">
        <f ca="1">Table1345[[#This Row],[Value]] / SUM(Table1345[Value])</f>
        <v>0.21097449454658354</v>
      </c>
    </row>
    <row r="50" spans="1:10">
      <c r="A50" t="e" vm="34">
        <v>#VALUE!</v>
      </c>
      <c r="B50" s="4" cm="1">
        <f t="array" aca="1" ref="B50" ca="1">_FV(A50,"Price")</f>
        <v>348.52499999999998</v>
      </c>
      <c r="C50">
        <v>6</v>
      </c>
      <c r="D50" s="4">
        <f ca="1">IFERROR(Table1345[[#This Row],[Price]]*Table1345[[#This Row],[Number of shares]],0)</f>
        <v>2091.1499999999996</v>
      </c>
      <c r="E50" s="239" cm="1">
        <f t="array" aca="1" ref="E50" ca="1">_FV(Table1345[[#This Row],[Company]],"Employees")</f>
        <v>52045</v>
      </c>
      <c r="F50" s="240" cm="1">
        <f t="array" aca="1" ref="F50" ca="1">_FV(Table1345[[#This Row],[Company]],"Market cap",TRUE)</f>
        <v>1807626655125</v>
      </c>
      <c r="G50" s="241" cm="1">
        <f t="array" aca="1" ref="G50" ca="1">_FV(Table1345[[#This Row],[Company]],"P/E",TRUE)</f>
        <v>32.967100000000002</v>
      </c>
      <c r="H50" s="241" cm="1">
        <f t="array" aca="1" ref="H50" ca="1">_FV(Table1345[[#This Row],[Company]],"Beta")</f>
        <v>1.3467</v>
      </c>
      <c r="I50" s="240">
        <f ca="1">Table1345[[#This Row],[MarketCap]]/Table1345[[#This Row],[Employees]]</f>
        <v>34731994.526371412</v>
      </c>
      <c r="J50" s="199">
        <f ca="1">Table1345[[#This Row],[Value]] / SUM(Table1345[Value])</f>
        <v>1.9452522256417082E-2</v>
      </c>
    </row>
    <row r="51" spans="1:10">
      <c r="A51" t="e" vm="35">
        <v>#VALUE!</v>
      </c>
      <c r="B51" s="4" cm="1">
        <f t="array" aca="1" ref="B51" ca="1">_FV(A51,"Price")</f>
        <v>280.42</v>
      </c>
      <c r="C51">
        <v>40</v>
      </c>
      <c r="D51" s="4">
        <f ca="1">IFERROR(Table1345[[#This Row],[Price]]*Table1345[[#This Row],[Number of shares]],0)</f>
        <v>11216.800000000001</v>
      </c>
      <c r="E51" s="239" cm="1">
        <f t="array" aca="1" ref="E51" ca="1">_FV(Table1345[[#This Row],[Company]],"Employees")</f>
        <v>34000</v>
      </c>
      <c r="F51" s="240" cm="1">
        <f t="array" aca="1" ref="F51" ca="1">_FV(Table1345[[#This Row],[Company]],"Market cap",TRUE)</f>
        <v>107288243328</v>
      </c>
      <c r="G51" s="241" cm="1">
        <f t="array" aca="1" ref="G51" ca="1">_FV(Table1345[[#This Row],[Company]],"P/E",TRUE)</f>
        <v>82.236999999999995</v>
      </c>
      <c r="H51" s="241" cm="1">
        <f t="array" aca="1" ref="H51" ca="1">_FV(Table1345[[#This Row],[Company]],"Beta")</f>
        <v>2.0152000000000001</v>
      </c>
      <c r="I51" s="240">
        <f ca="1">Table1345[[#This Row],[MarketCap]]/Table1345[[#This Row],[Employees]]</f>
        <v>3155536.5684705884</v>
      </c>
      <c r="J51" s="199">
        <f ca="1">Table1345[[#This Row],[Value]] / SUM(Table1345[Value])</f>
        <v>0.1043421331065582</v>
      </c>
    </row>
    <row r="52" spans="1:10">
      <c r="A52" t="e" vm="36">
        <v>#VALUE!</v>
      </c>
      <c r="B52" s="4" cm="1">
        <f t="array" aca="1" ref="B52" ca="1">_FV(A52,"Price")</f>
        <v>307.33999999999997</v>
      </c>
      <c r="C52">
        <v>35</v>
      </c>
      <c r="D52" s="4">
        <f ca="1">IFERROR(Table1345[[#This Row],[Price]]*Table1345[[#This Row],[Number of shares]],0)</f>
        <v>10756.9</v>
      </c>
      <c r="E52" s="239" cm="1">
        <f t="array" aca="1" ref="E52" ca="1">_FV(Table1345[[#This Row],[Company]],"Employees")</f>
        <v>29591</v>
      </c>
      <c r="F52" s="240" cm="1">
        <f t="array" aca="1" ref="F52" ca="1">_FV(Table1345[[#This Row],[Company]],"Market cap",TRUE)</f>
        <v>52395670000</v>
      </c>
      <c r="G52" s="241" cm="1">
        <f t="array" aca="1" ref="G52" ca="1">_FV(Table1345[[#This Row],[Company]],"P/E",TRUE)</f>
        <v>42.898200000000003</v>
      </c>
      <c r="H52" s="241" cm="1">
        <f t="array" aca="1" ref="H52" ca="1">_FV(Table1345[[#This Row],[Company]],"Beta")</f>
        <v>1.2471000000000001</v>
      </c>
      <c r="I52" s="240">
        <f ca="1">Table1345[[#This Row],[MarketCap]]/Table1345[[#This Row],[Employees]]</f>
        <v>1770662.3635564868</v>
      </c>
      <c r="J52" s="199">
        <f ca="1">Table1345[[#This Row],[Value]] / SUM(Table1345[Value])</f>
        <v>0.10006400146333497</v>
      </c>
    </row>
    <row r="53" spans="1:10">
      <c r="A53" t="e" vm="37">
        <v>#VALUE!</v>
      </c>
      <c r="B53" s="4" cm="1">
        <f t="array" aca="1" ref="B53" ca="1">_FV(A53,"Price")</f>
        <v>218.91</v>
      </c>
      <c r="C53">
        <v>6</v>
      </c>
      <c r="D53" s="4">
        <f ca="1">IFERROR(Table1345[[#This Row],[Price]]*Table1345[[#This Row],[Number of shares]],0)</f>
        <v>1313.46</v>
      </c>
      <c r="E53" s="239" cm="1">
        <f t="array" aca="1" ref="E53" ca="1">_FV(Table1345[[#This Row],[Company]],"Employees")</f>
        <v>31000</v>
      </c>
      <c r="F53" s="240" cm="1">
        <f t="array" aca="1" ref="F53" ca="1">_FV(Table1345[[#This Row],[Company]],"Market cap",TRUE)</f>
        <v>356913272010</v>
      </c>
      <c r="G53" s="241" cm="1">
        <f t="array" aca="1" ref="G53" ca="1">_FV(Table1345[[#This Row],[Company]],"P/E",TRUE)</f>
        <v>84.053899999999999</v>
      </c>
      <c r="H53" s="241" cm="1">
        <f t="array" aca="1" ref="H53" ca="1">_FV(Table1345[[#This Row],[Company]],"Beta")</f>
        <v>1.9661999999999999</v>
      </c>
      <c r="I53" s="240">
        <f ca="1">Table1345[[#This Row],[MarketCap]]/Table1345[[#This Row],[Employees]]</f>
        <v>11513331.355161291</v>
      </c>
      <c r="J53" s="199">
        <f ca="1">Table1345[[#This Row],[Value]] / SUM(Table1345[Value])</f>
        <v>1.2218210019804214E-2</v>
      </c>
    </row>
    <row r="57" spans="1:10" ht="24">
      <c r="A57" s="242" t="s">
        <v>56</v>
      </c>
      <c r="B57" s="243"/>
      <c r="C57" s="243"/>
      <c r="D57" s="243"/>
      <c r="E57" s="243"/>
      <c r="F57" s="243"/>
      <c r="G57" s="243"/>
      <c r="H57" s="243"/>
      <c r="I57" s="243"/>
      <c r="J57" s="243"/>
    </row>
    <row r="58" spans="1:10">
      <c r="A58" t="s">
        <v>525</v>
      </c>
      <c r="B58" s="9" t="s">
        <v>143</v>
      </c>
      <c r="C58" t="s">
        <v>526</v>
      </c>
      <c r="D58" t="s">
        <v>527</v>
      </c>
      <c r="E58" t="s">
        <v>528</v>
      </c>
      <c r="F58" t="s">
        <v>529</v>
      </c>
      <c r="G58" t="s">
        <v>530</v>
      </c>
      <c r="H58" t="s">
        <v>79</v>
      </c>
      <c r="I58" t="s">
        <v>533</v>
      </c>
      <c r="J58" t="s">
        <v>534</v>
      </c>
    </row>
    <row r="59" spans="1:10">
      <c r="A59" t="e" vm="38">
        <v>#VALUE!</v>
      </c>
      <c r="B59" s="4" cm="1">
        <f t="array" aca="1" ref="B59" ca="1">_FV(A59,"Price")</f>
        <v>195.77500000000001</v>
      </c>
      <c r="C59">
        <v>5</v>
      </c>
      <c r="D59" s="4">
        <f ca="1">IFERROR(Table13456[[#This Row],[Price]]*Table13456[[#This Row],[Number of shares]],0)</f>
        <v>978.875</v>
      </c>
      <c r="E59" s="239" cm="1">
        <f t="array" aca="1" ref="E59" ca="1">_FV(Table13456[[#This Row],[Company]],"Employees")</f>
        <v>7900</v>
      </c>
      <c r="F59" s="240" cm="1">
        <f t="array" aca="1" ref="F59" ca="1">_FV(Table13456[[#This Row],[Company]],"Market cap",TRUE)</f>
        <v>21008811025</v>
      </c>
      <c r="G59" s="241" cm="1">
        <f t="array" aca="1" ref="G59" ca="1">_FV(Table13456[[#This Row],[Company]],"P/E",TRUE)</f>
        <v>13.779299999999999</v>
      </c>
      <c r="H59" s="241" cm="1">
        <f t="array" aca="1" ref="H59" ca="1">_FV(Table13456[[#This Row],[Company]],"Beta")</f>
        <v>1.6244000000000001</v>
      </c>
      <c r="I59" s="240">
        <f ca="1">Table13456[[#This Row],[MarketCap]]/Table13456[[#This Row],[Employees]]</f>
        <v>2659343.1677215188</v>
      </c>
      <c r="J59" s="199">
        <f ca="1">Table13456[[#This Row],[Value]] / SUM(Table13456[Value])</f>
        <v>7.7692919326672726E-3</v>
      </c>
    </row>
    <row r="60" spans="1:10">
      <c r="A60" t="e" vm="35">
        <v>#VALUE!</v>
      </c>
      <c r="B60" s="4" cm="1">
        <f t="array" aca="1" ref="B60" ca="1">_FV(A60,"Price")</f>
        <v>280.42</v>
      </c>
      <c r="C60">
        <v>11</v>
      </c>
      <c r="D60" s="4">
        <f ca="1">IFERROR(Table13456[[#This Row],[Price]]*Table13456[[#This Row],[Number of shares]],0)</f>
        <v>3084.6200000000003</v>
      </c>
      <c r="E60" s="239" cm="1">
        <f t="array" aca="1" ref="E60" ca="1">_FV(Table13456[[#This Row],[Company]],"Employees")</f>
        <v>34000</v>
      </c>
      <c r="F60" s="240" cm="1">
        <f t="array" aca="1" ref="F60" ca="1">_FV(Table13456[[#This Row],[Company]],"Market cap",TRUE)</f>
        <v>107288243328</v>
      </c>
      <c r="G60" s="241" cm="1">
        <f t="array" aca="1" ref="G60" ca="1">_FV(Table13456[[#This Row],[Company]],"P/E",TRUE)</f>
        <v>82.236999999999995</v>
      </c>
      <c r="H60" s="241" cm="1">
        <f t="array" aca="1" ref="H60" ca="1">_FV(Table13456[[#This Row],[Company]],"Beta")</f>
        <v>2.0152000000000001</v>
      </c>
      <c r="I60" s="240">
        <f ca="1">Table13456[[#This Row],[MarketCap]]/Table13456[[#This Row],[Employees]]</f>
        <v>3155536.5684705884</v>
      </c>
      <c r="J60" s="199">
        <f ca="1">Table13456[[#This Row],[Value]] / SUM(Table13456[Value])</f>
        <v>2.4482506225354746E-2</v>
      </c>
    </row>
    <row r="61" spans="1:10">
      <c r="A61" t="e" vm="39">
        <v>#VALUE!</v>
      </c>
      <c r="B61" s="4" cm="1">
        <f t="array" aca="1" ref="B61" ca="1">_FV(A61,"Price")</f>
        <v>34.39</v>
      </c>
      <c r="C61">
        <v>17</v>
      </c>
      <c r="D61" s="4">
        <f ca="1">IFERROR(Table13456[[#This Row],[Price]]*Table13456[[#This Row],[Number of shares]],0)</f>
        <v>584.63</v>
      </c>
      <c r="E61" s="239" cm="1">
        <f t="array" aca="1" ref="E61" ca="1">_FV(Table13456[[#This Row],[Company]],"Employees")</f>
        <v>569</v>
      </c>
      <c r="F61" s="240" cm="1">
        <f t="array" aca="1" ref="F61" ca="1">_FV(Table13456[[#This Row],[Company]],"Market cap",TRUE)</f>
        <v>1637386653</v>
      </c>
      <c r="G61" s="241" cm="1">
        <f t="array" aca="1" ref="G61" ca="1">_FV(Table13456[[#This Row],[Company]],"P/E",TRUE)</f>
        <v>11.739599999999999</v>
      </c>
      <c r="H61" s="241" cm="1">
        <f t="array" aca="1" ref="H61" ca="1">_FV(Table13456[[#This Row],[Company]],"Beta")</f>
        <v>3.0122</v>
      </c>
      <c r="I61" s="240">
        <f ca="1">Table13456[[#This Row],[MarketCap]]/Table13456[[#This Row],[Employees]]</f>
        <v>2877656.6836555358</v>
      </c>
      <c r="J61" s="199">
        <f ca="1">Table13456[[#This Row],[Value]] / SUM(Table13456[Value])</f>
        <v>4.6401850518148569E-3</v>
      </c>
    </row>
    <row r="62" spans="1:10">
      <c r="A62" t="e" vm="40">
        <v>#VALUE!</v>
      </c>
      <c r="B62" s="4" cm="1">
        <f t="array" aca="1" ref="B62" ca="1">_FV(A62,"Price")</f>
        <v>123.44499999999999</v>
      </c>
      <c r="C62">
        <v>149</v>
      </c>
      <c r="D62" s="4">
        <f ca="1">IFERROR(Table13456[[#This Row],[Price]]*Table13456[[#This Row],[Number of shares]],0)</f>
        <v>18393.305</v>
      </c>
      <c r="E62" s="239" cm="1">
        <f t="array" aca="1" ref="E62" ca="1">_FV(Table13456[[#This Row],[Company]],"Employees")</f>
        <v>9400</v>
      </c>
      <c r="F62" s="240" cm="1">
        <f t="array" aca="1" ref="F62" ca="1">_FV(Table13456[[#This Row],[Company]],"Market cap",TRUE)</f>
        <v>6296524550</v>
      </c>
      <c r="G62" s="241" cm="1">
        <f t="array" aca="1" ref="G62" ca="1">_FV(Table13456[[#This Row],[Company]],"P/E",TRUE)</f>
        <v>31.279599999999999</v>
      </c>
      <c r="H62" s="241" cm="1">
        <f t="array" aca="1" ref="H62" ca="1">_FV(Table13456[[#This Row],[Company]],"Beta")</f>
        <v>1.819</v>
      </c>
      <c r="I62" s="240">
        <f ca="1">Table13456[[#This Row],[MarketCap]]/Table13456[[#This Row],[Employees]]</f>
        <v>669843.03723404254</v>
      </c>
      <c r="J62" s="199">
        <f ca="1">Table13456[[#This Row],[Value]] / SUM(Table13456[Value])</f>
        <v>0.14598693004887101</v>
      </c>
    </row>
    <row r="63" spans="1:10">
      <c r="A63" t="e" vm="41">
        <v>#VALUE!</v>
      </c>
      <c r="B63" s="4" cm="1">
        <f t="array" aca="1" ref="B63" ca="1">_FV(A63,"Price")</f>
        <v>440.17</v>
      </c>
      <c r="C63">
        <v>220</v>
      </c>
      <c r="D63" s="4">
        <f ca="1">IFERROR(Table13456[[#This Row],[Price]]*Table13456[[#This Row],[Number of shares]],0)</f>
        <v>96837.400000000009</v>
      </c>
      <c r="E63" s="239" cm="1">
        <f t="array" aca="1" ref="E63" ca="1">_FV(Table13456[[#This Row],[Company]],"Employees")</f>
        <v>1595</v>
      </c>
      <c r="F63" s="240" cm="1">
        <f t="array" aca="1" ref="F63" ca="1">_FV(Table13456[[#This Row],[Company]],"Market cap",TRUE)</f>
        <v>6106658879</v>
      </c>
      <c r="G63" s="241" cm="1">
        <f t="array" aca="1" ref="G63" ca="1">_FV(Table13456[[#This Row],[Company]],"P/E",TRUE)</f>
        <v>51.877499999999998</v>
      </c>
      <c r="H63" s="241" cm="1">
        <f t="array" aca="1" ref="H63" ca="1">_FV(Table13456[[#This Row],[Company]],"Beta")</f>
        <v>0.57609999999999995</v>
      </c>
      <c r="I63" s="240">
        <f ca="1">Table13456[[#This Row],[MarketCap]]/Table13456[[#This Row],[Employees]]</f>
        <v>3828626.2564263325</v>
      </c>
      <c r="J63" s="199">
        <f ca="1">Table13456[[#This Row],[Value]] / SUM(Table13456[Value])</f>
        <v>0.76859459134258601</v>
      </c>
    </row>
    <row r="64" spans="1:10">
      <c r="A64" t="e" vm="42">
        <v>#VALUE!</v>
      </c>
      <c r="B64" s="4" cm="1">
        <f t="array" aca="1" ref="B64" ca="1">_FV(A64,"Price")</f>
        <v>48.72</v>
      </c>
      <c r="C64">
        <v>6</v>
      </c>
      <c r="D64" s="4">
        <f ca="1">IFERROR(Table13456[[#This Row],[Price]]*Table13456[[#This Row],[Number of shares]],0)</f>
        <v>292.32</v>
      </c>
      <c r="E64" s="239" cm="1">
        <f t="array" aca="1" ref="E64" ca="1">_FV(Table13456[[#This Row],[Company]],"Employees")</f>
        <v>22995</v>
      </c>
      <c r="F64" s="240" cm="1">
        <f t="array" aca="1" ref="F64" ca="1">_FV(Table13456[[#This Row],[Company]],"Market cap",TRUE)</f>
        <v>6972138936</v>
      </c>
      <c r="G64" s="241" cm="1">
        <f t="array" aca="1" ref="G64" ca="1">_FV(Table13456[[#This Row],[Company]],"P/E",TRUE)</f>
        <v>0</v>
      </c>
      <c r="H64" s="241" cm="1">
        <f t="array" aca="1" ref="H64" ca="1">_FV(Table13456[[#This Row],[Company]],"Beta")</f>
        <v>1.2972999999999999</v>
      </c>
      <c r="I64" s="240">
        <f ca="1">Table13456[[#This Row],[MarketCap]]/Table13456[[#This Row],[Employees]]</f>
        <v>303202.38904109591</v>
      </c>
      <c r="J64" s="199">
        <f ca="1">Table13456[[#This Row],[Value]] / SUM(Table13456[Value])</f>
        <v>2.3201322107085144E-3</v>
      </c>
    </row>
    <row r="65" spans="1:10">
      <c r="A65" t="e" vm="43">
        <v>#VALUE!</v>
      </c>
      <c r="B65" s="4" cm="1">
        <f t="array" aca="1" ref="B65" ca="1">_FV(A65,"Price")</f>
        <v>129.5</v>
      </c>
      <c r="C65">
        <v>40</v>
      </c>
      <c r="D65" s="4">
        <f ca="1">IFERROR(Table13456[[#This Row],[Price]]*Table13456[[#This Row],[Number of shares]],0)</f>
        <v>5180</v>
      </c>
      <c r="E65" s="239" cm="1">
        <f t="array" aca="1" ref="E65" ca="1">_FV(Table13456[[#This Row],[Company]],"Employees")</f>
        <v>43000</v>
      </c>
      <c r="F65" s="240" cm="1">
        <f t="array" aca="1" ref="F65" ca="1">_FV(Table13456[[#This Row],[Company]],"Market cap",TRUE)</f>
        <v>15209347650</v>
      </c>
      <c r="G65" s="241" cm="1">
        <f t="array" aca="1" ref="G65" ca="1">_FV(Table13456[[#This Row],[Company]],"P/E",TRUE)</f>
        <v>33.818199999999997</v>
      </c>
      <c r="H65" s="241" cm="1">
        <f t="array" aca="1" ref="H65" ca="1">_FV(Table13456[[#This Row],[Company]],"Beta")</f>
        <v>0.76849999999999996</v>
      </c>
      <c r="I65" s="240">
        <f ca="1">Table13456[[#This Row],[MarketCap]]/Table13456[[#This Row],[Employees]]</f>
        <v>353705.7593023256</v>
      </c>
      <c r="J65" s="199">
        <f ca="1">Table13456[[#This Row],[Value]] / SUM(Table13456[Value])</f>
        <v>4.1113453925390342E-2</v>
      </c>
    </row>
    <row r="66" spans="1:10">
      <c r="A66" t="e" vm="44">
        <v>#VALUE!</v>
      </c>
      <c r="B66" s="4" cm="1">
        <f t="array" aca="1" ref="B66" ca="1">_FV(A66,"Price")</f>
        <v>3.15</v>
      </c>
      <c r="C66">
        <v>35</v>
      </c>
      <c r="D66" s="4">
        <f ca="1">IFERROR(Table13456[[#This Row],[Price]]*Table13456[[#This Row],[Number of shares]],0)</f>
        <v>110.25</v>
      </c>
      <c r="E66" s="239" cm="1">
        <f t="array" aca="1" ref="E66" ca="1">_FV(Table13456[[#This Row],[Company]],"Employees")</f>
        <v>16</v>
      </c>
      <c r="F66" s="240" cm="1">
        <f t="array" aca="1" ref="F66" ca="1">_FV(Table13456[[#This Row],[Company]],"Market cap",TRUE)</f>
        <v>38081578</v>
      </c>
      <c r="G66" s="241" cm="1">
        <f t="array" aca="1" ref="G66" ca="1">_FV(Table13456[[#This Row],[Company]],"P/E",TRUE)</f>
        <v>0</v>
      </c>
      <c r="H66" s="241" cm="1">
        <f t="array" aca="1" ref="H66" ca="1">_FV(Table13456[[#This Row],[Company]],"Beta")</f>
        <v>1.1262000000000001</v>
      </c>
      <c r="I66" s="240">
        <f ca="1">Table13456[[#This Row],[MarketCap]]/Table13456[[#This Row],[Employees]]</f>
        <v>2380098.625</v>
      </c>
      <c r="J66" s="199">
        <f ca="1">Table13456[[#This Row],[Value]] / SUM(Table13456[Value])</f>
        <v>8.7504986395256479E-4</v>
      </c>
    </row>
    <row r="67" spans="1:10">
      <c r="A67" t="e" vm="45">
        <v>#VALUE!</v>
      </c>
      <c r="B67" s="4" cm="1">
        <f t="array" aca="1" ref="B67" ca="1">_FV(A67,"Price")</f>
        <v>88.57</v>
      </c>
      <c r="C67">
        <v>6</v>
      </c>
      <c r="D67" s="4">
        <f ca="1">IFERROR(Table13456[[#This Row],[Price]]*Table13456[[#This Row],[Number of shares]],0)</f>
        <v>531.41999999999996</v>
      </c>
      <c r="E67" s="239" cm="1">
        <f t="array" aca="1" ref="E67" ca="1">_FV(Table13456[[#This Row],[Company]],"Employees")</f>
        <v>51000</v>
      </c>
      <c r="F67" s="240" cm="1">
        <f t="array" aca="1" ref="F67" ca="1">_FV(Table13456[[#This Row],[Company]],"Market cap",TRUE)</f>
        <v>11451091302</v>
      </c>
      <c r="G67" s="241" cm="1">
        <f t="array" aca="1" ref="G67" ca="1">_FV(Table13456[[#This Row],[Company]],"P/E",TRUE)</f>
        <v>19.575600000000001</v>
      </c>
      <c r="H67" s="241" cm="1">
        <f t="array" aca="1" ref="H67" ca="1">_FV(Table13456[[#This Row],[Company]],"Beta")</f>
        <v>1.0647</v>
      </c>
      <c r="I67" s="240">
        <f ca="1">Table13456[[#This Row],[MarketCap]]/Table13456[[#This Row],[Employees]]</f>
        <v>224531.20199999999</v>
      </c>
      <c r="J67" s="199">
        <f ca="1">Table13456[[#This Row],[Value]] / SUM(Table13456[Value])</f>
        <v>4.2178593986546206E-3</v>
      </c>
    </row>
    <row r="71" spans="1:10" ht="24">
      <c r="A71" s="242" t="s">
        <v>136</v>
      </c>
      <c r="B71" s="243"/>
      <c r="C71" s="243"/>
      <c r="D71" s="243"/>
      <c r="E71" s="243"/>
      <c r="F71" s="243"/>
      <c r="G71" s="243"/>
      <c r="H71" s="243"/>
      <c r="I71" s="243"/>
      <c r="J71" s="243"/>
    </row>
    <row r="72" spans="1:10">
      <c r="A72" t="s">
        <v>525</v>
      </c>
      <c r="B72" s="9" t="s">
        <v>143</v>
      </c>
      <c r="C72" t="s">
        <v>526</v>
      </c>
      <c r="D72" t="s">
        <v>527</v>
      </c>
      <c r="E72" t="s">
        <v>528</v>
      </c>
      <c r="F72" t="s">
        <v>529</v>
      </c>
      <c r="G72" t="s">
        <v>530</v>
      </c>
      <c r="H72" t="s">
        <v>79</v>
      </c>
      <c r="I72" t="s">
        <v>533</v>
      </c>
      <c r="J72" t="s">
        <v>534</v>
      </c>
    </row>
    <row r="73" spans="1:10">
      <c r="A73" t="e" vm="46">
        <v>#VALUE!</v>
      </c>
      <c r="B73" s="4" cm="1">
        <f t="array" aca="1" ref="B73" ca="1">_FV(A73,"Price")</f>
        <v>5.15</v>
      </c>
      <c r="C73">
        <v>5</v>
      </c>
      <c r="D73" s="4">
        <f ca="1">IFERROR(Table134567[[#This Row],[Price]]*Table134567[[#This Row],[Number of shares]],0)</f>
        <v>25.75</v>
      </c>
      <c r="E73" s="239" cm="1">
        <f t="array" aca="1" ref="E73" ca="1">_FV(Table134567[[#This Row],[Company]],"Employees")</f>
        <v>136</v>
      </c>
      <c r="F73" s="240" cm="1">
        <f t="array" aca="1" ref="F73" ca="1">_FV(Table134567[[#This Row],[Company]],"Market cap",TRUE)</f>
        <v>644317015</v>
      </c>
      <c r="G73" s="241" cm="1">
        <f t="array" aca="1" ref="G73" ca="1">_FV(Table134567[[#This Row],[Company]],"P/E",TRUE)</f>
        <v>0</v>
      </c>
      <c r="H73" s="241" cm="1">
        <f t="array" aca="1" ref="H73" ca="1">_FV(Table134567[[#This Row],[Company]],"Beta")</f>
        <v>3.5038999999999998</v>
      </c>
      <c r="I73" s="240">
        <f ca="1">Table134567[[#This Row],[MarketCap]]/Table134567[[#This Row],[Employees]]</f>
        <v>4737625.1102941176</v>
      </c>
      <c r="J73" s="199">
        <f ca="1">Table134567[[#This Row],[Value]] / SUM(Table134567[Value])</f>
        <v>3.7903777441148073E-4</v>
      </c>
    </row>
    <row r="74" spans="1:10">
      <c r="A74" t="e" vm="47">
        <v>#VALUE!</v>
      </c>
      <c r="B74" s="4" cm="1">
        <f t="array" aca="1" ref="B74" ca="1">_FV(A74,"Price")</f>
        <v>110.85</v>
      </c>
      <c r="C74">
        <v>11</v>
      </c>
      <c r="D74" s="4">
        <f ca="1">IFERROR(Table134567[[#This Row],[Price]]*Table134567[[#This Row],[Number of shares]],0)</f>
        <v>1219.3499999999999</v>
      </c>
      <c r="E74" s="239" cm="1">
        <f t="array" aca="1" ref="E74" ca="1">_FV(Table134567[[#This Row],[Company]],"Employees")</f>
        <v>2424</v>
      </c>
      <c r="F74" s="240" cm="1">
        <f t="array" aca="1" ref="F74" ca="1">_FV(Table134567[[#This Row],[Company]],"Market cap",TRUE)</f>
        <v>48278833050</v>
      </c>
      <c r="G74" s="241" cm="1">
        <f t="array" aca="1" ref="G74" ca="1">_FV(Table134567[[#This Row],[Company]],"P/E",TRUE)</f>
        <v>112.3897</v>
      </c>
      <c r="H74" s="241" cm="1">
        <f t="array" aca="1" ref="H74" ca="1">_FV(Table134567[[#This Row],[Company]],"Beta")</f>
        <v>1.0182</v>
      </c>
      <c r="I74" s="240">
        <f ca="1">Table134567[[#This Row],[MarketCap]]/Table134567[[#This Row],[Employees]]</f>
        <v>19917010.334158417</v>
      </c>
      <c r="J74" s="199">
        <f ca="1">Table134567[[#This Row],[Value]] / SUM(Table134567[Value])</f>
        <v>1.794872661082093E-2</v>
      </c>
    </row>
    <row r="75" spans="1:10">
      <c r="A75" t="e" vm="48">
        <v>#VALUE!</v>
      </c>
      <c r="B75" s="4" cm="1">
        <f t="array" aca="1" ref="B75" ca="1">_FV(A75,"Price")</f>
        <v>215.84</v>
      </c>
      <c r="C75">
        <v>17</v>
      </c>
      <c r="D75" s="4">
        <f ca="1">IFERROR(Table134567[[#This Row],[Price]]*Table134567[[#This Row],[Number of shares]],0)</f>
        <v>3669.28</v>
      </c>
      <c r="E75" s="239" cm="1">
        <f t="array" aca="1" ref="E75" ca="1">_FV(Table134567[[#This Row],[Company]],"Employees")</f>
        <v>10400</v>
      </c>
      <c r="F75" s="240" cm="1">
        <f t="array" aca="1" ref="F75" ca="1">_FV(Table134567[[#This Row],[Company]],"Market cap",TRUE)</f>
        <v>19773516812</v>
      </c>
      <c r="G75" s="241" cm="1">
        <f t="array" aca="1" ref="G75" ca="1">_FV(Table134567[[#This Row],[Company]],"P/E",TRUE)</f>
        <v>60.277000000000001</v>
      </c>
      <c r="H75" s="241" cm="1">
        <f t="array" aca="1" ref="H75" ca="1">_FV(Table134567[[#This Row],[Company]],"Beta")</f>
        <v>0.79600000000000004</v>
      </c>
      <c r="I75" s="240">
        <f ca="1">Table134567[[#This Row],[MarketCap]]/Table134567[[#This Row],[Employees]]</f>
        <v>1901299.6934615385</v>
      </c>
      <c r="J75" s="199">
        <f ca="1">Table134567[[#This Row],[Value]] / SUM(Table134567[Value])</f>
        <v>5.4011484461846913E-2</v>
      </c>
    </row>
    <row r="76" spans="1:10">
      <c r="A76" t="e" vm="49">
        <v>#VALUE!</v>
      </c>
      <c r="B76" s="4" cm="1">
        <f t="array" aca="1" ref="B76" ca="1">_FV(A76,"Price")</f>
        <v>196.565</v>
      </c>
      <c r="C76">
        <v>149</v>
      </c>
      <c r="D76" s="4">
        <f ca="1">IFERROR(Table134567[[#This Row],[Price]]*Table134567[[#This Row],[Number of shares]],0)</f>
        <v>29288.185000000001</v>
      </c>
      <c r="E76" s="239" cm="1">
        <f t="array" aca="1" ref="E76" ca="1">_FV(Table134567[[#This Row],[Company]],"Employees")</f>
        <v>300</v>
      </c>
      <c r="F76" s="240" cm="1">
        <f t="array" aca="1" ref="F76" ca="1">_FV(Table134567[[#This Row],[Company]],"Market cap",TRUE)</f>
        <v>3865364236</v>
      </c>
      <c r="G76" s="241" cm="1">
        <f t="array" aca="1" ref="G76" ca="1">_FV(Table134567[[#This Row],[Company]],"P/E",TRUE)</f>
        <v>47.256900000000002</v>
      </c>
      <c r="H76" s="241" cm="1">
        <f t="array" aca="1" ref="H76" ca="1">_FV(Table134567[[#This Row],[Company]],"Beta")</f>
        <v>1.3067</v>
      </c>
      <c r="I76" s="240">
        <f ca="1">Table134567[[#This Row],[MarketCap]]/Table134567[[#This Row],[Employees]]</f>
        <v>12884547.453333333</v>
      </c>
      <c r="J76" s="199">
        <f ca="1">Table134567[[#This Row],[Value]] / SUM(Table134567[Value])</f>
        <v>0.43111955180395006</v>
      </c>
    </row>
    <row r="77" spans="1:10">
      <c r="A77" t="e" vm="50">
        <v>#VALUE!</v>
      </c>
      <c r="B77" s="4" cm="1">
        <f t="array" aca="1" ref="B77" ca="1">_FV(A77,"Price")</f>
        <v>94.3</v>
      </c>
      <c r="C77">
        <v>220</v>
      </c>
      <c r="D77" s="4">
        <f ca="1">IFERROR(Table134567[[#This Row],[Price]]*Table134567[[#This Row],[Number of shares]],0)</f>
        <v>20746</v>
      </c>
      <c r="E77" s="239" cm="1">
        <f t="array" aca="1" ref="E77" ca="1">_FV(Table134567[[#This Row],[Company]],"Employees")</f>
        <v>29800</v>
      </c>
      <c r="F77" s="240" cm="1">
        <f t="array" aca="1" ref="F77" ca="1">_FV(Table134567[[#This Row],[Company]],"Market cap",TRUE)</f>
        <v>105558571300</v>
      </c>
      <c r="G77" s="241" cm="1">
        <f t="array" aca="1" ref="G77" ca="1">_FV(Table134567[[#This Row],[Company]],"P/E",TRUE)</f>
        <v>24.0745</v>
      </c>
      <c r="H77" s="241" cm="1">
        <f t="array" aca="1" ref="H77" ca="1">_FV(Table134567[[#This Row],[Company]],"Beta")</f>
        <v>0.42009999999999997</v>
      </c>
      <c r="I77" s="240">
        <f ca="1">Table134567[[#This Row],[MarketCap]]/Table134567[[#This Row],[Employees]]</f>
        <v>3542233.9362416109</v>
      </c>
      <c r="J77" s="199">
        <f ca="1">Table134567[[#This Row],[Value]] / SUM(Table134567[Value])</f>
        <v>0.30537932691031372</v>
      </c>
    </row>
    <row r="78" spans="1:10">
      <c r="A78" t="e" vm="42">
        <v>#VALUE!</v>
      </c>
      <c r="B78" s="4" cm="1">
        <f t="array" aca="1" ref="B78" ca="1">_FV(A78,"Price")</f>
        <v>48.72</v>
      </c>
      <c r="C78">
        <v>6</v>
      </c>
      <c r="D78" s="4">
        <f ca="1">IFERROR(Table134567[[#This Row],[Price]]*Table134567[[#This Row],[Number of shares]],0)</f>
        <v>292.32</v>
      </c>
      <c r="E78" s="239" cm="1">
        <f t="array" aca="1" ref="E78" ca="1">_FV(Table134567[[#This Row],[Company]],"Employees")</f>
        <v>22995</v>
      </c>
      <c r="F78" s="240" cm="1">
        <f t="array" aca="1" ref="F78" ca="1">_FV(Table134567[[#This Row],[Company]],"Market cap",TRUE)</f>
        <v>6972138936</v>
      </c>
      <c r="G78" s="241" cm="1">
        <f t="array" aca="1" ref="G78" ca="1">_FV(Table134567[[#This Row],[Company]],"P/E",TRUE)</f>
        <v>0</v>
      </c>
      <c r="H78" s="241" cm="1">
        <f t="array" aca="1" ref="H78" ca="1">_FV(Table134567[[#This Row],[Company]],"Beta")</f>
        <v>1.2972999999999999</v>
      </c>
      <c r="I78" s="240">
        <f ca="1">Table134567[[#This Row],[MarketCap]]/Table134567[[#This Row],[Employees]]</f>
        <v>303202.38904109591</v>
      </c>
      <c r="J78" s="199">
        <f ca="1">Table134567[[#This Row],[Value]] / SUM(Table134567[Value])</f>
        <v>4.3029251346005451E-3</v>
      </c>
    </row>
    <row r="79" spans="1:10">
      <c r="A79" t="e" vm="51">
        <v>#VALUE!</v>
      </c>
      <c r="B79" s="4" cm="1">
        <f t="array" aca="1" ref="B79" ca="1">_FV(A79,"Price")</f>
        <v>305.33</v>
      </c>
      <c r="C79">
        <v>40</v>
      </c>
      <c r="D79" s="4">
        <f ca="1">IFERROR(Table134567[[#This Row],[Price]]*Table134567[[#This Row],[Number of shares]],0)</f>
        <v>12213.199999999999</v>
      </c>
      <c r="E79" s="239" cm="1">
        <f t="array" aca="1" ref="E79" ca="1">_FV(Table134567[[#This Row],[Company]],"Employees")</f>
        <v>15291</v>
      </c>
      <c r="F79" s="240" cm="1">
        <f t="array" aca="1" ref="F79" ca="1">_FV(Table134567[[#This Row],[Company]],"Market cap",TRUE)</f>
        <v>110619440751</v>
      </c>
      <c r="G79" s="241" cm="1">
        <f t="array" aca="1" ref="G79" ca="1">_FV(Table134567[[#This Row],[Company]],"P/E",TRUE)</f>
        <v>41.2898</v>
      </c>
      <c r="H79" s="241" cm="1">
        <f t="array" aca="1" ref="H79" ca="1">_FV(Table134567[[#This Row],[Company]],"Beta")</f>
        <v>1.1581999999999999</v>
      </c>
      <c r="I79" s="240">
        <f ca="1">Table134567[[#This Row],[MarketCap]]/Table134567[[#This Row],[Employees]]</f>
        <v>7234284.2685893662</v>
      </c>
      <c r="J79" s="199">
        <f ca="1">Table134567[[#This Row],[Value]] / SUM(Table134567[Value])</f>
        <v>0.17977724840552606</v>
      </c>
    </row>
    <row r="80" spans="1:10">
      <c r="A80" t="e" vm="52">
        <v>#VALUE!</v>
      </c>
      <c r="B80" s="4" cm="1">
        <f t="array" aca="1" ref="B80" ca="1">_FV(A80,"Price")</f>
        <v>11.8299</v>
      </c>
      <c r="C80">
        <v>35</v>
      </c>
      <c r="D80" s="4">
        <f ca="1">IFERROR(Table134567[[#This Row],[Price]]*Table134567[[#This Row],[Number of shares]],0)</f>
        <v>414.04650000000004</v>
      </c>
      <c r="E80" s="239" cm="1">
        <f t="array" aca="1" ref="E80" ca="1">_FV(Table134567[[#This Row],[Company]],"Employees")</f>
        <v>428</v>
      </c>
      <c r="F80" s="240" cm="1">
        <f t="array" aca="1" ref="F80" ca="1">_FV(Table134567[[#This Row],[Company]],"Market cap",TRUE)</f>
        <v>3998699027</v>
      </c>
      <c r="G80" s="241" t="e" cm="1" vm="4">
        <f t="array" ref="G80">_FV(Table134567[[#This Row],[Company]],"P/E",TRUE)</f>
        <v>#VALUE!</v>
      </c>
      <c r="H80" s="241" cm="1">
        <f t="array" aca="1" ref="H80" ca="1">_FV(Table134567[[#This Row],[Company]],"Beta")</f>
        <v>2.2597</v>
      </c>
      <c r="I80" s="240">
        <f ca="1">Table134567[[#This Row],[MarketCap]]/Table134567[[#This Row],[Employees]]</f>
        <v>9342754.7359813079</v>
      </c>
      <c r="J80" s="199">
        <f ca="1">Table134567[[#This Row],[Value]] / SUM(Table134567[Value])</f>
        <v>6.0947286937034235E-3</v>
      </c>
    </row>
    <row r="81" spans="1:10">
      <c r="A81" t="e" vm="53">
        <v>#VALUE!</v>
      </c>
      <c r="B81" s="4" cm="1">
        <f t="array" aca="1" ref="B81" ca="1">_FV(A81,"Price")</f>
        <v>11.175000000000001</v>
      </c>
      <c r="C81">
        <v>6</v>
      </c>
      <c r="D81" s="4">
        <f ca="1">IFERROR(Table134567[[#This Row],[Price]]*Table134567[[#This Row],[Number of shares]],0)</f>
        <v>67.050000000000011</v>
      </c>
      <c r="E81" s="239" cm="1">
        <f t="array" aca="1" ref="E81" ca="1">_FV(Table134567[[#This Row],[Company]],"Employees")</f>
        <v>293</v>
      </c>
      <c r="F81" s="240" cm="1">
        <f t="array" aca="1" ref="F81" ca="1">_FV(Table134567[[#This Row],[Company]],"Market cap",TRUE)</f>
        <v>206934850</v>
      </c>
      <c r="G81" s="241" cm="1">
        <f t="array" aca="1" ref="G81" ca="1">_FV(Table134567[[#This Row],[Company]],"P/E",TRUE)</f>
        <v>0</v>
      </c>
      <c r="H81" s="241" cm="1">
        <f t="array" aca="1" ref="H81" ca="1">_FV(Table134567[[#This Row],[Company]],"Beta")</f>
        <v>0.50380000000000003</v>
      </c>
      <c r="I81" s="240">
        <f ca="1">Table134567[[#This Row],[MarketCap]]/Table134567[[#This Row],[Employees]]</f>
        <v>706262.28668941977</v>
      </c>
      <c r="J81" s="199">
        <f ca="1">Table134567[[#This Row],[Value]] / SUM(Table134567[Value])</f>
        <v>9.869702048267879E-4</v>
      </c>
    </row>
    <row r="85" spans="1:10" ht="24">
      <c r="A85" s="242" t="s">
        <v>31</v>
      </c>
      <c r="B85" s="243"/>
      <c r="C85" s="243"/>
      <c r="D85" s="243"/>
      <c r="E85" s="243"/>
      <c r="F85" s="243"/>
      <c r="G85" s="243"/>
      <c r="H85" s="243"/>
      <c r="I85" s="243"/>
      <c r="J85" s="243"/>
    </row>
    <row r="86" spans="1:10">
      <c r="A86" t="s">
        <v>525</v>
      </c>
      <c r="B86" s="9" t="s">
        <v>143</v>
      </c>
      <c r="C86" t="s">
        <v>526</v>
      </c>
      <c r="D86" t="s">
        <v>527</v>
      </c>
      <c r="E86" t="s">
        <v>528</v>
      </c>
      <c r="F86" t="s">
        <v>529</v>
      </c>
      <c r="G86" t="s">
        <v>530</v>
      </c>
      <c r="H86" t="s">
        <v>79</v>
      </c>
      <c r="I86" t="s">
        <v>533</v>
      </c>
      <c r="J86" t="s">
        <v>534</v>
      </c>
    </row>
    <row r="87" spans="1:10">
      <c r="A87" t="e" vm="54">
        <v>#VALUE!</v>
      </c>
      <c r="B87" s="4" cm="1">
        <f t="array" aca="1" ref="B87" ca="1">_FV(A87,"Price")</f>
        <v>44.03</v>
      </c>
      <c r="C87">
        <v>5</v>
      </c>
      <c r="D87" s="4">
        <f ca="1">IFERROR(Table1345678[[#This Row],[Price]]*Table1345678[[#This Row],[Number of shares]],0)</f>
        <v>220.15</v>
      </c>
      <c r="E87" s="239" cm="1">
        <f t="array" aca="1" ref="E87" ca="1">_FV(Table1345678[[#This Row],[Company]],"Employees")</f>
        <v>632</v>
      </c>
      <c r="F87" s="240" cm="1">
        <f t="array" aca="1" ref="F87" ca="1">_FV(Table1345678[[#This Row],[Company]],"Market cap",TRUE)</f>
        <v>13584355750</v>
      </c>
      <c r="G87" s="241" cm="1">
        <f t="array" aca="1" ref="G87" ca="1">_FV(Table1345678[[#This Row],[Company]],"P/E",TRUE)</f>
        <v>21.7121</v>
      </c>
      <c r="H87" s="241" cm="1">
        <f t="array" aca="1" ref="H87" ca="1">_FV(Table1345678[[#This Row],[Company]],"Beta")</f>
        <v>0.41420000000000001</v>
      </c>
      <c r="I87" s="240">
        <f ca="1">Table1345678[[#This Row],[MarketCap]]/Table1345678[[#This Row],[Employees]]</f>
        <v>21494233.78164557</v>
      </c>
      <c r="J87" s="199">
        <f ca="1">Table1345678[[#This Row],[Value]] / SUM(Table1345678[Value])</f>
        <v>2.467413525785985E-3</v>
      </c>
    </row>
    <row r="88" spans="1:10">
      <c r="A88" t="e" vm="55">
        <v>#VALUE!</v>
      </c>
      <c r="B88" s="4" cm="1">
        <f t="array" aca="1" ref="B88" ca="1">_FV(A88,"Price")</f>
        <v>46.12</v>
      </c>
      <c r="C88">
        <v>11</v>
      </c>
      <c r="D88" s="4">
        <f ca="1">IFERROR(Table1345678[[#This Row],[Price]]*Table1345678[[#This Row],[Number of shares]],0)</f>
        <v>507.32</v>
      </c>
      <c r="E88" s="239" cm="1">
        <f t="array" aca="1" ref="E88" ca="1">_FV(Table1345678[[#This Row],[Company]],"Employees")</f>
        <v>564</v>
      </c>
      <c r="F88" s="240" cm="1">
        <f t="array" aca="1" ref="F88" ca="1">_FV(Table1345678[[#This Row],[Company]],"Market cap",TRUE)</f>
        <v>10855771720</v>
      </c>
      <c r="G88" s="241" cm="1">
        <f t="array" aca="1" ref="G88" ca="1">_FV(Table1345678[[#This Row],[Company]],"P/E",TRUE)</f>
        <v>16.839500000000001</v>
      </c>
      <c r="H88" s="241" cm="1">
        <f t="array" aca="1" ref="H88" ca="1">_FV(Table1345678[[#This Row],[Company]],"Beta")</f>
        <v>0.51180000000000003</v>
      </c>
      <c r="I88" s="240">
        <f ca="1">Table1345678[[#This Row],[MarketCap]]/Table1345678[[#This Row],[Employees]]</f>
        <v>19247822.198581561</v>
      </c>
      <c r="J88" s="199">
        <f ca="1">Table1345678[[#This Row],[Value]] / SUM(Table1345678[Value])</f>
        <v>5.6859787867442465E-3</v>
      </c>
    </row>
    <row r="89" spans="1:10">
      <c r="A89" t="e" vm="56">
        <v>#VALUE!</v>
      </c>
      <c r="B89" s="4" cm="1">
        <f t="array" aca="1" ref="B89" ca="1">_FV(A89,"Price")</f>
        <v>49.325000000000003</v>
      </c>
      <c r="C89">
        <v>17</v>
      </c>
      <c r="D89" s="4">
        <f ca="1">IFERROR(Table1345678[[#This Row],[Price]]*Table1345678[[#This Row],[Number of shares]],0)</f>
        <v>838.52500000000009</v>
      </c>
      <c r="E89" s="239" cm="1">
        <f t="array" aca="1" ref="E89" ca="1">_FV(Table1345678[[#This Row],[Company]],"Employees")</f>
        <v>3678</v>
      </c>
      <c r="F89" s="240" cm="1">
        <f t="array" aca="1" ref="F89" ca="1">_FV(Table1345678[[#This Row],[Company]],"Market cap",TRUE)</f>
        <v>5793403752</v>
      </c>
      <c r="G89" s="241" cm="1">
        <f t="array" aca="1" ref="G89" ca="1">_FV(Table1345678[[#This Row],[Company]],"P/E",TRUE)</f>
        <v>0</v>
      </c>
      <c r="H89" s="241" cm="1">
        <f t="array" aca="1" ref="H89" ca="1">_FV(Table1345678[[#This Row],[Company]],"Beta")</f>
        <v>0.21129999999999999</v>
      </c>
      <c r="I89" s="240">
        <f ca="1">Table1345678[[#This Row],[MarketCap]]/Table1345678[[#This Row],[Employees]]</f>
        <v>1575150.5579119087</v>
      </c>
      <c r="J89" s="199">
        <f ca="1">Table1345678[[#This Row],[Value]] / SUM(Table1345678[Value])</f>
        <v>9.3980827922311751E-3</v>
      </c>
    </row>
    <row r="90" spans="1:10">
      <c r="A90" t="e" vm="57">
        <v>#VALUE!</v>
      </c>
      <c r="B90" s="4" cm="1">
        <f t="array" aca="1" ref="B90" ca="1">_FV(A90,"Price")</f>
        <v>112.5</v>
      </c>
      <c r="C90">
        <v>149</v>
      </c>
      <c r="D90" s="4">
        <f ca="1">IFERROR(Table1345678[[#This Row],[Price]]*Table1345678[[#This Row],[Number of shares]],0)</f>
        <v>16762.5</v>
      </c>
      <c r="E90" s="239" cm="1">
        <f t="array" aca="1" ref="E90" ca="1">_FV(Table1345678[[#This Row],[Company]],"Employees")</f>
        <v>1600</v>
      </c>
      <c r="F90" s="240" cm="1">
        <f t="array" aca="1" ref="F90" ca="1">_FV(Table1345678[[#This Row],[Company]],"Market cap",TRUE)</f>
        <v>27044808750</v>
      </c>
      <c r="G90" s="241" cm="1">
        <f t="array" aca="1" ref="G90" ca="1">_FV(Table1345678[[#This Row],[Company]],"P/E",TRUE)</f>
        <v>14.915100000000001</v>
      </c>
      <c r="H90" s="241" cm="1">
        <f t="array" aca="1" ref="H90" ca="1">_FV(Table1345678[[#This Row],[Company]],"Beta")</f>
        <v>0.46089999999999998</v>
      </c>
      <c r="I90" s="240">
        <f ca="1">Table1345678[[#This Row],[MarketCap]]/Table1345678[[#This Row],[Employees]]</f>
        <v>16903005.46875</v>
      </c>
      <c r="J90" s="199">
        <f ca="1">Table1345678[[#This Row],[Value]] / SUM(Table1345678[Value])</f>
        <v>0.18787199285027287</v>
      </c>
    </row>
    <row r="91" spans="1:10">
      <c r="A91" t="e" vm="58">
        <v>#VALUE!</v>
      </c>
      <c r="B91" s="4" cm="1">
        <f t="array" aca="1" ref="B91" ca="1">_FV(A91,"Price")</f>
        <v>284.95</v>
      </c>
      <c r="C91">
        <v>220</v>
      </c>
      <c r="D91" s="4">
        <f ca="1">IFERROR(Table1345678[[#This Row],[Price]]*Table1345678[[#This Row],[Number of shares]],0)</f>
        <v>62689</v>
      </c>
      <c r="E91" s="239" cm="1">
        <f t="array" aca="1" ref="E91" ca="1">_FV(Table1345678[[#This Row],[Company]],"Employees")</f>
        <v>1717</v>
      </c>
      <c r="F91" s="240" cm="1">
        <f t="array" aca="1" ref="F91" ca="1">_FV(Table1345678[[#This Row],[Company]],"Market cap",TRUE)</f>
        <v>59897316355</v>
      </c>
      <c r="G91" s="241" cm="1">
        <f t="array" aca="1" ref="G91" ca="1">_FV(Table1345678[[#This Row],[Company]],"P/E",TRUE)</f>
        <v>11.691700000000001</v>
      </c>
      <c r="H91" s="241" cm="1">
        <f t="array" aca="1" ref="H91" ca="1">_FV(Table1345678[[#This Row],[Company]],"Beta")</f>
        <v>0.1191</v>
      </c>
      <c r="I91" s="240">
        <f ca="1">Table1345678[[#This Row],[MarketCap]]/Table1345678[[#This Row],[Employees]]</f>
        <v>34884866.834595226</v>
      </c>
      <c r="J91" s="199">
        <f ca="1">Table1345678[[#This Row],[Value]] / SUM(Table1345678[Value])</f>
        <v>0.70261043160571246</v>
      </c>
    </row>
    <row r="92" spans="1:10">
      <c r="A92" t="e" vm="59">
        <v>#VALUE!</v>
      </c>
      <c r="B92" s="4" cm="1">
        <f t="array" aca="1" ref="B92" ca="1">_FV(A92,"Price")</f>
        <v>141.63999999999999</v>
      </c>
      <c r="C92">
        <v>6</v>
      </c>
      <c r="D92" s="4">
        <f ca="1">IFERROR(Table1345678[[#This Row],[Price]]*Table1345678[[#This Row],[Number of shares]],0)</f>
        <v>849.83999999999992</v>
      </c>
      <c r="E92" s="239" cm="1">
        <f t="array" aca="1" ref="E92" ca="1">_FV(Table1345678[[#This Row],[Company]],"Employees")</f>
        <v>3400</v>
      </c>
      <c r="F92" s="240" cm="1">
        <f t="array" aca="1" ref="F92" ca="1">_FV(Table1345678[[#This Row],[Company]],"Market cap",TRUE)</f>
        <v>75988656060</v>
      </c>
      <c r="G92" s="241" cm="1">
        <f t="array" aca="1" ref="G92" ca="1">_FV(Table1345678[[#This Row],[Company]],"P/E",TRUE)</f>
        <v>15.5459</v>
      </c>
      <c r="H92" s="241" cm="1">
        <f t="array" aca="1" ref="H92" ca="1">_FV(Table1345678[[#This Row],[Company]],"Beta")</f>
        <v>0.33829999999999999</v>
      </c>
      <c r="I92" s="240">
        <f ca="1">Table1345678[[#This Row],[MarketCap]]/Table1345678[[#This Row],[Employees]]</f>
        <v>22349604.723529413</v>
      </c>
      <c r="J92" s="199">
        <f ca="1">Table1345678[[#This Row],[Value]] / SUM(Table1345678[Value])</f>
        <v>9.5248998898658233E-3</v>
      </c>
    </row>
    <row r="93" spans="1:10">
      <c r="A93" t="e" vm="60">
        <v>#VALUE!</v>
      </c>
      <c r="B93" s="4" cm="1">
        <f t="array" aca="1" ref="B93" ca="1">_FV(A93,"Price")</f>
        <v>163.71</v>
      </c>
      <c r="C93">
        <v>40</v>
      </c>
      <c r="D93" s="4">
        <f ca="1">IFERROR(Table1345678[[#This Row],[Price]]*Table1345678[[#This Row],[Number of shares]],0)</f>
        <v>6548.4000000000005</v>
      </c>
      <c r="E93" s="239" cm="1">
        <f t="array" aca="1" ref="E93" ca="1">_FV(Table1345678[[#This Row],[Company]],"Employees")</f>
        <v>58000</v>
      </c>
      <c r="F93" s="240" cm="1">
        <f t="array" aca="1" ref="F93" ca="1">_FV(Table1345678[[#This Row],[Company]],"Market cap",TRUE)</f>
        <v>682140934440</v>
      </c>
      <c r="G93" s="241" cm="1">
        <f t="array" aca="1" ref="G93" ca="1">_FV(Table1345678[[#This Row],[Company]],"P/E",TRUE)</f>
        <v>24.505700000000001</v>
      </c>
      <c r="H93" s="241" cm="1">
        <f t="array" aca="1" ref="H93" ca="1">_FV(Table1345678[[#This Row],[Company]],"Beta")</f>
        <v>0.30669999999999997</v>
      </c>
      <c r="I93" s="240">
        <f ca="1">Table1345678[[#This Row],[MarketCap]]/Table1345678[[#This Row],[Employees]]</f>
        <v>11761050.593793103</v>
      </c>
      <c r="J93" s="199">
        <f ca="1">Table1345678[[#This Row],[Value]] / SUM(Table1345678[Value])</f>
        <v>7.3393644025695856E-2</v>
      </c>
    </row>
    <row r="94" spans="1:10">
      <c r="A94" t="e" vm="61">
        <v>#VALUE!</v>
      </c>
      <c r="B94" s="4" cm="1">
        <f t="array" aca="1" ref="B94" ca="1">_FV(A94,"Price")</f>
        <v>11.63</v>
      </c>
      <c r="C94">
        <v>35</v>
      </c>
      <c r="D94" s="4">
        <f ca="1">IFERROR(Table1345678[[#This Row],[Price]]*Table1345678[[#This Row],[Number of shares]],0)</f>
        <v>407.05</v>
      </c>
      <c r="E94" s="239" cm="1">
        <f t="array" aca="1" ref="E94" ca="1">_FV(Table1345678[[#This Row],[Company]],"Employees")</f>
        <v>22311</v>
      </c>
      <c r="F94" s="240" cm="1">
        <f t="array" aca="1" ref="F94" ca="1">_FV(Table1345678[[#This Row],[Company]],"Market cap",TRUE)</f>
        <v>40010851820</v>
      </c>
      <c r="G94" s="241" t="e" cm="1" vm="4">
        <f t="array" ref="G94">_FV(Table1345678[[#This Row],[Company]],"P/E",TRUE)</f>
        <v>#VALUE!</v>
      </c>
      <c r="H94" s="241" cm="1">
        <f t="array" aca="1" ref="H94" ca="1">_FV(Table1345678[[#This Row],[Company]],"Beta")</f>
        <v>0.62880000000000003</v>
      </c>
      <c r="I94" s="240">
        <f ca="1">Table1345678[[#This Row],[MarketCap]]/Table1345678[[#This Row],[Employees]]</f>
        <v>1793324.0025099725</v>
      </c>
      <c r="J94" s="199">
        <f ca="1">Table1345678[[#This Row],[Value]] / SUM(Table1345678[Value])</f>
        <v>4.5621652313022265E-3</v>
      </c>
    </row>
    <row r="95" spans="1:10">
      <c r="A95" t="e" vm="62">
        <v>#VALUE!</v>
      </c>
      <c r="B95" s="4" cm="1">
        <f t="array" aca="1" ref="B95" ca="1">_FV(A95,"Price")</f>
        <v>66.7</v>
      </c>
      <c r="C95">
        <v>6</v>
      </c>
      <c r="D95" s="4">
        <f ca="1">IFERROR(Table1345678[[#This Row],[Price]]*Table1345678[[#This Row],[Number of shares]],0)</f>
        <v>400.20000000000005</v>
      </c>
      <c r="E95" s="239" cm="1">
        <f t="array" aca="1" ref="E95" ca="1">_FV(Table1345678[[#This Row],[Company]],"Employees")</f>
        <v>1523</v>
      </c>
      <c r="F95" s="240" cm="1">
        <f t="array" aca="1" ref="F95" ca="1">_FV(Table1345678[[#This Row],[Company]],"Market cap",TRUE)</f>
        <v>41639075800</v>
      </c>
      <c r="G95" s="241" cm="1">
        <f t="array" aca="1" ref="G95" ca="1">_FV(Table1345678[[#This Row],[Company]],"P/E",TRUE)</f>
        <v>20.1267</v>
      </c>
      <c r="H95" s="241" cm="1">
        <f t="array" aca="1" ref="H95" ca="1">_FV(Table1345678[[#This Row],[Company]],"Beta")</f>
        <v>0.68330000000000002</v>
      </c>
      <c r="I95" s="240">
        <f ca="1">Table1345678[[#This Row],[MarketCap]]/Table1345678[[#This Row],[Employees]]</f>
        <v>27340167.957977675</v>
      </c>
      <c r="J95" s="199">
        <f ca="1">Table1345678[[#This Row],[Value]] / SUM(Table1345678[Value])</f>
        <v>4.4853912923895128E-3</v>
      </c>
    </row>
    <row r="99" spans="1:10" ht="24">
      <c r="A99" s="242" t="s">
        <v>55</v>
      </c>
      <c r="B99" s="243"/>
      <c r="C99" s="243"/>
      <c r="D99" s="243"/>
      <c r="E99" s="243"/>
      <c r="F99" s="243"/>
      <c r="G99" s="243"/>
      <c r="H99" s="243"/>
      <c r="I99" s="243"/>
      <c r="J99" s="243"/>
    </row>
    <row r="100" spans="1:10">
      <c r="A100" t="s">
        <v>525</v>
      </c>
      <c r="B100" s="9" t="s">
        <v>143</v>
      </c>
      <c r="C100" t="s">
        <v>526</v>
      </c>
      <c r="D100" t="s">
        <v>527</v>
      </c>
      <c r="E100" t="s">
        <v>528</v>
      </c>
      <c r="F100" t="s">
        <v>529</v>
      </c>
      <c r="G100" t="s">
        <v>530</v>
      </c>
      <c r="H100" t="s">
        <v>79</v>
      </c>
      <c r="I100" t="s">
        <v>533</v>
      </c>
      <c r="J100" t="s">
        <v>534</v>
      </c>
    </row>
    <row r="101" spans="1:10">
      <c r="A101" t="e" vm="63">
        <v>#VALUE!</v>
      </c>
      <c r="B101" s="4" cm="1">
        <f t="array" aca="1" ref="B101" ca="1">_FV(A101,"Price")</f>
        <v>394.5401</v>
      </c>
      <c r="C101">
        <v>5</v>
      </c>
      <c r="D101" s="4">
        <f ca="1">IFERROR(Table13456789[[#This Row],[Price]]*Table13456789[[#This Row],[Number of shares]],0)</f>
        <v>1972.7004999999999</v>
      </c>
      <c r="E101" s="239" cm="1">
        <f t="array" aca="1" ref="E101" ca="1">_FV(Table13456789[[#This Row],[Company]],"Employees")</f>
        <v>134785</v>
      </c>
      <c r="F101" s="240" cm="1">
        <f t="array" aca="1" ref="F101" ca="1">_FV(Table13456789[[#This Row],[Company]],"Market cap",TRUE)</f>
        <v>1480484896523</v>
      </c>
      <c r="G101" s="241" cm="1">
        <f t="array" aca="1" ref="G101" ca="1">_FV(Table13456789[[#This Row],[Company]],"P/E",TRUE)</f>
        <v>366.8775</v>
      </c>
      <c r="H101" s="241" cm="1">
        <f t="array" aca="1" ref="H101" ca="1">_FV(Table13456789[[#This Row],[Company]],"Beta")</f>
        <v>1.9061999999999999</v>
      </c>
      <c r="I101" s="240">
        <f ca="1">Table13456789[[#This Row],[MarketCap]]/Table13456789[[#This Row],[Employees]]</f>
        <v>10984047.90238528</v>
      </c>
      <c r="J101" s="199">
        <f ca="1">Table13456789[[#This Row],[Value]] / SUM(Table13456789[Value])</f>
        <v>0.47459468380471004</v>
      </c>
    </row>
    <row r="102" spans="1:10">
      <c r="A102" t="e" vm="64">
        <v>#VALUE!</v>
      </c>
      <c r="B102" s="4" cm="1">
        <f t="array" aca="1" ref="B102" ca="1">_FV(A102,"Price")</f>
        <v>159.22</v>
      </c>
      <c r="C102">
        <v>11</v>
      </c>
      <c r="D102" s="4">
        <f ca="1">IFERROR(Table13456789[[#This Row],[Price]]*Table13456789[[#This Row],[Number of shares]],0)</f>
        <v>1751.42</v>
      </c>
      <c r="E102" s="239" cm="1">
        <f t="array" aca="1" ref="E102" ca="1">_FV(Table13456789[[#This Row],[Company]],"Employees")</f>
        <v>39000</v>
      </c>
      <c r="F102" s="240" cm="1">
        <f t="array" aca="1" ref="F102" ca="1">_FV(Table13456789[[#This Row],[Company]],"Market cap",TRUE)</f>
        <v>18405609092</v>
      </c>
      <c r="G102" s="241" cm="1">
        <f t="array" aca="1" ref="G102" ca="1">_FV(Table13456789[[#This Row],[Company]],"P/E",TRUE)</f>
        <v>11.0756</v>
      </c>
      <c r="H102" s="241" cm="1">
        <f t="array" aca="1" ref="H102" ca="1">_FV(Table13456789[[#This Row],[Company]],"Beta")</f>
        <v>1.0481</v>
      </c>
      <c r="I102" s="240">
        <f ca="1">Table13456789[[#This Row],[MarketCap]]/Table13456789[[#This Row],[Employees]]</f>
        <v>471938.69466666668</v>
      </c>
      <c r="J102" s="199">
        <f ca="1">Table13456789[[#This Row],[Value]] / SUM(Table13456789[Value])</f>
        <v>0.42135875218222196</v>
      </c>
    </row>
    <row r="103" spans="1:10">
      <c r="A103" t="e" vm="65">
        <v>#VALUE!</v>
      </c>
      <c r="B103" s="4" cm="1">
        <f t="array" aca="1" ref="B103" ca="1">_FV(A103,"Price")</f>
        <v>25.44</v>
      </c>
      <c r="C103">
        <v>17</v>
      </c>
      <c r="D103" s="4">
        <f ca="1">IFERROR(Table13456789[[#This Row],[Price]]*Table13456789[[#This Row],[Number of shares]],0)</f>
        <v>432.48</v>
      </c>
      <c r="E103" s="239" cm="1">
        <f t="array" aca="1" ref="E103" ca="1">_FV(Table13456789[[#This Row],[Company]],"Employees")</f>
        <v>79000</v>
      </c>
      <c r="F103" s="240" cm="1">
        <f t="array" aca="1" ref="F103" ca="1">_FV(Table13456789[[#This Row],[Company]],"Market cap",TRUE)</f>
        <v>9477990000</v>
      </c>
      <c r="G103" s="241" cm="1">
        <f t="array" aca="1" ref="G103" ca="1">_FV(Table13456789[[#This Row],[Company]],"P/E",TRUE)</f>
        <v>11.4168</v>
      </c>
      <c r="H103" s="241" cm="1">
        <f t="array" aca="1" ref="H103" ca="1">_FV(Table13456789[[#This Row],[Company]],"Beta")</f>
        <v>2.2265999999999999</v>
      </c>
      <c r="I103" s="240">
        <f ca="1">Table13456789[[#This Row],[MarketCap]]/Table13456789[[#This Row],[Employees]]</f>
        <v>119974.55696202532</v>
      </c>
      <c r="J103" s="199">
        <f ca="1">Table13456789[[#This Row],[Value]] / SUM(Table13456789[Value])</f>
        <v>0.10404656401306789</v>
      </c>
    </row>
    <row r="104" spans="1:10">
      <c r="B104" s="4" t="e" cm="1" vm="66">
        <f t="array" ref="B104">_FV(A104,"Price")</f>
        <v>#VALUE!</v>
      </c>
      <c r="C104">
        <v>149</v>
      </c>
      <c r="D104" s="4">
        <f>IFERROR(Table13456789[[#This Row],[Price]]*Table13456789[[#This Row],[Number of shares]],0)</f>
        <v>0</v>
      </c>
      <c r="E104" s="239" t="e" cm="1" vm="67">
        <f t="array" ref="E104">_FV(Table13456789[[#This Row],[Company]],"Employees")</f>
        <v>#VALUE!</v>
      </c>
      <c r="F104" s="240" t="e" cm="1" vm="68">
        <f t="array" ref="F104">_FV(Table13456789[[#This Row],[Company]],"Market cap",TRUE)</f>
        <v>#VALUE!</v>
      </c>
      <c r="G104" s="241" t="e" cm="1" vm="4">
        <f t="array" ref="G104">_FV(Table13456789[[#This Row],[Company]],"P/E",TRUE)</f>
        <v>#VALUE!</v>
      </c>
      <c r="H104" s="241" t="e" cm="1" vm="69">
        <f t="array" ref="H104">_FV(Table13456789[[#This Row],[Company]],"Beta")</f>
        <v>#VALUE!</v>
      </c>
      <c r="I104" s="240" t="e" vm="70">
        <f>Table13456789[[#This Row],[MarketCap]]/Table13456789[[#This Row],[Employees]]</f>
        <v>#VALUE!</v>
      </c>
      <c r="J104" s="199">
        <f ca="1">Table13456789[[#This Row],[Value]] / SUM(Table13456789[Value])</f>
        <v>0</v>
      </c>
    </row>
    <row r="105" spans="1:10">
      <c r="B105" s="4" t="e" cm="1" vm="66">
        <f t="array" ref="B105">_FV(A105,"Price")</f>
        <v>#VALUE!</v>
      </c>
      <c r="C105">
        <v>220</v>
      </c>
      <c r="D105" s="4">
        <f>IFERROR(Table13456789[[#This Row],[Price]]*Table13456789[[#This Row],[Number of shares]],0)</f>
        <v>0</v>
      </c>
      <c r="E105" s="239" t="e" cm="1" vm="67">
        <f t="array" ref="E105">_FV(Table13456789[[#This Row],[Company]],"Employees")</f>
        <v>#VALUE!</v>
      </c>
      <c r="F105" s="240" t="e" cm="1" vm="68">
        <f t="array" ref="F105">_FV(Table13456789[[#This Row],[Company]],"Market cap",TRUE)</f>
        <v>#VALUE!</v>
      </c>
      <c r="G105" s="241" t="e" cm="1" vm="4">
        <f t="array" ref="G105">_FV(Table13456789[[#This Row],[Company]],"P/E",TRUE)</f>
        <v>#VALUE!</v>
      </c>
      <c r="H105" s="241" t="e" cm="1" vm="69">
        <f t="array" ref="H105">_FV(Table13456789[[#This Row],[Company]],"Beta")</f>
        <v>#VALUE!</v>
      </c>
      <c r="I105" s="240" t="e" vm="70">
        <f>Table13456789[[#This Row],[MarketCap]]/Table13456789[[#This Row],[Employees]]</f>
        <v>#VALUE!</v>
      </c>
      <c r="J105" s="199">
        <f ca="1">Table13456789[[#This Row],[Value]] / SUM(Table13456789[Value])</f>
        <v>0</v>
      </c>
    </row>
    <row r="106" spans="1:10">
      <c r="B106" s="4" t="e" cm="1" vm="66">
        <f t="array" ref="B106">_FV(A106,"Price")</f>
        <v>#VALUE!</v>
      </c>
      <c r="C106">
        <v>6</v>
      </c>
      <c r="D106" s="4">
        <f>IFERROR(Table13456789[[#This Row],[Price]]*Table13456789[[#This Row],[Number of shares]],0)</f>
        <v>0</v>
      </c>
      <c r="E106" s="239" t="e" cm="1" vm="67">
        <f t="array" ref="E106">_FV(Table13456789[[#This Row],[Company]],"Employees")</f>
        <v>#VALUE!</v>
      </c>
      <c r="F106" s="240" t="e" cm="1" vm="68">
        <f t="array" ref="F106">_FV(Table13456789[[#This Row],[Company]],"Market cap",TRUE)</f>
        <v>#VALUE!</v>
      </c>
      <c r="G106" s="241" t="e" cm="1" vm="4">
        <f t="array" ref="G106">_FV(Table13456789[[#This Row],[Company]],"P/E",TRUE)</f>
        <v>#VALUE!</v>
      </c>
      <c r="H106" s="241" t="e" cm="1" vm="69">
        <f t="array" ref="H106">_FV(Table13456789[[#This Row],[Company]],"Beta")</f>
        <v>#VALUE!</v>
      </c>
      <c r="I106" s="240" t="e" vm="70">
        <f>Table13456789[[#This Row],[MarketCap]]/Table13456789[[#This Row],[Employees]]</f>
        <v>#VALUE!</v>
      </c>
      <c r="J106" s="199">
        <f ca="1">Table13456789[[#This Row],[Value]] / SUM(Table13456789[Value])</f>
        <v>0</v>
      </c>
    </row>
    <row r="107" spans="1:10">
      <c r="B107" s="4" t="e" cm="1" vm="66">
        <f t="array" ref="B107">_FV(A107,"Price")</f>
        <v>#VALUE!</v>
      </c>
      <c r="C107">
        <v>40</v>
      </c>
      <c r="D107" s="4">
        <f>IFERROR(Table13456789[[#This Row],[Price]]*Table13456789[[#This Row],[Number of shares]],0)</f>
        <v>0</v>
      </c>
      <c r="E107" s="239" t="e" cm="1" vm="67">
        <f t="array" ref="E107">_FV(Table13456789[[#This Row],[Company]],"Employees")</f>
        <v>#VALUE!</v>
      </c>
      <c r="F107" s="240" t="e" cm="1" vm="68">
        <f t="array" ref="F107">_FV(Table13456789[[#This Row],[Company]],"Market cap",TRUE)</f>
        <v>#VALUE!</v>
      </c>
      <c r="G107" s="241" t="e" cm="1" vm="4">
        <f t="array" ref="G107">_FV(Table13456789[[#This Row],[Company]],"P/E",TRUE)</f>
        <v>#VALUE!</v>
      </c>
      <c r="H107" s="241" t="e" cm="1" vm="69">
        <f t="array" ref="H107">_FV(Table13456789[[#This Row],[Company]],"Beta")</f>
        <v>#VALUE!</v>
      </c>
      <c r="I107" s="240" t="e" vm="70">
        <f>Table13456789[[#This Row],[MarketCap]]/Table13456789[[#This Row],[Employees]]</f>
        <v>#VALUE!</v>
      </c>
      <c r="J107" s="199">
        <f ca="1">Table13456789[[#This Row],[Value]] / SUM(Table13456789[Value])</f>
        <v>0</v>
      </c>
    </row>
    <row r="108" spans="1:10">
      <c r="B108" s="4" t="e" cm="1" vm="66">
        <f t="array" ref="B108">_FV(A108,"Price")</f>
        <v>#VALUE!</v>
      </c>
      <c r="C108">
        <v>35</v>
      </c>
      <c r="D108" s="4">
        <f>IFERROR(Table13456789[[#This Row],[Price]]*Table13456789[[#This Row],[Number of shares]],0)</f>
        <v>0</v>
      </c>
      <c r="E108" s="239" t="e" cm="1" vm="67">
        <f t="array" ref="E108">_FV(Table13456789[[#This Row],[Company]],"Employees")</f>
        <v>#VALUE!</v>
      </c>
      <c r="F108" s="240" t="e" cm="1" vm="68">
        <f t="array" ref="F108">_FV(Table13456789[[#This Row],[Company]],"Market cap",TRUE)</f>
        <v>#VALUE!</v>
      </c>
      <c r="G108" s="241" t="e" cm="1" vm="4">
        <f t="array" ref="G108">_FV(Table13456789[[#This Row],[Company]],"P/E",TRUE)</f>
        <v>#VALUE!</v>
      </c>
      <c r="H108" s="241" t="e" cm="1" vm="69">
        <f t="array" ref="H108">_FV(Table13456789[[#This Row],[Company]],"Beta")</f>
        <v>#VALUE!</v>
      </c>
      <c r="I108" s="240" t="e" vm="70">
        <f>Table13456789[[#This Row],[MarketCap]]/Table13456789[[#This Row],[Employees]]</f>
        <v>#VALUE!</v>
      </c>
      <c r="J108" s="199">
        <f ca="1">Table13456789[[#This Row],[Value]] / SUM(Table13456789[Value])</f>
        <v>0</v>
      </c>
    </row>
    <row r="109" spans="1:10">
      <c r="B109" s="4" t="e" cm="1" vm="66">
        <f t="array" ref="B109">_FV(A109,"Price")</f>
        <v>#VALUE!</v>
      </c>
      <c r="C109">
        <v>6</v>
      </c>
      <c r="D109" s="4">
        <f>IFERROR(Table13456789[[#This Row],[Price]]*Table13456789[[#This Row],[Number of shares]],0)</f>
        <v>0</v>
      </c>
      <c r="E109" s="239" t="e" cm="1" vm="67">
        <f t="array" ref="E109">_FV(Table13456789[[#This Row],[Company]],"Employees")</f>
        <v>#VALUE!</v>
      </c>
      <c r="F109" s="240" t="e" cm="1" vm="68">
        <f t="array" ref="F109">_FV(Table13456789[[#This Row],[Company]],"Market cap",TRUE)</f>
        <v>#VALUE!</v>
      </c>
      <c r="G109" s="241" t="e" cm="1" vm="4">
        <f t="array" ref="G109">_FV(Table13456789[[#This Row],[Company]],"P/E",TRUE)</f>
        <v>#VALUE!</v>
      </c>
      <c r="H109" s="241" t="e" cm="1" vm="69">
        <f t="array" ref="H109">_FV(Table13456789[[#This Row],[Company]],"Beta")</f>
        <v>#VALUE!</v>
      </c>
      <c r="I109" s="240" t="e" vm="70">
        <f>Table13456789[[#This Row],[MarketCap]]/Table13456789[[#This Row],[Employees]]</f>
        <v>#VALUE!</v>
      </c>
      <c r="J109" s="199">
        <f ca="1">Table13456789[[#This Row],[Value]] / SUM(Table13456789[Value])</f>
        <v>0</v>
      </c>
    </row>
    <row r="113" spans="1:10" ht="24">
      <c r="A113" s="242" t="s">
        <v>53</v>
      </c>
      <c r="B113" s="243"/>
      <c r="C113" s="243"/>
      <c r="D113" s="243"/>
      <c r="E113" s="243"/>
      <c r="F113" s="243"/>
      <c r="G113" s="243"/>
      <c r="H113" s="243"/>
      <c r="I113" s="243"/>
      <c r="J113" s="243"/>
    </row>
    <row r="114" spans="1:10">
      <c r="A114" t="s">
        <v>525</v>
      </c>
      <c r="B114" s="9" t="s">
        <v>143</v>
      </c>
      <c r="C114" t="s">
        <v>526</v>
      </c>
      <c r="D114" t="s">
        <v>527</v>
      </c>
      <c r="E114" t="s">
        <v>528</v>
      </c>
      <c r="F114" t="s">
        <v>529</v>
      </c>
      <c r="G114" t="s">
        <v>530</v>
      </c>
      <c r="H114" t="s">
        <v>79</v>
      </c>
      <c r="I114" t="s">
        <v>533</v>
      </c>
      <c r="J114" t="s">
        <v>534</v>
      </c>
    </row>
    <row r="115" spans="1:10">
      <c r="A115" t="e" vm="71">
        <v>#VALUE!</v>
      </c>
      <c r="B115" s="4" cm="1">
        <f t="array" aca="1" ref="B115" ca="1">_FV(A115,"Price")</f>
        <v>3.22</v>
      </c>
      <c r="C115">
        <v>240</v>
      </c>
      <c r="D115" s="4">
        <f ca="1">IFERROR(Table134567810[[#This Row],[Price]]*Table134567810[[#This Row],[Number of shares]],0)</f>
        <v>772.80000000000007</v>
      </c>
      <c r="E115" s="239" cm="1">
        <f t="array" aca="1" ref="E115" ca="1">_FV(Table134567810[[#This Row],[Company]],"Employees")</f>
        <v>158</v>
      </c>
      <c r="F115" s="240" cm="1">
        <f t="array" aca="1" ref="F115" ca="1">_FV(Table134567810[[#This Row],[Company]],"Market cap",TRUE)</f>
        <v>172552265</v>
      </c>
      <c r="G115" s="241" cm="1">
        <f t="array" aca="1" ref="G115" ca="1">_FV(Table134567810[[#This Row],[Company]],"P/E",TRUE)</f>
        <v>0</v>
      </c>
      <c r="H115" s="241" cm="1">
        <f t="array" aca="1" ref="H115" ca="1">_FV(Table134567810[[#This Row],[Company]],"Beta")</f>
        <v>0.31850000000000001</v>
      </c>
      <c r="I115" s="240">
        <f ca="1">Table134567810[[#This Row],[MarketCap]]/Table134567810[[#This Row],[Employees]]</f>
        <v>1092102.9430379746</v>
      </c>
      <c r="J115" s="199">
        <f ca="1">Table134567810[[#This Row],[Value]] / SUM(Table134567810[Value])</f>
        <v>0.12282611055513366</v>
      </c>
    </row>
    <row r="116" spans="1:10">
      <c r="A116" t="e" vm="72">
        <v>#VALUE!</v>
      </c>
      <c r="B116" s="4" cm="1">
        <f t="array" aca="1" ref="B116" ca="1">_FV(A116,"Price")</f>
        <v>2.85</v>
      </c>
      <c r="C116">
        <v>200</v>
      </c>
      <c r="D116" s="4">
        <f ca="1">IFERROR(Table134567810[[#This Row],[Price]]*Table134567810[[#This Row],[Number of shares]],0)</f>
        <v>570</v>
      </c>
      <c r="E116" s="239" cm="1">
        <f t="array" aca="1" ref="E116" ca="1">_FV(Table134567810[[#This Row],[Company]],"Employees")</f>
        <v>389</v>
      </c>
      <c r="F116" s="240" cm="1">
        <f t="array" aca="1" ref="F116" ca="1">_FV(Table134567810[[#This Row],[Company]],"Market cap",TRUE)</f>
        <v>177944509</v>
      </c>
      <c r="G116" s="241" cm="1">
        <f t="array" aca="1" ref="G116" ca="1">_FV(Table134567810[[#This Row],[Company]],"P/E",TRUE)</f>
        <v>0</v>
      </c>
      <c r="H116" s="241" cm="1">
        <f t="array" aca="1" ref="H116" ca="1">_FV(Table134567810[[#This Row],[Company]],"Beta")</f>
        <v>2.2854000000000001</v>
      </c>
      <c r="I116" s="240">
        <f ca="1">Table134567810[[#This Row],[MarketCap]]/Table134567810[[#This Row],[Employees]]</f>
        <v>457440.89717223652</v>
      </c>
      <c r="J116" s="199">
        <f ca="1">Table134567810[[#This Row],[Value]] / SUM(Table134567810[Value])</f>
        <v>9.0593792723118766E-2</v>
      </c>
    </row>
    <row r="117" spans="1:10">
      <c r="A117" t="e" vm="73">
        <v>#VALUE!</v>
      </c>
      <c r="B117" s="4" cm="1">
        <f t="array" aca="1" ref="B117" ca="1">_FV(A117,"Price")</f>
        <v>0.31680000000000003</v>
      </c>
      <c r="C117">
        <v>600</v>
      </c>
      <c r="D117" s="4">
        <f ca="1">IFERROR(Table134567810[[#This Row],[Price]]*Table134567810[[#This Row],[Number of shares]],0)</f>
        <v>190.08</v>
      </c>
      <c r="E117" s="239" cm="1">
        <f t="array" aca="1" ref="E117" ca="1">_FV(Table134567810[[#This Row],[Company]],"Employees")</f>
        <v>1945</v>
      </c>
      <c r="F117" s="240" cm="1">
        <f t="array" aca="1" ref="F117" ca="1">_FV(Table134567810[[#This Row],[Company]],"Market cap",TRUE)</f>
        <v>10896326</v>
      </c>
      <c r="G117" s="241" cm="1">
        <f t="array" aca="1" ref="G117" ca="1">_FV(Table134567810[[#This Row],[Company]],"P/E",TRUE)</f>
        <v>0</v>
      </c>
      <c r="H117" s="241" cm="1">
        <f t="array" aca="1" ref="H117" ca="1">_FV(Table134567810[[#This Row],[Company]],"Beta")</f>
        <v>4.0210999999999997</v>
      </c>
      <c r="I117" s="240">
        <f ca="1">Table134567810[[#This Row],[MarketCap]]/Table134567810[[#This Row],[Employees]]</f>
        <v>5602.2241645244212</v>
      </c>
      <c r="J117" s="199">
        <f ca="1">Table134567810[[#This Row],[Value]] / SUM(Table134567810[Value])</f>
        <v>3.0210645825983186E-2</v>
      </c>
    </row>
    <row r="118" spans="1:10">
      <c r="A118" t="e" vm="74">
        <v>#VALUE!</v>
      </c>
      <c r="B118" s="4" cm="1">
        <f t="array" aca="1" ref="B118" ca="1">_FV(A118,"Price")</f>
        <v>2.94</v>
      </c>
      <c r="C118">
        <v>150</v>
      </c>
      <c r="D118" s="4">
        <f ca="1">IFERROR(Table134567810[[#This Row],[Price]]*Table134567810[[#This Row],[Number of shares]],0)</f>
        <v>441</v>
      </c>
      <c r="E118" s="239" cm="1">
        <f t="array" aca="1" ref="E118" ca="1">_FV(Table134567810[[#This Row],[Company]],"Employees")</f>
        <v>216</v>
      </c>
      <c r="F118" s="240" cm="1">
        <f t="array" aca="1" ref="F118" ca="1">_FV(Table134567810[[#This Row],[Company]],"Market cap",TRUE)</f>
        <v>70715996</v>
      </c>
      <c r="G118" s="241" cm="1">
        <f t="array" aca="1" ref="G118" ca="1">_FV(Table134567810[[#This Row],[Company]],"P/E",TRUE)</f>
        <v>0</v>
      </c>
      <c r="H118" s="241" cm="1">
        <f t="array" aca="1" ref="H118" ca="1">_FV(Table134567810[[#This Row],[Company]],"Beta")</f>
        <v>1.9721</v>
      </c>
      <c r="I118" s="240">
        <f ca="1">Table134567810[[#This Row],[MarketCap]]/Table134567810[[#This Row],[Employees]]</f>
        <v>327388.87037037039</v>
      </c>
      <c r="J118" s="199">
        <f ca="1">Table134567810[[#This Row],[Value]] / SUM(Table134567810[Value])</f>
        <v>7.0090987001570834E-2</v>
      </c>
    </row>
    <row r="119" spans="1:10">
      <c r="A119" t="e" vm="75">
        <v>#VALUE!</v>
      </c>
      <c r="B119" s="4" cm="1">
        <f t="array" aca="1" ref="B119" ca="1">_FV(A119,"Price")</f>
        <v>4.1100000000000003</v>
      </c>
      <c r="C119">
        <v>220</v>
      </c>
      <c r="D119" s="4">
        <f ca="1">IFERROR(Table134567810[[#This Row],[Price]]*Table134567810[[#This Row],[Number of shares]],0)</f>
        <v>904.2</v>
      </c>
      <c r="E119" s="239" cm="1">
        <f t="array" aca="1" ref="E119" ca="1">_FV(Table134567810[[#This Row],[Company]],"Employees")</f>
        <v>450</v>
      </c>
      <c r="F119" s="240" cm="1">
        <f t="array" aca="1" ref="F119" ca="1">_FV(Table134567810[[#This Row],[Company]],"Market cap",TRUE)</f>
        <v>192923276</v>
      </c>
      <c r="G119" s="241" cm="1">
        <f t="array" aca="1" ref="G119" ca="1">_FV(Table134567810[[#This Row],[Company]],"P/E",TRUE)</f>
        <v>0</v>
      </c>
      <c r="H119" s="241" cm="1">
        <f t="array" aca="1" ref="H119" ca="1">_FV(Table134567810[[#This Row],[Company]],"Beta")</f>
        <v>1.2841</v>
      </c>
      <c r="I119" s="240">
        <f ca="1">Table134567810[[#This Row],[MarketCap]]/Table134567810[[#This Row],[Employees]]</f>
        <v>428718.39111111109</v>
      </c>
      <c r="J119" s="199">
        <f ca="1">Table134567810[[#This Row],[Value]] / SUM(Table134567810[Value])</f>
        <v>0.14371036382498947</v>
      </c>
    </row>
    <row r="120" spans="1:10">
      <c r="A120" t="e" vm="76">
        <v>#VALUE!</v>
      </c>
      <c r="B120" s="4" cm="1">
        <f t="array" aca="1" ref="B120" ca="1">_FV(A120,"Price")</f>
        <v>48.760100000000001</v>
      </c>
      <c r="C120">
        <v>18</v>
      </c>
      <c r="D120" s="4">
        <f ca="1">IFERROR(Table134567810[[#This Row],[Price]]*Table134567810[[#This Row],[Number of shares]],0)</f>
        <v>877.68180000000007</v>
      </c>
      <c r="E120" s="239" cm="1">
        <f t="array" aca="1" ref="E120" ca="1">_FV(Table134567810[[#This Row],[Company]],"Employees")</f>
        <v>3800</v>
      </c>
      <c r="F120" s="240" cm="1">
        <f t="array" aca="1" ref="F120" ca="1">_FV(Table134567810[[#This Row],[Company]],"Market cap",TRUE)</f>
        <v>8717023489</v>
      </c>
      <c r="G120" s="241" cm="1">
        <f t="array" aca="1" ref="G120" ca="1">_FV(Table134567810[[#This Row],[Company]],"P/E",TRUE)</f>
        <v>0</v>
      </c>
      <c r="H120" s="241" cm="1">
        <f t="array" aca="1" ref="H120" ca="1">_FV(Table134567810[[#This Row],[Company]],"Beta")</f>
        <v>3.1789999999999998</v>
      </c>
      <c r="I120" s="240">
        <f ca="1">Table134567810[[#This Row],[MarketCap]]/Table134567810[[#This Row],[Employees]]</f>
        <v>2293953.549736842</v>
      </c>
      <c r="J120" s="199">
        <f ca="1">Table134567810[[#This Row],[Value]] / SUM(Table134567810[Value])</f>
        <v>0.13949565450184875</v>
      </c>
    </row>
    <row r="121" spans="1:10">
      <c r="A121" t="e" vm="77">
        <v>#VALUE!</v>
      </c>
      <c r="B121" s="4" cm="1">
        <f t="array" aca="1" ref="B121" ca="1">_FV(A121,"Price")</f>
        <v>1.4201999999999999</v>
      </c>
      <c r="C121">
        <v>300</v>
      </c>
      <c r="D121" s="4">
        <f ca="1">IFERROR(Table134567810[[#This Row],[Price]]*Table134567810[[#This Row],[Number of shares]],0)</f>
        <v>426.05999999999995</v>
      </c>
      <c r="E121" s="239" cm="1">
        <f t="array" aca="1" ref="E121" ca="1">_FV(Table134567810[[#This Row],[Company]],"Employees")</f>
        <v>658</v>
      </c>
      <c r="F121" s="240" cm="1">
        <f t="array" aca="1" ref="F121" ca="1">_FV(Table134567810[[#This Row],[Company]],"Market cap",TRUE)</f>
        <v>98386613</v>
      </c>
      <c r="G121" s="241" cm="1">
        <f t="array" aca="1" ref="G121" ca="1">_FV(Table134567810[[#This Row],[Company]],"P/E",TRUE)</f>
        <v>0</v>
      </c>
      <c r="H121" s="241" cm="1">
        <f t="array" aca="1" ref="H121" ca="1">_FV(Table134567810[[#This Row],[Company]],"Beta")</f>
        <v>0.87519999999999998</v>
      </c>
      <c r="I121" s="240">
        <f ca="1">Table134567810[[#This Row],[MarketCap]]/Table134567810[[#This Row],[Employees]]</f>
        <v>149523.72796352583</v>
      </c>
      <c r="J121" s="199">
        <f ca="1">Table134567810[[#This Row],[Value]] / SUM(Table134567810[Value])</f>
        <v>6.7716476013354343E-2</v>
      </c>
    </row>
    <row r="122" spans="1:10">
      <c r="A122" t="e" vm="78">
        <v>#VALUE!</v>
      </c>
      <c r="B122" s="4" cm="1">
        <f t="array" aca="1" ref="B122" ca="1">_FV(A122,"Price")</f>
        <v>3.26</v>
      </c>
      <c r="C122">
        <v>300</v>
      </c>
      <c r="D122" s="4">
        <f ca="1">IFERROR(Table134567810[[#This Row],[Price]]*Table134567810[[#This Row],[Number of shares]],0)</f>
        <v>977.99999999999989</v>
      </c>
      <c r="E122" s="239" cm="1">
        <f t="array" aca="1" ref="E122" ca="1">_FV(Table134567810[[#This Row],[Company]],"Employees")</f>
        <v>641</v>
      </c>
      <c r="F122" s="240" cm="1">
        <f t="array" aca="1" ref="F122" ca="1">_FV(Table134567810[[#This Row],[Company]],"Market cap",TRUE)</f>
        <v>322215596</v>
      </c>
      <c r="G122" s="241" cm="1">
        <f t="array" aca="1" ref="G122" ca="1">_FV(Table134567810[[#This Row],[Company]],"P/E",TRUE)</f>
        <v>0</v>
      </c>
      <c r="H122" s="241" cm="1">
        <f t="array" aca="1" ref="H122" ca="1">_FV(Table134567810[[#This Row],[Company]],"Beta")</f>
        <v>0.19040000000000001</v>
      </c>
      <c r="I122" s="240">
        <f ca="1">Table134567810[[#This Row],[MarketCap]]/Table134567810[[#This Row],[Employees]]</f>
        <v>502676.43681747268</v>
      </c>
      <c r="J122" s="199">
        <f ca="1">Table134567810[[#This Row],[Value]] / SUM(Table134567810[Value])</f>
        <v>0.15543987593545638</v>
      </c>
    </row>
    <row r="123" spans="1:10">
      <c r="A123" t="e" vm="79">
        <v>#VALUE!</v>
      </c>
      <c r="B123" s="4" cm="1">
        <f t="array" aca="1" ref="B123" ca="1">_FV(A123,"Price")</f>
        <v>1.415</v>
      </c>
      <c r="C123">
        <v>800</v>
      </c>
      <c r="D123" s="4">
        <f ca="1">IFERROR(Table134567810[[#This Row],[Price]]*Table134567810[[#This Row],[Number of shares]],0)</f>
        <v>1132</v>
      </c>
      <c r="E123" s="239" cm="1">
        <f t="array" aca="1" ref="E123" ca="1">_FV(Table134567810[[#This Row],[Company]],"Employees")</f>
        <v>485</v>
      </c>
      <c r="F123" s="240" cm="1">
        <f t="array" aca="1" ref="F123" ca="1">_FV(Table134567810[[#This Row],[Company]],"Market cap",TRUE)</f>
        <v>427327594</v>
      </c>
      <c r="G123" s="241" cm="1">
        <f t="array" aca="1" ref="G123" ca="1">_FV(Table134567810[[#This Row],[Company]],"P/E",TRUE)</f>
        <v>0</v>
      </c>
      <c r="H123" s="241" cm="1">
        <f t="array" aca="1" ref="H123" ca="1">_FV(Table134567810[[#This Row],[Company]],"Beta")</f>
        <v>2.3148</v>
      </c>
      <c r="I123" s="240">
        <f ca="1">Table134567810[[#This Row],[MarketCap]]/Table134567810[[#This Row],[Employees]]</f>
        <v>881087.82268041233</v>
      </c>
      <c r="J123" s="199">
        <f ca="1">Table134567810[[#This Row],[Value]] / SUM(Table134567810[Value])</f>
        <v>0.17991609361854463</v>
      </c>
    </row>
    <row r="127" spans="1:10" ht="24">
      <c r="A127" s="242" t="s">
        <v>54</v>
      </c>
      <c r="B127" s="243"/>
      <c r="C127" s="243"/>
      <c r="D127" s="243"/>
      <c r="E127" s="243"/>
      <c r="F127" s="243"/>
      <c r="G127" s="243"/>
      <c r="H127" s="243"/>
      <c r="I127" s="243"/>
      <c r="J127" s="243"/>
    </row>
    <row r="128" spans="1:10">
      <c r="A128" t="s">
        <v>525</v>
      </c>
      <c r="B128" s="9" t="s">
        <v>143</v>
      </c>
      <c r="C128" t="s">
        <v>526</v>
      </c>
      <c r="D128" t="s">
        <v>527</v>
      </c>
      <c r="E128" t="s">
        <v>528</v>
      </c>
      <c r="F128" t="s">
        <v>529</v>
      </c>
      <c r="G128" t="s">
        <v>530</v>
      </c>
      <c r="H128" t="s">
        <v>79</v>
      </c>
      <c r="I128" t="s">
        <v>533</v>
      </c>
      <c r="J128" t="s">
        <v>534</v>
      </c>
    </row>
    <row r="129" spans="1:10">
      <c r="A129" t="e" vm="80">
        <v>#VALUE!</v>
      </c>
      <c r="B129" s="4" cm="1">
        <f t="array" aca="1" ref="B129" ca="1">_FV(A129,"Price")</f>
        <v>45.11</v>
      </c>
      <c r="C129">
        <v>5</v>
      </c>
      <c r="D129" s="4">
        <f ca="1">IFERROR(Table134567811[[#This Row],[Price]]*Table134567811[[#This Row],[Number of shares]],0)</f>
        <v>225.55</v>
      </c>
      <c r="E129" s="239" cm="1">
        <f t="array" aca="1" ref="E129" ca="1">_FV(Table134567811[[#This Row],[Company]],"Employees")</f>
        <v>23800</v>
      </c>
      <c r="F129" s="240" cm="1">
        <f t="array" aca="1" ref="F129" ca="1">_FV(Table134567811[[#This Row],[Company]],"Market cap",TRUE)</f>
        <v>41531180106</v>
      </c>
      <c r="G129" s="241" cm="1">
        <f t="array" aca="1" ref="G129" ca="1">_FV(Table134567811[[#This Row],[Company]],"P/E",TRUE)</f>
        <v>8.3216000000000001</v>
      </c>
      <c r="H129" s="241" cm="1">
        <f t="array" aca="1" ref="H129" ca="1">_FV(Table134567811[[#This Row],[Company]],"Beta")</f>
        <v>1.4282999999999999</v>
      </c>
      <c r="I129" s="240">
        <f ca="1">Table134567811[[#This Row],[MarketCap]]/Table134567811[[#This Row],[Employees]]</f>
        <v>1745007.5674789916</v>
      </c>
      <c r="J129" s="199">
        <f ca="1">Table134567811[[#This Row],[Value]] / SUM(Table134567811[Value])</f>
        <v>4.8591838257614354E-3</v>
      </c>
    </row>
    <row r="130" spans="1:10">
      <c r="A130" t="e" vm="81">
        <v>#VALUE!</v>
      </c>
      <c r="B130" s="4" cm="1">
        <f t="array" aca="1" ref="B130" ca="1">_FV(A130,"Price")</f>
        <v>13.14</v>
      </c>
      <c r="C130">
        <v>11</v>
      </c>
      <c r="D130" s="4">
        <f ca="1">IFERROR(Table134567811[[#This Row],[Price]]*Table134567811[[#This Row],[Number of shares]],0)</f>
        <v>144.54000000000002</v>
      </c>
      <c r="E130" s="239" cm="1">
        <f t="array" aca="1" ref="E130" ca="1">_FV(Table134567811[[#This Row],[Company]],"Employees")</f>
        <v>1274</v>
      </c>
      <c r="F130" s="240" cm="1">
        <f t="array" aca="1" ref="F130" ca="1">_FV(Table134567811[[#This Row],[Company]],"Market cap",TRUE)</f>
        <v>3875405166</v>
      </c>
      <c r="G130" s="241" cm="1">
        <f t="array" aca="1" ref="G130" ca="1">_FV(Table134567811[[#This Row],[Company]],"P/E",TRUE)</f>
        <v>23.154199999999999</v>
      </c>
      <c r="H130" s="241" cm="1">
        <f t="array" aca="1" ref="H130" ca="1">_FV(Table134567811[[#This Row],[Company]],"Beta")</f>
        <v>1.0723</v>
      </c>
      <c r="I130" s="240">
        <f ca="1">Table134567811[[#This Row],[MarketCap]]/Table134567811[[#This Row],[Employees]]</f>
        <v>3041919.2825745684</v>
      </c>
      <c r="J130" s="199">
        <f ca="1">Table134567811[[#This Row],[Value]] / SUM(Table134567811[Value])</f>
        <v>3.1139278659967104E-3</v>
      </c>
    </row>
    <row r="131" spans="1:10">
      <c r="A131" t="e" vm="82">
        <v>#VALUE!</v>
      </c>
      <c r="B131" s="4" cm="1">
        <f t="array" aca="1" ref="B131" ca="1">_FV(A131,"Price")</f>
        <v>61.17</v>
      </c>
      <c r="C131">
        <v>17</v>
      </c>
      <c r="D131" s="4">
        <f ca="1">IFERROR(Table134567811[[#This Row],[Price]]*Table134567811[[#This Row],[Number of shares]],0)</f>
        <v>1039.8900000000001</v>
      </c>
      <c r="E131" s="239" cm="1">
        <f t="array" aca="1" ref="E131" ca="1">_FV(Table134567811[[#This Row],[Company]],"Employees")</f>
        <v>10205</v>
      </c>
      <c r="F131" s="240" cm="1">
        <f t="array" aca="1" ref="F131" ca="1">_FV(Table134567811[[#This Row],[Company]],"Market cap",TRUE)</f>
        <v>36646702320</v>
      </c>
      <c r="G131" s="241" cm="1">
        <f t="array" aca="1" ref="G131" ca="1">_FV(Table134567811[[#This Row],[Company]],"P/E",TRUE)</f>
        <v>28.965800000000002</v>
      </c>
      <c r="H131" s="241" cm="1">
        <f t="array" aca="1" ref="H131" ca="1">_FV(Table134567811[[#This Row],[Company]],"Beta")</f>
        <v>2.6244000000000001</v>
      </c>
      <c r="I131" s="240">
        <f ca="1">Table134567811[[#This Row],[MarketCap]]/Table134567811[[#This Row],[Employees]]</f>
        <v>3591053.632533072</v>
      </c>
      <c r="J131" s="199">
        <f ca="1">Table134567811[[#This Row],[Value]] / SUM(Table134567811[Value])</f>
        <v>2.2403088754471556E-2</v>
      </c>
    </row>
    <row r="132" spans="1:10">
      <c r="A132" t="e" vm="83">
        <v>#VALUE!</v>
      </c>
      <c r="B132" s="4" cm="1">
        <f t="array" aca="1" ref="B132" ca="1">_FV(A132,"Price")</f>
        <v>17.329999999999998</v>
      </c>
      <c r="C132">
        <v>149</v>
      </c>
      <c r="D132" s="4">
        <f ca="1">IFERROR(Table134567811[[#This Row],[Price]]*Table134567811[[#This Row],[Number of shares]],0)</f>
        <v>2582.1699999999996</v>
      </c>
      <c r="E132" s="239" cm="1">
        <f t="array" aca="1" ref="E132" ca="1">_FV(Table134567811[[#This Row],[Company]],"Employees")</f>
        <v>782</v>
      </c>
      <c r="F132" s="240" cm="1">
        <f t="array" aca="1" ref="F132" ca="1">_FV(Table134567811[[#This Row],[Company]],"Market cap",TRUE)</f>
        <v>148205120</v>
      </c>
      <c r="G132" s="241" t="e" cm="1" vm="4">
        <f t="array" ref="G132">_FV(Table134567811[[#This Row],[Company]],"P/E",TRUE)</f>
        <v>#VALUE!</v>
      </c>
      <c r="H132" s="241" cm="1">
        <f t="array" aca="1" ref="H132" ca="1">_FV(Table134567811[[#This Row],[Company]],"Beta")</f>
        <v>1.6938</v>
      </c>
      <c r="I132" s="240">
        <f ca="1">Table134567811[[#This Row],[MarketCap]]/Table134567811[[#This Row],[Employees]]</f>
        <v>189520.61381074169</v>
      </c>
      <c r="J132" s="199">
        <f ca="1">Table134567811[[#This Row],[Value]] / SUM(Table134567811[Value])</f>
        <v>5.5629522054384414E-2</v>
      </c>
    </row>
    <row r="133" spans="1:10">
      <c r="A133" t="e" vm="84">
        <v>#VALUE!</v>
      </c>
      <c r="B133" s="4" cm="1">
        <f t="array" aca="1" ref="B133" ca="1">_FV(A133,"Price")</f>
        <v>188</v>
      </c>
      <c r="C133">
        <v>220</v>
      </c>
      <c r="D133" s="4">
        <f ca="1">IFERROR(Table134567811[[#This Row],[Price]]*Table134567811[[#This Row],[Number of shares]],0)</f>
        <v>41360</v>
      </c>
      <c r="E133" s="239" cm="1">
        <f t="array" aca="1" ref="E133" ca="1">_FV(Table134567811[[#This Row],[Company]],"Employees")</f>
        <v>4951</v>
      </c>
      <c r="F133" s="240" cm="1">
        <f t="array" aca="1" ref="F133" ca="1">_FV(Table134567811[[#This Row],[Company]],"Market cap",TRUE)</f>
        <v>49646137600</v>
      </c>
      <c r="G133" s="241" cm="1">
        <f t="array" aca="1" ref="G133" ca="1">_FV(Table134567811[[#This Row],[Company]],"P/E",TRUE)</f>
        <v>43.099499999999999</v>
      </c>
      <c r="H133" s="241" cm="1">
        <f t="array" aca="1" ref="H133" ca="1">_FV(Table134567811[[#This Row],[Company]],"Beta")</f>
        <v>3.6015999999999999</v>
      </c>
      <c r="I133" s="240">
        <f ca="1">Table134567811[[#This Row],[MarketCap]]/Table134567811[[#This Row],[Employees]]</f>
        <v>10027496.990506968</v>
      </c>
      <c r="J133" s="199">
        <f ca="1">Table134567811[[#This Row],[Value]] / SUM(Table134567811[Value])</f>
        <v>0.89104785206602954</v>
      </c>
    </row>
    <row r="134" spans="1:10">
      <c r="A134" t="e" vm="85">
        <v>#VALUE!</v>
      </c>
      <c r="B134" s="4" cm="1">
        <f t="array" aca="1" ref="B134" ca="1">_FV(A134,"Price")</f>
        <v>73.7517</v>
      </c>
      <c r="C134">
        <v>6</v>
      </c>
      <c r="D134" s="4">
        <f ca="1">IFERROR(Table134567811[[#This Row],[Price]]*Table134567811[[#This Row],[Number of shares]],0)</f>
        <v>442.5102</v>
      </c>
      <c r="E134" s="239" cm="1">
        <f t="array" aca="1" ref="E134" ca="1">_FV(Table134567811[[#This Row],[Company]],"Employees")</f>
        <v>2900</v>
      </c>
      <c r="F134" s="240" cm="1">
        <f t="array" aca="1" ref="F134" ca="1">_FV(Table134567811[[#This Row],[Company]],"Market cap",TRUE)</f>
        <v>66399275024</v>
      </c>
      <c r="G134" s="241" cm="1">
        <f t="array" aca="1" ref="G134" ca="1">_FV(Table134567811[[#This Row],[Company]],"P/E",TRUE)</f>
        <v>41.257399999999997</v>
      </c>
      <c r="H134" s="241" cm="1">
        <f t="array" aca="1" ref="H134" ca="1">_FV(Table134567811[[#This Row],[Company]],"Beta")</f>
        <v>2.4706000000000001</v>
      </c>
      <c r="I134" s="240">
        <f ca="1">Table134567811[[#This Row],[MarketCap]]/Table134567811[[#This Row],[Employees]]</f>
        <v>22896301.732413795</v>
      </c>
      <c r="J134" s="199">
        <f ca="1">Table134567811[[#This Row],[Value]] / SUM(Table134567811[Value])</f>
        <v>9.5333114900219822E-3</v>
      </c>
    </row>
    <row r="135" spans="1:10">
      <c r="A135" t="e" vm="86">
        <v>#VALUE!</v>
      </c>
      <c r="B135" s="4" cm="1">
        <f t="array" aca="1" ref="B135" ca="1">_FV(A135,"Price")</f>
        <v>5.2050000000000001</v>
      </c>
      <c r="C135">
        <v>40</v>
      </c>
      <c r="D135" s="4">
        <f ca="1">IFERROR(Table134567811[[#This Row],[Price]]*Table134567811[[#This Row],[Number of shares]],0)</f>
        <v>208.2</v>
      </c>
      <c r="E135" s="239" cm="1">
        <f t="array" aca="1" ref="E135" ca="1">_FV(Table134567811[[#This Row],[Company]],"Employees")</f>
        <v>1194</v>
      </c>
      <c r="F135" s="240" cm="1">
        <f t="array" aca="1" ref="F135" ca="1">_FV(Table134567811[[#This Row],[Company]],"Market cap",TRUE)</f>
        <v>2724558811</v>
      </c>
      <c r="G135" s="241" cm="1">
        <f t="array" aca="1" ref="G135" ca="1">_FV(Table134567811[[#This Row],[Company]],"P/E",TRUE)</f>
        <v>0</v>
      </c>
      <c r="H135" s="241" cm="1">
        <f t="array" aca="1" ref="H135" ca="1">_FV(Table134567811[[#This Row],[Company]],"Beta")</f>
        <v>5.2200000000000003E-2</v>
      </c>
      <c r="I135" s="240">
        <f ca="1">Table134567811[[#This Row],[MarketCap]]/Table134567811[[#This Row],[Employees]]</f>
        <v>2281875.0510887774</v>
      </c>
      <c r="J135" s="199">
        <f ca="1">Table134567811[[#This Row],[Value]] / SUM(Table134567811[Value])</f>
        <v>4.485400454549017E-3</v>
      </c>
    </row>
    <row r="136" spans="1:10">
      <c r="A136" t="e" vm="87">
        <v>#VALUE!</v>
      </c>
      <c r="B136" s="4" cm="1">
        <f t="array" aca="1" ref="B136" ca="1">_FV(A136,"Price")</f>
        <v>11.84</v>
      </c>
      <c r="C136">
        <v>35</v>
      </c>
      <c r="D136" s="4">
        <f ca="1">IFERROR(Table134567811[[#This Row],[Price]]*Table134567811[[#This Row],[Number of shares]],0)</f>
        <v>414.4</v>
      </c>
      <c r="E136" s="239" cm="1">
        <f t="array" aca="1" ref="E136" ca="1">_FV(Table134567811[[#This Row],[Company]],"Employees")</f>
        <v>518</v>
      </c>
      <c r="F136" s="240" cm="1">
        <f t="array" aca="1" ref="F136" ca="1">_FV(Table134567811[[#This Row],[Company]],"Market cap",TRUE)</f>
        <v>977113049</v>
      </c>
      <c r="G136" s="241" cm="1">
        <f t="array" aca="1" ref="G136" ca="1">_FV(Table134567811[[#This Row],[Company]],"P/E",TRUE)</f>
        <v>0</v>
      </c>
      <c r="H136" s="241" cm="1">
        <f t="array" aca="1" ref="H136" ca="1">_FV(Table134567811[[#This Row],[Company]],"Beta")</f>
        <v>5.8045</v>
      </c>
      <c r="I136" s="240">
        <f ca="1">Table134567811[[#This Row],[MarketCap]]/Table134567811[[#This Row],[Employees]]</f>
        <v>1886318.6274131273</v>
      </c>
      <c r="J136" s="199">
        <f ca="1">Table134567811[[#This Row],[Value]] / SUM(Table134567811[Value])</f>
        <v>8.9277134887853632E-3</v>
      </c>
    </row>
    <row r="137" spans="1:10">
      <c r="B137" s="4" t="e" cm="1" vm="66">
        <f t="array" ref="B137">_FV(A137,"Price")</f>
        <v>#VALUE!</v>
      </c>
      <c r="C137">
        <v>6</v>
      </c>
      <c r="D137" s="4">
        <f>IFERROR(Table134567811[[#This Row],[Price]]*Table134567811[[#This Row],[Number of shares]],0)</f>
        <v>0</v>
      </c>
      <c r="E137" s="239" t="e" cm="1" vm="67">
        <f t="array" ref="E137">_FV(Table134567811[[#This Row],[Company]],"Employees")</f>
        <v>#VALUE!</v>
      </c>
      <c r="F137" s="240" t="e" cm="1" vm="68">
        <f t="array" ref="F137">_FV(Table134567811[[#This Row],[Company]],"Market cap",TRUE)</f>
        <v>#VALUE!</v>
      </c>
      <c r="G137" s="241" t="e" cm="1" vm="4">
        <f t="array" ref="G137">_FV(Table134567811[[#This Row],[Company]],"P/E",TRUE)</f>
        <v>#VALUE!</v>
      </c>
      <c r="H137" s="241" t="e" cm="1" vm="69">
        <f t="array" ref="H137">_FV(Table134567811[[#This Row],[Company]],"Beta")</f>
        <v>#VALUE!</v>
      </c>
      <c r="I137" s="240" t="e" vm="70">
        <f>Table134567811[[#This Row],[MarketCap]]/Table134567811[[#This Row],[Employees]]</f>
        <v>#VALUE!</v>
      </c>
      <c r="J137" s="199">
        <f ca="1">Table134567811[[#This Row],[Value]] / SUM(Table134567811[Value])</f>
        <v>0</v>
      </c>
    </row>
    <row r="141" spans="1:10" ht="24">
      <c r="A141" s="242" t="s">
        <v>147</v>
      </c>
      <c r="B141" s="243"/>
      <c r="C141" s="243"/>
      <c r="D141" s="243"/>
      <c r="E141" s="243"/>
      <c r="F141" s="243"/>
      <c r="G141" s="243"/>
      <c r="H141" s="243"/>
      <c r="I141" s="243"/>
      <c r="J141" s="243"/>
    </row>
    <row r="142" spans="1:10">
      <c r="A142" t="s">
        <v>525</v>
      </c>
      <c r="B142" s="9" t="s">
        <v>143</v>
      </c>
      <c r="C142" t="s">
        <v>526</v>
      </c>
      <c r="D142" t="s">
        <v>527</v>
      </c>
      <c r="E142" t="s">
        <v>528</v>
      </c>
      <c r="F142" t="s">
        <v>529</v>
      </c>
      <c r="G142" t="s">
        <v>530</v>
      </c>
      <c r="H142" t="s">
        <v>79</v>
      </c>
      <c r="I142" t="s">
        <v>533</v>
      </c>
      <c r="J142" t="s">
        <v>534</v>
      </c>
    </row>
    <row r="143" spans="1:10">
      <c r="B143" s="4" t="e" cm="1" vm="66">
        <f t="array" ref="B143">_FV(A143,"Price")</f>
        <v>#VALUE!</v>
      </c>
      <c r="C143">
        <v>5</v>
      </c>
      <c r="D143" s="4">
        <f>IFERROR(Table13456781112[[#This Row],[Price]]*Table13456781112[[#This Row],[Number of shares]],0)</f>
        <v>0</v>
      </c>
      <c r="E143" s="239" t="e" cm="1" vm="67">
        <f t="array" ref="E143">_FV(Table13456781112[[#This Row],[Company]],"Employees")</f>
        <v>#VALUE!</v>
      </c>
      <c r="F143" s="240" t="e" cm="1" vm="68">
        <f t="array" ref="F143">_FV(Table13456781112[[#This Row],[Company]],"Market cap",TRUE)</f>
        <v>#VALUE!</v>
      </c>
      <c r="G143" s="241" t="e" cm="1" vm="4">
        <f t="array" ref="G143">_FV(Table13456781112[[#This Row],[Company]],"P/E",TRUE)</f>
        <v>#VALUE!</v>
      </c>
      <c r="H143" s="241" t="e" cm="1" vm="69">
        <f t="array" ref="H143">_FV(Table13456781112[[#This Row],[Company]],"Beta")</f>
        <v>#VALUE!</v>
      </c>
      <c r="I143" s="240" t="e" vm="70">
        <f>Table13456781112[[#This Row],[MarketCap]]/Table13456781112[[#This Row],[Employees]]</f>
        <v>#VALUE!</v>
      </c>
      <c r="J143" s="199" t="e">
        <f>Table13456781112[[#This Row],[Value]] / SUM(Table13456781112[Value])</f>
        <v>#DIV/0!</v>
      </c>
    </row>
    <row r="144" spans="1:10">
      <c r="B144" s="4" t="e" cm="1" vm="66">
        <f t="array" ref="B144">_FV(A144,"Price")</f>
        <v>#VALUE!</v>
      </c>
      <c r="C144">
        <v>11</v>
      </c>
      <c r="D144" s="4">
        <f>IFERROR(Table13456781112[[#This Row],[Price]]*Table13456781112[[#This Row],[Number of shares]],0)</f>
        <v>0</v>
      </c>
      <c r="E144" s="239" t="e" cm="1" vm="67">
        <f t="array" ref="E144">_FV(Table13456781112[[#This Row],[Company]],"Employees")</f>
        <v>#VALUE!</v>
      </c>
      <c r="F144" s="240" t="e" cm="1" vm="68">
        <f t="array" ref="F144">_FV(Table13456781112[[#This Row],[Company]],"Market cap",TRUE)</f>
        <v>#VALUE!</v>
      </c>
      <c r="G144" s="241" t="e" cm="1" vm="4">
        <f t="array" ref="G144">_FV(Table13456781112[[#This Row],[Company]],"P/E",TRUE)</f>
        <v>#VALUE!</v>
      </c>
      <c r="H144" s="241" t="e" cm="1" vm="69">
        <f t="array" ref="H144">_FV(Table13456781112[[#This Row],[Company]],"Beta")</f>
        <v>#VALUE!</v>
      </c>
      <c r="I144" s="240" t="e" vm="70">
        <f>Table13456781112[[#This Row],[MarketCap]]/Table13456781112[[#This Row],[Employees]]</f>
        <v>#VALUE!</v>
      </c>
      <c r="J144" s="199" t="e">
        <f>Table13456781112[[#This Row],[Value]] / SUM(Table13456781112[Value])</f>
        <v>#DIV/0!</v>
      </c>
    </row>
    <row r="145" spans="1:10">
      <c r="B145" s="4" t="e" cm="1" vm="66">
        <f t="array" ref="B145">_FV(A145,"Price")</f>
        <v>#VALUE!</v>
      </c>
      <c r="C145">
        <v>17</v>
      </c>
      <c r="D145" s="4">
        <f>IFERROR(Table13456781112[[#This Row],[Price]]*Table13456781112[[#This Row],[Number of shares]],0)</f>
        <v>0</v>
      </c>
      <c r="E145" s="239" t="e" cm="1" vm="67">
        <f t="array" ref="E145">_FV(Table13456781112[[#This Row],[Company]],"Employees")</f>
        <v>#VALUE!</v>
      </c>
      <c r="F145" s="240" t="e" cm="1" vm="68">
        <f t="array" ref="F145">_FV(Table13456781112[[#This Row],[Company]],"Market cap",TRUE)</f>
        <v>#VALUE!</v>
      </c>
      <c r="G145" s="241" t="e" cm="1" vm="4">
        <f t="array" ref="G145">_FV(Table13456781112[[#This Row],[Company]],"P/E",TRUE)</f>
        <v>#VALUE!</v>
      </c>
      <c r="H145" s="241" t="e" cm="1" vm="69">
        <f t="array" ref="H145">_FV(Table13456781112[[#This Row],[Company]],"Beta")</f>
        <v>#VALUE!</v>
      </c>
      <c r="I145" s="240" t="e" vm="70">
        <f>Table13456781112[[#This Row],[MarketCap]]/Table13456781112[[#This Row],[Employees]]</f>
        <v>#VALUE!</v>
      </c>
      <c r="J145" s="199" t="e">
        <f>Table13456781112[[#This Row],[Value]] / SUM(Table13456781112[Value])</f>
        <v>#DIV/0!</v>
      </c>
    </row>
    <row r="146" spans="1:10">
      <c r="B146" s="4" t="e" cm="1" vm="66">
        <f t="array" ref="B146">_FV(A146,"Price")</f>
        <v>#VALUE!</v>
      </c>
      <c r="C146">
        <v>149</v>
      </c>
      <c r="D146" s="4">
        <f>IFERROR(Table13456781112[[#This Row],[Price]]*Table13456781112[[#This Row],[Number of shares]],0)</f>
        <v>0</v>
      </c>
      <c r="E146" s="239" t="e" cm="1" vm="67">
        <f t="array" ref="E146">_FV(Table13456781112[[#This Row],[Company]],"Employees")</f>
        <v>#VALUE!</v>
      </c>
      <c r="F146" s="240" t="e" cm="1" vm="68">
        <f t="array" ref="F146">_FV(Table13456781112[[#This Row],[Company]],"Market cap",TRUE)</f>
        <v>#VALUE!</v>
      </c>
      <c r="G146" s="241" t="e" cm="1" vm="4">
        <f t="array" ref="G146">_FV(Table13456781112[[#This Row],[Company]],"P/E",TRUE)</f>
        <v>#VALUE!</v>
      </c>
      <c r="H146" s="241" t="e" cm="1" vm="69">
        <f t="array" ref="H146">_FV(Table13456781112[[#This Row],[Company]],"Beta")</f>
        <v>#VALUE!</v>
      </c>
      <c r="I146" s="240" t="e" vm="70">
        <f>Table13456781112[[#This Row],[MarketCap]]/Table13456781112[[#This Row],[Employees]]</f>
        <v>#VALUE!</v>
      </c>
      <c r="J146" s="199" t="e">
        <f>Table13456781112[[#This Row],[Value]] / SUM(Table13456781112[Value])</f>
        <v>#DIV/0!</v>
      </c>
    </row>
    <row r="147" spans="1:10">
      <c r="B147" s="4" t="e" cm="1" vm="66">
        <f t="array" ref="B147">_FV(A147,"Price")</f>
        <v>#VALUE!</v>
      </c>
      <c r="C147">
        <v>220</v>
      </c>
      <c r="D147" s="4">
        <f>IFERROR(Table13456781112[[#This Row],[Price]]*Table13456781112[[#This Row],[Number of shares]],0)</f>
        <v>0</v>
      </c>
      <c r="E147" s="239" t="e" cm="1" vm="67">
        <f t="array" ref="E147">_FV(Table13456781112[[#This Row],[Company]],"Employees")</f>
        <v>#VALUE!</v>
      </c>
      <c r="F147" s="240" t="e" cm="1" vm="68">
        <f t="array" ref="F147">_FV(Table13456781112[[#This Row],[Company]],"Market cap",TRUE)</f>
        <v>#VALUE!</v>
      </c>
      <c r="G147" s="241" t="e" cm="1" vm="4">
        <f t="array" ref="G147">_FV(Table13456781112[[#This Row],[Company]],"P/E",TRUE)</f>
        <v>#VALUE!</v>
      </c>
      <c r="H147" s="241" t="e" cm="1" vm="69">
        <f t="array" ref="H147">_FV(Table13456781112[[#This Row],[Company]],"Beta")</f>
        <v>#VALUE!</v>
      </c>
      <c r="I147" s="240" t="e" vm="70">
        <f>Table13456781112[[#This Row],[MarketCap]]/Table13456781112[[#This Row],[Employees]]</f>
        <v>#VALUE!</v>
      </c>
      <c r="J147" s="199" t="e">
        <f>Table13456781112[[#This Row],[Value]] / SUM(Table13456781112[Value])</f>
        <v>#DIV/0!</v>
      </c>
    </row>
    <row r="148" spans="1:10">
      <c r="B148" s="4" t="e" cm="1" vm="66">
        <f t="array" ref="B148">_FV(A148,"Price")</f>
        <v>#VALUE!</v>
      </c>
      <c r="C148">
        <v>6</v>
      </c>
      <c r="D148" s="4">
        <f>IFERROR(Table13456781112[[#This Row],[Price]]*Table13456781112[[#This Row],[Number of shares]],0)</f>
        <v>0</v>
      </c>
      <c r="E148" s="239" t="e" cm="1" vm="67">
        <f t="array" ref="E148">_FV(Table13456781112[[#This Row],[Company]],"Employees")</f>
        <v>#VALUE!</v>
      </c>
      <c r="F148" s="240" t="e" cm="1" vm="68">
        <f t="array" ref="F148">_FV(Table13456781112[[#This Row],[Company]],"Market cap",TRUE)</f>
        <v>#VALUE!</v>
      </c>
      <c r="G148" s="241" t="e" cm="1" vm="4">
        <f t="array" ref="G148">_FV(Table13456781112[[#This Row],[Company]],"P/E",TRUE)</f>
        <v>#VALUE!</v>
      </c>
      <c r="H148" s="241" t="e" cm="1" vm="69">
        <f t="array" ref="H148">_FV(Table13456781112[[#This Row],[Company]],"Beta")</f>
        <v>#VALUE!</v>
      </c>
      <c r="I148" s="240" t="e" vm="70">
        <f>Table13456781112[[#This Row],[MarketCap]]/Table13456781112[[#This Row],[Employees]]</f>
        <v>#VALUE!</v>
      </c>
      <c r="J148" s="199" t="e">
        <f>Table13456781112[[#This Row],[Value]] / SUM(Table13456781112[Value])</f>
        <v>#DIV/0!</v>
      </c>
    </row>
    <row r="149" spans="1:10">
      <c r="B149" s="4" t="e" cm="1" vm="66">
        <f t="array" ref="B149">_FV(A149,"Price")</f>
        <v>#VALUE!</v>
      </c>
      <c r="C149">
        <v>40</v>
      </c>
      <c r="D149" s="4">
        <f>IFERROR(Table13456781112[[#This Row],[Price]]*Table13456781112[[#This Row],[Number of shares]],0)</f>
        <v>0</v>
      </c>
      <c r="E149" s="239" t="e" cm="1" vm="67">
        <f t="array" ref="E149">_FV(Table13456781112[[#This Row],[Company]],"Employees")</f>
        <v>#VALUE!</v>
      </c>
      <c r="F149" s="240" t="e" cm="1" vm="68">
        <f t="array" ref="F149">_FV(Table13456781112[[#This Row],[Company]],"Market cap",TRUE)</f>
        <v>#VALUE!</v>
      </c>
      <c r="G149" s="241" t="e" cm="1" vm="4">
        <f t="array" ref="G149">_FV(Table13456781112[[#This Row],[Company]],"P/E",TRUE)</f>
        <v>#VALUE!</v>
      </c>
      <c r="H149" s="241" t="e" cm="1" vm="69">
        <f t="array" ref="H149">_FV(Table13456781112[[#This Row],[Company]],"Beta")</f>
        <v>#VALUE!</v>
      </c>
      <c r="I149" s="240" t="e" vm="70">
        <f>Table13456781112[[#This Row],[MarketCap]]/Table13456781112[[#This Row],[Employees]]</f>
        <v>#VALUE!</v>
      </c>
      <c r="J149" s="199" t="e">
        <f>Table13456781112[[#This Row],[Value]] / SUM(Table13456781112[Value])</f>
        <v>#DIV/0!</v>
      </c>
    </row>
    <row r="150" spans="1:10">
      <c r="B150" s="4" t="e" cm="1" vm="66">
        <f t="array" ref="B150">_FV(A150,"Price")</f>
        <v>#VALUE!</v>
      </c>
      <c r="C150">
        <v>35</v>
      </c>
      <c r="D150" s="4">
        <f>IFERROR(Table13456781112[[#This Row],[Price]]*Table13456781112[[#This Row],[Number of shares]],0)</f>
        <v>0</v>
      </c>
      <c r="E150" s="239" t="e" cm="1" vm="67">
        <f t="array" ref="E150">_FV(Table13456781112[[#This Row],[Company]],"Employees")</f>
        <v>#VALUE!</v>
      </c>
      <c r="F150" s="240" t="e" cm="1" vm="68">
        <f t="array" ref="F150">_FV(Table13456781112[[#This Row],[Company]],"Market cap",TRUE)</f>
        <v>#VALUE!</v>
      </c>
      <c r="G150" s="241" t="e" cm="1" vm="4">
        <f t="array" ref="G150">_FV(Table13456781112[[#This Row],[Company]],"P/E",TRUE)</f>
        <v>#VALUE!</v>
      </c>
      <c r="H150" s="241" t="e" cm="1" vm="69">
        <f t="array" ref="H150">_FV(Table13456781112[[#This Row],[Company]],"Beta")</f>
        <v>#VALUE!</v>
      </c>
      <c r="I150" s="240" t="e" vm="70">
        <f>Table13456781112[[#This Row],[MarketCap]]/Table13456781112[[#This Row],[Employees]]</f>
        <v>#VALUE!</v>
      </c>
      <c r="J150" s="199" t="e">
        <f>Table13456781112[[#This Row],[Value]] / SUM(Table13456781112[Value])</f>
        <v>#DIV/0!</v>
      </c>
    </row>
    <row r="151" spans="1:10">
      <c r="B151" s="4" t="e" cm="1" vm="66">
        <f t="array" ref="B151">_FV(A151,"Price")</f>
        <v>#VALUE!</v>
      </c>
      <c r="C151">
        <v>6</v>
      </c>
      <c r="D151" s="4">
        <f>IFERROR(Table13456781112[[#This Row],[Price]]*Table13456781112[[#This Row],[Number of shares]],0)</f>
        <v>0</v>
      </c>
      <c r="E151" s="239" t="e" cm="1" vm="67">
        <f t="array" ref="E151">_FV(Table13456781112[[#This Row],[Company]],"Employees")</f>
        <v>#VALUE!</v>
      </c>
      <c r="F151" s="240" t="e" cm="1" vm="68">
        <f t="array" ref="F151">_FV(Table13456781112[[#This Row],[Company]],"Market cap",TRUE)</f>
        <v>#VALUE!</v>
      </c>
      <c r="G151" s="241" t="e" cm="1" vm="4">
        <f t="array" ref="G151">_FV(Table13456781112[[#This Row],[Company]],"P/E",TRUE)</f>
        <v>#VALUE!</v>
      </c>
      <c r="H151" s="241" t="e" cm="1" vm="69">
        <f t="array" ref="H151">_FV(Table13456781112[[#This Row],[Company]],"Beta")</f>
        <v>#VALUE!</v>
      </c>
      <c r="I151" s="240" t="e" vm="70">
        <f>Table13456781112[[#This Row],[MarketCap]]/Table13456781112[[#This Row],[Employees]]</f>
        <v>#VALUE!</v>
      </c>
      <c r="J151" s="199" t="e">
        <f>Table13456781112[[#This Row],[Value]] / SUM(Table13456781112[Value])</f>
        <v>#DIV/0!</v>
      </c>
    </row>
    <row r="155" spans="1:10" ht="24">
      <c r="A155" s="242" t="s">
        <v>408</v>
      </c>
      <c r="B155" s="243"/>
      <c r="C155" s="243"/>
      <c r="D155" s="243"/>
      <c r="E155" s="243"/>
      <c r="F155" s="243"/>
      <c r="G155" s="243"/>
      <c r="H155" s="243"/>
      <c r="I155" s="243"/>
      <c r="J155" s="243"/>
    </row>
    <row r="156" spans="1:10">
      <c r="A156" t="s">
        <v>525</v>
      </c>
      <c r="B156" s="9" t="s">
        <v>143</v>
      </c>
      <c r="C156" t="s">
        <v>526</v>
      </c>
      <c r="D156" t="s">
        <v>527</v>
      </c>
      <c r="E156" t="s">
        <v>528</v>
      </c>
      <c r="F156" t="s">
        <v>529</v>
      </c>
      <c r="G156" t="s">
        <v>530</v>
      </c>
      <c r="H156" t="s">
        <v>79</v>
      </c>
      <c r="I156" t="s">
        <v>533</v>
      </c>
      <c r="J156" t="s">
        <v>534</v>
      </c>
    </row>
    <row r="157" spans="1:10">
      <c r="B157" s="4" t="e" cm="1" vm="66">
        <f t="array" ref="B157">_FV(A157,"Price")</f>
        <v>#VALUE!</v>
      </c>
      <c r="C157">
        <v>5</v>
      </c>
      <c r="D157" s="4">
        <f>IFERROR(Table13456781113[[#This Row],[Price]]*Table13456781113[[#This Row],[Number of shares]],0)</f>
        <v>0</v>
      </c>
      <c r="E157" s="239" t="e" cm="1" vm="67">
        <f t="array" ref="E157">_FV(Table13456781113[[#This Row],[Company]],"Employees")</f>
        <v>#VALUE!</v>
      </c>
      <c r="F157" s="240" t="e" cm="1" vm="68">
        <f t="array" ref="F157">_FV(Table13456781113[[#This Row],[Company]],"Market cap",TRUE)</f>
        <v>#VALUE!</v>
      </c>
      <c r="G157" s="241" t="e" cm="1" vm="4">
        <f t="array" ref="G157">_FV(Table13456781113[[#This Row],[Company]],"P/E",TRUE)</f>
        <v>#VALUE!</v>
      </c>
      <c r="H157" s="241" t="e" cm="1" vm="69">
        <f t="array" ref="H157">_FV(Table13456781113[[#This Row],[Company]],"Beta")</f>
        <v>#VALUE!</v>
      </c>
      <c r="I157" s="240" t="e" vm="70">
        <f>Table13456781113[[#This Row],[MarketCap]]/Table13456781113[[#This Row],[Employees]]</f>
        <v>#VALUE!</v>
      </c>
      <c r="J157" s="199" t="e">
        <f>Table13456781113[[#This Row],[Value]] / SUM(Table13456781113[Value])</f>
        <v>#DIV/0!</v>
      </c>
    </row>
    <row r="158" spans="1:10">
      <c r="B158" s="4" t="e" cm="1" vm="66">
        <f t="array" ref="B158">_FV(A158,"Price")</f>
        <v>#VALUE!</v>
      </c>
      <c r="C158">
        <v>11</v>
      </c>
      <c r="D158" s="4">
        <f>IFERROR(Table13456781113[[#This Row],[Price]]*Table13456781113[[#This Row],[Number of shares]],0)</f>
        <v>0</v>
      </c>
      <c r="E158" s="239" t="e" cm="1" vm="67">
        <f t="array" ref="E158">_FV(Table13456781113[[#This Row],[Company]],"Employees")</f>
        <v>#VALUE!</v>
      </c>
      <c r="F158" s="240" t="e" cm="1" vm="68">
        <f t="array" ref="F158">_FV(Table13456781113[[#This Row],[Company]],"Market cap",TRUE)</f>
        <v>#VALUE!</v>
      </c>
      <c r="G158" s="241" t="e" cm="1" vm="4">
        <f t="array" ref="G158">_FV(Table13456781113[[#This Row],[Company]],"P/E",TRUE)</f>
        <v>#VALUE!</v>
      </c>
      <c r="H158" s="241" t="e" cm="1" vm="69">
        <f t="array" ref="H158">_FV(Table13456781113[[#This Row],[Company]],"Beta")</f>
        <v>#VALUE!</v>
      </c>
      <c r="I158" s="240" t="e" vm="70">
        <f>Table13456781113[[#This Row],[MarketCap]]/Table13456781113[[#This Row],[Employees]]</f>
        <v>#VALUE!</v>
      </c>
      <c r="J158" s="199" t="e">
        <f>Table13456781113[[#This Row],[Value]] / SUM(Table13456781113[Value])</f>
        <v>#DIV/0!</v>
      </c>
    </row>
    <row r="159" spans="1:10">
      <c r="B159" s="4" t="e" cm="1" vm="66">
        <f t="array" ref="B159">_FV(A159,"Price")</f>
        <v>#VALUE!</v>
      </c>
      <c r="C159">
        <v>17</v>
      </c>
      <c r="D159" s="4">
        <f>IFERROR(Table13456781113[[#This Row],[Price]]*Table13456781113[[#This Row],[Number of shares]],0)</f>
        <v>0</v>
      </c>
      <c r="E159" s="239" t="e" cm="1" vm="67">
        <f t="array" ref="E159">_FV(Table13456781113[[#This Row],[Company]],"Employees")</f>
        <v>#VALUE!</v>
      </c>
      <c r="F159" s="240" t="e" cm="1" vm="68">
        <f t="array" ref="F159">_FV(Table13456781113[[#This Row],[Company]],"Market cap",TRUE)</f>
        <v>#VALUE!</v>
      </c>
      <c r="G159" s="241" t="e" cm="1" vm="4">
        <f t="array" ref="G159">_FV(Table13456781113[[#This Row],[Company]],"P/E",TRUE)</f>
        <v>#VALUE!</v>
      </c>
      <c r="H159" s="241" t="e" cm="1" vm="69">
        <f t="array" ref="H159">_FV(Table13456781113[[#This Row],[Company]],"Beta")</f>
        <v>#VALUE!</v>
      </c>
      <c r="I159" s="240" t="e" vm="70">
        <f>Table13456781113[[#This Row],[MarketCap]]/Table13456781113[[#This Row],[Employees]]</f>
        <v>#VALUE!</v>
      </c>
      <c r="J159" s="199" t="e">
        <f>Table13456781113[[#This Row],[Value]] / SUM(Table13456781113[Value])</f>
        <v>#DIV/0!</v>
      </c>
    </row>
    <row r="160" spans="1:10">
      <c r="B160" s="4" t="e" cm="1" vm="66">
        <f t="array" ref="B160">_FV(A160,"Price")</f>
        <v>#VALUE!</v>
      </c>
      <c r="C160">
        <v>149</v>
      </c>
      <c r="D160" s="4">
        <f>IFERROR(Table13456781113[[#This Row],[Price]]*Table13456781113[[#This Row],[Number of shares]],0)</f>
        <v>0</v>
      </c>
      <c r="E160" s="239" t="e" cm="1" vm="67">
        <f t="array" ref="E160">_FV(Table13456781113[[#This Row],[Company]],"Employees")</f>
        <v>#VALUE!</v>
      </c>
      <c r="F160" s="240" t="e" cm="1" vm="68">
        <f t="array" ref="F160">_FV(Table13456781113[[#This Row],[Company]],"Market cap",TRUE)</f>
        <v>#VALUE!</v>
      </c>
      <c r="G160" s="241" t="e" cm="1" vm="4">
        <f t="array" ref="G160">_FV(Table13456781113[[#This Row],[Company]],"P/E",TRUE)</f>
        <v>#VALUE!</v>
      </c>
      <c r="H160" s="241" t="e" cm="1" vm="69">
        <f t="array" ref="H160">_FV(Table13456781113[[#This Row],[Company]],"Beta")</f>
        <v>#VALUE!</v>
      </c>
      <c r="I160" s="240" t="e" vm="70">
        <f>Table13456781113[[#This Row],[MarketCap]]/Table13456781113[[#This Row],[Employees]]</f>
        <v>#VALUE!</v>
      </c>
      <c r="J160" s="199" t="e">
        <f>Table13456781113[[#This Row],[Value]] / SUM(Table13456781113[Value])</f>
        <v>#DIV/0!</v>
      </c>
    </row>
    <row r="161" spans="1:10">
      <c r="B161" s="4" t="e" cm="1" vm="66">
        <f t="array" ref="B161">_FV(A161,"Price")</f>
        <v>#VALUE!</v>
      </c>
      <c r="C161">
        <v>220</v>
      </c>
      <c r="D161" s="4">
        <f>IFERROR(Table13456781113[[#This Row],[Price]]*Table13456781113[[#This Row],[Number of shares]],0)</f>
        <v>0</v>
      </c>
      <c r="E161" s="239" t="e" cm="1" vm="67">
        <f t="array" ref="E161">_FV(Table13456781113[[#This Row],[Company]],"Employees")</f>
        <v>#VALUE!</v>
      </c>
      <c r="F161" s="240" t="e" cm="1" vm="68">
        <f t="array" ref="F161">_FV(Table13456781113[[#This Row],[Company]],"Market cap",TRUE)</f>
        <v>#VALUE!</v>
      </c>
      <c r="G161" s="241" t="e" cm="1" vm="4">
        <f t="array" ref="G161">_FV(Table13456781113[[#This Row],[Company]],"P/E",TRUE)</f>
        <v>#VALUE!</v>
      </c>
      <c r="H161" s="241" t="e" cm="1" vm="69">
        <f t="array" ref="H161">_FV(Table13456781113[[#This Row],[Company]],"Beta")</f>
        <v>#VALUE!</v>
      </c>
      <c r="I161" s="240" t="e" vm="70">
        <f>Table13456781113[[#This Row],[MarketCap]]/Table13456781113[[#This Row],[Employees]]</f>
        <v>#VALUE!</v>
      </c>
      <c r="J161" s="199" t="e">
        <f>Table13456781113[[#This Row],[Value]] / SUM(Table13456781113[Value])</f>
        <v>#DIV/0!</v>
      </c>
    </row>
    <row r="162" spans="1:10">
      <c r="B162" s="4" t="e" cm="1" vm="66">
        <f t="array" ref="B162">_FV(A162,"Price")</f>
        <v>#VALUE!</v>
      </c>
      <c r="C162">
        <v>6</v>
      </c>
      <c r="D162" s="4">
        <f>IFERROR(Table13456781113[[#This Row],[Price]]*Table13456781113[[#This Row],[Number of shares]],0)</f>
        <v>0</v>
      </c>
      <c r="E162" s="239" t="e" cm="1" vm="67">
        <f t="array" ref="E162">_FV(Table13456781113[[#This Row],[Company]],"Employees")</f>
        <v>#VALUE!</v>
      </c>
      <c r="F162" s="240" t="e" cm="1" vm="68">
        <f t="array" ref="F162">_FV(Table13456781113[[#This Row],[Company]],"Market cap",TRUE)</f>
        <v>#VALUE!</v>
      </c>
      <c r="G162" s="241" t="e" cm="1" vm="4">
        <f t="array" ref="G162">_FV(Table13456781113[[#This Row],[Company]],"P/E",TRUE)</f>
        <v>#VALUE!</v>
      </c>
      <c r="H162" s="241" t="e" cm="1" vm="69">
        <f t="array" ref="H162">_FV(Table13456781113[[#This Row],[Company]],"Beta")</f>
        <v>#VALUE!</v>
      </c>
      <c r="I162" s="240" t="e" vm="70">
        <f>Table13456781113[[#This Row],[MarketCap]]/Table13456781113[[#This Row],[Employees]]</f>
        <v>#VALUE!</v>
      </c>
      <c r="J162" s="199" t="e">
        <f>Table13456781113[[#This Row],[Value]] / SUM(Table13456781113[Value])</f>
        <v>#DIV/0!</v>
      </c>
    </row>
    <row r="163" spans="1:10">
      <c r="B163" s="4" t="e" cm="1" vm="66">
        <f t="array" ref="B163">_FV(A163,"Price")</f>
        <v>#VALUE!</v>
      </c>
      <c r="C163">
        <v>40</v>
      </c>
      <c r="D163" s="4">
        <f>IFERROR(Table13456781113[[#This Row],[Price]]*Table13456781113[[#This Row],[Number of shares]],0)</f>
        <v>0</v>
      </c>
      <c r="E163" s="239" t="e" cm="1" vm="67">
        <f t="array" ref="E163">_FV(Table13456781113[[#This Row],[Company]],"Employees")</f>
        <v>#VALUE!</v>
      </c>
      <c r="F163" s="240" t="e" cm="1" vm="68">
        <f t="array" ref="F163">_FV(Table13456781113[[#This Row],[Company]],"Market cap",TRUE)</f>
        <v>#VALUE!</v>
      </c>
      <c r="G163" s="241" t="e" cm="1" vm="4">
        <f t="array" ref="G163">_FV(Table13456781113[[#This Row],[Company]],"P/E",TRUE)</f>
        <v>#VALUE!</v>
      </c>
      <c r="H163" s="241" t="e" cm="1" vm="69">
        <f t="array" ref="H163">_FV(Table13456781113[[#This Row],[Company]],"Beta")</f>
        <v>#VALUE!</v>
      </c>
      <c r="I163" s="240" t="e" vm="70">
        <f>Table13456781113[[#This Row],[MarketCap]]/Table13456781113[[#This Row],[Employees]]</f>
        <v>#VALUE!</v>
      </c>
      <c r="J163" s="199" t="e">
        <f>Table13456781113[[#This Row],[Value]] / SUM(Table13456781113[Value])</f>
        <v>#DIV/0!</v>
      </c>
    </row>
    <row r="164" spans="1:10">
      <c r="B164" s="4" t="e" cm="1" vm="66">
        <f t="array" ref="B164">_FV(A164,"Price")</f>
        <v>#VALUE!</v>
      </c>
      <c r="C164">
        <v>35</v>
      </c>
      <c r="D164" s="4">
        <f>IFERROR(Table13456781113[[#This Row],[Price]]*Table13456781113[[#This Row],[Number of shares]],0)</f>
        <v>0</v>
      </c>
      <c r="E164" s="239" t="e" cm="1" vm="67">
        <f t="array" ref="E164">_FV(Table13456781113[[#This Row],[Company]],"Employees")</f>
        <v>#VALUE!</v>
      </c>
      <c r="F164" s="240" t="e" cm="1" vm="68">
        <f t="array" ref="F164">_FV(Table13456781113[[#This Row],[Company]],"Market cap",TRUE)</f>
        <v>#VALUE!</v>
      </c>
      <c r="G164" s="241" t="e" cm="1" vm="4">
        <f t="array" ref="G164">_FV(Table13456781113[[#This Row],[Company]],"P/E",TRUE)</f>
        <v>#VALUE!</v>
      </c>
      <c r="H164" s="241" t="e" cm="1" vm="69">
        <f t="array" ref="H164">_FV(Table13456781113[[#This Row],[Company]],"Beta")</f>
        <v>#VALUE!</v>
      </c>
      <c r="I164" s="240" t="e" vm="70">
        <f>Table13456781113[[#This Row],[MarketCap]]/Table13456781113[[#This Row],[Employees]]</f>
        <v>#VALUE!</v>
      </c>
      <c r="J164" s="199" t="e">
        <f>Table13456781113[[#This Row],[Value]] / SUM(Table13456781113[Value])</f>
        <v>#DIV/0!</v>
      </c>
    </row>
    <row r="165" spans="1:10">
      <c r="B165" s="4" t="e" cm="1" vm="66">
        <f t="array" ref="B165">_FV(A165,"Price")</f>
        <v>#VALUE!</v>
      </c>
      <c r="C165">
        <v>6</v>
      </c>
      <c r="D165" s="4">
        <f>IFERROR(Table13456781113[[#This Row],[Price]]*Table13456781113[[#This Row],[Number of shares]],0)</f>
        <v>0</v>
      </c>
      <c r="E165" s="239" t="e" cm="1" vm="67">
        <f t="array" ref="E165">_FV(Table13456781113[[#This Row],[Company]],"Employees")</f>
        <v>#VALUE!</v>
      </c>
      <c r="F165" s="240" t="e" cm="1" vm="68">
        <f t="array" ref="F165">_FV(Table13456781113[[#This Row],[Company]],"Market cap",TRUE)</f>
        <v>#VALUE!</v>
      </c>
      <c r="G165" s="241" t="e" cm="1" vm="4">
        <f t="array" ref="G165">_FV(Table13456781113[[#This Row],[Company]],"P/E",TRUE)</f>
        <v>#VALUE!</v>
      </c>
      <c r="H165" s="241" t="e" cm="1" vm="69">
        <f t="array" ref="H165">_FV(Table13456781113[[#This Row],[Company]],"Beta")</f>
        <v>#VALUE!</v>
      </c>
      <c r="I165" s="240" t="e" vm="70">
        <f>Table13456781113[[#This Row],[MarketCap]]/Table13456781113[[#This Row],[Employees]]</f>
        <v>#VALUE!</v>
      </c>
      <c r="J165" s="199" t="e">
        <f>Table13456781113[[#This Row],[Value]] / SUM(Table13456781113[Value])</f>
        <v>#DIV/0!</v>
      </c>
    </row>
    <row r="169" spans="1:10" ht="24">
      <c r="A169" s="242" t="s">
        <v>539</v>
      </c>
      <c r="B169" s="243"/>
      <c r="C169" s="243"/>
      <c r="D169" s="243"/>
      <c r="E169" s="243"/>
      <c r="F169" s="243"/>
      <c r="G169" s="243"/>
      <c r="H169" s="243"/>
      <c r="I169" s="243"/>
      <c r="J169" s="243"/>
    </row>
    <row r="170" spans="1:10">
      <c r="A170" t="s">
        <v>525</v>
      </c>
      <c r="B170" s="9" t="s">
        <v>143</v>
      </c>
      <c r="C170" t="s">
        <v>526</v>
      </c>
      <c r="D170" t="s">
        <v>527</v>
      </c>
      <c r="E170" t="s">
        <v>528</v>
      </c>
      <c r="F170" t="s">
        <v>529</v>
      </c>
      <c r="G170" t="s">
        <v>530</v>
      </c>
      <c r="H170" t="s">
        <v>79</v>
      </c>
      <c r="I170" t="s">
        <v>533</v>
      </c>
      <c r="J170" t="s">
        <v>534</v>
      </c>
    </row>
    <row r="171" spans="1:10">
      <c r="A171" t="e" vm="80">
        <v>#VALUE!</v>
      </c>
      <c r="B171" s="4" cm="1">
        <f t="array" aca="1" ref="B171" ca="1">_FV(A171,"Price")</f>
        <v>45.11</v>
      </c>
      <c r="C171">
        <v>5</v>
      </c>
      <c r="D171" s="4">
        <f ca="1">IFERROR(Table13456781114[[#This Row],[Price]]*Table13456781114[[#This Row],[Number of shares]],0)</f>
        <v>225.55</v>
      </c>
      <c r="E171" s="239" cm="1">
        <f t="array" aca="1" ref="E171" ca="1">_FV(Table13456781114[[#This Row],[Company]],"Employees")</f>
        <v>23800</v>
      </c>
      <c r="F171" s="240" cm="1">
        <f t="array" aca="1" ref="F171" ca="1">_FV(Table13456781114[[#This Row],[Company]],"Market cap",TRUE)</f>
        <v>41531180106</v>
      </c>
      <c r="G171" s="241" cm="1">
        <f t="array" aca="1" ref="G171" ca="1">_FV(Table13456781114[[#This Row],[Company]],"P/E",TRUE)</f>
        <v>8.3216000000000001</v>
      </c>
      <c r="H171" s="241" cm="1">
        <f t="array" aca="1" ref="H171" ca="1">_FV(Table13456781114[[#This Row],[Company]],"Beta")</f>
        <v>1.4282999999999999</v>
      </c>
      <c r="I171" s="240">
        <f ca="1">Table13456781114[[#This Row],[MarketCap]]/Table13456781114[[#This Row],[Employees]]</f>
        <v>1745007.5674789916</v>
      </c>
      <c r="J171" s="199">
        <f ca="1">Table13456781114[[#This Row],[Value]] / SUM(Table13456781114[Value])</f>
        <v>4.9029560122872545E-3</v>
      </c>
    </row>
    <row r="172" spans="1:10">
      <c r="A172" t="e" vm="81">
        <v>#VALUE!</v>
      </c>
      <c r="B172" s="4" cm="1">
        <f t="array" aca="1" ref="B172" ca="1">_FV(A172,"Price")</f>
        <v>13.14</v>
      </c>
      <c r="C172">
        <v>11</v>
      </c>
      <c r="D172" s="4">
        <f ca="1">IFERROR(Table13456781114[[#This Row],[Price]]*Table13456781114[[#This Row],[Number of shares]],0)</f>
        <v>144.54000000000002</v>
      </c>
      <c r="E172" s="239" cm="1">
        <f t="array" aca="1" ref="E172" ca="1">_FV(Table13456781114[[#This Row],[Company]],"Employees")</f>
        <v>1274</v>
      </c>
      <c r="F172" s="240" cm="1">
        <f t="array" aca="1" ref="F172" ca="1">_FV(Table13456781114[[#This Row],[Company]],"Market cap",TRUE)</f>
        <v>3875405166</v>
      </c>
      <c r="G172" s="241" cm="1">
        <f t="array" aca="1" ref="G172" ca="1">_FV(Table13456781114[[#This Row],[Company]],"P/E",TRUE)</f>
        <v>23.154199999999999</v>
      </c>
      <c r="H172" s="241" cm="1">
        <f t="array" aca="1" ref="H172" ca="1">_FV(Table13456781114[[#This Row],[Company]],"Beta")</f>
        <v>1.0723</v>
      </c>
      <c r="I172" s="240">
        <f ca="1">Table13456781114[[#This Row],[MarketCap]]/Table13456781114[[#This Row],[Employees]]</f>
        <v>3041919.2825745684</v>
      </c>
      <c r="J172" s="199">
        <f ca="1">Table13456781114[[#This Row],[Value]] / SUM(Table13456781114[Value])</f>
        <v>3.1419785502815331E-3</v>
      </c>
    </row>
    <row r="173" spans="1:10">
      <c r="A173" t="e" vm="82">
        <v>#VALUE!</v>
      </c>
      <c r="B173" s="4" cm="1">
        <f t="array" aca="1" ref="B173" ca="1">_FV(A173,"Price")</f>
        <v>61.17</v>
      </c>
      <c r="C173">
        <v>17</v>
      </c>
      <c r="D173" s="4">
        <f ca="1">IFERROR(Table13456781114[[#This Row],[Price]]*Table13456781114[[#This Row],[Number of shares]],0)</f>
        <v>1039.8900000000001</v>
      </c>
      <c r="E173" s="239" cm="1">
        <f t="array" aca="1" ref="E173" ca="1">_FV(Table13456781114[[#This Row],[Company]],"Employees")</f>
        <v>10205</v>
      </c>
      <c r="F173" s="240" cm="1">
        <f t="array" aca="1" ref="F173" ca="1">_FV(Table13456781114[[#This Row],[Company]],"Market cap",TRUE)</f>
        <v>36646702320</v>
      </c>
      <c r="G173" s="241" cm="1">
        <f t="array" aca="1" ref="G173" ca="1">_FV(Table13456781114[[#This Row],[Company]],"P/E",TRUE)</f>
        <v>28.965800000000002</v>
      </c>
      <c r="H173" s="241" cm="1">
        <f t="array" aca="1" ref="H173" ca="1">_FV(Table13456781114[[#This Row],[Company]],"Beta")</f>
        <v>2.6244000000000001</v>
      </c>
      <c r="I173" s="240">
        <f ca="1">Table13456781114[[#This Row],[MarketCap]]/Table13456781114[[#This Row],[Employees]]</f>
        <v>3591053.632533072</v>
      </c>
      <c r="J173" s="199">
        <f ca="1">Table13456781114[[#This Row],[Value]] / SUM(Table13456781114[Value])</f>
        <v>2.260489881453067E-2</v>
      </c>
    </row>
    <row r="174" spans="1:10">
      <c r="A174" t="e" vm="83">
        <v>#VALUE!</v>
      </c>
      <c r="B174" s="4" cm="1">
        <f t="array" aca="1" ref="B174" ca="1">_FV(A174,"Price")</f>
        <v>17.329999999999998</v>
      </c>
      <c r="C174">
        <v>149</v>
      </c>
      <c r="D174" s="4">
        <f ca="1">IFERROR(Table13456781114[[#This Row],[Price]]*Table13456781114[[#This Row],[Number of shares]],0)</f>
        <v>2582.1699999999996</v>
      </c>
      <c r="E174" s="239" cm="1">
        <f t="array" aca="1" ref="E174" ca="1">_FV(Table13456781114[[#This Row],[Company]],"Employees")</f>
        <v>782</v>
      </c>
      <c r="F174" s="240" cm="1">
        <f t="array" aca="1" ref="F174" ca="1">_FV(Table13456781114[[#This Row],[Company]],"Market cap",TRUE)</f>
        <v>148205120</v>
      </c>
      <c r="G174" s="241" t="e" cm="1" vm="4">
        <f t="array" ref="G174">_FV(Table13456781114[[#This Row],[Company]],"P/E",TRUE)</f>
        <v>#VALUE!</v>
      </c>
      <c r="H174" s="241" cm="1">
        <f t="array" aca="1" ref="H174" ca="1">_FV(Table13456781114[[#This Row],[Company]],"Beta")</f>
        <v>1.6938</v>
      </c>
      <c r="I174" s="240">
        <f ca="1">Table13456781114[[#This Row],[MarketCap]]/Table13456781114[[#This Row],[Employees]]</f>
        <v>189520.61381074169</v>
      </c>
      <c r="J174" s="199">
        <f ca="1">Table13456781114[[#This Row],[Value]] / SUM(Table13456781114[Value])</f>
        <v>5.6130640329185445E-2</v>
      </c>
    </row>
    <row r="175" spans="1:10">
      <c r="A175" t="e" vm="84">
        <v>#VALUE!</v>
      </c>
      <c r="B175" s="4" cm="1">
        <f t="array" aca="1" ref="B175" ca="1">_FV(A175,"Price")</f>
        <v>188</v>
      </c>
      <c r="C175">
        <v>220</v>
      </c>
      <c r="D175" s="4">
        <f ca="1">IFERROR(Table13456781114[[#This Row],[Price]]*Table13456781114[[#This Row],[Number of shares]],0)</f>
        <v>41360</v>
      </c>
      <c r="E175" s="239" cm="1">
        <f t="array" aca="1" ref="E175" ca="1">_FV(Table13456781114[[#This Row],[Company]],"Employees")</f>
        <v>4951</v>
      </c>
      <c r="F175" s="240" cm="1">
        <f t="array" aca="1" ref="F175" ca="1">_FV(Table13456781114[[#This Row],[Company]],"Market cap",TRUE)</f>
        <v>49646137600</v>
      </c>
      <c r="G175" s="241" cm="1">
        <f t="array" aca="1" ref="G175" ca="1">_FV(Table13456781114[[#This Row],[Company]],"P/E",TRUE)</f>
        <v>43.099499999999999</v>
      </c>
      <c r="H175" s="241" cm="1">
        <f t="array" aca="1" ref="H175" ca="1">_FV(Table13456781114[[#This Row],[Company]],"Beta")</f>
        <v>3.6015999999999999</v>
      </c>
      <c r="I175" s="240">
        <f ca="1">Table13456781114[[#This Row],[MarketCap]]/Table13456781114[[#This Row],[Employees]]</f>
        <v>10027496.990506968</v>
      </c>
      <c r="J175" s="199">
        <f ca="1">Table13456781114[[#This Row],[Value]] / SUM(Table13456781114[Value])</f>
        <v>0.89907453189182363</v>
      </c>
    </row>
    <row r="176" spans="1:10">
      <c r="A176" t="e" vm="85">
        <v>#VALUE!</v>
      </c>
      <c r="B176" s="4" cm="1">
        <f t="array" aca="1" ref="B176" ca="1">_FV(A176,"Price")</f>
        <v>73.7517</v>
      </c>
      <c r="C176">
        <v>6</v>
      </c>
      <c r="D176" s="4">
        <f ca="1">IFERROR(Table13456781114[[#This Row],[Price]]*Table13456781114[[#This Row],[Number of shares]],0)</f>
        <v>442.5102</v>
      </c>
      <c r="E176" s="239" cm="1">
        <f t="array" aca="1" ref="E176" ca="1">_FV(Table13456781114[[#This Row],[Company]],"Employees")</f>
        <v>2900</v>
      </c>
      <c r="F176" s="240" cm="1">
        <f t="array" aca="1" ref="F176" ca="1">_FV(Table13456781114[[#This Row],[Company]],"Market cap",TRUE)</f>
        <v>66399275024</v>
      </c>
      <c r="G176" s="241" cm="1">
        <f t="array" aca="1" ref="G176" ca="1">_FV(Table13456781114[[#This Row],[Company]],"P/E",TRUE)</f>
        <v>41.257399999999997</v>
      </c>
      <c r="H176" s="241" cm="1">
        <f t="array" aca="1" ref="H176" ca="1">_FV(Table13456781114[[#This Row],[Company]],"Beta")</f>
        <v>2.4706000000000001</v>
      </c>
      <c r="I176" s="240">
        <f ca="1">Table13456781114[[#This Row],[MarketCap]]/Table13456781114[[#This Row],[Employees]]</f>
        <v>22896301.732413795</v>
      </c>
      <c r="J176" s="199">
        <f ca="1">Table13456781114[[#This Row],[Value]] / SUM(Table13456781114[Value])</f>
        <v>9.6191888520879409E-3</v>
      </c>
    </row>
    <row r="177" spans="1:10">
      <c r="A177" t="e" vm="86">
        <v>#VALUE!</v>
      </c>
      <c r="B177" s="4" cm="1">
        <f t="array" aca="1" ref="B177" ca="1">_FV(A177,"Price")</f>
        <v>5.2050000000000001</v>
      </c>
      <c r="C177">
        <v>40</v>
      </c>
      <c r="D177" s="4">
        <f ca="1">IFERROR(Table13456781114[[#This Row],[Price]]*Table13456781114[[#This Row],[Number of shares]],0)</f>
        <v>208.2</v>
      </c>
      <c r="E177" s="239" cm="1">
        <f t="array" aca="1" ref="E177" ca="1">_FV(Table13456781114[[#This Row],[Company]],"Employees")</f>
        <v>1194</v>
      </c>
      <c r="F177" s="240" cm="1">
        <f t="array" aca="1" ref="F177" ca="1">_FV(Table13456781114[[#This Row],[Company]],"Market cap",TRUE)</f>
        <v>2724558811</v>
      </c>
      <c r="G177" s="241" cm="1">
        <f t="array" aca="1" ref="G177" ca="1">_FV(Table13456781114[[#This Row],[Company]],"P/E",TRUE)</f>
        <v>0</v>
      </c>
      <c r="H177" s="241" cm="1">
        <f t="array" aca="1" ref="H177" ca="1">_FV(Table13456781114[[#This Row],[Company]],"Beta")</f>
        <v>5.2200000000000003E-2</v>
      </c>
      <c r="I177" s="240">
        <f ca="1">Table13456781114[[#This Row],[MarketCap]]/Table13456781114[[#This Row],[Employees]]</f>
        <v>2281875.0510887774</v>
      </c>
      <c r="J177" s="199">
        <f ca="1">Table13456781114[[#This Row],[Value]] / SUM(Table13456781114[Value])</f>
        <v>4.5258055498036184E-3</v>
      </c>
    </row>
    <row r="178" spans="1:10">
      <c r="B178" s="4" t="e" cm="1" vm="66">
        <f t="array" ref="B178">_FV(A178,"Price")</f>
        <v>#VALUE!</v>
      </c>
      <c r="C178">
        <v>35</v>
      </c>
      <c r="D178" s="4">
        <f>IFERROR(Table13456781114[[#This Row],[Price]]*Table13456781114[[#This Row],[Number of shares]],0)</f>
        <v>0</v>
      </c>
      <c r="E178" s="239" t="e" cm="1" vm="67">
        <f t="array" ref="E178">_FV(Table13456781114[[#This Row],[Company]],"Employees")</f>
        <v>#VALUE!</v>
      </c>
      <c r="F178" s="240" t="e" cm="1" vm="68">
        <f t="array" ref="F178">_FV(Table13456781114[[#This Row],[Company]],"Market cap",TRUE)</f>
        <v>#VALUE!</v>
      </c>
      <c r="G178" s="241" t="e" cm="1" vm="4">
        <f t="array" ref="G178">_FV(Table13456781114[[#This Row],[Company]],"P/E",TRUE)</f>
        <v>#VALUE!</v>
      </c>
      <c r="H178" s="241" t="e" cm="1" vm="69">
        <f t="array" ref="H178">_FV(Table13456781114[[#This Row],[Company]],"Beta")</f>
        <v>#VALUE!</v>
      </c>
      <c r="I178" s="240" t="e" vm="70">
        <f>Table13456781114[[#This Row],[MarketCap]]/Table13456781114[[#This Row],[Employees]]</f>
        <v>#VALUE!</v>
      </c>
      <c r="J178" s="199">
        <f ca="1">Table13456781114[[#This Row],[Value]] / SUM(Table13456781114[Value])</f>
        <v>0</v>
      </c>
    </row>
    <row r="179" spans="1:10">
      <c r="B179" s="4" t="e" cm="1" vm="66">
        <f t="array" ref="B179">_FV(A179,"Price")</f>
        <v>#VALUE!</v>
      </c>
      <c r="C179">
        <v>6</v>
      </c>
      <c r="D179" s="4">
        <f>IFERROR(Table13456781114[[#This Row],[Price]]*Table13456781114[[#This Row],[Number of shares]],0)</f>
        <v>0</v>
      </c>
      <c r="E179" s="239" t="e" cm="1" vm="67">
        <f t="array" ref="E179">_FV(Table13456781114[[#This Row],[Company]],"Employees")</f>
        <v>#VALUE!</v>
      </c>
      <c r="F179" s="240" t="e" cm="1" vm="68">
        <f t="array" ref="F179">_FV(Table13456781114[[#This Row],[Company]],"Market cap",TRUE)</f>
        <v>#VALUE!</v>
      </c>
      <c r="G179" s="241" t="e" cm="1" vm="4">
        <f t="array" ref="G179">_FV(Table13456781114[[#This Row],[Company]],"P/E",TRUE)</f>
        <v>#VALUE!</v>
      </c>
      <c r="H179" s="241" t="e" cm="1" vm="69">
        <f t="array" ref="H179">_FV(Table13456781114[[#This Row],[Company]],"Beta")</f>
        <v>#VALUE!</v>
      </c>
      <c r="I179" s="240" t="e" vm="70">
        <f>Table13456781114[[#This Row],[MarketCap]]/Table13456781114[[#This Row],[Employees]]</f>
        <v>#VALUE!</v>
      </c>
      <c r="J179" s="199">
        <f ca="1">Table13456781114[[#This Row],[Value]] / SUM(Table13456781114[Value])</f>
        <v>0</v>
      </c>
    </row>
    <row r="183" spans="1:10" ht="24">
      <c r="A183" s="242" t="s">
        <v>495</v>
      </c>
      <c r="B183" s="243"/>
      <c r="C183" s="243"/>
      <c r="D183" s="243"/>
      <c r="E183" s="243"/>
      <c r="F183" s="243"/>
      <c r="G183" s="243"/>
      <c r="H183" s="243"/>
      <c r="I183" s="243"/>
      <c r="J183" s="243"/>
    </row>
    <row r="184" spans="1:10">
      <c r="A184" t="s">
        <v>525</v>
      </c>
      <c r="B184" s="9" t="s">
        <v>143</v>
      </c>
      <c r="C184" t="s">
        <v>526</v>
      </c>
      <c r="D184" t="s">
        <v>527</v>
      </c>
      <c r="E184" t="s">
        <v>528</v>
      </c>
      <c r="F184" t="s">
        <v>529</v>
      </c>
      <c r="G184" t="s">
        <v>530</v>
      </c>
      <c r="H184" t="s">
        <v>79</v>
      </c>
      <c r="I184" t="s">
        <v>533</v>
      </c>
      <c r="J184" t="s">
        <v>534</v>
      </c>
    </row>
    <row r="185" spans="1:10">
      <c r="A185" t="e" vm="88">
        <v>#VALUE!</v>
      </c>
      <c r="B185" s="4" cm="1">
        <f t="array" aca="1" ref="B185" ca="1">_FV(A185,"Price")</f>
        <v>14.8499</v>
      </c>
      <c r="C185">
        <v>5</v>
      </c>
      <c r="D185" s="4">
        <f ca="1">IFERROR(Table13456781115[[#This Row],[Price]]*Table13456781115[[#This Row],[Number of shares]],0)</f>
        <v>74.249499999999998</v>
      </c>
      <c r="E185" s="239" cm="1">
        <f t="array" aca="1" ref="E185" ca="1">_FV(Table13456781115[[#This Row],[Company]],"Employees")</f>
        <v>372</v>
      </c>
      <c r="F185" s="240" cm="1">
        <f t="array" aca="1" ref="F185" ca="1">_FV(Table13456781115[[#This Row],[Company]],"Market cap",TRUE)</f>
        <v>519915491</v>
      </c>
      <c r="G185" s="241" cm="1">
        <f t="array" aca="1" ref="G185" ca="1">_FV(Table13456781115[[#This Row],[Company]],"P/E",TRUE)</f>
        <v>32.860999999999997</v>
      </c>
      <c r="H185" s="241" cm="1">
        <f t="array" aca="1" ref="H185" ca="1">_FV(Table13456781115[[#This Row],[Company]],"Beta")</f>
        <v>2.2465000000000002</v>
      </c>
      <c r="I185" s="240">
        <f ca="1">Table13456781115[[#This Row],[MarketCap]]/Table13456781115[[#This Row],[Employees]]</f>
        <v>1397622.2876344086</v>
      </c>
      <c r="J185" s="199">
        <f ca="1">Table13456781115[[#This Row],[Value]] / SUM(Table13456781115[Value])</f>
        <v>5.6887510782745931E-3</v>
      </c>
    </row>
    <row r="186" spans="1:10">
      <c r="A186" t="e" vm="89">
        <v>#VALUE!</v>
      </c>
      <c r="B186" s="4" cm="1">
        <f t="array" aca="1" ref="B186" ca="1">_FV(A186,"Price")</f>
        <v>28.614999999999998</v>
      </c>
      <c r="C186">
        <v>11</v>
      </c>
      <c r="D186" s="4">
        <f ca="1">IFERROR(Table13456781115[[#This Row],[Price]]*Table13456781115[[#This Row],[Number of shares]],0)</f>
        <v>314.76499999999999</v>
      </c>
      <c r="E186" s="239" cm="1">
        <f t="array" aca="1" ref="E186" ca="1">_FV(Table13456781115[[#This Row],[Company]],"Employees")</f>
        <v>321</v>
      </c>
      <c r="F186" s="240" cm="1">
        <f t="array" aca="1" ref="F186" ca="1">_FV(Table13456781115[[#This Row],[Company]],"Market cap",TRUE)</f>
        <v>1058606488</v>
      </c>
      <c r="G186" s="241" cm="1">
        <f t="array" aca="1" ref="G186" ca="1">_FV(Table13456781115[[#This Row],[Company]],"P/E",TRUE)</f>
        <v>0</v>
      </c>
      <c r="H186" s="241" cm="1">
        <f t="array" aca="1" ref="H186" ca="1">_FV(Table13456781115[[#This Row],[Company]],"Beta")</f>
        <v>2.2599999999999998</v>
      </c>
      <c r="I186" s="240">
        <f ca="1">Table13456781115[[#This Row],[MarketCap]]/Table13456781115[[#This Row],[Employees]]</f>
        <v>3297839.5264797509</v>
      </c>
      <c r="J186" s="199">
        <f ca="1">Table13456781115[[#This Row],[Value]] / SUM(Table13456781115[Value])</f>
        <v>2.4116253081207309E-2</v>
      </c>
    </row>
    <row r="187" spans="1:10">
      <c r="A187" t="e" vm="90">
        <v>#VALUE!</v>
      </c>
      <c r="B187" s="4" cm="1">
        <f t="array" aca="1" ref="B187" ca="1">_FV(A187,"Price")</f>
        <v>96.92</v>
      </c>
      <c r="C187">
        <v>17</v>
      </c>
      <c r="D187" s="4">
        <f ca="1">IFERROR(Table13456781115[[#This Row],[Price]]*Table13456781115[[#This Row],[Number of shares]],0)</f>
        <v>1647.64</v>
      </c>
      <c r="E187" s="239" cm="1">
        <f t="array" aca="1" ref="E187" ca="1">_FV(Table13456781115[[#This Row],[Company]],"Employees")</f>
        <v>1126</v>
      </c>
      <c r="F187" s="240" cm="1">
        <f t="array" aca="1" ref="F187" ca="1">_FV(Table13456781115[[#This Row],[Company]],"Market cap",TRUE)</f>
        <v>37024913184</v>
      </c>
      <c r="G187" s="241" cm="1">
        <f t="array" aca="1" ref="G187" ca="1">_FV(Table13456781115[[#This Row],[Company]],"P/E",TRUE)</f>
        <v>0</v>
      </c>
      <c r="H187" s="241" cm="1">
        <f t="array" aca="1" ref="H187" ca="1">_FV(Table13456781115[[#This Row],[Company]],"Beta")</f>
        <v>2.7845</v>
      </c>
      <c r="I187" s="240">
        <f ca="1">Table13456781115[[#This Row],[MarketCap]]/Table13456781115[[#This Row],[Employees]]</f>
        <v>32881805.669627</v>
      </c>
      <c r="J187" s="199">
        <f ca="1">Table13456781115[[#This Row],[Value]] / SUM(Table13456781115[Value])</f>
        <v>0.12623672653160425</v>
      </c>
    </row>
    <row r="188" spans="1:10">
      <c r="A188" t="e" vm="91">
        <v>#VALUE!</v>
      </c>
      <c r="B188" s="4" cm="1">
        <f t="array" aca="1" ref="B188" ca="1">_FV(A188,"Price")</f>
        <v>73.928399999999996</v>
      </c>
      <c r="C188">
        <v>149</v>
      </c>
      <c r="D188" s="4">
        <f ca="1">IFERROR(Table13456781115[[#This Row],[Price]]*Table13456781115[[#This Row],[Number of shares]],0)</f>
        <v>11015.3316</v>
      </c>
      <c r="E188" s="239" cm="1">
        <f t="array" aca="1" ref="E188" ca="1">_FV(Table13456781115[[#This Row],[Company]],"Employees")</f>
        <v>2600</v>
      </c>
      <c r="F188" s="240" cm="1">
        <f t="array" aca="1" ref="F188" ca="1">_FV(Table13456781115[[#This Row],[Company]],"Market cap",TRUE)</f>
        <v>42095400208</v>
      </c>
      <c r="G188" s="241" cm="1">
        <f t="array" aca="1" ref="G188" ca="1">_FV(Table13456781115[[#This Row],[Company]],"P/E",TRUE)</f>
        <v>0</v>
      </c>
      <c r="H188" s="241" cm="1">
        <f t="array" aca="1" ref="H188" ca="1">_FV(Table13456781115[[#This Row],[Company]],"Beta")</f>
        <v>2.1968999999999999</v>
      </c>
      <c r="I188" s="240">
        <f ca="1">Table13456781115[[#This Row],[MarketCap]]/Table13456781115[[#This Row],[Employees]]</f>
        <v>16190538.541538462</v>
      </c>
      <c r="J188" s="199">
        <f ca="1">Table13456781115[[#This Row],[Value]] / SUM(Table13456781115[Value])</f>
        <v>0.84395826930891382</v>
      </c>
    </row>
    <row r="189" spans="1:10">
      <c r="B189" s="4" t="e" cm="1" vm="66">
        <f t="array" ref="B189">_FV(A189,"Price")</f>
        <v>#VALUE!</v>
      </c>
      <c r="C189">
        <v>220</v>
      </c>
      <c r="D189" s="4">
        <f>IFERROR(Table13456781115[[#This Row],[Price]]*Table13456781115[[#This Row],[Number of shares]],0)</f>
        <v>0</v>
      </c>
      <c r="E189" s="239" t="e" cm="1" vm="67">
        <f t="array" ref="E189">_FV(Table13456781115[[#This Row],[Company]],"Employees")</f>
        <v>#VALUE!</v>
      </c>
      <c r="F189" s="240" t="e" cm="1" vm="68">
        <f t="array" ref="F189">_FV(Table13456781115[[#This Row],[Company]],"Market cap",TRUE)</f>
        <v>#VALUE!</v>
      </c>
      <c r="G189" s="241" t="e" cm="1" vm="4">
        <f t="array" ref="G189">_FV(Table13456781115[[#This Row],[Company]],"P/E",TRUE)</f>
        <v>#VALUE!</v>
      </c>
      <c r="H189" s="241" t="e" cm="1" vm="69">
        <f t="array" ref="H189">_FV(Table13456781115[[#This Row],[Company]],"Beta")</f>
        <v>#VALUE!</v>
      </c>
      <c r="I189" s="240" t="e" vm="70">
        <f>Table13456781115[[#This Row],[MarketCap]]/Table13456781115[[#This Row],[Employees]]</f>
        <v>#VALUE!</v>
      </c>
      <c r="J189" s="199">
        <f ca="1">Table13456781115[[#This Row],[Value]] / SUM(Table13456781115[Value])</f>
        <v>0</v>
      </c>
    </row>
    <row r="190" spans="1:10">
      <c r="B190" s="4" t="e" cm="1" vm="66">
        <f t="array" ref="B190">_FV(A190,"Price")</f>
        <v>#VALUE!</v>
      </c>
      <c r="C190">
        <v>6</v>
      </c>
      <c r="D190" s="4">
        <f>IFERROR(Table13456781115[[#This Row],[Price]]*Table13456781115[[#This Row],[Number of shares]],0)</f>
        <v>0</v>
      </c>
      <c r="E190" s="239" t="e" cm="1" vm="67">
        <f t="array" ref="E190">_FV(Table13456781115[[#This Row],[Company]],"Employees")</f>
        <v>#VALUE!</v>
      </c>
      <c r="F190" s="240" t="e" cm="1" vm="68">
        <f t="array" ref="F190">_FV(Table13456781115[[#This Row],[Company]],"Market cap",TRUE)</f>
        <v>#VALUE!</v>
      </c>
      <c r="G190" s="241" t="e" cm="1" vm="4">
        <f t="array" ref="G190">_FV(Table13456781115[[#This Row],[Company]],"P/E",TRUE)</f>
        <v>#VALUE!</v>
      </c>
      <c r="H190" s="241" t="e" cm="1" vm="69">
        <f t="array" ref="H190">_FV(Table13456781115[[#This Row],[Company]],"Beta")</f>
        <v>#VALUE!</v>
      </c>
      <c r="I190" s="240" t="e" vm="70">
        <f>Table13456781115[[#This Row],[MarketCap]]/Table13456781115[[#This Row],[Employees]]</f>
        <v>#VALUE!</v>
      </c>
      <c r="J190" s="199">
        <f ca="1">Table13456781115[[#This Row],[Value]] / SUM(Table13456781115[Value])</f>
        <v>0</v>
      </c>
    </row>
    <row r="191" spans="1:10">
      <c r="B191" s="4" t="e" cm="1" vm="66">
        <f t="array" ref="B191">_FV(A191,"Price")</f>
        <v>#VALUE!</v>
      </c>
      <c r="C191">
        <v>40</v>
      </c>
      <c r="D191" s="4">
        <f>IFERROR(Table13456781115[[#This Row],[Price]]*Table13456781115[[#This Row],[Number of shares]],0)</f>
        <v>0</v>
      </c>
      <c r="E191" s="239" t="e" cm="1" vm="67">
        <f t="array" ref="E191">_FV(Table13456781115[[#This Row],[Company]],"Employees")</f>
        <v>#VALUE!</v>
      </c>
      <c r="F191" s="240" t="e" cm="1" vm="68">
        <f t="array" ref="F191">_FV(Table13456781115[[#This Row],[Company]],"Market cap",TRUE)</f>
        <v>#VALUE!</v>
      </c>
      <c r="G191" s="241" t="e" cm="1" vm="4">
        <f t="array" ref="G191">_FV(Table13456781115[[#This Row],[Company]],"P/E",TRUE)</f>
        <v>#VALUE!</v>
      </c>
      <c r="H191" s="241" t="e" cm="1" vm="69">
        <f t="array" ref="H191">_FV(Table13456781115[[#This Row],[Company]],"Beta")</f>
        <v>#VALUE!</v>
      </c>
      <c r="I191" s="240" t="e" vm="70">
        <f>Table13456781115[[#This Row],[MarketCap]]/Table13456781115[[#This Row],[Employees]]</f>
        <v>#VALUE!</v>
      </c>
      <c r="J191" s="199">
        <f ca="1">Table13456781115[[#This Row],[Value]] / SUM(Table13456781115[Value])</f>
        <v>0</v>
      </c>
    </row>
    <row r="192" spans="1:10">
      <c r="B192" s="4" t="e" cm="1" vm="66">
        <f t="array" ref="B192">_FV(A192,"Price")</f>
        <v>#VALUE!</v>
      </c>
      <c r="C192">
        <v>35</v>
      </c>
      <c r="D192" s="4">
        <f>IFERROR(Table13456781115[[#This Row],[Price]]*Table13456781115[[#This Row],[Number of shares]],0)</f>
        <v>0</v>
      </c>
      <c r="E192" s="239" t="e" cm="1" vm="67">
        <f t="array" ref="E192">_FV(Table13456781115[[#This Row],[Company]],"Employees")</f>
        <v>#VALUE!</v>
      </c>
      <c r="F192" s="240" t="e" cm="1" vm="68">
        <f t="array" ref="F192">_FV(Table13456781115[[#This Row],[Company]],"Market cap",TRUE)</f>
        <v>#VALUE!</v>
      </c>
      <c r="G192" s="241" t="e" cm="1" vm="4">
        <f t="array" ref="G192">_FV(Table13456781115[[#This Row],[Company]],"P/E",TRUE)</f>
        <v>#VALUE!</v>
      </c>
      <c r="H192" s="241" t="e" cm="1" vm="69">
        <f t="array" ref="H192">_FV(Table13456781115[[#This Row],[Company]],"Beta")</f>
        <v>#VALUE!</v>
      </c>
      <c r="I192" s="240" t="e" vm="70">
        <f>Table13456781115[[#This Row],[MarketCap]]/Table13456781115[[#This Row],[Employees]]</f>
        <v>#VALUE!</v>
      </c>
      <c r="J192" s="199">
        <f ca="1">Table13456781115[[#This Row],[Value]] / SUM(Table13456781115[Value])</f>
        <v>0</v>
      </c>
    </row>
    <row r="193" spans="1:10">
      <c r="B193" s="4" t="e" cm="1" vm="66">
        <f t="array" ref="B193">_FV(A193,"Price")</f>
        <v>#VALUE!</v>
      </c>
      <c r="C193">
        <v>6</v>
      </c>
      <c r="D193" s="4">
        <f>IFERROR(Table13456781115[[#This Row],[Price]]*Table13456781115[[#This Row],[Number of shares]],0)</f>
        <v>0</v>
      </c>
      <c r="E193" s="239" t="e" cm="1" vm="67">
        <f t="array" ref="E193">_FV(Table13456781115[[#This Row],[Company]],"Employees")</f>
        <v>#VALUE!</v>
      </c>
      <c r="F193" s="240" t="e" cm="1" vm="68">
        <f t="array" ref="F193">_FV(Table13456781115[[#This Row],[Company]],"Market cap",TRUE)</f>
        <v>#VALUE!</v>
      </c>
      <c r="G193" s="241" t="e" cm="1" vm="4">
        <f t="array" ref="G193">_FV(Table13456781115[[#This Row],[Company]],"P/E",TRUE)</f>
        <v>#VALUE!</v>
      </c>
      <c r="H193" s="241" t="e" cm="1" vm="69">
        <f t="array" ref="H193">_FV(Table13456781115[[#This Row],[Company]],"Beta")</f>
        <v>#VALUE!</v>
      </c>
      <c r="I193" s="240" t="e" vm="70">
        <f>Table13456781115[[#This Row],[MarketCap]]/Table13456781115[[#This Row],[Employees]]</f>
        <v>#VALUE!</v>
      </c>
      <c r="J193" s="199">
        <f ca="1">Table13456781115[[#This Row],[Value]] / SUM(Table13456781115[Value])</f>
        <v>0</v>
      </c>
    </row>
    <row r="197" spans="1:10" ht="24">
      <c r="A197" s="242" t="s">
        <v>538</v>
      </c>
      <c r="B197" s="243"/>
      <c r="C197" s="243"/>
      <c r="D197" s="243"/>
      <c r="E197" s="243"/>
      <c r="F197" s="243"/>
      <c r="G197" s="243"/>
      <c r="H197" s="243"/>
      <c r="I197" s="243"/>
      <c r="J197" s="243"/>
    </row>
    <row r="198" spans="1:10">
      <c r="A198" t="s">
        <v>525</v>
      </c>
      <c r="B198" s="9" t="s">
        <v>143</v>
      </c>
      <c r="C198" t="s">
        <v>526</v>
      </c>
      <c r="D198" t="s">
        <v>527</v>
      </c>
      <c r="E198" t="s">
        <v>528</v>
      </c>
      <c r="F198" t="s">
        <v>529</v>
      </c>
      <c r="G198" t="s">
        <v>530</v>
      </c>
      <c r="H198" t="s">
        <v>79</v>
      </c>
      <c r="I198" t="s">
        <v>533</v>
      </c>
      <c r="J198" t="s">
        <v>534</v>
      </c>
    </row>
    <row r="199" spans="1:10">
      <c r="A199" t="e" vm="92">
        <v>#VALUE!</v>
      </c>
      <c r="B199" s="4" cm="1">
        <f t="array" aca="1" ref="B199" ca="1">_FV(A199,"Price")</f>
        <v>102.705</v>
      </c>
      <c r="C199">
        <v>5</v>
      </c>
      <c r="D199" s="4">
        <f ca="1">IFERROR(Table1345678111516[[#This Row],[Price]]*Table1345678111516[[#This Row],[Number of shares]],0)</f>
        <v>513.52499999999998</v>
      </c>
      <c r="E199" s="239" cm="1">
        <f t="array" aca="1" ref="E199" ca="1">_FV(Table1345678111516[[#This Row],[Company]],"Employees")</f>
        <v>17500</v>
      </c>
      <c r="F199" s="240" cm="1">
        <f t="array" aca="1" ref="F199" ca="1">_FV(Table1345678111516[[#This Row],[Company]],"Market cap",TRUE)</f>
        <v>111730099170</v>
      </c>
      <c r="G199" s="241" cm="1">
        <f t="array" aca="1" ref="G199" ca="1">_FV(Table1345678111516[[#This Row],[Company]],"P/E",TRUE)</f>
        <v>16.071999999999999</v>
      </c>
      <c r="H199" s="241" cm="1">
        <f t="array" aca="1" ref="H199" ca="1">_FV(Table1345678111516[[#This Row],[Company]],"Beta")</f>
        <v>0.50560000000000005</v>
      </c>
      <c r="I199" s="240">
        <f ca="1">Table1345678111516[[#This Row],[MarketCap]]/Table1345678111516[[#This Row],[Employees]]</f>
        <v>6384577.0954285711</v>
      </c>
      <c r="J199" s="199">
        <f ca="1">Table1345678111516[[#This Row],[Value]] / SUM(Table1345678111516[Value])</f>
        <v>0.64343843777996346</v>
      </c>
    </row>
    <row r="200" spans="1:10">
      <c r="A200" t="e" vm="93">
        <v>#VALUE!</v>
      </c>
      <c r="B200" s="4" cm="1">
        <f t="array" aca="1" ref="B200" ca="1">_FV(A200,"Price")</f>
        <v>25.87</v>
      </c>
      <c r="C200">
        <v>11</v>
      </c>
      <c r="D200" s="4">
        <f ca="1">IFERROR(Table1345678111516[[#This Row],[Price]]*Table1345678111516[[#This Row],[Number of shares]],0)</f>
        <v>284.57</v>
      </c>
      <c r="E200" s="239" cm="1">
        <f t="array" aca="1" ref="E200" ca="1">_FV(Table1345678111516[[#This Row],[Company]],"Employees")</f>
        <v>36</v>
      </c>
      <c r="F200" s="240" cm="1">
        <f t="array" aca="1" ref="F200" ca="1">_FV(Table1345678111516[[#This Row],[Company]],"Market cap",TRUE)</f>
        <v>5340662000</v>
      </c>
      <c r="G200" s="241" cm="1">
        <f t="array" aca="1" ref="G200" ca="1">_FV(Table1345678111516[[#This Row],[Company]],"P/E",TRUE)</f>
        <v>0</v>
      </c>
      <c r="H200" s="241" cm="1">
        <f t="array" aca="1" ref="H200" ca="1">_FV(Table1345678111516[[#This Row],[Company]],"Beta")</f>
        <v>0.86040000000000005</v>
      </c>
      <c r="I200" s="240">
        <f ca="1">Table1345678111516[[#This Row],[MarketCap]]/Table1345678111516[[#This Row],[Employees]]</f>
        <v>148351722.22222221</v>
      </c>
      <c r="J200" s="199">
        <f ca="1">Table1345678111516[[#This Row],[Value]] / SUM(Table1345678111516[Value])</f>
        <v>0.35656156222003643</v>
      </c>
    </row>
    <row r="201" spans="1:10">
      <c r="B201" s="4" t="e" cm="1" vm="66">
        <f t="array" ref="B201">_FV(A201,"Price")</f>
        <v>#VALUE!</v>
      </c>
      <c r="C201">
        <v>17</v>
      </c>
      <c r="D201" s="4">
        <f>IFERROR(Table1345678111516[[#This Row],[Price]]*Table1345678111516[[#This Row],[Number of shares]],0)</f>
        <v>0</v>
      </c>
      <c r="E201" s="239" t="e" cm="1" vm="67">
        <f t="array" ref="E201">_FV(Table1345678111516[[#This Row],[Company]],"Employees")</f>
        <v>#VALUE!</v>
      </c>
      <c r="F201" s="240" t="e" cm="1" vm="68">
        <f t="array" ref="F201">_FV(Table1345678111516[[#This Row],[Company]],"Market cap",TRUE)</f>
        <v>#VALUE!</v>
      </c>
      <c r="G201" s="241" t="e" cm="1" vm="4">
        <f t="array" ref="G201">_FV(Table1345678111516[[#This Row],[Company]],"P/E",TRUE)</f>
        <v>#VALUE!</v>
      </c>
      <c r="H201" s="241" t="e" cm="1" vm="69">
        <f t="array" ref="H201">_FV(Table1345678111516[[#This Row],[Company]],"Beta")</f>
        <v>#VALUE!</v>
      </c>
      <c r="I201" s="240" t="e" vm="70">
        <f>Table1345678111516[[#This Row],[MarketCap]]/Table1345678111516[[#This Row],[Employees]]</f>
        <v>#VALUE!</v>
      </c>
      <c r="J201" s="199">
        <f ca="1">Table1345678111516[[#This Row],[Value]] / SUM(Table1345678111516[Value])</f>
        <v>0</v>
      </c>
    </row>
    <row r="202" spans="1:10">
      <c r="B202" s="4" t="e" cm="1" vm="66">
        <f t="array" ref="B202">_FV(A202,"Price")</f>
        <v>#VALUE!</v>
      </c>
      <c r="C202">
        <v>149</v>
      </c>
      <c r="D202" s="4">
        <f>IFERROR(Table1345678111516[[#This Row],[Price]]*Table1345678111516[[#This Row],[Number of shares]],0)</f>
        <v>0</v>
      </c>
      <c r="E202" s="239" t="e" cm="1" vm="67">
        <f t="array" ref="E202">_FV(Table1345678111516[[#This Row],[Company]],"Employees")</f>
        <v>#VALUE!</v>
      </c>
      <c r="F202" s="240" t="e" cm="1" vm="68">
        <f t="array" ref="F202">_FV(Table1345678111516[[#This Row],[Company]],"Market cap",TRUE)</f>
        <v>#VALUE!</v>
      </c>
      <c r="G202" s="241" t="e" cm="1" vm="4">
        <f t="array" ref="G202">_FV(Table1345678111516[[#This Row],[Company]],"P/E",TRUE)</f>
        <v>#VALUE!</v>
      </c>
      <c r="H202" s="241" t="e" cm="1" vm="69">
        <f t="array" ref="H202">_FV(Table1345678111516[[#This Row],[Company]],"Beta")</f>
        <v>#VALUE!</v>
      </c>
      <c r="I202" s="240" t="e" vm="70">
        <f>Table1345678111516[[#This Row],[MarketCap]]/Table1345678111516[[#This Row],[Employees]]</f>
        <v>#VALUE!</v>
      </c>
      <c r="J202" s="199">
        <f ca="1">Table1345678111516[[#This Row],[Value]] / SUM(Table1345678111516[Value])</f>
        <v>0</v>
      </c>
    </row>
    <row r="203" spans="1:10">
      <c r="B203" s="4" t="e" cm="1" vm="66">
        <f t="array" ref="B203">_FV(A203,"Price")</f>
        <v>#VALUE!</v>
      </c>
      <c r="C203">
        <v>220</v>
      </c>
      <c r="D203" s="4">
        <f>IFERROR(Table1345678111516[[#This Row],[Price]]*Table1345678111516[[#This Row],[Number of shares]],0)</f>
        <v>0</v>
      </c>
      <c r="E203" s="239" t="e" cm="1" vm="67">
        <f t="array" ref="E203">_FV(Table1345678111516[[#This Row],[Company]],"Employees")</f>
        <v>#VALUE!</v>
      </c>
      <c r="F203" s="240" t="e" cm="1" vm="68">
        <f t="array" ref="F203">_FV(Table1345678111516[[#This Row],[Company]],"Market cap",TRUE)</f>
        <v>#VALUE!</v>
      </c>
      <c r="G203" s="241" t="e" cm="1" vm="4">
        <f t="array" ref="G203">_FV(Table1345678111516[[#This Row],[Company]],"P/E",TRUE)</f>
        <v>#VALUE!</v>
      </c>
      <c r="H203" s="241" t="e" cm="1" vm="69">
        <f t="array" ref="H203">_FV(Table1345678111516[[#This Row],[Company]],"Beta")</f>
        <v>#VALUE!</v>
      </c>
      <c r="I203" s="240" t="e" vm="70">
        <f>Table1345678111516[[#This Row],[MarketCap]]/Table1345678111516[[#This Row],[Employees]]</f>
        <v>#VALUE!</v>
      </c>
      <c r="J203" s="199">
        <f ca="1">Table1345678111516[[#This Row],[Value]] / SUM(Table1345678111516[Value])</f>
        <v>0</v>
      </c>
    </row>
    <row r="204" spans="1:10">
      <c r="B204" s="4" t="e" cm="1" vm="66">
        <f t="array" ref="B204">_FV(A204,"Price")</f>
        <v>#VALUE!</v>
      </c>
      <c r="C204">
        <v>6</v>
      </c>
      <c r="D204" s="4">
        <f>IFERROR(Table1345678111516[[#This Row],[Price]]*Table1345678111516[[#This Row],[Number of shares]],0)</f>
        <v>0</v>
      </c>
      <c r="E204" s="239" t="e" cm="1" vm="67">
        <f t="array" ref="E204">_FV(Table1345678111516[[#This Row],[Company]],"Employees")</f>
        <v>#VALUE!</v>
      </c>
      <c r="F204" s="240" t="e" cm="1" vm="68">
        <f t="array" ref="F204">_FV(Table1345678111516[[#This Row],[Company]],"Market cap",TRUE)</f>
        <v>#VALUE!</v>
      </c>
      <c r="G204" s="241" t="e" cm="1" vm="4">
        <f t="array" ref="G204">_FV(Table1345678111516[[#This Row],[Company]],"P/E",TRUE)</f>
        <v>#VALUE!</v>
      </c>
      <c r="H204" s="241" t="e" cm="1" vm="69">
        <f t="array" ref="H204">_FV(Table1345678111516[[#This Row],[Company]],"Beta")</f>
        <v>#VALUE!</v>
      </c>
      <c r="I204" s="240" t="e" vm="70">
        <f>Table1345678111516[[#This Row],[MarketCap]]/Table1345678111516[[#This Row],[Employees]]</f>
        <v>#VALUE!</v>
      </c>
      <c r="J204" s="199">
        <f ca="1">Table1345678111516[[#This Row],[Value]] / SUM(Table1345678111516[Value])</f>
        <v>0</v>
      </c>
    </row>
    <row r="205" spans="1:10">
      <c r="B205" s="4" t="e" cm="1" vm="66">
        <f t="array" ref="B205">_FV(A205,"Price")</f>
        <v>#VALUE!</v>
      </c>
      <c r="C205">
        <v>40</v>
      </c>
      <c r="D205" s="4">
        <f>IFERROR(Table1345678111516[[#This Row],[Price]]*Table1345678111516[[#This Row],[Number of shares]],0)</f>
        <v>0</v>
      </c>
      <c r="E205" s="239" t="e" cm="1" vm="67">
        <f t="array" ref="E205">_FV(Table1345678111516[[#This Row],[Company]],"Employees")</f>
        <v>#VALUE!</v>
      </c>
      <c r="F205" s="240" t="e" cm="1" vm="68">
        <f t="array" ref="F205">_FV(Table1345678111516[[#This Row],[Company]],"Market cap",TRUE)</f>
        <v>#VALUE!</v>
      </c>
      <c r="G205" s="241" t="e" cm="1" vm="4">
        <f t="array" ref="G205">_FV(Table1345678111516[[#This Row],[Company]],"P/E",TRUE)</f>
        <v>#VALUE!</v>
      </c>
      <c r="H205" s="241" t="e" cm="1" vm="69">
        <f t="array" ref="H205">_FV(Table1345678111516[[#This Row],[Company]],"Beta")</f>
        <v>#VALUE!</v>
      </c>
      <c r="I205" s="240" t="e" vm="70">
        <f>Table1345678111516[[#This Row],[MarketCap]]/Table1345678111516[[#This Row],[Employees]]</f>
        <v>#VALUE!</v>
      </c>
      <c r="J205" s="199">
        <f ca="1">Table1345678111516[[#This Row],[Value]] / SUM(Table1345678111516[Value])</f>
        <v>0</v>
      </c>
    </row>
    <row r="206" spans="1:10">
      <c r="B206" s="4" t="e" cm="1" vm="66">
        <f t="array" ref="B206">_FV(A206,"Price")</f>
        <v>#VALUE!</v>
      </c>
      <c r="C206">
        <v>35</v>
      </c>
      <c r="D206" s="4">
        <f>IFERROR(Table1345678111516[[#This Row],[Price]]*Table1345678111516[[#This Row],[Number of shares]],0)</f>
        <v>0</v>
      </c>
      <c r="E206" s="239" t="e" cm="1" vm="67">
        <f t="array" ref="E206">_FV(Table1345678111516[[#This Row],[Company]],"Employees")</f>
        <v>#VALUE!</v>
      </c>
      <c r="F206" s="240" t="e" cm="1" vm="68">
        <f t="array" ref="F206">_FV(Table1345678111516[[#This Row],[Company]],"Market cap",TRUE)</f>
        <v>#VALUE!</v>
      </c>
      <c r="G206" s="241" t="e" cm="1" vm="4">
        <f t="array" ref="G206">_FV(Table1345678111516[[#This Row],[Company]],"P/E",TRUE)</f>
        <v>#VALUE!</v>
      </c>
      <c r="H206" s="241" t="e" cm="1" vm="69">
        <f t="array" ref="H206">_FV(Table1345678111516[[#This Row],[Company]],"Beta")</f>
        <v>#VALUE!</v>
      </c>
      <c r="I206" s="240" t="e" vm="70">
        <f>Table1345678111516[[#This Row],[MarketCap]]/Table1345678111516[[#This Row],[Employees]]</f>
        <v>#VALUE!</v>
      </c>
      <c r="J206" s="199">
        <f ca="1">Table1345678111516[[#This Row],[Value]] / SUM(Table1345678111516[Value])</f>
        <v>0</v>
      </c>
    </row>
    <row r="207" spans="1:10">
      <c r="B207" s="4" t="e" cm="1" vm="66">
        <f t="array" ref="B207">_FV(A207,"Price")</f>
        <v>#VALUE!</v>
      </c>
      <c r="C207">
        <v>6</v>
      </c>
      <c r="D207" s="4">
        <f>IFERROR(Table1345678111516[[#This Row],[Price]]*Table1345678111516[[#This Row],[Number of shares]],0)</f>
        <v>0</v>
      </c>
      <c r="E207" s="239" t="e" cm="1" vm="67">
        <f t="array" ref="E207">_FV(Table1345678111516[[#This Row],[Company]],"Employees")</f>
        <v>#VALUE!</v>
      </c>
      <c r="F207" s="240" t="e" cm="1" vm="68">
        <f t="array" ref="F207">_FV(Table1345678111516[[#This Row],[Company]],"Market cap",TRUE)</f>
        <v>#VALUE!</v>
      </c>
      <c r="G207" s="241" t="e" cm="1" vm="4">
        <f t="array" ref="G207">_FV(Table1345678111516[[#This Row],[Company]],"P/E",TRUE)</f>
        <v>#VALUE!</v>
      </c>
      <c r="H207" s="241" t="e" cm="1" vm="69">
        <f t="array" ref="H207">_FV(Table1345678111516[[#This Row],[Company]],"Beta")</f>
        <v>#VALUE!</v>
      </c>
      <c r="I207" s="240" t="e" vm="70">
        <f>Table1345678111516[[#This Row],[MarketCap]]/Table1345678111516[[#This Row],[Employees]]</f>
        <v>#VALUE!</v>
      </c>
      <c r="J207" s="199">
        <f ca="1">Table1345678111516[[#This Row],[Value]] / SUM(Table1345678111516[Value])</f>
        <v>0</v>
      </c>
    </row>
  </sheetData>
  <phoneticPr fontId="10" type="noConversion"/>
  <conditionalFormatting sqref="J3:J11">
    <cfRule type="dataBar" priority="29">
      <dataBar>
        <cfvo type="min"/>
        <cfvo type="max"/>
        <color rgb="FF63C384"/>
      </dataBar>
      <extLst>
        <ext xmlns:x14="http://schemas.microsoft.com/office/spreadsheetml/2009/9/main" uri="{B025F937-C7B1-47D3-B67F-A62EFF666E3E}">
          <x14:id>{E109BE63-9711-CC43-9926-1C0B8F78F81E}</x14:id>
        </ext>
      </extLst>
    </cfRule>
    <cfRule type="colorScale" priority="30">
      <colorScale>
        <cfvo type="min"/>
        <cfvo type="max"/>
        <color rgb="FFFCFCFF"/>
        <color rgb="FF63BE7B"/>
      </colorScale>
    </cfRule>
  </conditionalFormatting>
  <conditionalFormatting sqref="J17:J25">
    <cfRule type="colorScale" priority="4248">
      <colorScale>
        <cfvo type="min"/>
        <cfvo type="max"/>
        <color rgb="FFFCFCFF"/>
        <color rgb="FF63BE7B"/>
      </colorScale>
    </cfRule>
    <cfRule type="colorScale" priority="4249">
      <colorScale>
        <cfvo type="min"/>
        <cfvo type="percentile" val="50"/>
        <cfvo type="max"/>
        <color rgb="FFF8696B"/>
        <color rgb="FFFFEB84"/>
        <color rgb="FF63BE7B"/>
      </colorScale>
    </cfRule>
  </conditionalFormatting>
  <conditionalFormatting sqref="J31:J39">
    <cfRule type="colorScale" priority="25">
      <colorScale>
        <cfvo type="min"/>
        <cfvo type="max"/>
        <color rgb="FFFCFCFF"/>
        <color rgb="FF63BE7B"/>
      </colorScale>
    </cfRule>
    <cfRule type="colorScale" priority="26">
      <colorScale>
        <cfvo type="min"/>
        <cfvo type="percentile" val="50"/>
        <cfvo type="max"/>
        <color rgb="FFF8696B"/>
        <color rgb="FFFFEB84"/>
        <color rgb="FF63BE7B"/>
      </colorScale>
    </cfRule>
  </conditionalFormatting>
  <conditionalFormatting sqref="J45:J53">
    <cfRule type="colorScale" priority="23">
      <colorScale>
        <cfvo type="min"/>
        <cfvo type="max"/>
        <color rgb="FFFCFCFF"/>
        <color rgb="FF63BE7B"/>
      </colorScale>
    </cfRule>
    <cfRule type="colorScale" priority="24">
      <colorScale>
        <cfvo type="min"/>
        <cfvo type="percentile" val="50"/>
        <cfvo type="max"/>
        <color rgb="FFF8696B"/>
        <color rgb="FFFFEB84"/>
        <color rgb="FF63BE7B"/>
      </colorScale>
    </cfRule>
  </conditionalFormatting>
  <conditionalFormatting sqref="J59:J67">
    <cfRule type="colorScale" priority="21">
      <colorScale>
        <cfvo type="min"/>
        <cfvo type="max"/>
        <color rgb="FFFCFCFF"/>
        <color rgb="FF63BE7B"/>
      </colorScale>
    </cfRule>
    <cfRule type="colorScale" priority="22">
      <colorScale>
        <cfvo type="min"/>
        <cfvo type="percentile" val="50"/>
        <cfvo type="max"/>
        <color rgb="FFF8696B"/>
        <color rgb="FFFFEB84"/>
        <color rgb="FF63BE7B"/>
      </colorScale>
    </cfRule>
  </conditionalFormatting>
  <conditionalFormatting sqref="J73:J81">
    <cfRule type="colorScale" priority="19">
      <colorScale>
        <cfvo type="min"/>
        <cfvo type="max"/>
        <color rgb="FFFCFCFF"/>
        <color rgb="FF63BE7B"/>
      </colorScale>
    </cfRule>
    <cfRule type="colorScale" priority="20">
      <colorScale>
        <cfvo type="min"/>
        <cfvo type="percentile" val="50"/>
        <cfvo type="max"/>
        <color rgb="FFF8696B"/>
        <color rgb="FFFFEB84"/>
        <color rgb="FF63BE7B"/>
      </colorScale>
    </cfRule>
  </conditionalFormatting>
  <conditionalFormatting sqref="J87:J95">
    <cfRule type="colorScale" priority="17">
      <colorScale>
        <cfvo type="min"/>
        <cfvo type="max"/>
        <color rgb="FFFCFCFF"/>
        <color rgb="FF63BE7B"/>
      </colorScale>
    </cfRule>
    <cfRule type="colorScale" priority="18">
      <colorScale>
        <cfvo type="min"/>
        <cfvo type="percentile" val="50"/>
        <cfvo type="max"/>
        <color rgb="FFF8696B"/>
        <color rgb="FFFFEB84"/>
        <color rgb="FF63BE7B"/>
      </colorScale>
    </cfRule>
  </conditionalFormatting>
  <conditionalFormatting sqref="J101:J109">
    <cfRule type="colorScale" priority="15">
      <colorScale>
        <cfvo type="min"/>
        <cfvo type="max"/>
        <color rgb="FFFCFCFF"/>
        <color rgb="FF63BE7B"/>
      </colorScale>
    </cfRule>
    <cfRule type="colorScale" priority="16">
      <colorScale>
        <cfvo type="min"/>
        <cfvo type="percentile" val="50"/>
        <cfvo type="max"/>
        <color rgb="FFF8696B"/>
        <color rgb="FFFFEB84"/>
        <color rgb="FF63BE7B"/>
      </colorScale>
    </cfRule>
  </conditionalFormatting>
  <conditionalFormatting sqref="J115:J123">
    <cfRule type="colorScale" priority="13">
      <colorScale>
        <cfvo type="min"/>
        <cfvo type="max"/>
        <color rgb="FFFCFCFF"/>
        <color rgb="FF63BE7B"/>
      </colorScale>
    </cfRule>
    <cfRule type="colorScale" priority="14">
      <colorScale>
        <cfvo type="min"/>
        <cfvo type="percentile" val="50"/>
        <cfvo type="max"/>
        <color rgb="FFF8696B"/>
        <color rgb="FFFFEB84"/>
        <color rgb="FF63BE7B"/>
      </colorScale>
    </cfRule>
  </conditionalFormatting>
  <conditionalFormatting sqref="J129:J137">
    <cfRule type="colorScale" priority="11">
      <colorScale>
        <cfvo type="min"/>
        <cfvo type="max"/>
        <color rgb="FFFCFCFF"/>
        <color rgb="FF63BE7B"/>
      </colorScale>
    </cfRule>
    <cfRule type="colorScale" priority="12">
      <colorScale>
        <cfvo type="min"/>
        <cfvo type="percentile" val="50"/>
        <cfvo type="max"/>
        <color rgb="FFF8696B"/>
        <color rgb="FFFFEB84"/>
        <color rgb="FF63BE7B"/>
      </colorScale>
    </cfRule>
  </conditionalFormatting>
  <conditionalFormatting sqref="J143:J151">
    <cfRule type="colorScale" priority="9">
      <colorScale>
        <cfvo type="min"/>
        <cfvo type="max"/>
        <color rgb="FFFCFCFF"/>
        <color rgb="FF63BE7B"/>
      </colorScale>
    </cfRule>
    <cfRule type="colorScale" priority="10">
      <colorScale>
        <cfvo type="min"/>
        <cfvo type="percentile" val="50"/>
        <cfvo type="max"/>
        <color rgb="FFF8696B"/>
        <color rgb="FFFFEB84"/>
        <color rgb="FF63BE7B"/>
      </colorScale>
    </cfRule>
  </conditionalFormatting>
  <conditionalFormatting sqref="J157:J165">
    <cfRule type="colorScale" priority="7">
      <colorScale>
        <cfvo type="min"/>
        <cfvo type="max"/>
        <color rgb="FFFCFCFF"/>
        <color rgb="FF63BE7B"/>
      </colorScale>
    </cfRule>
    <cfRule type="colorScale" priority="8">
      <colorScale>
        <cfvo type="min"/>
        <cfvo type="percentile" val="50"/>
        <cfvo type="max"/>
        <color rgb="FFF8696B"/>
        <color rgb="FFFFEB84"/>
        <color rgb="FF63BE7B"/>
      </colorScale>
    </cfRule>
  </conditionalFormatting>
  <conditionalFormatting sqref="J171:J179">
    <cfRule type="colorScale" priority="5">
      <colorScale>
        <cfvo type="min"/>
        <cfvo type="max"/>
        <color rgb="FFFCFCFF"/>
        <color rgb="FF63BE7B"/>
      </colorScale>
    </cfRule>
    <cfRule type="colorScale" priority="6">
      <colorScale>
        <cfvo type="min"/>
        <cfvo type="percentile" val="50"/>
        <cfvo type="max"/>
        <color rgb="FFF8696B"/>
        <color rgb="FFFFEB84"/>
        <color rgb="FF63BE7B"/>
      </colorScale>
    </cfRule>
  </conditionalFormatting>
  <conditionalFormatting sqref="J185:J193">
    <cfRule type="colorScale" priority="3">
      <colorScale>
        <cfvo type="min"/>
        <cfvo type="max"/>
        <color rgb="FFFCFCFF"/>
        <color rgb="FF63BE7B"/>
      </colorScale>
    </cfRule>
    <cfRule type="colorScale" priority="4">
      <colorScale>
        <cfvo type="min"/>
        <cfvo type="percentile" val="50"/>
        <cfvo type="max"/>
        <color rgb="FFF8696B"/>
        <color rgb="FFFFEB84"/>
        <color rgb="FF63BE7B"/>
      </colorScale>
    </cfRule>
  </conditionalFormatting>
  <conditionalFormatting sqref="J199:J207">
    <cfRule type="colorScale" priority="1">
      <colorScale>
        <cfvo type="min"/>
        <cfvo type="max"/>
        <color rgb="FFFCFCFF"/>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ignoredErrors>
    <ignoredError xmlns:x16r3="http://schemas.microsoft.com/office/spreadsheetml/2018/08/main" sqref="F11" x16r3:misleadingFormat="1"/>
    <ignoredError sqref="G5" evalError="1"/>
  </ignoredErrors>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extLst>
    <ext xmlns:x14="http://schemas.microsoft.com/office/spreadsheetml/2009/9/main" uri="{78C0D931-6437-407d-A8EE-F0AAD7539E65}">
      <x14:conditionalFormattings>
        <x14:conditionalFormatting xmlns:xm="http://schemas.microsoft.com/office/excel/2006/main">
          <x14:cfRule type="dataBar" id="{E109BE63-9711-CC43-9926-1C0B8F78F81E}">
            <x14:dataBar minLength="0" maxLength="100" border="1" negativeBarBorderColorSameAsPositive="0">
              <x14:cfvo type="autoMin"/>
              <x14:cfvo type="autoMax"/>
              <x14:borderColor rgb="FF63C384"/>
              <x14:negativeFillColor rgb="FFFF0000"/>
              <x14:negativeBorderColor rgb="FFFF0000"/>
              <x14:axisColor rgb="FF000000"/>
            </x14:dataBar>
          </x14:cfRule>
          <xm:sqref>J3:J11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127D-86EB-9C43-B681-E1793849A65E}">
  <dimension ref="A1:J93"/>
  <sheetViews>
    <sheetView topLeftCell="A58" workbookViewId="0">
      <selection activeCell="K87" sqref="K87:K88"/>
    </sheetView>
  </sheetViews>
  <sheetFormatPr baseColWidth="10" defaultRowHeight="16"/>
  <cols>
    <col min="1" max="1" width="24.6640625" bestFit="1" customWidth="1"/>
    <col min="2" max="2" width="16.1640625" bestFit="1" customWidth="1"/>
    <col min="3" max="3" width="23.1640625" customWidth="1"/>
    <col min="4" max="4" width="10.83203125" customWidth="1"/>
    <col min="5" max="5" width="17.1640625" bestFit="1" customWidth="1"/>
    <col min="6" max="6" width="20" bestFit="1" customWidth="1"/>
    <col min="7" max="7" width="19.83203125" bestFit="1" customWidth="1"/>
  </cols>
  <sheetData>
    <row r="1" spans="1:10" s="93" customFormat="1" ht="64" customHeight="1">
      <c r="A1" s="114" t="s">
        <v>355</v>
      </c>
    </row>
    <row r="2" spans="1:10" s="144" customFormat="1">
      <c r="D2" s="145">
        <f>SUM(Table33[Target])</f>
        <v>0</v>
      </c>
    </row>
    <row r="4" spans="1:10">
      <c r="A4" s="103" t="s">
        <v>81</v>
      </c>
      <c r="B4" s="103" t="s">
        <v>156</v>
      </c>
      <c r="C4" s="103" t="s">
        <v>309</v>
      </c>
      <c r="D4" s="103" t="s">
        <v>310</v>
      </c>
      <c r="E4" s="103" t="s">
        <v>124</v>
      </c>
      <c r="F4" s="103" t="s">
        <v>157</v>
      </c>
      <c r="G4" s="103" t="s">
        <v>312</v>
      </c>
    </row>
    <row r="5" spans="1:10">
      <c r="A5" s="13" t="s">
        <v>549</v>
      </c>
      <c r="B5" s="128">
        <f ca="1">SUMIF(Table19[Secondary theme],Table33[[#This Row],[Secondary theme]],Table19[Stock Exposure])</f>
        <v>5396.7049999999999</v>
      </c>
      <c r="C5" s="84">
        <f ca="1">Table33[[#This Row],[Stock Exposure]]/'Primary Theme'!$D$5</f>
        <v>4.1205242192137601E-2</v>
      </c>
      <c r="D5" s="13"/>
      <c r="E5" s="128">
        <f>SUMIF(Table19[Secondary theme],Table33[[#This Row],[Secondary theme]],Table19[Option Exposure])</f>
        <v>0</v>
      </c>
      <c r="F5" s="108">
        <f ca="1">Table33[[#This Row],[Stock Exposure]]+Table33[[#This Row],[Option Exposure]]</f>
        <v>5396.7049999999999</v>
      </c>
      <c r="G5" s="129">
        <f ca="1">Table33[[#This Row],[Combined Exposure]]/'Primary Theme'!$D$4</f>
        <v>3.4015973098827201E-2</v>
      </c>
    </row>
    <row r="6" spans="1:10">
      <c r="A6" s="13" t="s">
        <v>29</v>
      </c>
      <c r="B6" s="36">
        <f ca="1">SUMIF(Table19[Secondary theme],Table33[[#This Row],[Secondary theme]],Table19[Stock Exposure])</f>
        <v>8853.1435000000001</v>
      </c>
      <c r="C6" s="84">
        <f ca="1">Table33[[#This Row],[Stock Exposure]]/'Primary Theme'!$D$5</f>
        <v>6.759604649119208E-2</v>
      </c>
      <c r="D6" s="13"/>
      <c r="E6" s="128">
        <f ca="1">SUMIF(Table19[Secondary theme],Table33[[#This Row],[Secondary theme]],Table19[Option Exposure])</f>
        <v>0</v>
      </c>
      <c r="F6" s="108">
        <f ca="1">Table33[[#This Row],[Stock Exposure]]+Table33[[#This Row],[Option Exposure]]</f>
        <v>8853.1435000000001</v>
      </c>
      <c r="G6" s="129">
        <f ca="1">Table33[[#This Row],[Combined Exposure]]/'Primary Theme'!$D$4</f>
        <v>5.5802251769562515E-2</v>
      </c>
    </row>
    <row r="7" spans="1:10">
      <c r="A7" s="13" t="s">
        <v>56</v>
      </c>
      <c r="B7" s="36">
        <f ca="1">SUMIF(Table19[Secondary theme],Table33[[#This Row],[Secondary theme]],Table19[Stock Exposure])</f>
        <v>15939.2394</v>
      </c>
      <c r="C7" s="84">
        <f ca="1">Table33[[#This Row],[Stock Exposure]]/'Primary Theme'!$D$5</f>
        <v>0.12170022631132553</v>
      </c>
      <c r="D7" s="13"/>
      <c r="E7" s="128">
        <f ca="1">SUMIF(Table19[Secondary theme],Table33[[#This Row],[Secondary theme]],Table19[Option Exposure])</f>
        <v>0</v>
      </c>
      <c r="F7" s="108">
        <f ca="1">Table33[[#This Row],[Stock Exposure]]+Table33[[#This Row],[Option Exposure]]</f>
        <v>15939.2394</v>
      </c>
      <c r="G7" s="129">
        <f ca="1">Table33[[#This Row],[Combined Exposure]]/'Primary Theme'!$D$4</f>
        <v>0.1004666252178258</v>
      </c>
    </row>
    <row r="8" spans="1:10">
      <c r="A8" s="13" t="s">
        <v>23</v>
      </c>
      <c r="B8" s="128">
        <f ca="1">SUMIF(Table19[Secondary theme],Table33[[#This Row],[Secondary theme]],Table19[Stock Exposure])</f>
        <v>1843.7925</v>
      </c>
      <c r="C8" s="84">
        <f ca="1">Table33[[#This Row],[Stock Exposure]]/'Primary Theme'!$D$5</f>
        <v>1.4077833884666083E-2</v>
      </c>
      <c r="D8" s="13"/>
      <c r="E8" s="128">
        <f ca="1">SUMIF(Table19[Secondary theme],Table33[[#This Row],[Secondary theme]],Table19[Option Exposure])</f>
        <v>0</v>
      </c>
      <c r="F8" s="108">
        <f ca="1">Table33[[#This Row],[Stock Exposure]]+Table33[[#This Row],[Option Exposure]]</f>
        <v>1843.7925</v>
      </c>
      <c r="G8" s="129">
        <f ca="1">Table33[[#This Row],[Combined Exposure]]/'Primary Theme'!$D$4</f>
        <v>1.1621609126276005E-2</v>
      </c>
    </row>
    <row r="9" spans="1:10">
      <c r="A9" s="13" t="s">
        <v>513</v>
      </c>
      <c r="B9" s="128">
        <f ca="1">SUMIF(Table19[Secondary theme],Table33[[#This Row],[Secondary theme]],Table19[Stock Exposure])</f>
        <v>4265.4049999999997</v>
      </c>
      <c r="C9" s="84">
        <f ca="1">Table33[[#This Row],[Stock Exposure]]/'Primary Theme'!$D$5</f>
        <v>3.2567473314282454E-2</v>
      </c>
      <c r="D9" s="13"/>
      <c r="E9" s="128">
        <f ca="1">SUMIF(Table19[Secondary theme],Table33[[#This Row],[Secondary theme]],Table19[Option Exposure])</f>
        <v>0</v>
      </c>
      <c r="F9" s="108">
        <f ca="1">Table33[[#This Row],[Stock Exposure]]+Table33[[#This Row],[Option Exposure]]</f>
        <v>4265.4049999999997</v>
      </c>
      <c r="G9" s="129">
        <f ca="1">Table33[[#This Row],[Combined Exposure]]/'Primary Theme'!$D$4</f>
        <v>2.6885275688703202E-2</v>
      </c>
    </row>
    <row r="10" spans="1:10">
      <c r="A10" s="13" t="s">
        <v>53</v>
      </c>
      <c r="B10" s="36">
        <f ca="1">SUMIF(Table19[Secondary theme],Table33[[#This Row],[Secondary theme]],Table19[Stock Exposure])</f>
        <v>1911.8082927799994</v>
      </c>
      <c r="C10" s="84">
        <f ca="1">Table33[[#This Row],[Stock Exposure]]/'Primary Theme'!$D$5</f>
        <v>1.4597152100946224E-2</v>
      </c>
      <c r="D10" s="13"/>
      <c r="E10" s="128">
        <f ca="1">SUMIF(Table19[Secondary theme],Table33[[#This Row],[Secondary theme]],Table19[Option Exposure])</f>
        <v>0</v>
      </c>
      <c r="F10" s="108">
        <f ca="1">Table33[[#This Row],[Stock Exposure]]+Table33[[#This Row],[Option Exposure]]</f>
        <v>1911.8082927799994</v>
      </c>
      <c r="G10" s="129">
        <f ca="1">Table33[[#This Row],[Combined Exposure]]/'Primary Theme'!$D$4</f>
        <v>1.2050319492601358E-2</v>
      </c>
    </row>
    <row r="11" spans="1:10">
      <c r="A11" s="13" t="s">
        <v>31</v>
      </c>
      <c r="B11" s="36">
        <f ca="1">SUMIF(Table19[Secondary theme],Table33[[#This Row],[Secondary theme]],Table19[Stock Exposure])</f>
        <v>18756.008000000002</v>
      </c>
      <c r="C11" s="84">
        <f ca="1">Table33[[#This Row],[Stock Exposure]]/'Primary Theme'!$D$5</f>
        <v>0.14320698503951401</v>
      </c>
      <c r="D11" s="13"/>
      <c r="E11" s="128">
        <f ca="1">SUMIF(Table19[Secondary theme],Table33[[#This Row],[Secondary theme]],Table19[Option Exposure])</f>
        <v>4766.1975544411871</v>
      </c>
      <c r="F11" s="108">
        <f ca="1">Table33[[#This Row],[Stock Exposure]]+Table33[[#This Row],[Option Exposure]]</f>
        <v>23522.205554441189</v>
      </c>
      <c r="G11" s="129">
        <f ca="1">Table33[[#This Row],[Combined Exposure]]/'Primary Theme'!$D$4</f>
        <v>0.14826282173380892</v>
      </c>
    </row>
    <row r="12" spans="1:10">
      <c r="A12" s="13" t="s">
        <v>83</v>
      </c>
      <c r="B12" s="36">
        <f ca="1">SUMIF(Table19[Secondary theme],Table33[[#This Row],[Secondary theme]],Table19[Stock Exposure])</f>
        <v>15131.782899999998</v>
      </c>
      <c r="C12" s="84">
        <f ca="1">Table33[[#This Row],[Stock Exposure]]/'Primary Theme'!$D$5</f>
        <v>0.11553508653768294</v>
      </c>
      <c r="D12" s="13"/>
      <c r="E12" s="128">
        <f ca="1">SUMIF(Table19[Secondary theme],Table33[[#This Row],[Secondary theme]],Table19[Option Exposure])</f>
        <v>0</v>
      </c>
      <c r="F12" s="108">
        <f ca="1">Table33[[#This Row],[Stock Exposure]]+Table33[[#This Row],[Option Exposure]]</f>
        <v>15131.782899999998</v>
      </c>
      <c r="G12" s="129">
        <f ca="1">Table33[[#This Row],[Combined Exposure]]/'Primary Theme'!$D$4</f>
        <v>9.5377145881365269E-2</v>
      </c>
    </row>
    <row r="13" spans="1:10">
      <c r="A13" s="13" t="s">
        <v>120</v>
      </c>
      <c r="B13" s="128">
        <f ca="1">SUMIF(Table19[Secondary theme],Table33[[#This Row],[Secondary theme]],Table19[Stock Exposure])</f>
        <v>3718.0899999999997</v>
      </c>
      <c r="C13" s="84">
        <f ca="1">Table33[[#This Row],[Stock Exposure]]/'Primary Theme'!$D$5</f>
        <v>2.8388581355135195E-2</v>
      </c>
      <c r="D13" s="13"/>
      <c r="E13" s="128">
        <f ca="1">SUMIF(Table19[Secondary theme],Table33[[#This Row],[Secondary theme]],Table19[Option Exposure])</f>
        <v>0</v>
      </c>
      <c r="F13" s="108">
        <f ca="1">Table33[[#This Row],[Stock Exposure]]+Table33[[#This Row],[Option Exposure]]</f>
        <v>3718.0899999999997</v>
      </c>
      <c r="G13" s="129">
        <f ca="1">Table33[[#This Row],[Combined Exposure]]/'Primary Theme'!$D$4</f>
        <v>2.3435494328301883E-2</v>
      </c>
    </row>
    <row r="14" spans="1:10">
      <c r="A14" s="13" t="s">
        <v>84</v>
      </c>
      <c r="B14" s="36">
        <f ca="1">SUMIF(Table19[Secondary theme],Table33[[#This Row],[Secondary theme]],Table19[Stock Exposure])</f>
        <v>20302.661057973899</v>
      </c>
      <c r="C14" s="84">
        <f ca="1">Table33[[#This Row],[Stock Exposure]]/'Primary Theme'!$D$5</f>
        <v>0.15501608222771027</v>
      </c>
      <c r="D14" s="13"/>
      <c r="E14" s="128">
        <f ca="1">SUMIF(Table19[Secondary theme],Table33[[#This Row],[Secondary theme]],Table19[Option Exposure])</f>
        <v>7135.6591797425681</v>
      </c>
      <c r="F14" s="108">
        <f ca="1">Table33[[#This Row],[Stock Exposure]]+Table33[[#This Row],[Option Exposure]]</f>
        <v>27438.320237716467</v>
      </c>
      <c r="G14" s="129">
        <f ca="1">Table33[[#This Row],[Combined Exposure]]/'Primary Theme'!$D$4</f>
        <v>0.17294648550980074</v>
      </c>
    </row>
    <row r="15" spans="1:10">
      <c r="A15" s="13" t="s">
        <v>521</v>
      </c>
      <c r="B15" s="128">
        <f ca="1">SUMIF(Table19[Secondary theme],Table33[[#This Row],[Secondary theme]],Table19[Stock Exposure])</f>
        <v>786.93000000000006</v>
      </c>
      <c r="C15" s="84">
        <f ca="1">Table33[[#This Row],[Stock Exposure]]/'Primary Theme'!$D$5</f>
        <v>6.0084146230447739E-3</v>
      </c>
      <c r="D15" s="13"/>
      <c r="E15" s="128">
        <f>SUMIF(Table19[Secondary theme],Table33[[#This Row],[Secondary theme]],Table19[Option Exposure])</f>
        <v>0</v>
      </c>
      <c r="F15" s="108">
        <f ca="1">Table33[[#This Row],[Stock Exposure]]+Table33[[#This Row],[Option Exposure]]</f>
        <v>786.93000000000006</v>
      </c>
      <c r="G15" s="129">
        <f ca="1">Table33[[#This Row],[Combined Exposure]]/'Primary Theme'!$D$4</f>
        <v>4.9600987474134849E-3</v>
      </c>
    </row>
    <row r="16" spans="1:10">
      <c r="A16" s="13" t="s">
        <v>54</v>
      </c>
      <c r="B16" s="36">
        <f ca="1">SUMIF(Table19[Secondary theme],Table33[[#This Row],[Secondary theme]],Table19[Stock Exposure])</f>
        <v>0</v>
      </c>
      <c r="C16" s="84">
        <f ca="1">Table33[[#This Row],[Stock Exposure]]/'Primary Theme'!$D$5</f>
        <v>0</v>
      </c>
      <c r="D16" s="13"/>
      <c r="E16" s="128">
        <f ca="1">SUMIF(Table19[Secondary theme],Table33[[#This Row],[Secondary theme]],Table19[Option Exposure])</f>
        <v>0</v>
      </c>
      <c r="F16" s="108">
        <f ca="1">Table33[[#This Row],[Stock Exposure]]+Table33[[#This Row],[Option Exposure]]</f>
        <v>0</v>
      </c>
      <c r="G16" s="129">
        <f ca="1">Table33[[#This Row],[Combined Exposure]]/'Primary Theme'!$D$4</f>
        <v>0</v>
      </c>
      <c r="J16" s="143"/>
    </row>
    <row r="17" spans="1:7">
      <c r="A17" s="13" t="s">
        <v>147</v>
      </c>
      <c r="B17" s="36">
        <f ca="1">SUMIF(Table19[Secondary theme],Table33[[#This Row],[Secondary theme]],Table19[Stock Exposure])</f>
        <v>-990.19999999999993</v>
      </c>
      <c r="C17" s="84">
        <f ca="1">Table33[[#This Row],[Stock Exposure]]/'Primary Theme'!$D$5</f>
        <v>-7.5604337866632789E-3</v>
      </c>
      <c r="D17" s="13"/>
      <c r="E17" s="128">
        <f ca="1">SUMIF(Table19[Secondary theme],Table33[[#This Row],[Secondary theme]],Table19[Option Exposure])</f>
        <v>0</v>
      </c>
      <c r="F17" s="108">
        <f ca="1">Table33[[#This Row],[Stock Exposure]]+Table33[[#This Row],[Option Exposure]]</f>
        <v>-990.19999999999993</v>
      </c>
      <c r="G17" s="129">
        <f ca="1">Table33[[#This Row],[Combined Exposure]]/'Primary Theme'!$D$4</f>
        <v>-6.2413299527134961E-3</v>
      </c>
    </row>
    <row r="18" spans="1:7">
      <c r="A18" s="13" t="s">
        <v>540</v>
      </c>
      <c r="B18" s="128">
        <f ca="1">SUMIF(Table19[Secondary theme],Table33[[#This Row],[Secondary theme]],Table19[Stock Exposure])</f>
        <v>3940.38</v>
      </c>
      <c r="C18" s="84">
        <f ca="1">Table33[[#This Row],[Stock Exposure]]/'Primary Theme'!$D$5</f>
        <v>3.0085823151173755E-2</v>
      </c>
      <c r="D18" s="13"/>
      <c r="E18" s="128">
        <f ca="1">SUMIF(Table19[Secondary theme],Table33[[#This Row],[Secondary theme]],Table19[Option Exposure])</f>
        <v>0</v>
      </c>
      <c r="F18" s="108">
        <f ca="1">Table33[[#This Row],[Stock Exposure]]+Table33[[#This Row],[Option Exposure]]</f>
        <v>3940.38</v>
      </c>
      <c r="G18" s="129">
        <f ca="1">Table33[[#This Row],[Combined Exposure]]/'Primary Theme'!$D$4</f>
        <v>2.4836610501992738E-2</v>
      </c>
    </row>
    <row r="19" spans="1:7">
      <c r="A19" s="13" t="s">
        <v>136</v>
      </c>
      <c r="B19" s="36">
        <f ca="1">SUMIF(Table19[Secondary theme],Table33[[#This Row],[Secondary theme]],Table19[Stock Exposure])</f>
        <v>1353.4066</v>
      </c>
      <c r="C19" s="84">
        <f ca="1">Table33[[#This Row],[Stock Exposure]]/'Primary Theme'!$D$5</f>
        <v>1.0333610367332937E-2</v>
      </c>
      <c r="D19" s="13"/>
      <c r="E19" s="128">
        <f>SUMIF(Table19[Secondary theme],Table33[[#This Row],[Secondary theme]],Table19[Option Exposure])</f>
        <v>0</v>
      </c>
      <c r="F19" s="108">
        <f ca="1">Table33[[#This Row],[Stock Exposure]]+Table33[[#This Row],[Option Exposure]]</f>
        <v>1353.4066</v>
      </c>
      <c r="G19" s="129">
        <f ca="1">Table33[[#This Row],[Combined Exposure]]/'Primary Theme'!$D$4</f>
        <v>8.5306575952132247E-3</v>
      </c>
    </row>
    <row r="20" spans="1:7">
      <c r="A20" s="13" t="s">
        <v>457</v>
      </c>
      <c r="B20" s="128">
        <f ca="1">SUMIF(Table19[Secondary theme],Table33[[#This Row],[Secondary theme]],Table19[Stock Exposure])</f>
        <v>45.11</v>
      </c>
      <c r="C20" s="84">
        <f ca="1">Table33[[#This Row],[Stock Exposure]]/'Primary Theme'!$D$5</f>
        <v>3.4442654828961878E-4</v>
      </c>
      <c r="D20" s="13"/>
      <c r="E20" s="128">
        <f ca="1">SUMIF(Table19[Secondary theme],Table33[[#This Row],[Secondary theme]],Table19[Option Exposure])</f>
        <v>0</v>
      </c>
      <c r="F20" s="108">
        <f ca="1">Table33[[#This Row],[Stock Exposure]]+Table33[[#This Row],[Option Exposure]]</f>
        <v>45.11</v>
      </c>
      <c r="G20" s="129">
        <f ca="1">Table33[[#This Row],[Combined Exposure]]/'Primary Theme'!$D$4</f>
        <v>2.8433285615724686E-4</v>
      </c>
    </row>
    <row r="21" spans="1:7">
      <c r="A21" s="13" t="s">
        <v>30</v>
      </c>
      <c r="B21" s="36">
        <f ca="1">SUMIF(Table19[Secondary theme],Table33[[#This Row],[Secondary theme]],Table19[Stock Exposure])</f>
        <v>0</v>
      </c>
      <c r="C21" s="84">
        <f ca="1">Table33[[#This Row],[Stock Exposure]]/'Primary Theme'!$D$5</f>
        <v>0</v>
      </c>
      <c r="D21" s="13"/>
      <c r="E21" s="128">
        <f ca="1">SUMIF(Table19[Secondary theme],Table33[[#This Row],[Secondary theme]],Table19[Option Exposure])</f>
        <v>0</v>
      </c>
      <c r="F21" s="108">
        <f ca="1">Table33[[#This Row],[Stock Exposure]]+Table33[[#This Row],[Option Exposure]]</f>
        <v>0</v>
      </c>
      <c r="G21" s="129">
        <f ca="1">Table33[[#This Row],[Combined Exposure]]/'Primary Theme'!$D$4</f>
        <v>0</v>
      </c>
    </row>
    <row r="22" spans="1:7">
      <c r="A22" s="13" t="s">
        <v>454</v>
      </c>
      <c r="B22" s="128">
        <f ca="1">SUMIF(Table19[Secondary theme],Table33[[#This Row],[Secondary theme]],Table19[Stock Exposure])</f>
        <v>1821.65</v>
      </c>
      <c r="C22" s="84">
        <f ca="1">Table33[[#This Row],[Stock Exposure]]/'Primary Theme'!$D$5</f>
        <v>1.3908770154994105E-2</v>
      </c>
      <c r="D22" s="13"/>
      <c r="E22" s="128">
        <f ca="1">SUMIF(Table19[Secondary theme],Table33[[#This Row],[Secondary theme]],Table19[Option Exposure])</f>
        <v>0</v>
      </c>
      <c r="F22" s="108">
        <f ca="1">Table33[[#This Row],[Stock Exposure]]+Table33[[#This Row],[Option Exposure]]</f>
        <v>1821.65</v>
      </c>
      <c r="G22" s="129">
        <f ca="1">Table33[[#This Row],[Combined Exposure]]/'Primary Theme'!$D$4</f>
        <v>1.1482042727085985E-2</v>
      </c>
    </row>
    <row r="23" spans="1:7">
      <c r="A23" s="13" t="s">
        <v>260</v>
      </c>
      <c r="B23" s="36">
        <f ca="1">SUMIF(Table19[Secondary theme],Table33[[#This Row],[Secondary theme]],Table19[Stock Exposure])</f>
        <v>0</v>
      </c>
      <c r="C23" s="84">
        <f ca="1">Table33[[#This Row],[Stock Exposure]]/'Primary Theme'!$D$5</f>
        <v>0</v>
      </c>
      <c r="D23" s="13"/>
      <c r="E23" s="128">
        <f ca="1">SUMIF(Table19[Secondary theme],Table33[[#This Row],[Secondary theme]],Table19[Option Exposure])</f>
        <v>0</v>
      </c>
      <c r="F23" s="108">
        <f ca="1">Table33[[#This Row],[Stock Exposure]]+Table33[[#This Row],[Option Exposure]]</f>
        <v>0</v>
      </c>
      <c r="G23" s="129">
        <f ca="1">Table33[[#This Row],[Combined Exposure]]/'Primary Theme'!$D$4</f>
        <v>0</v>
      </c>
    </row>
    <row r="24" spans="1:7">
      <c r="A24" s="13" t="s">
        <v>495</v>
      </c>
      <c r="B24" s="128">
        <f ca="1">SUMIF(Table19[Secondary theme],Table33[[#This Row],[Secondary theme]],Table19[Stock Exposure])</f>
        <v>2206.8782000000001</v>
      </c>
      <c r="C24" s="84">
        <f ca="1">Table33[[#This Row],[Stock Exposure]]/'Primary Theme'!$D$5</f>
        <v>1.6850087362482977E-2</v>
      </c>
      <c r="D24" s="13"/>
      <c r="E24" s="128">
        <f>SUMIF(Table19[Secondary theme],Table33[[#This Row],[Secondary theme]],Table19[Option Exposure])</f>
        <v>0</v>
      </c>
      <c r="F24" s="108">
        <f ca="1">Table33[[#This Row],[Stock Exposure]]+Table33[[#This Row],[Option Exposure]]</f>
        <v>2206.8782000000001</v>
      </c>
      <c r="G24" s="129">
        <f ca="1">Table33[[#This Row],[Combined Exposure]]/'Primary Theme'!$D$4</f>
        <v>1.391017472394511E-2</v>
      </c>
    </row>
    <row r="25" spans="1:7">
      <c r="A25" s="13" t="s">
        <v>58</v>
      </c>
      <c r="B25" s="36">
        <f ca="1">SUMIF(Table19[Secondary theme],Table33[[#This Row],[Secondary theme]],Table19[Stock Exposure])</f>
        <v>0</v>
      </c>
      <c r="C25" s="84">
        <f ca="1">Table33[[#This Row],[Stock Exposure]]/'Primary Theme'!$D$5</f>
        <v>0</v>
      </c>
      <c r="D25" s="13"/>
      <c r="E25" s="128">
        <f ca="1">SUMIF(Table19[Secondary theme],Table33[[#This Row],[Secondary theme]],Table19[Option Exposure])</f>
        <v>0</v>
      </c>
      <c r="F25" s="108">
        <f ca="1">Table33[[#This Row],[Stock Exposure]]+Table33[[#This Row],[Option Exposure]]</f>
        <v>0</v>
      </c>
      <c r="G25" s="129">
        <f ca="1">Table33[[#This Row],[Combined Exposure]]/'Primary Theme'!$D$4</f>
        <v>0</v>
      </c>
    </row>
    <row r="26" spans="1:7">
      <c r="A26" s="13" t="s">
        <v>132</v>
      </c>
      <c r="B26" s="36">
        <f ca="1">SUMIF(Table19[Secondary theme],Table33[[#This Row],[Secondary theme]],Table19[Stock Exposure])</f>
        <v>0</v>
      </c>
      <c r="C26" s="84">
        <f ca="1">Table33[[#This Row],[Stock Exposure]]/'Primary Theme'!$D$5</f>
        <v>0</v>
      </c>
      <c r="D26" s="13"/>
      <c r="E26" s="128">
        <f ca="1">SUMIF(Table19[Secondary theme],Table33[[#This Row],[Secondary theme]],Table19[Option Exposure])</f>
        <v>0</v>
      </c>
      <c r="F26" s="108">
        <f ca="1">Table33[[#This Row],[Stock Exposure]]+Table33[[#This Row],[Option Exposure]]</f>
        <v>0</v>
      </c>
      <c r="G26" s="129">
        <f ca="1">Table33[[#This Row],[Combined Exposure]]/'Primary Theme'!$D$4</f>
        <v>0</v>
      </c>
    </row>
    <row r="27" spans="1:7">
      <c r="A27" s="13" t="s">
        <v>562</v>
      </c>
      <c r="B27" s="128">
        <f ca="1">SUMIF(Table19[Secondary theme],Table33[[#This Row],[Secondary theme]],Table19[Stock Exposure])</f>
        <v>672.58500000000004</v>
      </c>
      <c r="C27" s="84">
        <f ca="1">Table33[[#This Row],[Stock Exposure]]/'Primary Theme'!$D$5</f>
        <v>5.1353608951756431E-3</v>
      </c>
      <c r="D27" s="13"/>
      <c r="E27" s="128">
        <f>SUMIF(Table19[Secondary theme],Table33[[#This Row],[Secondary theme]],Table19[Option Exposure])</f>
        <v>0</v>
      </c>
      <c r="F27" s="108">
        <f ca="1">Table33[[#This Row],[Stock Exposure]]+Table33[[#This Row],[Option Exposure]]</f>
        <v>672.58500000000004</v>
      </c>
      <c r="G27" s="129">
        <f ca="1">Table33[[#This Row],[Combined Exposure]]/'Primary Theme'!$D$4</f>
        <v>4.2393707394928377E-3</v>
      </c>
    </row>
    <row r="28" spans="1:7">
      <c r="A28" s="13" t="s">
        <v>542</v>
      </c>
      <c r="B28" s="128">
        <f ca="1">SUMIF(Table19[Secondary theme],Table33[[#This Row],[Secondary theme]],Table19[Stock Exposure])</f>
        <v>203.29999999999998</v>
      </c>
      <c r="C28" s="84">
        <f ca="1">Table33[[#This Row],[Stock Exposure]]/'Primary Theme'!$D$5</f>
        <v>1.5522482213983484E-3</v>
      </c>
      <c r="D28" s="13"/>
      <c r="E28" s="128">
        <f>SUMIF(Table19[Secondary theme],Table33[[#This Row],[Secondary theme]],Table19[Option Exposure])</f>
        <v>0</v>
      </c>
      <c r="F28" s="108">
        <f ca="1">Table33[[#This Row],[Stock Exposure]]+Table33[[#This Row],[Option Exposure]]</f>
        <v>203.29999999999998</v>
      </c>
      <c r="G28" s="129">
        <f ca="1">Table33[[#This Row],[Combined Exposure]]/'Primary Theme'!$D$4</f>
        <v>1.2814202983100927E-3</v>
      </c>
    </row>
    <row r="29" spans="1:7">
      <c r="A29" s="13" t="s">
        <v>560</v>
      </c>
      <c r="B29" s="128">
        <f ca="1">SUMIF(Table19[Secondary theme],Table33[[#This Row],[Secondary theme]],Table19[Stock Exposure])</f>
        <v>504.7999999999999</v>
      </c>
      <c r="C29" s="84">
        <f ca="1">Table33[[#This Row],[Stock Exposure]]/'Primary Theme'!$D$5</f>
        <v>3.8542789088139998E-3</v>
      </c>
      <c r="D29" s="13"/>
      <c r="E29" s="128">
        <f ca="1">SUMIF(Table19[Secondary theme],Table33[[#This Row],[Secondary theme]],Table19[Option Exposure])</f>
        <v>0</v>
      </c>
      <c r="F29" s="108">
        <f ca="1">Table33[[#This Row],[Stock Exposure]]+Table33[[#This Row],[Option Exposure]]</f>
        <v>504.7999999999999</v>
      </c>
      <c r="G29" s="129">
        <f ca="1">Table33[[#This Row],[Combined Exposure]]/'Primary Theme'!$D$4</f>
        <v>3.1818050496160094E-3</v>
      </c>
    </row>
    <row r="30" spans="1:7">
      <c r="A30" s="13" t="s">
        <v>548</v>
      </c>
      <c r="B30" s="128">
        <f ca="1">SUMIF(Table19[Secondary theme],Table33[[#This Row],[Secondary theme]],Table19[Stock Exposure])</f>
        <v>3872.7999999999997</v>
      </c>
      <c r="C30" s="84">
        <f ca="1">Table33[[#This Row],[Stock Exposure]]/'Primary Theme'!$D$5</f>
        <v>2.9569832325782211E-2</v>
      </c>
      <c r="D30" s="13"/>
      <c r="E30" s="128">
        <f>SUMIF(Table19[Secondary theme],Table33[[#This Row],[Secondary theme]],Table19[Option Exposure])</f>
        <v>0</v>
      </c>
      <c r="F30" s="108">
        <f ca="1">Table33[[#This Row],[Stock Exposure]]+Table33[[#This Row],[Option Exposure]]</f>
        <v>3872.7999999999997</v>
      </c>
      <c r="G30" s="129">
        <f ca="1">Table33[[#This Row],[Combined Exposure]]/'Primary Theme'!$D$4</f>
        <v>2.4410646981285426E-2</v>
      </c>
    </row>
    <row r="31" spans="1:7">
      <c r="A31" s="13" t="s">
        <v>515</v>
      </c>
      <c r="B31" s="128">
        <f ca="1">SUMIF(Table19[Secondary theme],Table33[[#This Row],[Secondary theme]],Table19[Stock Exposure])</f>
        <v>0</v>
      </c>
      <c r="C31" s="84">
        <f ca="1">Table33[[#This Row],[Stock Exposure]]/'Primary Theme'!$D$5</f>
        <v>0</v>
      </c>
      <c r="D31" s="13"/>
      <c r="E31" s="128">
        <f>SUMIF(Table19[Secondary theme],Table33[[#This Row],[Secondary theme]],Table19[Option Exposure])</f>
        <v>0</v>
      </c>
      <c r="F31" s="108">
        <f ca="1">Table33[[#This Row],[Stock Exposure]]+Table33[[#This Row],[Option Exposure]]</f>
        <v>0</v>
      </c>
      <c r="G31" s="129">
        <f ca="1">Table33[[#This Row],[Combined Exposure]]/'Primary Theme'!$D$4</f>
        <v>0</v>
      </c>
    </row>
    <row r="32" spans="1:7">
      <c r="A32" s="13" t="s">
        <v>127</v>
      </c>
      <c r="B32" s="128">
        <f ca="1">SUMIF(Table19[Secondary theme],Table33[[#This Row],[Secondary theme]],Table19[Stock Exposure])</f>
        <v>1973</v>
      </c>
      <c r="C32" s="84">
        <f ca="1">Table33[[#This Row],[Stock Exposure]]/'Primary Theme'!$D$5</f>
        <v>1.5064366654298778E-2</v>
      </c>
      <c r="D32" s="13"/>
      <c r="E32" s="128">
        <f ca="1">SUMIF(Table19[Secondary theme],Table33[[#This Row],[Secondary theme]],Table19[Option Exposure])</f>
        <v>0</v>
      </c>
      <c r="F32" s="108">
        <f ca="1">Table33[[#This Row],[Stock Exposure]]+Table33[[#This Row],[Option Exposure]]</f>
        <v>1973</v>
      </c>
      <c r="G32" s="129">
        <f ca="1">Table33[[#This Row],[Combined Exposure]]/'Primary Theme'!$D$4</f>
        <v>1.2436016962940546E-2</v>
      </c>
    </row>
    <row r="33" spans="1:7">
      <c r="A33" s="13" t="s">
        <v>512</v>
      </c>
      <c r="B33" s="128">
        <f ca="1">SUMIF(Table19[Secondary theme],Table33[[#This Row],[Secondary theme]],Table19[Stock Exposure])</f>
        <v>0</v>
      </c>
      <c r="C33" s="84">
        <f ca="1">Table33[[#This Row],[Stock Exposure]]/'Primary Theme'!$D$5</f>
        <v>0</v>
      </c>
      <c r="D33" s="13"/>
      <c r="E33" s="128">
        <f>SUMIF(Table19[Secondary theme],Table33[[#This Row],[Secondary theme]],Table19[Option Exposure])</f>
        <v>0</v>
      </c>
      <c r="F33" s="108">
        <f ca="1">Table33[[#This Row],[Stock Exposure]]+Table33[[#This Row],[Option Exposure]]</f>
        <v>0</v>
      </c>
      <c r="G33" s="129">
        <f ca="1">Table33[[#This Row],[Combined Exposure]]/'Primary Theme'!$D$4</f>
        <v>0</v>
      </c>
    </row>
    <row r="34" spans="1:7">
      <c r="A34" s="13" t="s">
        <v>545</v>
      </c>
      <c r="B34" s="128">
        <f ca="1">SUMIF(Table19[Secondary theme],Table33[[#This Row],[Secondary theme]],Table19[Stock Exposure])</f>
        <v>0</v>
      </c>
      <c r="C34" s="84">
        <f ca="1">Table33[[#This Row],[Stock Exposure]]/'Primary Theme'!$D$5</f>
        <v>0</v>
      </c>
      <c r="D34" s="13"/>
      <c r="E34" s="128">
        <f>SUMIF(Table19[Secondary theme],Table33[[#This Row],[Secondary theme]],Table19[Option Exposure])</f>
        <v>0</v>
      </c>
      <c r="F34" s="108">
        <f ca="1">Table33[[#This Row],[Stock Exposure]]+Table33[[#This Row],[Option Exposure]]</f>
        <v>0</v>
      </c>
      <c r="G34" s="129">
        <f ca="1">Table33[[#This Row],[Combined Exposure]]/'Primary Theme'!$D$4</f>
        <v>0</v>
      </c>
    </row>
    <row r="35" spans="1:7">
      <c r="A35" s="13" t="s">
        <v>563</v>
      </c>
      <c r="B35" s="128">
        <f ca="1">SUMIF(Table19[Secondary theme],Table33[[#This Row],[Secondary theme]],Table19[Stock Exposure])</f>
        <v>702.1</v>
      </c>
      <c r="C35" s="84">
        <f ca="1">Table33[[#This Row],[Stock Exposure]]/'Primary Theme'!$D$5</f>
        <v>5.3607155742438784E-3</v>
      </c>
      <c r="D35" s="13"/>
      <c r="E35" s="128">
        <f>SUMIF(Table19[Secondary theme],Table33[[#This Row],[Secondary theme]],Table19[Option Exposure])</f>
        <v>0</v>
      </c>
      <c r="F35" s="108">
        <f ca="1">Table33[[#This Row],[Stock Exposure]]+Table33[[#This Row],[Option Exposure]]</f>
        <v>702.1</v>
      </c>
      <c r="G35" s="129">
        <f ca="1">Table33[[#This Row],[Combined Exposure]]/'Primary Theme'!$D$4</f>
        <v>4.4254067459100653E-3</v>
      </c>
    </row>
    <row r="36" spans="1:7">
      <c r="A36" s="13" t="s">
        <v>119</v>
      </c>
      <c r="B36" s="128">
        <f ca="1">SUMIF(Table19[Secondary theme],Table33[[#This Row],[Secondary theme]],Table19[Stock Exposure])</f>
        <v>1389.5500000000002</v>
      </c>
      <c r="C36" s="84">
        <f ca="1">Table33[[#This Row],[Stock Exposure]]/'Primary Theme'!$D$5</f>
        <v>1.0609574599331409E-2</v>
      </c>
      <c r="D36" s="13"/>
      <c r="E36" s="128">
        <f>SUMIF(Table19[Secondary theme],Table33[[#This Row],[Secondary theme]],Table19[Option Exposure])</f>
        <v>0</v>
      </c>
      <c r="F36" s="108">
        <f ca="1">Table33[[#This Row],[Stock Exposure]]+Table33[[#This Row],[Option Exposure]]</f>
        <v>1389.5500000000002</v>
      </c>
      <c r="G36" s="129">
        <f ca="1">Table33[[#This Row],[Combined Exposure]]/'Primary Theme'!$D$4</f>
        <v>8.7584730718976381E-3</v>
      </c>
    </row>
    <row r="37" spans="1:7">
      <c r="A37" s="13" t="s">
        <v>25</v>
      </c>
      <c r="B37" s="36">
        <f ca="1">SUMIF(Table19[Secondary theme],Table33[[#This Row],[Secondary theme]],Table19[Stock Exposure])</f>
        <v>908.03449999999998</v>
      </c>
      <c r="C37" s="84">
        <f ca="1">Table33[[#This Row],[Stock Exposure]]/'Primary Theme'!$D$5</f>
        <v>6.9330788863420497E-3</v>
      </c>
      <c r="D37" s="13"/>
      <c r="E37" s="128">
        <f ca="1">SUMIF(Table19[Secondary theme],Table33[[#This Row],[Secondary theme]],Table19[Option Exposure])</f>
        <v>0</v>
      </c>
      <c r="F37" s="108">
        <f ca="1">Table33[[#This Row],[Stock Exposure]]+Table33[[#This Row],[Option Exposure]]</f>
        <v>908.03449999999998</v>
      </c>
      <c r="G37" s="129">
        <f ca="1">Table33[[#This Row],[Combined Exposure]]/'Primary Theme'!$D$4</f>
        <v>5.7234325620553663E-3</v>
      </c>
    </row>
    <row r="38" spans="1:7">
      <c r="A38" s="13" t="s">
        <v>257</v>
      </c>
      <c r="B38" s="36">
        <f ca="1">SUMIF(Table19[Secondary theme],Table33[[#This Row],[Secondary theme]],Table19[Stock Exposure])</f>
        <v>939.83999999999992</v>
      </c>
      <c r="C38" s="84">
        <f ca="1">Table33[[#This Row],[Stock Exposure]]/'Primary Theme'!$D$5</f>
        <v>7.1759221269012477E-3</v>
      </c>
      <c r="D38" s="13"/>
      <c r="E38" s="128">
        <f ca="1">SUMIF(Table19[Secondary theme],Table33[[#This Row],[Secondary theme]],Table19[Option Exposure])</f>
        <v>0</v>
      </c>
      <c r="F38" s="108">
        <f ca="1">Table33[[#This Row],[Stock Exposure]]+Table33[[#This Row],[Option Exposure]]</f>
        <v>939.83999999999992</v>
      </c>
      <c r="G38" s="129">
        <f ca="1">Table33[[#This Row],[Combined Exposure]]/'Primary Theme'!$D$4</f>
        <v>5.923905819792216E-3</v>
      </c>
    </row>
    <row r="39" spans="1:7">
      <c r="A39" s="13" t="s">
        <v>257</v>
      </c>
      <c r="B39" s="128">
        <f ca="1">SUMIF(Table19[Secondary theme],Table33[[#This Row],[Secondary theme]],Table19[Stock Exposure])</f>
        <v>939.83999999999992</v>
      </c>
      <c r="C39" s="84">
        <f ca="1">Table33[[#This Row],[Stock Exposure]]/'Primary Theme'!$D$5</f>
        <v>7.1759221269012477E-3</v>
      </c>
      <c r="D39" s="13"/>
      <c r="E39" s="128">
        <f ca="1">SUMIF(Table19[Secondary theme],Table33[[#This Row],[Secondary theme]],Table19[Option Exposure])</f>
        <v>0</v>
      </c>
      <c r="F39" s="108">
        <f ca="1">Table33[[#This Row],[Stock Exposure]]+Table33[[#This Row],[Option Exposure]]</f>
        <v>939.83999999999992</v>
      </c>
      <c r="G39" s="129">
        <f ca="1">Table33[[#This Row],[Combined Exposure]]/'Primary Theme'!$D$4</f>
        <v>5.923905819792216E-3</v>
      </c>
    </row>
    <row r="40" spans="1:7">
      <c r="A40" s="13" t="s">
        <v>130</v>
      </c>
      <c r="B40" s="36">
        <f ca="1">SUMIF(Table19[Secondary theme],Table33[[#This Row],[Secondary theme]],Table19[Stock Exposure])</f>
        <v>593.05999999999995</v>
      </c>
      <c r="C40" s="84">
        <f ca="1">Table33[[#This Row],[Stock Exposure]]/'Primary Theme'!$D$5</f>
        <v>4.528166897110204E-3</v>
      </c>
      <c r="D40" s="13"/>
      <c r="E40" s="128">
        <f ca="1">SUMIF(Table19[Secondary theme],Table33[[#This Row],[Secondary theme]],Table19[Option Exposure])</f>
        <v>0</v>
      </c>
      <c r="F40" s="108">
        <f ca="1">Table33[[#This Row],[Stock Exposure]]+Table33[[#This Row],[Option Exposure]]</f>
        <v>593.05999999999995</v>
      </c>
      <c r="G40" s="129">
        <f ca="1">Table33[[#This Row],[Combined Exposure]]/'Primary Theme'!$D$4</f>
        <v>3.7381166852719309E-3</v>
      </c>
    </row>
    <row r="41" spans="1:7">
      <c r="A41" s="13" t="s">
        <v>121</v>
      </c>
      <c r="B41" s="36">
        <f ca="1">SUMIF(Table19[Secondary theme],Table33[[#This Row],[Secondary theme]],Table19[Stock Exposure])</f>
        <v>-855.25</v>
      </c>
      <c r="C41" s="84">
        <f ca="1">Table33[[#This Row],[Stock Exposure]]/'Primary Theme'!$D$5</f>
        <v>-6.5300555403390928E-3</v>
      </c>
      <c r="D41" s="13"/>
      <c r="E41" s="128">
        <f ca="1">SUMIF(Table19[Secondary theme],Table33[[#This Row],[Secondary theme]],Table19[Option Exposure])</f>
        <v>0</v>
      </c>
      <c r="F41" s="108">
        <f ca="1">Table33[[#This Row],[Stock Exposure]]+Table33[[#This Row],[Option Exposure]]</f>
        <v>-855.25</v>
      </c>
      <c r="G41" s="129">
        <f ca="1">Table33[[#This Row],[Combined Exposure]]/'Primary Theme'!$D$4</f>
        <v>-5.3907265623694385E-3</v>
      </c>
    </row>
    <row r="42" spans="1:7">
      <c r="A42" s="13" t="s">
        <v>358</v>
      </c>
      <c r="B42" s="128">
        <f ca="1">SUMIF(Table19[Secondary theme],Table33[[#This Row],[Secondary theme]],Table19[Stock Exposure])</f>
        <v>0</v>
      </c>
      <c r="C42" s="84">
        <f ca="1">Table33[[#This Row],[Stock Exposure]]/'Primary Theme'!$D$5</f>
        <v>0</v>
      </c>
      <c r="D42" s="13"/>
      <c r="E42" s="128">
        <f ca="1">SUMIF(Table19[Secondary theme],Table33[[#This Row],[Secondary theme]],Table19[Option Exposure])</f>
        <v>0</v>
      </c>
      <c r="F42" s="108">
        <f ca="1">Table33[[#This Row],[Stock Exposure]]+Table33[[#This Row],[Option Exposure]]</f>
        <v>0</v>
      </c>
      <c r="G42" s="129">
        <f ca="1">Table33[[#This Row],[Combined Exposure]]/'Primary Theme'!$D$4</f>
        <v>0</v>
      </c>
    </row>
    <row r="43" spans="1:7">
      <c r="A43" s="13" t="s">
        <v>38</v>
      </c>
      <c r="B43" s="36">
        <f ca="1">SUMIF(Table19[Secondary theme],Table33[[#This Row],[Secondary theme]],Table19[Stock Exposure])</f>
        <v>7060.42</v>
      </c>
      <c r="C43" s="84">
        <f ca="1">Table33[[#This Row],[Stock Exposure]]/'Primary Theme'!$D$5</f>
        <v>5.3908137665151637E-2</v>
      </c>
      <c r="D43" s="13"/>
      <c r="E43" s="128">
        <f>SUMIF(Table19[Secondary theme],Table33[[#This Row],[Secondary theme]],Table19[Option Exposure])</f>
        <v>0</v>
      </c>
      <c r="F43" s="108">
        <f ca="1">Table33[[#This Row],[Stock Exposure]]+Table33[[#This Row],[Option Exposure]]</f>
        <v>7060.42</v>
      </c>
      <c r="G43" s="129">
        <f ca="1">Table33[[#This Row],[Combined Exposure]]/'Primary Theme'!$D$4</f>
        <v>4.4502535674346019E-2</v>
      </c>
    </row>
    <row r="44" spans="1:7">
      <c r="A44" s="13" t="s">
        <v>561</v>
      </c>
      <c r="B44" s="128">
        <f ca="1">SUMIF(Table19[Secondary theme],Table33[[#This Row],[Secondary theme]],Table19[Stock Exposure])</f>
        <v>0</v>
      </c>
      <c r="C44" s="84">
        <f ca="1">Table33[[#This Row],[Stock Exposure]]/'Primary Theme'!$D$5</f>
        <v>0</v>
      </c>
      <c r="D44" s="13"/>
      <c r="E44" s="128">
        <f>SUMIF(Table19[Secondary theme],Table33[[#This Row],[Secondary theme]],Table19[Option Exposure])</f>
        <v>0</v>
      </c>
      <c r="F44" s="108">
        <f ca="1">Table33[[#This Row],[Stock Exposure]]+Table33[[#This Row],[Option Exposure]]</f>
        <v>0</v>
      </c>
      <c r="G44" s="129">
        <f ca="1">Table33[[#This Row],[Combined Exposure]]/'Primary Theme'!$D$4</f>
        <v>0</v>
      </c>
    </row>
    <row r="45" spans="1:7">
      <c r="A45" s="13" t="s">
        <v>87</v>
      </c>
      <c r="B45" s="36">
        <f ca="1">SUMIF(Table19[Secondary theme],Table33[[#This Row],[Secondary theme]],Table19[Stock Exposure])</f>
        <v>43.575000000000003</v>
      </c>
      <c r="C45" s="84">
        <f ca="1">Table33[[#This Row],[Stock Exposure]]/'Primary Theme'!$D$5</f>
        <v>3.3270642522101839E-4</v>
      </c>
      <c r="D45" s="13"/>
      <c r="E45" s="128">
        <f ca="1">SUMIF(Table19[Secondary theme],Table33[[#This Row],[Secondary theme]],Table19[Option Exposure])</f>
        <v>0</v>
      </c>
      <c r="F45" s="108">
        <f ca="1">Table33[[#This Row],[Stock Exposure]]+Table33[[#This Row],[Option Exposure]]</f>
        <v>43.575000000000003</v>
      </c>
      <c r="G45" s="129">
        <f ca="1">Table33[[#This Row],[Combined Exposure]]/'Primary Theme'!$D$4</f>
        <v>2.7465759714147714E-4</v>
      </c>
    </row>
    <row r="46" spans="1:7">
      <c r="A46" s="13" t="s">
        <v>559</v>
      </c>
      <c r="B46" s="128">
        <f ca="1">SUMIF(Table19[Secondary theme],Table33[[#This Row],[Secondary theme]],Table19[Stock Exposure])</f>
        <v>1.228</v>
      </c>
      <c r="C46" s="84">
        <f ca="1">Table33[[#This Row],[Stock Exposure]]/'Primary Theme'!$D$5</f>
        <v>9.3760984548803345E-6</v>
      </c>
      <c r="D46" s="13"/>
      <c r="E46" s="128">
        <f>SUMIF(Table19[Secondary theme],Table33[[#This Row],[Secondary theme]],Table19[Option Exposure])</f>
        <v>0</v>
      </c>
      <c r="F46" s="108">
        <f ca="1">Table33[[#This Row],[Stock Exposure]]+Table33[[#This Row],[Option Exposure]]</f>
        <v>1.228</v>
      </c>
      <c r="G46" s="129">
        <f ca="1">Table33[[#This Row],[Combined Exposure]]/'Primary Theme'!$D$4</f>
        <v>7.7402072126158086E-6</v>
      </c>
    </row>
    <row r="47" spans="1:7">
      <c r="A47" s="13" t="s">
        <v>55</v>
      </c>
      <c r="B47" s="36">
        <f ca="1">SUMIF(Table19[Secondary theme],Table33[[#This Row],[Secondary theme]],Table19[Stock Exposure])</f>
        <v>0</v>
      </c>
      <c r="C47" s="84">
        <f ca="1">Table33[[#This Row],[Stock Exposure]]/'Primary Theme'!$D$5</f>
        <v>0</v>
      </c>
      <c r="D47" s="13"/>
      <c r="E47" s="128">
        <f ca="1">SUMIF(Table19[Secondary theme],Table33[[#This Row],[Secondary theme]],Table19[Option Exposure])</f>
        <v>0</v>
      </c>
      <c r="F47" s="108">
        <f ca="1">Table33[[#This Row],[Stock Exposure]]+Table33[[#This Row],[Option Exposure]]</f>
        <v>0</v>
      </c>
      <c r="G47" s="129">
        <f ca="1">Table33[[#This Row],[Combined Exposure]]/'Primary Theme'!$D$4</f>
        <v>0</v>
      </c>
    </row>
    <row r="48" spans="1:7">
      <c r="A48" s="13" t="s">
        <v>551</v>
      </c>
      <c r="B48" s="128">
        <f ca="1">SUMIF(Table19[Secondary theme],Table33[[#This Row],[Secondary theme]],Table19[Stock Exposure])</f>
        <v>0</v>
      </c>
      <c r="C48" s="84">
        <f ca="1">Table33[[#This Row],[Stock Exposure]]/'Primary Theme'!$D$5</f>
        <v>0</v>
      </c>
      <c r="D48" s="13"/>
      <c r="E48" s="128">
        <f ca="1">SUMIF(Table19[Secondary theme],Table33[[#This Row],[Secondary theme]],Table19[Option Exposure])</f>
        <v>0</v>
      </c>
      <c r="F48" s="108">
        <f ca="1">Table33[[#This Row],[Stock Exposure]]+Table33[[#This Row],[Option Exposure]]</f>
        <v>0</v>
      </c>
      <c r="G48" s="129">
        <f ca="1">Table33[[#This Row],[Combined Exposure]]/'Primary Theme'!$D$4</f>
        <v>0</v>
      </c>
    </row>
    <row r="49" spans="1:7">
      <c r="A49" s="13" t="s">
        <v>302</v>
      </c>
      <c r="B49" s="36">
        <f ca="1">SUMIF(Table19[Secondary theme],Table33[[#This Row],[Secondary theme]],Table19[Stock Exposure])</f>
        <v>0</v>
      </c>
      <c r="C49" s="84">
        <f ca="1">Table33[[#This Row],[Stock Exposure]]/'Primary Theme'!$D$5</f>
        <v>0</v>
      </c>
      <c r="D49" s="13"/>
      <c r="E49" s="128">
        <f ca="1">SUMIF(Table19[Secondary theme],Table33[[#This Row],[Secondary theme]],Table19[Option Exposure])</f>
        <v>0</v>
      </c>
      <c r="F49" s="108">
        <f ca="1">Table33[[#This Row],[Stock Exposure]]+Table33[[#This Row],[Option Exposure]]</f>
        <v>0</v>
      </c>
      <c r="G49" s="129">
        <f ca="1">Table33[[#This Row],[Combined Exposure]]/'Primary Theme'!$D$4</f>
        <v>0</v>
      </c>
    </row>
    <row r="50" spans="1:7">
      <c r="A50" s="13" t="s">
        <v>547</v>
      </c>
      <c r="B50" s="128">
        <f ca="1">SUMIF(Table19[Secondary theme],Table33[[#This Row],[Secondary theme]],Table19[Stock Exposure])</f>
        <v>0</v>
      </c>
      <c r="C50" s="84">
        <f ca="1">Table33[[#This Row],[Stock Exposure]]/'Primary Theme'!$D$5</f>
        <v>0</v>
      </c>
      <c r="D50" s="13"/>
      <c r="E50" s="128">
        <f>SUMIF(Table19[Secondary theme],Table33[[#This Row],[Secondary theme]],Table19[Option Exposure])</f>
        <v>0</v>
      </c>
      <c r="F50" s="108">
        <f ca="1">Table33[[#This Row],[Stock Exposure]]+Table33[[#This Row],[Option Exposure]]</f>
        <v>0</v>
      </c>
      <c r="G50" s="129">
        <f ca="1">Table33[[#This Row],[Combined Exposure]]/'Primary Theme'!$D$4</f>
        <v>0</v>
      </c>
    </row>
    <row r="51" spans="1:7">
      <c r="A51" s="13" t="s">
        <v>126</v>
      </c>
      <c r="B51" s="36">
        <f ca="1">SUMIF(Table19[Secondary theme],Table33[[#This Row],[Secondary theme]],Table19[Stock Exposure])</f>
        <v>0</v>
      </c>
      <c r="C51" s="84">
        <f ca="1">Table33[[#This Row],[Stock Exposure]]/'Primary Theme'!$D$5</f>
        <v>0</v>
      </c>
      <c r="D51" s="13"/>
      <c r="E51" s="128">
        <f ca="1">SUMIF(Table19[Secondary theme],Table33[[#This Row],[Secondary theme]],Table19[Option Exposure])</f>
        <v>15778.905685450125</v>
      </c>
      <c r="F51" s="108">
        <f ca="1">Table33[[#This Row],[Stock Exposure]]+Table33[[#This Row],[Option Exposure]]</f>
        <v>15778.905685450125</v>
      </c>
      <c r="G51" s="129">
        <f ca="1">Table33[[#This Row],[Combined Exposure]]/'Primary Theme'!$D$4</f>
        <v>9.9456025727773331E-2</v>
      </c>
    </row>
    <row r="52" spans="1:7">
      <c r="A52" s="13" t="s">
        <v>311</v>
      </c>
      <c r="B52" s="128">
        <f ca="1">SUMIF(Table19[Secondary theme],Table33[[#This Row],[Secondary theme]],Table19[Stock Exposure])</f>
        <v>0</v>
      </c>
      <c r="C52" s="129">
        <f ca="1">Table33[[#This Row],[Stock Exposure]]/'Primary Theme'!$D$5</f>
        <v>0</v>
      </c>
      <c r="D52" s="13"/>
      <c r="E52" s="128">
        <f>SUMIF(Table19[Secondary theme],Table33[[#This Row],[Secondary theme]],Table19[Option Exposure])</f>
        <v>0</v>
      </c>
      <c r="F52" s="108">
        <f ca="1">Table33[[#This Row],[Stock Exposure]]+Table33[[#This Row],[Option Exposure]]</f>
        <v>0</v>
      </c>
      <c r="G52" s="129">
        <f ca="1">Table33[[#This Row],[Combined Exposure]]/'Primary Theme'!$D$4</f>
        <v>0</v>
      </c>
    </row>
    <row r="53" spans="1:7">
      <c r="A53" s="13" t="s">
        <v>408</v>
      </c>
      <c r="B53" s="128">
        <f ca="1">SUMIF(Table19[Secondary theme],Table33[[#This Row],[Secondary theme]],Table19[Stock Exposure])</f>
        <v>0</v>
      </c>
      <c r="C53" s="84">
        <f ca="1">Table33[[#This Row],[Stock Exposure]]/'Primary Theme'!$D$5</f>
        <v>0</v>
      </c>
      <c r="D53" s="13"/>
      <c r="E53" s="128">
        <f ca="1">SUMIF(Table19[Secondary theme],Table33[[#This Row],[Secondary theme]],Table19[Option Exposure])</f>
        <v>0</v>
      </c>
      <c r="F53" s="108">
        <f ca="1">Table33[[#This Row],[Stock Exposure]]+Table33[[#This Row],[Option Exposure]]</f>
        <v>0</v>
      </c>
      <c r="G53" s="129">
        <f ca="1">Table33[[#This Row],[Combined Exposure]]/'Primary Theme'!$D$4</f>
        <v>0</v>
      </c>
    </row>
    <row r="54" spans="1:7">
      <c r="A54" s="13" t="s">
        <v>28</v>
      </c>
      <c r="B54" s="36">
        <f ca="1">SUMIF(Table19[Secondary theme],Table33[[#This Row],[Secondary theme]],Table19[Stock Exposure])</f>
        <v>0</v>
      </c>
      <c r="C54" s="84">
        <f ca="1">Table33[[#This Row],[Stock Exposure]]/'Primary Theme'!$D$5</f>
        <v>0</v>
      </c>
      <c r="D54" s="13"/>
      <c r="E54" s="128">
        <f>SUMIF(Table19[Secondary theme],Table33[[#This Row],[Secondary theme]],Table19[Option Exposure])</f>
        <v>0</v>
      </c>
      <c r="F54" s="108">
        <f ca="1">Table33[[#This Row],[Stock Exposure]]+Table33[[#This Row],[Option Exposure]]</f>
        <v>0</v>
      </c>
      <c r="G54" s="129">
        <f ca="1">Table33[[#This Row],[Combined Exposure]]/'Primary Theme'!$D$4</f>
        <v>0</v>
      </c>
    </row>
    <row r="55" spans="1:7">
      <c r="A55" s="13" t="s">
        <v>541</v>
      </c>
      <c r="B55" s="128">
        <f ca="1">SUMIF(Table19[Secondary theme],Table33[[#This Row],[Secondary theme]],Table19[Stock Exposure])</f>
        <v>3879.3499999999995</v>
      </c>
      <c r="C55" s="84">
        <f ca="1">Table33[[#This Row],[Stock Exposure]]/'Primary Theme'!$D$5</f>
        <v>2.9619843274381125E-2</v>
      </c>
      <c r="D55" s="13"/>
      <c r="E55" s="128">
        <f ca="1">SUMIF(Table19[Secondary theme],Table33[[#This Row],[Secondary theme]],Table19[Option Exposure])</f>
        <v>0</v>
      </c>
      <c r="F55" s="108">
        <f ca="1">Table33[[#This Row],[Stock Exposure]]+Table33[[#This Row],[Option Exposure]]</f>
        <v>3879.3499999999995</v>
      </c>
      <c r="G55" s="129">
        <f ca="1">Table33[[#This Row],[Combined Exposure]]/'Primary Theme'!$D$4</f>
        <v>2.4451932288486265E-2</v>
      </c>
    </row>
    <row r="56" spans="1:7">
      <c r="A56" s="13" t="s">
        <v>469</v>
      </c>
      <c r="B56" s="128">
        <f ca="1">SUMIF(Table19[Secondary theme],Table33[[#This Row],[Secondary theme]],Table19[Stock Exposure])</f>
        <v>0</v>
      </c>
      <c r="C56" s="84">
        <f ca="1">Table33[[#This Row],[Stock Exposure]]/'Primary Theme'!$D$5</f>
        <v>0</v>
      </c>
      <c r="D56" s="13"/>
      <c r="E56" s="128">
        <f ca="1">SUMIF(Table19[Secondary theme],Table33[[#This Row],[Secondary theme]],Table19[Option Exposure])</f>
        <v>0</v>
      </c>
      <c r="F56" s="108">
        <f ca="1">Table33[[#This Row],[Stock Exposure]]+Table33[[#This Row],[Option Exposure]]</f>
        <v>0</v>
      </c>
      <c r="G56" s="129">
        <f ca="1">Table33[[#This Row],[Combined Exposure]]/'Primary Theme'!$D$4</f>
        <v>0</v>
      </c>
    </row>
    <row r="57" spans="1:7">
      <c r="A57" s="13" t="s">
        <v>353</v>
      </c>
      <c r="B57" s="128">
        <f ca="1">SUMIF(Table19[Secondary theme],Table33[[#This Row],[Secondary theme]],Table19[Stock Exposure])</f>
        <v>0</v>
      </c>
      <c r="C57" s="84">
        <f ca="1">Table33[[#This Row],[Stock Exposure]]/'Primary Theme'!$D$5</f>
        <v>0</v>
      </c>
      <c r="D57" s="13"/>
      <c r="E57" s="128">
        <f>SUMIF(Table19[Secondary theme],Table33[[#This Row],[Secondary theme]],Table19[Option Exposure])</f>
        <v>0</v>
      </c>
      <c r="F57" s="108">
        <f ca="1">Table33[[#This Row],[Stock Exposure]]+Table33[[#This Row],[Option Exposure]]</f>
        <v>0</v>
      </c>
      <c r="G57" s="129">
        <f ca="1">Table33[[#This Row],[Combined Exposure]]/'Primary Theme'!$D$4</f>
        <v>0</v>
      </c>
    </row>
    <row r="58" spans="1:7">
      <c r="A58" s="13" t="s">
        <v>117</v>
      </c>
      <c r="B58" s="36">
        <f>SUMIF(Table19[Secondary theme],Table33[[#This Row],[Secondary theme]],Table19[Stock Exposure])</f>
        <v>0</v>
      </c>
      <c r="C58" s="84">
        <f ca="1">Table33[[#This Row],[Stock Exposure]]/'Primary Theme'!$D$5</f>
        <v>0</v>
      </c>
      <c r="D58" s="13"/>
      <c r="E58" s="128">
        <f>SUMIF(Table19[Secondary theme],Table33[[#This Row],[Secondary theme]],Table19[Option Exposure])</f>
        <v>0</v>
      </c>
      <c r="F58" s="108">
        <f>Table33[[#This Row],[Stock Exposure]]+Table33[[#This Row],[Option Exposure]]</f>
        <v>0</v>
      </c>
      <c r="G58" s="129">
        <f ca="1">Table33[[#This Row],[Combined Exposure]]/'Primary Theme'!$D$4</f>
        <v>0</v>
      </c>
    </row>
    <row r="59" spans="1:7">
      <c r="A59" s="13" t="s">
        <v>131</v>
      </c>
      <c r="B59" s="36">
        <f ca="1">SUMIF(Table19[Secondary theme],Table33[[#This Row],[Secondary theme]],Table19[Stock Exposure])</f>
        <v>0</v>
      </c>
      <c r="C59" s="84">
        <f ca="1">Table33[[#This Row],[Stock Exposure]]/'Primary Theme'!$D$5</f>
        <v>0</v>
      </c>
      <c r="D59" s="13"/>
      <c r="E59" s="128">
        <f>SUMIF(Table19[Secondary theme],Table33[[#This Row],[Secondary theme]],Table19[Option Exposure])</f>
        <v>0</v>
      </c>
      <c r="F59" s="108">
        <f ca="1">Table33[[#This Row],[Stock Exposure]]+Table33[[#This Row],[Option Exposure]]</f>
        <v>0</v>
      </c>
      <c r="G59" s="129">
        <f ca="1">Table33[[#This Row],[Combined Exposure]]/'Primary Theme'!$D$4</f>
        <v>0</v>
      </c>
    </row>
    <row r="60" spans="1:7">
      <c r="A60" s="13" t="s">
        <v>258</v>
      </c>
      <c r="B60" s="36">
        <f ca="1">SUMIF(Table19[Secondary theme],Table33[[#This Row],[Secondary theme]],Table19[Stock Exposure])</f>
        <v>2250.48</v>
      </c>
      <c r="C60" s="84">
        <f ca="1">Table33[[#This Row],[Stock Exposure]]/'Primary Theme'!$D$5</f>
        <v>1.7182998412653985E-2</v>
      </c>
      <c r="D60" s="13"/>
      <c r="E60" s="128">
        <f ca="1">SUMIF(Table19[Secondary theme],Table33[[#This Row],[Secondary theme]],Table19[Option Exposure])</f>
        <v>0</v>
      </c>
      <c r="F60" s="108">
        <f ca="1">Table33[[#This Row],[Stock Exposure]]+Table33[[#This Row],[Option Exposure]]</f>
        <v>2250.48</v>
      </c>
      <c r="G60" s="129">
        <f ca="1">Table33[[#This Row],[Combined Exposure]]/'Primary Theme'!$D$4</f>
        <v>1.4185001244175592E-2</v>
      </c>
    </row>
    <row r="61" spans="1:7">
      <c r="A61" s="13" t="s">
        <v>57</v>
      </c>
      <c r="B61" s="36">
        <f ca="1">SUMIF(Table19[Secondary theme],Table33[[#This Row],[Secondary theme]],Table19[Stock Exposure])</f>
        <v>0</v>
      </c>
      <c r="C61" s="84">
        <f ca="1">Table33[[#This Row],[Stock Exposure]]/'Primary Theme'!$D$5</f>
        <v>0</v>
      </c>
      <c r="D61" s="13"/>
      <c r="E61" s="128">
        <f ca="1">SUMIF(Table19[Secondary theme],Table33[[#This Row],[Secondary theme]],Table19[Option Exposure])</f>
        <v>0</v>
      </c>
      <c r="F61" s="108">
        <f ca="1">Table33[[#This Row],[Stock Exposure]]+Table33[[#This Row],[Option Exposure]]</f>
        <v>0</v>
      </c>
      <c r="G61" s="129">
        <f ca="1">Table33[[#This Row],[Combined Exposure]]/'Primary Theme'!$D$4</f>
        <v>0</v>
      </c>
    </row>
    <row r="62" spans="1:7">
      <c r="A62" s="13" t="s">
        <v>292</v>
      </c>
      <c r="B62" s="36">
        <f>SUMIF(Table19[Secondary theme],Table33[[#This Row],[Secondary theme]],Table19[Stock Exposure])</f>
        <v>0</v>
      </c>
      <c r="C62" s="84">
        <f ca="1">Table33[[#This Row],[Stock Exposure]]/'Primary Theme'!$D$5</f>
        <v>0</v>
      </c>
      <c r="D62" s="13"/>
      <c r="E62" s="128">
        <f>SUMIF(Table19[Secondary theme],Table33[[#This Row],[Secondary theme]],Table19[Option Exposure])</f>
        <v>0</v>
      </c>
      <c r="F62" s="108">
        <f>Table33[[#This Row],[Stock Exposure]]+Table33[[#This Row],[Option Exposure]]</f>
        <v>0</v>
      </c>
      <c r="G62" s="129">
        <f ca="1">Table33[[#This Row],[Combined Exposure]]/'Primary Theme'!$D$4</f>
        <v>0</v>
      </c>
    </row>
    <row r="63" spans="1:7">
      <c r="A63" s="13" t="s">
        <v>128</v>
      </c>
      <c r="B63" s="128">
        <f ca="1">SUMIF(Table19[Secondary theme],Table33[[#This Row],[Secondary theme]],Table19[Stock Exposure])</f>
        <v>0</v>
      </c>
      <c r="C63" s="84">
        <f ca="1">Table33[[#This Row],[Stock Exposure]]/'Primary Theme'!$D$5</f>
        <v>0</v>
      </c>
      <c r="D63" s="13"/>
      <c r="E63" s="128">
        <f>SUMIF(Table19[Secondary theme],Table33[[#This Row],[Secondary theme]],Table19[Option Exposure])</f>
        <v>0</v>
      </c>
      <c r="F63" s="108">
        <f ca="1">Table33[[#This Row],[Stock Exposure]]+Table33[[#This Row],[Option Exposure]]</f>
        <v>0</v>
      </c>
      <c r="G63" s="129">
        <f ca="1">Table33[[#This Row],[Combined Exposure]]/'Primary Theme'!$D$4</f>
        <v>0</v>
      </c>
    </row>
    <row r="64" spans="1:7">
      <c r="A64" s="13" t="s">
        <v>261</v>
      </c>
      <c r="B64" s="36">
        <f ca="1">SUMIF(Table19[Secondary theme],Table33[[#This Row],[Secondary theme]],Table19[Stock Exposure])</f>
        <v>0</v>
      </c>
      <c r="C64" s="84">
        <f ca="1">Table33[[#This Row],[Stock Exposure]]/'Primary Theme'!$D$5</f>
        <v>0</v>
      </c>
      <c r="D64" s="13"/>
      <c r="E64" s="128">
        <f ca="1">SUMIF(Table19[Secondary theme],Table33[[#This Row],[Secondary theme]],Table19[Option Exposure])</f>
        <v>0</v>
      </c>
      <c r="F64" s="108">
        <f ca="1">Table33[[#This Row],[Stock Exposure]]+Table33[[#This Row],[Option Exposure]]</f>
        <v>0</v>
      </c>
      <c r="G64" s="129">
        <f ca="1">Table33[[#This Row],[Combined Exposure]]/'Primary Theme'!$D$4</f>
        <v>0</v>
      </c>
    </row>
    <row r="65" spans="1:7">
      <c r="A65" s="13" t="s">
        <v>86</v>
      </c>
      <c r="B65" s="36">
        <f ca="1">SUMIF(Table19[Secondary theme],Table33[[#This Row],[Secondary theme]],Table19[Stock Exposure])</f>
        <v>0</v>
      </c>
      <c r="C65" s="84">
        <f ca="1">Table33[[#This Row],[Stock Exposure]]/'Primary Theme'!$D$5</f>
        <v>0</v>
      </c>
      <c r="D65" s="13"/>
      <c r="E65" s="128">
        <f>SUMIF(Table19[Secondary theme],Table33[[#This Row],[Secondary theme]],Table19[Option Exposure])</f>
        <v>0</v>
      </c>
      <c r="F65" s="108">
        <f ca="1">Table33[[#This Row],[Stock Exposure]]+Table33[[#This Row],[Option Exposure]]</f>
        <v>0</v>
      </c>
      <c r="G65" s="129">
        <f ca="1">Table33[[#This Row],[Combined Exposure]]/'Primary Theme'!$D$4</f>
        <v>0</v>
      </c>
    </row>
    <row r="66" spans="1:7">
      <c r="A66" s="13" t="s">
        <v>326</v>
      </c>
      <c r="B66" s="36">
        <f>SUMIF(Table19[Secondary theme],Table33[[#This Row],[Secondary theme]],Table19[Stock Exposure])</f>
        <v>0</v>
      </c>
      <c r="C66" s="84">
        <f ca="1">Table33[[#This Row],[Stock Exposure]]/'Primary Theme'!$D$5</f>
        <v>0</v>
      </c>
      <c r="D66" s="13"/>
      <c r="E66" s="128">
        <f>SUMIF(Table19[Secondary theme],Table33[[#This Row],[Secondary theme]],Table19[Option Exposure])</f>
        <v>0</v>
      </c>
      <c r="F66" s="108">
        <f>Table33[[#This Row],[Stock Exposure]]+Table33[[#This Row],[Option Exposure]]</f>
        <v>0</v>
      </c>
      <c r="G66" s="129">
        <f ca="1">Table33[[#This Row],[Combined Exposure]]/'Primary Theme'!$D$4</f>
        <v>0</v>
      </c>
    </row>
    <row r="67" spans="1:7">
      <c r="A67" s="13" t="s">
        <v>293</v>
      </c>
      <c r="B67" s="36">
        <f ca="1">SUMIF(Table19[Secondary theme],Table33[[#This Row],[Secondary theme]],Table19[Stock Exposure])</f>
        <v>0</v>
      </c>
      <c r="C67" s="84">
        <f ca="1">Table33[[#This Row],[Stock Exposure]]/'Primary Theme'!$D$5</f>
        <v>0</v>
      </c>
      <c r="D67" s="13"/>
      <c r="E67" s="128">
        <f>SUMIF(Table19[Secondary theme],Table33[[#This Row],[Secondary theme]],Table19[Option Exposure])</f>
        <v>0</v>
      </c>
      <c r="F67" s="108">
        <f ca="1">Table33[[#This Row],[Stock Exposure]]+Table33[[#This Row],[Option Exposure]]</f>
        <v>0</v>
      </c>
      <c r="G67" s="129">
        <f ca="1">Table33[[#This Row],[Combined Exposure]]/'Primary Theme'!$D$4</f>
        <v>0</v>
      </c>
    </row>
    <row r="68" spans="1:7">
      <c r="A68" s="13" t="s">
        <v>146</v>
      </c>
      <c r="B68" s="36">
        <f ca="1">SUMIF(Table19[Secondary theme],Table33[[#This Row],[Secondary theme]],Table19[Stock Exposure])</f>
        <v>0</v>
      </c>
      <c r="C68" s="84">
        <f ca="1">Table33[[#This Row],[Stock Exposure]]/'Primary Theme'!$D$5</f>
        <v>0</v>
      </c>
      <c r="D68" s="13"/>
      <c r="E68" s="128">
        <f ca="1">SUMIF(Table19[Secondary theme],Table33[[#This Row],[Secondary theme]],Table19[Option Exposure])</f>
        <v>0</v>
      </c>
      <c r="F68" s="108">
        <f ca="1">Table33[[#This Row],[Stock Exposure]]+Table33[[#This Row],[Option Exposure]]</f>
        <v>0</v>
      </c>
      <c r="G68" s="129">
        <f ca="1">Table33[[#This Row],[Combined Exposure]]/'Primary Theme'!$D$4</f>
        <v>0</v>
      </c>
    </row>
    <row r="69" spans="1:7">
      <c r="A69" s="13" t="s">
        <v>140</v>
      </c>
      <c r="B69" s="36">
        <f>SUMIF(Table19[Secondary theme],Table33[[#This Row],[Secondary theme]],Table19[Stock Exposure])</f>
        <v>0</v>
      </c>
      <c r="C69" s="84">
        <f ca="1">Table33[[#This Row],[Stock Exposure]]/'Primary Theme'!$D$5</f>
        <v>0</v>
      </c>
      <c r="D69" s="13"/>
      <c r="E69" s="128">
        <f>SUMIF(Table19[Secondary theme],Table33[[#This Row],[Secondary theme]],Table19[Option Exposure])</f>
        <v>0</v>
      </c>
      <c r="F69" s="108">
        <f>Table33[[#This Row],[Stock Exposure]]+Table33[[#This Row],[Option Exposure]]</f>
        <v>0</v>
      </c>
      <c r="G69" s="129">
        <f ca="1">Table33[[#This Row],[Combined Exposure]]/'Primary Theme'!$D$4</f>
        <v>0</v>
      </c>
    </row>
    <row r="70" spans="1:7">
      <c r="A70" s="13" t="s">
        <v>137</v>
      </c>
      <c r="B70" s="36">
        <f ca="1">SUMIF(Table19[Secondary theme],Table33[[#This Row],[Secondary theme]],Table19[Stock Exposure])</f>
        <v>0</v>
      </c>
      <c r="C70" s="84">
        <f ca="1">Table33[[#This Row],[Stock Exposure]]/'Primary Theme'!$D$5</f>
        <v>0</v>
      </c>
      <c r="D70" s="13"/>
      <c r="E70" s="128">
        <f>SUMIF(Table19[Secondary theme],Table33[[#This Row],[Secondary theme]],Table19[Option Exposure])</f>
        <v>0</v>
      </c>
      <c r="F70" s="108">
        <f ca="1">Table33[[#This Row],[Stock Exposure]]+Table33[[#This Row],[Option Exposure]]</f>
        <v>0</v>
      </c>
      <c r="G70" s="129">
        <f ca="1">Table33[[#This Row],[Combined Exposure]]/'Primary Theme'!$D$4</f>
        <v>0</v>
      </c>
    </row>
    <row r="71" spans="1:7">
      <c r="A71" s="13" t="s">
        <v>110</v>
      </c>
      <c r="B71" s="36">
        <f ca="1">SUMIF(Table19[Secondary theme],Table33[[#This Row],[Secondary theme]],Table19[Stock Exposure])</f>
        <v>0</v>
      </c>
      <c r="C71" s="84">
        <f ca="1">Table33[[#This Row],[Stock Exposure]]/'Primary Theme'!$D$5</f>
        <v>0</v>
      </c>
      <c r="D71" s="13"/>
      <c r="E71" s="128">
        <f>SUMIF(Table19[Secondary theme],Table33[[#This Row],[Secondary theme]],Table19[Option Exposure])</f>
        <v>0</v>
      </c>
      <c r="F71" s="108">
        <f ca="1">Table33[[#This Row],[Stock Exposure]]+Table33[[#This Row],[Option Exposure]]</f>
        <v>0</v>
      </c>
      <c r="G71" s="129">
        <f ca="1">Table33[[#This Row],[Combined Exposure]]/'Primary Theme'!$D$4</f>
        <v>0</v>
      </c>
    </row>
    <row r="72" spans="1:7">
      <c r="A72" s="13" t="s">
        <v>1</v>
      </c>
      <c r="B72" s="36">
        <f ca="1">SUMIF(Table19[Secondary theme],Table33[[#This Row],[Secondary theme]],Table19[Stock Exposure])</f>
        <v>0</v>
      </c>
      <c r="C72" s="84">
        <f ca="1">Table33[[#This Row],[Stock Exposure]]/'Primary Theme'!$D$5</f>
        <v>0</v>
      </c>
      <c r="D72" s="13"/>
      <c r="E72" s="128">
        <f ca="1">SUMIF(Table19[Secondary theme],Table33[[#This Row],[Secondary theme]],Table19[Option Exposure])</f>
        <v>0</v>
      </c>
      <c r="F72" s="108">
        <f ca="1">Table33[[#This Row],[Stock Exposure]]+Table33[[#This Row],[Option Exposure]]</f>
        <v>0</v>
      </c>
      <c r="G72" s="129">
        <f ca="1">Table33[[#This Row],[Combined Exposure]]/'Primary Theme'!$D$4</f>
        <v>0</v>
      </c>
    </row>
    <row r="73" spans="1:7">
      <c r="A73" s="13" t="s">
        <v>59</v>
      </c>
      <c r="B73" s="36">
        <f ca="1">SUMIF(Table19[Secondary theme],Table33[[#This Row],[Secondary theme]],Table19[Stock Exposure])</f>
        <v>61.220000000000027</v>
      </c>
      <c r="C73" s="84">
        <f ca="1">Table33[[#This Row],[Stock Exposure]]/'Primary Theme'!$D$5</f>
        <v>4.6743057606496278E-4</v>
      </c>
      <c r="D73" s="13"/>
      <c r="E73" s="128">
        <f>SUMIF(Table19[Secondary theme],Table33[[#This Row],[Secondary theme]],Table19[Option Exposure])</f>
        <v>0</v>
      </c>
      <c r="F73" s="108">
        <f ca="1">Table33[[#This Row],[Stock Exposure]]+Table33[[#This Row],[Option Exposure]]</f>
        <v>61.220000000000027</v>
      </c>
      <c r="G73" s="129">
        <f ca="1">Table33[[#This Row],[Combined Exposure]]/'Primary Theme'!$D$4</f>
        <v>3.8587580257030946E-4</v>
      </c>
    </row>
    <row r="74" spans="1:7">
      <c r="A74" s="13" t="s">
        <v>352</v>
      </c>
      <c r="B74" s="128">
        <f ca="1">SUMIF(Table19[Secondary theme],Table33[[#This Row],[Secondary theme]],Table19[Stock Exposure])</f>
        <v>0</v>
      </c>
      <c r="C74" s="84">
        <f ca="1">Table33[[#This Row],[Stock Exposure]]/'Primary Theme'!$D$5</f>
        <v>0</v>
      </c>
      <c r="D74" s="13"/>
      <c r="E74" s="128">
        <f>SUMIF(Table19[Secondary theme],Table33[[#This Row],[Secondary theme]],Table19[Option Exposure])</f>
        <v>0</v>
      </c>
      <c r="F74" s="108">
        <f ca="1">Table33[[#This Row],[Stock Exposure]]+Table33[[#This Row],[Option Exposure]]</f>
        <v>0</v>
      </c>
      <c r="G74" s="129">
        <f ca="1">Table33[[#This Row],[Combined Exposure]]/'Primary Theme'!$D$4</f>
        <v>0</v>
      </c>
    </row>
    <row r="75" spans="1:7">
      <c r="A75" s="13" t="s">
        <v>141</v>
      </c>
      <c r="B75" s="36">
        <f ca="1">SUMIF(Table19[Secondary theme],Table33[[#This Row],[Secondary theme]],Table19[Stock Exposure])</f>
        <v>0</v>
      </c>
      <c r="C75" s="84">
        <f ca="1">Table33[[#This Row],[Stock Exposure]]/'Primary Theme'!$D$5</f>
        <v>0</v>
      </c>
      <c r="D75" s="13"/>
      <c r="E75" s="128">
        <f>SUMIF(Table19[Secondary theme],Table33[[#This Row],[Secondary theme]],Table19[Option Exposure])</f>
        <v>0</v>
      </c>
      <c r="F75" s="108">
        <f ca="1">Table33[[#This Row],[Stock Exposure]]+Table33[[#This Row],[Option Exposure]]</f>
        <v>0</v>
      </c>
      <c r="G75" s="129">
        <f ca="1">Table33[[#This Row],[Combined Exposure]]/'Primary Theme'!$D$4</f>
        <v>0</v>
      </c>
    </row>
    <row r="76" spans="1:7">
      <c r="A76" s="13" t="s">
        <v>464</v>
      </c>
      <c r="B76" s="128">
        <f ca="1">SUMIF(Table19[Secondary theme],Table33[[#This Row],[Secondary theme]],Table19[Stock Exposure])</f>
        <v>0</v>
      </c>
      <c r="C76" s="84">
        <f ca="1">Table33[[#This Row],[Stock Exposure]]/'Primary Theme'!$D$5</f>
        <v>0</v>
      </c>
      <c r="D76" s="13"/>
      <c r="E76" s="128">
        <f>SUMIF(Table19[Secondary theme],Table33[[#This Row],[Secondary theme]],Table19[Option Exposure])</f>
        <v>0</v>
      </c>
      <c r="F76" s="108">
        <f ca="1">Table33[[#This Row],[Stock Exposure]]+Table33[[#This Row],[Option Exposure]]</f>
        <v>0</v>
      </c>
      <c r="G76" s="129">
        <f ca="1">Table33[[#This Row],[Combined Exposure]]/'Primary Theme'!$D$4</f>
        <v>0</v>
      </c>
    </row>
    <row r="77" spans="1:7">
      <c r="A77" s="13" t="s">
        <v>466</v>
      </c>
      <c r="B77" s="128">
        <f ca="1">SUMIF(Table19[Secondary theme],Table33[[#This Row],[Secondary theme]],Table19[Stock Exposure])</f>
        <v>0</v>
      </c>
      <c r="C77" s="84">
        <f ca="1">Table33[[#This Row],[Stock Exposure]]/'Primary Theme'!$D$5</f>
        <v>0</v>
      </c>
      <c r="D77" s="13"/>
      <c r="E77" s="128">
        <f>SUMIF(Table19[Secondary theme],Table33[[#This Row],[Secondary theme]],Table19[Option Exposure])</f>
        <v>0</v>
      </c>
      <c r="F77" s="108">
        <f ca="1">Table33[[#This Row],[Stock Exposure]]+Table33[[#This Row],[Option Exposure]]</f>
        <v>0</v>
      </c>
      <c r="G77" s="129">
        <f ca="1">Table33[[#This Row],[Combined Exposure]]/'Primary Theme'!$D$4</f>
        <v>0</v>
      </c>
    </row>
    <row r="78" spans="1:7">
      <c r="A78" s="13" t="s">
        <v>259</v>
      </c>
      <c r="B78" s="36">
        <f ca="1">SUMIF(Table19[Secondary theme],Table33[[#This Row],[Secondary theme]],Table19[Stock Exposure])</f>
        <v>0</v>
      </c>
      <c r="C78" s="84">
        <f ca="1">Table33[[#This Row],[Stock Exposure]]/'Primary Theme'!$D$5</f>
        <v>0</v>
      </c>
      <c r="D78" s="13"/>
      <c r="E78" s="128">
        <f ca="1">SUMIF(Table19[Secondary theme],Table33[[#This Row],[Secondary theme]],Table19[Option Exposure])</f>
        <v>0</v>
      </c>
      <c r="F78" s="108">
        <f ca="1">Table33[[#This Row],[Stock Exposure]]+Table33[[#This Row],[Option Exposure]]</f>
        <v>0</v>
      </c>
      <c r="G78" s="129">
        <f ca="1">Table33[[#This Row],[Combined Exposure]]/'Primary Theme'!$D$4</f>
        <v>0</v>
      </c>
    </row>
    <row r="79" spans="1:7">
      <c r="A79" s="13" t="s">
        <v>456</v>
      </c>
      <c r="B79" s="128">
        <f ca="1">SUMIF(Table19[Secondary theme],Table33[[#This Row],[Secondary theme]],Table19[Stock Exposure])</f>
        <v>0</v>
      </c>
      <c r="C79" s="84">
        <f ca="1">Table33[[#This Row],[Stock Exposure]]/'Primary Theme'!$D$5</f>
        <v>0</v>
      </c>
      <c r="D79" s="13"/>
      <c r="E79" s="128">
        <f ca="1">SUMIF(Table19[Secondary theme],Table33[[#This Row],[Secondary theme]],Table19[Option Exposure])</f>
        <v>0</v>
      </c>
      <c r="F79" s="108">
        <f ca="1">Table33[[#This Row],[Stock Exposure]]+Table33[[#This Row],[Option Exposure]]</f>
        <v>0</v>
      </c>
      <c r="G79" s="129">
        <f ca="1">Table33[[#This Row],[Combined Exposure]]/'Primary Theme'!$D$4</f>
        <v>0</v>
      </c>
    </row>
    <row r="80" spans="1:7">
      <c r="A80" s="13" t="s">
        <v>462</v>
      </c>
      <c r="B80" s="128">
        <f ca="1">SUMIF(Table19[Secondary theme],Table33[[#This Row],[Secondary theme]],Table19[Stock Exposure])</f>
        <v>0</v>
      </c>
      <c r="C80" s="84">
        <f ca="1">Table33[[#This Row],[Stock Exposure]]/'Primary Theme'!$D$5</f>
        <v>0</v>
      </c>
      <c r="D80" s="13"/>
      <c r="E80" s="128">
        <f>SUMIF(Table19[Secondary theme],Table33[[#This Row],[Secondary theme]],Table19[Option Exposure])</f>
        <v>0</v>
      </c>
      <c r="F80" s="108">
        <f ca="1">Table33[[#This Row],[Stock Exposure]]+Table33[[#This Row],[Option Exposure]]</f>
        <v>0</v>
      </c>
      <c r="G80" s="129">
        <f ca="1">Table33[[#This Row],[Combined Exposure]]/'Primary Theme'!$D$4</f>
        <v>0</v>
      </c>
    </row>
    <row r="81" spans="1:7">
      <c r="A81" s="13" t="s">
        <v>123</v>
      </c>
      <c r="B81" s="36">
        <f ca="1">SUMIF(Table19[Secondary theme],Table33[[#This Row],[Secondary theme]],Table19[Stock Exposure])</f>
        <v>0</v>
      </c>
      <c r="C81" s="84">
        <f ca="1">Table33[[#This Row],[Stock Exposure]]/'Primary Theme'!$D$5</f>
        <v>0</v>
      </c>
      <c r="D81" s="13"/>
      <c r="E81" s="128">
        <f>SUMIF(Table19[Secondary theme],Table33[[#This Row],[Secondary theme]],Table19[Option Exposure])</f>
        <v>0</v>
      </c>
      <c r="F81" s="108">
        <f ca="1">Table33[[#This Row],[Stock Exposure]]+Table33[[#This Row],[Option Exposure]]</f>
        <v>0</v>
      </c>
      <c r="G81" s="129">
        <f ca="1">Table33[[#This Row],[Combined Exposure]]/'Primary Theme'!$D$4</f>
        <v>0</v>
      </c>
    </row>
    <row r="82" spans="1:7">
      <c r="A82" s="13" t="s">
        <v>445</v>
      </c>
      <c r="B82" s="128">
        <f ca="1">SUMIF(Table19[Secondary theme],Table33[[#This Row],[Secondary theme]],Table19[Stock Exposure])</f>
        <v>0</v>
      </c>
      <c r="C82" s="84">
        <f ca="1">Table33[[#This Row],[Stock Exposure]]/'Primary Theme'!$D$5</f>
        <v>0</v>
      </c>
      <c r="D82" s="13"/>
      <c r="E82" s="128">
        <f>SUMIF(Table19[Secondary theme],Table33[[#This Row],[Secondary theme]],Table19[Option Exposure])</f>
        <v>0</v>
      </c>
      <c r="F82" s="108">
        <f ca="1">Table33[[#This Row],[Stock Exposure]]+Table33[[#This Row],[Option Exposure]]</f>
        <v>0</v>
      </c>
      <c r="G82" s="129">
        <f ca="1">Table33[[#This Row],[Combined Exposure]]/'Primary Theme'!$D$4</f>
        <v>0</v>
      </c>
    </row>
    <row r="83" spans="1:7">
      <c r="A83" s="13" t="s">
        <v>88</v>
      </c>
      <c r="B83" s="36">
        <f ca="1">SUMIF(Table19[Secondary theme],Table33[[#This Row],[Secondary theme]],Table19[Stock Exposure])</f>
        <v>0</v>
      </c>
      <c r="C83" s="84">
        <f ca="1">Table33[[#This Row],[Stock Exposure]]/'Primary Theme'!$D$5</f>
        <v>0</v>
      </c>
      <c r="D83" s="13"/>
      <c r="E83" s="128">
        <f>SUMIF(Table19[Secondary theme],Table33[[#This Row],[Secondary theme]],Table19[Option Exposure])</f>
        <v>0</v>
      </c>
      <c r="F83" s="108">
        <f ca="1">Table33[[#This Row],[Stock Exposure]]+Table33[[#This Row],[Option Exposure]]</f>
        <v>0</v>
      </c>
      <c r="G83" s="129">
        <f ca="1">Table33[[#This Row],[Combined Exposure]]/'Primary Theme'!$D$4</f>
        <v>0</v>
      </c>
    </row>
    <row r="84" spans="1:7">
      <c r="A84" s="13" t="s">
        <v>139</v>
      </c>
      <c r="B84" s="128">
        <f ca="1">SUMIF(Table19[Secondary theme],Table33[[#This Row],[Secondary theme]],Table19[Stock Exposure])</f>
        <v>0</v>
      </c>
      <c r="C84" s="84">
        <f ca="1">Table33[[#This Row],[Stock Exposure]]/'Primary Theme'!$D$5</f>
        <v>0</v>
      </c>
      <c r="D84" s="13"/>
      <c r="E84" s="128">
        <f ca="1">SUMIF(Table19[Secondary theme],Table33[[#This Row],[Secondary theme]],Table19[Option Exposure])</f>
        <v>0</v>
      </c>
      <c r="F84" s="108">
        <f ca="1">Table33[[#This Row],[Stock Exposure]]+Table33[[#This Row],[Option Exposure]]</f>
        <v>0</v>
      </c>
      <c r="G84" s="129">
        <f ca="1">Table33[[#This Row],[Combined Exposure]]/'Primary Theme'!$D$4</f>
        <v>0</v>
      </c>
    </row>
    <row r="85" spans="1:7">
      <c r="A85" s="13" t="s">
        <v>339</v>
      </c>
      <c r="B85" s="36">
        <f>SUMIF(Table19[Secondary theme],Table33[[#This Row],[Secondary theme]],Table19[Stock Exposure])</f>
        <v>0</v>
      </c>
      <c r="C85" s="84">
        <f ca="1">Table33[[#This Row],[Stock Exposure]]/'Primary Theme'!$D$5</f>
        <v>0</v>
      </c>
      <c r="D85" s="13"/>
      <c r="E85" s="128">
        <f>SUMIF(Table19[Secondary theme],Table33[[#This Row],[Secondary theme]],Table19[Option Exposure])</f>
        <v>0</v>
      </c>
      <c r="F85" s="108">
        <f>Table33[[#This Row],[Stock Exposure]]+Table33[[#This Row],[Option Exposure]]</f>
        <v>0</v>
      </c>
      <c r="G85" s="129">
        <f ca="1">Table33[[#This Row],[Combined Exposure]]/'Primary Theme'!$D$4</f>
        <v>0</v>
      </c>
    </row>
    <row r="86" spans="1:7">
      <c r="A86" s="13" t="s">
        <v>27</v>
      </c>
      <c r="B86" s="128">
        <f ca="1">SUMIF(Table19[Secondary theme],Table33[[#This Row],[Secondary theme]],Table19[Stock Exposure])</f>
        <v>0</v>
      </c>
      <c r="C86" s="84">
        <f ca="1">Table33[[#This Row],[Stock Exposure]]/'Primary Theme'!$D$5</f>
        <v>0</v>
      </c>
      <c r="D86" s="13"/>
      <c r="E86" s="128">
        <f>SUMIF(Table19[Secondary theme],Table33[[#This Row],[Secondary theme]],Table19[Option Exposure])</f>
        <v>0</v>
      </c>
      <c r="F86" s="108">
        <f ca="1">Table33[[#This Row],[Stock Exposure]]+Table33[[#This Row],[Option Exposure]]</f>
        <v>0</v>
      </c>
      <c r="G86" s="129">
        <f ca="1">Table33[[#This Row],[Combined Exposure]]/'Primary Theme'!$D$4</f>
        <v>0</v>
      </c>
    </row>
    <row r="87" spans="1:7">
      <c r="A87" s="13" t="s">
        <v>544</v>
      </c>
      <c r="B87" s="128">
        <f ca="1">SUMIF(Table19[Secondary theme],Table33[[#This Row],[Secondary theme]],Table19[Stock Exposure])</f>
        <v>0</v>
      </c>
      <c r="C87" s="84">
        <f ca="1">Table33[[#This Row],[Stock Exposure]]/'Primary Theme'!$D$5</f>
        <v>0</v>
      </c>
      <c r="D87" s="13"/>
      <c r="E87" s="128">
        <f ca="1">SUMIF(Table19[Secondary theme],Table33[[#This Row],[Secondary theme]],Table19[Option Exposure])</f>
        <v>0</v>
      </c>
      <c r="F87" s="108">
        <f ca="1">Table33[[#This Row],[Stock Exposure]]+Table33[[#This Row],[Option Exposure]]</f>
        <v>0</v>
      </c>
      <c r="G87" s="129">
        <f ca="1">Table33[[#This Row],[Combined Exposure]]/'Primary Theme'!$D$4</f>
        <v>0</v>
      </c>
    </row>
    <row r="88" spans="1:7">
      <c r="A88" s="13" t="s">
        <v>546</v>
      </c>
      <c r="B88" s="128">
        <f>SUMIF(Table19[Secondary theme],Table33[[#This Row],[Secondary theme]],Table19[Stock Exposure])</f>
        <v>0</v>
      </c>
      <c r="C88" s="84">
        <f ca="1">Table33[[#This Row],[Stock Exposure]]/'Primary Theme'!$D$5</f>
        <v>0</v>
      </c>
      <c r="D88" s="13"/>
      <c r="E88" s="128">
        <f>SUMIF(Table19[Secondary theme],Table33[[#This Row],[Secondary theme]],Table19[Option Exposure])</f>
        <v>0</v>
      </c>
      <c r="F88" s="108">
        <f>Table33[[#This Row],[Stock Exposure]]+Table33[[#This Row],[Option Exposure]]</f>
        <v>0</v>
      </c>
      <c r="G88" s="129">
        <f ca="1">Table33[[#This Row],[Combined Exposure]]/'Primary Theme'!$D$4</f>
        <v>0</v>
      </c>
    </row>
    <row r="89" spans="1:7">
      <c r="A89" s="13" t="s">
        <v>552</v>
      </c>
      <c r="B89" s="128">
        <f>SUMIF(Table19[Secondary theme],Table33[[#This Row],[Secondary theme]],Table19[Stock Exposure])</f>
        <v>0</v>
      </c>
      <c r="C89" s="84">
        <f ca="1">Table33[[#This Row],[Stock Exposure]]/'Primary Theme'!$D$5</f>
        <v>0</v>
      </c>
      <c r="D89" s="13"/>
      <c r="E89" s="128">
        <f>SUMIF(Table19[Secondary theme],Table33[[#This Row],[Secondary theme]],Table19[Option Exposure])</f>
        <v>0</v>
      </c>
      <c r="F89" s="108">
        <f>Table33[[#This Row],[Stock Exposure]]+Table33[[#This Row],[Option Exposure]]</f>
        <v>0</v>
      </c>
      <c r="G89" s="129">
        <f ca="1">Table33[[#This Row],[Combined Exposure]]/'Primary Theme'!$D$4</f>
        <v>0</v>
      </c>
    </row>
    <row r="90" spans="1:7">
      <c r="A90" s="13" t="s">
        <v>553</v>
      </c>
      <c r="B90" s="128">
        <f ca="1">SUMIF(Table19[Secondary theme],Table33[[#This Row],[Secondary theme]],Table19[Stock Exposure])</f>
        <v>0</v>
      </c>
      <c r="C90" s="84">
        <f ca="1">Table33[[#This Row],[Stock Exposure]]/'Primary Theme'!$D$5</f>
        <v>0</v>
      </c>
      <c r="D90" s="13"/>
      <c r="E90" s="128">
        <f>SUMIF(Table19[Secondary theme],Table33[[#This Row],[Secondary theme]],Table19[Option Exposure])</f>
        <v>0</v>
      </c>
      <c r="F90" s="108">
        <f ca="1">Table33[[#This Row],[Stock Exposure]]+Table33[[#This Row],[Option Exposure]]</f>
        <v>0</v>
      </c>
      <c r="G90" s="129">
        <f ca="1">Table33[[#This Row],[Combined Exposure]]/'Primary Theme'!$D$4</f>
        <v>0</v>
      </c>
    </row>
    <row r="91" spans="1:7">
      <c r="A91" s="13" t="s">
        <v>500</v>
      </c>
      <c r="B91" s="128">
        <f ca="1">SUMIF(Table19[Secondary theme],Table33[[#This Row],[Secondary theme]],Table19[Stock Exposure])</f>
        <v>74.64</v>
      </c>
      <c r="C91" s="84">
        <f ca="1">Table33[[#This Row],[Stock Exposure]]/'Primary Theme'!$D$5</f>
        <v>5.698957562477754E-4</v>
      </c>
      <c r="D91" s="13"/>
      <c r="E91" s="128">
        <f>SUMIF(Table19[Secondary theme],Table33[[#This Row],[Secondary theme]],Table19[Option Exposure])</f>
        <v>0</v>
      </c>
      <c r="F91" s="108">
        <f ca="1">Table33[[#This Row],[Stock Exposure]]+Table33[[#This Row],[Option Exposure]]</f>
        <v>74.64</v>
      </c>
      <c r="G91" s="129">
        <f ca="1">Table33[[#This Row],[Combined Exposure]]/'Primary Theme'!$D$4</f>
        <v>4.7046340907951463E-4</v>
      </c>
    </row>
    <row r="92" spans="1:7">
      <c r="A92" s="13" t="s">
        <v>570</v>
      </c>
      <c r="B92" s="128">
        <f ca="1">SUMIF(Table19[Secondary theme],Table33[[#This Row],[Secondary theme]],Table19[Stock Exposure])</f>
        <v>0</v>
      </c>
      <c r="C92" s="84">
        <f ca="1">Table33[[#This Row],[Stock Exposure]]/'Primary Theme'!$D$5</f>
        <v>0</v>
      </c>
      <c r="D92" s="13"/>
      <c r="E92" s="128">
        <f>SUMIF(Table19[Secondary theme],Table33[[#This Row],[Secondary theme]],Table19[Option Exposure])</f>
        <v>0</v>
      </c>
      <c r="F92" s="108">
        <f ca="1">Table33[[#This Row],[Stock Exposure]]+Table33[[#This Row],[Option Exposure]]</f>
        <v>0</v>
      </c>
      <c r="G92" s="129">
        <f ca="1">Table33[[#This Row],[Combined Exposure]]/'Primary Theme'!$D$4</f>
        <v>0</v>
      </c>
    </row>
    <row r="93" spans="1:7">
      <c r="A93" s="13" t="s">
        <v>571</v>
      </c>
      <c r="B93" s="128">
        <f ca="1">SUMIF(Table19[Secondary theme],Table33[[#This Row],[Secondary theme]],Table19[Stock Exposure])</f>
        <v>1413.7979999999998</v>
      </c>
      <c r="C93" s="246">
        <f ca="1">Table33[[#This Row],[Stock Exposure]]/'Primary Theme'!$D$5</f>
        <v>1.0794714367518651E-2</v>
      </c>
      <c r="D93" s="13"/>
      <c r="E93" s="128">
        <f>SUMIF(Table19[Secondary theme],Table33[[#This Row],[Secondary theme]],Table19[Option Exposure])</f>
        <v>0</v>
      </c>
      <c r="F93" s="108">
        <f ca="1">Table33[[#This Row],[Stock Exposure]]+Table33[[#This Row],[Option Exposure]]</f>
        <v>1413.7979999999998</v>
      </c>
      <c r="G93" s="246">
        <f ca="1">Table33[[#This Row],[Combined Exposure]]/'Primary Theme'!$D$4</f>
        <v>8.9113106488451169E-3</v>
      </c>
    </row>
  </sheetData>
  <conditionalFormatting sqref="A4:A46">
    <cfRule type="cellIs" dxfId="30" priority="2" operator="equal">
      <formula>"None"</formula>
    </cfRule>
  </conditionalFormatting>
  <conditionalFormatting sqref="C5:C93">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3920-09BA-1645-8179-D7903A666A10}">
  <dimension ref="A1:P122"/>
  <sheetViews>
    <sheetView topLeftCell="A85" zoomScale="80" zoomScaleNormal="80" workbookViewId="0">
      <selection activeCell="O69" sqref="O69"/>
    </sheetView>
  </sheetViews>
  <sheetFormatPr baseColWidth="10" defaultRowHeight="16"/>
  <cols>
    <col min="1" max="1" width="53.1640625" bestFit="1" customWidth="1"/>
    <col min="2" max="2" width="16.6640625" customWidth="1"/>
    <col min="3" max="3" width="19.83203125" bestFit="1" customWidth="1"/>
    <col min="4" max="5" width="22.83203125" bestFit="1" customWidth="1"/>
    <col min="6" max="6" width="22.83203125" style="13" customWidth="1"/>
    <col min="7" max="7" width="22.33203125" customWidth="1"/>
    <col min="8" max="8" width="22.33203125" bestFit="1" customWidth="1"/>
    <col min="9" max="9" width="23.6640625" bestFit="1" customWidth="1"/>
    <col min="10" max="10" width="26.5" style="147" bestFit="1" customWidth="1"/>
    <col min="11" max="11" width="22.83203125" style="13" bestFit="1" customWidth="1"/>
    <col min="12" max="12" width="22.6640625" bestFit="1" customWidth="1"/>
    <col min="13" max="13" width="22.83203125" bestFit="1" customWidth="1"/>
    <col min="14" max="14" width="22.83203125" customWidth="1"/>
    <col min="15" max="15" width="22.33203125" bestFit="1" customWidth="1"/>
  </cols>
  <sheetData>
    <row r="1" spans="1:16" s="234" customFormat="1" ht="19">
      <c r="A1" s="232" t="s">
        <v>78</v>
      </c>
      <c r="B1" s="232" t="s">
        <v>60</v>
      </c>
      <c r="C1" s="232" t="s">
        <v>401</v>
      </c>
      <c r="D1" s="232" t="s">
        <v>145</v>
      </c>
      <c r="E1" s="232" t="s">
        <v>453</v>
      </c>
      <c r="F1" s="232" t="s">
        <v>2</v>
      </c>
      <c r="G1" s="232" t="s">
        <v>452</v>
      </c>
      <c r="H1" s="232" t="s">
        <v>142</v>
      </c>
      <c r="I1" s="232" t="s">
        <v>50</v>
      </c>
      <c r="J1" s="232" t="s">
        <v>51</v>
      </c>
      <c r="K1" s="232" t="s">
        <v>399</v>
      </c>
      <c r="L1" s="232" t="s">
        <v>450</v>
      </c>
      <c r="M1" s="232" t="s">
        <v>451</v>
      </c>
      <c r="N1" s="232" t="s">
        <v>470</v>
      </c>
      <c r="O1" s="233" t="s">
        <v>164</v>
      </c>
      <c r="P1" s="232" t="s">
        <v>449</v>
      </c>
    </row>
    <row r="2" spans="1:16" ht="19">
      <c r="A2" s="5" t="e" cm="1" vm="94">
        <f t="array" ref="A2:A122">_xlfn.UNIQUE(Table41[Asset Name],FALSE,FALSE)</f>
        <v>#VALUE!</v>
      </c>
      <c r="B2" s="5" t="str">
        <f ca="1">VLOOKUP(A2,Table41[#All],2,FALSE)</f>
        <v>MAG</v>
      </c>
      <c r="C2" s="185" t="str">
        <f ca="1">VLOOKUP(A2,Table41[#All],20,FALSE)</f>
        <v>Stock</v>
      </c>
      <c r="D2" s="4" cm="1">
        <f t="array" aca="1" ref="D2" ca="1">_FV(A2,"52 week low",TRUE)</f>
        <v>11.72</v>
      </c>
      <c r="E2" s="204">
        <f ca="1">(Table44[[#This Row],[Current Price]]-Table44[[#This Row],[52 week low]])/Table44[[#This Row],[52 week low]]</f>
        <v>1.0878839590443683</v>
      </c>
      <c r="F2" s="4">
        <f ca="1">VLOOKUP(A2,Table41[#All],15,FALSE)</f>
        <v>24.47</v>
      </c>
      <c r="G2" s="210">
        <f ca="1">(Table44[[#This Row],[52 week high]]-Table44[[#This Row],[Current Price]])/Table44[[#This Row],[Current Price]]</f>
        <v>2.5337147527584841E-2</v>
      </c>
      <c r="H2" s="4" cm="1">
        <f t="array" aca="1" ref="H2" ca="1">_FV(A2,"52 week high",TRUE)</f>
        <v>25.09</v>
      </c>
      <c r="I2" t="b">
        <f ca="1">VLOOKUP(A2,Table41[#All],17,FALSE)</f>
        <v>0</v>
      </c>
      <c r="J2" t="b">
        <f ca="1">VLOOKUP(A2,Table41[#All],18,FALSE)</f>
        <v>1</v>
      </c>
      <c r="K2" s="184">
        <f>VLOOKUP(A2,Table41[#All],21,FALSE)</f>
        <v>45588</v>
      </c>
      <c r="L2" s="199">
        <f ca="1">VLOOKUP(A2,Table41[#All],26,FALSE)</f>
        <v>0.95760000000000001</v>
      </c>
      <c r="M2" s="84">
        <f ca="1">VLOOKUP(A2,Table41[#All],27,FALSE)</f>
        <v>0.6313333333333333</v>
      </c>
      <c r="N2" s="235">
        <f>HLOOKUP(Table44[[#This Row],[Theme]],Table46[#All],2,FALSE)</f>
        <v>45567</v>
      </c>
      <c r="O2" s="208" t="str">
        <f>VLOOKUP(A2,Table41[#All],22,FALSE)</f>
        <v>Gold and Silver</v>
      </c>
      <c r="P2" s="209" t="str">
        <f ca="1">VLOOKUP(A2,Table41[#All],25,FALSE)</f>
        <v>🔻</v>
      </c>
    </row>
    <row r="3" spans="1:16" ht="19">
      <c r="A3" t="e" vm="36">
        <v>#VALUE!</v>
      </c>
      <c r="B3" s="5" t="str">
        <f ca="1">VLOOKUP(A3,Table41[#All],2,FALSE)</f>
        <v>CLS</v>
      </c>
      <c r="C3" s="185" t="str">
        <f ca="1">VLOOKUP(A3,Table41[#All],20,FALSE)</f>
        <v>Stock</v>
      </c>
      <c r="D3" s="4" cm="1">
        <f t="array" aca="1" ref="D3" ca="1">_FV(A3,"52 week low",TRUE)</f>
        <v>58.05</v>
      </c>
      <c r="E3" s="204">
        <f ca="1">(Table44[[#This Row],[Current Price]]-Table44[[#This Row],[52 week low]])/Table44[[#This Row],[52 week low]]</f>
        <v>4.2944013781223083</v>
      </c>
      <c r="F3" s="4">
        <f ca="1">VLOOKUP(A3,Table41[#All],15,FALSE)</f>
        <v>307.33999999999997</v>
      </c>
      <c r="G3" s="210">
        <f ca="1">(Table44[[#This Row],[52 week high]]-Table44[[#This Row],[Current Price]])/Table44[[#This Row],[Current Price]]</f>
        <v>0.18240385241101062</v>
      </c>
      <c r="H3" s="4" cm="1">
        <f t="array" aca="1" ref="H3" ca="1">_FV(A3,"52 week high",TRUE)</f>
        <v>363.4</v>
      </c>
      <c r="I3" t="b">
        <f ca="1">VLOOKUP(A3,Table41[#All],17,FALSE)</f>
        <v>0</v>
      </c>
      <c r="J3" t="b">
        <f ca="1">VLOOKUP(A3,Table41[#All],18,FALSE)</f>
        <v>1</v>
      </c>
      <c r="K3" s="184">
        <f>VLOOKUP(A3,Table41[#All],21,FALSE)</f>
        <v>45588</v>
      </c>
      <c r="L3" s="199">
        <f>VLOOKUP(A3,Table41[#All],26,FALSE)</f>
        <v>0</v>
      </c>
      <c r="M3" s="84">
        <f ca="1">VLOOKUP(A3,Table41[#All],27,FALSE)</f>
        <v>2.8417499999999998</v>
      </c>
      <c r="N3" s="235">
        <f>HLOOKUP(Table44[[#This Row],[Theme]],Table46[#All],2,FALSE)</f>
        <v>45587</v>
      </c>
      <c r="O3" s="208" t="str">
        <f>VLOOKUP(A3,Table41[#All],22,FALSE)</f>
        <v>AI</v>
      </c>
      <c r="P3" s="209" t="str">
        <f ca="1">VLOOKUP(A3,Table41[#All],25,FALSE)</f>
        <v>🔻</v>
      </c>
    </row>
    <row r="4" spans="1:16" ht="19">
      <c r="A4" t="e" vm="95">
        <v>#VALUE!</v>
      </c>
      <c r="B4" s="5" t="str">
        <f ca="1">VLOOKUP(A4,Table41[#All],2,FALSE)</f>
        <v>SNAP</v>
      </c>
      <c r="C4" s="185" t="str">
        <f ca="1">VLOOKUP(A4,Table41[#All],20,FALSE)</f>
        <v>Stock</v>
      </c>
      <c r="D4" s="4" cm="1">
        <f t="array" aca="1" ref="D4" ca="1">_FV(A4,"52 week low",TRUE)</f>
        <v>4.3099999999999996</v>
      </c>
      <c r="E4" s="204">
        <f ca="1">(Table44[[#This Row],[Current Price]]-Table44[[#This Row],[52 week low]])/Table44[[#This Row],[52 week low]]</f>
        <v>5.6844547563805137E-2</v>
      </c>
      <c r="F4" s="4">
        <f ca="1">VLOOKUP(A4,Table41[#All],15,FALSE)</f>
        <v>4.5549999999999997</v>
      </c>
      <c r="G4" s="210">
        <f ca="1">(Table44[[#This Row],[52 week high]]-Table44[[#This Row],[Current Price]])/Table44[[#This Row],[Current Price]]</f>
        <v>1.2854006586169047</v>
      </c>
      <c r="H4" s="4" cm="1">
        <f t="array" aca="1" ref="H4" ca="1">_FV(A4,"52 week high",TRUE)</f>
        <v>10.41</v>
      </c>
      <c r="I4" t="b">
        <f ca="1">VLOOKUP(A4,Table41[#All],17,FALSE)</f>
        <v>1</v>
      </c>
      <c r="J4" t="b">
        <f ca="1">VLOOKUP(A4,Table41[#All],18,FALSE)</f>
        <v>0</v>
      </c>
      <c r="K4" s="184">
        <f>VLOOKUP(A4,Table41[#All],21,FALSE)</f>
        <v>0</v>
      </c>
      <c r="L4" s="199">
        <f ca="1">VLOOKUP(A4,Table41[#All],26,FALSE)</f>
        <v>-0.54449999999999998</v>
      </c>
      <c r="M4" s="84">
        <f ca="1">VLOOKUP(A4,Table41[#All],27,FALSE)</f>
        <v>-0.6746428571428571</v>
      </c>
      <c r="N4" s="235">
        <f>HLOOKUP(Table44[[#This Row],[Theme]],Table46[#All],2,FALSE)</f>
        <v>45594</v>
      </c>
      <c r="O4" s="208" t="str">
        <f>VLOOKUP(A4,Table41[#All],22,FALSE)</f>
        <v>Technology</v>
      </c>
      <c r="P4" s="209" t="str">
        <f ca="1">VLOOKUP(A4,Table41[#All],25,FALSE)</f>
        <v>✅</v>
      </c>
    </row>
    <row r="5" spans="1:16" ht="19">
      <c r="A5" t="e" vm="96">
        <v>#VALUE!</v>
      </c>
      <c r="B5" s="5" t="str">
        <f ca="1">VLOOKUP(A5,Table41[#All],2,FALSE)</f>
        <v>SPY</v>
      </c>
      <c r="C5" s="185" t="str">
        <f ca="1">VLOOKUP(A5,Table41[#All],20,FALSE)</f>
        <v>ETF</v>
      </c>
      <c r="D5" s="4" cm="1">
        <f t="array" aca="1" ref="D5" ca="1">_FV(A5,"52 week low",TRUE)</f>
        <v>481.8</v>
      </c>
      <c r="E5" s="204">
        <f ca="1">(Table44[[#This Row],[Current Price]]-Table44[[#This Row],[52 week low]])/Table44[[#This Row],[52 week low]]</f>
        <v>0.36693648816936492</v>
      </c>
      <c r="F5" s="4">
        <f ca="1">VLOOKUP(A5,Table41[#All],15,FALSE)</f>
        <v>658.59</v>
      </c>
      <c r="G5" s="210">
        <f ca="1">(Table44[[#This Row],[52 week high]]-Table44[[#This Row],[Current Price]])/Table44[[#This Row],[Current Price]]</f>
        <v>5.9597017871513384E-2</v>
      </c>
      <c r="H5" s="4" cm="1">
        <f t="array" aca="1" ref="H5" ca="1">_FV(A5,"52 week high",TRUE)</f>
        <v>697.84</v>
      </c>
      <c r="I5" t="b">
        <f ca="1">VLOOKUP(A5,Table41[#All],17,FALSE)</f>
        <v>0</v>
      </c>
      <c r="J5" t="b">
        <f ca="1">VLOOKUP(A5,Table41[#All],18,FALSE)</f>
        <v>1</v>
      </c>
      <c r="K5" s="184">
        <f>VLOOKUP(A5,Table41[#All],21,FALSE)</f>
        <v>0</v>
      </c>
      <c r="L5" s="199">
        <f ca="1">VLOOKUP(A5,Table41[#All],26,FALSE)</f>
        <v>0.17605357142857159</v>
      </c>
      <c r="M5" s="84">
        <f ca="1">VLOOKUP(A5,Table41[#All],27,FALSE)</f>
        <v>0.11625423728813566</v>
      </c>
      <c r="N5" s="235">
        <f>HLOOKUP(Table44[[#This Row],[Theme]],Table46[#All],2,FALSE)</f>
        <v>45564</v>
      </c>
      <c r="O5" s="208" t="str">
        <f>VLOOKUP(A5,Table41[#All],22,FALSE)</f>
        <v>Market</v>
      </c>
      <c r="P5" s="209" t="str">
        <f ca="1">VLOOKUP(A5,Table41[#All],25,FALSE)</f>
        <v>🔻</v>
      </c>
    </row>
    <row r="6" spans="1:16" ht="19">
      <c r="A6" t="e" vm="22">
        <v>#VALUE!</v>
      </c>
      <c r="B6" s="5" t="str">
        <f ca="1">VLOOKUP(A6,Table41[#All],2,FALSE)</f>
        <v>RMBS</v>
      </c>
      <c r="C6" s="185" t="str">
        <f ca="1">VLOOKUP(A6,Table41[#All],20,FALSE)</f>
        <v>Stock</v>
      </c>
      <c r="D6" s="4" cm="1">
        <f t="array" aca="1" ref="D6" ca="1">_FV(A6,"52 week low",TRUE)</f>
        <v>40.119999999999997</v>
      </c>
      <c r="E6" s="204">
        <f ca="1">(Table44[[#This Row],[Current Price]]-Table44[[#This Row],[52 week low]])/Table44[[#This Row],[52 week low]]</f>
        <v>1.3199152542372883</v>
      </c>
      <c r="F6" s="4">
        <f ca="1">VLOOKUP(A6,Table41[#All],15,FALSE)</f>
        <v>93.075000000000003</v>
      </c>
      <c r="G6" s="210">
        <f ca="1">(Table44[[#This Row],[52 week high]]-Table44[[#This Row],[Current Price]])/Table44[[#This Row],[Current Price]]</f>
        <v>0.45850120870265909</v>
      </c>
      <c r="H6" s="4" cm="1">
        <f t="array" aca="1" ref="H6" ca="1">_FV(A6,"52 week high",TRUE)</f>
        <v>135.75</v>
      </c>
      <c r="I6" t="b">
        <f ca="1">VLOOKUP(A6,Table41[#All],17,FALSE)</f>
        <v>0</v>
      </c>
      <c r="J6" t="b">
        <f ca="1">VLOOKUP(A6,Table41[#All],18,FALSE)</f>
        <v>1</v>
      </c>
      <c r="K6" s="184">
        <f>VLOOKUP(A6,Table41[#All],21,FALSE)</f>
        <v>45593</v>
      </c>
      <c r="L6" s="199">
        <f ca="1">VLOOKUP(A6,Table41[#All],26,FALSE)</f>
        <v>0.95947368421052648</v>
      </c>
      <c r="M6" s="84">
        <f ca="1">VLOOKUP(A6,Table41[#All],27,FALSE)</f>
        <v>0.77285714285714291</v>
      </c>
      <c r="N6" s="235">
        <f>HLOOKUP(Table44[[#This Row],[Theme]],Table46[#All],2,FALSE)</f>
        <v>45580</v>
      </c>
      <c r="O6" s="208" t="str">
        <f>VLOOKUP(A6,Table41[#All],22,FALSE)</f>
        <v>Semiconductor</v>
      </c>
      <c r="P6" s="209" t="str">
        <f ca="1">VLOOKUP(A6,Table41[#All],25,FALSE)</f>
        <v>🔻</v>
      </c>
    </row>
    <row r="7" spans="1:16" ht="19">
      <c r="A7" t="e" vm="97">
        <v>#VALUE!</v>
      </c>
      <c r="B7" s="5" t="str">
        <f ca="1">VLOOKUP(A7,Table41[#All],2,FALSE)</f>
        <v>AG</v>
      </c>
      <c r="C7" s="185" t="str">
        <f ca="1">VLOOKUP(A7,Table41[#All],20,FALSE)</f>
        <v>Stock</v>
      </c>
      <c r="D7" s="4" cm="1">
        <f t="array" aca="1" ref="D7" ca="1">_FV(A7,"52 week low",TRUE)</f>
        <v>5.1849999999999996</v>
      </c>
      <c r="E7" s="204">
        <f ca="1">(Table44[[#This Row],[Current Price]]-Table44[[#This Row],[52 week low]])/Table44[[#This Row],[52 week low]]</f>
        <v>3.0086788813886214</v>
      </c>
      <c r="F7" s="4">
        <f ca="1">VLOOKUP(A7,Table41[#All],15,FALSE)</f>
        <v>20.785</v>
      </c>
      <c r="G7" s="210">
        <f ca="1">(Table44[[#This Row],[52 week high]]-Table44[[#This Row],[Current Price]])/Table44[[#This Row],[Current Price]]</f>
        <v>0.54125571325475086</v>
      </c>
      <c r="H7" s="4" cm="1">
        <f t="array" aca="1" ref="H7" ca="1">_FV(A7,"52 week high",TRUE)</f>
        <v>32.034999999999997</v>
      </c>
      <c r="I7" t="b">
        <f ca="1">VLOOKUP(A7,Table41[#All],17,FALSE)</f>
        <v>0</v>
      </c>
      <c r="J7" t="b">
        <f ca="1">VLOOKUP(A7,Table41[#All],18,FALSE)</f>
        <v>1</v>
      </c>
      <c r="K7" s="184">
        <f>VLOOKUP(A7,Table41[#All],21,FALSE)</f>
        <v>45603</v>
      </c>
      <c r="L7" s="199">
        <f ca="1">VLOOKUP(A7,Table41[#All],26,FALSE)</f>
        <v>3.157</v>
      </c>
      <c r="M7" s="84">
        <f ca="1">VLOOKUP(A7,Table41[#All],27,FALSE)</f>
        <v>1.9692857142857143</v>
      </c>
      <c r="N7" s="235">
        <f>HLOOKUP(Table44[[#This Row],[Theme]],Table46[#All],2,FALSE)</f>
        <v>45567</v>
      </c>
      <c r="O7" s="208" t="str">
        <f>VLOOKUP(A7,Table41[#All],22,FALSE)</f>
        <v>Gold and Silver</v>
      </c>
      <c r="P7" s="209" t="str">
        <f ca="1">VLOOKUP(A7,Table41[#All],25,FALSE)</f>
        <v>🔻</v>
      </c>
    </row>
    <row r="8" spans="1:16" ht="19">
      <c r="A8" t="e" vm="98">
        <v>#VALUE!</v>
      </c>
      <c r="B8" s="5" t="str">
        <f ca="1">VLOOKUP(A8,Table41[#All],2,FALSE)</f>
        <v>VIX</v>
      </c>
      <c r="C8" s="185" t="str">
        <f ca="1">VLOOKUP(A8,Table41[#All],20,FALSE)</f>
        <v>Index</v>
      </c>
      <c r="D8" s="4" cm="1">
        <f t="array" aca="1" ref="D8" ca="1">_FV(A8,"52 week low",TRUE)</f>
        <v>13.38</v>
      </c>
      <c r="E8" s="204">
        <f ca="1">(Table44[[#This Row],[Current Price]]-Table44[[#This Row],[52 week low]])/Table44[[#This Row],[52 week low]]</f>
        <v>0.89312406576980541</v>
      </c>
      <c r="F8" s="4">
        <f ca="1">VLOOKUP(A8,Table41[#All],15,FALSE)</f>
        <v>25.33</v>
      </c>
      <c r="G8" s="210">
        <f ca="1">(Table44[[#This Row],[52 week high]]-Table44[[#This Row],[Current Price]])/Table44[[#This Row],[Current Price]]</f>
        <v>1.3738649822345048</v>
      </c>
      <c r="H8" s="4" cm="1">
        <f t="array" aca="1" ref="H8" ca="1">_FV(A8,"52 week high",TRUE)</f>
        <v>60.13</v>
      </c>
      <c r="I8" t="b">
        <f ca="1">VLOOKUP(A8,Table41[#All],17,FALSE)</f>
        <v>0</v>
      </c>
      <c r="J8" t="b">
        <f ca="1">VLOOKUP(A8,Table41[#All],18,FALSE)</f>
        <v>1</v>
      </c>
      <c r="K8" s="184">
        <f>VLOOKUP(A8,Table41[#All],21,FALSE)</f>
        <v>0</v>
      </c>
      <c r="L8" s="199">
        <f>VLOOKUP(A8,Table41[#All],26,FALSE)</f>
        <v>0</v>
      </c>
      <c r="M8" s="84">
        <f ca="1">VLOOKUP(A8,Table41[#All],27,FALSE)</f>
        <v>0.26649999999999996</v>
      </c>
      <c r="N8" s="235">
        <f>HLOOKUP(Table44[[#This Row],[Theme]],Table46[#All],2,FALSE)</f>
        <v>45564</v>
      </c>
      <c r="O8" s="208" t="str">
        <f>VLOOKUP(A8,Table41[#All],22,FALSE)</f>
        <v>Market</v>
      </c>
      <c r="P8" s="209" t="str">
        <f ca="1">VLOOKUP(A8,Table41[#All],25,FALSE)</f>
        <v>🔻</v>
      </c>
    </row>
    <row r="9" spans="1:16" ht="19">
      <c r="A9" t="e" vm="99">
        <v>#VALUE!</v>
      </c>
      <c r="B9" s="5" t="str">
        <f ca="1">VLOOKUP(A9,Table41[#All],2,FALSE)</f>
        <v>CSCO</v>
      </c>
      <c r="C9" s="185" t="str">
        <f ca="1">VLOOKUP(A9,Table41[#All],20,FALSE)</f>
        <v>Stock</v>
      </c>
      <c r="D9" s="4" cm="1">
        <f t="array" aca="1" ref="D9" ca="1">_FV(A9,"52 week low",TRUE)</f>
        <v>52.11</v>
      </c>
      <c r="E9" s="204">
        <f ca="1">(Table44[[#This Row],[Current Price]]-Table44[[#This Row],[52 week low]])/Table44[[#This Row],[52 week low]]</f>
        <v>0.58558817885242753</v>
      </c>
      <c r="F9" s="4">
        <f ca="1">VLOOKUP(A9,Table41[#All],15,FALSE)</f>
        <v>82.625</v>
      </c>
      <c r="G9" s="210">
        <f ca="1">(Table44[[#This Row],[52 week high]]-Table44[[#This Row],[Current Price]])/Table44[[#This Row],[Current Price]]</f>
        <v>6.7291981845688381E-2</v>
      </c>
      <c r="H9" s="4" cm="1">
        <f t="array" aca="1" ref="H9" ca="1">_FV(A9,"52 week high",TRUE)</f>
        <v>88.185000000000002</v>
      </c>
      <c r="I9" t="b">
        <f ca="1">VLOOKUP(A9,Table41[#All],17,FALSE)</f>
        <v>0</v>
      </c>
      <c r="J9" t="b">
        <f ca="1">VLOOKUP(A9,Table41[#All],18,FALSE)</f>
        <v>1</v>
      </c>
      <c r="K9" s="184">
        <f>VLOOKUP(A9,Table41[#All],21,FALSE)</f>
        <v>45609</v>
      </c>
      <c r="L9" s="199">
        <f ca="1">VLOOKUP(A9,Table41[#All],26,FALSE)</f>
        <v>0.65250000000000008</v>
      </c>
      <c r="M9" s="84">
        <f ca="1">VLOOKUP(A9,Table41[#All],27,FALSE)</f>
        <v>0.43695652173913047</v>
      </c>
      <c r="N9" s="235">
        <f>HLOOKUP(Table44[[#This Row],[Theme]],Table46[#All],2,FALSE)</f>
        <v>45602</v>
      </c>
      <c r="O9" s="208" t="str">
        <f>VLOOKUP(A9,Table41[#All],22,FALSE)</f>
        <v>Connectivity</v>
      </c>
      <c r="P9" s="209" t="str">
        <f ca="1">VLOOKUP(A9,Table41[#All],25,FALSE)</f>
        <v>🔻</v>
      </c>
    </row>
    <row r="10" spans="1:16" ht="19">
      <c r="A10" t="e" vm="100">
        <v>#VALUE!</v>
      </c>
      <c r="B10" s="5" t="str">
        <f ca="1">VLOOKUP(A10,Table41[#All],2,FALSE)</f>
        <v>FNV</v>
      </c>
      <c r="C10" s="185" t="str">
        <f ca="1">VLOOKUP(A10,Table41[#All],20,FALSE)</f>
        <v>Stock</v>
      </c>
      <c r="D10" s="4" cm="1">
        <f t="array" aca="1" ref="D10" ca="1">_FV(A10,"52 week low",TRUE)</f>
        <v>140.03</v>
      </c>
      <c r="E10" s="204">
        <f ca="1">(Table44[[#This Row],[Current Price]]-Table44[[#This Row],[52 week low]])/Table44[[#This Row],[52 week low]]</f>
        <v>0.68013997000642723</v>
      </c>
      <c r="F10" s="4">
        <f ca="1">VLOOKUP(A10,Table41[#All],15,FALSE)</f>
        <v>235.27</v>
      </c>
      <c r="G10" s="210">
        <f ca="1">(Table44[[#This Row],[52 week high]]-Table44[[#This Row],[Current Price]])/Table44[[#This Row],[Current Price]]</f>
        <v>0.21422195775066946</v>
      </c>
      <c r="H10" s="4" cm="1">
        <f t="array" aca="1" ref="H10" ca="1">_FV(A10,"52 week high",TRUE)</f>
        <v>285.67</v>
      </c>
      <c r="I10" t="b">
        <f ca="1">VLOOKUP(A10,Table41[#All],17,FALSE)</f>
        <v>0</v>
      </c>
      <c r="J10" t="b">
        <f ca="1">VLOOKUP(A10,Table41[#All],18,FALSE)</f>
        <v>1</v>
      </c>
      <c r="K10" s="184">
        <f>VLOOKUP(A10,Table41[#All],21,FALSE)</f>
        <v>45610</v>
      </c>
      <c r="L10" s="199">
        <f ca="1">VLOOKUP(A10,Table41[#All],26,FALSE)</f>
        <v>0.96058333333333334</v>
      </c>
      <c r="M10" s="84">
        <f ca="1">VLOOKUP(A10,Table41[#All],27,FALSE)</f>
        <v>0.8097692307692308</v>
      </c>
      <c r="N10" s="235">
        <f>HLOOKUP(Table44[[#This Row],[Theme]],Table46[#All],2,FALSE)</f>
        <v>45567</v>
      </c>
      <c r="O10" s="208" t="str">
        <f>VLOOKUP(A10,Table41[#All],22,FALSE)</f>
        <v>Gold and Silver</v>
      </c>
      <c r="P10" s="209" t="str">
        <f ca="1">VLOOKUP(A10,Table41[#All],25,FALSE)</f>
        <v>🔻</v>
      </c>
    </row>
    <row r="11" spans="1:16" ht="19">
      <c r="A11" t="e" vm="101">
        <v>#VALUE!</v>
      </c>
      <c r="B11" s="5" t="str">
        <f ca="1">VLOOKUP(A11,Table41[#All],2,FALSE)</f>
        <v>URA</v>
      </c>
      <c r="C11" s="185" t="str">
        <f ca="1">VLOOKUP(A11,Table41[#All],20,FALSE)</f>
        <v>ETF</v>
      </c>
      <c r="D11" s="4" cm="1">
        <f t="array" aca="1" ref="D11" ca="1">_FV(A11,"52 week low",TRUE)</f>
        <v>19.5</v>
      </c>
      <c r="E11" s="204">
        <f ca="1">(Table44[[#This Row],[Current Price]]-Table44[[#This Row],[52 week low]])/Table44[[#This Row],[52 week low]]</f>
        <v>1.5595846153846156</v>
      </c>
      <c r="F11" s="4">
        <f ca="1">VLOOKUP(A11,Table41[#All],15,FALSE)</f>
        <v>49.911900000000003</v>
      </c>
      <c r="G11" s="210">
        <f ca="1">(Table44[[#This Row],[52 week high]]-Table44[[#This Row],[Current Price]])/Table44[[#This Row],[Current Price]]</f>
        <v>0.24779862117050239</v>
      </c>
      <c r="H11" s="4" cm="1">
        <f t="array" aca="1" ref="H11" ca="1">_FV(A11,"52 week high",TRUE)</f>
        <v>62.28</v>
      </c>
      <c r="I11" t="b">
        <f ca="1">VLOOKUP(A11,Table41[#All],17,FALSE)</f>
        <v>0</v>
      </c>
      <c r="J11" t="b">
        <f ca="1">VLOOKUP(A11,Table41[#All],18,FALSE)</f>
        <v>1</v>
      </c>
      <c r="K11" s="184">
        <f>VLOOKUP(A11,Table41[#All],21,FALSE)</f>
        <v>0</v>
      </c>
      <c r="L11" s="199">
        <f ca="1">VLOOKUP(A11,Table41[#All],26,FALSE)</f>
        <v>1.376757142857143</v>
      </c>
      <c r="M11" s="84">
        <f ca="1">VLOOKUP(A11,Table41[#All],27,FALSE)</f>
        <v>0.66373000000000015</v>
      </c>
      <c r="N11" s="235">
        <f>HLOOKUP(Table44[[#This Row],[Theme]],Table46[#All],2,FALSE)</f>
        <v>45569</v>
      </c>
      <c r="O11" s="208" t="str">
        <f>VLOOKUP(A11,Table41[#All],22,FALSE)</f>
        <v>Nuclear</v>
      </c>
      <c r="P11" s="209" t="str">
        <f ca="1">VLOOKUP(A11,Table41[#All],25,FALSE)</f>
        <v>🔻</v>
      </c>
    </row>
    <row r="12" spans="1:16" ht="19">
      <c r="A12" t="e" vm="52">
        <v>#VALUE!</v>
      </c>
      <c r="B12" s="5" t="str">
        <f ca="1">VLOOKUP(A12,Table41[#All],2,FALSE)</f>
        <v>SMR</v>
      </c>
      <c r="C12" s="185" t="str">
        <f ca="1">VLOOKUP(A12,Table41[#All],20,FALSE)</f>
        <v>Stock</v>
      </c>
      <c r="D12" s="4" cm="1">
        <f t="array" aca="1" ref="D12" ca="1">_FV(A12,"52 week low",TRUE)</f>
        <v>11.08</v>
      </c>
      <c r="E12" s="204">
        <f ca="1">(Table44[[#This Row],[Current Price]]-Table44[[#This Row],[52 week low]])/Table44[[#This Row],[52 week low]]</f>
        <v>6.7680505415162476E-2</v>
      </c>
      <c r="F12" s="4">
        <f ca="1">VLOOKUP(A12,Table41[#All],15,FALSE)</f>
        <v>11.8299</v>
      </c>
      <c r="G12" s="210">
        <f ca="1">(Table44[[#This Row],[52 week high]]-Table44[[#This Row],[Current Price]])/Table44[[#This Row],[Current Price]]</f>
        <v>3.8538026526006135</v>
      </c>
      <c r="H12" s="4" cm="1">
        <f t="array" aca="1" ref="H12" ca="1">_FV(A12,"52 week high",TRUE)</f>
        <v>57.42</v>
      </c>
      <c r="I12" t="b">
        <f ca="1">VLOOKUP(A12,Table41[#All],17,FALSE)</f>
        <v>1</v>
      </c>
      <c r="J12" t="b">
        <f ca="1">VLOOKUP(A12,Table41[#All],18,FALSE)</f>
        <v>0</v>
      </c>
      <c r="K12" s="184">
        <f>VLOOKUP(A12,Table41[#All],21,FALSE)</f>
        <v>45603</v>
      </c>
      <c r="L12" s="199">
        <f ca="1">VLOOKUP(A12,Table41[#All],26,FALSE)</f>
        <v>-0.26063124999999998</v>
      </c>
      <c r="M12" s="84">
        <f ca="1">VLOOKUP(A12,Table41[#All],27,FALSE)</f>
        <v>-0.40850500000000001</v>
      </c>
      <c r="N12" s="235">
        <f>HLOOKUP(Table44[[#This Row],[Theme]],Table46[#All],2,FALSE)</f>
        <v>45569</v>
      </c>
      <c r="O12" s="208" t="str">
        <f>VLOOKUP(A12,Table41[#All],22,FALSE)</f>
        <v>Nuclear</v>
      </c>
      <c r="P12" s="209" t="str">
        <f ca="1">VLOOKUP(A12,Table41[#All],25,FALSE)</f>
        <v>✅</v>
      </c>
    </row>
    <row r="13" spans="1:16" ht="19">
      <c r="A13" t="e" vm="102">
        <v>#VALUE!</v>
      </c>
      <c r="B13" s="5" t="str">
        <f ca="1">VLOOKUP(A13,Table41[#All],2,FALSE)</f>
        <v>GM</v>
      </c>
      <c r="C13" s="185" t="str">
        <f ca="1">VLOOKUP(A13,Table41[#All],20,FALSE)</f>
        <v>Stock</v>
      </c>
      <c r="D13" s="4" cm="1">
        <f t="array" aca="1" ref="D13" ca="1">_FV(A13,"52 week low",TRUE)</f>
        <v>41.6</v>
      </c>
      <c r="E13" s="204">
        <f ca="1">(Table44[[#This Row],[Current Price]]-Table44[[#This Row],[52 week low]])/Table44[[#This Row],[52 week low]]</f>
        <v>0.87127403846153839</v>
      </c>
      <c r="F13" s="4">
        <f ca="1">VLOOKUP(A13,Table41[#All],15,FALSE)</f>
        <v>77.844999999999999</v>
      </c>
      <c r="G13" s="210">
        <f ca="1">(Table44[[#This Row],[52 week high]]-Table44[[#This Row],[Current Price]])/Table44[[#This Row],[Current Price]]</f>
        <v>0.12557004303423477</v>
      </c>
      <c r="H13" s="4" cm="1">
        <f t="array" aca="1" ref="H13" ca="1">_FV(A13,"52 week high",TRUE)</f>
        <v>87.62</v>
      </c>
      <c r="I13" t="b">
        <f ca="1">VLOOKUP(A13,Table41[#All],17,FALSE)</f>
        <v>0</v>
      </c>
      <c r="J13" t="b">
        <f ca="1">VLOOKUP(A13,Table41[#All],18,FALSE)</f>
        <v>1</v>
      </c>
      <c r="K13" s="184">
        <f>VLOOKUP(A13,Table41[#All],21,FALSE)</f>
        <v>0</v>
      </c>
      <c r="L13" s="199">
        <f>VLOOKUP(A13,Table41[#All],26,FALSE)</f>
        <v>0</v>
      </c>
      <c r="M13" s="84">
        <f ca="1">VLOOKUP(A13,Table41[#All],27,FALSE)</f>
        <v>0.55689999999999995</v>
      </c>
      <c r="N13" s="235">
        <f>HLOOKUP(Table44[[#This Row],[Theme]],Table46[#All],2,FALSE)</f>
        <v>45575</v>
      </c>
      <c r="O13" s="208" t="str">
        <f>VLOOKUP(A13,Table41[#All],22,FALSE)</f>
        <v>Auto</v>
      </c>
      <c r="P13" s="209" t="str">
        <f ca="1">VLOOKUP(A13,Table41[#All],25,FALSE)</f>
        <v>🔻</v>
      </c>
    </row>
    <row r="14" spans="1:16" ht="19">
      <c r="A14" t="e" vm="103">
        <v>#VALUE!</v>
      </c>
      <c r="B14" s="5" t="str">
        <f ca="1">VLOOKUP(A14,Table41[#All],2,FALSE)</f>
        <v>GDX</v>
      </c>
      <c r="C14" s="185" t="str">
        <f ca="1">VLOOKUP(A14,Table41[#All],20,FALSE)</f>
        <v>ETF</v>
      </c>
      <c r="D14" s="4" cm="1">
        <f t="array" aca="1" ref="D14" ca="1">_FV(A14,"52 week low",TRUE)</f>
        <v>40.26</v>
      </c>
      <c r="E14" s="204">
        <f ca="1">(Table44[[#This Row],[Current Price]]-Table44[[#This Row],[52 week low]])/Table44[[#This Row],[52 week low]]</f>
        <v>1.1624441132637855</v>
      </c>
      <c r="F14" s="4">
        <f ca="1">VLOOKUP(A14,Table41[#All],15,FALSE)</f>
        <v>87.06</v>
      </c>
      <c r="G14" s="210">
        <f ca="1">(Table44[[#This Row],[52 week high]]-Table44[[#This Row],[Current Price]])/Table44[[#This Row],[Current Price]]</f>
        <v>0.34591086606937738</v>
      </c>
      <c r="H14" s="4" cm="1">
        <f t="array" aca="1" ref="H14" ca="1">_FV(A14,"52 week high",TRUE)</f>
        <v>117.175</v>
      </c>
      <c r="I14" t="b">
        <f ca="1">VLOOKUP(A14,Table41[#All],17,FALSE)</f>
        <v>0</v>
      </c>
      <c r="J14" t="b">
        <f ca="1">VLOOKUP(A14,Table41[#All],18,FALSE)</f>
        <v>1</v>
      </c>
      <c r="K14" s="184">
        <f>VLOOKUP(A14,Table41[#All],21,FALSE)</f>
        <v>0</v>
      </c>
      <c r="L14" s="199">
        <f ca="1">VLOOKUP(A14,Table41[#All],26,FALSE)</f>
        <v>1.2323076923076925</v>
      </c>
      <c r="M14" s="84">
        <f ca="1">VLOOKUP(A14,Table41[#All],27,FALSE)</f>
        <v>1.1764999999999999</v>
      </c>
      <c r="N14" s="235">
        <f>HLOOKUP(Table44[[#This Row],[Theme]],Table46[#All],2,FALSE)</f>
        <v>45567</v>
      </c>
      <c r="O14" s="208" t="str">
        <f>VLOOKUP(A14,Table41[#All],22,FALSE)</f>
        <v>Gold and Silver</v>
      </c>
      <c r="P14" s="209" t="str">
        <f ca="1">VLOOKUP(A14,Table41[#All],25,FALSE)</f>
        <v>🔻</v>
      </c>
    </row>
    <row r="15" spans="1:16" ht="19">
      <c r="A15" t="e" vm="104">
        <v>#VALUE!</v>
      </c>
      <c r="B15" s="5" t="str">
        <f ca="1">VLOOKUP(A15,Table41[#All],2,FALSE)</f>
        <v>V</v>
      </c>
      <c r="C15" s="185" t="str">
        <f ca="1">VLOOKUP(A15,Table41[#All],20,FALSE)</f>
        <v>Stock</v>
      </c>
      <c r="D15" s="4" cm="1">
        <f t="array" aca="1" ref="D15" ca="1">_FV(A15,"52 week low",TRUE)</f>
        <v>297.03219999999999</v>
      </c>
      <c r="E15" s="204">
        <f ca="1">(Table44[[#This Row],[Current Price]]-Table44[[#This Row],[52 week low]])/Table44[[#This Row],[52 week low]]</f>
        <v>2.5276047512694019E-2</v>
      </c>
      <c r="F15" s="4">
        <f ca="1">VLOOKUP(A15,Table41[#All],15,FALSE)</f>
        <v>304.54000000000002</v>
      </c>
      <c r="G15" s="210">
        <f ca="1">(Table44[[#This Row],[52 week high]]-Table44[[#This Row],[Current Price]])/Table44[[#This Row],[Current Price]]</f>
        <v>0.23303999474617446</v>
      </c>
      <c r="H15" s="4" cm="1">
        <f t="array" aca="1" ref="H15" ca="1">_FV(A15,"52 week high",TRUE)</f>
        <v>375.51</v>
      </c>
      <c r="I15" t="b">
        <f ca="1">VLOOKUP(A15,Table41[#All],17,FALSE)</f>
        <v>0</v>
      </c>
      <c r="J15" t="b">
        <f ca="1">VLOOKUP(A15,Table41[#All],18,FALSE)</f>
        <v>1</v>
      </c>
      <c r="K15" s="184">
        <f>VLOOKUP(A15,Table41[#All],21,FALSE)</f>
        <v>45587</v>
      </c>
      <c r="L15" s="199">
        <f ca="1">VLOOKUP(A15,Table41[#All],26,FALSE)</f>
        <v>0.127925925925926</v>
      </c>
      <c r="M15" s="84">
        <f ca="1">VLOOKUP(A15,Table41[#All],27,FALSE)</f>
        <v>8.7642857142857133E-2</v>
      </c>
      <c r="N15" s="235">
        <f>HLOOKUP(Table44[[#This Row],[Theme]],Table46[#All],2,FALSE)</f>
        <v>45573</v>
      </c>
      <c r="O15" s="208" t="str">
        <f>VLOOKUP(A15,Table41[#All],22,FALSE)</f>
        <v>Financials</v>
      </c>
      <c r="P15" s="209" t="str">
        <f ca="1">VLOOKUP(A15,Table41[#All],25,FALSE)</f>
        <v>🔻</v>
      </c>
    </row>
    <row r="16" spans="1:16" ht="19">
      <c r="A16" t="e" vm="49">
        <v>#VALUE!</v>
      </c>
      <c r="B16" s="5" t="str">
        <f ca="1">VLOOKUP(A16,Table41[#All],2,FALSE)</f>
        <v>LEU</v>
      </c>
      <c r="C16" s="185" t="str">
        <f ca="1">VLOOKUP(A16,Table41[#All],20,FALSE)</f>
        <v>Stock</v>
      </c>
      <c r="D16" s="4" cm="1">
        <f t="array" aca="1" ref="D16" ca="1">_FV(A16,"52 week low",TRUE)</f>
        <v>49.400100000000002</v>
      </c>
      <c r="E16" s="204">
        <f ca="1">(Table44[[#This Row],[Current Price]]-Table44[[#This Row],[52 week low]])/Table44[[#This Row],[52 week low]]</f>
        <v>2.9790405282580394</v>
      </c>
      <c r="F16" s="4">
        <f ca="1">VLOOKUP(A16,Table41[#All],15,FALSE)</f>
        <v>196.565</v>
      </c>
      <c r="G16" s="210">
        <f ca="1">(Table44[[#This Row],[52 week high]]-Table44[[#This Row],[Current Price]])/Table44[[#This Row],[Current Price]]</f>
        <v>1.3618141581665097</v>
      </c>
      <c r="H16" s="4" cm="1">
        <f t="array" aca="1" ref="H16" ca="1">_FV(A16,"52 week high",TRUE)</f>
        <v>464.25</v>
      </c>
      <c r="I16" t="b">
        <f ca="1">VLOOKUP(A16,Table41[#All],17,FALSE)</f>
        <v>0</v>
      </c>
      <c r="J16" t="b">
        <f ca="1">VLOOKUP(A16,Table41[#All],18,FALSE)</f>
        <v>1</v>
      </c>
      <c r="K16" s="184">
        <f>VLOOKUP(A16,Table41[#All],21,FALSE)</f>
        <v>0</v>
      </c>
      <c r="L16" s="199">
        <f>VLOOKUP(A16,Table41[#All],26,FALSE)</f>
        <v>0</v>
      </c>
      <c r="M16" s="84">
        <f ca="1">VLOOKUP(A16,Table41[#All],27,FALSE)</f>
        <v>0.9656499999999999</v>
      </c>
      <c r="N16" s="235">
        <f>HLOOKUP(Table44[[#This Row],[Theme]],Table46[#All],2,FALSE)</f>
        <v>45569</v>
      </c>
      <c r="O16" s="208" t="str">
        <f>VLOOKUP(A16,Table41[#All],22,FALSE)</f>
        <v>Nuclear</v>
      </c>
      <c r="P16" s="209" t="str">
        <f ca="1">VLOOKUP(A16,Table41[#All],25,FALSE)</f>
        <v>🔻</v>
      </c>
    </row>
    <row r="17" spans="1:16" ht="19">
      <c r="A17" t="e" vm="105">
        <v>#VALUE!</v>
      </c>
      <c r="B17" s="5" t="str">
        <f ca="1">VLOOKUP(A17,Table41[#All],2,FALSE)</f>
        <v>NFLX</v>
      </c>
      <c r="C17" s="185" t="str">
        <f ca="1">VLOOKUP(A17,Table41[#All],20,FALSE)</f>
        <v>Stock</v>
      </c>
      <c r="D17" s="4" cm="1">
        <f t="array" aca="1" ref="D17" ca="1">_FV(A17,"52 week low",TRUE)</f>
        <v>75.010000000000005</v>
      </c>
      <c r="E17" s="204">
        <f ca="1">(Table44[[#This Row],[Current Price]]-Table44[[#This Row],[52 week low]])/Table44[[#This Row],[52 week low]]</f>
        <v>0.22810291961071855</v>
      </c>
      <c r="F17" s="4">
        <f ca="1">VLOOKUP(A17,Table41[#All],15,FALSE)</f>
        <v>92.12</v>
      </c>
      <c r="G17" s="210">
        <f ca="1">(Table44[[#This Row],[52 week high]]-Table44[[#This Row],[Current Price]])/Table44[[#This Row],[Current Price]]</f>
        <v>0.45587277464177162</v>
      </c>
      <c r="H17" s="4" cm="1">
        <f t="array" aca="1" ref="H17" ca="1">_FV(A17,"52 week high",TRUE)</f>
        <v>134.11500000000001</v>
      </c>
      <c r="I17" t="b">
        <f ca="1">VLOOKUP(A17,Table41[#All],17,FALSE)</f>
        <v>1</v>
      </c>
      <c r="J17" t="b">
        <f ca="1">VLOOKUP(A17,Table41[#All],18,FALSE)</f>
        <v>0</v>
      </c>
      <c r="K17" s="184">
        <f>VLOOKUP(A17,Table41[#All],21,FALSE)</f>
        <v>45673</v>
      </c>
      <c r="L17" s="199">
        <f ca="1">VLOOKUP(A17,Table41[#All],26,FALSE)</f>
        <v>-0.86840000000000006</v>
      </c>
      <c r="M17" s="84">
        <f ca="1">VLOOKUP(A17,Table41[#All],27,FALSE)</f>
        <v>-0.87380821917808216</v>
      </c>
      <c r="N17" s="235">
        <f>HLOOKUP(Table44[[#This Row],[Theme]],Table46[#All],2,FALSE)</f>
        <v>45569</v>
      </c>
      <c r="O17" s="208" t="str">
        <f>VLOOKUP(A17,Table41[#All],22,FALSE)</f>
        <v>Consumer Discretionary</v>
      </c>
      <c r="P17" s="209" t="str">
        <f ca="1">VLOOKUP(A17,Table41[#All],25,FALSE)</f>
        <v>✅</v>
      </c>
    </row>
    <row r="18" spans="1:16" ht="19">
      <c r="A18" t="e" vm="106">
        <v>#VALUE!</v>
      </c>
      <c r="B18" s="5" t="str">
        <f ca="1">VLOOKUP(A18,Table41[#All],2,FALSE)</f>
        <v>GLD</v>
      </c>
      <c r="C18" s="185" t="str">
        <f ca="1">VLOOKUP(A18,Table41[#All],20,FALSE)</f>
        <v>ETF</v>
      </c>
      <c r="D18" s="4" cm="1">
        <f t="array" aca="1" ref="D18" ca="1">_FV(A18,"52 week low",TRUE)</f>
        <v>272.58</v>
      </c>
      <c r="E18" s="204">
        <f ca="1">(Table44[[#This Row],[Current Price]]-Table44[[#This Row],[52 week low]])/Table44[[#This Row],[52 week low]]</f>
        <v>0.53914447134786136</v>
      </c>
      <c r="F18" s="4">
        <f ca="1">VLOOKUP(A18,Table41[#All],15,FALSE)</f>
        <v>419.54</v>
      </c>
      <c r="G18" s="210">
        <f ca="1">(Table44[[#This Row],[52 week high]]-Table44[[#This Row],[Current Price]])/Table44[[#This Row],[Current Price]]</f>
        <v>0.21490203556275914</v>
      </c>
      <c r="H18" s="4" cm="1">
        <f t="array" aca="1" ref="H18" ca="1">_FV(A18,"52 week high",TRUE)</f>
        <v>509.7</v>
      </c>
      <c r="I18" t="b">
        <f ca="1">VLOOKUP(A18,Table41[#All],17,FALSE)</f>
        <v>0</v>
      </c>
      <c r="J18" t="b">
        <f ca="1">VLOOKUP(A18,Table41[#All],18,FALSE)</f>
        <v>1</v>
      </c>
      <c r="K18" s="184">
        <f>VLOOKUP(A18,Table41[#All],21,FALSE)</f>
        <v>0</v>
      </c>
      <c r="L18" s="199">
        <f ca="1">VLOOKUP(A18,Table41[#All],26,FALSE)</f>
        <v>0.76277310924369757</v>
      </c>
      <c r="M18" s="84">
        <f ca="1">VLOOKUP(A18,Table41[#All],27,FALSE)</f>
        <v>0.6781600000000001</v>
      </c>
      <c r="N18" s="235">
        <f>HLOOKUP(Table44[[#This Row],[Theme]],Table46[#All],2,FALSE)</f>
        <v>45567</v>
      </c>
      <c r="O18" s="208" t="str">
        <f>VLOOKUP(A18,Table41[#All],22,FALSE)</f>
        <v>Gold and Silver</v>
      </c>
      <c r="P18" s="209" t="str">
        <f ca="1">VLOOKUP(A18,Table41[#All],25,FALSE)</f>
        <v>🔻</v>
      </c>
    </row>
    <row r="19" spans="1:16" ht="19">
      <c r="A19" t="e" vm="107">
        <v>#VALUE!</v>
      </c>
      <c r="B19" s="5" t="str">
        <f ca="1">VLOOKUP(A19,Table41[#All],2,FALSE)</f>
        <v>MA</v>
      </c>
      <c r="C19" s="185" t="str">
        <f ca="1">VLOOKUP(A19,Table41[#All],20,FALSE)</f>
        <v>Stock</v>
      </c>
      <c r="D19" s="4" cm="1">
        <f t="array" aca="1" ref="D19" ca="1">_FV(A19,"52 week low",TRUE)</f>
        <v>465.59</v>
      </c>
      <c r="E19" s="204">
        <f ca="1">(Table44[[#This Row],[Current Price]]-Table44[[#This Row],[52 week low]])/Table44[[#This Row],[52 week low]]</f>
        <v>7.2810842157262912E-2</v>
      </c>
      <c r="F19" s="4">
        <f ca="1">VLOOKUP(A19,Table41[#All],15,FALSE)</f>
        <v>499.49</v>
      </c>
      <c r="G19" s="210">
        <f ca="1">(Table44[[#This Row],[52 week high]]-Table44[[#This Row],[Current Price]])/Table44[[#This Row],[Current Price]]</f>
        <v>0.20476886424152629</v>
      </c>
      <c r="H19" s="4" cm="1">
        <f t="array" aca="1" ref="H19" ca="1">_FV(A19,"52 week high",TRUE)</f>
        <v>601.77</v>
      </c>
      <c r="I19" t="b">
        <f ca="1">VLOOKUP(A19,Table41[#All],17,FALSE)</f>
        <v>0</v>
      </c>
      <c r="J19" t="b">
        <f ca="1">VLOOKUP(A19,Table41[#All],18,FALSE)</f>
        <v>1</v>
      </c>
      <c r="K19" s="184">
        <f>VLOOKUP(A19,Table41[#All],21,FALSE)</f>
        <v>45589</v>
      </c>
      <c r="L19" s="199">
        <f ca="1">VLOOKUP(A19,Table41[#All],26,FALSE)</f>
        <v>0.10997777777777773</v>
      </c>
      <c r="M19" s="84">
        <f ca="1">VLOOKUP(A19,Table41[#All],27,FALSE)</f>
        <v>-1.0200000000000209E-3</v>
      </c>
      <c r="N19" s="235">
        <f>HLOOKUP(Table44[[#This Row],[Theme]],Table46[#All],2,FALSE)</f>
        <v>45573</v>
      </c>
      <c r="O19" s="208" t="str">
        <f>VLOOKUP(A19,Table41[#All],22,FALSE)</f>
        <v>Financials</v>
      </c>
      <c r="P19" s="209" t="str">
        <f ca="1">VLOOKUP(A19,Table41[#All],25,FALSE)</f>
        <v>🔻</v>
      </c>
    </row>
    <row r="20" spans="1:16" ht="19">
      <c r="A20" t="e" vm="108">
        <v>#VALUE!</v>
      </c>
      <c r="B20" s="5" t="str">
        <f ca="1">VLOOKUP(A20,Table41[#All],2,FALSE)</f>
        <v>SLV</v>
      </c>
      <c r="C20" s="185" t="str">
        <f ca="1">VLOOKUP(A20,Table41[#All],20,FALSE)</f>
        <v>ETF</v>
      </c>
      <c r="D20" s="4" cm="1">
        <f t="array" aca="1" ref="D20" ca="1">_FV(A20,"52 week low",TRUE)</f>
        <v>26.57</v>
      </c>
      <c r="E20" s="204">
        <f ca="1">(Table44[[#This Row],[Current Price]]-Table44[[#This Row],[52 week low]])/Table44[[#This Row],[52 week low]]</f>
        <v>1.4884794881445238</v>
      </c>
      <c r="F20" s="4">
        <f ca="1">VLOOKUP(A20,Table41[#All],15,FALSE)</f>
        <v>66.118899999999996</v>
      </c>
      <c r="G20" s="210">
        <f ca="1">(Table44[[#This Row],[52 week high]]-Table44[[#This Row],[Current Price]])/Table44[[#This Row],[Current Price]]</f>
        <v>0.66109841512789846</v>
      </c>
      <c r="H20" s="4" cm="1">
        <f t="array" aca="1" ref="H20" ca="1">_FV(A20,"52 week high",TRUE)</f>
        <v>109.83</v>
      </c>
      <c r="I20" t="b">
        <f ca="1">VLOOKUP(A20,Table41[#All],17,FALSE)</f>
        <v>0</v>
      </c>
      <c r="J20" t="b">
        <f ca="1">VLOOKUP(A20,Table41[#All],18,FALSE)</f>
        <v>1</v>
      </c>
      <c r="K20" s="184">
        <f>VLOOKUP(A20,Table41[#All],21,FALSE)</f>
        <v>0</v>
      </c>
      <c r="L20" s="199">
        <f ca="1">VLOOKUP(A20,Table41[#All],26,FALSE)</f>
        <v>1.3199614035087719</v>
      </c>
      <c r="M20" s="84">
        <f ca="1">VLOOKUP(A20,Table41[#All],27,FALSE)</f>
        <v>1.2039633333333333</v>
      </c>
      <c r="N20" s="235">
        <f>HLOOKUP(Table44[[#This Row],[Theme]],Table46[#All],2,FALSE)</f>
        <v>45567</v>
      </c>
      <c r="O20" s="208" t="str">
        <f>VLOOKUP(A20,Table41[#All],22,FALSE)</f>
        <v>Gold and Silver</v>
      </c>
      <c r="P20" s="209" t="str">
        <f ca="1">VLOOKUP(A20,Table41[#All],25,FALSE)</f>
        <v>🔻</v>
      </c>
    </row>
    <row r="21" spans="1:16" ht="19">
      <c r="A21" t="e" vm="109">
        <v>#VALUE!</v>
      </c>
      <c r="B21" s="5" t="str">
        <f ca="1">VLOOKUP(A21,Table41[#All],2,FALSE)</f>
        <v>XLF</v>
      </c>
      <c r="C21" s="185" t="str">
        <f ca="1">VLOOKUP(A21,Table41[#All],20,FALSE)</f>
        <v>ETF</v>
      </c>
      <c r="D21" s="4" cm="1">
        <f t="array" aca="1" ref="D21" ca="1">_FV(A21,"52 week low",TRUE)</f>
        <v>42.21</v>
      </c>
      <c r="E21" s="204">
        <f ca="1">(Table44[[#This Row],[Current Price]]-Table44[[#This Row],[52 week low]])/Table44[[#This Row],[52 week low]]</f>
        <v>0.17187870172944805</v>
      </c>
      <c r="F21" s="4">
        <f ca="1">VLOOKUP(A21,Table41[#All],15,FALSE)</f>
        <v>49.465000000000003</v>
      </c>
      <c r="G21" s="210">
        <f ca="1">(Table44[[#This Row],[52 week high]]-Table44[[#This Row],[Current Price]])/Table44[[#This Row],[Current Price]]</f>
        <v>0.14252501768927517</v>
      </c>
      <c r="H21" s="4" cm="1">
        <f t="array" aca="1" ref="H21" ca="1">_FV(A21,"52 week high",TRUE)</f>
        <v>56.515000000000001</v>
      </c>
      <c r="I21" t="b">
        <f ca="1">VLOOKUP(A21,Table41[#All],17,FALSE)</f>
        <v>0</v>
      </c>
      <c r="J21" t="b">
        <f ca="1">VLOOKUP(A21,Table41[#All],18,FALSE)</f>
        <v>1</v>
      </c>
      <c r="K21" s="184">
        <f>VLOOKUP(A21,Table41[#All],21,FALSE)</f>
        <v>0</v>
      </c>
      <c r="L21" s="199">
        <f ca="1">VLOOKUP(A21,Table41[#All],26,FALSE)</f>
        <v>9.9222222222222323E-2</v>
      </c>
      <c r="M21" s="84">
        <f ca="1">VLOOKUP(A21,Table41[#All],27,FALSE)</f>
        <v>7.5326086956521765E-2</v>
      </c>
      <c r="N21" s="235">
        <f>HLOOKUP(Table44[[#This Row],[Theme]],Table46[#All],2,FALSE)</f>
        <v>45573</v>
      </c>
      <c r="O21" s="208" t="str">
        <f>VLOOKUP(A21,Table41[#All],22,FALSE)</f>
        <v>Financials</v>
      </c>
      <c r="P21" s="209" t="str">
        <f ca="1">VLOOKUP(A21,Table41[#All],25,FALSE)</f>
        <v>🔻</v>
      </c>
    </row>
    <row r="22" spans="1:16" ht="19">
      <c r="A22" t="e" vm="110">
        <v>#VALUE!</v>
      </c>
      <c r="B22" s="5" t="str">
        <f ca="1">VLOOKUP(A22,Table41[#All],2,FALSE)</f>
        <v>JPM</v>
      </c>
      <c r="C22" s="185" t="str">
        <f ca="1">VLOOKUP(A22,Table41[#All],20,FALSE)</f>
        <v>Stock</v>
      </c>
      <c r="D22" s="4" cm="1">
        <f t="array" aca="1" ref="D22" ca="1">_FV(A22,"52 week low",TRUE)</f>
        <v>202.16</v>
      </c>
      <c r="E22" s="204">
        <f ca="1">(Table44[[#This Row],[Current Price]]-Table44[[#This Row],[52 week low]])/Table44[[#This Row],[52 week low]]</f>
        <v>0.46087257617728528</v>
      </c>
      <c r="F22" s="4">
        <f ca="1">VLOOKUP(A22,Table41[#All],15,FALSE)</f>
        <v>295.33</v>
      </c>
      <c r="G22" s="210">
        <f ca="1">(Table44[[#This Row],[52 week high]]-Table44[[#This Row],[Current Price]])/Table44[[#This Row],[Current Price]]</f>
        <v>0.14194291131954093</v>
      </c>
      <c r="H22" s="4" cm="1">
        <f t="array" aca="1" ref="H22" ca="1">_FV(A22,"52 week high",TRUE)</f>
        <v>337.25</v>
      </c>
      <c r="I22" t="b">
        <f ca="1">VLOOKUP(A22,Table41[#All],17,FALSE)</f>
        <v>0</v>
      </c>
      <c r="J22" t="b">
        <f ca="1">VLOOKUP(A22,Table41[#All],18,FALSE)</f>
        <v>1</v>
      </c>
      <c r="K22" s="184">
        <f>VLOOKUP(A22,Table41[#All],21,FALSE)</f>
        <v>45576</v>
      </c>
      <c r="L22" s="199">
        <f ca="1">VLOOKUP(A22,Table41[#All],26,FALSE)</f>
        <v>0.47665000000000002</v>
      </c>
      <c r="M22" s="84">
        <f ca="1">VLOOKUP(A22,Table41[#All],27,FALSE)</f>
        <v>0.31257777777777762</v>
      </c>
      <c r="N22" s="235">
        <f>HLOOKUP(Table44[[#This Row],[Theme]],Table46[#All],2,FALSE)</f>
        <v>45573</v>
      </c>
      <c r="O22" s="208" t="str">
        <f>VLOOKUP(A22,Table41[#All],22,FALSE)</f>
        <v>Financials</v>
      </c>
      <c r="P22" s="209" t="str">
        <f ca="1">VLOOKUP(A22,Table41[#All],25,FALSE)</f>
        <v>🔻</v>
      </c>
    </row>
    <row r="23" spans="1:16" ht="19">
      <c r="A23" t="e" vm="11">
        <v>#VALUE!</v>
      </c>
      <c r="B23" s="5" t="str">
        <f ca="1">VLOOKUP(A23,Table41[#All],2,FALSE)</f>
        <v>AMZN</v>
      </c>
      <c r="C23" s="185" t="str">
        <f ca="1">VLOOKUP(A23,Table41[#All],20,FALSE)</f>
        <v>Stock</v>
      </c>
      <c r="D23" s="4" cm="1">
        <f t="array" aca="1" ref="D23" ca="1">_FV(A23,"52 week low",TRUE)</f>
        <v>161.38</v>
      </c>
      <c r="E23" s="204">
        <f ca="1">(Table44[[#This Row],[Current Price]]-Table44[[#This Row],[52 week low]])/Table44[[#This Row],[52 week low]]</f>
        <v>0.31459908290990218</v>
      </c>
      <c r="F23" s="4">
        <f ca="1">VLOOKUP(A23,Table41[#All],15,FALSE)</f>
        <v>212.15</v>
      </c>
      <c r="G23" s="210">
        <f ca="1">(Table44[[#This Row],[52 week high]]-Table44[[#This Row],[Current Price]])/Table44[[#This Row],[Current Price]]</f>
        <v>0.21894885694084382</v>
      </c>
      <c r="H23" s="4" cm="1">
        <f t="array" aca="1" ref="H23" ca="1">_FV(A23,"52 week high",TRUE)</f>
        <v>258.60000000000002</v>
      </c>
      <c r="I23" t="b">
        <f ca="1">VLOOKUP(A23,Table41[#All],17,FALSE)</f>
        <v>0</v>
      </c>
      <c r="J23" t="b">
        <f ca="1">VLOOKUP(A23,Table41[#All],18,FALSE)</f>
        <v>1</v>
      </c>
      <c r="K23" s="184">
        <f>VLOOKUP(A23,Table41[#All],21,FALSE)</f>
        <v>45589</v>
      </c>
      <c r="L23" s="199">
        <f ca="1">VLOOKUP(A23,Table41[#All],26,FALSE)</f>
        <v>0.17861111111111105</v>
      </c>
      <c r="M23" s="84">
        <f ca="1">VLOOKUP(A23,Table41[#All],27,FALSE)</f>
        <v>6.0750000000000082E-2</v>
      </c>
      <c r="N23" s="235" t="e">
        <f>HLOOKUP(Table44[[#This Row],[Theme]],Table46[#All],2,FALSE)</f>
        <v>#N/A</v>
      </c>
      <c r="O23" s="208" t="str">
        <f>VLOOKUP(A23,Table41[#All],22,FALSE)</f>
        <v>Robotics</v>
      </c>
      <c r="P23" s="209" t="str">
        <f ca="1">VLOOKUP(A23,Table41[#All],25,FALSE)</f>
        <v>🔻</v>
      </c>
    </row>
    <row r="24" spans="1:16" ht="19">
      <c r="A24" t="e" vm="13">
        <v>#VALUE!</v>
      </c>
      <c r="B24" s="5" t="str">
        <f ca="1">VLOOKUP(A24,Table41[#All],2,FALSE)</f>
        <v>ON</v>
      </c>
      <c r="C24" s="185" t="str">
        <f ca="1">VLOOKUP(A24,Table41[#All],20,FALSE)</f>
        <v>Stock</v>
      </c>
      <c r="D24" s="4" cm="1">
        <f t="array" aca="1" ref="D24" ca="1">_FV(A24,"52 week low",TRUE)</f>
        <v>31.04</v>
      </c>
      <c r="E24" s="204">
        <f ca="1">(Table44[[#This Row],[Current Price]]-Table44[[#This Row],[52 week low]])/Table44[[#This Row],[52 week low]]</f>
        <v>1.0515463917525774</v>
      </c>
      <c r="F24" s="4">
        <f ca="1">VLOOKUP(A24,Table41[#All],15,FALSE)</f>
        <v>63.68</v>
      </c>
      <c r="G24" s="210">
        <f ca="1">(Table44[[#This Row],[52 week high]]-Table44[[#This Row],[Current Price]])/Table44[[#This Row],[Current Price]]</f>
        <v>0.15829145728643224</v>
      </c>
      <c r="H24" s="4" cm="1">
        <f t="array" aca="1" ref="H24" ca="1">_FV(A24,"52 week high",TRUE)</f>
        <v>73.760000000000005</v>
      </c>
      <c r="I24" t="b">
        <f ca="1">VLOOKUP(A24,Table41[#All],17,FALSE)</f>
        <v>1</v>
      </c>
      <c r="J24" t="b">
        <f ca="1">VLOOKUP(A24,Table41[#All],18,FALSE)</f>
        <v>0</v>
      </c>
      <c r="K24" s="184">
        <f>VLOOKUP(A24,Table41[#All],21,FALSE)</f>
        <v>45593</v>
      </c>
      <c r="L24" s="199">
        <f ca="1">VLOOKUP(A24,Table41[#All],26,FALSE)</f>
        <v>-9.0285714285714302E-2</v>
      </c>
      <c r="M24" s="84">
        <f ca="1">VLOOKUP(A24,Table41[#All],27,FALSE)</f>
        <v>-0.20399999999999996</v>
      </c>
      <c r="N24" s="235">
        <f>HLOOKUP(Table44[[#This Row],[Theme]],Table46[#All],2,FALSE)</f>
        <v>45580</v>
      </c>
      <c r="O24" s="208" t="str">
        <f>VLOOKUP(A24,Table41[#All],22,FALSE)</f>
        <v>Semiconductor</v>
      </c>
      <c r="P24" s="209" t="str">
        <f ca="1">VLOOKUP(A24,Table41[#All],25,FALSE)</f>
        <v>✅</v>
      </c>
    </row>
    <row r="25" spans="1:16" ht="19">
      <c r="A25" t="e" vm="85">
        <v>#VALUE!</v>
      </c>
      <c r="B25" s="5" t="str">
        <f ca="1">VLOOKUP(A25,Table41[#All],2,FALSE)</f>
        <v>HOOD</v>
      </c>
      <c r="C25" s="185" t="str">
        <f ca="1">VLOOKUP(A25,Table41[#All],20,FALSE)</f>
        <v>Stock</v>
      </c>
      <c r="D25" s="4" cm="1">
        <f t="array" aca="1" ref="D25" ca="1">_FV(A25,"52 week low",TRUE)</f>
        <v>29.66</v>
      </c>
      <c r="E25" s="204">
        <f ca="1">(Table44[[#This Row],[Current Price]]-Table44[[#This Row],[52 week low]])/Table44[[#This Row],[52 week low]]</f>
        <v>1.4865711395819285</v>
      </c>
      <c r="F25" s="4">
        <f ca="1">VLOOKUP(A25,Table41[#All],15,FALSE)</f>
        <v>73.7517</v>
      </c>
      <c r="G25" s="210">
        <f ca="1">(Table44[[#This Row],[52 week high]]-Table44[[#This Row],[Current Price]])/Table44[[#This Row],[Current Price]]</f>
        <v>1.0861878438056345</v>
      </c>
      <c r="H25" s="4" cm="1">
        <f t="array" aca="1" ref="H25" ca="1">_FV(A25,"52 week high",TRUE)</f>
        <v>153.85990000000001</v>
      </c>
      <c r="I25" t="b">
        <f ca="1">VLOOKUP(A25,Table41[#All],17,FALSE)</f>
        <v>0</v>
      </c>
      <c r="J25" t="b">
        <f ca="1">VLOOKUP(A25,Table41[#All],18,FALSE)</f>
        <v>1</v>
      </c>
      <c r="K25" s="184">
        <f>VLOOKUP(A25,Table41[#All],21,FALSE)</f>
        <v>45587</v>
      </c>
      <c r="L25" s="199">
        <f ca="1">VLOOKUP(A25,Table41[#All],26,FALSE)</f>
        <v>2.2065956521739132</v>
      </c>
      <c r="M25" s="84">
        <f ca="1">VLOOKUP(A25,Table41[#All],27,FALSE)</f>
        <v>1.9500679999999999</v>
      </c>
      <c r="N25" s="235">
        <f>HLOOKUP(Table44[[#This Row],[Theme]],Table46[#All],2,FALSE)</f>
        <v>45573</v>
      </c>
      <c r="O25" s="208" t="str">
        <f>VLOOKUP(A25,Table41[#All],22,FALSE)</f>
        <v>Financials</v>
      </c>
      <c r="P25" s="209" t="str">
        <f ca="1">VLOOKUP(A25,Table41[#All],25,FALSE)</f>
        <v>🔻</v>
      </c>
    </row>
    <row r="26" spans="1:16" ht="19">
      <c r="A26" t="e" vm="33">
        <v>#VALUE!</v>
      </c>
      <c r="B26" s="5" t="str">
        <f ca="1">VLOOKUP(A26,Table41[#All],2,FALSE)</f>
        <v>CRDO</v>
      </c>
      <c r="C26" s="185" t="str">
        <f ca="1">VLOOKUP(A26,Table41[#All],20,FALSE)</f>
        <v>Stock</v>
      </c>
      <c r="D26" s="4" cm="1">
        <f t="array" aca="1" ref="D26" ca="1">_FV(A26,"52 week low",TRUE)</f>
        <v>29.09</v>
      </c>
      <c r="E26" s="204">
        <f ca="1">(Table44[[#This Row],[Current Price]]-Table44[[#This Row],[52 week low]])/Table44[[#This Row],[52 week low]]</f>
        <v>2.5438294946717086</v>
      </c>
      <c r="F26" s="4">
        <f ca="1">VLOOKUP(A26,Table41[#All],15,FALSE)</f>
        <v>103.09</v>
      </c>
      <c r="G26" s="210">
        <f ca="1">(Table44[[#This Row],[52 week high]]-Table44[[#This Row],[Current Price]])/Table44[[#This Row],[Current Price]]</f>
        <v>1.0739159957318849</v>
      </c>
      <c r="H26" s="4" cm="1">
        <f t="array" aca="1" ref="H26" ca="1">_FV(A26,"52 week high",TRUE)</f>
        <v>213.8</v>
      </c>
      <c r="I26" t="b">
        <f ca="1">VLOOKUP(A26,Table41[#All],17,FALSE)</f>
        <v>0</v>
      </c>
      <c r="J26" t="b">
        <f ca="1">VLOOKUP(A26,Table41[#All],18,FALSE)</f>
        <v>1</v>
      </c>
      <c r="K26" s="184">
        <f>VLOOKUP(A26,Table41[#All],21,FALSE)</f>
        <v>45623</v>
      </c>
      <c r="L26" s="199">
        <f ca="1">VLOOKUP(A26,Table41[#All],26,FALSE)</f>
        <v>3.1235999999999997</v>
      </c>
      <c r="M26" s="84">
        <f ca="1">VLOOKUP(A26,Table41[#All],27,FALSE)</f>
        <v>1.5772500000000003</v>
      </c>
      <c r="N26" s="235">
        <f>HLOOKUP(Table44[[#This Row],[Theme]],Table46[#All],2,FALSE)</f>
        <v>45587</v>
      </c>
      <c r="O26" s="208" t="str">
        <f>VLOOKUP(A26,Table41[#All],22,FALSE)</f>
        <v>AI</v>
      </c>
      <c r="P26" s="209" t="str">
        <f ca="1">VLOOKUP(A26,Table41[#All],25,FALSE)</f>
        <v>🔻</v>
      </c>
    </row>
    <row r="27" spans="1:16" ht="19">
      <c r="A27" t="e" vm="111">
        <v>#VALUE!</v>
      </c>
      <c r="B27" s="5" t="str">
        <f ca="1">VLOOKUP(A27,Table41[#All],2,FALSE)</f>
        <v>SMH</v>
      </c>
      <c r="C27" s="185" t="str">
        <f ca="1">VLOOKUP(A27,Table41[#All],20,FALSE)</f>
        <v>ETF</v>
      </c>
      <c r="D27" s="4" cm="1">
        <f t="array" aca="1" ref="D27" ca="1">_FV(A27,"52 week low",TRUE)</f>
        <v>170.11</v>
      </c>
      <c r="E27" s="204">
        <f ca="1">(Table44[[#This Row],[Current Price]]-Table44[[#This Row],[52 week low]])/Table44[[#This Row],[52 week low]]</f>
        <v>1.3597378167068366</v>
      </c>
      <c r="F27" s="4">
        <f ca="1">VLOOKUP(A27,Table41[#All],15,FALSE)</f>
        <v>401.41500000000002</v>
      </c>
      <c r="G27" s="210">
        <f ca="1">(Table44[[#This Row],[52 week high]]-Table44[[#This Row],[Current Price]])/Table44[[#This Row],[Current Price]]</f>
        <v>6.6078746434487939E-2</v>
      </c>
      <c r="H27" s="4" cm="1">
        <f t="array" aca="1" ref="H27" ca="1">_FV(A27,"52 week high",TRUE)</f>
        <v>427.94</v>
      </c>
      <c r="I27" t="b">
        <f ca="1">VLOOKUP(A27,Table41[#All],17,FALSE)</f>
        <v>0</v>
      </c>
      <c r="J27" t="b">
        <f ca="1">VLOOKUP(A27,Table41[#All],18,FALSE)</f>
        <v>1</v>
      </c>
      <c r="K27" s="184">
        <f>VLOOKUP(A27,Table41[#All],21,FALSE)</f>
        <v>0</v>
      </c>
      <c r="L27" s="199">
        <f ca="1">VLOOKUP(A27,Table41[#All],26,FALSE)</f>
        <v>0.67256250000000017</v>
      </c>
      <c r="M27" s="84">
        <f ca="1">VLOOKUP(A27,Table41[#All],27,FALSE)</f>
        <v>0.54390384615384613</v>
      </c>
      <c r="N27" s="235">
        <f>HLOOKUP(Table44[[#This Row],[Theme]],Table46[#All],2,FALSE)</f>
        <v>45587</v>
      </c>
      <c r="O27" s="208" t="str">
        <f>VLOOKUP(A27,Table41[#All],22,FALSE)</f>
        <v>AI</v>
      </c>
      <c r="P27" s="209" t="str">
        <f ca="1">VLOOKUP(A27,Table41[#All],25,FALSE)</f>
        <v>🔻</v>
      </c>
    </row>
    <row r="28" spans="1:16" ht="19">
      <c r="A28" t="e" vm="112">
        <v>#VALUE!</v>
      </c>
      <c r="B28" s="5" t="str">
        <f ca="1">VLOOKUP(A28,Table41[#All],2,FALSE)</f>
        <v>AMLP</v>
      </c>
      <c r="C28" s="185" t="str">
        <f ca="1">VLOOKUP(A28,Table41[#All],20,FALSE)</f>
        <v>ETF</v>
      </c>
      <c r="D28" s="4" cm="1">
        <f t="array" aca="1" ref="D28" ca="1">_FV(A28,"52 week low",TRUE)</f>
        <v>43.75</v>
      </c>
      <c r="E28" s="204">
        <f ca="1">(Table44[[#This Row],[Current Price]]-Table44[[#This Row],[52 week low]])/Table44[[#This Row],[52 week low]]</f>
        <v>0.22217142857142855</v>
      </c>
      <c r="F28" s="4">
        <f ca="1">VLOOKUP(A28,Table41[#All],15,FALSE)</f>
        <v>53.47</v>
      </c>
      <c r="G28" s="210">
        <f ca="1">(Table44[[#This Row],[52 week high]]-Table44[[#This Row],[Current Price]])/Table44[[#This Row],[Current Price]]</f>
        <v>1.0473162521039877E-2</v>
      </c>
      <c r="H28" s="4" cm="1">
        <f t="array" aca="1" ref="H28" ca="1">_FV(A28,"52 week high",TRUE)</f>
        <v>54.03</v>
      </c>
      <c r="I28" t="b">
        <f ca="1">VLOOKUP(A28,Table41[#All],17,FALSE)</f>
        <v>0</v>
      </c>
      <c r="J28" t="b">
        <f ca="1">VLOOKUP(A28,Table41[#All],18,FALSE)</f>
        <v>1</v>
      </c>
      <c r="K28" s="184">
        <f>VLOOKUP(A28,Table41[#All],21,FALSE)</f>
        <v>0</v>
      </c>
      <c r="L28" s="199">
        <f ca="1">VLOOKUP(A28,Table41[#All],26,FALSE)</f>
        <v>0.24348837209302321</v>
      </c>
      <c r="M28" s="84">
        <f ca="1">VLOOKUP(A28,Table41[#All],27,FALSE)</f>
        <v>0.13765957446808508</v>
      </c>
      <c r="N28" s="235">
        <f>HLOOKUP(Table44[[#This Row],[Theme]],Table46[#All],2,FALSE)</f>
        <v>45567</v>
      </c>
      <c r="O28" s="208" t="str">
        <f>VLOOKUP(A28,Table41[#All],22,FALSE)</f>
        <v>Energy</v>
      </c>
      <c r="P28" s="209" t="str">
        <f ca="1">VLOOKUP(A28,Table41[#All],25,FALSE)</f>
        <v>🔻</v>
      </c>
    </row>
    <row r="29" spans="1:16" ht="19">
      <c r="A29" t="e" vm="113">
        <v>#VALUE!</v>
      </c>
      <c r="B29" s="5" t="str">
        <f ca="1">VLOOKUP(A29,Table41[#All],2,FALSE)</f>
        <v>XME</v>
      </c>
      <c r="C29" s="185" t="str">
        <f ca="1">VLOOKUP(A29,Table41[#All],20,FALSE)</f>
        <v>ETF</v>
      </c>
      <c r="D29" s="4" cm="1">
        <f t="array" aca="1" ref="D29" ca="1">_FV(A29,"52 week low",TRUE)</f>
        <v>45.89</v>
      </c>
      <c r="E29" s="204">
        <f ca="1">(Table44[[#This Row],[Current Price]]-Table44[[#This Row],[52 week low]])/Table44[[#This Row],[52 week low]]</f>
        <v>1.3719764654608846</v>
      </c>
      <c r="F29" s="4">
        <f ca="1">VLOOKUP(A29,Table41[#All],15,FALSE)</f>
        <v>108.85</v>
      </c>
      <c r="G29" s="210">
        <f ca="1">(Table44[[#This Row],[52 week high]]-Table44[[#This Row],[Current Price]])/Table44[[#This Row],[Current Price]]</f>
        <v>0.24645291685806162</v>
      </c>
      <c r="H29" s="4" cm="1">
        <f t="array" aca="1" ref="H29" ca="1">_FV(A29,"52 week high",TRUE)</f>
        <v>135.6764</v>
      </c>
      <c r="I29" t="b">
        <f ca="1">VLOOKUP(A29,Table41[#All],17,FALSE)</f>
        <v>0</v>
      </c>
      <c r="J29" t="b">
        <f ca="1">VLOOKUP(A29,Table41[#All],18,FALSE)</f>
        <v>1</v>
      </c>
      <c r="K29" s="184">
        <f>VLOOKUP(A29,Table41[#All],21,FALSE)</f>
        <v>0</v>
      </c>
      <c r="L29" s="199">
        <f>VLOOKUP(A29,Table41[#All],26,FALSE)</f>
        <v>0</v>
      </c>
      <c r="M29" s="84">
        <f ca="1">VLOOKUP(A29,Table41[#All],27,FALSE)</f>
        <v>0.67461538461538462</v>
      </c>
      <c r="N29" s="235">
        <f>HLOOKUP(Table44[[#This Row],[Theme]],Table46[#All],2,FALSE)</f>
        <v>45567</v>
      </c>
      <c r="O29" s="208" t="str">
        <f>VLOOKUP(A29,Table41[#All],22,FALSE)</f>
        <v>Gold and Silver</v>
      </c>
      <c r="P29" s="209" t="str">
        <f ca="1">VLOOKUP(A29,Table41[#All],25,FALSE)</f>
        <v>🔻</v>
      </c>
    </row>
    <row r="30" spans="1:16" ht="19">
      <c r="A30" t="e" vm="114">
        <v>#VALUE!</v>
      </c>
      <c r="B30" s="5" t="str">
        <f ca="1">VLOOKUP(A30,Table41[#All],2,FALSE)</f>
        <v>LRCX</v>
      </c>
      <c r="C30" s="185" t="str">
        <f ca="1">VLOOKUP(A30,Table41[#All],20,FALSE)</f>
        <v>Stock</v>
      </c>
      <c r="D30" s="4" cm="1">
        <f t="array" aca="1" ref="D30" ca="1">_FV(A30,"52 week low",TRUE)</f>
        <v>56.32</v>
      </c>
      <c r="E30" s="204">
        <f ca="1">(Table44[[#This Row],[Current Price]]-Table44[[#This Row],[52 week low]])/Table44[[#This Row],[52 week low]]</f>
        <v>3.1807528409090913</v>
      </c>
      <c r="F30" s="4">
        <f ca="1">VLOOKUP(A30,Table41[#All],15,FALSE)</f>
        <v>235.46</v>
      </c>
      <c r="G30" s="210">
        <f ca="1">(Table44[[#This Row],[52 week high]]-Table44[[#This Row],[Current Price]])/Table44[[#This Row],[Current Price]]</f>
        <v>9.0121464367620821E-2</v>
      </c>
      <c r="H30" s="4" cm="1">
        <f t="array" aca="1" ref="H30" ca="1">_FV(A30,"52 week high",TRUE)</f>
        <v>256.68</v>
      </c>
      <c r="I30" t="b">
        <f ca="1">VLOOKUP(A30,Table41[#All],17,FALSE)</f>
        <v>0</v>
      </c>
      <c r="J30" t="b">
        <f ca="1">VLOOKUP(A30,Table41[#All],18,FALSE)</f>
        <v>1</v>
      </c>
      <c r="K30" s="184">
        <f>VLOOKUP(A30,Table41[#All],21,FALSE)</f>
        <v>45679</v>
      </c>
      <c r="L30" s="199">
        <f>VLOOKUP(A30,Table41[#All],26,FALSE)</f>
        <v>0</v>
      </c>
      <c r="M30" s="84">
        <f ca="1">VLOOKUP(A30,Table41[#All],27,FALSE)</f>
        <v>2.0579220779220782</v>
      </c>
      <c r="N30" s="235">
        <f>HLOOKUP(Table44[[#This Row],[Theme]],Table46[#All],2,FALSE)</f>
        <v>45580</v>
      </c>
      <c r="O30" s="208" t="str">
        <f>VLOOKUP(A30,Table41[#All],22,FALSE)</f>
        <v>Semiconductor</v>
      </c>
      <c r="P30" s="209" t="str">
        <f ca="1">VLOOKUP(A30,Table41[#All],25,FALSE)</f>
        <v>🔻</v>
      </c>
    </row>
    <row r="31" spans="1:16" ht="19">
      <c r="A31" t="e" vm="115">
        <v>#VALUE!</v>
      </c>
      <c r="B31" s="5" t="str">
        <f ca="1">VLOOKUP(A31,Table41[#All],2,FALSE)</f>
        <v>QQQ</v>
      </c>
      <c r="C31" s="185" t="str">
        <f ca="1">VLOOKUP(A31,Table41[#All],20,FALSE)</f>
        <v>ETF</v>
      </c>
      <c r="D31" s="4" cm="1">
        <f t="array" aca="1" ref="D31" ca="1">_FV(A31,"52 week low",TRUE)</f>
        <v>402.39</v>
      </c>
      <c r="E31" s="204">
        <f ca="1">(Table44[[#This Row],[Current Price]]-Table44[[#This Row],[52 week low]])/Table44[[#This Row],[52 week low]]</f>
        <v>0.46778001441387712</v>
      </c>
      <c r="F31" s="4">
        <f ca="1">VLOOKUP(A31,Table41[#All],15,FALSE)</f>
        <v>590.62</v>
      </c>
      <c r="G31" s="210">
        <f ca="1">(Table44[[#This Row],[52 week high]]-Table44[[#This Row],[Current Price]])/Table44[[#This Row],[Current Price]]</f>
        <v>7.8544580271578998E-2</v>
      </c>
      <c r="H31" s="4" cm="1">
        <f t="array" aca="1" ref="H31" ca="1">_FV(A31,"52 week high",TRUE)</f>
        <v>637.01</v>
      </c>
      <c r="I31" t="b">
        <f ca="1">VLOOKUP(A31,Table41[#All],17,FALSE)</f>
        <v>0</v>
      </c>
      <c r="J31" t="b">
        <f ca="1">VLOOKUP(A31,Table41[#All],18,FALSE)</f>
        <v>1</v>
      </c>
      <c r="K31" s="184">
        <f>VLOOKUP(A31,Table41[#All],21,FALSE)</f>
        <v>0</v>
      </c>
      <c r="L31" s="199">
        <f ca="1">VLOOKUP(A31,Table41[#All],26,FALSE)</f>
        <v>0.27015053763440866</v>
      </c>
      <c r="M31" s="84">
        <f ca="1">VLOOKUP(A31,Table41[#All],27,FALSE)</f>
        <v>0.18124000000000007</v>
      </c>
      <c r="N31" s="235">
        <f>HLOOKUP(Table44[[#This Row],[Theme]],Table46[#All],2,FALSE)</f>
        <v>45564</v>
      </c>
      <c r="O31" s="208" t="str">
        <f>VLOOKUP(A31,Table41[#All],22,FALSE)</f>
        <v>Market</v>
      </c>
      <c r="P31" s="209" t="str">
        <f ca="1">VLOOKUP(A31,Table41[#All],25,FALSE)</f>
        <v>🔻</v>
      </c>
    </row>
    <row r="32" spans="1:16" ht="19">
      <c r="A32" t="e" vm="116">
        <v>#VALUE!</v>
      </c>
      <c r="B32" s="5" t="str">
        <f ca="1">VLOOKUP(A32,Table41[#All],2,FALSE)</f>
        <v>MPC</v>
      </c>
      <c r="C32" s="185" t="str">
        <f ca="1">VLOOKUP(A32,Table41[#All],20,FALSE)</f>
        <v>Stock</v>
      </c>
      <c r="D32" s="4" cm="1">
        <f t="array" aca="1" ref="D32" ca="1">_FV(A32,"52 week low",TRUE)</f>
        <v>115.1</v>
      </c>
      <c r="E32" s="204">
        <f ca="1">(Table44[[#This Row],[Current Price]]-Table44[[#This Row],[52 week low]])/Table44[[#This Row],[52 week low]]</f>
        <v>1.1198957428323197</v>
      </c>
      <c r="F32" s="4">
        <f ca="1">VLOOKUP(A32,Table41[#All],15,FALSE)</f>
        <v>244</v>
      </c>
      <c r="G32" s="210">
        <f ca="1">(Table44[[#This Row],[52 week high]]-Table44[[#This Row],[Current Price]])/Table44[[#This Row],[Current Price]]</f>
        <v>1.2868852459016337E-2</v>
      </c>
      <c r="H32" s="4" cm="1">
        <f t="array" aca="1" ref="H32" ca="1">_FV(A32,"52 week high",TRUE)</f>
        <v>247.14</v>
      </c>
      <c r="I32" t="b">
        <f ca="1">VLOOKUP(A32,Table41[#All],17,FALSE)</f>
        <v>0</v>
      </c>
      <c r="J32" t="b">
        <f ca="1">VLOOKUP(A32,Table41[#All],18,FALSE)</f>
        <v>1</v>
      </c>
      <c r="K32" s="184">
        <f>VLOOKUP(A32,Table41[#All],21,FALSE)</f>
        <v>45601</v>
      </c>
      <c r="L32" s="199">
        <f ca="1">VLOOKUP(A32,Table41[#All],26,FALSE)</f>
        <v>0.5741935483870968</v>
      </c>
      <c r="M32" s="84">
        <f ca="1">VLOOKUP(A32,Table41[#All],27,FALSE)</f>
        <v>0.35555555555555562</v>
      </c>
      <c r="N32" s="235">
        <f>HLOOKUP(Table44[[#This Row],[Theme]],Table46[#All],2,FALSE)</f>
        <v>45567</v>
      </c>
      <c r="O32" s="208" t="str">
        <f>VLOOKUP(A32,Table41[#All],22,FALSE)</f>
        <v>Energy</v>
      </c>
      <c r="P32" s="209" t="str">
        <f ca="1">VLOOKUP(A32,Table41[#All],25,FALSE)</f>
        <v>🔻</v>
      </c>
    </row>
    <row r="33" spans="1:16" ht="19">
      <c r="A33" t="e" vm="117">
        <v>#VALUE!</v>
      </c>
      <c r="B33" s="5" t="str">
        <f ca="1">VLOOKUP(A33,Table41[#All],2,FALSE)</f>
        <v>TXN</v>
      </c>
      <c r="C33" s="185" t="str">
        <f ca="1">VLOOKUP(A33,Table41[#All],20,FALSE)</f>
        <v>Stock</v>
      </c>
      <c r="D33" s="4" cm="1">
        <f t="array" aca="1" ref="D33" ca="1">_FV(A33,"52 week low",TRUE)</f>
        <v>139.94999999999999</v>
      </c>
      <c r="E33" s="204">
        <f ca="1">(Table44[[#This Row],[Current Price]]-Table44[[#This Row],[52 week low]])/Table44[[#This Row],[52 week low]]</f>
        <v>0.40500178635226874</v>
      </c>
      <c r="F33" s="4">
        <f ca="1">VLOOKUP(A33,Table41[#All],15,FALSE)</f>
        <v>196.63</v>
      </c>
      <c r="G33" s="210">
        <f ca="1">(Table44[[#This Row],[52 week high]]-Table44[[#This Row],[Current Price]])/Table44[[#This Row],[Current Price]]</f>
        <v>0.17642272288053704</v>
      </c>
      <c r="H33" s="4" cm="1">
        <f t="array" aca="1" ref="H33" ca="1">_FV(A33,"52 week high",TRUE)</f>
        <v>231.32</v>
      </c>
      <c r="I33" t="b">
        <f ca="1">VLOOKUP(A33,Table41[#All],17,FALSE)</f>
        <v>1</v>
      </c>
      <c r="J33" t="b">
        <f ca="1">VLOOKUP(A33,Table41[#All],18,FALSE)</f>
        <v>0</v>
      </c>
      <c r="K33" s="184">
        <f>VLOOKUP(A33,Table41[#All],21,FALSE)</f>
        <v>45685</v>
      </c>
      <c r="L33" s="199">
        <f>VLOOKUP(A33,Table41[#All],26,FALSE)</f>
        <v>0</v>
      </c>
      <c r="M33" s="84">
        <f ca="1">VLOOKUP(A33,Table41[#All],27,FALSE)</f>
        <v>-6.3666666666666649E-2</v>
      </c>
      <c r="N33" s="235">
        <f>HLOOKUP(Table44[[#This Row],[Theme]],Table46[#All],2,FALSE)</f>
        <v>45587</v>
      </c>
      <c r="O33" s="208" t="str">
        <f>VLOOKUP(A33,Table41[#All],22,FALSE)</f>
        <v>AI</v>
      </c>
      <c r="P33" s="209" t="str">
        <f ca="1">VLOOKUP(A33,Table41[#All],25,FALSE)</f>
        <v>✅</v>
      </c>
    </row>
    <row r="34" spans="1:16" ht="19">
      <c r="A34" t="e" vm="118">
        <v>#VALUE!</v>
      </c>
      <c r="B34" s="5" t="str">
        <f ca="1">VLOOKUP(A34,Table41[#All],2,FALSE)</f>
        <v>ANET</v>
      </c>
      <c r="C34" s="185" t="str">
        <f ca="1">VLOOKUP(A34,Table41[#All],20,FALSE)</f>
        <v>Stock</v>
      </c>
      <c r="D34" s="4" cm="1">
        <f t="array" aca="1" ref="D34" ca="1">_FV(A34,"52 week low",TRUE)</f>
        <v>59.43</v>
      </c>
      <c r="E34" s="204">
        <f ca="1">(Table44[[#This Row],[Current Price]]-Table44[[#This Row],[52 week low]])/Table44[[#This Row],[52 week low]]</f>
        <v>1.2357395254921757</v>
      </c>
      <c r="F34" s="4">
        <f ca="1">VLOOKUP(A34,Table41[#All],15,FALSE)</f>
        <v>132.87</v>
      </c>
      <c r="G34" s="210">
        <f ca="1">(Table44[[#This Row],[52 week high]]-Table44[[#This Row],[Current Price]])/Table44[[#This Row],[Current Price]]</f>
        <v>0.24136373899300062</v>
      </c>
      <c r="H34" s="4" cm="1">
        <f t="array" aca="1" ref="H34" ca="1">_FV(A34,"52 week high",TRUE)</f>
        <v>164.94</v>
      </c>
      <c r="I34" t="b">
        <f ca="1">VLOOKUP(A34,Table41[#All],17,FALSE)</f>
        <v>1</v>
      </c>
      <c r="J34" t="b">
        <f ca="1">VLOOKUP(A34,Table41[#All],18,FALSE)</f>
        <v>0</v>
      </c>
      <c r="K34" s="184">
        <f>VLOOKUP(A34,Table41[#All],21,FALSE)</f>
        <v>45593</v>
      </c>
      <c r="L34" s="199">
        <f ca="1">VLOOKUP(A34,Table41[#All],26,FALSE)</f>
        <v>-0.63091666666666668</v>
      </c>
      <c r="M34" s="84">
        <f ca="1">VLOOKUP(A34,Table41[#All],27,FALSE)</f>
        <v>-0.67592682926829273</v>
      </c>
      <c r="N34" s="235">
        <f>HLOOKUP(Table44[[#This Row],[Theme]],Table46[#All],2,FALSE)</f>
        <v>45602</v>
      </c>
      <c r="O34" s="208" t="str">
        <f>VLOOKUP(A34,Table41[#All],22,FALSE)</f>
        <v>Connectivity</v>
      </c>
      <c r="P34" s="209" t="str">
        <f ca="1">VLOOKUP(A34,Table41[#All],25,FALSE)</f>
        <v>✅</v>
      </c>
    </row>
    <row r="35" spans="1:16" ht="19">
      <c r="A35" t="e" vm="119">
        <v>#VALUE!</v>
      </c>
      <c r="B35" s="5" t="str">
        <f ca="1">VLOOKUP(A35,Table41[#All],2,FALSE)</f>
        <v>UAL</v>
      </c>
      <c r="C35" s="185" t="str">
        <f ca="1">VLOOKUP(A35,Table41[#All],20,FALSE)</f>
        <v>Stock</v>
      </c>
      <c r="D35" s="4" cm="1">
        <f t="array" aca="1" ref="D35" ca="1">_FV(A35,"52 week low",TRUE)</f>
        <v>52</v>
      </c>
      <c r="E35" s="204">
        <f ca="1">(Table44[[#This Row],[Current Price]]-Table44[[#This Row],[52 week low]])/Table44[[#This Row],[52 week low]]</f>
        <v>0.86336538461538459</v>
      </c>
      <c r="F35" s="4">
        <f ca="1">VLOOKUP(A35,Table41[#All],15,FALSE)</f>
        <v>96.894999999999996</v>
      </c>
      <c r="G35" s="210">
        <f ca="1">(Table44[[#This Row],[52 week high]]-Table44[[#This Row],[Current Price]])/Table44[[#This Row],[Current Price]]</f>
        <v>0.23030084111667268</v>
      </c>
      <c r="H35" s="4" cm="1">
        <f t="array" aca="1" ref="H35" ca="1">_FV(A35,"52 week high",TRUE)</f>
        <v>119.21</v>
      </c>
      <c r="I35" t="b">
        <f ca="1">VLOOKUP(A35,Table41[#All],17,FALSE)</f>
        <v>0</v>
      </c>
      <c r="J35" t="b">
        <f ca="1">VLOOKUP(A35,Table41[#All],18,FALSE)</f>
        <v>1</v>
      </c>
      <c r="K35" s="184">
        <f>VLOOKUP(A35,Table41[#All],21,FALSE)</f>
        <v>0</v>
      </c>
      <c r="L35" s="199">
        <f>VLOOKUP(A35,Table41[#All],26,FALSE)</f>
        <v>0</v>
      </c>
      <c r="M35" s="84">
        <f ca="1">VLOOKUP(A35,Table41[#All],27,FALSE)</f>
        <v>0.21118749999999986</v>
      </c>
      <c r="N35" s="235">
        <f>HLOOKUP(Table44[[#This Row],[Theme]],Table46[#All],2,FALSE)</f>
        <v>45573</v>
      </c>
      <c r="O35" s="208" t="str">
        <f>VLOOKUP(A35,Table41[#All],22,FALSE)</f>
        <v>Industrials</v>
      </c>
      <c r="P35" s="209" t="str">
        <f ca="1">VLOOKUP(A35,Table41[#All],25,FALSE)</f>
        <v>🔻</v>
      </c>
    </row>
    <row r="36" spans="1:16" ht="19">
      <c r="A36" t="e" vm="120">
        <v>#VALUE!</v>
      </c>
      <c r="B36" s="5" t="str">
        <f ca="1">VLOOKUP(A36,Table41[#All],2,FALSE)</f>
        <v>REPX</v>
      </c>
      <c r="C36" s="185" t="str">
        <f ca="1">VLOOKUP(A36,Table41[#All],20,FALSE)</f>
        <v>Stock</v>
      </c>
      <c r="D36" s="4" cm="1">
        <f t="array" aca="1" ref="D36" ca="1">_FV(A36,"52 week low",TRUE)</f>
        <v>21.98</v>
      </c>
      <c r="E36" s="204">
        <f ca="1">(Table44[[#This Row],[Current Price]]-Table44[[#This Row],[52 week low]])/Table44[[#This Row],[52 week low]]</f>
        <v>0.63830755232029102</v>
      </c>
      <c r="F36" s="4">
        <f ca="1">VLOOKUP(A36,Table41[#All],15,FALSE)</f>
        <v>36.01</v>
      </c>
      <c r="G36" s="210">
        <f ca="1">(Table44[[#This Row],[52 week high]]-Table44[[#This Row],[Current Price]])/Table44[[#This Row],[Current Price]]</f>
        <v>1.2913079700083405E-2</v>
      </c>
      <c r="H36" s="4" cm="1">
        <f t="array" aca="1" ref="H36" ca="1">_FV(A36,"52 week high",TRUE)</f>
        <v>36.475000000000001</v>
      </c>
      <c r="I36" t="b">
        <f ca="1">VLOOKUP(A36,Table41[#All],17,FALSE)</f>
        <v>0</v>
      </c>
      <c r="J36" t="b">
        <f ca="1">VLOOKUP(A36,Table41[#All],18,FALSE)</f>
        <v>1</v>
      </c>
      <c r="K36" s="184">
        <f>VLOOKUP(A36,Table41[#All],21,FALSE)</f>
        <v>45607</v>
      </c>
      <c r="L36" s="199">
        <f ca="1">VLOOKUP(A36,Table41[#All],26,FALSE)</f>
        <v>0.60044444444444434</v>
      </c>
      <c r="M36" s="84">
        <f ca="1">VLOOKUP(A36,Table41[#All],27,FALSE)</f>
        <v>0.30945454545454543</v>
      </c>
      <c r="N36" s="235">
        <f>HLOOKUP(Table44[[#This Row],[Theme]],Table46[#All],2,FALSE)</f>
        <v>45567</v>
      </c>
      <c r="O36" s="208" t="str">
        <f>VLOOKUP(A36,Table41[#All],22,FALSE)</f>
        <v>Energy</v>
      </c>
      <c r="P36" s="209" t="str">
        <f ca="1">VLOOKUP(A36,Table41[#All],25,FALSE)</f>
        <v>🔻</v>
      </c>
    </row>
    <row r="37" spans="1:16" ht="19">
      <c r="A37" t="e" vm="34">
        <v>#VALUE!</v>
      </c>
      <c r="B37" s="5" t="str">
        <f ca="1">VLOOKUP(A37,Table41[#All],2,FALSE)</f>
        <v>TSM</v>
      </c>
      <c r="C37" s="185" t="str">
        <f ca="1">VLOOKUP(A37,Table41[#All],20,FALSE)</f>
        <v>Stock</v>
      </c>
      <c r="D37" s="4" cm="1">
        <f t="array" aca="1" ref="D37" ca="1">_FV(A37,"52 week low",TRUE)</f>
        <v>134.25</v>
      </c>
      <c r="E37" s="204">
        <f ca="1">(Table44[[#This Row],[Current Price]]-Table44[[#This Row],[52 week low]])/Table44[[#This Row],[52 week low]]</f>
        <v>1.5960893854748601</v>
      </c>
      <c r="F37" s="4">
        <f ca="1">VLOOKUP(A37,Table41[#All],15,FALSE)</f>
        <v>348.52499999999998</v>
      </c>
      <c r="G37" s="210">
        <f ca="1">(Table44[[#This Row],[52 week high]]-Table44[[#This Row],[Current Price]])/Table44[[#This Row],[Current Price]]</f>
        <v>0.11958969944767237</v>
      </c>
      <c r="H37" s="4" cm="1">
        <f t="array" aca="1" ref="H37" ca="1">_FV(A37,"52 week high",TRUE)</f>
        <v>390.20499999999998</v>
      </c>
      <c r="I37" t="b">
        <f ca="1">VLOOKUP(A37,Table41[#All],17,FALSE)</f>
        <v>0</v>
      </c>
      <c r="J37" t="b">
        <f ca="1">VLOOKUP(A37,Table41[#All],18,FALSE)</f>
        <v>1</v>
      </c>
      <c r="K37" s="184">
        <f>VLOOKUP(A37,Table41[#All],21,FALSE)</f>
        <v>45582</v>
      </c>
      <c r="L37" s="199">
        <f ca="1">VLOOKUP(A37,Table41[#All],26,FALSE)</f>
        <v>1.1782812499999999</v>
      </c>
      <c r="M37" s="84">
        <f ca="1">VLOOKUP(A37,Table41[#All],27,FALSE)</f>
        <v>0.78730769230769226</v>
      </c>
      <c r="N37" s="235">
        <f>HLOOKUP(Table44[[#This Row],[Theme]],Table46[#All],2,FALSE)</f>
        <v>45587</v>
      </c>
      <c r="O37" s="208" t="str">
        <f>VLOOKUP(A37,Table41[#All],22,FALSE)</f>
        <v>AI</v>
      </c>
      <c r="P37" s="209" t="str">
        <f ca="1">VLOOKUP(A37,Table41[#All],25,FALSE)</f>
        <v>🔻</v>
      </c>
    </row>
    <row r="38" spans="1:16" ht="19">
      <c r="A38" t="e" vm="26">
        <v>#VALUE!</v>
      </c>
      <c r="B38" s="5" t="str">
        <f ca="1">VLOOKUP(A38,Table41[#All],2,FALSE)</f>
        <v>AEHR</v>
      </c>
      <c r="C38" s="185" t="str">
        <f ca="1">VLOOKUP(A38,Table41[#All],20,FALSE)</f>
        <v>Stock</v>
      </c>
      <c r="D38" s="4" cm="1">
        <f t="array" aca="1" ref="D38" ca="1">_FV(A38,"52 week low",TRUE)</f>
        <v>6.27</v>
      </c>
      <c r="E38" s="204">
        <f ca="1">(Table44[[#This Row],[Current Price]]-Table44[[#This Row],[52 week low]])/Table44[[#This Row],[52 week low]]</f>
        <v>5.4960127591706529</v>
      </c>
      <c r="F38" s="4">
        <f ca="1">VLOOKUP(A38,Table41[#All],15,FALSE)</f>
        <v>40.729999999999997</v>
      </c>
      <c r="G38" s="210">
        <f ca="1">(Table44[[#This Row],[52 week high]]-Table44[[#This Row],[Current Price]])/Table44[[#This Row],[Current Price]]</f>
        <v>0.15271298796955576</v>
      </c>
      <c r="H38" s="4" cm="1">
        <f t="array" aca="1" ref="H38" ca="1">_FV(A38,"52 week high",TRUE)</f>
        <v>46.95</v>
      </c>
      <c r="I38" t="b">
        <f ca="1">VLOOKUP(A38,Table41[#All],17,FALSE)</f>
        <v>0</v>
      </c>
      <c r="J38" t="b">
        <f ca="1">VLOOKUP(A38,Table41[#All],18,FALSE)</f>
        <v>1</v>
      </c>
      <c r="K38" s="184">
        <f>VLOOKUP(A38,Table41[#All],21,FALSE)</f>
        <v>45666</v>
      </c>
      <c r="L38" s="199">
        <f ca="1">VLOOKUP(A38,Table41[#All],26,FALSE)</f>
        <v>2.2584</v>
      </c>
      <c r="M38" s="84">
        <f ca="1">VLOOKUP(A38,Table41[#All],27,FALSE)</f>
        <v>1.7153333333333332</v>
      </c>
      <c r="N38" s="235">
        <f>HLOOKUP(Table44[[#This Row],[Theme]],Table46[#All],2,FALSE)</f>
        <v>45580</v>
      </c>
      <c r="O38" s="208" t="str">
        <f>VLOOKUP(A38,Table41[#All],22,FALSE)</f>
        <v>Semiconductor</v>
      </c>
      <c r="P38" s="209" t="str">
        <f ca="1">VLOOKUP(A38,Table41[#All],25,FALSE)</f>
        <v>🔻</v>
      </c>
    </row>
    <row r="39" spans="1:16" ht="19">
      <c r="A39" t="e" vm="121">
        <v>#VALUE!</v>
      </c>
      <c r="B39" s="5" t="str">
        <f ca="1">VLOOKUP(A39,Table41[#All],2,FALSE)</f>
        <v>IWM</v>
      </c>
      <c r="C39" s="185" t="str">
        <f ca="1">VLOOKUP(A39,Table41[#All],20,FALSE)</f>
        <v>ETF</v>
      </c>
      <c r="D39" s="4" cm="1">
        <f t="array" aca="1" ref="D39" ca="1">_FV(A39,"52 week low",TRUE)</f>
        <v>171.73</v>
      </c>
      <c r="E39" s="204">
        <f ca="1">(Table44[[#This Row],[Current Price]]-Table44[[#This Row],[52 week low]])/Table44[[#This Row],[52 week low]]</f>
        <v>0.47009899260467025</v>
      </c>
      <c r="F39" s="4">
        <f ca="1">VLOOKUP(A39,Table41[#All],15,FALSE)</f>
        <v>252.46010000000001</v>
      </c>
      <c r="G39" s="210">
        <f ca="1">(Table44[[#This Row],[52 week high]]-Table44[[#This Row],[Current Price]])/Table44[[#This Row],[Current Price]]</f>
        <v>7.5793759093021093E-2</v>
      </c>
      <c r="H39" s="4" cm="1">
        <f t="array" aca="1" ref="H39" ca="1">_FV(A39,"52 week high",TRUE)</f>
        <v>271.59500000000003</v>
      </c>
      <c r="I39" t="b">
        <f ca="1">VLOOKUP(A39,Table41[#All],17,FALSE)</f>
        <v>0</v>
      </c>
      <c r="J39" t="b">
        <f ca="1">VLOOKUP(A39,Table41[#All],18,FALSE)</f>
        <v>1</v>
      </c>
      <c r="K39" s="184">
        <f>VLOOKUP(A39,Table41[#All],21,FALSE)</f>
        <v>0</v>
      </c>
      <c r="L39" s="199">
        <f ca="1">VLOOKUP(A39,Table41[#All],26,FALSE)</f>
        <v>0.20219095238095242</v>
      </c>
      <c r="M39" s="84">
        <f ca="1">VLOOKUP(A39,Table41[#All],27,FALSE)</f>
        <v>9.7652608695652177E-2</v>
      </c>
      <c r="N39" s="235">
        <f>HLOOKUP(Table44[[#This Row],[Theme]],Table46[#All],2,FALSE)</f>
        <v>45564</v>
      </c>
      <c r="O39" s="208" t="str">
        <f>VLOOKUP(A39,Table41[#All],22,FALSE)</f>
        <v>Market</v>
      </c>
      <c r="P39" s="209" t="str">
        <f ca="1">VLOOKUP(A39,Table41[#All],25,FALSE)</f>
        <v>🔻</v>
      </c>
    </row>
    <row r="40" spans="1:16" ht="19">
      <c r="A40" t="e" vm="58">
        <v>#VALUE!</v>
      </c>
      <c r="B40" s="5" t="str">
        <f ca="1">VLOOKUP(A40,Table41[#All],2,FALSE)</f>
        <v>LNG</v>
      </c>
      <c r="C40" s="185" t="str">
        <f ca="1">VLOOKUP(A40,Table41[#All],20,FALSE)</f>
        <v>Stock</v>
      </c>
      <c r="D40" s="4" cm="1">
        <f t="array" aca="1" ref="D40" ca="1">_FV(A40,"52 week low",TRUE)</f>
        <v>186.20009999999999</v>
      </c>
      <c r="E40" s="204">
        <f ca="1">(Table44[[#This Row],[Current Price]]-Table44[[#This Row],[52 week low]])/Table44[[#This Row],[52 week low]]</f>
        <v>0.53034289455268824</v>
      </c>
      <c r="F40" s="4">
        <f ca="1">VLOOKUP(A40,Table41[#All],15,FALSE)</f>
        <v>284.95</v>
      </c>
      <c r="G40" s="210">
        <f ca="1">(Table44[[#This Row],[52 week high]]-Table44[[#This Row],[Current Price]])/Table44[[#This Row],[Current Price]]</f>
        <v>5.1026495876469631E-2</v>
      </c>
      <c r="H40" s="4" cm="1">
        <f t="array" aca="1" ref="H40" ca="1">_FV(A40,"52 week high",TRUE)</f>
        <v>299.49</v>
      </c>
      <c r="I40" t="b">
        <f ca="1">VLOOKUP(A40,Table41[#All],17,FALSE)</f>
        <v>0</v>
      </c>
      <c r="J40" t="b">
        <f ca="1">VLOOKUP(A40,Table41[#All],18,FALSE)</f>
        <v>1</v>
      </c>
      <c r="K40" s="184">
        <f>VLOOKUP(A40,Table41[#All],21,FALSE)</f>
        <v>45596</v>
      </c>
      <c r="L40" s="199">
        <f ca="1">VLOOKUP(A40,Table41[#All],26,FALSE)</f>
        <v>0.78093749999999984</v>
      </c>
      <c r="M40" s="84">
        <f ca="1">VLOOKUP(A40,Table41[#All],27,FALSE)</f>
        <v>0.54027027027027019</v>
      </c>
      <c r="N40" s="235">
        <f>HLOOKUP(Table44[[#This Row],[Theme]],Table46[#All],2,FALSE)</f>
        <v>45567</v>
      </c>
      <c r="O40" s="208" t="str">
        <f>VLOOKUP(A40,Table41[#All],22,FALSE)</f>
        <v>Energy</v>
      </c>
      <c r="P40" s="209" t="str">
        <f ca="1">VLOOKUP(A40,Table41[#All],25,FALSE)</f>
        <v>🔻</v>
      </c>
    </row>
    <row r="41" spans="1:16" ht="19">
      <c r="A41" t="e" vm="122">
        <v>#VALUE!</v>
      </c>
      <c r="B41" s="5" t="str">
        <f ca="1">VLOOKUP(A41,Table41[#All],2,FALSE)</f>
        <v>AVGO</v>
      </c>
      <c r="C41" s="185" t="str">
        <f ca="1">VLOOKUP(A41,Table41[#All],20,FALSE)</f>
        <v>Stock</v>
      </c>
      <c r="D41" s="4" cm="1">
        <f t="array" aca="1" ref="D41" ca="1">_FV(A41,"52 week low",TRUE)</f>
        <v>138.1</v>
      </c>
      <c r="E41" s="204">
        <f ca="1">(Table44[[#This Row],[Current Price]]-Table44[[#This Row],[52 week low]])/Table44[[#This Row],[52 week low]]</f>
        <v>1.3245474293989863</v>
      </c>
      <c r="F41" s="4">
        <f ca="1">VLOOKUP(A41,Table41[#All],15,FALSE)</f>
        <v>321.02</v>
      </c>
      <c r="G41" s="210">
        <f ca="1">(Table44[[#This Row],[52 week high]]-Table44[[#This Row],[Current Price]])/Table44[[#This Row],[Current Price]]</f>
        <v>0.2915394679459225</v>
      </c>
      <c r="H41" s="4" cm="1">
        <f t="array" aca="1" ref="H41" ca="1">_FV(A41,"52 week high",TRUE)</f>
        <v>414.61</v>
      </c>
      <c r="I41" t="b">
        <f ca="1">VLOOKUP(A41,Table41[#All],17,FALSE)</f>
        <v>0</v>
      </c>
      <c r="J41" t="b">
        <f ca="1">VLOOKUP(A41,Table41[#All],18,FALSE)</f>
        <v>1</v>
      </c>
      <c r="K41" s="184">
        <f>VLOOKUP(A41,Table41[#All],21,FALSE)</f>
        <v>45631</v>
      </c>
      <c r="L41" s="199">
        <f ca="1">VLOOKUP(A41,Table41[#All],26,FALSE)</f>
        <v>1.2929999999999997</v>
      </c>
      <c r="M41" s="84">
        <f ca="1">VLOOKUP(A41,Table41[#All],27,FALSE)</f>
        <v>0.78344444444444439</v>
      </c>
      <c r="N41" s="235">
        <f>HLOOKUP(Table44[[#This Row],[Theme]],Table46[#All],2,FALSE)</f>
        <v>45587</v>
      </c>
      <c r="O41" s="208" t="str">
        <f>VLOOKUP(A41,Table41[#All],22,FALSE)</f>
        <v>AI</v>
      </c>
      <c r="P41" s="209" t="str">
        <f ca="1">VLOOKUP(A41,Table41[#All],25,FALSE)</f>
        <v>🔻</v>
      </c>
    </row>
    <row r="42" spans="1:16" ht="19">
      <c r="A42" t="e" vm="123">
        <v>#VALUE!</v>
      </c>
      <c r="B42" s="5" t="str">
        <f ca="1">VLOOKUP(A42,Table41[#All],2,FALSE)</f>
        <v>GLW</v>
      </c>
      <c r="C42" s="185" t="str">
        <f ca="1">VLOOKUP(A42,Table41[#All],20,FALSE)</f>
        <v>Stock</v>
      </c>
      <c r="D42" s="4" cm="1">
        <f t="array" aca="1" ref="D42" ca="1">_FV(A42,"52 week low",TRUE)</f>
        <v>37.31</v>
      </c>
      <c r="E42" s="204">
        <f ca="1">(Table44[[#This Row],[Current Price]]-Table44[[#This Row],[52 week low]])/Table44[[#This Row],[52 week low]]</f>
        <v>2.9989279013669252</v>
      </c>
      <c r="F42" s="4">
        <f ca="1">VLOOKUP(A42,Table41[#All],15,FALSE)</f>
        <v>149.19999999999999</v>
      </c>
      <c r="G42" s="210">
        <f ca="1">(Table44[[#This Row],[52 week high]]-Table44[[#This Row],[Current Price]])/Table44[[#This Row],[Current Price]]</f>
        <v>8.6460455764075086E-2</v>
      </c>
      <c r="H42" s="4" cm="1">
        <f t="array" aca="1" ref="H42" ca="1">_FV(A42,"52 week high",TRUE)</f>
        <v>162.09989999999999</v>
      </c>
      <c r="I42" t="b">
        <f ca="1">VLOOKUP(A42,Table41[#All],17,FALSE)</f>
        <v>0</v>
      </c>
      <c r="J42" t="b">
        <f ca="1">VLOOKUP(A42,Table41[#All],18,FALSE)</f>
        <v>1</v>
      </c>
      <c r="K42" s="184">
        <f>VLOOKUP(A42,Table41[#All],21,FALSE)</f>
        <v>45587</v>
      </c>
      <c r="L42" s="199">
        <f ca="1">VLOOKUP(A42,Table41[#All],26,FALSE)</f>
        <v>2.4697674418604647</v>
      </c>
      <c r="M42" s="84">
        <f ca="1">VLOOKUP(A42,Table41[#All],27,FALSE)</f>
        <v>2.0448979591836731</v>
      </c>
      <c r="N42" s="235">
        <f>HLOOKUP(Table44[[#This Row],[Theme]],Table46[#All],2,FALSE)</f>
        <v>45602</v>
      </c>
      <c r="O42" s="208" t="str">
        <f>VLOOKUP(A42,Table41[#All],22,FALSE)</f>
        <v>Connectivity</v>
      </c>
      <c r="P42" s="209" t="str">
        <f ca="1">VLOOKUP(A42,Table41[#All],25,FALSE)</f>
        <v>🔻</v>
      </c>
    </row>
    <row r="43" spans="1:16" ht="19">
      <c r="A43" t="e" vm="124">
        <v>#VALUE!</v>
      </c>
      <c r="B43" s="5" t="str">
        <f ca="1">VLOOKUP(A43,Table41[#All],2,FALSE)</f>
        <v>S</v>
      </c>
      <c r="C43" s="185" t="str">
        <f ca="1">VLOOKUP(A43,Table41[#All],20,FALSE)</f>
        <v>Stock</v>
      </c>
      <c r="D43" s="4" cm="1">
        <f t="array" aca="1" ref="D43" ca="1">_FV(A43,"52 week low",TRUE)</f>
        <v>12.234999999999999</v>
      </c>
      <c r="E43" s="204">
        <f ca="1">(Table44[[#This Row],[Current Price]]-Table44[[#This Row],[52 week low]])/Table44[[#This Row],[52 week low]]</f>
        <v>0.1119738455251329</v>
      </c>
      <c r="F43" s="4">
        <f ca="1">VLOOKUP(A43,Table41[#All],15,FALSE)</f>
        <v>13.605</v>
      </c>
      <c r="G43" s="210">
        <f ca="1">(Table44[[#This Row],[52 week high]]-Table44[[#This Row],[Current Price]])/Table44[[#This Row],[Current Price]]</f>
        <v>0.57295112091142941</v>
      </c>
      <c r="H43" s="4" cm="1">
        <f t="array" aca="1" ref="H43" ca="1">_FV(A43,"52 week high",TRUE)</f>
        <v>21.4</v>
      </c>
      <c r="I43" t="b">
        <f ca="1">VLOOKUP(A43,Table41[#All],17,FALSE)</f>
        <v>1</v>
      </c>
      <c r="J43" t="b">
        <f ca="1">VLOOKUP(A43,Table41[#All],18,FALSE)</f>
        <v>0</v>
      </c>
      <c r="K43" s="184">
        <f>VLOOKUP(A43,Table41[#All],21,FALSE)</f>
        <v>45630</v>
      </c>
      <c r="L43" s="199">
        <f ca="1">VLOOKUP(A43,Table41[#All],26,FALSE)</f>
        <v>-0.35214285714285709</v>
      </c>
      <c r="M43" s="84">
        <f ca="1">VLOOKUP(A43,Table41[#All],27,FALSE)</f>
        <v>-0.49611111111111106</v>
      </c>
      <c r="N43" s="235">
        <f>HLOOKUP(Table44[[#This Row],[Theme]],Table46[#All],2,FALSE)</f>
        <v>45594</v>
      </c>
      <c r="O43" s="208" t="str">
        <f>VLOOKUP(A43,Table41[#All],22,FALSE)</f>
        <v>Technology</v>
      </c>
      <c r="P43" s="209" t="str">
        <f ca="1">VLOOKUP(A43,Table41[#All],25,FALSE)</f>
        <v>✅</v>
      </c>
    </row>
    <row r="44" spans="1:16" ht="19">
      <c r="A44" t="e" vm="72">
        <v>#VALUE!</v>
      </c>
      <c r="B44" s="5" t="str">
        <f ca="1">VLOOKUP(A44,Table41[#All],2,FALSE)</f>
        <v>AIRS</v>
      </c>
      <c r="C44" s="185" t="str">
        <f ca="1">VLOOKUP(A44,Table41[#All],20,FALSE)</f>
        <v>Stock</v>
      </c>
      <c r="D44" s="4" cm="1">
        <f t="array" aca="1" ref="D44" ca="1">_FV(A44,"52 week low",TRUE)</f>
        <v>1.51</v>
      </c>
      <c r="E44" s="204">
        <f ca="1">(Table44[[#This Row],[Current Price]]-Table44[[#This Row],[52 week low]])/Table44[[#This Row],[52 week low]]</f>
        <v>0.88741721854304645</v>
      </c>
      <c r="F44" s="4">
        <f ca="1">VLOOKUP(A44,Table41[#All],15,FALSE)</f>
        <v>2.85</v>
      </c>
      <c r="G44" s="210">
        <f ca="1">(Table44[[#This Row],[52 week high]]-Table44[[#This Row],[Current Price]])/Table44[[#This Row],[Current Price]]</f>
        <v>3.2105263157894739</v>
      </c>
      <c r="H44" s="4" cm="1">
        <f t="array" aca="1" ref="H44" ca="1">_FV(A44,"52 week high",TRUE)</f>
        <v>12</v>
      </c>
      <c r="I44" t="b">
        <f ca="1">VLOOKUP(A44,Table41[#All],17,FALSE)</f>
        <v>1</v>
      </c>
      <c r="J44" t="b">
        <f ca="1">VLOOKUP(A44,Table41[#All],18,FALSE)</f>
        <v>0</v>
      </c>
      <c r="K44" s="184">
        <f>VLOOKUP(A44,Table41[#All],21,FALSE)</f>
        <v>45604</v>
      </c>
      <c r="L44" s="199">
        <f>VLOOKUP(A44,Table41[#All],26,FALSE)</f>
        <v>0</v>
      </c>
      <c r="M44" s="84">
        <f ca="1">VLOOKUP(A44,Table41[#All],27,FALSE)</f>
        <v>-0.68333333333333335</v>
      </c>
      <c r="N44" s="235">
        <f>HLOOKUP(Table44[[#This Row],[Theme]],Table46[#All],2,FALSE)</f>
        <v>45567</v>
      </c>
      <c r="O44" s="208" t="str">
        <f>VLOOKUP(A44,Table41[#All],22,FALSE)</f>
        <v>Health Care</v>
      </c>
      <c r="P44" s="209" t="str">
        <f ca="1">VLOOKUP(A44,Table41[#All],25,FALSE)</f>
        <v>✅</v>
      </c>
    </row>
    <row r="45" spans="1:16" ht="19">
      <c r="A45" t="e" vm="16">
        <v>#VALUE!</v>
      </c>
      <c r="B45" s="5" t="str">
        <f ca="1">VLOOKUP(A45,Table41[#All],2,FALSE)</f>
        <v>GOOG</v>
      </c>
      <c r="C45" s="185" t="str">
        <f ca="1">VLOOKUP(A45,Table41[#All],20,FALSE)</f>
        <v>Stock</v>
      </c>
      <c r="D45" s="4" cm="1">
        <f t="array" aca="1" ref="D45" ca="1">_FV(A45,"52 week low",TRUE)</f>
        <v>142.66</v>
      </c>
      <c r="E45" s="204">
        <f ca="1">(Table44[[#This Row],[Current Price]]-Table44[[#This Row],[52 week low]])/Table44[[#This Row],[52 week low]]</f>
        <v>1.0355390438805552</v>
      </c>
      <c r="F45" s="4">
        <f ca="1">VLOOKUP(A45,Table41[#All],15,FALSE)</f>
        <v>290.39</v>
      </c>
      <c r="G45" s="210">
        <f ca="1">(Table44[[#This Row],[52 week high]]-Table44[[#This Row],[Current Price]])/Table44[[#This Row],[Current Price]]</f>
        <v>0.20579221047556731</v>
      </c>
      <c r="H45" s="4" cm="1">
        <f t="array" aca="1" ref="H45" ca="1">_FV(A45,"52 week high",TRUE)</f>
        <v>350.15</v>
      </c>
      <c r="I45" t="b">
        <f ca="1">VLOOKUP(A45,Table41[#All],17,FALSE)</f>
        <v>0</v>
      </c>
      <c r="J45" t="b">
        <f ca="1">VLOOKUP(A45,Table41[#All],18,FALSE)</f>
        <v>1</v>
      </c>
      <c r="K45" s="184">
        <f>VLOOKUP(A45,Table41[#All],21,FALSE)</f>
        <v>45587</v>
      </c>
      <c r="L45" s="199">
        <f ca="1">VLOOKUP(A45,Table41[#All],26,FALSE)</f>
        <v>0.70817647058823519</v>
      </c>
      <c r="M45" s="84">
        <f ca="1">VLOOKUP(A45,Table41[#All],27,FALSE)</f>
        <v>0.61327777777777781</v>
      </c>
      <c r="N45" s="235">
        <f>HLOOKUP(Table44[[#This Row],[Theme]],Table46[#All],2,FALSE)</f>
        <v>45587</v>
      </c>
      <c r="O45" s="208" t="str">
        <f>VLOOKUP(A45,Table41[#All],22,FALSE)</f>
        <v>AI</v>
      </c>
      <c r="P45" s="209" t="str">
        <f ca="1">VLOOKUP(A45,Table41[#All],25,FALSE)</f>
        <v>🔻</v>
      </c>
    </row>
    <row r="46" spans="1:16" ht="19">
      <c r="A46" t="e" vm="125">
        <v>#VALUE!</v>
      </c>
      <c r="B46" s="5" t="str">
        <f ca="1">VLOOKUP(A46,Table41[#All],2,FALSE)</f>
        <v>TEAM</v>
      </c>
      <c r="C46" s="185" t="str">
        <f ca="1">VLOOKUP(A46,Table41[#All],20,FALSE)</f>
        <v>Stock</v>
      </c>
      <c r="D46" s="4" cm="1">
        <f t="array" aca="1" ref="D46" ca="1">_FV(A46,"52 week low",TRUE)</f>
        <v>67.33</v>
      </c>
      <c r="E46" s="204">
        <f ca="1">(Table44[[#This Row],[Current Price]]-Table44[[#This Row],[52 week low]])/Table44[[#This Row],[52 week low]]</f>
        <v>2.3095202732808656E-2</v>
      </c>
      <c r="F46" s="4">
        <f ca="1">VLOOKUP(A46,Table41[#All],15,FALSE)</f>
        <v>68.885000000000005</v>
      </c>
      <c r="G46" s="210">
        <f ca="1">(Table44[[#This Row],[52 week high]]-Table44[[#This Row],[Current Price]])/Table44[[#This Row],[Current Price]]</f>
        <v>2.5131015460550192</v>
      </c>
      <c r="H46" s="4" cm="1">
        <f t="array" aca="1" ref="H46" ca="1">_FV(A46,"52 week high",TRUE)</f>
        <v>242</v>
      </c>
      <c r="I46" t="b">
        <f ca="1">VLOOKUP(A46,Table41[#All],17,FALSE)</f>
        <v>1</v>
      </c>
      <c r="J46" t="b">
        <f ca="1">VLOOKUP(A46,Table41[#All],18,FALSE)</f>
        <v>0</v>
      </c>
      <c r="K46" s="184">
        <f>VLOOKUP(A46,Table41[#All],21,FALSE)</f>
        <v>0</v>
      </c>
      <c r="L46" s="199">
        <f ca="1">VLOOKUP(A46,Table41[#All],26,FALSE)</f>
        <v>-0.68328735632183912</v>
      </c>
      <c r="M46" s="84">
        <f ca="1">VLOOKUP(A46,Table41[#All],27,FALSE)</f>
        <v>-0.72445999999999999</v>
      </c>
      <c r="N46" s="235">
        <f>HLOOKUP(Table44[[#This Row],[Theme]],Table46[#All],2,FALSE)</f>
        <v>45594</v>
      </c>
      <c r="O46" s="208" t="str">
        <f>VLOOKUP(A46,Table41[#All],22,FALSE)</f>
        <v>Technology</v>
      </c>
      <c r="P46" s="209" t="str">
        <f ca="1">VLOOKUP(A46,Table41[#All],25,FALSE)</f>
        <v>✅</v>
      </c>
    </row>
    <row r="47" spans="1:16" ht="19">
      <c r="A47" t="e" vm="126">
        <v>#VALUE!</v>
      </c>
      <c r="B47" s="5" t="str">
        <f ca="1">VLOOKUP(A47,Table41[#All],2,FALSE)</f>
        <v>XLRE</v>
      </c>
      <c r="C47" s="185" t="str">
        <f ca="1">VLOOKUP(A47,Table41[#All],20,FALSE)</f>
        <v>ETF</v>
      </c>
      <c r="D47" s="4" cm="1">
        <f t="array" aca="1" ref="D47" ca="1">_FV(A47,"52 week low",TRUE)</f>
        <v>35.76</v>
      </c>
      <c r="E47" s="204">
        <f ca="1">(Table44[[#This Row],[Current Price]]-Table44[[#This Row],[52 week low]])/Table44[[#This Row],[52 week low]]</f>
        <v>0.12681767337807617</v>
      </c>
      <c r="F47" s="4">
        <f ca="1">VLOOKUP(A47,Table41[#All],15,FALSE)</f>
        <v>40.295000000000002</v>
      </c>
      <c r="G47" s="210">
        <f ca="1">(Table44[[#This Row],[52 week high]]-Table44[[#This Row],[Current Price]])/Table44[[#This Row],[Current Price]]</f>
        <v>9.3684079910658857E-2</v>
      </c>
      <c r="H47" s="4" cm="1">
        <f t="array" aca="1" ref="H47" ca="1">_FV(A47,"52 week high",TRUE)</f>
        <v>44.07</v>
      </c>
      <c r="I47" t="b">
        <f ca="1">VLOOKUP(A47,Table41[#All],17,FALSE)</f>
        <v>1</v>
      </c>
      <c r="J47" t="b">
        <f ca="1">VLOOKUP(A47,Table41[#All],18,FALSE)</f>
        <v>0</v>
      </c>
      <c r="K47" s="184">
        <f>VLOOKUP(A47,Table41[#All],21,FALSE)</f>
        <v>0</v>
      </c>
      <c r="L47" s="199">
        <f ca="1">VLOOKUP(A47,Table41[#All],26,FALSE)</f>
        <v>-8.4204545454545365E-2</v>
      </c>
      <c r="M47" s="84">
        <f ca="1">VLOOKUP(A47,Table41[#All],27,FALSE)</f>
        <v>-0.10455555555555551</v>
      </c>
      <c r="N47" s="235">
        <f>HLOOKUP(Table44[[#This Row],[Theme]],Table46[#All],2,FALSE)</f>
        <v>45602</v>
      </c>
      <c r="O47" s="208" t="str">
        <f>VLOOKUP(A47,Table41[#All],22,FALSE)</f>
        <v>Real estate</v>
      </c>
      <c r="P47" s="209" t="str">
        <f ca="1">VLOOKUP(A47,Table41[#All],25,FALSE)</f>
        <v>✅</v>
      </c>
    </row>
    <row r="48" spans="1:16" ht="19">
      <c r="A48" t="e" vm="127">
        <v>#VALUE!</v>
      </c>
      <c r="B48" s="5" t="str">
        <f ca="1">VLOOKUP(A48,Table41[#All],2,FALSE)</f>
        <v>COST</v>
      </c>
      <c r="C48" s="185" t="str">
        <f ca="1">VLOOKUP(A48,Table41[#All],20,FALSE)</f>
        <v>Stock</v>
      </c>
      <c r="D48" s="4" cm="1">
        <f t="array" aca="1" ref="D48" ca="1">_FV(A48,"52 week low",TRUE)</f>
        <v>844.06</v>
      </c>
      <c r="E48" s="204">
        <f ca="1">(Table44[[#This Row],[Current Price]]-Table44[[#This Row],[52 week low]])/Table44[[#This Row],[52 week low]]</f>
        <v>0.15022628723076567</v>
      </c>
      <c r="F48" s="4">
        <f ca="1">VLOOKUP(A48,Table41[#All],15,FALSE)</f>
        <v>970.86</v>
      </c>
      <c r="G48" s="210">
        <f ca="1">(Table44[[#This Row],[52 week high]]-Table44[[#This Row],[Current Price]])/Table44[[#This Row],[Current Price]]</f>
        <v>9.9108007333704048E-2</v>
      </c>
      <c r="H48" s="4" cm="1">
        <f t="array" aca="1" ref="H48" ca="1">_FV(A48,"52 week high",TRUE)</f>
        <v>1067.08</v>
      </c>
      <c r="I48" t="b">
        <f ca="1">VLOOKUP(A48,Table41[#All],17,FALSE)</f>
        <v>0</v>
      </c>
      <c r="J48" t="b">
        <f ca="1">VLOOKUP(A48,Table41[#All],18,FALSE)</f>
        <v>1</v>
      </c>
      <c r="K48" s="184">
        <f>VLOOKUP(A48,Table41[#All],21,FALSE)</f>
        <v>45638</v>
      </c>
      <c r="L48" s="199">
        <f ca="1">VLOOKUP(A48,Table41[#All],26,FALSE)</f>
        <v>0.11273352435530093</v>
      </c>
      <c r="M48" s="84">
        <f ca="1">VLOOKUP(A48,Table41[#All],27,FALSE)</f>
        <v>7.8733333333333322E-2</v>
      </c>
      <c r="N48" s="235">
        <f>HLOOKUP(Table44[[#This Row],[Theme]],Table46[#All],2,FALSE)</f>
        <v>45569</v>
      </c>
      <c r="O48" s="208" t="str">
        <f>VLOOKUP(A48,Table41[#All],22,FALSE)</f>
        <v>Consumer Staples</v>
      </c>
      <c r="P48" s="209" t="str">
        <f ca="1">VLOOKUP(A48,Table41[#All],25,FALSE)</f>
        <v>🔻</v>
      </c>
    </row>
    <row r="49" spans="1:16" ht="19">
      <c r="A49" t="e" vm="128">
        <v>#VALUE!</v>
      </c>
      <c r="B49" s="5" t="str">
        <f ca="1">VLOOKUP(A49,Table41[#All],2,FALSE)</f>
        <v>AXON</v>
      </c>
      <c r="C49" s="185" t="str">
        <f ca="1">VLOOKUP(A49,Table41[#All],20,FALSE)</f>
        <v>Stock</v>
      </c>
      <c r="D49" s="4" cm="1">
        <f t="array" aca="1" ref="D49" ca="1">_FV(A49,"52 week low",TRUE)</f>
        <v>396.41</v>
      </c>
      <c r="E49" s="204">
        <f ca="1">(Table44[[#This Row],[Current Price]]-Table44[[#This Row],[52 week low]])/Table44[[#This Row],[52 week low]]</f>
        <v>0.17826240508564356</v>
      </c>
      <c r="F49" s="4">
        <f ca="1">VLOOKUP(A49,Table41[#All],15,FALSE)</f>
        <v>467.07499999999999</v>
      </c>
      <c r="G49" s="210">
        <f ca="1">(Table44[[#This Row],[52 week high]]-Table44[[#This Row],[Current Price]])/Table44[[#This Row],[Current Price]]</f>
        <v>0.89672964727292193</v>
      </c>
      <c r="H49" s="4" cm="1">
        <f t="array" aca="1" ref="H49" ca="1">_FV(A49,"52 week high",TRUE)</f>
        <v>885.91499999999996</v>
      </c>
      <c r="I49" t="b">
        <f ca="1">VLOOKUP(A49,Table41[#All],17,FALSE)</f>
        <v>0</v>
      </c>
      <c r="J49" t="b">
        <f ca="1">VLOOKUP(A49,Table41[#All],18,FALSE)</f>
        <v>1</v>
      </c>
      <c r="K49" s="184">
        <f>VLOOKUP(A49,Table41[#All],21,FALSE)</f>
        <v>45603</v>
      </c>
      <c r="L49" s="199">
        <f ca="1">VLOOKUP(A49,Table41[#All],26,FALSE)</f>
        <v>0.26236486486486488</v>
      </c>
      <c r="M49" s="84">
        <f ca="1">VLOOKUP(A49,Table41[#All],27,FALSE)</f>
        <v>3.7944444444444336E-2</v>
      </c>
      <c r="N49" s="235">
        <f>HLOOKUP(Table44[[#This Row],[Theme]],Table46[#All],2,FALSE)</f>
        <v>45587</v>
      </c>
      <c r="O49" s="208" t="str">
        <f>VLOOKUP(A49,Table41[#All],22,FALSE)</f>
        <v>Defense</v>
      </c>
      <c r="P49" s="209" t="str">
        <f ca="1">VLOOKUP(A49,Table41[#All],25,FALSE)</f>
        <v>🔻</v>
      </c>
    </row>
    <row r="50" spans="1:16" ht="19">
      <c r="A50" t="e" vm="129">
        <v>#VALUE!</v>
      </c>
      <c r="B50" s="5" t="str">
        <f ca="1">VLOOKUP(A50,Table41[#All],2,FALSE)</f>
        <v>MRVL</v>
      </c>
      <c r="C50" s="185" t="str">
        <f ca="1">VLOOKUP(A50,Table41[#All],20,FALSE)</f>
        <v>Stock</v>
      </c>
      <c r="D50" s="4" cm="1">
        <f t="array" aca="1" ref="D50" ca="1">_FV(A50,"52 week low",TRUE)</f>
        <v>47.085000000000001</v>
      </c>
      <c r="E50" s="204">
        <f ca="1">(Table44[[#This Row],[Current Price]]-Table44[[#This Row],[52 week low]])/Table44[[#This Row],[52 week low]]</f>
        <v>1.0567059573112456</v>
      </c>
      <c r="F50" s="4">
        <f ca="1">VLOOKUP(A50,Table41[#All],15,FALSE)</f>
        <v>96.84</v>
      </c>
      <c r="G50" s="210">
        <f ca="1">(Table44[[#This Row],[52 week high]]-Table44[[#This Row],[Current Price]])/Table44[[#This Row],[Current Price]]</f>
        <v>6.1235026848409667E-2</v>
      </c>
      <c r="H50" s="4" cm="1">
        <f t="array" aca="1" ref="H50" ca="1">_FV(A50,"52 week high",TRUE)</f>
        <v>102.77</v>
      </c>
      <c r="I50" t="b">
        <f ca="1">VLOOKUP(A50,Table41[#All],17,FALSE)</f>
        <v>0</v>
      </c>
      <c r="J50" t="b">
        <f ca="1">VLOOKUP(A50,Table41[#All],18,FALSE)</f>
        <v>1</v>
      </c>
      <c r="K50" s="184">
        <f>VLOOKUP(A50,Table41[#All],21,FALSE)</f>
        <v>45623</v>
      </c>
      <c r="L50" s="199">
        <f ca="1">VLOOKUP(A50,Table41[#All],26,FALSE)</f>
        <v>0.6140000000000001</v>
      </c>
      <c r="M50" s="84">
        <f ca="1">VLOOKUP(A50,Table41[#All],27,FALSE)</f>
        <v>7.6000000000000068E-2</v>
      </c>
      <c r="N50" s="235">
        <f>HLOOKUP(Table44[[#This Row],[Theme]],Table46[#All],2,FALSE)</f>
        <v>45587</v>
      </c>
      <c r="O50" s="208" t="str">
        <f>VLOOKUP(A50,Table41[#All],22,FALSE)</f>
        <v>AI</v>
      </c>
      <c r="P50" s="209" t="str">
        <f ca="1">VLOOKUP(A50,Table41[#All],25,FALSE)</f>
        <v>🔻</v>
      </c>
    </row>
    <row r="51" spans="1:16" ht="19">
      <c r="A51" t="e" vm="130">
        <v>#VALUE!</v>
      </c>
      <c r="B51" s="5" t="str">
        <f ca="1">VLOOKUP(A51,Table41[#All],2,FALSE)</f>
        <v>COHR</v>
      </c>
      <c r="C51" s="185" t="str">
        <f ca="1">VLOOKUP(A51,Table41[#All],20,FALSE)</f>
        <v>Stock</v>
      </c>
      <c r="D51" s="4" cm="1">
        <f t="array" aca="1" ref="D51" ca="1">_FV(A51,"52 week low",TRUE)</f>
        <v>45.58</v>
      </c>
      <c r="E51" s="204">
        <f ca="1">(Table44[[#This Row],[Current Price]]-Table44[[#This Row],[52 week low]])/Table44[[#This Row],[52 week low]]</f>
        <v>5.084247476963581</v>
      </c>
      <c r="F51" s="4">
        <f ca="1">VLOOKUP(A51,Table41[#All],15,FALSE)</f>
        <v>277.32</v>
      </c>
      <c r="G51" s="210">
        <f ca="1">(Table44[[#This Row],[52 week high]]-Table44[[#This Row],[Current Price]])/Table44[[#This Row],[Current Price]]</f>
        <v>8.2503966536852713E-2</v>
      </c>
      <c r="H51" s="4" cm="1">
        <f t="array" aca="1" ref="H51" ca="1">_FV(A51,"52 week high",TRUE)</f>
        <v>300.2</v>
      </c>
      <c r="I51" t="b">
        <f ca="1">VLOOKUP(A51,Table41[#All],17,FALSE)</f>
        <v>0</v>
      </c>
      <c r="J51" t="b">
        <f ca="1">VLOOKUP(A51,Table41[#All],18,FALSE)</f>
        <v>1</v>
      </c>
      <c r="K51" s="184">
        <f>VLOOKUP(A51,Table41[#All],21,FALSE)</f>
        <v>45602</v>
      </c>
      <c r="L51" s="199">
        <f ca="1">VLOOKUP(A51,Table41[#All],26,FALSE)</f>
        <v>2.0813333333333333</v>
      </c>
      <c r="M51" s="84">
        <f ca="1">VLOOKUP(A51,Table41[#All],27,FALSE)</f>
        <v>1.7732000000000001</v>
      </c>
      <c r="N51" s="235">
        <f>HLOOKUP(Table44[[#This Row],[Theme]],Table46[#All],2,FALSE)</f>
        <v>45602</v>
      </c>
      <c r="O51" s="208" t="str">
        <f>VLOOKUP(A51,Table41[#All],22,FALSE)</f>
        <v>Connectivity</v>
      </c>
      <c r="P51" s="209" t="str">
        <f ca="1">VLOOKUP(A51,Table41[#All],25,FALSE)</f>
        <v>🔻</v>
      </c>
    </row>
    <row r="52" spans="1:16" ht="19">
      <c r="A52" t="e" vm="131">
        <v>#VALUE!</v>
      </c>
      <c r="B52" s="5" t="str">
        <f ca="1">VLOOKUP(A52,Table41[#All],2,FALSE)</f>
        <v>INTU</v>
      </c>
      <c r="C52" s="185" t="str">
        <f ca="1">VLOOKUP(A52,Table41[#All],20,FALSE)</f>
        <v>Stock</v>
      </c>
      <c r="D52" s="4" cm="1">
        <f t="array" aca="1" ref="D52" ca="1">_FV(A52,"52 week low",TRUE)</f>
        <v>349</v>
      </c>
      <c r="E52" s="204">
        <f ca="1">(Table44[[#This Row],[Current Price]]-Table44[[#This Row],[52 week low]])/Table44[[#This Row],[52 week low]]</f>
        <v>0.22183381088825219</v>
      </c>
      <c r="F52" s="4">
        <f ca="1">VLOOKUP(A52,Table41[#All],15,FALSE)</f>
        <v>426.42</v>
      </c>
      <c r="G52" s="210">
        <f ca="1">(Table44[[#This Row],[52 week high]]-Table44[[#This Row],[Current Price]])/Table44[[#This Row],[Current Price]]</f>
        <v>0.90821256038647347</v>
      </c>
      <c r="H52" s="4" cm="1">
        <f t="array" aca="1" ref="H52" ca="1">_FV(A52,"52 week high",TRUE)</f>
        <v>813.7</v>
      </c>
      <c r="I52" t="b">
        <f ca="1">VLOOKUP(A52,Table41[#All],17,FALSE)</f>
        <v>1</v>
      </c>
      <c r="J52" t="b">
        <f ca="1">VLOOKUP(A52,Table41[#All],18,FALSE)</f>
        <v>0</v>
      </c>
      <c r="K52" s="184">
        <f>VLOOKUP(A52,Table41[#All],21,FALSE)</f>
        <v>0</v>
      </c>
      <c r="L52" s="199">
        <f ca="1">VLOOKUP(A52,Table41[#All],26,FALSE)</f>
        <v>-0.2893</v>
      </c>
      <c r="M52" s="84">
        <f ca="1">VLOOKUP(A52,Table41[#All],27,FALSE)</f>
        <v>-0.33371874999999995</v>
      </c>
      <c r="N52" s="235">
        <f>HLOOKUP(Table44[[#This Row],[Theme]],Table46[#All],2,FALSE)</f>
        <v>45573</v>
      </c>
      <c r="O52" s="208" t="str">
        <f>VLOOKUP(A52,Table41[#All],22,FALSE)</f>
        <v>Financials</v>
      </c>
      <c r="P52" s="209" t="str">
        <f ca="1">VLOOKUP(A52,Table41[#All],25,FALSE)</f>
        <v>✅</v>
      </c>
    </row>
    <row r="53" spans="1:16" ht="19">
      <c r="A53" t="e" vm="132">
        <v>#VALUE!</v>
      </c>
      <c r="B53" s="5" t="str">
        <f ca="1">VLOOKUP(A53,Table41[#All],2,FALSE)</f>
        <v>XLI</v>
      </c>
      <c r="C53" s="185" t="str">
        <f ca="1">VLOOKUP(A53,Table41[#All],20,FALSE)</f>
        <v>ETF</v>
      </c>
      <c r="D53" s="4" cm="1">
        <f t="array" aca="1" ref="D53" ca="1">_FV(A53,"52 week low",TRUE)</f>
        <v>112.75</v>
      </c>
      <c r="E53" s="204">
        <f ca="1">(Table44[[#This Row],[Current Price]]-Table44[[#This Row],[52 week low]])/Table44[[#This Row],[52 week low]]</f>
        <v>0.46456762749445674</v>
      </c>
      <c r="F53" s="4">
        <f ca="1">VLOOKUP(A53,Table41[#All],15,FALSE)</f>
        <v>165.13</v>
      </c>
      <c r="G53" s="210">
        <f ca="1">(Table44[[#This Row],[52 week high]]-Table44[[#This Row],[Current Price]])/Table44[[#This Row],[Current Price]]</f>
        <v>8.5841458245019153E-2</v>
      </c>
      <c r="H53" s="4" cm="1">
        <f t="array" aca="1" ref="H53" ca="1">_FV(A53,"52 week high",TRUE)</f>
        <v>179.30500000000001</v>
      </c>
      <c r="I53" t="b">
        <f ca="1">VLOOKUP(A53,Table41[#All],17,FALSE)</f>
        <v>0</v>
      </c>
      <c r="J53" t="b">
        <f ca="1">VLOOKUP(A53,Table41[#All],18,FALSE)</f>
        <v>1</v>
      </c>
      <c r="K53" s="184">
        <f>VLOOKUP(A53,Table41[#All],21,FALSE)</f>
        <v>0</v>
      </c>
      <c r="L53" s="199">
        <f ca="1">VLOOKUP(A53,Table41[#All],26,FALSE)</f>
        <v>0.2605343511450382</v>
      </c>
      <c r="M53" s="84">
        <f ca="1">VLOOKUP(A53,Table41[#All],27,FALSE)</f>
        <v>0.17949999999999999</v>
      </c>
      <c r="N53" s="235">
        <f>HLOOKUP(Table44[[#This Row],[Theme]],Table46[#All],2,FALSE)</f>
        <v>45573</v>
      </c>
      <c r="O53" s="208" t="str">
        <f>VLOOKUP(A53,Table41[#All],22,FALSE)</f>
        <v>Industrials</v>
      </c>
      <c r="P53" s="209" t="str">
        <f ca="1">VLOOKUP(A53,Table41[#All],25,FALSE)</f>
        <v>🔻</v>
      </c>
    </row>
    <row r="54" spans="1:16" ht="19">
      <c r="A54" t="e" vm="133">
        <v>#VALUE!</v>
      </c>
      <c r="B54" s="5" t="str">
        <f ca="1">VLOOKUP(A54,Table41[#All],2,FALSE)</f>
        <v>XLU</v>
      </c>
      <c r="C54" s="185" t="str">
        <f ca="1">VLOOKUP(A54,Table41[#All],20,FALSE)</f>
        <v>ETF</v>
      </c>
      <c r="D54" s="4" cm="1">
        <f t="array" aca="1" ref="D54" ca="1">_FV(A54,"52 week low",TRUE)</f>
        <v>35.51</v>
      </c>
      <c r="E54" s="204">
        <f ca="1">(Table44[[#This Row],[Current Price]]-Table44[[#This Row],[52 week low]])/Table44[[#This Row],[52 week low]]</f>
        <v>0.2783722894959168</v>
      </c>
      <c r="F54" s="4">
        <f ca="1">VLOOKUP(A54,Table41[#All],15,FALSE)</f>
        <v>45.395000000000003</v>
      </c>
      <c r="G54" s="210">
        <f ca="1">(Table44[[#This Row],[52 week high]]-Table44[[#This Row],[Current Price]])/Table44[[#This Row],[Current Price]]</f>
        <v>5.2979403017953383E-2</v>
      </c>
      <c r="H54" s="4" cm="1">
        <f t="array" aca="1" ref="H54" ca="1">_FV(A54,"52 week high",TRUE)</f>
        <v>47.8</v>
      </c>
      <c r="I54" t="b">
        <f ca="1">VLOOKUP(A54,Table41[#All],17,FALSE)</f>
        <v>1</v>
      </c>
      <c r="J54" t="b">
        <f ca="1">VLOOKUP(A54,Table41[#All],18,FALSE)</f>
        <v>0</v>
      </c>
      <c r="K54" s="184">
        <f>VLOOKUP(A54,Table41[#All],21,FALSE)</f>
        <v>0</v>
      </c>
      <c r="L54" s="199">
        <f ca="1">VLOOKUP(A54,Table41[#All],26,FALSE)</f>
        <v>-0.425379746835443</v>
      </c>
      <c r="M54" s="84">
        <f ca="1">VLOOKUP(A54,Table41[#All],27,FALSE)</f>
        <v>-0.44640243902439025</v>
      </c>
      <c r="N54" s="235">
        <f>HLOOKUP(Table44[[#This Row],[Theme]],Table46[#All],2,FALSE)</f>
        <v>45575</v>
      </c>
      <c r="O54" s="208" t="str">
        <f>VLOOKUP(A54,Table41[#All],22,FALSE)</f>
        <v>Utilities</v>
      </c>
      <c r="P54" s="209" t="str">
        <f ca="1">VLOOKUP(A54,Table41[#All],25,FALSE)</f>
        <v>✅</v>
      </c>
    </row>
    <row r="55" spans="1:16" ht="19">
      <c r="A55" t="e" vm="134">
        <v>#VALUE!</v>
      </c>
      <c r="B55" s="5" t="str">
        <f ca="1">VLOOKUP(A55,Table41[#All],2,FALSE)</f>
        <v>USO</v>
      </c>
      <c r="C55" s="185" t="str">
        <f ca="1">VLOOKUP(A55,Table41[#All],20,FALSE)</f>
        <v>ETF</v>
      </c>
      <c r="D55" s="4" cm="1">
        <f t="array" aca="1" ref="D55" ca="1">_FV(A55,"52 week low",TRUE)</f>
        <v>60.67</v>
      </c>
      <c r="E55" s="204">
        <f ca="1">(Table44[[#This Row],[Current Price]]-Table44[[#This Row],[52 week low]])/Table44[[#This Row],[52 week low]]</f>
        <v>0.8244601944948079</v>
      </c>
      <c r="F55" s="4">
        <f ca="1">VLOOKUP(A55,Table41[#All],15,FALSE)</f>
        <v>110.69</v>
      </c>
      <c r="G55" s="210">
        <f ca="1">(Table44[[#This Row],[52 week high]]-Table44[[#This Row],[Current Price]])/Table44[[#This Row],[Current Price]]</f>
        <v>0.1309964766464902</v>
      </c>
      <c r="H55" s="4" cm="1">
        <f t="array" aca="1" ref="H55" ca="1">_FV(A55,"52 week high",TRUE)</f>
        <v>125.19</v>
      </c>
      <c r="I55" t="b">
        <f ca="1">VLOOKUP(A55,Table41[#All],17,FALSE)</f>
        <v>0</v>
      </c>
      <c r="J55" t="b">
        <f ca="1">VLOOKUP(A55,Table41[#All],18,FALSE)</f>
        <v>1</v>
      </c>
      <c r="K55" s="184">
        <f>VLOOKUP(A55,Table41[#All],21,FALSE)</f>
        <v>0</v>
      </c>
      <c r="L55" s="199">
        <f ca="1">VLOOKUP(A55,Table41[#All],26,FALSE)</f>
        <v>0.55901408450704215</v>
      </c>
      <c r="M55" s="84">
        <f ca="1">VLOOKUP(A55,Table41[#All],27,FALSE)</f>
        <v>0.4958108108108108</v>
      </c>
      <c r="N55" s="235">
        <f>HLOOKUP(Table44[[#This Row],[Theme]],Table46[#All],2,FALSE)</f>
        <v>45567</v>
      </c>
      <c r="O55" s="208" t="str">
        <f>VLOOKUP(A55,Table41[#All],22,FALSE)</f>
        <v>Energy</v>
      </c>
      <c r="P55" s="209" t="str">
        <f ca="1">VLOOKUP(A55,Table41[#All],25,FALSE)</f>
        <v>🔻</v>
      </c>
    </row>
    <row r="56" spans="1:16" ht="19">
      <c r="A56" t="e" vm="64">
        <v>#VALUE!</v>
      </c>
      <c r="B56" s="5" t="str">
        <f ca="1">VLOOKUP(A56,Table41[#All],2,FALSE)</f>
        <v>LULU</v>
      </c>
      <c r="C56" s="185" t="str">
        <f ca="1">VLOOKUP(A56,Table41[#All],20,FALSE)</f>
        <v>Stock</v>
      </c>
      <c r="D56" s="4" cm="1">
        <f t="array" aca="1" ref="D56" ca="1">_FV(A56,"52 week low",TRUE)</f>
        <v>156.63999999999999</v>
      </c>
      <c r="E56" s="204">
        <f ca="1">(Table44[[#This Row],[Current Price]]-Table44[[#This Row],[52 week low]])/Table44[[#This Row],[52 week low]]</f>
        <v>1.6470888661899979E-2</v>
      </c>
      <c r="F56" s="4">
        <f ca="1">VLOOKUP(A56,Table41[#All],15,FALSE)</f>
        <v>159.22</v>
      </c>
      <c r="G56" s="210">
        <f ca="1">(Table44[[#This Row],[52 week high]]-Table44[[#This Row],[Current Price]])/Table44[[#This Row],[Current Price]]</f>
        <v>1.1887953774651425</v>
      </c>
      <c r="H56" s="4" cm="1">
        <f t="array" aca="1" ref="H56" ca="1">_FV(A56,"52 week high",TRUE)</f>
        <v>348.5</v>
      </c>
      <c r="I56" t="b">
        <f ca="1">VLOOKUP(A56,Table41[#All],17,FALSE)</f>
        <v>1</v>
      </c>
      <c r="J56" t="b">
        <f ca="1">VLOOKUP(A56,Table41[#All],18,FALSE)</f>
        <v>0</v>
      </c>
      <c r="K56" s="184">
        <f>VLOOKUP(A56,Table41[#All],21,FALSE)</f>
        <v>45589</v>
      </c>
      <c r="L56" s="199">
        <f ca="1">VLOOKUP(A56,Table41[#All],26,FALSE)</f>
        <v>-0.38761538461538458</v>
      </c>
      <c r="M56" s="84">
        <f ca="1">VLOOKUP(A56,Table41[#All],27,FALSE)</f>
        <v>-0.46926666666666672</v>
      </c>
      <c r="N56" s="235">
        <f>HLOOKUP(Table44[[#This Row],[Theme]],Table46[#All],2,FALSE)</f>
        <v>45569</v>
      </c>
      <c r="O56" s="208" t="str">
        <f>VLOOKUP(A56,Table41[#All],22,FALSE)</f>
        <v>Consumer Discretionary</v>
      </c>
      <c r="P56" s="209" t="str">
        <f ca="1">VLOOKUP(A56,Table41[#All],25,FALSE)</f>
        <v>✅</v>
      </c>
    </row>
    <row r="57" spans="1:16" ht="19">
      <c r="A57" t="e" vm="62">
        <v>#VALUE!</v>
      </c>
      <c r="B57" s="5" t="str">
        <f ca="1">VLOOKUP(A57,Table41[#All],2,FALSE)</f>
        <v>EQT</v>
      </c>
      <c r="C57" s="185" t="str">
        <f ca="1">VLOOKUP(A57,Table41[#All],20,FALSE)</f>
        <v>Stock</v>
      </c>
      <c r="D57" s="4" cm="1">
        <f t="array" aca="1" ref="D57" ca="1">_FV(A57,"52 week low",TRUE)</f>
        <v>43.57</v>
      </c>
      <c r="E57" s="204">
        <f ca="1">(Table44[[#This Row],[Current Price]]-Table44[[#This Row],[52 week low]])/Table44[[#This Row],[52 week low]]</f>
        <v>0.53086986458572416</v>
      </c>
      <c r="F57" s="4">
        <f ca="1">VLOOKUP(A57,Table41[#All],15,FALSE)</f>
        <v>66.7</v>
      </c>
      <c r="G57" s="210">
        <f ca="1">(Table44[[#This Row],[52 week high]]-Table44[[#This Row],[Current Price]])/Table44[[#This Row],[Current Price]]</f>
        <v>8.3958020989505586E-3</v>
      </c>
      <c r="H57" s="4" cm="1">
        <f t="array" aca="1" ref="H57" ca="1">_FV(A57,"52 week high",TRUE)</f>
        <v>67.260000000000005</v>
      </c>
      <c r="I57" t="b">
        <f ca="1">VLOOKUP(A57,Table41[#All],17,FALSE)</f>
        <v>0</v>
      </c>
      <c r="J57" t="b">
        <f ca="1">VLOOKUP(A57,Table41[#All],18,FALSE)</f>
        <v>1</v>
      </c>
      <c r="K57" s="184">
        <f>VLOOKUP(A57,Table41[#All],21,FALSE)</f>
        <v>45588</v>
      </c>
      <c r="L57" s="199">
        <f ca="1">VLOOKUP(A57,Table41[#All],26,FALSE)</f>
        <v>1.0843750000000001</v>
      </c>
      <c r="M57" s="84">
        <f ca="1">VLOOKUP(A57,Table41[#All],27,FALSE)</f>
        <v>0.66749999999999998</v>
      </c>
      <c r="N57" s="235">
        <f>HLOOKUP(Table44[[#This Row],[Theme]],Table46[#All],2,FALSE)</f>
        <v>45567</v>
      </c>
      <c r="O57" s="208" t="str">
        <f>VLOOKUP(A57,Table41[#All],22,FALSE)</f>
        <v>Energy</v>
      </c>
      <c r="P57" s="209" t="str">
        <f ca="1">VLOOKUP(A57,Table41[#All],25,FALSE)</f>
        <v>🔻</v>
      </c>
    </row>
    <row r="58" spans="1:16" ht="19">
      <c r="A58" t="e" vm="48">
        <v>#VALUE!</v>
      </c>
      <c r="B58" s="5" t="str">
        <f ca="1">VLOOKUP(A58,Table41[#All],2,FALSE)</f>
        <v>BWXT</v>
      </c>
      <c r="C58" s="185" t="str">
        <f ca="1">VLOOKUP(A58,Table41[#All],20,FALSE)</f>
        <v>Stock</v>
      </c>
      <c r="D58" s="4" cm="1">
        <f t="array" aca="1" ref="D58" ca="1">_FV(A58,"52 week low",TRUE)</f>
        <v>84.208500000000001</v>
      </c>
      <c r="E58" s="204">
        <f ca="1">(Table44[[#This Row],[Current Price]]-Table44[[#This Row],[52 week low]])/Table44[[#This Row],[52 week low]]</f>
        <v>1.5631616760778309</v>
      </c>
      <c r="F58" s="4">
        <f ca="1">VLOOKUP(A58,Table41[#All],15,FALSE)</f>
        <v>215.84</v>
      </c>
      <c r="G58" s="210">
        <f ca="1">(Table44[[#This Row],[52 week high]]-Table44[[#This Row],[Current Price]])/Table44[[#This Row],[Current Price]]</f>
        <v>2.1919014084507017E-2</v>
      </c>
      <c r="H58" s="4" cm="1">
        <f t="array" aca="1" ref="H58" ca="1">_FV(A58,"52 week high",TRUE)</f>
        <v>220.571</v>
      </c>
      <c r="I58" t="b">
        <f ca="1">VLOOKUP(A58,Table41[#All],17,FALSE)</f>
        <v>0</v>
      </c>
      <c r="J58" t="b">
        <f ca="1">VLOOKUP(A58,Table41[#All],18,FALSE)</f>
        <v>1</v>
      </c>
      <c r="K58" s="184">
        <f>VLOOKUP(A58,Table41[#All],21,FALSE)</f>
        <v>45594</v>
      </c>
      <c r="L58" s="199">
        <f ca="1">VLOOKUP(A58,Table41[#All],26,FALSE)</f>
        <v>1.0556190476190475</v>
      </c>
      <c r="M58" s="84">
        <f ca="1">VLOOKUP(A58,Table41[#All],27,FALSE)</f>
        <v>0.66030769230769226</v>
      </c>
      <c r="N58" s="235">
        <f>HLOOKUP(Table44[[#This Row],[Theme]],Table46[#All],2,FALSE)</f>
        <v>45569</v>
      </c>
      <c r="O58" s="208" t="str">
        <f>VLOOKUP(A58,Table41[#All],22,FALSE)</f>
        <v>Nuclear</v>
      </c>
      <c r="P58" s="209" t="str">
        <f ca="1">VLOOKUP(A58,Table41[#All],25,FALSE)</f>
        <v>🔻</v>
      </c>
    </row>
    <row r="59" spans="1:16" ht="19">
      <c r="A59" t="e" vm="135">
        <v>#VALUE!</v>
      </c>
      <c r="B59" s="5" t="str">
        <f ca="1">VLOOKUP(A59,Table41[#All],2,FALSE)</f>
        <v>CRM</v>
      </c>
      <c r="C59" s="185" t="str">
        <f ca="1">VLOOKUP(A59,Table41[#All],20,FALSE)</f>
        <v>Stock</v>
      </c>
      <c r="D59" s="4" cm="1">
        <f t="array" aca="1" ref="D59" ca="1">_FV(A59,"52 week low",TRUE)</f>
        <v>174.57</v>
      </c>
      <c r="E59" s="204">
        <f ca="1">(Table44[[#This Row],[Current Price]]-Table44[[#This Row],[52 week low]])/Table44[[#This Row],[52 week low]]</f>
        <v>5.2815489488457351E-2</v>
      </c>
      <c r="F59" s="4">
        <f ca="1">VLOOKUP(A59,Table41[#All],15,FALSE)</f>
        <v>183.79</v>
      </c>
      <c r="G59" s="210">
        <f ca="1">(Table44[[#This Row],[52 week high]]-Table44[[#This Row],[Current Price]])/Table44[[#This Row],[Current Price]]</f>
        <v>0.61080581097992281</v>
      </c>
      <c r="H59" s="4" cm="1">
        <f t="array" aca="1" ref="H59" ca="1">_FV(A59,"52 week high",TRUE)</f>
        <v>296.05</v>
      </c>
      <c r="I59" t="b">
        <f ca="1">VLOOKUP(A59,Table41[#All],17,FALSE)</f>
        <v>1</v>
      </c>
      <c r="J59" t="b">
        <f ca="1">VLOOKUP(A59,Table41[#All],18,FALSE)</f>
        <v>0</v>
      </c>
      <c r="K59" s="184">
        <f>VLOOKUP(A59,Table41[#All],21,FALSE)</f>
        <v>45623</v>
      </c>
      <c r="L59" s="199">
        <f ca="1">VLOOKUP(A59,Table41[#All],26,FALSE)</f>
        <v>-0.26484000000000008</v>
      </c>
      <c r="M59" s="84">
        <f ca="1">VLOOKUP(A59,Table41[#All],27,FALSE)</f>
        <v>-0.38736666666666675</v>
      </c>
      <c r="N59" s="235">
        <f>HLOOKUP(Table44[[#This Row],[Theme]],Table46[#All],2,FALSE)</f>
        <v>45594</v>
      </c>
      <c r="O59" s="208" t="str">
        <f>VLOOKUP(A59,Table41[#All],22,FALSE)</f>
        <v>Technology</v>
      </c>
      <c r="P59" s="209" t="str">
        <f ca="1">VLOOKUP(A59,Table41[#All],25,FALSE)</f>
        <v>✅</v>
      </c>
    </row>
    <row r="60" spans="1:16" ht="19">
      <c r="A60" t="e" vm="136">
        <v>#VALUE!</v>
      </c>
      <c r="B60" s="5" t="str">
        <f ca="1">VLOOKUP(A60,Table41[#All],2,FALSE)</f>
        <v>ADBE</v>
      </c>
      <c r="C60" s="185" t="str">
        <f ca="1">VLOOKUP(A60,Table41[#All],20,FALSE)</f>
        <v>Stock</v>
      </c>
      <c r="D60" s="4" cm="1">
        <f t="array" aca="1" ref="D60" ca="1">_FV(A60,"52 week low",TRUE)</f>
        <v>236.36</v>
      </c>
      <c r="E60" s="204">
        <f ca="1">(Table44[[#This Row],[Current Price]]-Table44[[#This Row],[52 week low]])/Table44[[#This Row],[52 week low]]</f>
        <v>3.8077508884751107E-3</v>
      </c>
      <c r="F60" s="4">
        <f ca="1">VLOOKUP(A60,Table41[#All],15,FALSE)</f>
        <v>237.26</v>
      </c>
      <c r="G60" s="210">
        <f ca="1">(Table44[[#This Row],[52 week high]]-Table44[[#This Row],[Current Price]])/Table44[[#This Row],[Current Price]]</f>
        <v>0.78264351344516569</v>
      </c>
      <c r="H60" s="4" cm="1">
        <f t="array" aca="1" ref="H60" ca="1">_FV(A60,"52 week high",TRUE)</f>
        <v>422.95</v>
      </c>
      <c r="I60" t="b">
        <f ca="1">VLOOKUP(A60,Table41[#All],17,FALSE)</f>
        <v>1</v>
      </c>
      <c r="J60" t="b">
        <f ca="1">VLOOKUP(A60,Table41[#All],18,FALSE)</f>
        <v>0</v>
      </c>
      <c r="K60" s="184">
        <f>VLOOKUP(A60,Table41[#All],21,FALSE)</f>
        <v>0</v>
      </c>
      <c r="L60" s="199">
        <f>VLOOKUP(A60,Table41[#All],26,FALSE)</f>
        <v>0</v>
      </c>
      <c r="M60" s="84">
        <f ca="1">VLOOKUP(A60,Table41[#All],27,FALSE)</f>
        <v>-0.52068686868686864</v>
      </c>
      <c r="N60" s="235">
        <f>HLOOKUP(Table44[[#This Row],[Theme]],Table46[#All],2,FALSE)</f>
        <v>45587</v>
      </c>
      <c r="O60" s="208" t="str">
        <f>VLOOKUP(A60,Table41[#All],22,FALSE)</f>
        <v>AI</v>
      </c>
      <c r="P60" s="209" t="str">
        <f ca="1">VLOOKUP(A60,Table41[#All],25,FALSE)</f>
        <v>✅</v>
      </c>
    </row>
    <row r="61" spans="1:16" ht="19">
      <c r="A61" t="e" vm="137">
        <v>#VALUE!</v>
      </c>
      <c r="B61" s="5" t="str">
        <f ca="1">VLOOKUP(A61,Table41[#All],2,FALSE)</f>
        <v>VLO</v>
      </c>
      <c r="C61" s="185" t="str">
        <f ca="1">VLOOKUP(A61,Table41[#All],20,FALSE)</f>
        <v>Stock</v>
      </c>
      <c r="D61" s="4" cm="1">
        <f t="array" aca="1" ref="D61" ca="1">_FV(A61,"52 week low",TRUE)</f>
        <v>99</v>
      </c>
      <c r="E61" s="204">
        <f ca="1">(Table44[[#This Row],[Current Price]]-Table44[[#This Row],[52 week low]])/Table44[[#This Row],[52 week low]]</f>
        <v>1.4411121212121212</v>
      </c>
      <c r="F61" s="4">
        <f ca="1">VLOOKUP(A61,Table41[#All],15,FALSE)</f>
        <v>241.67009999999999</v>
      </c>
      <c r="G61" s="210">
        <f ca="1">(Table44[[#This Row],[52 week high]]-Table44[[#This Row],[Current Price]])/Table44[[#This Row],[Current Price]]</f>
        <v>2.5075092036623475E-2</v>
      </c>
      <c r="H61" s="4" cm="1">
        <f t="array" aca="1" ref="H61" ca="1">_FV(A61,"52 week high",TRUE)</f>
        <v>247.73</v>
      </c>
      <c r="I61" t="b">
        <f ca="1">VLOOKUP(A61,Table41[#All],17,FALSE)</f>
        <v>0</v>
      </c>
      <c r="J61" t="b">
        <f ca="1">VLOOKUP(A61,Table41[#All],18,FALSE)</f>
        <v>1</v>
      </c>
      <c r="K61" s="184">
        <f>VLOOKUP(A61,Table41[#All],21,FALSE)</f>
        <v>45589</v>
      </c>
      <c r="L61" s="199">
        <f ca="1">VLOOKUP(A61,Table41[#All],26,FALSE)</f>
        <v>0.85900076923076907</v>
      </c>
      <c r="M61" s="84">
        <f ca="1">VLOOKUP(A61,Table41[#All],27,FALSE)</f>
        <v>0.61113399999999984</v>
      </c>
      <c r="N61" s="235">
        <f>HLOOKUP(Table44[[#This Row],[Theme]],Table46[#All],2,FALSE)</f>
        <v>45567</v>
      </c>
      <c r="O61" s="208" t="str">
        <f>VLOOKUP(A61,Table41[#All],22,FALSE)</f>
        <v>Energy</v>
      </c>
      <c r="P61" s="209" t="str">
        <f ca="1">VLOOKUP(A61,Table41[#All],25,FALSE)</f>
        <v>🔻</v>
      </c>
    </row>
    <row r="62" spans="1:16" ht="19">
      <c r="A62" t="e" vm="138">
        <v>#VALUE!</v>
      </c>
      <c r="B62" s="5" t="str">
        <f ca="1">VLOOKUP(A62,Table41[#All],2,FALSE)</f>
        <v>PRGS</v>
      </c>
      <c r="C62" s="185" t="str">
        <f ca="1">VLOOKUP(A62,Table41[#All],20,FALSE)</f>
        <v>Stock</v>
      </c>
      <c r="D62" s="4" cm="1">
        <f t="array" aca="1" ref="D62" ca="1">_FV(A62,"52 week low",TRUE)</f>
        <v>28.15</v>
      </c>
      <c r="E62" s="204">
        <f ca="1">(Table44[[#This Row],[Current Price]]-Table44[[#This Row],[52 week low]])/Table44[[#This Row],[52 week low]]</f>
        <v>1.7761989342806649E-3</v>
      </c>
      <c r="F62" s="4">
        <f ca="1">VLOOKUP(A62,Table41[#All],15,FALSE)</f>
        <v>28.2</v>
      </c>
      <c r="G62" s="210">
        <f ca="1">(Table44[[#This Row],[52 week high]]-Table44[[#This Row],[Current Price]])/Table44[[#This Row],[Current Price]]</f>
        <v>1.3226950354609928</v>
      </c>
      <c r="H62" s="4" cm="1">
        <f t="array" aca="1" ref="H62" ca="1">_FV(A62,"52 week high",TRUE)</f>
        <v>65.5</v>
      </c>
      <c r="I62" t="b">
        <f ca="1">VLOOKUP(A62,Table41[#All],17,FALSE)</f>
        <v>1</v>
      </c>
      <c r="J62" t="b">
        <f ca="1">VLOOKUP(A62,Table41[#All],18,FALSE)</f>
        <v>0</v>
      </c>
      <c r="K62" s="184">
        <f>VLOOKUP(A62,Table41[#All],21,FALSE)</f>
        <v>45678</v>
      </c>
      <c r="L62" s="199">
        <f ca="1">VLOOKUP(A62,Table41[#All],26,FALSE)</f>
        <v>-0.54879999999999995</v>
      </c>
      <c r="M62" s="84">
        <f ca="1">VLOOKUP(A62,Table41[#All],27,FALSE)</f>
        <v>-0.5822222222222222</v>
      </c>
      <c r="N62" s="235">
        <f>HLOOKUP(Table44[[#This Row],[Theme]],Table46[#All],2,FALSE)</f>
        <v>45594</v>
      </c>
      <c r="O62" s="208" t="str">
        <f>VLOOKUP(A62,Table41[#All],22,FALSE)</f>
        <v>Technology</v>
      </c>
      <c r="P62" s="209" t="str">
        <f ca="1">VLOOKUP(A62,Table41[#All],25,FALSE)</f>
        <v>✅</v>
      </c>
    </row>
    <row r="63" spans="1:16" ht="19">
      <c r="A63" t="e" vm="139">
        <v>#VALUE!</v>
      </c>
      <c r="B63" s="5" t="str">
        <f ca="1">VLOOKUP(A63,Table41[#All],2,FALSE)</f>
        <v>WMT</v>
      </c>
      <c r="C63" s="185" t="str">
        <f ca="1">VLOOKUP(A63,Table41[#All],20,FALSE)</f>
        <v>Stock</v>
      </c>
      <c r="D63" s="4" cm="1">
        <f t="array" aca="1" ref="D63" ca="1">_FV(A63,"52 week low",TRUE)</f>
        <v>79.81</v>
      </c>
      <c r="E63" s="204">
        <f ca="1">(Table44[[#This Row],[Current Price]]-Table44[[#This Row],[52 week low]])/Table44[[#This Row],[52 week low]]</f>
        <v>0.53558451321889489</v>
      </c>
      <c r="F63" s="4">
        <f ca="1">VLOOKUP(A63,Table41[#All],15,FALSE)</f>
        <v>122.55500000000001</v>
      </c>
      <c r="G63" s="210">
        <f ca="1">(Table44[[#This Row],[52 week high]]-Table44[[#This Row],[Current Price]])/Table44[[#This Row],[Current Price]]</f>
        <v>9.9016767981722417E-2</v>
      </c>
      <c r="H63" s="4" cm="1">
        <f t="array" aca="1" ref="H63" ca="1">_FV(A63,"52 week high",TRUE)</f>
        <v>134.69</v>
      </c>
      <c r="I63" t="b">
        <f ca="1">VLOOKUP(A63,Table41[#All],17,FALSE)</f>
        <v>0</v>
      </c>
      <c r="J63" t="b">
        <f ca="1">VLOOKUP(A63,Table41[#All],18,FALSE)</f>
        <v>1</v>
      </c>
      <c r="K63" s="184">
        <f>VLOOKUP(A63,Table41[#All],21,FALSE)</f>
        <v>45615</v>
      </c>
      <c r="L63" s="199">
        <f ca="1">VLOOKUP(A63,Table41[#All],26,FALSE)</f>
        <v>0.69041379310344841</v>
      </c>
      <c r="M63" s="84">
        <f ca="1">VLOOKUP(A63,Table41[#All],27,FALSE)</f>
        <v>0.44182352941176473</v>
      </c>
      <c r="N63" s="235">
        <f>HLOOKUP(Table44[[#This Row],[Theme]],Table46[#All],2,FALSE)</f>
        <v>45569</v>
      </c>
      <c r="O63" s="208" t="str">
        <f>VLOOKUP(A63,Table41[#All],22,FALSE)</f>
        <v>Consumer Staples</v>
      </c>
      <c r="P63" s="209" t="str">
        <f ca="1">VLOOKUP(A63,Table41[#All],25,FALSE)</f>
        <v>🔻</v>
      </c>
    </row>
    <row r="64" spans="1:16" ht="19">
      <c r="A64" t="e" vm="140">
        <v>#VALUE!</v>
      </c>
      <c r="B64" s="5" t="str">
        <f ca="1">VLOOKUP(A64,Table41[#All],2,FALSE)</f>
        <v>WDC</v>
      </c>
      <c r="C64" s="185" t="str">
        <f ca="1">VLOOKUP(A64,Table41[#All],20,FALSE)</f>
        <v>Stock</v>
      </c>
      <c r="D64" s="4" cm="1">
        <f t="array" aca="1" ref="D64" ca="1">_FV(A64,"52 week low",TRUE)</f>
        <v>28.83</v>
      </c>
      <c r="E64" s="204">
        <f ca="1">(Table44[[#This Row],[Current Price]]-Table44[[#This Row],[52 week low]])/Table44[[#This Row],[52 week low]]</f>
        <v>9.3489455428373223</v>
      </c>
      <c r="F64" s="4">
        <f ca="1">VLOOKUP(A64,Table41[#All],15,FALSE)</f>
        <v>298.36009999999999</v>
      </c>
      <c r="G64" s="210">
        <f ca="1">(Table44[[#This Row],[52 week high]]-Table44[[#This Row],[Current Price]])/Table44[[#This Row],[Current Price]]</f>
        <v>7.1255841515001556E-2</v>
      </c>
      <c r="H64" s="4" cm="1">
        <f t="array" aca="1" ref="H64" ca="1">_FV(A64,"52 week high",TRUE)</f>
        <v>319.62</v>
      </c>
      <c r="I64" t="b">
        <f ca="1">VLOOKUP(A64,Table41[#All],17,FALSE)</f>
        <v>0</v>
      </c>
      <c r="J64" t="b">
        <f ca="1">VLOOKUP(A64,Table41[#All],18,FALSE)</f>
        <v>1</v>
      </c>
      <c r="K64" s="184">
        <f>VLOOKUP(A64,Table41[#All],21,FALSE)</f>
        <v>45589</v>
      </c>
      <c r="L64" s="199">
        <f ca="1">VLOOKUP(A64,Table41[#All],26,FALSE)</f>
        <v>3.972668333333333</v>
      </c>
      <c r="M64" s="84">
        <f ca="1">VLOOKUP(A64,Table41[#All],27,FALSE)</f>
        <v>3.2622871428571427</v>
      </c>
      <c r="N64" s="235" t="e">
        <f>HLOOKUP(Table44[[#This Row],[Theme]],Table46[#All],2,FALSE)</f>
        <v>#N/A</v>
      </c>
      <c r="O64" s="208" t="str">
        <f>VLOOKUP(A64,Table41[#All],22,FALSE)</f>
        <v>Data Storage</v>
      </c>
      <c r="P64" s="209" t="str">
        <f ca="1">VLOOKUP(A64,Table41[#All],25,FALSE)</f>
        <v>🔻</v>
      </c>
    </row>
    <row r="65" spans="1:16" ht="19">
      <c r="A65" t="e" vm="20">
        <v>#VALUE!</v>
      </c>
      <c r="B65" s="5" t="str">
        <f ca="1">VLOOKUP(A65,Table41[#All],2,FALSE)</f>
        <v>LSCC</v>
      </c>
      <c r="C65" s="185" t="str">
        <f ca="1">VLOOKUP(A65,Table41[#All],20,FALSE)</f>
        <v>Stock</v>
      </c>
      <c r="D65" s="4" cm="1">
        <f t="array" aca="1" ref="D65" ca="1">_FV(A65,"52 week low",TRUE)</f>
        <v>34.685000000000002</v>
      </c>
      <c r="E65" s="204">
        <f ca="1">(Table44[[#This Row],[Current Price]]-Table44[[#This Row],[52 week low]])/Table44[[#This Row],[52 week low]]</f>
        <v>1.8913074816202966</v>
      </c>
      <c r="F65" s="4">
        <f ca="1">VLOOKUP(A65,Table41[#All],15,FALSE)</f>
        <v>100.285</v>
      </c>
      <c r="G65" s="210">
        <f ca="1">(Table44[[#This Row],[52 week high]]-Table44[[#This Row],[Current Price]])/Table44[[#This Row],[Current Price]]</f>
        <v>7.7728473849528856E-2</v>
      </c>
      <c r="H65" s="4" cm="1">
        <f t="array" aca="1" ref="H65" ca="1">_FV(A65,"52 week high",TRUE)</f>
        <v>108.08</v>
      </c>
      <c r="I65" t="b">
        <f ca="1">VLOOKUP(A65,Table41[#All],17,FALSE)</f>
        <v>0</v>
      </c>
      <c r="J65" t="b">
        <f ca="1">VLOOKUP(A65,Table41[#All],18,FALSE)</f>
        <v>1</v>
      </c>
      <c r="K65" s="184">
        <f>VLOOKUP(A65,Table41[#All],21,FALSE)</f>
        <v>45594</v>
      </c>
      <c r="L65" s="199">
        <f ca="1">VLOOKUP(A65,Table41[#All],26,FALSE)</f>
        <v>1.2285555555555554</v>
      </c>
      <c r="M65" s="84">
        <f ca="1">VLOOKUP(A65,Table41[#All],27,FALSE)</f>
        <v>0.8233636363636363</v>
      </c>
      <c r="N65" s="235">
        <f>HLOOKUP(Table44[[#This Row],[Theme]],Table46[#All],2,FALSE)</f>
        <v>45580</v>
      </c>
      <c r="O65" s="208" t="str">
        <f>VLOOKUP(A65,Table41[#All],22,FALSE)</f>
        <v>Semiconductor</v>
      </c>
      <c r="P65" s="209" t="str">
        <f ca="1">VLOOKUP(A65,Table41[#All],25,FALSE)</f>
        <v>🔻</v>
      </c>
    </row>
    <row r="66" spans="1:16" ht="19">
      <c r="A66" t="e" vm="141">
        <v>#VALUE!</v>
      </c>
      <c r="B66" s="5" t="str">
        <f ca="1">VLOOKUP(A66,Table41[#All],2,FALSE)</f>
        <v>WDAY</v>
      </c>
      <c r="C66" s="185" t="str">
        <f ca="1">VLOOKUP(A66,Table41[#All],20,FALSE)</f>
        <v>Stock</v>
      </c>
      <c r="D66" s="4" cm="1">
        <f t="array" aca="1" ref="D66" ca="1">_FV(A66,"52 week low",TRUE)</f>
        <v>117.76</v>
      </c>
      <c r="E66" s="204">
        <f ca="1">(Table44[[#This Row],[Current Price]]-Table44[[#This Row],[52 week low]])/Table44[[#This Row],[52 week low]]</f>
        <v>9.8930027173912971E-2</v>
      </c>
      <c r="F66" s="4">
        <f ca="1">VLOOKUP(A66,Table41[#All],15,FALSE)</f>
        <v>129.41</v>
      </c>
      <c r="G66" s="210">
        <f ca="1">(Table44[[#This Row],[52 week high]]-Table44[[#This Row],[Current Price]])/Table44[[#This Row],[Current Price]]</f>
        <v>1.1327563557684879</v>
      </c>
      <c r="H66" s="4" cm="1">
        <f t="array" aca="1" ref="H66" ca="1">_FV(A66,"52 week high",TRUE)</f>
        <v>276</v>
      </c>
      <c r="I66" t="b">
        <f ca="1">VLOOKUP(A66,Table41[#All],17,FALSE)</f>
        <v>1</v>
      </c>
      <c r="J66" t="b">
        <f ca="1">VLOOKUP(A66,Table41[#All],18,FALSE)</f>
        <v>0</v>
      </c>
      <c r="K66" s="184">
        <f>VLOOKUP(A66,Table41[#All],21,FALSE)</f>
        <v>0</v>
      </c>
      <c r="L66" s="199">
        <f>VLOOKUP(A66,Table41[#All],26,FALSE)</f>
        <v>0</v>
      </c>
      <c r="M66" s="84">
        <f ca="1">VLOOKUP(A66,Table41[#All],27,FALSE)</f>
        <v>-0.48236000000000001</v>
      </c>
      <c r="N66" s="235">
        <f>HLOOKUP(Table44[[#This Row],[Theme]],Table46[#All],2,FALSE)</f>
        <v>45594</v>
      </c>
      <c r="O66" s="208" t="str">
        <f>VLOOKUP(A66,Table41[#All],22,FALSE)</f>
        <v>Technology</v>
      </c>
      <c r="P66" s="209" t="str">
        <f ca="1">VLOOKUP(A66,Table41[#All],25,FALSE)</f>
        <v>✅</v>
      </c>
    </row>
    <row r="67" spans="1:16" ht="19">
      <c r="A67" t="e" vm="142">
        <v>#VALUE!</v>
      </c>
      <c r="B67" s="5" t="str">
        <f ca="1">VLOOKUP(A67,Table41[#All],2,FALSE)</f>
        <v>KGC</v>
      </c>
      <c r="C67" s="185" t="str">
        <f ca="1">VLOOKUP(A67,Table41[#All],20,FALSE)</f>
        <v>Stock</v>
      </c>
      <c r="D67" s="4" cm="1">
        <f t="array" aca="1" ref="D67" ca="1">_FV(A67,"52 week low",TRUE)</f>
        <v>11.12</v>
      </c>
      <c r="E67" s="204">
        <f ca="1">(Table44[[#This Row],[Current Price]]-Table44[[#This Row],[52 week low]])/Table44[[#This Row],[52 week low]]</f>
        <v>1.6375899280575541</v>
      </c>
      <c r="F67" s="4">
        <f ca="1">VLOOKUP(A67,Table41[#All],15,FALSE)</f>
        <v>29.33</v>
      </c>
      <c r="G67" s="210">
        <f ca="1">(Table44[[#This Row],[52 week high]]-Table44[[#This Row],[Current Price]])/Table44[[#This Row],[Current Price]]</f>
        <v>0.33344698261166045</v>
      </c>
      <c r="H67" s="4" cm="1">
        <f t="array" aca="1" ref="H67" ca="1">_FV(A67,"52 week high",TRUE)</f>
        <v>39.11</v>
      </c>
      <c r="I67" t="b">
        <f ca="1">VLOOKUP(A67,Table41[#All],17,FALSE)</f>
        <v>0</v>
      </c>
      <c r="J67" t="b">
        <f ca="1">VLOOKUP(A67,Table41[#All],18,FALSE)</f>
        <v>1</v>
      </c>
      <c r="K67" s="184">
        <f>VLOOKUP(A67,Table41[#All],21,FALSE)</f>
        <v>45601</v>
      </c>
      <c r="L67" s="199">
        <f ca="1">VLOOKUP(A67,Table41[#All],26,FALSE)</f>
        <v>2.6662499999999998</v>
      </c>
      <c r="M67" s="84">
        <f ca="1">VLOOKUP(A67,Table41[#All],27,FALSE)</f>
        <v>1.666363636363636</v>
      </c>
      <c r="N67" s="235">
        <f>HLOOKUP(Table44[[#This Row],[Theme]],Table46[#All],2,FALSE)</f>
        <v>45567</v>
      </c>
      <c r="O67" s="208" t="str">
        <f>VLOOKUP(A67,Table41[#All],22,FALSE)</f>
        <v>Gold and Silver</v>
      </c>
      <c r="P67" s="209" t="str">
        <f ca="1">VLOOKUP(A67,Table41[#All],25,FALSE)</f>
        <v>🔻</v>
      </c>
    </row>
    <row r="68" spans="1:16" ht="19">
      <c r="A68" t="e" vm="84">
        <v>#VALUE!</v>
      </c>
      <c r="B68" s="5" t="str">
        <f ca="1">VLOOKUP(A68,Table41[#All],2,FALSE)</f>
        <v>COIN</v>
      </c>
      <c r="C68" s="185" t="str">
        <f ca="1">VLOOKUP(A68,Table41[#All],20,FALSE)</f>
        <v>Stock</v>
      </c>
      <c r="D68" s="4" cm="1">
        <f t="array" aca="1" ref="D68" ca="1">_FV(A68,"52 week low",TRUE)</f>
        <v>139.36000000000001</v>
      </c>
      <c r="E68" s="204">
        <f ca="1">(Table44[[#This Row],[Current Price]]-Table44[[#This Row],[52 week low]])/Table44[[#This Row],[52 week low]]</f>
        <v>0.34902411021813995</v>
      </c>
      <c r="F68" s="4">
        <f ca="1">VLOOKUP(A68,Table41[#All],15,FALSE)</f>
        <v>188</v>
      </c>
      <c r="G68" s="210">
        <f ca="1">(Table44[[#This Row],[52 week high]]-Table44[[#This Row],[Current Price]])/Table44[[#This Row],[Current Price]]</f>
        <v>1.3651329787234041</v>
      </c>
      <c r="H68" s="4" cm="1">
        <f t="array" aca="1" ref="H68" ca="1">_FV(A68,"52 week high",TRUE)</f>
        <v>444.64499999999998</v>
      </c>
      <c r="I68" t="b">
        <f ca="1">VLOOKUP(A68,Table41[#All],17,FALSE)</f>
        <v>0</v>
      </c>
      <c r="J68" t="b">
        <f ca="1">VLOOKUP(A68,Table41[#All],18,FALSE)</f>
        <v>0</v>
      </c>
      <c r="K68" s="184">
        <f>VLOOKUP(A68,Table41[#All],21,FALSE)</f>
        <v>45596</v>
      </c>
      <c r="L68" s="199">
        <f ca="1">VLOOKUP(A68,Table41[#All],26,FALSE)</f>
        <v>4.4444444444444509E-2</v>
      </c>
      <c r="M68" s="84">
        <f ca="1">VLOOKUP(A68,Table41[#All],27,FALSE)</f>
        <v>-6.0000000000000053E-2</v>
      </c>
      <c r="N68" s="235">
        <f>HLOOKUP(Table44[[#This Row],[Theme]],Table46[#All],2,FALSE)</f>
        <v>45573</v>
      </c>
      <c r="O68" s="208" t="str">
        <f>VLOOKUP(A68,Table41[#All],22,FALSE)</f>
        <v>Financials</v>
      </c>
      <c r="P68" s="209" t="str">
        <f ca="1">VLOOKUP(A68,Table41[#All],25,FALSE)</f>
        <v/>
      </c>
    </row>
    <row r="69" spans="1:16" ht="19">
      <c r="A69" t="e" vm="143">
        <v>#VALUE!</v>
      </c>
      <c r="B69" s="5" t="str">
        <f ca="1">VLOOKUP(A69,Table41[#All],2,FALSE)</f>
        <v>CAT</v>
      </c>
      <c r="C69" s="185" t="str">
        <f ca="1">VLOOKUP(A69,Table41[#All],20,FALSE)</f>
        <v>Stock</v>
      </c>
      <c r="D69" s="4" cm="1">
        <f t="array" aca="1" ref="D69" ca="1">_FV(A69,"52 week low",TRUE)</f>
        <v>267.3</v>
      </c>
      <c r="E69" s="204">
        <f ca="1">(Table44[[#This Row],[Current Price]]-Table44[[#This Row],[52 week low]])/Table44[[#This Row],[52 week low]]</f>
        <v>1.709521137298915</v>
      </c>
      <c r="F69" s="4">
        <f ca="1">VLOOKUP(A69,Table41[#All],15,FALSE)</f>
        <v>724.255</v>
      </c>
      <c r="G69" s="210">
        <f ca="1">(Table44[[#This Row],[52 week high]]-Table44[[#This Row],[Current Price]])/Table44[[#This Row],[Current Price]]</f>
        <v>9.0513700285120499E-2</v>
      </c>
      <c r="H69" s="4" cm="1">
        <f t="array" aca="1" ref="H69" ca="1">_FV(A69,"52 week high",TRUE)</f>
        <v>789.81</v>
      </c>
      <c r="I69" t="b">
        <f ca="1">VLOOKUP(A69,Table41[#All],17,FALSE)</f>
        <v>0</v>
      </c>
      <c r="J69" t="b">
        <f ca="1">VLOOKUP(A69,Table41[#All],18,FALSE)</f>
        <v>1</v>
      </c>
      <c r="K69" s="184">
        <f>VLOOKUP(A69,Table41[#All],21,FALSE)</f>
        <v>45589</v>
      </c>
      <c r="L69" s="199">
        <f ca="1">VLOOKUP(A69,Table41[#All],26,FALSE)</f>
        <v>0.90593421052631573</v>
      </c>
      <c r="M69" s="84">
        <f ca="1">VLOOKUP(A69,Table41[#All],27,FALSE)</f>
        <v>0.8106374999999999</v>
      </c>
      <c r="N69" s="235">
        <f>HLOOKUP(Table44[[#This Row],[Theme]],Table46[#All],2,FALSE)</f>
        <v>45573</v>
      </c>
      <c r="O69" s="208" t="str">
        <f>VLOOKUP(A69,Table41[#All],22,FALSE)</f>
        <v>Industrials</v>
      </c>
      <c r="P69" s="209" t="str">
        <f ca="1">VLOOKUP(A69,Table41[#All],25,FALSE)</f>
        <v>🔻</v>
      </c>
    </row>
    <row r="70" spans="1:16" ht="19">
      <c r="A70" t="e" vm="144">
        <v>#VALUE!</v>
      </c>
      <c r="B70" s="5" t="str">
        <f ca="1">VLOOKUP(A70,Table41[#All],2,FALSE)</f>
        <v>AAPL</v>
      </c>
      <c r="C70" s="185" t="str">
        <f ca="1">VLOOKUP(A70,Table41[#All],20,FALSE)</f>
        <v>Stock</v>
      </c>
      <c r="D70" s="4" cm="1">
        <f t="array" aca="1" ref="D70" ca="1">_FV(A70,"52 week low",TRUE)</f>
        <v>169.21010000000001</v>
      </c>
      <c r="E70" s="204">
        <f ca="1">(Table44[[#This Row],[Current Price]]-Table44[[#This Row],[52 week low]])/Table44[[#This Row],[52 week low]]</f>
        <v>0.49636457871013595</v>
      </c>
      <c r="F70" s="4">
        <f ca="1">VLOOKUP(A70,Table41[#All],15,FALSE)</f>
        <v>253.2</v>
      </c>
      <c r="G70" s="210">
        <f ca="1">(Table44[[#This Row],[52 week high]]-Table44[[#This Row],[Current Price]])/Table44[[#This Row],[Current Price]]</f>
        <v>0.13988941548183262</v>
      </c>
      <c r="H70" s="4" cm="1">
        <f t="array" aca="1" ref="H70" ca="1">_FV(A70,"52 week high",TRUE)</f>
        <v>288.62</v>
      </c>
      <c r="I70" t="b">
        <f ca="1">VLOOKUP(A70,Table41[#All],17,FALSE)</f>
        <v>0</v>
      </c>
      <c r="J70" t="b">
        <f ca="1">VLOOKUP(A70,Table41[#All],18,FALSE)</f>
        <v>1</v>
      </c>
      <c r="K70" s="184">
        <f>VLOOKUP(A70,Table41[#All],21,FALSE)</f>
        <v>45589</v>
      </c>
      <c r="L70" s="199">
        <f ca="1">VLOOKUP(A70,Table41[#All],26,FALSE)</f>
        <v>0.15090909090909088</v>
      </c>
      <c r="M70" s="84">
        <f ca="1">VLOOKUP(A70,Table41[#All],27,FALSE)</f>
        <v>1.2799999999999923E-2</v>
      </c>
      <c r="N70" s="235">
        <f>HLOOKUP(Table44[[#This Row],[Theme]],Table46[#All],2,FALSE)</f>
        <v>45587</v>
      </c>
      <c r="O70" s="208" t="str">
        <f>VLOOKUP(A70,Table41[#All],22,FALSE)</f>
        <v>AI</v>
      </c>
      <c r="P70" s="209" t="str">
        <f ca="1">VLOOKUP(A70,Table41[#All],25,FALSE)</f>
        <v>🔻</v>
      </c>
    </row>
    <row r="71" spans="1:16" ht="19">
      <c r="A71" t="e" vm="145">
        <v>#VALUE!</v>
      </c>
      <c r="B71" s="5" t="str">
        <f ca="1">VLOOKUP(A71,Table41[#All],2,FALSE)</f>
        <v>MDB</v>
      </c>
      <c r="C71" s="185" t="str">
        <f ca="1">VLOOKUP(A71,Table41[#All],20,FALSE)</f>
        <v>Stock</v>
      </c>
      <c r="D71" s="4" cm="1">
        <f t="array" aca="1" ref="D71" ca="1">_FV(A71,"52 week low",TRUE)</f>
        <v>140.78</v>
      </c>
      <c r="E71" s="204">
        <f ca="1">(Table44[[#This Row],[Current Price]]-Table44[[#This Row],[52 week low]])/Table44[[#This Row],[52 week low]]</f>
        <v>0.77305014916891612</v>
      </c>
      <c r="F71" s="4">
        <f ca="1">VLOOKUP(A71,Table41[#All],15,FALSE)</f>
        <v>249.61</v>
      </c>
      <c r="G71" s="210">
        <f ca="1">(Table44[[#This Row],[52 week high]]-Table44[[#This Row],[Current Price]])/Table44[[#This Row],[Current Price]]</f>
        <v>0.78165938864628826</v>
      </c>
      <c r="H71" s="4" cm="1">
        <f t="array" aca="1" ref="H71" ca="1">_FV(A71,"52 week high",TRUE)</f>
        <v>444.72</v>
      </c>
      <c r="I71" t="b">
        <f ca="1">VLOOKUP(A71,Table41[#All],17,FALSE)</f>
        <v>0</v>
      </c>
      <c r="J71" t="b">
        <f ca="1">VLOOKUP(A71,Table41[#All],18,FALSE)</f>
        <v>0</v>
      </c>
      <c r="K71" s="184">
        <f>VLOOKUP(A71,Table41[#All],21,FALSE)</f>
        <v>0</v>
      </c>
      <c r="L71" s="199">
        <f>VLOOKUP(A71,Table41[#All],26,FALSE)</f>
        <v>0</v>
      </c>
      <c r="M71" s="84">
        <f ca="1">VLOOKUP(A71,Table41[#All],27,FALSE)</f>
        <v>-0.1679666666666666</v>
      </c>
      <c r="N71" s="235">
        <f>HLOOKUP(Table44[[#This Row],[Theme]],Table46[#All],2,FALSE)</f>
        <v>45594</v>
      </c>
      <c r="O71" s="208" t="str">
        <f>VLOOKUP(A71,Table41[#All],22,FALSE)</f>
        <v>Technology</v>
      </c>
      <c r="P71" s="209" t="str">
        <f ca="1">VLOOKUP(A71,Table41[#All],25,FALSE)</f>
        <v/>
      </c>
    </row>
    <row r="72" spans="1:16" ht="19">
      <c r="A72" t="e" vm="28">
        <v>#VALUE!</v>
      </c>
      <c r="B72" s="5" t="str">
        <f ca="1">VLOOKUP(A72,Table41[#All],2,FALSE)</f>
        <v>NXPI</v>
      </c>
      <c r="C72" s="185" t="str">
        <f ca="1">VLOOKUP(A72,Table41[#All],20,FALSE)</f>
        <v>Stock</v>
      </c>
      <c r="D72" s="4" cm="1">
        <f t="array" aca="1" ref="D72" ca="1">_FV(A72,"52 week low",TRUE)</f>
        <v>148.09</v>
      </c>
      <c r="E72" s="204">
        <f ca="1">(Table44[[#This Row],[Current Price]]-Table44[[#This Row],[52 week low]])/Table44[[#This Row],[52 week low]]</f>
        <v>0.34262948207171318</v>
      </c>
      <c r="F72" s="4">
        <f ca="1">VLOOKUP(A72,Table41[#All],15,FALSE)</f>
        <v>198.83</v>
      </c>
      <c r="G72" s="210">
        <f ca="1">(Table44[[#This Row],[52 week high]]-Table44[[#This Row],[Current Price]])/Table44[[#This Row],[Current Price]]</f>
        <v>0.2893426545289946</v>
      </c>
      <c r="H72" s="4" cm="1">
        <f t="array" aca="1" ref="H72" ca="1">_FV(A72,"52 week high",TRUE)</f>
        <v>256.36</v>
      </c>
      <c r="I72" t="b">
        <f ca="1">VLOOKUP(A72,Table41[#All],17,FALSE)</f>
        <v>1</v>
      </c>
      <c r="J72" t="b">
        <f ca="1">VLOOKUP(A72,Table41[#All],18,FALSE)</f>
        <v>0</v>
      </c>
      <c r="K72" s="184">
        <f>VLOOKUP(A72,Table41[#All],21,FALSE)</f>
        <v>0</v>
      </c>
      <c r="L72" s="199">
        <f>VLOOKUP(A72,Table41[#All],26,FALSE)</f>
        <v>0</v>
      </c>
      <c r="M72" s="84">
        <f ca="1">VLOOKUP(A72,Table41[#All],27,FALSE)</f>
        <v>-0.23526923076923068</v>
      </c>
      <c r="N72" s="235">
        <f>HLOOKUP(Table44[[#This Row],[Theme]],Table46[#All],2,FALSE)</f>
        <v>45580</v>
      </c>
      <c r="O72" s="208" t="str">
        <f>VLOOKUP(A72,Table41[#All],22,FALSE)</f>
        <v>Semiconductor</v>
      </c>
      <c r="P72" s="209" t="str">
        <f ca="1">VLOOKUP(A72,Table41[#All],25,FALSE)</f>
        <v>✅</v>
      </c>
    </row>
    <row r="73" spans="1:16" ht="19">
      <c r="A73" t="e" vm="50">
        <v>#VALUE!</v>
      </c>
      <c r="B73" s="5" t="str">
        <f ca="1">VLOOKUP(A73,Table41[#All],2,FALSE)</f>
        <v>SO</v>
      </c>
      <c r="C73" s="185" t="str">
        <f ca="1">VLOOKUP(A73,Table41[#All],20,FALSE)</f>
        <v>Stock</v>
      </c>
      <c r="D73" s="4" cm="1">
        <f t="array" aca="1" ref="D73" ca="1">_FV(A73,"52 week low",TRUE)</f>
        <v>83.09</v>
      </c>
      <c r="E73" s="204">
        <f ca="1">(Table44[[#This Row],[Current Price]]-Table44[[#This Row],[52 week low]])/Table44[[#This Row],[52 week low]]</f>
        <v>0.13491394873029236</v>
      </c>
      <c r="F73" s="4">
        <f ca="1">VLOOKUP(A73,Table41[#All],15,FALSE)</f>
        <v>94.3</v>
      </c>
      <c r="G73" s="210">
        <f ca="1">(Table44[[#This Row],[52 week high]]-Table44[[#This Row],[Current Price]])/Table44[[#This Row],[Current Price]]</f>
        <v>6.9300106044538679E-2</v>
      </c>
      <c r="H73" s="4" cm="1">
        <f t="array" aca="1" ref="H73" ca="1">_FV(A73,"52 week high",TRUE)</f>
        <v>100.83499999999999</v>
      </c>
      <c r="I73" t="b">
        <f ca="1">VLOOKUP(A73,Table41[#All],17,FALSE)</f>
        <v>0</v>
      </c>
      <c r="J73" t="b">
        <f ca="1">VLOOKUP(A73,Table41[#All],18,FALSE)</f>
        <v>1</v>
      </c>
      <c r="K73" s="184">
        <f>VLOOKUP(A73,Table41[#All],21,FALSE)</f>
        <v>0</v>
      </c>
      <c r="L73" s="199">
        <f>VLOOKUP(A73,Table41[#All],26,FALSE)</f>
        <v>0</v>
      </c>
      <c r="M73" s="84">
        <f ca="1">VLOOKUP(A73,Table41[#All],27,FALSE)</f>
        <v>-7.3684210526315796E-3</v>
      </c>
      <c r="N73" s="235">
        <f>HLOOKUP(Table44[[#This Row],[Theme]],Table46[#All],2,FALSE)</f>
        <v>45569</v>
      </c>
      <c r="O73" s="208" t="str">
        <f>VLOOKUP(A73,Table41[#All],22,FALSE)</f>
        <v>Nuclear</v>
      </c>
      <c r="P73" s="209" t="str">
        <f ca="1">VLOOKUP(A73,Table41[#All],25,FALSE)</f>
        <v>🔻</v>
      </c>
    </row>
    <row r="74" spans="1:16" ht="19">
      <c r="A74" t="e" vm="35">
        <v>#VALUE!</v>
      </c>
      <c r="B74" s="5" t="str">
        <f ca="1">VLOOKUP(A74,Table41[#All],2,FALSE)</f>
        <v>VRT</v>
      </c>
      <c r="C74" s="185" t="str">
        <f ca="1">VLOOKUP(A74,Table41[#All],20,FALSE)</f>
        <v>Stock</v>
      </c>
      <c r="D74" s="4" cm="1">
        <f t="array" aca="1" ref="D74" ca="1">_FV(A74,"52 week low",TRUE)</f>
        <v>53.6</v>
      </c>
      <c r="E74" s="204">
        <f ca="1">(Table44[[#This Row],[Current Price]]-Table44[[#This Row],[52 week low]])/Table44[[#This Row],[52 week low]]</f>
        <v>4.2317164179104481</v>
      </c>
      <c r="F74" s="4">
        <f ca="1">VLOOKUP(A74,Table41[#All],15,FALSE)</f>
        <v>280.42</v>
      </c>
      <c r="G74" s="210">
        <f ca="1">(Table44[[#This Row],[52 week high]]-Table44[[#This Row],[Current Price]])/Table44[[#This Row],[Current Price]]</f>
        <v>5.6344055345552528E-3</v>
      </c>
      <c r="H74" s="4" cm="1">
        <f t="array" aca="1" ref="H74" ca="1">_FV(A74,"52 week high",TRUE)</f>
        <v>282</v>
      </c>
      <c r="I74" t="b">
        <f ca="1">VLOOKUP(A74,Table41[#All],17,FALSE)</f>
        <v>0</v>
      </c>
      <c r="J74" t="b">
        <f ca="1">VLOOKUP(A74,Table41[#All],18,FALSE)</f>
        <v>1</v>
      </c>
      <c r="K74" s="184">
        <f>VLOOKUP(A74,Table41[#All],21,FALSE)</f>
        <v>45588</v>
      </c>
      <c r="L74" s="199">
        <f ca="1">VLOOKUP(A74,Table41[#All],26,FALSE)</f>
        <v>1.620747663551402</v>
      </c>
      <c r="M74" s="84">
        <f ca="1">VLOOKUP(A74,Table41[#All],27,FALSE)</f>
        <v>1.3368333333333333</v>
      </c>
      <c r="N74" s="235">
        <f>HLOOKUP(Table44[[#This Row],[Theme]],Table46[#All],2,FALSE)</f>
        <v>45573</v>
      </c>
      <c r="O74" s="208" t="str">
        <f>VLOOKUP(A74,Table41[#All],22,FALSE)</f>
        <v>Industrials</v>
      </c>
      <c r="P74" s="209" t="str">
        <f ca="1">VLOOKUP(A74,Table41[#All],25,FALSE)</f>
        <v>🔻</v>
      </c>
    </row>
    <row r="75" spans="1:16" ht="19">
      <c r="A75" t="e" vm="25">
        <v>#VALUE!</v>
      </c>
      <c r="B75" s="5" t="str">
        <f ca="1">VLOOKUP(A75,Table41[#All],2,FALSE)</f>
        <v>AMAT</v>
      </c>
      <c r="C75" s="185" t="str">
        <f ca="1">VLOOKUP(A75,Table41[#All],20,FALSE)</f>
        <v>Stock</v>
      </c>
      <c r="D75" s="4" cm="1">
        <f t="array" aca="1" ref="D75" ca="1">_FV(A75,"52 week low",TRUE)</f>
        <v>123.73650000000001</v>
      </c>
      <c r="E75" s="204">
        <f ca="1">(Table44[[#This Row],[Current Price]]-Table44[[#This Row],[52 week low]])/Table44[[#This Row],[52 week low]]</f>
        <v>2.0231984903403601</v>
      </c>
      <c r="F75" s="4">
        <f ca="1">VLOOKUP(A75,Table41[#All],15,FALSE)</f>
        <v>374.08</v>
      </c>
      <c r="G75" s="210">
        <f ca="1">(Table44[[#This Row],[52 week high]]-Table44[[#This Row],[Current Price]])/Table44[[#This Row],[Current Price]]</f>
        <v>5.8463430282292575E-2</v>
      </c>
      <c r="H75" s="4" cm="1">
        <f t="array" aca="1" ref="H75" ca="1">_FV(A75,"52 week high",TRUE)</f>
        <v>395.95</v>
      </c>
      <c r="I75" t="b">
        <f ca="1">VLOOKUP(A75,Table41[#All],17,FALSE)</f>
        <v>0</v>
      </c>
      <c r="J75" t="b">
        <f ca="1">VLOOKUP(A75,Table41[#All],18,FALSE)</f>
        <v>1</v>
      </c>
      <c r="K75" s="184">
        <f>VLOOKUP(A75,Table41[#All],21,FALSE)</f>
        <v>45610</v>
      </c>
      <c r="L75" s="199">
        <f ca="1">VLOOKUP(A75,Table41[#All],26,FALSE)</f>
        <v>0.91835897435897418</v>
      </c>
      <c r="M75" s="84">
        <f ca="1">VLOOKUP(A75,Table41[#All],27,FALSE)</f>
        <v>0.7003636363636363</v>
      </c>
      <c r="N75" s="235">
        <f>HLOOKUP(Table44[[#This Row],[Theme]],Table46[#All],2,FALSE)</f>
        <v>45580</v>
      </c>
      <c r="O75" s="208" t="str">
        <f>VLOOKUP(A75,Table41[#All],22,FALSE)</f>
        <v>Semiconductor</v>
      </c>
      <c r="P75" s="209" t="str">
        <f ca="1">VLOOKUP(A75,Table41[#All],25,FALSE)</f>
        <v>🔻</v>
      </c>
    </row>
    <row r="76" spans="1:16" ht="19">
      <c r="A76" t="e" vm="146">
        <v>#VALUE!</v>
      </c>
      <c r="B76" s="5" t="str">
        <f ca="1">VLOOKUP(A76,Table41[#All],2,FALSE)</f>
        <v>TRP</v>
      </c>
      <c r="C76" s="185" t="str">
        <f ca="1">VLOOKUP(A76,Table41[#All],20,FALSE)</f>
        <v>Stock</v>
      </c>
      <c r="D76" s="4" cm="1">
        <f t="array" aca="1" ref="D76" ca="1">_FV(A76,"52 week low",TRUE)</f>
        <v>43.587800000000001</v>
      </c>
      <c r="E76" s="204">
        <f ca="1">(Table44[[#This Row],[Current Price]]-Table44[[#This Row],[52 week low]])/Table44[[#This Row],[52 week low]]</f>
        <v>0.46853018505178062</v>
      </c>
      <c r="F76" s="4">
        <f ca="1">VLOOKUP(A76,Table41[#All],15,FALSE)</f>
        <v>64.010000000000005</v>
      </c>
      <c r="G76" s="210">
        <f ca="1">(Table44[[#This Row],[52 week high]]-Table44[[#This Row],[Current Price]])/Table44[[#This Row],[Current Price]]</f>
        <v>2.4371192001249615E-2</v>
      </c>
      <c r="H76" s="4" cm="1">
        <f t="array" aca="1" ref="H76" ca="1">_FV(A76,"52 week high",TRUE)</f>
        <v>65.569999999999993</v>
      </c>
      <c r="I76" t="b">
        <f ca="1">VLOOKUP(A76,Table41[#All],17,FALSE)</f>
        <v>0</v>
      </c>
      <c r="J76" t="b">
        <f ca="1">VLOOKUP(A76,Table41[#All],18,FALSE)</f>
        <v>1</v>
      </c>
      <c r="K76" s="184">
        <f>VLOOKUP(A76,Table41[#All],21,FALSE)</f>
        <v>45603</v>
      </c>
      <c r="L76" s="199">
        <f ca="1">VLOOKUP(A76,Table41[#All],26,FALSE)</f>
        <v>0.50611764705882356</v>
      </c>
      <c r="M76" s="84">
        <f ca="1">VLOOKUP(A76,Table41[#All],27,FALSE)</f>
        <v>0.2802</v>
      </c>
      <c r="N76" s="235">
        <f>HLOOKUP(Table44[[#This Row],[Theme]],Table46[#All],2,FALSE)</f>
        <v>45567</v>
      </c>
      <c r="O76" s="208" t="str">
        <f>VLOOKUP(A76,Table41[#All],22,FALSE)</f>
        <v>Energy</v>
      </c>
      <c r="P76" s="209" t="str">
        <f ca="1">VLOOKUP(A76,Table41[#All],25,FALSE)</f>
        <v>🔻</v>
      </c>
    </row>
    <row r="77" spans="1:16" ht="19">
      <c r="A77" t="e" vm="29">
        <v>#VALUE!</v>
      </c>
      <c r="B77" s="5" t="str">
        <f ca="1">VLOOKUP(A77,Table41[#All],2,FALSE)</f>
        <v>NVDA</v>
      </c>
      <c r="C77" s="185" t="str">
        <f ca="1">VLOOKUP(A77,Table41[#All],20,FALSE)</f>
        <v>Stock</v>
      </c>
      <c r="D77" s="4" cm="1">
        <f t="array" aca="1" ref="D77" ca="1">_FV(A77,"52 week low",TRUE)</f>
        <v>86.62</v>
      </c>
      <c r="E77" s="204">
        <f ca="1">(Table44[[#This Row],[Current Price]]-Table44[[#This Row],[52 week low]])/Table44[[#This Row],[52 week low]]</f>
        <v>1.0827176171784807</v>
      </c>
      <c r="F77" s="4">
        <f ca="1">VLOOKUP(A77,Table41[#All],15,FALSE)</f>
        <v>180.405</v>
      </c>
      <c r="G77" s="210">
        <f ca="1">(Table44[[#This Row],[52 week high]]-Table44[[#This Row],[Current Price]])/Table44[[#This Row],[Current Price]]</f>
        <v>0.1761863584712175</v>
      </c>
      <c r="H77" s="4" cm="1">
        <f t="array" aca="1" ref="H77" ca="1">_FV(A77,"52 week high",TRUE)</f>
        <v>212.18989999999999</v>
      </c>
      <c r="I77" t="b">
        <f ca="1">VLOOKUP(A77,Table41[#All],17,FALSE)</f>
        <v>0</v>
      </c>
      <c r="J77" t="b">
        <f ca="1">VLOOKUP(A77,Table41[#All],18,FALSE)</f>
        <v>1</v>
      </c>
      <c r="K77" s="184">
        <f>VLOOKUP(A77,Table41[#All],21,FALSE)</f>
        <v>45610</v>
      </c>
      <c r="L77" s="199">
        <f ca="1">VLOOKUP(A77,Table41[#All],26,FALSE)</f>
        <v>0.80404999999999993</v>
      </c>
      <c r="M77" s="84">
        <f ca="1">VLOOKUP(A77,Table41[#All],27,FALSE)</f>
        <v>0.28860714285714284</v>
      </c>
      <c r="N77" s="235">
        <f>HLOOKUP(Table44[[#This Row],[Theme]],Table46[#All],2,FALSE)</f>
        <v>45587</v>
      </c>
      <c r="O77" s="208" t="str">
        <f>VLOOKUP(A77,Table41[#All],22,FALSE)</f>
        <v>AI</v>
      </c>
      <c r="P77" s="209" t="str">
        <f ca="1">VLOOKUP(A77,Table41[#All],25,FALSE)</f>
        <v>🔻</v>
      </c>
    </row>
    <row r="78" spans="1:16" ht="19">
      <c r="A78" t="e" vm="37">
        <v>#VALUE!</v>
      </c>
      <c r="B78" s="5" t="str">
        <f ca="1">VLOOKUP(A78,Table41[#All],2,FALSE)</f>
        <v>AMD</v>
      </c>
      <c r="C78" s="185" t="str">
        <f ca="1">VLOOKUP(A78,Table41[#All],20,FALSE)</f>
        <v>Stock</v>
      </c>
      <c r="D78" s="4" cm="1">
        <f t="array" aca="1" ref="D78" ca="1">_FV(A78,"52 week low",TRUE)</f>
        <v>76.48</v>
      </c>
      <c r="E78" s="204">
        <f ca="1">(Table44[[#This Row],[Current Price]]-Table44[[#This Row],[52 week low]])/Table44[[#This Row],[52 week low]]</f>
        <v>1.8623169456066946</v>
      </c>
      <c r="F78" s="4">
        <f ca="1">VLOOKUP(A78,Table41[#All],15,FALSE)</f>
        <v>218.91</v>
      </c>
      <c r="G78" s="210">
        <f ca="1">(Table44[[#This Row],[52 week high]]-Table44[[#This Row],[Current Price]])/Table44[[#This Row],[Current Price]]</f>
        <v>0.22004431044721581</v>
      </c>
      <c r="H78" s="4" cm="1">
        <f t="array" aca="1" ref="H78" ca="1">_FV(A78,"52 week high",TRUE)</f>
        <v>267.07990000000001</v>
      </c>
      <c r="I78" t="b">
        <f ca="1">VLOOKUP(A78,Table41[#All],17,FALSE)</f>
        <v>0</v>
      </c>
      <c r="J78" t="b">
        <f ca="1">VLOOKUP(A78,Table41[#All],18,FALSE)</f>
        <v>1</v>
      </c>
      <c r="K78" s="184">
        <f>VLOOKUP(A78,Table41[#All],21,FALSE)</f>
        <v>45594</v>
      </c>
      <c r="L78" s="199">
        <f ca="1">VLOOKUP(A78,Table41[#All],26,FALSE)</f>
        <v>0.56364285714285711</v>
      </c>
      <c r="M78" s="84">
        <f ca="1">VLOOKUP(A78,Table41[#All],27,FALSE)</f>
        <v>0.21616666666666662</v>
      </c>
      <c r="N78" s="235">
        <f>HLOOKUP(Table44[[#This Row],[Theme]],Table46[#All],2,FALSE)</f>
        <v>45587</v>
      </c>
      <c r="O78" s="208" t="str">
        <f>VLOOKUP(A78,Table41[#All],22,FALSE)</f>
        <v>AI</v>
      </c>
      <c r="P78" s="209" t="str">
        <f ca="1">VLOOKUP(A78,Table41[#All],25,FALSE)</f>
        <v>🔻</v>
      </c>
    </row>
    <row r="79" spans="1:16" ht="19">
      <c r="A79" t="e" vm="147">
        <v>#VALUE!</v>
      </c>
      <c r="B79" s="5" t="str">
        <f ca="1">VLOOKUP(A79,Table41[#All],2,FALSE)</f>
        <v>XLE</v>
      </c>
      <c r="C79" s="185" t="str">
        <f ca="1">VLOOKUP(A79,Table41[#All],20,FALSE)</f>
        <v>ETF</v>
      </c>
      <c r="D79" s="4" cm="1">
        <f t="array" aca="1" ref="D79" ca="1">_FV(A79,"52 week low",TRUE)</f>
        <v>37.244999999999997</v>
      </c>
      <c r="E79" s="204">
        <f ca="1">(Table44[[#This Row],[Current Price]]-Table44[[#This Row],[52 week low]])/Table44[[#This Row],[52 week low]]</f>
        <v>0.62800375889381133</v>
      </c>
      <c r="F79" s="4">
        <f ca="1">VLOOKUP(A79,Table41[#All],15,FALSE)</f>
        <v>60.634999999999998</v>
      </c>
      <c r="G79" s="210">
        <f ca="1">(Table44[[#This Row],[52 week high]]-Table44[[#This Row],[Current Price]])/Table44[[#This Row],[Current Price]]</f>
        <v>1.3770924383606843E-2</v>
      </c>
      <c r="H79" s="4" cm="1">
        <f t="array" aca="1" ref="H79" ca="1">_FV(A79,"52 week high",TRUE)</f>
        <v>61.47</v>
      </c>
      <c r="I79" t="b">
        <f ca="1">VLOOKUP(A79,Table41[#All],17,FALSE)</f>
        <v>1</v>
      </c>
      <c r="J79" t="b">
        <f ca="1">VLOOKUP(A79,Table41[#All],18,FALSE)</f>
        <v>0</v>
      </c>
      <c r="K79" s="184">
        <f>VLOOKUP(A79,Table41[#All],21,FALSE)</f>
        <v>0</v>
      </c>
      <c r="L79" s="199">
        <f ca="1">VLOOKUP(A79,Table41[#All],26,FALSE)</f>
        <v>-0.26054878048780494</v>
      </c>
      <c r="M79" s="84">
        <f ca="1">VLOOKUP(A79,Table41[#All],27,FALSE)</f>
        <v>-0.36173684210526313</v>
      </c>
      <c r="N79" s="235">
        <f>HLOOKUP(Table44[[#This Row],[Theme]],Table46[#All],2,FALSE)</f>
        <v>45567</v>
      </c>
      <c r="O79" s="208" t="str">
        <f>VLOOKUP(A79,Table41[#All],22,FALSE)</f>
        <v>Energy</v>
      </c>
      <c r="P79" s="209" t="str">
        <f ca="1">VLOOKUP(A79,Table41[#All],25,FALSE)</f>
        <v>✅</v>
      </c>
    </row>
    <row r="80" spans="1:16" ht="19">
      <c r="A80" t="e" vm="148">
        <v>#VALUE!</v>
      </c>
      <c r="B80" s="5" t="str">
        <f ca="1">VLOOKUP(A80,Table41[#All],2,FALSE)</f>
        <v>META</v>
      </c>
      <c r="C80" s="185" t="str">
        <f ca="1">VLOOKUP(A80,Table41[#All],20,FALSE)</f>
        <v>Stock</v>
      </c>
      <c r="D80" s="4" cm="1">
        <f t="array" aca="1" ref="D80" ca="1">_FV(A80,"52 week low",TRUE)</f>
        <v>479.8</v>
      </c>
      <c r="E80" s="204">
        <f ca="1">(Table44[[#This Row],[Current Price]]-Table44[[#This Row],[52 week low]])/Table44[[#This Row],[52 week low]]</f>
        <v>0.2491037932471864</v>
      </c>
      <c r="F80" s="4">
        <f ca="1">VLOOKUP(A80,Table41[#All],15,FALSE)</f>
        <v>599.32000000000005</v>
      </c>
      <c r="G80" s="210">
        <f ca="1">(Table44[[#This Row],[52 week high]]-Table44[[#This Row],[Current Price]])/Table44[[#This Row],[Current Price]]</f>
        <v>0.32858906760995782</v>
      </c>
      <c r="H80" s="4" cm="1">
        <f t="array" aca="1" ref="H80" ca="1">_FV(A80,"52 week high",TRUE)</f>
        <v>796.25</v>
      </c>
      <c r="I80" t="b">
        <f ca="1">VLOOKUP(A80,Table41[#All],17,FALSE)</f>
        <v>0</v>
      </c>
      <c r="J80" t="b">
        <f ca="1">VLOOKUP(A80,Table41[#All],18,FALSE)</f>
        <v>1</v>
      </c>
      <c r="K80" s="184">
        <f>VLOOKUP(A80,Table41[#All],21,FALSE)</f>
        <v>45611</v>
      </c>
      <c r="L80" s="199">
        <f ca="1">VLOOKUP(A80,Table41[#All],26,FALSE)</f>
        <v>6.0743362831858549E-2</v>
      </c>
      <c r="M80" s="84">
        <f ca="1">VLOOKUP(A80,Table41[#All],27,FALSE)</f>
        <v>-1.1333333333332085E-3</v>
      </c>
      <c r="N80" s="235">
        <f>HLOOKUP(Table44[[#This Row],[Theme]],Table46[#All],2,FALSE)</f>
        <v>45587</v>
      </c>
      <c r="O80" s="208" t="str">
        <f>VLOOKUP(A80,Table41[#All],22,FALSE)</f>
        <v>AI</v>
      </c>
      <c r="P80" s="209" t="str">
        <f ca="1">VLOOKUP(A80,Table41[#All],25,FALSE)</f>
        <v>🔻</v>
      </c>
    </row>
    <row r="81" spans="1:16" ht="19">
      <c r="A81" t="e" vm="149">
        <v>#VALUE!</v>
      </c>
      <c r="B81" s="5" t="str">
        <f ca="1">VLOOKUP(A81,Table41[#All],2,FALSE)</f>
        <v>XLV</v>
      </c>
      <c r="C81" s="185" t="str">
        <f ca="1">VLOOKUP(A81,Table41[#All],20,FALSE)</f>
        <v>ETF</v>
      </c>
      <c r="D81" s="4" cm="1">
        <f t="array" aca="1" ref="D81" ca="1">_FV(A81,"52 week low",TRUE)</f>
        <v>127.35</v>
      </c>
      <c r="E81" s="204">
        <f ca="1">(Table44[[#This Row],[Current Price]]-Table44[[#This Row],[52 week low]])/Table44[[#This Row],[52 week low]]</f>
        <v>0.14644680015704756</v>
      </c>
      <c r="F81" s="4">
        <f ca="1">VLOOKUP(A81,Table41[#All],15,FALSE)</f>
        <v>146</v>
      </c>
      <c r="G81" s="210">
        <f ca="1">(Table44[[#This Row],[52 week high]]-Table44[[#This Row],[Current Price]])/Table44[[#This Row],[Current Price]]</f>
        <v>9.9931506849315094E-2</v>
      </c>
      <c r="H81" s="4" cm="1">
        <f t="array" aca="1" ref="H81" ca="1">_FV(A81,"52 week high",TRUE)</f>
        <v>160.59</v>
      </c>
      <c r="I81" t="b">
        <f ca="1">VLOOKUP(A81,Table41[#All],17,FALSE)</f>
        <v>1</v>
      </c>
      <c r="J81" t="b">
        <f ca="1">VLOOKUP(A81,Table41[#All],18,FALSE)</f>
        <v>0</v>
      </c>
      <c r="K81" s="184">
        <f>VLOOKUP(A81,Table41[#All],21,FALSE)</f>
        <v>0</v>
      </c>
      <c r="L81" s="199">
        <f ca="1">VLOOKUP(A81,Table41[#All],26,FALSE)</f>
        <v>6.8965517241379448E-3</v>
      </c>
      <c r="M81" s="84">
        <f ca="1">VLOOKUP(A81,Table41[#All],27,FALSE)</f>
        <v>-8.7500000000000022E-2</v>
      </c>
      <c r="N81" s="235">
        <f>HLOOKUP(Table44[[#This Row],[Theme]],Table46[#All],2,FALSE)</f>
        <v>45567</v>
      </c>
      <c r="O81" s="208" t="str">
        <f>VLOOKUP(A81,Table41[#All],22,FALSE)</f>
        <v>Health Care</v>
      </c>
      <c r="P81" s="209" t="str">
        <f ca="1">VLOOKUP(A81,Table41[#All],25,FALSE)</f>
        <v>✅</v>
      </c>
    </row>
    <row r="82" spans="1:16" ht="19">
      <c r="A82" t="e" vm="42">
        <v>#VALUE!</v>
      </c>
      <c r="B82" s="5" t="str">
        <f ca="1">VLOOKUP(A82,Table41[#All],2,FALSE)</f>
        <v>FLR</v>
      </c>
      <c r="C82" s="185" t="str">
        <f ca="1">VLOOKUP(A82,Table41[#All],20,FALSE)</f>
        <v>Stock</v>
      </c>
      <c r="D82" s="4" cm="1">
        <f t="array" aca="1" ref="D82" ca="1">_FV(A82,"52 week low",TRUE)</f>
        <v>29.2</v>
      </c>
      <c r="E82" s="204">
        <f ca="1">(Table44[[#This Row],[Current Price]]-Table44[[#This Row],[52 week low]])/Table44[[#This Row],[52 week low]]</f>
        <v>0.66849315068493154</v>
      </c>
      <c r="F82" s="4">
        <f ca="1">VLOOKUP(A82,Table41[#All],15,FALSE)</f>
        <v>48.72</v>
      </c>
      <c r="G82" s="210">
        <f ca="1">(Table44[[#This Row],[52 week high]]-Table44[[#This Row],[Current Price]])/Table44[[#This Row],[Current Price]]</f>
        <v>0.18021346469622335</v>
      </c>
      <c r="H82" s="4" cm="1">
        <f t="array" aca="1" ref="H82" ca="1">_FV(A82,"52 week high",TRUE)</f>
        <v>57.5</v>
      </c>
      <c r="I82" t="b">
        <f ca="1">VLOOKUP(A82,Table41[#All],17,FALSE)</f>
        <v>0</v>
      </c>
      <c r="J82" t="b">
        <f ca="1">VLOOKUP(A82,Table41[#All],18,FALSE)</f>
        <v>0</v>
      </c>
      <c r="K82" s="184">
        <f>VLOOKUP(A82,Table41[#All],21,FALSE)</f>
        <v>45604</v>
      </c>
      <c r="L82" s="199">
        <f ca="1">VLOOKUP(A82,Table41[#All],26,FALSE)</f>
        <v>8.2666666666666666E-2</v>
      </c>
      <c r="M82" s="84">
        <f ca="1">VLOOKUP(A82,Table41[#All],27,FALSE)</f>
        <v>-0.15269565217391301</v>
      </c>
      <c r="N82" s="235">
        <f>HLOOKUP(Table44[[#This Row],[Theme]],Table46[#All],2,FALSE)</f>
        <v>45573</v>
      </c>
      <c r="O82" s="208" t="str">
        <f>VLOOKUP(A82,Table41[#All],22,FALSE)</f>
        <v>Industrials</v>
      </c>
      <c r="P82" s="209" t="str">
        <f ca="1">VLOOKUP(A82,Table41[#All],25,FALSE)</f>
        <v/>
      </c>
    </row>
    <row r="83" spans="1:16" ht="19">
      <c r="A83" t="e" vm="150">
        <v>#VALUE!</v>
      </c>
      <c r="B83" s="5" t="str">
        <f ca="1">VLOOKUP(A83,Table41[#All],2,FALSE)</f>
        <v>CIEN</v>
      </c>
      <c r="C83" s="185" t="str">
        <f ca="1">VLOOKUP(A83,Table41[#All],20,FALSE)</f>
        <v>Stock</v>
      </c>
      <c r="D83" s="4" cm="1">
        <f t="array" aca="1" ref="D83" ca="1">_FV(A83,"52 week low",TRUE)</f>
        <v>49.21</v>
      </c>
      <c r="E83" s="204">
        <f ca="1">(Table44[[#This Row],[Current Price]]-Table44[[#This Row],[52 week low]])/Table44[[#This Row],[52 week low]]</f>
        <v>8.0259459459459475</v>
      </c>
      <c r="F83" s="4">
        <f ca="1">VLOOKUP(A83,Table41[#All],15,FALSE)</f>
        <v>444.16680000000002</v>
      </c>
      <c r="G83" s="210">
        <f ca="1">(Table44[[#This Row],[52 week high]]-Table44[[#This Row],[Current Price]])/Table44[[#This Row],[Current Price]]</f>
        <v>6.1308049138296423E-3</v>
      </c>
      <c r="H83" s="4" cm="1">
        <f t="array" aca="1" ref="H83" ca="1">_FV(A83,"52 week high",TRUE)</f>
        <v>446.88990000000001</v>
      </c>
      <c r="I83" t="b">
        <f ca="1">VLOOKUP(A83,Table41[#All],17,FALSE)</f>
        <v>0</v>
      </c>
      <c r="J83" t="b">
        <f ca="1">VLOOKUP(A83,Table41[#All],18,FALSE)</f>
        <v>1</v>
      </c>
      <c r="K83" s="184">
        <f>VLOOKUP(A83,Table41[#All],21,FALSE)</f>
        <v>0</v>
      </c>
      <c r="L83" s="199">
        <f>VLOOKUP(A83,Table41[#All],26,FALSE)</f>
        <v>0</v>
      </c>
      <c r="M83" s="84">
        <f ca="1">VLOOKUP(A83,Table41[#All],27,FALSE)</f>
        <v>5.3452400000000004</v>
      </c>
      <c r="N83" s="235">
        <f>HLOOKUP(Table44[[#This Row],[Theme]],Table46[#All],2,FALSE)</f>
        <v>45602</v>
      </c>
      <c r="O83" s="208" t="str">
        <f>VLOOKUP(A83,Table41[#All],22,FALSE)</f>
        <v>Connectivity</v>
      </c>
      <c r="P83" s="209" t="str">
        <f ca="1">VLOOKUP(A83,Table41[#All],25,FALSE)</f>
        <v>🔻</v>
      </c>
    </row>
    <row r="84" spans="1:16" ht="19">
      <c r="A84" t="e" vm="151">
        <v>#VALUE!</v>
      </c>
      <c r="B84" s="5" t="str">
        <f ca="1">VLOOKUP(A84,Table41[#All],2,FALSE)</f>
        <v>TLT</v>
      </c>
      <c r="C84" s="185" t="str">
        <f ca="1">VLOOKUP(A84,Table41[#All],20,FALSE)</f>
        <v>ETF</v>
      </c>
      <c r="D84" s="4" cm="1">
        <f t="array" aca="1" ref="D84" ca="1">_FV(A84,"52 week low",TRUE)</f>
        <v>83.295000000000002</v>
      </c>
      <c r="E84" s="204">
        <f ca="1">(Table44[[#This Row],[Current Price]]-Table44[[#This Row],[52 week low]])/Table44[[#This Row],[52 week low]]</f>
        <v>4.1401044480460961E-2</v>
      </c>
      <c r="F84" s="4">
        <f ca="1">VLOOKUP(A84,Table41[#All],15,FALSE)</f>
        <v>86.743499999999997</v>
      </c>
      <c r="G84" s="210">
        <f ca="1">(Table44[[#This Row],[52 week high]]-Table44[[#This Row],[Current Price]])/Table44[[#This Row],[Current Price]]</f>
        <v>8.4692224777649122E-2</v>
      </c>
      <c r="H84" s="4" cm="1">
        <f t="array" aca="1" ref="H84" ca="1">_FV(A84,"52 week high",TRUE)</f>
        <v>94.09</v>
      </c>
      <c r="I84" t="b">
        <f ca="1">VLOOKUP(A84,Table41[#All],17,FALSE)</f>
        <v>1</v>
      </c>
      <c r="J84" t="b">
        <f ca="1">VLOOKUP(A84,Table41[#All],18,FALSE)</f>
        <v>0</v>
      </c>
      <c r="K84" s="184">
        <f>VLOOKUP(A84,Table41[#All],21,FALSE)</f>
        <v>0</v>
      </c>
      <c r="L84" s="199">
        <f ca="1">VLOOKUP(A84,Table41[#All],26,FALSE)</f>
        <v>-3.6183333333333345E-2</v>
      </c>
      <c r="M84" s="84">
        <f ca="1">VLOOKUP(A84,Table41[#All],27,FALSE)</f>
        <v>-0.13256500000000004</v>
      </c>
      <c r="N84" s="235">
        <f>HLOOKUP(Table44[[#This Row],[Theme]],Table46[#All],2,FALSE)</f>
        <v>45564</v>
      </c>
      <c r="O84" s="208" t="str">
        <f>VLOOKUP(A84,Table41[#All],22,FALSE)</f>
        <v>Market</v>
      </c>
      <c r="P84" s="209" t="str">
        <f ca="1">VLOOKUP(A84,Table41[#All],25,FALSE)</f>
        <v>✅</v>
      </c>
    </row>
    <row r="85" spans="1:16" ht="19">
      <c r="A85" t="e" vm="32">
        <v>#VALUE!</v>
      </c>
      <c r="B85" s="5" t="str">
        <f ca="1">VLOOKUP(A85,Table41[#All],2,FALSE)</f>
        <v>MU</v>
      </c>
      <c r="C85" s="185" t="str">
        <f ca="1">VLOOKUP(A85,Table41[#All],20,FALSE)</f>
        <v>Stock</v>
      </c>
      <c r="D85" s="4" cm="1">
        <f t="array" aca="1" ref="D85" ca="1">_FV(A85,"52 week low",TRUE)</f>
        <v>61.54</v>
      </c>
      <c r="E85" s="204">
        <f ca="1">(Table44[[#This Row],[Current Price]]-Table44[[#This Row],[52 week low]])/Table44[[#This Row],[52 week low]]</f>
        <v>5.2003574910627233</v>
      </c>
      <c r="F85" s="4">
        <f ca="1">VLOOKUP(A85,Table41[#All],15,FALSE)</f>
        <v>381.57</v>
      </c>
      <c r="G85" s="210">
        <f ca="1">(Table44[[#This Row],[52 week high]]-Table44[[#This Row],[Current Price]])/Table44[[#This Row],[Current Price]]</f>
        <v>0.23526482689938932</v>
      </c>
      <c r="H85" s="4" cm="1">
        <f t="array" aca="1" ref="H85" ca="1">_FV(A85,"52 week high",TRUE)</f>
        <v>471.34</v>
      </c>
      <c r="I85" t="b">
        <f ca="1">VLOOKUP(A85,Table41[#All],17,FALSE)</f>
        <v>0</v>
      </c>
      <c r="J85" t="b">
        <f ca="1">VLOOKUP(A85,Table41[#All],18,FALSE)</f>
        <v>1</v>
      </c>
      <c r="K85" s="184">
        <f>VLOOKUP(A85,Table41[#All],21,FALSE)</f>
        <v>45644</v>
      </c>
      <c r="L85" s="199">
        <f ca="1">VLOOKUP(A85,Table41[#All],26,FALSE)</f>
        <v>3.0165263157894735</v>
      </c>
      <c r="M85" s="84">
        <f ca="1">VLOOKUP(A85,Table41[#All],27,FALSE)</f>
        <v>2.3180000000000001</v>
      </c>
      <c r="N85" s="235">
        <f>HLOOKUP(Table44[[#This Row],[Theme]],Table46[#All],2,FALSE)</f>
        <v>45587</v>
      </c>
      <c r="O85" s="208" t="str">
        <f>VLOOKUP(A85,Table41[#All],22,FALSE)</f>
        <v>AI</v>
      </c>
      <c r="P85" s="209" t="str">
        <f ca="1">VLOOKUP(A85,Table41[#All],25,FALSE)</f>
        <v>🔻</v>
      </c>
    </row>
    <row r="86" spans="1:16" ht="19">
      <c r="A86" t="e" vm="152">
        <v>#VALUE!</v>
      </c>
      <c r="B86" s="5" t="str">
        <f ca="1">VLOOKUP(A86,Table41[#All],2,FALSE)</f>
        <v>STM</v>
      </c>
      <c r="C86" s="185" t="str">
        <f ca="1">VLOOKUP(A86,Table41[#All],20,FALSE)</f>
        <v>Stock</v>
      </c>
      <c r="D86" s="4" cm="1">
        <f t="array" aca="1" ref="D86" ca="1">_FV(A86,"52 week low",TRUE)</f>
        <v>17.25</v>
      </c>
      <c r="E86" s="204">
        <f ca="1">(Table44[[#This Row],[Current Price]]-Table44[[#This Row],[52 week low]])/Table44[[#This Row],[52 week low]]</f>
        <v>0.93623188405797098</v>
      </c>
      <c r="F86" s="4">
        <f ca="1">VLOOKUP(A86,Table41[#All],15,FALSE)</f>
        <v>33.4</v>
      </c>
      <c r="G86" s="210">
        <f ca="1">(Table44[[#This Row],[52 week high]]-Table44[[#This Row],[Current Price]])/Table44[[#This Row],[Current Price]]</f>
        <v>5.0000000000000051E-2</v>
      </c>
      <c r="H86" s="4" cm="1">
        <f t="array" aca="1" ref="H86" ca="1">_FV(A86,"52 week high",TRUE)</f>
        <v>35.07</v>
      </c>
      <c r="I86" t="b">
        <f ca="1">VLOOKUP(A86,Table41[#All],17,FALSE)</f>
        <v>0</v>
      </c>
      <c r="J86" t="b">
        <f ca="1">VLOOKUP(A86,Table41[#All],18,FALSE)</f>
        <v>1</v>
      </c>
      <c r="K86" s="184">
        <f>VLOOKUP(A86,Table41[#All],21,FALSE)</f>
        <v>0</v>
      </c>
      <c r="L86" s="199">
        <f>VLOOKUP(A86,Table41[#All],26,FALSE)</f>
        <v>0</v>
      </c>
      <c r="M86" s="84">
        <f ca="1">VLOOKUP(A86,Table41[#All],27,FALSE)</f>
        <v>0.11333333333333329</v>
      </c>
      <c r="N86" s="235">
        <f>HLOOKUP(Table44[[#This Row],[Theme]],Table46[#All],2,FALSE)</f>
        <v>45580</v>
      </c>
      <c r="O86" s="208" t="str">
        <f>VLOOKUP(A86,Table41[#All],22,FALSE)</f>
        <v>Semiconductor</v>
      </c>
      <c r="P86" s="209" t="str">
        <f ca="1">VLOOKUP(A86,Table41[#All],25,FALSE)</f>
        <v>🔻</v>
      </c>
    </row>
    <row r="87" spans="1:16" ht="19">
      <c r="A87" t="e" vm="153">
        <v>#VALUE!</v>
      </c>
      <c r="B87" s="5" t="str">
        <f ca="1">VLOOKUP(A87,Table41[#All],2,FALSE)</f>
        <v>DDOG</v>
      </c>
      <c r="C87" s="185" t="str">
        <f ca="1">VLOOKUP(A87,Table41[#All],20,FALSE)</f>
        <v>Stock</v>
      </c>
      <c r="D87" s="213" cm="1">
        <f t="array" aca="1" ref="D87" ca="1">_FV(A87,"52 week low",TRUE)</f>
        <v>81.63</v>
      </c>
      <c r="E87" s="204">
        <f ca="1">(Table44[[#This Row],[Current Price]]-Table44[[#This Row],[52 week low]])/Table44[[#This Row],[52 week low]]</f>
        <v>0.54502021315692772</v>
      </c>
      <c r="F87" s="36">
        <f ca="1">VLOOKUP(A87,Table41[#All],15,FALSE)</f>
        <v>126.12</v>
      </c>
      <c r="G87" s="36">
        <f ca="1">(Table44[[#This Row],[52 week high]]-Table44[[#This Row],[Current Price]])/Table44[[#This Row],[Current Price]]</f>
        <v>0.59919124643196953</v>
      </c>
      <c r="H87" s="4" cm="1">
        <f t="array" aca="1" ref="H87" ca="1">_FV(A87,"52 week high",TRUE)</f>
        <v>201.69</v>
      </c>
      <c r="I87" t="b">
        <f ca="1">VLOOKUP(A87,Table41[#All],17,FALSE)</f>
        <v>0</v>
      </c>
      <c r="J87" s="147" t="b">
        <f ca="1">VLOOKUP(A87,Table41[#All],18,FALSE)</f>
        <v>0</v>
      </c>
      <c r="K87" s="214">
        <f>VLOOKUP(A87,Table41[#All],21,FALSE)</f>
        <v>0</v>
      </c>
      <c r="L87" s="199">
        <f ca="1">VLOOKUP(A87,Table41[#All],26,FALSE)</f>
        <v>0.2612000000000001</v>
      </c>
      <c r="M87" s="84">
        <f ca="1">VLOOKUP(A87,Table41[#All],27,FALSE)</f>
        <v>-9.9142857142857088E-2</v>
      </c>
      <c r="N87" s="235">
        <f>HLOOKUP(Table44[[#This Row],[Theme]],Table46[#All],2,FALSE)</f>
        <v>45594</v>
      </c>
      <c r="O87" s="208" t="str">
        <f>VLOOKUP(A87,Table41[#All],22,FALSE)</f>
        <v>Technology</v>
      </c>
      <c r="P87" s="209" t="str">
        <f ca="1">VLOOKUP(A87,Table41[#All],25,FALSE)</f>
        <v/>
      </c>
    </row>
    <row r="88" spans="1:16" ht="19">
      <c r="A88" t="e" vm="154">
        <v>#VALUE!</v>
      </c>
      <c r="B88" s="5" t="str">
        <f ca="1">VLOOKUP(A88,Table41[#All],2,FALSE)</f>
        <v>B</v>
      </c>
      <c r="C88" s="185" t="str">
        <f ca="1">VLOOKUP(A88,Table41[#All],20,FALSE)</f>
        <v>Stock</v>
      </c>
      <c r="D88" s="213" cm="1">
        <f t="array" aca="1" ref="D88" ca="1">_FV(A88,"52 week low",TRUE)</f>
        <v>17</v>
      </c>
      <c r="E88" s="204">
        <f ca="1">(Table44[[#This Row],[Current Price]]-Table44[[#This Row],[52 week low]])/Table44[[#This Row],[52 week low]]</f>
        <v>1.3132352941176473</v>
      </c>
      <c r="F88" s="36">
        <f ca="1">VLOOKUP(A88,Table41[#All],15,FALSE)</f>
        <v>39.325000000000003</v>
      </c>
      <c r="G88" s="36">
        <f ca="1">(Table44[[#This Row],[52 week high]]-Table44[[#This Row],[Current Price]])/Table44[[#This Row],[Current Price]]</f>
        <v>0.39071837253655417</v>
      </c>
      <c r="H88" s="4" cm="1">
        <f t="array" aca="1" ref="H88" ca="1">_FV(A88,"52 week high",TRUE)</f>
        <v>54.69</v>
      </c>
      <c r="I88" t="b">
        <f ca="1">VLOOKUP(A88,Table41[#All],17,FALSE)</f>
        <v>0</v>
      </c>
      <c r="J88" s="147" t="b">
        <f ca="1">VLOOKUP(A88,Table41[#All],18,FALSE)</f>
        <v>1</v>
      </c>
      <c r="K88" s="214">
        <f>VLOOKUP(A88,Table41[#All],21,FALSE)</f>
        <v>0</v>
      </c>
      <c r="L88" s="199">
        <f>VLOOKUP(A88,Table41[#All],26,FALSE)</f>
        <v>0</v>
      </c>
      <c r="M88" s="84">
        <f ca="1">VLOOKUP(A88,Table41[#All],27,FALSE)</f>
        <v>0.78750000000000009</v>
      </c>
      <c r="N88" s="235">
        <f>HLOOKUP(Table44[[#This Row],[Theme]],Table46[#All],2,FALSE)</f>
        <v>45567</v>
      </c>
      <c r="O88" s="208" t="str">
        <f>VLOOKUP(A88,Table41[#All],22,FALSE)</f>
        <v>Gold and Silver</v>
      </c>
      <c r="P88" s="209" t="str">
        <f ca="1">VLOOKUP(A88,Table41[#All],25,FALSE)</f>
        <v>🔻</v>
      </c>
    </row>
    <row r="89" spans="1:16" ht="19">
      <c r="A89" t="e" vm="155">
        <v>#VALUE!</v>
      </c>
      <c r="B89" s="5" t="str">
        <f ca="1">VLOOKUP(A89,Table41[#All],2,FALSE)</f>
        <v>STX</v>
      </c>
      <c r="C89" s="185" t="str">
        <f ca="1">VLOOKUP(A89,Table41[#All],20,FALSE)</f>
        <v>Stock</v>
      </c>
      <c r="D89" s="213" cm="1">
        <f t="array" aca="1" ref="D89" ca="1">_FV(A89,"52 week low",TRUE)</f>
        <v>63.19</v>
      </c>
      <c r="E89" s="204">
        <f ca="1">(Table44[[#This Row],[Current Price]]-Table44[[#This Row],[52 week low]])/Table44[[#This Row],[52 week low]]</f>
        <v>5.6029435037189437</v>
      </c>
      <c r="F89" s="36">
        <f ca="1">VLOOKUP(A89,Table41[#All],15,FALSE)</f>
        <v>417.24</v>
      </c>
      <c r="G89" s="36">
        <f ca="1">(Table44[[#This Row],[52 week high]]-Table44[[#This Row],[Current Price]])/Table44[[#This Row],[Current Price]]</f>
        <v>0.1020995110727638</v>
      </c>
      <c r="H89" s="4" cm="1">
        <f t="array" aca="1" ref="H89" ca="1">_FV(A89,"52 week high",TRUE)</f>
        <v>459.84</v>
      </c>
      <c r="I89" t="b">
        <f ca="1">VLOOKUP(A89,Table41[#All],17,FALSE)</f>
        <v>0</v>
      </c>
      <c r="J89" s="147" t="b">
        <f ca="1">VLOOKUP(A89,Table41[#All],18,FALSE)</f>
        <v>1</v>
      </c>
      <c r="K89" s="214">
        <f>VLOOKUP(A89,Table41[#All],21,FALSE)</f>
        <v>45589</v>
      </c>
      <c r="L89" s="199">
        <f ca="1">VLOOKUP(A89,Table41[#All],26,FALSE)</f>
        <v>3.1723999999999997</v>
      </c>
      <c r="M89" s="84">
        <f ca="1">VLOOKUP(A89,Table41[#All],27,FALSE)</f>
        <v>2.7930909090909091</v>
      </c>
      <c r="N89" s="235" t="e">
        <f>HLOOKUP(Table44[[#This Row],[Theme]],Table46[#All],2,FALSE)</f>
        <v>#N/A</v>
      </c>
      <c r="O89" s="208" t="str">
        <f>VLOOKUP(A89,Table41[#All],22,FALSE)</f>
        <v>Data Storage</v>
      </c>
      <c r="P89" s="209" t="str">
        <f ca="1">VLOOKUP(A89,Table41[#All],25,FALSE)</f>
        <v>🔻</v>
      </c>
    </row>
    <row r="90" spans="1:16" ht="19">
      <c r="A90" t="e" vm="80">
        <v>#VALUE!</v>
      </c>
      <c r="B90" s="5" t="str">
        <f ca="1">VLOOKUP(A90,Table41[#All],2,FALSE)</f>
        <v>PYPL</v>
      </c>
      <c r="C90" s="185" t="str">
        <f ca="1">VLOOKUP(A90,Table41[#All],20,FALSE)</f>
        <v>Stock</v>
      </c>
      <c r="D90" s="213" cm="1">
        <f t="array" aca="1" ref="D90" ca="1">_FV(A90,"52 week low",TRUE)</f>
        <v>38.46</v>
      </c>
      <c r="E90" s="204">
        <f ca="1">(Table44[[#This Row],[Current Price]]-Table44[[#This Row],[52 week low]])/Table44[[#This Row],[52 week low]]</f>
        <v>0.17290691627665103</v>
      </c>
      <c r="F90" s="36">
        <f ca="1">VLOOKUP(A90,Table41[#All],15,FALSE)</f>
        <v>45.11</v>
      </c>
      <c r="G90" s="36">
        <f ca="1">(Table44[[#This Row],[52 week high]]-Table44[[#This Row],[Current Price]])/Table44[[#This Row],[Current Price]]</f>
        <v>0.76235867878519181</v>
      </c>
      <c r="H90" s="4" cm="1">
        <f t="array" aca="1" ref="H90" ca="1">_FV(A90,"52 week high",TRUE)</f>
        <v>79.5</v>
      </c>
      <c r="I90" t="b">
        <f ca="1">VLOOKUP(A90,Table41[#All],17,FALSE)</f>
        <v>1</v>
      </c>
      <c r="J90" s="147" t="b">
        <f ca="1">VLOOKUP(A90,Table41[#All],18,FALSE)</f>
        <v>0</v>
      </c>
      <c r="K90" s="214">
        <f>VLOOKUP(A90,Table41[#All],21,FALSE)</f>
        <v>45594</v>
      </c>
      <c r="L90" s="199">
        <f ca="1">VLOOKUP(A90,Table41[#All],26,FALSE)</f>
        <v>-0.42166666666666663</v>
      </c>
      <c r="M90" s="84">
        <f ca="1">VLOOKUP(A90,Table41[#All],27,FALSE)</f>
        <v>-0.43612499999999998</v>
      </c>
      <c r="N90" s="235">
        <f>HLOOKUP(Table44[[#This Row],[Theme]],Table46[#All],2,FALSE)</f>
        <v>45573</v>
      </c>
      <c r="O90" s="208" t="str">
        <f>VLOOKUP(A90,Table41[#All],22,FALSE)</f>
        <v>Financials</v>
      </c>
      <c r="P90" s="209" t="str">
        <f ca="1">VLOOKUP(A90,Table41[#All],25,FALSE)</f>
        <v>✅</v>
      </c>
    </row>
    <row r="91" spans="1:16" ht="19">
      <c r="A91" t="e" vm="156">
        <v>#VALUE!</v>
      </c>
      <c r="B91" s="5" t="str">
        <f ca="1">VLOOKUP(A91,Table41[#All],2,FALSE)</f>
        <v>FROG</v>
      </c>
      <c r="C91" s="185" t="str">
        <f ca="1">VLOOKUP(A91,Table41[#All],20,FALSE)</f>
        <v>Stock</v>
      </c>
      <c r="D91" s="213" cm="1">
        <f t="array" aca="1" ref="D91" ca="1">_FV(A91,"52 week low",TRUE)</f>
        <v>27</v>
      </c>
      <c r="E91" s="204">
        <f ca="1">(Table44[[#This Row],[Current Price]]-Table44[[#This Row],[52 week low]])/Table44[[#This Row],[52 week low]]</f>
        <v>0.75889259259259256</v>
      </c>
      <c r="F91" s="36">
        <f ca="1">VLOOKUP(A91,Table41[#All],15,FALSE)</f>
        <v>47.490099999999998</v>
      </c>
      <c r="G91" s="36">
        <f ca="1">(Table44[[#This Row],[52 week high]]-Table44[[#This Row],[Current Price]])/Table44[[#This Row],[Current Price]]</f>
        <v>0.48304383439916965</v>
      </c>
      <c r="H91" s="4" cm="1">
        <f t="array" aca="1" ref="H91" ca="1">_FV(A91,"52 week high",TRUE)</f>
        <v>70.429900000000004</v>
      </c>
      <c r="I91" t="b">
        <f ca="1">VLOOKUP(A91,Table41[#All],17,FALSE)</f>
        <v>0</v>
      </c>
      <c r="J91" s="147" t="b">
        <f ca="1">VLOOKUP(A91,Table41[#All],18,FALSE)</f>
        <v>1</v>
      </c>
      <c r="K91" s="214">
        <f>VLOOKUP(A91,Table41[#All],21,FALSE)</f>
        <v>0</v>
      </c>
      <c r="L91" s="199">
        <f ca="1">VLOOKUP(A91,Table41[#All],26,FALSE)</f>
        <v>1.1106711111111109</v>
      </c>
      <c r="M91" s="84">
        <f ca="1">VLOOKUP(A91,Table41[#All],27,FALSE)</f>
        <v>0.46123384615384611</v>
      </c>
      <c r="N91" s="235">
        <f>HLOOKUP(Table44[[#This Row],[Theme]],Table46[#All],2,FALSE)</f>
        <v>45594</v>
      </c>
      <c r="O91" s="208" t="str">
        <f>VLOOKUP(A91,Table41[#All],22,FALSE)</f>
        <v>Technology</v>
      </c>
      <c r="P91" s="209" t="str">
        <f ca="1">VLOOKUP(A91,Table41[#All],25,FALSE)</f>
        <v>🔻</v>
      </c>
    </row>
    <row r="92" spans="1:16" ht="19">
      <c r="A92" t="e" vm="47">
        <v>#VALUE!</v>
      </c>
      <c r="B92" s="5" t="str">
        <f ca="1">VLOOKUP(A92,Table41[#All],2,FALSE)</f>
        <v>CCJ</v>
      </c>
      <c r="C92" s="185" t="str">
        <f ca="1">VLOOKUP(A92,Table41[#All],20,FALSE)</f>
        <v>Stock</v>
      </c>
      <c r="D92" s="213" cm="1">
        <f t="array" aca="1" ref="D92" ca="1">_FV(A92,"52 week low",TRUE)</f>
        <v>35</v>
      </c>
      <c r="E92" s="204">
        <f ca="1">(Table44[[#This Row],[Current Price]]-Table44[[#This Row],[52 week low]])/Table44[[#This Row],[52 week low]]</f>
        <v>2.1671428571428568</v>
      </c>
      <c r="F92" s="36">
        <f ca="1">VLOOKUP(A92,Table41[#All],15,FALSE)</f>
        <v>110.85</v>
      </c>
      <c r="G92" s="36">
        <f ca="1">(Table44[[#This Row],[52 week high]]-Table44[[#This Row],[Current Price]])/Table44[[#This Row],[Current Price]]</f>
        <v>0.22002706359945887</v>
      </c>
      <c r="H92" s="4" cm="1">
        <f t="array" aca="1" ref="H92" ca="1">_FV(A92,"52 week high",TRUE)</f>
        <v>135.24</v>
      </c>
      <c r="I92" t="b">
        <f ca="1">VLOOKUP(A92,Table41[#All],17,FALSE)</f>
        <v>0</v>
      </c>
      <c r="J92" s="147" t="b">
        <f ca="1">VLOOKUP(A92,Table41[#All],18,FALSE)</f>
        <v>1</v>
      </c>
      <c r="K92" s="214">
        <f>VLOOKUP(A92,Table41[#All],21,FALSE)</f>
        <v>45603</v>
      </c>
      <c r="L92" s="199">
        <f ca="1">VLOOKUP(A92,Table41[#All],26,FALSE)</f>
        <v>1.409782608695652</v>
      </c>
      <c r="M92" s="84">
        <f ca="1">VLOOKUP(A92,Table41[#All],27,FALSE)</f>
        <v>0.84749999999999992</v>
      </c>
      <c r="N92" s="235">
        <f>HLOOKUP(Table44[[#This Row],[Theme]],Table46[#All],2,FALSE)</f>
        <v>45569</v>
      </c>
      <c r="O92" s="208" t="str">
        <f>VLOOKUP(A92,Table41[#All],22,FALSE)</f>
        <v>Nuclear</v>
      </c>
      <c r="P92" s="209" t="str">
        <f ca="1">VLOOKUP(A92,Table41[#All],25,FALSE)</f>
        <v>🔻</v>
      </c>
    </row>
    <row r="93" spans="1:16" ht="19">
      <c r="A93" t="e" vm="60">
        <v>#VALUE!</v>
      </c>
      <c r="B93" s="5" t="str">
        <f ca="1">VLOOKUP(A93,Table41[#All],2,FALSE)</f>
        <v>XOM</v>
      </c>
      <c r="C93" s="185" t="str">
        <f ca="1">VLOOKUP(A93,Table41[#All],20,FALSE)</f>
        <v>Stock</v>
      </c>
      <c r="D93" s="213" cm="1">
        <f t="array" aca="1" ref="D93" ca="1">_FV(A93,"52 week low",TRUE)</f>
        <v>97.8</v>
      </c>
      <c r="E93" s="204">
        <f ca="1">(Table44[[#This Row],[Current Price]]-Table44[[#This Row],[52 week low]])/Table44[[#This Row],[52 week low]]</f>
        <v>0.67392638036809827</v>
      </c>
      <c r="F93" s="36">
        <f ca="1">VLOOKUP(A93,Table41[#All],15,FALSE)</f>
        <v>163.71</v>
      </c>
      <c r="G93" s="36">
        <f ca="1">(Table44[[#This Row],[52 week high]]-Table44[[#This Row],[Current Price]])/Table44[[#This Row],[Current Price]]</f>
        <v>2.3028526052165304E-2</v>
      </c>
      <c r="H93" s="4" cm="1">
        <f t="array" aca="1" ref="H93" ca="1">_FV(A93,"52 week high",TRUE)</f>
        <v>167.48</v>
      </c>
      <c r="I93" t="b">
        <f ca="1">VLOOKUP(A93,Table41[#All],17,FALSE)</f>
        <v>0</v>
      </c>
      <c r="J93" s="147" t="b">
        <f ca="1">VLOOKUP(A93,Table41[#All],18,FALSE)</f>
        <v>1</v>
      </c>
      <c r="K93" s="214">
        <f>VLOOKUP(A93,Table41[#All],21,FALSE)</f>
        <v>45590</v>
      </c>
      <c r="L93" s="199">
        <f ca="1">VLOOKUP(A93,Table41[#All],26,FALSE)</f>
        <v>0.48827272727272741</v>
      </c>
      <c r="M93" s="84">
        <f ca="1">VLOOKUP(A93,Table41[#All],27,FALSE)</f>
        <v>0.25930769230769246</v>
      </c>
      <c r="N93" s="235">
        <f>HLOOKUP(Table44[[#This Row],[Theme]],Table46[#All],2,FALSE)</f>
        <v>45567</v>
      </c>
      <c r="O93" s="208" t="str">
        <f>VLOOKUP(A93,Table41[#All],22,FALSE)</f>
        <v>Energy</v>
      </c>
      <c r="P93" s="209" t="str">
        <f ca="1">VLOOKUP(A93,Table41[#All],25,FALSE)</f>
        <v>🔻</v>
      </c>
    </row>
    <row r="94" spans="1:16" ht="19">
      <c r="A94" t="e" vm="157">
        <v>#VALUE!</v>
      </c>
      <c r="B94" s="5" t="str">
        <f ca="1">VLOOKUP(A94,Table41[#All],2,FALSE)</f>
        <v>HAL</v>
      </c>
      <c r="C94" s="185" t="str">
        <f ca="1">VLOOKUP(A94,Table41[#All],20,FALSE)</f>
        <v>Stock</v>
      </c>
      <c r="D94" s="213" cm="1">
        <f t="array" aca="1" ref="D94" ca="1">_FV(A94,"52 week low",TRUE)</f>
        <v>18.72</v>
      </c>
      <c r="E94" s="204">
        <f ca="1">(Table44[[#This Row],[Current Price]]-Table44[[#This Row],[52 week low]])/Table44[[#This Row],[52 week low]]</f>
        <v>1.0614316239316242</v>
      </c>
      <c r="F94" s="36">
        <f ca="1">VLOOKUP(A94,Table41[#All],15,FALSE)</f>
        <v>38.590000000000003</v>
      </c>
      <c r="G94" s="36">
        <f ca="1">(Table44[[#This Row],[52 week high]]-Table44[[#This Row],[Current Price]])/Table44[[#This Row],[Current Price]]</f>
        <v>4.1461518528115209E-3</v>
      </c>
      <c r="H94" s="4" cm="1">
        <f t="array" aca="1" ref="H94" ca="1">_FV(A94,"52 week high",TRUE)</f>
        <v>38.75</v>
      </c>
      <c r="I94" t="b">
        <f ca="1">VLOOKUP(A94,Table41[#All],17,FALSE)</f>
        <v>0</v>
      </c>
      <c r="J94" s="147" t="b">
        <f ca="1">VLOOKUP(A94,Table41[#All],18,FALSE)</f>
        <v>1</v>
      </c>
      <c r="K94" s="214">
        <f>VLOOKUP(A94,Table41[#All],21,FALSE)</f>
        <v>45603</v>
      </c>
      <c r="L94" s="199">
        <f ca="1">VLOOKUP(A94,Table41[#All],26,FALSE)</f>
        <v>0.42925925925925945</v>
      </c>
      <c r="M94" s="84">
        <f ca="1">VLOOKUP(A94,Table41[#All],27,FALSE)</f>
        <v>0.24483870967741939</v>
      </c>
      <c r="N94" s="235">
        <f>HLOOKUP(Table44[[#This Row],[Theme]],Table46[#All],2,FALSE)</f>
        <v>45567</v>
      </c>
      <c r="O94" s="208" t="str">
        <f>VLOOKUP(A94,Table41[#All],22,FALSE)</f>
        <v>Energy</v>
      </c>
      <c r="P94" s="209" t="str">
        <f ca="1">VLOOKUP(A94,Table41[#All],25,FALSE)</f>
        <v>🔻</v>
      </c>
    </row>
    <row r="95" spans="1:16" ht="19">
      <c r="A95" t="e" vm="21">
        <v>#VALUE!</v>
      </c>
      <c r="B95" s="5" t="str">
        <f ca="1">VLOOKUP(A95,Table41[#All],2,FALSE)</f>
        <v>INTC</v>
      </c>
      <c r="C95" s="185" t="str">
        <f ca="1">VLOOKUP(A95,Table41[#All],20,FALSE)</f>
        <v>Stock</v>
      </c>
      <c r="D95" s="213" cm="1">
        <f t="array" aca="1" ref="D95" ca="1">_FV(A95,"52 week low",TRUE)</f>
        <v>17.664999999999999</v>
      </c>
      <c r="E95" s="204">
        <f ca="1">(Table44[[#This Row],[Current Price]]-Table44[[#This Row],[52 week low]])/Table44[[#This Row],[52 week low]]</f>
        <v>1.6770506651570907</v>
      </c>
      <c r="F95" s="36">
        <f ca="1">VLOOKUP(A95,Table41[#All],15,FALSE)</f>
        <v>47.290100000000002</v>
      </c>
      <c r="G95" s="36">
        <f ca="1">(Table44[[#This Row],[52 week high]]-Table44[[#This Row],[Current Price]])/Table44[[#This Row],[Current Price]]</f>
        <v>0.15457569343266347</v>
      </c>
      <c r="H95" s="4" cm="1">
        <f t="array" aca="1" ref="H95" ca="1">_FV(A95,"52 week high",TRUE)</f>
        <v>54.6</v>
      </c>
      <c r="I95" t="b">
        <f ca="1">VLOOKUP(A95,Table41[#All],17,FALSE)</f>
        <v>0</v>
      </c>
      <c r="J95" s="147" t="b">
        <f ca="1">VLOOKUP(A95,Table41[#All],18,FALSE)</f>
        <v>1</v>
      </c>
      <c r="K95" s="214">
        <f>VLOOKUP(A95,Table41[#All],21,FALSE)</f>
        <v>45589</v>
      </c>
      <c r="L95" s="199">
        <f ca="1">VLOOKUP(A95,Table41[#All],26,FALSE)</f>
        <v>1.3645050000000003</v>
      </c>
      <c r="M95" s="84">
        <f ca="1">VLOOKUP(A95,Table41[#All],27,FALSE)</f>
        <v>0.89160400000000006</v>
      </c>
      <c r="N95" s="235">
        <f>HLOOKUP(Table44[[#This Row],[Theme]],Table46[#All],2,FALSE)</f>
        <v>45587</v>
      </c>
      <c r="O95" s="208" t="str">
        <f>VLOOKUP(A95,Table41[#All],22,FALSE)</f>
        <v>AI</v>
      </c>
      <c r="P95" s="209" t="str">
        <f ca="1">VLOOKUP(A95,Table41[#All],25,FALSE)</f>
        <v>🔻</v>
      </c>
    </row>
    <row r="96" spans="1:16" ht="19">
      <c r="A96" t="e" vm="158">
        <v>#VALUE!</v>
      </c>
      <c r="B96" s="5" t="str">
        <f ca="1">VLOOKUP(A96,Table41[#All],2,FALSE)</f>
        <v>COPX</v>
      </c>
      <c r="C96" s="185" t="str">
        <f ca="1">VLOOKUP(A96,Table41[#All],20,FALSE)</f>
        <v>ETF</v>
      </c>
      <c r="D96" s="213" cm="1">
        <f t="array" aca="1" ref="D96" ca="1">_FV(A96,"52 week low",TRUE)</f>
        <v>30.77</v>
      </c>
      <c r="E96" s="204">
        <f ca="1">(Table44[[#This Row],[Current Price]]-Table44[[#This Row],[52 week low]])/Table44[[#This Row],[52 week low]]</f>
        <v>1.4595385115372119</v>
      </c>
      <c r="F96" s="36">
        <f ca="1">VLOOKUP(A96,Table41[#All],15,FALSE)</f>
        <v>75.680000000000007</v>
      </c>
      <c r="G96" s="36">
        <f ca="1">(Table44[[#This Row],[52 week high]]-Table44[[#This Row],[Current Price]])/Table44[[#This Row],[Current Price]]</f>
        <v>0.32122093023255793</v>
      </c>
      <c r="H96" s="4" cm="1">
        <f t="array" aca="1" ref="H96" ca="1">_FV(A96,"52 week high",TRUE)</f>
        <v>99.99</v>
      </c>
      <c r="I96" t="b">
        <f ca="1">VLOOKUP(A96,Table41[#All],17,FALSE)</f>
        <v>0</v>
      </c>
      <c r="J96" s="147" t="b">
        <f ca="1">VLOOKUP(A96,Table41[#All],18,FALSE)</f>
        <v>1</v>
      </c>
      <c r="K96" s="214">
        <f>VLOOKUP(A96,Table41[#All],21,FALSE)</f>
        <v>0</v>
      </c>
      <c r="L96" s="199">
        <f>VLOOKUP(A96,Table41[#All],26,FALSE)</f>
        <v>0</v>
      </c>
      <c r="M96" s="84">
        <f ca="1">VLOOKUP(A96,Table41[#All],27,FALSE)</f>
        <v>0.51360000000000006</v>
      </c>
      <c r="N96" s="235" t="e">
        <f>HLOOKUP(Table44[[#This Row],[Theme]],Table46[#All],2,FALSE)</f>
        <v>#N/A</v>
      </c>
      <c r="O96" s="208" t="str">
        <f>VLOOKUP(A96,Table41[#All],22,FALSE)</f>
        <v>Commodity</v>
      </c>
      <c r="P96" s="209" t="str">
        <f ca="1">VLOOKUP(A96,Table41[#All],25,FALSE)</f>
        <v>🔻</v>
      </c>
    </row>
    <row r="97" spans="1:16" ht="19">
      <c r="A97" t="e" vm="59">
        <v>#VALUE!</v>
      </c>
      <c r="B97" s="5" t="str">
        <f ca="1">VLOOKUP(A97,Table41[#All],2,FALSE)</f>
        <v>EOG</v>
      </c>
      <c r="C97" s="185" t="str">
        <f ca="1">VLOOKUP(A97,Table41[#All],20,FALSE)</f>
        <v>Stock</v>
      </c>
      <c r="D97" s="213" cm="1">
        <f t="array" aca="1" ref="D97" ca="1">_FV(A97,"52 week low",TRUE)</f>
        <v>101.5936</v>
      </c>
      <c r="E97" s="204">
        <f ca="1">(Table44[[#This Row],[Current Price]]-Table44[[#This Row],[52 week low]])/Table44[[#This Row],[52 week low]]</f>
        <v>0.39418231069673676</v>
      </c>
      <c r="F97" s="36">
        <f ca="1">VLOOKUP(A97,Table41[#All],15,FALSE)</f>
        <v>141.63999999999999</v>
      </c>
      <c r="G97" s="36">
        <f ca="1">(Table44[[#This Row],[52 week high]]-Table44[[#This Row],[Current Price]])/Table44[[#This Row],[Current Price]]</f>
        <v>1.4755012708274501E-2</v>
      </c>
      <c r="H97" s="4" cm="1">
        <f t="array" aca="1" ref="H97" ca="1">_FV(A97,"52 week high",TRUE)</f>
        <v>143.72989999999999</v>
      </c>
      <c r="I97" t="b">
        <f ca="1">VLOOKUP(A97,Table41[#All],17,FALSE)</f>
        <v>0</v>
      </c>
      <c r="J97" s="147" t="b">
        <f ca="1">VLOOKUP(A97,Table41[#All],18,FALSE)</f>
        <v>1</v>
      </c>
      <c r="K97" s="214">
        <f>VLOOKUP(A97,Table41[#All],21,FALSE)</f>
        <v>45603</v>
      </c>
      <c r="L97" s="199">
        <f ca="1">VLOOKUP(A97,Table41[#All],26,FALSE)</f>
        <v>0.18033333333333323</v>
      </c>
      <c r="M97" s="84">
        <f ca="1">VLOOKUP(A97,Table41[#All],27,FALSE)</f>
        <v>1.1714285714285566E-2</v>
      </c>
      <c r="N97" s="235">
        <f>HLOOKUP(Table44[[#This Row],[Theme]],Table46[#All],2,FALSE)</f>
        <v>45567</v>
      </c>
      <c r="O97" s="208" t="str">
        <f>VLOOKUP(A97,Table41[#All],22,FALSE)</f>
        <v>Energy</v>
      </c>
      <c r="P97" s="209" t="str">
        <f ca="1">VLOOKUP(A97,Table41[#All],25,FALSE)</f>
        <v>🔻</v>
      </c>
    </row>
    <row r="98" spans="1:16" ht="19">
      <c r="A98" t="e" vm="159">
        <v>#VALUE!</v>
      </c>
      <c r="B98" s="5" t="str">
        <f ca="1">VLOOKUP(A98,Table41[#All],2,FALSE)</f>
        <v>BABA</v>
      </c>
      <c r="C98" s="185" t="str">
        <f ca="1">VLOOKUP(A98,Table41[#All],20,FALSE)</f>
        <v>Stock</v>
      </c>
      <c r="D98" s="213" cm="1">
        <f t="array" aca="1" ref="D98" ca="1">_FV(A98,"52 week low",TRUE)</f>
        <v>94.974199999999996</v>
      </c>
      <c r="E98" s="204">
        <f ca="1">(Table44[[#This Row],[Current Price]]-Table44[[#This Row],[52 week low]])/Table44[[#This Row],[52 week low]]</f>
        <v>0.36500228483103825</v>
      </c>
      <c r="F98" s="36">
        <f ca="1">VLOOKUP(A98,Table41[#All],15,FALSE)</f>
        <v>129.63999999999999</v>
      </c>
      <c r="G98" s="36">
        <f ca="1">(Table44[[#This Row],[52 week high]]-Table44[[#This Row],[Current Price]])/Table44[[#This Row],[Current Price]]</f>
        <v>0.48619253316877514</v>
      </c>
      <c r="H98" s="4" cm="1">
        <f t="array" aca="1" ref="H98" ca="1">_FV(A98,"52 week high",TRUE)</f>
        <v>192.67</v>
      </c>
      <c r="I98" t="b">
        <f ca="1">VLOOKUP(A98,Table41[#All],17,FALSE)</f>
        <v>0</v>
      </c>
      <c r="J98" s="147" t="b">
        <f ca="1">VLOOKUP(A98,Table41[#All],18,FALSE)</f>
        <v>1</v>
      </c>
      <c r="K98" s="214">
        <f>VLOOKUP(A98,Table41[#All],21,FALSE)</f>
        <v>45610</v>
      </c>
      <c r="L98" s="199">
        <f ca="1">VLOOKUP(A98,Table41[#All],26,FALSE)</f>
        <v>0.25864077669902907</v>
      </c>
      <c r="M98" s="84">
        <f ca="1">VLOOKUP(A98,Table41[#All],27,FALSE)</f>
        <v>8.0333333333333146E-2</v>
      </c>
      <c r="N98" s="235">
        <f>HLOOKUP(Table44[[#This Row],[Theme]],Table46[#All],2,FALSE)</f>
        <v>45575</v>
      </c>
      <c r="O98" s="208" t="str">
        <f>VLOOKUP(A98,Table41[#All],22,FALSE)</f>
        <v>China</v>
      </c>
      <c r="P98" s="209" t="str">
        <f ca="1">VLOOKUP(A98,Table41[#All],25,FALSE)</f>
        <v>🔻</v>
      </c>
    </row>
    <row r="99" spans="1:16" ht="19">
      <c r="A99" t="e" vm="160">
        <v>#VALUE!</v>
      </c>
      <c r="B99" s="5" t="str">
        <f ca="1">VLOOKUP(A99,Table41[#All],2,FALSE)</f>
        <v>VST</v>
      </c>
      <c r="C99" s="185" t="str">
        <f ca="1">VLOOKUP(A99,Table41[#All],20,FALSE)</f>
        <v>Stock</v>
      </c>
      <c r="D99" s="213" cm="1">
        <f t="array" aca="1" ref="D99" ca="1">_FV(A99,"52 week low",TRUE)</f>
        <v>90.51</v>
      </c>
      <c r="E99" s="204">
        <f ca="1">(Table44[[#This Row],[Current Price]]-Table44[[#This Row],[52 week low]])/Table44[[#This Row],[52 week low]]</f>
        <v>0.70776709755828071</v>
      </c>
      <c r="F99" s="36">
        <f ca="1">VLOOKUP(A99,Table41[#All],15,FALSE)</f>
        <v>154.57</v>
      </c>
      <c r="G99" s="36">
        <f ca="1">(Table44[[#This Row],[52 week high]]-Table44[[#This Row],[Current Price]])/Table44[[#This Row],[Current Price]]</f>
        <v>0.42213883677298314</v>
      </c>
      <c r="H99" s="4" cm="1">
        <f t="array" aca="1" ref="H99" ca="1">_FV(A99,"52 week high",TRUE)</f>
        <v>219.82</v>
      </c>
      <c r="I99" t="b">
        <f ca="1">VLOOKUP(A99,Table41[#All],17,FALSE)</f>
        <v>0</v>
      </c>
      <c r="J99" s="147" t="b">
        <f ca="1">VLOOKUP(A99,Table41[#All],18,FALSE)</f>
        <v>1</v>
      </c>
      <c r="K99" s="214">
        <f>VLOOKUP(A99,Table41[#All],21,FALSE)</f>
        <v>45601</v>
      </c>
      <c r="L99" s="199">
        <f ca="1">VLOOKUP(A99,Table41[#All],26,FALSE)</f>
        <v>0.34408695652173904</v>
      </c>
      <c r="M99" s="84">
        <f ca="1">VLOOKUP(A99,Table41[#All],27,FALSE)</f>
        <v>6.6000000000000059E-2</v>
      </c>
      <c r="N99" s="235">
        <f>HLOOKUP(Table44[[#This Row],[Theme]],Table46[#All],2,FALSE)</f>
        <v>45575</v>
      </c>
      <c r="O99" s="208" t="str">
        <f>VLOOKUP(A99,Table41[#All],22,FALSE)</f>
        <v>Utilities</v>
      </c>
      <c r="P99" s="209" t="str">
        <f ca="1">VLOOKUP(A99,Table41[#All],25,FALSE)</f>
        <v>🔻</v>
      </c>
    </row>
    <row r="100" spans="1:16" ht="19">
      <c r="A100" t="e" vm="161">
        <v>#VALUE!</v>
      </c>
      <c r="B100" s="5" t="str">
        <f ca="1">VLOOKUP(A100,Table41[#All],2,FALSE)</f>
        <v>FXI</v>
      </c>
      <c r="C100" s="185" t="str">
        <f ca="1">VLOOKUP(A100,Table41[#All],20,FALSE)</f>
        <v>ETF</v>
      </c>
      <c r="D100" s="213" cm="1">
        <f t="array" aca="1" ref="D100" ca="1">_FV(A100,"52 week low",TRUE)</f>
        <v>29.204999999999998</v>
      </c>
      <c r="E100" s="204">
        <f ca="1">(Table44[[#This Row],[Current Price]]-Table44[[#This Row],[52 week low]])/Table44[[#This Row],[52 week low]]</f>
        <v>0.23437425098442058</v>
      </c>
      <c r="F100" s="36">
        <f ca="1">VLOOKUP(A100,Table41[#All],15,FALSE)</f>
        <v>36.049900000000001</v>
      </c>
      <c r="G100" s="36">
        <f ca="1">(Table44[[#This Row],[52 week high]]-Table44[[#This Row],[Current Price]])/Table44[[#This Row],[Current Price]]</f>
        <v>0.16505177545568778</v>
      </c>
      <c r="H100" s="4" cm="1">
        <f t="array" aca="1" ref="H100" ca="1">_FV(A100,"52 week high",TRUE)</f>
        <v>42</v>
      </c>
      <c r="I100" t="b">
        <f ca="1">VLOOKUP(A100,Table41[#All],17,FALSE)</f>
        <v>0</v>
      </c>
      <c r="J100" s="147" t="b">
        <f ca="1">VLOOKUP(A100,Table41[#All],18,FALSE)</f>
        <v>0</v>
      </c>
      <c r="K100" s="214">
        <f>VLOOKUP(A100,Table41[#All],21,FALSE)</f>
        <v>0</v>
      </c>
      <c r="L100" s="199">
        <f ca="1">VLOOKUP(A100,Table41[#All],26,FALSE)</f>
        <v>0.20166333333333331</v>
      </c>
      <c r="M100" s="84">
        <f ca="1">VLOOKUP(A100,Table41[#All],27,FALSE)</f>
        <v>-2.5678378378378386E-2</v>
      </c>
      <c r="N100" s="235">
        <f>HLOOKUP(Table44[[#This Row],[Theme]],Table46[#All],2,FALSE)</f>
        <v>45575</v>
      </c>
      <c r="O100" s="208" t="str">
        <f>VLOOKUP(A100,Table41[#All],22,FALSE)</f>
        <v>China</v>
      </c>
      <c r="P100" s="209" t="str">
        <f ca="1">VLOOKUP(A100,Table41[#All],25,FALSE)</f>
        <v/>
      </c>
    </row>
    <row r="101" spans="1:16" ht="19">
      <c r="A101" t="e" vm="92">
        <v>#VALUE!</v>
      </c>
      <c r="B101" s="5" t="str">
        <f ca="1">VLOOKUP(A101,Table41[#All],2,FALSE)</f>
        <v>NEM</v>
      </c>
      <c r="C101" s="185" t="str">
        <f ca="1">VLOOKUP(A101,Table41[#All],20,FALSE)</f>
        <v>Stock</v>
      </c>
      <c r="D101" s="213" cm="1">
        <f t="array" aca="1" ref="D101" ca="1">_FV(A101,"52 week low",TRUE)</f>
        <v>42.933</v>
      </c>
      <c r="E101" s="204">
        <f ca="1">(Table44[[#This Row],[Current Price]]-Table44[[#This Row],[52 week low]])/Table44[[#This Row],[52 week low]]</f>
        <v>1.392215778072811</v>
      </c>
      <c r="F101" s="36">
        <f ca="1">VLOOKUP(A101,Table41[#All],15,FALSE)</f>
        <v>102.705</v>
      </c>
      <c r="G101" s="36">
        <f ca="1">(Table44[[#This Row],[52 week high]]-Table44[[#This Row],[Current Price]])/Table44[[#This Row],[Current Price]]</f>
        <v>0.31327588724989042</v>
      </c>
      <c r="H101" s="4" cm="1">
        <f t="array" aca="1" ref="H101" ca="1">_FV(A101,"52 week high",TRUE)</f>
        <v>134.88</v>
      </c>
      <c r="I101" t="b">
        <f ca="1">VLOOKUP(A101,Table41[#All],17,FALSE)</f>
        <v>0</v>
      </c>
      <c r="J101" s="147" t="b">
        <f ca="1">VLOOKUP(A101,Table41[#All],18,FALSE)</f>
        <v>1</v>
      </c>
      <c r="K101" s="214">
        <f>VLOOKUP(A101,Table41[#All],21,FALSE)</f>
        <v>45595</v>
      </c>
      <c r="L101" s="199">
        <f ca="1">VLOOKUP(A101,Table41[#All],26,FALSE)</f>
        <v>1.2823333333333333</v>
      </c>
      <c r="M101" s="84">
        <f ca="1">VLOOKUP(A101,Table41[#All],27,FALSE)</f>
        <v>0.86736363636363634</v>
      </c>
      <c r="N101" s="235">
        <f>HLOOKUP(Table44[[#This Row],[Theme]],Table46[#All],2,FALSE)</f>
        <v>45567</v>
      </c>
      <c r="O101" s="208" t="str">
        <f>VLOOKUP(A101,Table41[#All],22,FALSE)</f>
        <v>Gold and Silver</v>
      </c>
      <c r="P101" s="209" t="str">
        <f ca="1">VLOOKUP(A101,Table41[#All],25,FALSE)</f>
        <v>🔻</v>
      </c>
    </row>
    <row r="102" spans="1:16" ht="19">
      <c r="A102" t="e" vm="162">
        <v>#VALUE!</v>
      </c>
      <c r="B102" s="5" t="str">
        <f ca="1">VLOOKUP(A102,Table41[#All],2,FALSE)</f>
        <v>APA</v>
      </c>
      <c r="C102" s="185" t="str">
        <f ca="1">VLOOKUP(A102,Table41[#All],20,FALSE)</f>
        <v>Stock</v>
      </c>
      <c r="D102" s="213" cm="1">
        <f t="array" aca="1" ref="D102" ca="1">_FV(A102,"52 week low",TRUE)</f>
        <v>13.584</v>
      </c>
      <c r="E102" s="204">
        <f ca="1">(Table44[[#This Row],[Current Price]]-Table44[[#This Row],[52 week low]])/Table44[[#This Row],[52 week low]]</f>
        <v>2.0138398115429919</v>
      </c>
      <c r="F102" s="36">
        <f ca="1">VLOOKUP(A102,Table41[#All],15,FALSE)</f>
        <v>40.94</v>
      </c>
      <c r="G102" s="36">
        <f ca="1">(Table44[[#This Row],[52 week high]]-Table44[[#This Row],[Current Price]])/Table44[[#This Row],[Current Price]]</f>
        <v>1.2457254518808138E-2</v>
      </c>
      <c r="H102" s="4" cm="1">
        <f t="array" aca="1" ref="H102" ca="1">_FV(A102,"52 week high",TRUE)</f>
        <v>41.45</v>
      </c>
      <c r="I102" t="b">
        <f ca="1">VLOOKUP(A102,Table41[#All],17,FALSE)</f>
        <v>0</v>
      </c>
      <c r="J102" s="147" t="b">
        <f ca="1">VLOOKUP(A102,Table41[#All],18,FALSE)</f>
        <v>1</v>
      </c>
      <c r="K102" s="214">
        <f>VLOOKUP(A102,Table41[#All],21,FALSE)</f>
        <v>45595</v>
      </c>
      <c r="L102" s="199">
        <f ca="1">VLOOKUP(A102,Table41[#All],26,FALSE)</f>
        <v>0.81955555555555537</v>
      </c>
      <c r="M102" s="84">
        <f ca="1">VLOOKUP(A102,Table41[#All],27,FALSE)</f>
        <v>0.48872727272727268</v>
      </c>
      <c r="N102" s="235">
        <f>HLOOKUP(Table44[[#This Row],[Theme]],Table46[#All],2,FALSE)</f>
        <v>45567</v>
      </c>
      <c r="O102" s="208" t="str">
        <f>VLOOKUP(A102,Table41[#All],22,FALSE)</f>
        <v>Energy</v>
      </c>
      <c r="P102" s="209" t="str">
        <f ca="1">VLOOKUP(A102,Table41[#All],25,FALSE)</f>
        <v>🔻</v>
      </c>
    </row>
    <row r="103" spans="1:16" ht="19">
      <c r="A103" t="e" vm="163">
        <v>#VALUE!</v>
      </c>
      <c r="B103" s="5" t="str">
        <f ca="1">VLOOKUP(A103,Table41[#All],2,FALSE)</f>
        <v>LLY</v>
      </c>
      <c r="C103" s="185" t="str">
        <f ca="1">VLOOKUP(A103,Table41[#All],20,FALSE)</f>
        <v>Stock</v>
      </c>
      <c r="D103" s="213" cm="1">
        <f t="array" aca="1" ref="D103" ca="1">_FV(A103,"52 week low",TRUE)</f>
        <v>623.78</v>
      </c>
      <c r="E103" s="204">
        <f ca="1">(Table44[[#This Row],[Current Price]]-Table44[[#This Row],[52 week low]])/Table44[[#This Row],[52 week low]]</f>
        <v>0.46017025233255326</v>
      </c>
      <c r="F103" s="36">
        <f ca="1">VLOOKUP(A103,Table41[#All],15,FALSE)</f>
        <v>910.82500000000005</v>
      </c>
      <c r="G103" s="36">
        <f ca="1">(Table44[[#This Row],[52 week high]]-Table44[[#This Row],[Current Price]])/Table44[[#This Row],[Current Price]]</f>
        <v>0.24497021930667251</v>
      </c>
      <c r="H103" s="4" cm="1">
        <f t="array" aca="1" ref="H103" ca="1">_FV(A103,"52 week high",TRUE)</f>
        <v>1133.95</v>
      </c>
      <c r="I103" t="b">
        <f ca="1">VLOOKUP(A103,Table41[#All],17,FALSE)</f>
        <v>0</v>
      </c>
      <c r="J103" s="147" t="b">
        <f ca="1">VLOOKUP(A103,Table41[#All],18,FALSE)</f>
        <v>1</v>
      </c>
      <c r="K103" s="214">
        <f>VLOOKUP(A103,Table41[#All],21,FALSE)</f>
        <v>45595</v>
      </c>
      <c r="L103" s="199">
        <f ca="1">VLOOKUP(A103,Table41[#All],26,FALSE)</f>
        <v>0.13853124999999999</v>
      </c>
      <c r="M103" s="84">
        <f ca="1">VLOOKUP(A103,Table41[#All],27,FALSE)</f>
        <v>1.2027777777777748E-2</v>
      </c>
      <c r="N103" s="235">
        <f>HLOOKUP(Table44[[#This Row],[Theme]],Table46[#All],2,FALSE)</f>
        <v>45567</v>
      </c>
      <c r="O103" s="208" t="str">
        <f>VLOOKUP(A103,Table41[#All],22,FALSE)</f>
        <v>Health Care</v>
      </c>
      <c r="P103" s="209" t="str">
        <f ca="1">VLOOKUP(A103,Table41[#All],25,FALSE)</f>
        <v>🔻</v>
      </c>
    </row>
    <row r="104" spans="1:16" ht="19">
      <c r="A104" t="e" vm="164">
        <v>#VALUE!</v>
      </c>
      <c r="B104" s="5" t="str">
        <f ca="1">VLOOKUP(A104,Table41[#All],2,FALSE)</f>
        <v>KLAC</v>
      </c>
      <c r="C104" s="185" t="str">
        <f ca="1">VLOOKUP(A104,Table41[#All],20,FALSE)</f>
        <v>Stock</v>
      </c>
      <c r="D104" s="213" cm="1">
        <f t="array" aca="1" ref="D104" ca="1">_FV(A104,"52 week low",TRUE)</f>
        <v>551.33000000000004</v>
      </c>
      <c r="E104" s="204">
        <f ca="1">(Table44[[#This Row],[Current Price]]-Table44[[#This Row],[52 week low]])/Table44[[#This Row],[52 week low]]</f>
        <v>1.8324596883898931</v>
      </c>
      <c r="F104" s="36">
        <f ca="1">VLOOKUP(A104,Table41[#All],15,FALSE)</f>
        <v>1561.62</v>
      </c>
      <c r="G104" s="36">
        <f ca="1">(Table44[[#This Row],[52 week high]]-Table44[[#This Row],[Current Price]])/Table44[[#This Row],[Current Price]]</f>
        <v>8.4354708571867693E-2</v>
      </c>
      <c r="H104" s="4" cm="1">
        <f t="array" aca="1" ref="H104" ca="1">_FV(A104,"52 week high",TRUE)</f>
        <v>1693.35</v>
      </c>
      <c r="I104" t="b">
        <f ca="1">VLOOKUP(A104,Table41[#All],17,FALSE)</f>
        <v>0</v>
      </c>
      <c r="J104" s="147" t="b">
        <f ca="1">VLOOKUP(A104,Table41[#All],18,FALSE)</f>
        <v>1</v>
      </c>
      <c r="K104" s="214">
        <f>VLOOKUP(A104,Table41[#All],21,FALSE)</f>
        <v>0</v>
      </c>
      <c r="L104" s="199">
        <f>VLOOKUP(A104,Table41[#All],26,FALSE)</f>
        <v>0</v>
      </c>
      <c r="M104" s="84">
        <f ca="1">VLOOKUP(A104,Table41[#All],27,FALSE)</f>
        <v>0.90441463414634127</v>
      </c>
      <c r="N104" s="235">
        <f>HLOOKUP(Table44[[#This Row],[Theme]],Table46[#All],2,FALSE)</f>
        <v>45580</v>
      </c>
      <c r="O104" s="208" t="str">
        <f>VLOOKUP(A104,Table41[#All],22,FALSE)</f>
        <v>Semiconductor</v>
      </c>
      <c r="P104" s="209" t="str">
        <f ca="1">VLOOKUP(A104,Table41[#All],25,FALSE)</f>
        <v>🔻</v>
      </c>
    </row>
    <row r="105" spans="1:16" ht="19">
      <c r="A105" t="e" vm="165">
        <v>#VALUE!</v>
      </c>
      <c r="B105" s="5" t="str">
        <f ca="1">VLOOKUP(A105,Table41[#All],2,FALSE)</f>
        <v>NET</v>
      </c>
      <c r="C105" s="185" t="str">
        <f ca="1">VLOOKUP(A105,Table41[#All],20,FALSE)</f>
        <v>Stock</v>
      </c>
      <c r="D105" s="213" cm="1">
        <f t="array" aca="1" ref="D105" ca="1">_FV(A105,"52 week low",TRUE)</f>
        <v>89.42</v>
      </c>
      <c r="E105" s="204">
        <f ca="1">(Table44[[#This Row],[Current Price]]-Table44[[#This Row],[52 week low]])/Table44[[#This Row],[52 week low]]</f>
        <v>1.5031312905390295</v>
      </c>
      <c r="F105" s="36">
        <f ca="1">VLOOKUP(A105,Table41[#All],15,FALSE)</f>
        <v>223.83</v>
      </c>
      <c r="G105" s="36">
        <f ca="1">(Table44[[#This Row],[52 week high]]-Table44[[#This Row],[Current Price]])/Table44[[#This Row],[Current Price]]</f>
        <v>0.16159585399633644</v>
      </c>
      <c r="H105" s="4" cm="1">
        <f t="array" aca="1" ref="H105" ca="1">_FV(A105,"52 week high",TRUE)</f>
        <v>260</v>
      </c>
      <c r="I105" t="b">
        <f ca="1">VLOOKUP(A105,Table41[#All],17,FALSE)</f>
        <v>0</v>
      </c>
      <c r="J105" s="147" t="b">
        <f ca="1">VLOOKUP(A105,Table41[#All],18,FALSE)</f>
        <v>1</v>
      </c>
      <c r="K105" s="214">
        <f>VLOOKUP(A105,Table41[#All],21,FALSE)</f>
        <v>45603</v>
      </c>
      <c r="L105" s="199">
        <f ca="1">VLOOKUP(A105,Table41[#All],26,FALSE)</f>
        <v>2.7305000000000001</v>
      </c>
      <c r="M105" s="84">
        <f ca="1">VLOOKUP(A105,Table41[#All],27,FALSE)</f>
        <v>1.3561052631578949</v>
      </c>
      <c r="N105" s="235">
        <f>HLOOKUP(Table44[[#This Row],[Theme]],Table46[#All],2,FALSE)</f>
        <v>45594</v>
      </c>
      <c r="O105" s="208" t="str">
        <f>VLOOKUP(A105,Table41[#All],22,FALSE)</f>
        <v>Technology</v>
      </c>
      <c r="P105" s="209" t="str">
        <f ca="1">VLOOKUP(A105,Table41[#All],25,FALSE)</f>
        <v>🔻</v>
      </c>
    </row>
    <row r="106" spans="1:16" ht="19">
      <c r="A106" t="e" vm="166">
        <v>#VALUE!</v>
      </c>
      <c r="B106" s="5" t="str">
        <f ca="1">VLOOKUP(A106,Table41[#All],2,FALSE)</f>
        <v>RIVN</v>
      </c>
      <c r="C106" s="185" t="str">
        <f ca="1">VLOOKUP(A106,Table41[#All],20,FALSE)</f>
        <v>Stock</v>
      </c>
      <c r="D106" s="213" cm="1">
        <f t="array" aca="1" ref="D106" ca="1">_FV(A106,"52 week low",TRUE)</f>
        <v>10.36</v>
      </c>
      <c r="E106" s="204">
        <f ca="1">(Table44[[#This Row],[Current Price]]-Table44[[#This Row],[52 week low]])/Table44[[#This Row],[52 week low]]</f>
        <v>0.55260617760617781</v>
      </c>
      <c r="F106" s="36">
        <f ca="1">VLOOKUP(A106,Table41[#All],15,FALSE)</f>
        <v>16.085000000000001</v>
      </c>
      <c r="G106" s="36">
        <f ca="1">(Table44[[#This Row],[52 week high]]-Table44[[#This Row],[Current Price]])/Table44[[#This Row],[Current Price]]</f>
        <v>0.41063102269194901</v>
      </c>
      <c r="H106" s="4" cm="1">
        <f t="array" aca="1" ref="H106" ca="1">_FV(A106,"52 week high",TRUE)</f>
        <v>22.69</v>
      </c>
      <c r="I106" t="b">
        <f ca="1">VLOOKUP(A106,Table41[#All],17,FALSE)</f>
        <v>0</v>
      </c>
      <c r="J106" s="147" t="b">
        <f ca="1">VLOOKUP(A106,Table41[#All],18,FALSE)</f>
        <v>1</v>
      </c>
      <c r="K106" s="214">
        <f>VLOOKUP(A106,Table41[#All],21,FALSE)</f>
        <v>45603</v>
      </c>
      <c r="L106" s="199">
        <f>VLOOKUP(A106,Table41[#All],26,FALSE)</f>
        <v>0</v>
      </c>
      <c r="M106" s="84">
        <f ca="1">VLOOKUP(A106,Table41[#All],27,FALSE)</f>
        <v>0.28680000000000017</v>
      </c>
      <c r="N106" s="235">
        <f>HLOOKUP(Table44[[#This Row],[Theme]],Table46[#All],2,FALSE)</f>
        <v>45575</v>
      </c>
      <c r="O106" s="208" t="str">
        <f>VLOOKUP(A106,Table41[#All],22,FALSE)</f>
        <v>Auto</v>
      </c>
      <c r="P106" s="209" t="str">
        <f ca="1">VLOOKUP(A106,Table41[#All],25,FALSE)</f>
        <v>🔻</v>
      </c>
    </row>
    <row r="107" spans="1:16" ht="19">
      <c r="A107" t="e" vm="56">
        <v>#VALUE!</v>
      </c>
      <c r="B107" s="5" t="str">
        <f ca="1">VLOOKUP(A107,Table41[#All],2,FALSE)</f>
        <v>PBF</v>
      </c>
      <c r="C107" s="185" t="str">
        <f ca="1">VLOOKUP(A107,Table41[#All],20,FALSE)</f>
        <v>Stock</v>
      </c>
      <c r="D107" s="213" cm="1">
        <f t="array" aca="1" ref="D107" ca="1">_FV(A107,"52 week low",TRUE)</f>
        <v>13.615</v>
      </c>
      <c r="E107" s="204">
        <f ca="1">(Table44[[#This Row],[Current Price]]-Table44[[#This Row],[52 week low]])/Table44[[#This Row],[52 week low]]</f>
        <v>2.6228424531766432</v>
      </c>
      <c r="F107" s="36">
        <f ca="1">VLOOKUP(A107,Table41[#All],15,FALSE)</f>
        <v>49.325000000000003</v>
      </c>
      <c r="G107" s="36">
        <f ca="1">(Table44[[#This Row],[52 week high]]-Table44[[#This Row],[Current Price]])/Table44[[#This Row],[Current Price]]</f>
        <v>2.665990876837299E-2</v>
      </c>
      <c r="H107" s="4" cm="1">
        <f t="array" aca="1" ref="H107" ca="1">_FV(A107,"52 week high",TRUE)</f>
        <v>50.64</v>
      </c>
      <c r="I107" t="b">
        <f ca="1">VLOOKUP(A107,Table41[#All],17,FALSE)</f>
        <v>0</v>
      </c>
      <c r="J107" s="147" t="b">
        <f ca="1">VLOOKUP(A107,Table41[#All],18,FALSE)</f>
        <v>1</v>
      </c>
      <c r="K107" s="214">
        <f>VLOOKUP(A107,Table41[#All],21,FALSE)</f>
        <v>45596</v>
      </c>
      <c r="L107" s="199">
        <f ca="1">VLOOKUP(A107,Table41[#All],26,FALSE)</f>
        <v>0.64416666666666678</v>
      </c>
      <c r="M107" s="84">
        <f ca="1">VLOOKUP(A107,Table41[#All],27,FALSE)</f>
        <v>0.40928571428571447</v>
      </c>
      <c r="N107" s="235">
        <f>HLOOKUP(Table44[[#This Row],[Theme]],Table46[#All],2,FALSE)</f>
        <v>45567</v>
      </c>
      <c r="O107" s="208" t="str">
        <f>VLOOKUP(A107,Table41[#All],22,FALSE)</f>
        <v>Energy</v>
      </c>
      <c r="P107" s="209" t="str">
        <f ca="1">VLOOKUP(A107,Table41[#All],25,FALSE)</f>
        <v>🔻</v>
      </c>
    </row>
    <row r="108" spans="1:16" ht="19">
      <c r="A108" t="e" vm="167">
        <v>#VALUE!</v>
      </c>
      <c r="B108" s="5" t="str">
        <f ca="1">VLOOKUP(A108,Table41[#All],2,FALSE)</f>
        <v>INFY</v>
      </c>
      <c r="C108" s="185" t="str">
        <f ca="1">VLOOKUP(A108,Table41[#All],20,FALSE)</f>
        <v>Stock</v>
      </c>
      <c r="D108" s="213" cm="1">
        <f t="array" aca="1" ref="D108" ca="1">_FV(A108,"52 week low",TRUE)</f>
        <v>12.57</v>
      </c>
      <c r="E108" s="204">
        <f ca="1">(Table44[[#This Row],[Current Price]]-Table44[[#This Row],[52 week low]])/Table44[[#This Row],[52 week low]]</f>
        <v>5.0119331742243353E-2</v>
      </c>
      <c r="F108" s="36">
        <f ca="1">VLOOKUP(A108,Table41[#All],15,FALSE)</f>
        <v>13.2</v>
      </c>
      <c r="G108" s="36">
        <f ca="1">(Table44[[#This Row],[52 week high]]-Table44[[#This Row],[Current Price]])/Table44[[#This Row],[Current Price]]</f>
        <v>1.2727272727272729</v>
      </c>
      <c r="H108" s="4" cm="1">
        <f t="array" aca="1" ref="H108" ca="1">_FV(A108,"52 week high",TRUE)</f>
        <v>30</v>
      </c>
      <c r="I108" t="b">
        <f ca="1">VLOOKUP(A108,Table41[#All],17,FALSE)</f>
        <v>1</v>
      </c>
      <c r="J108" s="147" t="b">
        <f ca="1">VLOOKUP(A108,Table41[#All],18,FALSE)</f>
        <v>0</v>
      </c>
      <c r="K108" s="214">
        <f>VLOOKUP(A108,Table41[#All],21,FALSE)</f>
        <v>45582</v>
      </c>
      <c r="L108" s="199">
        <f ca="1">VLOOKUP(A108,Table41[#All],26,FALSE)</f>
        <v>-0.3052631578947369</v>
      </c>
      <c r="M108" s="84">
        <f ca="1">VLOOKUP(A108,Table41[#All],27,FALSE)</f>
        <v>-0.4</v>
      </c>
      <c r="N108" s="235">
        <f>HLOOKUP(Table44[[#This Row],[Theme]],Table46[#All],2,FALSE)</f>
        <v>45594</v>
      </c>
      <c r="O108" s="208" t="str">
        <f>VLOOKUP(A108,Table41[#All],22,FALSE)</f>
        <v>Technology</v>
      </c>
      <c r="P108" s="209" t="str">
        <f ca="1">VLOOKUP(A108,Table41[#All],25,FALSE)</f>
        <v>✅</v>
      </c>
    </row>
    <row r="109" spans="1:16" ht="19">
      <c r="A109" t="e" vm="168">
        <v>#VALUE!</v>
      </c>
      <c r="B109" s="5" t="str">
        <f ca="1">VLOOKUP(A109,Table41[#All],2,FALSE)</f>
        <v>PDD</v>
      </c>
      <c r="C109" s="185" t="str">
        <f ca="1">VLOOKUP(A109,Table41[#All],20,FALSE)</f>
        <v>Stock</v>
      </c>
      <c r="D109" s="213" cm="1">
        <f t="array" aca="1" ref="D109" ca="1">_FV(A109,"52 week low",TRUE)</f>
        <v>87.11</v>
      </c>
      <c r="E109" s="204">
        <f ca="1">(Table44[[#This Row],[Current Price]]-Table44[[#This Row],[52 week low]])/Table44[[#This Row],[52 week low]]</f>
        <v>0.21937779818620134</v>
      </c>
      <c r="F109" s="36">
        <f ca="1">VLOOKUP(A109,Table41[#All],15,FALSE)</f>
        <v>106.22</v>
      </c>
      <c r="G109" s="36">
        <f ca="1">(Table44[[#This Row],[52 week high]]-Table44[[#This Row],[Current Price]])/Table44[[#This Row],[Current Price]]</f>
        <v>0.31246469591414044</v>
      </c>
      <c r="H109" s="4" cm="1">
        <f t="array" aca="1" ref="H109" ca="1">_FV(A109,"52 week high",TRUE)</f>
        <v>139.41</v>
      </c>
      <c r="I109" t="b">
        <f ca="1">VLOOKUP(A109,Table41[#All],17,FALSE)</f>
        <v>1</v>
      </c>
      <c r="J109" s="147" t="b">
        <f ca="1">VLOOKUP(A109,Table41[#All],18,FALSE)</f>
        <v>0</v>
      </c>
      <c r="K109" s="214">
        <f>VLOOKUP(A109,Table41[#All],21,FALSE)</f>
        <v>45617</v>
      </c>
      <c r="L109" s="199">
        <f ca="1">VLOOKUP(A109,Table41[#All],26,FALSE)</f>
        <v>-0.26744827586206898</v>
      </c>
      <c r="M109" s="84">
        <f ca="1">VLOOKUP(A109,Table41[#All],27,FALSE)</f>
        <v>-0.29186666666666672</v>
      </c>
      <c r="N109" s="235">
        <f>HLOOKUP(Table44[[#This Row],[Theme]],Table46[#All],2,FALSE)</f>
        <v>45575</v>
      </c>
      <c r="O109" s="208" t="str">
        <f>VLOOKUP(A109,Table41[#All],22,FALSE)</f>
        <v>China</v>
      </c>
      <c r="P109" s="209" t="str">
        <f ca="1">VLOOKUP(A109,Table41[#All],25,FALSE)</f>
        <v>✅</v>
      </c>
    </row>
    <row r="110" spans="1:16" ht="19">
      <c r="A110" t="e" vm="169">
        <v>#VALUE!</v>
      </c>
      <c r="B110" s="5" t="str">
        <f ca="1">VLOOKUP(A110,Table41[#All],2,FALSE)</f>
        <v>CVS</v>
      </c>
      <c r="C110" s="185" t="str">
        <f ca="1">VLOOKUP(A110,Table41[#All],20,FALSE)</f>
        <v>Stock</v>
      </c>
      <c r="D110" s="213" cm="1">
        <f t="array" aca="1" ref="D110" ca="1">_FV(A110,"52 week low",TRUE)</f>
        <v>58.35</v>
      </c>
      <c r="E110" s="204">
        <f ca="1">(Table44[[#This Row],[Current Price]]-Table44[[#This Row],[52 week low]])/Table44[[#This Row],[52 week low]]</f>
        <v>0.23487574978577558</v>
      </c>
      <c r="F110" s="36">
        <f ca="1">VLOOKUP(A110,Table41[#All],15,FALSE)</f>
        <v>72.055000000000007</v>
      </c>
      <c r="G110" s="36">
        <f ca="1">(Table44[[#This Row],[52 week high]]-Table44[[#This Row],[Current Price]])/Table44[[#This Row],[Current Price]]</f>
        <v>0.18173617375615847</v>
      </c>
      <c r="H110" s="4" cm="1">
        <f t="array" aca="1" ref="H110" ca="1">_FV(A110,"52 week high",TRUE)</f>
        <v>85.15</v>
      </c>
      <c r="I110" t="b">
        <f ca="1">VLOOKUP(A110,Table41[#All],17,FALSE)</f>
        <v>0</v>
      </c>
      <c r="J110" s="147" t="b">
        <f ca="1">VLOOKUP(A110,Table41[#All],18,FALSE)</f>
        <v>1</v>
      </c>
      <c r="K110" s="214">
        <f>VLOOKUP(A110,Table41[#All],21,FALSE)</f>
        <v>45602</v>
      </c>
      <c r="L110" s="199">
        <f ca="1">VLOOKUP(A110,Table41[#All],26,FALSE)</f>
        <v>0.44110000000000005</v>
      </c>
      <c r="M110" s="84">
        <f ca="1">VLOOKUP(A110,Table41[#All],27,FALSE)</f>
        <v>0.20091666666666685</v>
      </c>
      <c r="N110" s="235">
        <f>HLOOKUP(Table44[[#This Row],[Theme]],Table46[#All],2,FALSE)</f>
        <v>45567</v>
      </c>
      <c r="O110" s="208" t="str">
        <f>VLOOKUP(A110,Table41[#All],22,FALSE)</f>
        <v>Health Care</v>
      </c>
      <c r="P110" s="209" t="str">
        <f ca="1">VLOOKUP(A110,Table41[#All],25,FALSE)</f>
        <v>🔻</v>
      </c>
    </row>
    <row r="111" spans="1:16" ht="19">
      <c r="A111" t="e" vm="24">
        <v>#VALUE!</v>
      </c>
      <c r="B111" s="5" t="str">
        <f ca="1">VLOOKUP(A111,Table41[#All],2,FALSE)</f>
        <v>QCOM</v>
      </c>
      <c r="C111" s="185" t="str">
        <f ca="1">VLOOKUP(A111,Table41[#All],20,FALSE)</f>
        <v>Stock</v>
      </c>
      <c r="D111" s="213" cm="1">
        <f t="array" aca="1" ref="D111" ca="1">_FV(A111,"52 week low",TRUE)</f>
        <v>120.8019</v>
      </c>
      <c r="E111" s="204">
        <f ca="1">(Table44[[#This Row],[Current Price]]-Table44[[#This Row],[52 week low]])/Table44[[#This Row],[52 week low]]</f>
        <v>8.9676569656602978E-2</v>
      </c>
      <c r="F111" s="36">
        <f ca="1">VLOOKUP(A111,Table41[#All],15,FALSE)</f>
        <v>131.63499999999999</v>
      </c>
      <c r="G111" s="36">
        <f ca="1">(Table44[[#This Row],[52 week high]]-Table44[[#This Row],[Current Price]])/Table44[[#This Row],[Current Price]]</f>
        <v>0.56455350020891104</v>
      </c>
      <c r="H111" s="4" cm="1">
        <f t="array" aca="1" ref="H111" ca="1">_FV(A111,"52 week high",TRUE)</f>
        <v>205.95</v>
      </c>
      <c r="I111" t="b">
        <f ca="1">VLOOKUP(A111,Table41[#All],17,FALSE)</f>
        <v>1</v>
      </c>
      <c r="J111" s="147" t="b">
        <f ca="1">VLOOKUP(A111,Table41[#All],18,FALSE)</f>
        <v>0</v>
      </c>
      <c r="K111" s="214">
        <f>VLOOKUP(A111,Table41[#All],21,FALSE)</f>
        <v>45602</v>
      </c>
      <c r="L111" s="199">
        <f ca="1">VLOOKUP(A111,Table41[#All],26,FALSE)</f>
        <v>-0.17728125000000006</v>
      </c>
      <c r="M111" s="84">
        <f ca="1">VLOOKUP(A111,Table41[#All],27,FALSE)</f>
        <v>-0.26869444444444446</v>
      </c>
      <c r="N111" s="235">
        <f>HLOOKUP(Table44[[#This Row],[Theme]],Table46[#All],2,FALSE)</f>
        <v>45587</v>
      </c>
      <c r="O111" s="208" t="str">
        <f>VLOOKUP(A111,Table41[#All],22,FALSE)</f>
        <v>AI</v>
      </c>
      <c r="P111" s="209" t="str">
        <f ca="1">VLOOKUP(A111,Table41[#All],25,FALSE)</f>
        <v>✅</v>
      </c>
    </row>
    <row r="112" spans="1:16" ht="19">
      <c r="A112" t="e" vm="170">
        <v>#VALUE!</v>
      </c>
      <c r="B112" s="5" t="str">
        <f ca="1">VLOOKUP(A112,Table41[#All],2,FALSE)</f>
        <v>UEC</v>
      </c>
      <c r="C112" s="185" t="str">
        <f ca="1">VLOOKUP(A112,Table41[#All],20,FALSE)</f>
        <v>Stock</v>
      </c>
      <c r="D112" s="213" cm="1">
        <f t="array" aca="1" ref="D112" ca="1">_FV(A112,"52 week low",TRUE)</f>
        <v>3.85</v>
      </c>
      <c r="E112" s="204">
        <f ca="1">(Table44[[#This Row],[Current Price]]-Table44[[#This Row],[52 week low]])/Table44[[#This Row],[52 week low]]</f>
        <v>2.5610389610389612</v>
      </c>
      <c r="F112" s="36">
        <f ca="1">VLOOKUP(A112,Table41[#All],15,FALSE)</f>
        <v>13.71</v>
      </c>
      <c r="G112" s="36">
        <f ca="1">(Table44[[#This Row],[52 week high]]-Table44[[#This Row],[Current Price]])/Table44[[#This Row],[Current Price]]</f>
        <v>0.48358862144420123</v>
      </c>
      <c r="H112" s="4" cm="1">
        <f t="array" aca="1" ref="H112" ca="1">_FV(A112,"52 week high",TRUE)</f>
        <v>20.34</v>
      </c>
      <c r="I112" t="b">
        <f ca="1">VLOOKUP(A112,Table41[#All],17,FALSE)</f>
        <v>0</v>
      </c>
      <c r="J112" s="147" t="b">
        <f ca="1">VLOOKUP(A112,Table41[#All],18,FALSE)</f>
        <v>1</v>
      </c>
      <c r="K112" s="214">
        <f>VLOOKUP(A112,Table41[#All],21,FALSE)</f>
        <v>0</v>
      </c>
      <c r="L112" s="199">
        <f>VLOOKUP(A112,Table41[#All],26,FALSE)</f>
        <v>0</v>
      </c>
      <c r="M112" s="84">
        <f ca="1">VLOOKUP(A112,Table41[#All],27,FALSE)</f>
        <v>0.371</v>
      </c>
      <c r="N112" s="235">
        <f>HLOOKUP(Table44[[#This Row],[Theme]],Table46[#All],2,FALSE)</f>
        <v>45569</v>
      </c>
      <c r="O112" s="208" t="str">
        <f>VLOOKUP(A112,Table41[#All],22,FALSE)</f>
        <v>Nuclear</v>
      </c>
      <c r="P112" s="209" t="str">
        <f ca="1">VLOOKUP(A112,Table41[#All],25,FALSE)</f>
        <v>🔻</v>
      </c>
    </row>
    <row r="113" spans="1:16" ht="19">
      <c r="A113" t="e" vm="171">
        <v>#VALUE!</v>
      </c>
      <c r="B113" s="5" t="str">
        <f ca="1">VLOOKUP(A113,Table41[#All],2,FALSE)</f>
        <v>BIDU</v>
      </c>
      <c r="C113" s="185" t="str">
        <f ca="1">VLOOKUP(A113,Table41[#All],20,FALSE)</f>
        <v>Stock</v>
      </c>
      <c r="D113" s="213" cm="1">
        <f t="array" aca="1" ref="D113" ca="1">_FV(A113,"52 week low",TRUE)</f>
        <v>74.709999999999994</v>
      </c>
      <c r="E113" s="204">
        <f ca="1">(Table44[[#This Row],[Current Price]]-Table44[[#This Row],[52 week low]])/Table44[[#This Row],[52 week low]]</f>
        <v>0.54811939499397677</v>
      </c>
      <c r="F113" s="36">
        <f ca="1">VLOOKUP(A113,Table41[#All],15,FALSE)</f>
        <v>115.66</v>
      </c>
      <c r="G113" s="36">
        <f ca="1">(Table44[[#This Row],[52 week high]]-Table44[[#This Row],[Current Price]])/Table44[[#This Row],[Current Price]]</f>
        <v>0.4291890022479683</v>
      </c>
      <c r="H113" s="4" cm="1">
        <f t="array" aca="1" ref="H113" ca="1">_FV(A113,"52 week high",TRUE)</f>
        <v>165.3</v>
      </c>
      <c r="I113" t="b">
        <f ca="1">VLOOKUP(A113,Table41[#All],17,FALSE)</f>
        <v>0</v>
      </c>
      <c r="J113" s="147" t="b">
        <f ca="1">VLOOKUP(A113,Table41[#All],18,FALSE)</f>
        <v>0</v>
      </c>
      <c r="K113" s="214">
        <f>VLOOKUP(A113,Table41[#All],21,FALSE)</f>
        <v>45615</v>
      </c>
      <c r="L113" s="199">
        <f ca="1">VLOOKUP(A113,Table41[#All],26,FALSE)</f>
        <v>0.36070588235294121</v>
      </c>
      <c r="M113" s="84">
        <f ca="1">VLOOKUP(A113,Table41[#All],27,FALSE)</f>
        <v>-3.616666666666668E-2</v>
      </c>
      <c r="N113" s="235">
        <f>HLOOKUP(Table44[[#This Row],[Theme]],Table46[#All],2,FALSE)</f>
        <v>45575</v>
      </c>
      <c r="O113" s="208" t="str">
        <f>VLOOKUP(A113,Table41[#All],22,FALSE)</f>
        <v>China</v>
      </c>
      <c r="P113" s="209" t="str">
        <f ca="1">VLOOKUP(A113,Table41[#All],25,FALSE)</f>
        <v/>
      </c>
    </row>
    <row r="114" spans="1:16" ht="19">
      <c r="A114" t="e" vm="43">
        <v>#VALUE!</v>
      </c>
      <c r="B114" s="5" t="str">
        <f ca="1">VLOOKUP(A114,Table41[#All],2,FALSE)</f>
        <v>J</v>
      </c>
      <c r="C114" s="185" t="str">
        <f ca="1">VLOOKUP(A114,Table41[#All],20,FALSE)</f>
        <v>Stock</v>
      </c>
      <c r="D114" s="213" cm="1">
        <f t="array" aca="1" ref="D114" ca="1">_FV(A114,"52 week low",TRUE)</f>
        <v>105.14619999999999</v>
      </c>
      <c r="E114" s="204">
        <f ca="1">(Table44[[#This Row],[Current Price]]-Table44[[#This Row],[52 week low]])/Table44[[#This Row],[52 week low]]</f>
        <v>0.2316184512611964</v>
      </c>
      <c r="F114" s="36">
        <f ca="1">VLOOKUP(A114,Table41[#All],15,FALSE)</f>
        <v>129.5</v>
      </c>
      <c r="G114" s="36">
        <f ca="1">(Table44[[#This Row],[52 week high]]-Table44[[#This Row],[Current Price]])/Table44[[#This Row],[Current Price]]</f>
        <v>0.30069498069498068</v>
      </c>
      <c r="H114" s="4" cm="1">
        <f t="array" aca="1" ref="H114" ca="1">_FV(A114,"52 week high",TRUE)</f>
        <v>168.44</v>
      </c>
      <c r="I114" t="b">
        <f ca="1">VLOOKUP(A114,Table41[#All],17,FALSE)</f>
        <v>1</v>
      </c>
      <c r="J114" s="147" t="b">
        <f ca="1">VLOOKUP(A114,Table41[#All],18,FALSE)</f>
        <v>0</v>
      </c>
      <c r="K114" s="214">
        <f>VLOOKUP(A114,Table41[#All],21,FALSE)</f>
        <v>0</v>
      </c>
      <c r="L114" s="199">
        <f>VLOOKUP(A114,Table41[#All],26,FALSE)</f>
        <v>0</v>
      </c>
      <c r="M114" s="84">
        <f ca="1">VLOOKUP(A114,Table41[#All],27,FALSE)</f>
        <v>-0.30000000000000004</v>
      </c>
      <c r="N114" s="235">
        <f>HLOOKUP(Table44[[#This Row],[Theme]],Table46[#All],2,FALSE)</f>
        <v>45573</v>
      </c>
      <c r="O114" s="208" t="str">
        <f>VLOOKUP(A114,Table41[#All],22,FALSE)</f>
        <v>Industrials</v>
      </c>
      <c r="P114" s="209" t="str">
        <f ca="1">VLOOKUP(A114,Table41[#All],25,FALSE)</f>
        <v>✅</v>
      </c>
    </row>
    <row r="115" spans="1:16" ht="19">
      <c r="A115" t="e" vm="27">
        <v>#VALUE!</v>
      </c>
      <c r="B115" s="5" t="str">
        <f ca="1">VLOOKUP(A115,Table41[#All],2,FALSE)</f>
        <v>ASML</v>
      </c>
      <c r="C115" s="185" t="str">
        <f ca="1">VLOOKUP(A115,Table41[#All],20,FALSE)</f>
        <v>Stock</v>
      </c>
      <c r="D115" s="213" cm="1">
        <f t="array" aca="1" ref="D115" ca="1">_FV(A115,"52 week low",TRUE)</f>
        <v>578.51</v>
      </c>
      <c r="E115" s="204">
        <f ca="1">(Table44[[#This Row],[Current Price]]-Table44[[#This Row],[52 week low]])/Table44[[#This Row],[52 week low]]</f>
        <v>1.417918618519991</v>
      </c>
      <c r="F115" s="36">
        <f ca="1">VLOOKUP(A115,Table41[#All],15,FALSE)</f>
        <v>1398.7900999999999</v>
      </c>
      <c r="G115" s="36">
        <f ca="1">(Table44[[#This Row],[52 week high]]-Table44[[#This Row],[Current Price]])/Table44[[#This Row],[Current Price]]</f>
        <v>0.10611306156656392</v>
      </c>
      <c r="H115" s="4" cm="1">
        <f t="array" aca="1" ref="H115" ca="1">_FV(A115,"52 week high",TRUE)</f>
        <v>1547.22</v>
      </c>
      <c r="I115" t="b">
        <f ca="1">VLOOKUP(A115,Table41[#All],17,FALSE)</f>
        <v>0</v>
      </c>
      <c r="J115" s="147" t="b">
        <f ca="1">VLOOKUP(A115,Table41[#All],18,FALSE)</f>
        <v>1</v>
      </c>
      <c r="K115" s="214">
        <f>VLOOKUP(A115,Table41[#All],21,FALSE)</f>
        <v>0</v>
      </c>
      <c r="L115" s="199">
        <f>VLOOKUP(A115,Table41[#All],26,FALSE)</f>
        <v>0</v>
      </c>
      <c r="M115" s="84">
        <f ca="1">VLOOKUP(A115,Table41[#All],27,FALSE)</f>
        <v>0.55421122222222219</v>
      </c>
      <c r="N115" s="235">
        <f>HLOOKUP(Table44[[#This Row],[Theme]],Table46[#All],2,FALSE)</f>
        <v>45580</v>
      </c>
      <c r="O115" s="208" t="str">
        <f>VLOOKUP(A115,Table41[#All],22,FALSE)</f>
        <v>Semiconductor</v>
      </c>
      <c r="P115" s="209" t="str">
        <f ca="1">VLOOKUP(A115,Table41[#All],25,FALSE)</f>
        <v>🔻</v>
      </c>
    </row>
    <row r="116" spans="1:16" ht="19">
      <c r="A116" t="e" vm="172">
        <v>#VALUE!</v>
      </c>
      <c r="B116" s="5" t="str">
        <f ca="1">VLOOKUP(A116,Table41[#All],2,FALSE)</f>
        <v>WOLF</v>
      </c>
      <c r="C116" s="185" t="str">
        <f ca="1">VLOOKUP(A116,Table41[#All],20,FALSE)</f>
        <v>Stock</v>
      </c>
      <c r="D116" s="213" cm="1">
        <f t="array" aca="1" ref="D116" ca="1">_FV(A116,"52 week low",TRUE)</f>
        <v>8.0500000000000007</v>
      </c>
      <c r="E116" s="204">
        <f ca="1">(Table44[[#This Row],[Current Price]]-Table44[[#This Row],[52 week low]])/Table44[[#This Row],[52 week low]]</f>
        <v>2.8633540372670807</v>
      </c>
      <c r="F116" s="36">
        <f ca="1">VLOOKUP(A116,Table41[#All],15,FALSE)</f>
        <v>31.1</v>
      </c>
      <c r="G116" s="36">
        <f ca="1">(Table44[[#This Row],[52 week high]]-Table44[[#This Row],[Current Price]])/Table44[[#This Row],[Current Price]]</f>
        <v>0.17684887459807072</v>
      </c>
      <c r="H116" s="4" cm="1">
        <f t="array" aca="1" ref="H116" ca="1">_FV(A116,"52 week high",TRUE)</f>
        <v>36.6</v>
      </c>
      <c r="I116" t="b">
        <f ca="1">VLOOKUP(A116,Table41[#All],17,FALSE)</f>
        <v>0</v>
      </c>
      <c r="J116" s="147" t="b">
        <f ca="1">VLOOKUP(A116,Table41[#All],18,FALSE)</f>
        <v>1</v>
      </c>
      <c r="K116" s="214">
        <f>VLOOKUP(A116,Table41[#All],21,FALSE)</f>
        <v>45595</v>
      </c>
      <c r="L116" s="199">
        <f ca="1">VLOOKUP(A116,Table41[#All],26,FALSE)</f>
        <v>2.8875000000000002</v>
      </c>
      <c r="M116" s="84">
        <f ca="1">VLOOKUP(A116,Table41[#All],27,FALSE)</f>
        <v>0.55500000000000016</v>
      </c>
      <c r="N116" s="235">
        <f>HLOOKUP(Table44[[#This Row],[Theme]],Table46[#All],2,FALSE)</f>
        <v>45580</v>
      </c>
      <c r="O116" s="208" t="str">
        <f>VLOOKUP(A116,Table41[#All],22,FALSE)</f>
        <v>Semiconductor</v>
      </c>
      <c r="P116" s="209" t="str">
        <f ca="1">VLOOKUP(A116,Table41[#All],25,FALSE)</f>
        <v>🔻</v>
      </c>
    </row>
    <row r="117" spans="1:16" ht="19">
      <c r="A117" t="e" vm="173">
        <v>#VALUE!</v>
      </c>
      <c r="B117" s="5" t="str">
        <f ca="1">VLOOKUP(A117,Table41[#All],2,FALSE)</f>
        <v>SNOW</v>
      </c>
      <c r="C117" s="185" t="str">
        <f ca="1">VLOOKUP(A117,Table41[#All],20,FALSE)</f>
        <v>Stock</v>
      </c>
      <c r="D117" s="213" cm="1">
        <f t="array" aca="1" ref="D117" ca="1">_FV(A117,"52 week low",TRUE)</f>
        <v>120.1</v>
      </c>
      <c r="E117" s="204">
        <f ca="1">(Table44[[#This Row],[Current Price]]-Table44[[#This Row],[52 week low]])/Table44[[#This Row],[52 week low]]</f>
        <v>0.33905079100749375</v>
      </c>
      <c r="F117" s="36">
        <f ca="1">VLOOKUP(A117,Table41[#All],15,FALSE)</f>
        <v>160.82</v>
      </c>
      <c r="G117" s="36">
        <f ca="1">(Table44[[#This Row],[52 week high]]-Table44[[#This Row],[Current Price]])/Table44[[#This Row],[Current Price]]</f>
        <v>0.74524312896405942</v>
      </c>
      <c r="H117" s="4" cm="1">
        <f t="array" aca="1" ref="H117" ca="1">_FV(A117,"52 week high",TRUE)</f>
        <v>280.67</v>
      </c>
      <c r="I117" t="b">
        <f ca="1">VLOOKUP(A117,Table41[#All],17,FALSE)</f>
        <v>0</v>
      </c>
      <c r="J117" s="147" t="b">
        <f ca="1">VLOOKUP(A117,Table41[#All],18,FALSE)</f>
        <v>0</v>
      </c>
      <c r="K117" s="214">
        <f>VLOOKUP(A117,Table41[#All],21,FALSE)</f>
        <v>45623</v>
      </c>
      <c r="L117" s="199">
        <f ca="1">VLOOKUP(A117,Table41[#All],26,FALSE)</f>
        <v>0.46199999999999997</v>
      </c>
      <c r="M117" s="84">
        <f ca="1">VLOOKUP(A117,Table41[#All],27,FALSE)</f>
        <v>-5.4000000000000048E-2</v>
      </c>
      <c r="N117" s="235">
        <f>HLOOKUP(Table44[[#This Row],[Theme]],Table46[#All],2,FALSE)</f>
        <v>45594</v>
      </c>
      <c r="O117" s="208" t="str">
        <f>VLOOKUP(A117,Table41[#All],22,FALSE)</f>
        <v>Technology</v>
      </c>
      <c r="P117" s="209" t="str">
        <f ca="1">VLOOKUP(A117,Table41[#All],25,FALSE)</f>
        <v/>
      </c>
    </row>
    <row r="118" spans="1:16" ht="19">
      <c r="A118" t="e" vm="174">
        <v>#VALUE!</v>
      </c>
      <c r="B118" s="5" t="str">
        <f ca="1">VLOOKUP(A118,Table41[#All],2,FALSE)</f>
        <v>VAL</v>
      </c>
      <c r="C118" s="185" t="str">
        <f ca="1">VLOOKUP(A118,Table41[#All],20,FALSE)</f>
        <v>Stock</v>
      </c>
      <c r="D118" s="213" cm="1">
        <f t="array" aca="1" ref="D118" ca="1">_FV(A118,"52 week low",TRUE)</f>
        <v>27.15</v>
      </c>
      <c r="E118" s="204">
        <f ca="1">(Table44[[#This Row],[Current Price]]-Table44[[#This Row],[52 week low]])/Table44[[#This Row],[52 week low]]</f>
        <v>2.6836095764272567</v>
      </c>
      <c r="F118" s="36">
        <f ca="1">VLOOKUP(A118,Table41[#All],15,FALSE)</f>
        <v>100.01</v>
      </c>
      <c r="G118" s="36">
        <f ca="1">(Table44[[#This Row],[52 week high]]-Table44[[#This Row],[Current Price]])/Table44[[#This Row],[Current Price]]</f>
        <v>2.184781521847803E-2</v>
      </c>
      <c r="H118" s="4" cm="1">
        <f t="array" aca="1" ref="H118" ca="1">_FV(A118,"52 week high",TRUE)</f>
        <v>102.19499999999999</v>
      </c>
      <c r="I118" t="b">
        <f ca="1">VLOOKUP(A118,Table41[#All],17,FALSE)</f>
        <v>0</v>
      </c>
      <c r="J118" s="147" t="b">
        <f ca="1">VLOOKUP(A118,Table41[#All],18,FALSE)</f>
        <v>1</v>
      </c>
      <c r="K118" s="214">
        <f>VLOOKUP(A118,Table41[#All],21,FALSE)</f>
        <v>45600</v>
      </c>
      <c r="L118" s="199">
        <f ca="1">VLOOKUP(A118,Table41[#All],26,FALSE)</f>
        <v>0.8183636363636364</v>
      </c>
      <c r="M118" s="84">
        <f ca="1">VLOOKUP(A118,Table41[#All],27,FALSE)</f>
        <v>0.42871428571428583</v>
      </c>
      <c r="N118" s="235">
        <f>HLOOKUP(Table44[[#This Row],[Theme]],Table46[#All],2,FALSE)</f>
        <v>45567</v>
      </c>
      <c r="O118" s="208" t="str">
        <f>VLOOKUP(A118,Table41[#All],22,FALSE)</f>
        <v>Energy</v>
      </c>
      <c r="P118" s="209" t="str">
        <f ca="1">VLOOKUP(A118,Table41[#All],25,FALSE)</f>
        <v>🔻</v>
      </c>
    </row>
    <row r="119" spans="1:16" ht="19">
      <c r="A119" t="e" vm="175">
        <v>#VALUE!</v>
      </c>
      <c r="B119" s="5" t="str">
        <f ca="1">VLOOKUP(A119,Table41[#All],2,FALSE)</f>
        <v>GFS</v>
      </c>
      <c r="C119" s="185" t="str">
        <f ca="1">VLOOKUP(A119,Table41[#All],20,FALSE)</f>
        <v>Stock</v>
      </c>
      <c r="D119" s="213" cm="1">
        <f t="array" aca="1" ref="D119" ca="1">_FV(A119,"52 week low",TRUE)</f>
        <v>29.77</v>
      </c>
      <c r="E119" s="204">
        <f ca="1">(Table44[[#This Row],[Current Price]]-Table44[[#This Row],[52 week low]])/Table44[[#This Row],[52 week low]]</f>
        <v>0.58414511252939194</v>
      </c>
      <c r="F119" s="36">
        <f ca="1">VLOOKUP(A119,Table41[#All],15,FALSE)</f>
        <v>47.16</v>
      </c>
      <c r="G119" s="36">
        <f ca="1">(Table44[[#This Row],[52 week high]]-Table44[[#This Row],[Current Price]])/Table44[[#This Row],[Current Price]]</f>
        <v>8.1000848176420712E-2</v>
      </c>
      <c r="H119" s="4" cm="1">
        <f t="array" aca="1" ref="H119" ca="1">_FV(A119,"52 week high",TRUE)</f>
        <v>50.98</v>
      </c>
      <c r="I119" t="b">
        <f ca="1">VLOOKUP(A119,Table41[#All],17,FALSE)</f>
        <v>0</v>
      </c>
      <c r="J119" s="147" t="b">
        <f ca="1">VLOOKUP(A119,Table41[#All],18,FALSE)</f>
        <v>0</v>
      </c>
      <c r="K119" s="214">
        <f>VLOOKUP(A119,Table41[#All],21,FALSE)</f>
        <v>0</v>
      </c>
      <c r="L119" s="199">
        <f>VLOOKUP(A119,Table41[#All],26,FALSE)</f>
        <v>0</v>
      </c>
      <c r="M119" s="84">
        <f ca="1">VLOOKUP(A119,Table41[#All],27,FALSE)</f>
        <v>-0.14254545454545464</v>
      </c>
      <c r="N119" s="235">
        <f>HLOOKUP(Table44[[#This Row],[Theme]],Table46[#All],2,FALSE)</f>
        <v>45580</v>
      </c>
      <c r="O119" s="208" t="str">
        <f>VLOOKUP(A119,Table41[#All],22,FALSE)</f>
        <v>Semiconductor</v>
      </c>
      <c r="P119" s="209" t="str">
        <f ca="1">VLOOKUP(A119,Table41[#All],25,FALSE)</f>
        <v/>
      </c>
    </row>
    <row r="120" spans="1:16" ht="19">
      <c r="A120" t="e" vm="63">
        <v>#VALUE!</v>
      </c>
      <c r="B120" s="5" t="str">
        <f ca="1">VLOOKUP(A120,Table41[#All],2,FALSE)</f>
        <v>TSLA</v>
      </c>
      <c r="C120" s="185" t="str">
        <f ca="1">VLOOKUP(A120,Table41[#All],20,FALSE)</f>
        <v>Stock</v>
      </c>
      <c r="D120" s="213" cm="1">
        <f t="array" aca="1" ref="D120" ca="1">_FV(A120,"52 week low",TRUE)</f>
        <v>214.25</v>
      </c>
      <c r="E120" s="204">
        <f ca="1">(Table44[[#This Row],[Current Price]]-Table44[[#This Row],[52 week low]])/Table44[[#This Row],[52 week low]]</f>
        <v>0.84149404900816804</v>
      </c>
      <c r="F120" s="36">
        <f ca="1">VLOOKUP(A120,Table41[#All],15,FALSE)</f>
        <v>394.5401</v>
      </c>
      <c r="G120" s="36">
        <f ca="1">(Table44[[#This Row],[52 week high]]-Table44[[#This Row],[Current Price]])/Table44[[#This Row],[Current Price]]</f>
        <v>0.26433282700541716</v>
      </c>
      <c r="H120" s="4" cm="1">
        <f t="array" aca="1" ref="H120" ca="1">_FV(A120,"52 week high",TRUE)</f>
        <v>498.83</v>
      </c>
      <c r="I120" t="b">
        <f ca="1">VLOOKUP(A120,Table41[#All],17,FALSE)</f>
        <v>0</v>
      </c>
      <c r="J120" s="147" t="b">
        <f ca="1">VLOOKUP(A120,Table41[#All],18,FALSE)</f>
        <v>1</v>
      </c>
      <c r="K120" s="214">
        <f>VLOOKUP(A120,Table41[#All],21,FALSE)</f>
        <v>45581</v>
      </c>
      <c r="L120" s="199">
        <f ca="1">VLOOKUP(A120,Table41[#All],26,FALSE)</f>
        <v>0.97270049999999997</v>
      </c>
      <c r="M120" s="84">
        <f ca="1">VLOOKUP(A120,Table41[#All],27,FALSE)</f>
        <v>0.7535115555555556</v>
      </c>
      <c r="N120" s="235">
        <f>HLOOKUP(Table44[[#This Row],[Theme]],Table46[#All],2,FALSE)</f>
        <v>45575</v>
      </c>
      <c r="O120" s="208" t="str">
        <f>VLOOKUP(A120,Table41[#All],22,FALSE)</f>
        <v>Auto</v>
      </c>
      <c r="P120" s="209" t="str">
        <f ca="1">VLOOKUP(A120,Table41[#All],25,FALSE)</f>
        <v>🔻</v>
      </c>
    </row>
    <row r="121" spans="1:16" ht="19">
      <c r="A121" t="e" vm="176">
        <v>#VALUE!</v>
      </c>
      <c r="B121" s="5" t="str">
        <f ca="1">VLOOKUP(A121,Table41[#All],2,FALSE)</f>
        <v>HUT</v>
      </c>
      <c r="C121" s="185" t="str">
        <f ca="1">VLOOKUP(A121,Table41[#All],20,FALSE)</f>
        <v>Stock</v>
      </c>
      <c r="D121" s="213" cm="1">
        <f t="array" aca="1" ref="D121" ca="1">_FV(A121,"52 week low",TRUE)</f>
        <v>10.039999999999999</v>
      </c>
      <c r="E121" s="204">
        <f ca="1">(Table44[[#This Row],[Current Price]]-Table44[[#This Row],[52 week low]])/Table44[[#This Row],[52 week low]]</f>
        <v>4.5652390438247012</v>
      </c>
      <c r="F121" s="36">
        <f ca="1">VLOOKUP(A121,Table41[#All],15,FALSE)</f>
        <v>55.875</v>
      </c>
      <c r="G121" s="36">
        <f ca="1">(Table44[[#This Row],[52 week high]]-Table44[[#This Row],[Current Price]])/Table44[[#This Row],[Current Price]]</f>
        <v>0.1824608501118567</v>
      </c>
      <c r="H121" s="4" cm="1">
        <f t="array" aca="1" ref="H121" ca="1">_FV(A121,"52 week high",TRUE)</f>
        <v>66.069999999999993</v>
      </c>
      <c r="I121" t="b">
        <f ca="1">VLOOKUP(A121,Table41[#All],17,FALSE)</f>
        <v>0</v>
      </c>
      <c r="J121" s="147" t="b">
        <f ca="1">VLOOKUP(A121,Table41[#All],18,FALSE)</f>
        <v>1</v>
      </c>
      <c r="K121" s="214">
        <f>VLOOKUP(A121,Table41[#All],21,FALSE)</f>
        <v>0</v>
      </c>
      <c r="L121" s="199">
        <f>VLOOKUP(A121,Table41[#All],26,FALSE)</f>
        <v>0</v>
      </c>
      <c r="M121" s="84" t="e">
        <f ca="1">VLOOKUP(A121,Table41[#All],27,FALSE)</f>
        <v>#DIV/0!</v>
      </c>
      <c r="N121" s="235" t="e">
        <f>HLOOKUP(Table44[[#This Row],[Theme]],Table46[#All],2,FALSE)</f>
        <v>#N/A</v>
      </c>
      <c r="O121" s="208" t="str">
        <f>VLOOKUP(A121,Table41[#All],22,FALSE)</f>
        <v>Bitcoin mining</v>
      </c>
      <c r="P121" s="209" t="str">
        <f ca="1">VLOOKUP(A121,Table41[#All],25,FALSE)</f>
        <v>🔻</v>
      </c>
    </row>
    <row r="122" spans="1:16" ht="19">
      <c r="A122" t="e" vm="177">
        <v>#VALUE!</v>
      </c>
      <c r="B122" s="5" t="str">
        <f ca="1">VLOOKUP(A122,Table41[#All],2,FALSE)</f>
        <v>ACHC</v>
      </c>
      <c r="C122" s="185" t="str">
        <f ca="1">VLOOKUP(A122,Table41[#All],20,FALSE)</f>
        <v>Stock</v>
      </c>
      <c r="D122" s="213" cm="1">
        <f t="array" aca="1" ref="D122" ca="1">_FV(A122,"52 week low",TRUE)</f>
        <v>11.43</v>
      </c>
      <c r="E122" s="204">
        <f ca="1">(Table44[[#This Row],[Current Price]]-Table44[[#This Row],[52 week low]])/Table44[[#This Row],[52 week low]]</f>
        <v>1.0804899387576554</v>
      </c>
      <c r="F122" s="36">
        <f ca="1">VLOOKUP(A122,Table41[#All],15,FALSE)</f>
        <v>23.78</v>
      </c>
      <c r="G122" s="36">
        <f ca="1">(Table44[[#This Row],[52 week high]]-Table44[[#This Row],[Current Price]])/Table44[[#This Row],[Current Price]]</f>
        <v>0.30529857022708146</v>
      </c>
      <c r="H122" s="4" cm="1">
        <f t="array" aca="1" ref="H122" ca="1">_FV(A122,"52 week high",TRUE)</f>
        <v>31.04</v>
      </c>
      <c r="I122" t="b">
        <f ca="1">VLOOKUP(A122,Table41[#All],17,FALSE)</f>
        <v>0</v>
      </c>
      <c r="J122" s="147" t="b">
        <f ca="1">VLOOKUP(A122,Table41[#All],18,FALSE)</f>
        <v>1</v>
      </c>
      <c r="K122" s="214">
        <f>VLOOKUP(A122,Table41[#All],21,FALSE)</f>
        <v>0</v>
      </c>
      <c r="L122" s="199">
        <f>VLOOKUP(A122,Table41[#All],26,FALSE)</f>
        <v>0</v>
      </c>
      <c r="M122" s="84" t="e">
        <f ca="1">VLOOKUP(A122,Table41[#All],27,FALSE)</f>
        <v>#DIV/0!</v>
      </c>
      <c r="N122" s="235">
        <f>HLOOKUP(Table44[[#This Row],[Theme]],Table46[#All],2,FALSE)</f>
        <v>45567</v>
      </c>
      <c r="O122" s="208" t="str">
        <f>VLOOKUP(A122,Table41[#All],22,FALSE)</f>
        <v>Health Care</v>
      </c>
      <c r="P122" s="209" t="str">
        <f ca="1">VLOOKUP(A122,Table41[#All],25,FALSE)</f>
        <v>🔻</v>
      </c>
    </row>
  </sheetData>
  <phoneticPr fontId="10" type="noConversion"/>
  <conditionalFormatting sqref="E2:E122">
    <cfRule type="colorScale" priority="3749">
      <colorScale>
        <cfvo type="min"/>
        <cfvo type="percentile" val="50"/>
        <cfvo type="max"/>
        <color rgb="FF63BE7B"/>
        <color rgb="FFFFEB84"/>
        <color rgb="FFF8696B"/>
      </colorScale>
    </cfRule>
  </conditionalFormatting>
  <conditionalFormatting sqref="G2:G122">
    <cfRule type="colorScale" priority="3750">
      <colorScale>
        <cfvo type="min"/>
        <cfvo type="percentile" val="50"/>
        <cfvo type="max"/>
        <color rgb="FFF8696B"/>
        <color rgb="FFFFEB84"/>
        <color rgb="FF63BE7B"/>
      </colorScale>
    </cfRule>
  </conditionalFormatting>
  <conditionalFormatting sqref="I2:I122">
    <cfRule type="cellIs" dxfId="29" priority="10" operator="equal">
      <formula>TRUE</formula>
    </cfRule>
  </conditionalFormatting>
  <conditionalFormatting sqref="J2:J122">
    <cfRule type="cellIs" dxfId="28" priority="9" operator="equal">
      <formula>TRUE</formula>
    </cfRule>
  </conditionalFormatting>
  <conditionalFormatting sqref="K2:K122">
    <cfRule type="timePeriod" dxfId="27" priority="6" timePeriod="thisMonth">
      <formula>AND(MONTH(K2)=MONTH(TODAY()),YEAR(K2)=YEAR(TODAY()))</formula>
    </cfRule>
    <cfRule type="timePeriod" dxfId="26" priority="7" timePeriod="lastMonth">
      <formula>AND(MONTH(K2)=MONTH(EDATE(TODAY(),0-1)),YEAR(K2)=YEAR(EDATE(TODAY(),0-1)))</formula>
    </cfRule>
  </conditionalFormatting>
  <conditionalFormatting sqref="L2:L122">
    <cfRule type="colorScale" priority="3751">
      <colorScale>
        <cfvo type="min"/>
        <cfvo type="percentile" val="50"/>
        <cfvo type="max"/>
        <color rgb="FF63BE7B"/>
        <color rgb="FFFCFCFF"/>
        <color rgb="FFF8696B"/>
      </colorScale>
    </cfRule>
    <cfRule type="cellIs" dxfId="25" priority="3752" operator="lessThan">
      <formula>0</formula>
    </cfRule>
  </conditionalFormatting>
  <conditionalFormatting sqref="M2:M122">
    <cfRule type="colorScale" priority="3753">
      <colorScale>
        <cfvo type="min"/>
        <cfvo type="percentile" val="50"/>
        <cfvo type="max"/>
        <color rgb="FF63BE7B"/>
        <color rgb="FFFCFCFF"/>
        <color rgb="FFF8696B"/>
      </colorScale>
    </cfRule>
  </conditionalFormatting>
  <pageMargins left="0.7" right="0.7" top="0.75" bottom="0.75" header="0.3" footer="0.3"/>
  <pageSetup orientation="portrait" horizontalDpi="0" verticalDpi="0"/>
  <tableParts count="1">
    <tablePart r:id="rId1"/>
  </tableParts>
  <extLst>
    <ext xmlns:x15="http://schemas.microsoft.com/office/spreadsheetml/2010/11/main" uri="{F7C9EE02-42E1-4005-9D12-6889AFFD525C}">
      <x15:webExtensions xmlns:xm="http://schemas.microsoft.com/office/excel/2006/main">
        <x15:webExtension appRef="{2902557D-D331-E34A-812D-17B3AAEE04F6}">
          <xm:f>#REF!</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7A8C-150C-3548-9327-EBF9FEBAA9E1}">
  <dimension ref="A1:L50"/>
  <sheetViews>
    <sheetView topLeftCell="A4" zoomScale="96" zoomScaleNormal="96" workbookViewId="0">
      <selection activeCell="A51" sqref="A51"/>
    </sheetView>
  </sheetViews>
  <sheetFormatPr baseColWidth="10" defaultRowHeight="16"/>
  <cols>
    <col min="1" max="1" width="25.5" bestFit="1" customWidth="1"/>
    <col min="2" max="4" width="26.6640625" customWidth="1"/>
    <col min="5" max="5" width="21.5" bestFit="1" customWidth="1"/>
    <col min="6" max="6" width="20.83203125" bestFit="1" customWidth="1"/>
    <col min="7" max="7" width="23.6640625" customWidth="1"/>
    <col min="8" max="8" width="21.33203125" customWidth="1"/>
    <col min="9" max="9" width="18.1640625" bestFit="1" customWidth="1"/>
    <col min="10" max="10" width="32.33203125" bestFit="1" customWidth="1"/>
  </cols>
  <sheetData>
    <row r="1" spans="1:12" s="93" customFormat="1" ht="64" customHeight="1">
      <c r="A1" s="114" t="s">
        <v>354</v>
      </c>
    </row>
    <row r="2" spans="1:12" s="94" customFormat="1" ht="23" customHeight="1" thickBot="1">
      <c r="A2" s="115"/>
    </row>
    <row r="3" spans="1:12" ht="19">
      <c r="A3" s="130"/>
      <c r="B3" s="131" t="s">
        <v>306</v>
      </c>
      <c r="C3" s="131" t="s">
        <v>307</v>
      </c>
      <c r="D3" s="132" t="s">
        <v>308</v>
      </c>
      <c r="J3" s="5"/>
    </row>
    <row r="4" spans="1:12" ht="19">
      <c r="A4" s="133" t="s">
        <v>45</v>
      </c>
      <c r="B4" s="134">
        <f ca="1">SUM(Table21[[#All],[Combined Exposure]])</f>
        <v>156139.91337038775</v>
      </c>
      <c r="C4" s="135">
        <f ca="1">C5+C6</f>
        <v>159591.92337038778</v>
      </c>
      <c r="D4" s="136">
        <f ca="1">EquityPortfolio!B8</f>
        <v>158652.08337038776</v>
      </c>
    </row>
    <row r="5" spans="1:12" ht="19">
      <c r="A5" s="133" t="s">
        <v>156</v>
      </c>
      <c r="B5" s="137">
        <f ca="1">SUM(Table21[[#All],[Stock Exposure]])</f>
        <v>128459.15095075389</v>
      </c>
      <c r="C5" s="138">
        <f ca="1">SUM(Table33[[#All],[Stock Exposure]])</f>
        <v>131911.1609507539</v>
      </c>
      <c r="D5" s="139">
        <f ca="1">EquityPortfolio!B9</f>
        <v>130971.3209507539</v>
      </c>
      <c r="H5" s="5"/>
      <c r="I5" s="5"/>
    </row>
    <row r="6" spans="1:12" ht="20" thickBot="1">
      <c r="A6" s="140" t="s">
        <v>124</v>
      </c>
      <c r="B6" s="141">
        <f ca="1">SUM(Table21[[#All],[Option Exposure]])</f>
        <v>27680.76241963388</v>
      </c>
      <c r="C6" s="141">
        <f ca="1">SUM(Table33[Option Exposure])</f>
        <v>27680.76241963388</v>
      </c>
      <c r="D6" s="142">
        <f ca="1">EquityPortfolio!B10</f>
        <v>27680.76241963388</v>
      </c>
    </row>
    <row r="8" spans="1:12" s="191" customFormat="1" ht="21">
      <c r="D8" s="192">
        <f ca="1">SUM(Table21[Percentage of Stock Exposure])</f>
        <v>0.98081893057378111</v>
      </c>
      <c r="E8" s="192">
        <f>SUM(Table21[Target])</f>
        <v>1.0200000000000002</v>
      </c>
      <c r="H8" s="193">
        <f>SUM(Table21[Realized Profit])</f>
        <v>12649.952782563341</v>
      </c>
      <c r="I8" s="193">
        <f ca="1">SUM(Table21[Unrealized Profit])</f>
        <v>33713.258550650542</v>
      </c>
    </row>
    <row r="9" spans="1:12">
      <c r="H9" s="105"/>
    </row>
    <row r="10" spans="1:12">
      <c r="A10" s="103" t="s">
        <v>80</v>
      </c>
      <c r="B10" s="104" t="s">
        <v>156</v>
      </c>
      <c r="C10" s="104" t="s">
        <v>407</v>
      </c>
      <c r="D10" s="107" t="s">
        <v>309</v>
      </c>
      <c r="E10" s="107" t="s">
        <v>310</v>
      </c>
      <c r="F10" s="104" t="s">
        <v>124</v>
      </c>
      <c r="G10" s="103" t="s">
        <v>157</v>
      </c>
      <c r="H10" s="107" t="s">
        <v>312</v>
      </c>
      <c r="I10" s="178" t="s">
        <v>206</v>
      </c>
      <c r="J10" s="103" t="s">
        <v>24</v>
      </c>
      <c r="K10" s="104" t="s">
        <v>405</v>
      </c>
      <c r="L10" s="103" t="s">
        <v>434</v>
      </c>
    </row>
    <row r="11" spans="1:12" hidden="1">
      <c r="A11" s="13" t="s">
        <v>83</v>
      </c>
      <c r="B11" s="105">
        <f ca="1">SUMIF(Table19[[#All],[Primary theme]],Table21[[#This Row],[Primary theme]],Table19[[#All],[Stock Exposure]])</f>
        <v>25215.5760579739</v>
      </c>
      <c r="C11" s="105">
        <f>SUMIF(Table19[[#All],[Primary theme]],Table21[[#This Row],[Primary theme]],Table19[[#All],[Cost of current position]])</f>
        <v>18075.067524637008</v>
      </c>
      <c r="D11" s="106">
        <f ca="1">Table21[[#This Row],[Stock Exposure]]/$D$5</f>
        <v>0.19252746230951681</v>
      </c>
      <c r="E11" s="106">
        <v>0.1</v>
      </c>
      <c r="F11" s="105">
        <f ca="1">SUMIF(Table19[[#All],[Primary theme]],Table21[[#This Row],[Primary theme]],Table19[[#All],[Option Exposure]])</f>
        <v>7135.6591797425681</v>
      </c>
      <c r="G11" s="108">
        <f ca="1">Table21[[#This Row],[Option Exposure]]+Table21[[#This Row],[Stock Exposure]]</f>
        <v>32351.235237716468</v>
      </c>
      <c r="H11" s="106">
        <f ca="1">Table21[[#This Row],[Combined Exposure]]/$D$4</f>
        <v>0.20391308169707145</v>
      </c>
      <c r="I11" s="105">
        <f>SUMIF(Table19[Primary theme],Table21[[#This Row],[Primary theme]],Table19[Realized Profit])</f>
        <v>1333.175529777008</v>
      </c>
      <c r="J11" s="36">
        <f ca="1">SUMIF(Table19[Primary theme],Table21[[#This Row],[Primary theme]],Table19[Unrealized Profit])</f>
        <v>7140.5085333368952</v>
      </c>
      <c r="K11" s="129">
        <f ca="1">IFERROR(Table21[[#This Row],[Unrealized Profit]]/Table21[[#This Row],[Cost basis]],"")</f>
        <v>0.39504740569317981</v>
      </c>
      <c r="L11" s="13" t="b">
        <f ca="1">IF(Table21[[#This Row],[Percentage of Stock Exposure]]&gt;Table21[[#This Row],[Target]],TRUE,FALSE)</f>
        <v>1</v>
      </c>
    </row>
    <row r="12" spans="1:12" hidden="1">
      <c r="A12" s="13" t="s">
        <v>53</v>
      </c>
      <c r="B12" s="105">
        <f ca="1">SUMIF(Table19[[#All],[Primary theme]],Table21[[#This Row],[Primary theme]],Table19[[#All],[Stock Exposure]])</f>
        <v>10338.291292779999</v>
      </c>
      <c r="C12" s="105">
        <f>SUMIF(Table19[[#All],[Primary theme]],Table21[[#This Row],[Primary theme]],Table19[[#All],[Cost of current position]])</f>
        <v>12782.788732438856</v>
      </c>
      <c r="D12" s="106">
        <f ca="1">Table21[[#This Row],[Stock Exposure]]/$D$5</f>
        <v>7.8935535029590692E-2</v>
      </c>
      <c r="E12" s="106">
        <v>0.2</v>
      </c>
      <c r="F12" s="105">
        <f ca="1">SUMIF(Table19[[#All],[Primary theme]],Table21[[#This Row],[Primary theme]],Table19[[#All],[Option Exposure]])</f>
        <v>0</v>
      </c>
      <c r="G12" s="108">
        <f ca="1">Table21[[#This Row],[Option Exposure]]+Table21[[#This Row],[Stock Exposure]]</f>
        <v>10338.291292779999</v>
      </c>
      <c r="H12" s="84">
        <f ca="1">Table21[[#This Row],[Combined Exposure]]/$D$4</f>
        <v>6.5163287321253233E-2</v>
      </c>
      <c r="I12" s="105">
        <f>SUMIF(Table19[Primary theme],Table21[[#This Row],[Primary theme]],Table19[Realized Profit])</f>
        <v>-6397.8231302411505</v>
      </c>
      <c r="J12" s="36">
        <f ca="1">SUMIF(Table19[Primary theme],Table21[[#This Row],[Primary theme]],Table19[Unrealized Profit])</f>
        <v>-2444.4974396588541</v>
      </c>
      <c r="K12" s="129">
        <f ca="1">IFERROR(Table21[[#This Row],[Unrealized Profit]]/Table21[[#This Row],[Cost basis]],"")</f>
        <v>-0.19123350082877127</v>
      </c>
      <c r="L12" s="13" t="b">
        <f ca="1">IF(Table21[[#This Row],[Percentage of Stock Exposure]]&gt;Table21[[#This Row],[Target]],TRUE,FALSE)</f>
        <v>0</v>
      </c>
    </row>
    <row r="13" spans="1:12" hidden="1">
      <c r="A13" s="13" t="s">
        <v>31</v>
      </c>
      <c r="B13" s="105">
        <f ca="1">SUMIF(Table19[[#All],[Primary theme]],Table21[[#This Row],[Primary theme]],Table19[[#All],[Stock Exposure]])</f>
        <v>22092.808000000005</v>
      </c>
      <c r="C13" s="105">
        <f>SUMIF(Table19[[#All],[Primary theme]],Table21[[#This Row],[Primary theme]],Table19[[#All],[Cost of current position]])</f>
        <v>15400.001595999933</v>
      </c>
      <c r="D13" s="106">
        <f ca="1">Table21[[#This Row],[Stock Exposure]]/$D$5</f>
        <v>0.1686843183654462</v>
      </c>
      <c r="E13" s="106">
        <v>0.1</v>
      </c>
      <c r="F13" s="105">
        <f ca="1">SUMIF(Table19[[#All],[Primary theme]],Table21[[#This Row],[Primary theme]],Table19[[#All],[Option Exposure]])</f>
        <v>4766.1975544411871</v>
      </c>
      <c r="G13" s="108">
        <f ca="1">Table21[[#This Row],[Option Exposure]]+Table21[[#This Row],[Stock Exposure]]</f>
        <v>26859.005554441192</v>
      </c>
      <c r="H13" s="106">
        <f ca="1">Table21[[#This Row],[Combined Exposure]]/$D$4</f>
        <v>0.16929500693499494</v>
      </c>
      <c r="I13" s="105">
        <f>SUMIF(Table19[Primary theme],Table21[[#This Row],[Primary theme]],Table19[Realized Profit])</f>
        <v>-2134.8569040000698</v>
      </c>
      <c r="J13" s="36">
        <f ca="1">SUMIF(Table19[Primary theme],Table21[[#This Row],[Primary theme]],Table19[Unrealized Profit])</f>
        <v>6692.8064040000691</v>
      </c>
      <c r="K13" s="129">
        <f ca="1">IFERROR(Table21[[#This Row],[Unrealized Profit]]/Table21[[#This Row],[Cost basis]],"")</f>
        <v>0.43459777340143196</v>
      </c>
      <c r="L13" s="13" t="b">
        <f ca="1">IF(Table21[[#This Row],[Percentage of Stock Exposure]]&gt;Table21[[#This Row],[Target]],TRUE,FALSE)</f>
        <v>1</v>
      </c>
    </row>
    <row r="14" spans="1:12" hidden="1">
      <c r="A14" s="13" t="s">
        <v>84</v>
      </c>
      <c r="B14" s="128">
        <f ca="1">SUMIF(Table19[[#All],[Primary theme]],Table21[[#This Row],[Primary theme]],Table19[[#All],[Stock Exposure]])</f>
        <v>17535.553</v>
      </c>
      <c r="C14" s="128">
        <f>SUMIF(Table19[[#All],[Primary theme]],Table21[[#This Row],[Primary theme]],Table19[[#All],[Cost of current position]])</f>
        <v>12052.077973572545</v>
      </c>
      <c r="D14" s="106">
        <f ca="1">Table21[[#This Row],[Stock Exposure]]/$D$5</f>
        <v>0.13388849461626401</v>
      </c>
      <c r="E14" s="129">
        <v>0.03</v>
      </c>
      <c r="F14" s="128">
        <f ca="1">SUMIF(Table19[[#All],[Primary theme]],Table21[[#This Row],[Primary theme]],Table19[[#All],[Option Exposure]])</f>
        <v>0</v>
      </c>
      <c r="G14" s="108">
        <f ca="1">Table21[[#This Row],[Option Exposure]]+Table21[[#This Row],[Stock Exposure]]</f>
        <v>17535.553</v>
      </c>
      <c r="H14" s="129">
        <f ca="1">Table21[[#This Row],[Combined Exposure]]/$D$4</f>
        <v>0.11052835000635731</v>
      </c>
      <c r="I14" s="36">
        <f>SUMIF(Table19[Primary theme],Table21[[#This Row],[Primary theme]],Table19[Realized Profit])</f>
        <v>814.83797357254662</v>
      </c>
      <c r="J14" s="36">
        <f ca="1">SUMIF(Table19[Primary theme],Table21[[#This Row],[Primary theme]],Table19[Unrealized Profit])</f>
        <v>5483.4750264274553</v>
      </c>
      <c r="K14" s="129">
        <f ca="1">IFERROR(Table21[[#This Row],[Unrealized Profit]]/Table21[[#This Row],[Cost basis]],"")</f>
        <v>0.4549817084200305</v>
      </c>
      <c r="L14" s="13" t="b">
        <f ca="1">IF(Table21[[#This Row],[Percentage of Stock Exposure]]&gt;Table21[[#This Row],[Target]],TRUE,FALSE)</f>
        <v>1</v>
      </c>
    </row>
    <row r="15" spans="1:12">
      <c r="A15" s="13" t="s">
        <v>118</v>
      </c>
      <c r="B15" s="105">
        <f ca="1">SUMIF(Table19[[#All],[Primary theme]],Table21[[#This Row],[Primary theme]],Table19[[#All],[Stock Exposure]])</f>
        <v>10475.982899999999</v>
      </c>
      <c r="C15" s="105">
        <f>SUMIF(Table19[[#All],[Primary theme]],Table21[[#This Row],[Primary theme]],Table19[[#All],[Cost of current position]])</f>
        <v>8324.426592731339</v>
      </c>
      <c r="D15" s="106">
        <f ca="1">Table21[[#This Row],[Stock Exposure]]/$D$5</f>
        <v>7.998684615801531E-2</v>
      </c>
      <c r="E15" s="106">
        <v>7.0000000000000007E-2</v>
      </c>
      <c r="F15" s="105">
        <f ca="1">SUMIF(Table19[[#All],[Primary theme]],Table21[[#This Row],[Primary theme]],Table19[[#All],[Option Exposure]])</f>
        <v>0</v>
      </c>
      <c r="G15" s="108">
        <f ca="1">Table21[[#This Row],[Option Exposure]]+Table21[[#This Row],[Stock Exposure]]</f>
        <v>10475.982899999999</v>
      </c>
      <c r="H15" s="84">
        <f ca="1">Table21[[#This Row],[Combined Exposure]]/$D$4</f>
        <v>6.6031171336986869E-2</v>
      </c>
      <c r="I15" s="105">
        <f>SUMIF(Table19[Primary theme],Table21[[#This Row],[Primary theme]],Table19[Realized Profit])</f>
        <v>-2987.3734072686611</v>
      </c>
      <c r="J15" s="36">
        <f ca="1">SUMIF(Table19[Primary theme],Table21[[#This Row],[Primary theme]],Table19[Unrealized Profit])</f>
        <v>2151.5563072686618</v>
      </c>
      <c r="K15" s="129">
        <f ca="1">IFERROR(Table21[[#This Row],[Unrealized Profit]]/Table21[[#This Row],[Cost basis]],"")</f>
        <v>0.25846300442451398</v>
      </c>
      <c r="L15" s="13" t="b">
        <f ca="1">IF(Table21[[#This Row],[Percentage of Stock Exposure]]&gt;Table21[[#This Row],[Target]],TRUE,FALSE)</f>
        <v>1</v>
      </c>
    </row>
    <row r="16" spans="1:12" hidden="1">
      <c r="A16" s="13" t="s">
        <v>38</v>
      </c>
      <c r="B16" s="105">
        <f ca="1">SUMIF(Table19[[#All],[Primary theme]],Table21[[#This Row],[Primary theme]],Table19[[#All],[Stock Exposure]])</f>
        <v>13867.131600000001</v>
      </c>
      <c r="C16" s="105">
        <f>SUMIF(Table19[[#All],[Primary theme]],Table21[[#This Row],[Primary theme]],Table19[[#All],[Cost of current position]])</f>
        <v>9228.1800357827742</v>
      </c>
      <c r="D16" s="106">
        <f ca="1">Table21[[#This Row],[Stock Exposure]]/$D$5</f>
        <v>0.10587914590259143</v>
      </c>
      <c r="E16" s="106">
        <v>0</v>
      </c>
      <c r="F16" s="105">
        <f ca="1">SUMIF(Table19[[#All],[Primary theme]],Table21[[#This Row],[Primary theme]],Table19[[#All],[Option Exposure]])</f>
        <v>0</v>
      </c>
      <c r="G16" s="108">
        <f ca="1">Table21[[#This Row],[Option Exposure]]+Table21[[#This Row],[Stock Exposure]]</f>
        <v>13867.131600000001</v>
      </c>
      <c r="H16" s="84">
        <f ca="1">Table21[[#This Row],[Combined Exposure]]/$D$4</f>
        <v>8.7405921847404408E-2</v>
      </c>
      <c r="I16" s="105">
        <f>SUMIF(Table19[Primary theme],Table21[[#This Row],[Primary theme]],Table19[Realized Profit])</f>
        <v>8124.921035782776</v>
      </c>
      <c r="J16" s="36">
        <f ca="1">SUMIF(Table19[Primary theme],Table21[[#This Row],[Primary theme]],Table19[Unrealized Profit])</f>
        <v>4638.9515642172246</v>
      </c>
      <c r="K16" s="129">
        <f ca="1">IFERROR(Table21[[#This Row],[Unrealized Profit]]/Table21[[#This Row],[Cost basis]],"")</f>
        <v>0.50269408986706321</v>
      </c>
      <c r="L16" s="13" t="b">
        <f ca="1">IF(Table21[[#This Row],[Percentage of Stock Exposure]]&gt;Table21[[#This Row],[Target]],TRUE,FALSE)</f>
        <v>1</v>
      </c>
    </row>
    <row r="17" spans="1:12" hidden="1">
      <c r="A17" s="13" t="s">
        <v>521</v>
      </c>
      <c r="B17" s="128">
        <f ca="1">SUMIF(Table19[[#All],[Primary theme]],Table21[[#This Row],[Primary theme]],Table19[[#All],[Stock Exposure]])</f>
        <v>8640.34</v>
      </c>
      <c r="C17" s="128">
        <f>SUMIF(Table19[[#All],[Primary theme]],Table21[[#This Row],[Primary theme]],Table19[[#All],[Cost of current position]])</f>
        <v>3859.0748430573435</v>
      </c>
      <c r="D17" s="106">
        <f ca="1">Table21[[#This Row],[Stock Exposure]]/$D$5</f>
        <v>6.5971236582769335E-2</v>
      </c>
      <c r="E17" s="106">
        <v>0</v>
      </c>
      <c r="F17" s="128">
        <f ca="1">SUMIF(Table19[[#All],[Primary theme]],Table21[[#This Row],[Primary theme]],Table19[[#All],[Option Exposure]])</f>
        <v>0</v>
      </c>
      <c r="G17" s="108">
        <f ca="1">Table21[[#This Row],[Option Exposure]]+Table21[[#This Row],[Stock Exposure]]</f>
        <v>8640.34</v>
      </c>
      <c r="H17" s="84">
        <f ca="1">Table21[[#This Row],[Combined Exposure]]/$D$4</f>
        <v>5.4460929957209185E-2</v>
      </c>
      <c r="I17" s="128">
        <f>SUMIF(Table19[Primary theme],Table21[[#This Row],[Primary theme]],Table19[Realized Profit])</f>
        <v>3101.7748430573429</v>
      </c>
      <c r="J17" s="128">
        <f ca="1">SUMIF(Table19[Primary theme],Table21[[#This Row],[Primary theme]],Table19[Unrealized Profit])</f>
        <v>4854.2351569426564</v>
      </c>
      <c r="K17" s="197">
        <f ca="1">IFERROR(Table21[[#This Row],[Unrealized Profit]]/Table21[[#This Row],[Cost basis]],"")</f>
        <v>1.2578753598613546</v>
      </c>
      <c r="L17" s="13" t="b">
        <f ca="1">IF(Table21[[#This Row],[Percentage of Stock Exposure]]&gt;Table21[[#This Row],[Target]],TRUE,FALSE)</f>
        <v>1</v>
      </c>
    </row>
    <row r="18" spans="1:12" hidden="1">
      <c r="A18" s="13" t="s">
        <v>56</v>
      </c>
      <c r="B18" s="105">
        <f ca="1">SUMIF(Table19[[#All],[Primary theme]],Table21[[#This Row],[Primary theme]],Table19[[#All],[Stock Exposure]])</f>
        <v>12136.150999999998</v>
      </c>
      <c r="C18" s="105">
        <f>SUMIF(Table19[[#All],[Primary theme]],Table21[[#This Row],[Primary theme]],Table19[[#All],[Cost of current position]])</f>
        <v>10123.803058547343</v>
      </c>
      <c r="D18" s="106">
        <f ca="1">Table21[[#This Row],[Stock Exposure]]/$D$5</f>
        <v>9.2662660129718577E-2</v>
      </c>
      <c r="E18" s="106">
        <v>0.03</v>
      </c>
      <c r="F18" s="105">
        <f ca="1">SUMIF(Table19[[#All],[Primary theme]],Table21[[#This Row],[Primary theme]],Table19[[#All],[Option Exposure]])</f>
        <v>0</v>
      </c>
      <c r="G18" s="108">
        <f ca="1">Table21[[#This Row],[Option Exposure]]+Table21[[#This Row],[Stock Exposure]]</f>
        <v>12136.150999999998</v>
      </c>
      <c r="H18" s="106">
        <f ca="1">Table21[[#This Row],[Combined Exposure]]/$D$4</f>
        <v>7.6495377445923898E-2</v>
      </c>
      <c r="I18" s="36">
        <f>SUMIF(Table19[Primary theme],Table21[[#This Row],[Primary theme]],Table19[Realized Profit])</f>
        <v>1143.9930585473414</v>
      </c>
      <c r="J18" s="36">
        <f ca="1">SUMIF(Table19[Primary theme],Table21[[#This Row],[Primary theme]],Table19[Unrealized Profit])</f>
        <v>2012.3479414526582</v>
      </c>
      <c r="K18" s="129">
        <f ca="1">IFERROR(Table21[[#This Row],[Unrealized Profit]]/Table21[[#This Row],[Cost basis]],"")</f>
        <v>0.19877391231486566</v>
      </c>
      <c r="L18" s="13" t="b">
        <f ca="1">IF(Table21[[#This Row],[Percentage of Stock Exposure]]&gt;Table21[[#This Row],[Target]],TRUE,FALSE)</f>
        <v>1</v>
      </c>
    </row>
    <row r="19" spans="1:12" hidden="1">
      <c r="A19" s="13" t="s">
        <v>29</v>
      </c>
      <c r="B19" s="128">
        <f ca="1">SUMIF(Table19[[#All],[Primary theme]],Table21[[#This Row],[Primary theme]],Table19[[#All],[Stock Exposure]])</f>
        <v>1713.5050000000001</v>
      </c>
      <c r="C19" s="128">
        <f>SUMIF(Table19[[#All],[Primary theme]],Table21[[#This Row],[Primary theme]],Table19[[#All],[Cost of current position]])</f>
        <v>1891.1595981087471</v>
      </c>
      <c r="D19" s="106">
        <f ca="1">Table21[[#This Row],[Stock Exposure]]/$D$5</f>
        <v>1.3083055034959061E-2</v>
      </c>
      <c r="E19" s="129">
        <v>0.02</v>
      </c>
      <c r="F19" s="128">
        <f ca="1">SUMIF(Table19[[#All],[Primary theme]],Table21[[#This Row],[Primary theme]],Table19[[#All],[Option Exposure]])</f>
        <v>0</v>
      </c>
      <c r="G19" s="108">
        <f ca="1">Table21[[#This Row],[Option Exposure]]+Table21[[#This Row],[Stock Exposure]]</f>
        <v>1713.5050000000001</v>
      </c>
      <c r="H19" s="84">
        <f ca="1">Table21[[#This Row],[Combined Exposure]]/$D$4</f>
        <v>1.0800393941248577E-2</v>
      </c>
      <c r="I19" s="128">
        <f>SUMIF(Table19[Primary theme],Table21[[#This Row],[Primary theme]],Table19[Realized Profit])</f>
        <v>903.45959810874695</v>
      </c>
      <c r="J19" s="128">
        <f ca="1">SUMIF(Table19[Primary theme],Table21[[#This Row],[Primary theme]],Table19[Unrealized Profit])</f>
        <v>677.595401891253</v>
      </c>
      <c r="K19" s="197">
        <f ca="1">IFERROR(Table21[[#This Row],[Unrealized Profit]]/Table21[[#This Row],[Cost basis]],"")</f>
        <v>0.35829625514889479</v>
      </c>
      <c r="L19" s="13" t="b">
        <f ca="1">IF(Table21[[#This Row],[Percentage of Stock Exposure]]&gt;Table21[[#This Row],[Target]],TRUE,FALSE)</f>
        <v>0</v>
      </c>
    </row>
    <row r="20" spans="1:12" hidden="1">
      <c r="A20" s="13" t="s">
        <v>54</v>
      </c>
      <c r="B20" s="105">
        <f ca="1">SUMIF(Table19[[#All],[Primary theme]],Table21[[#This Row],[Primary theme]],Table19[[#All],[Stock Exposure]])</f>
        <v>1932.4775</v>
      </c>
      <c r="C20" s="105">
        <f>SUMIF(Table19[[#All],[Primary theme]],Table21[[#This Row],[Primary theme]],Table19[[#All],[Cost of current position]])</f>
        <v>1068.3816784112748</v>
      </c>
      <c r="D20" s="106">
        <f ca="1">Table21[[#This Row],[Stock Exposure]]/$D$5</f>
        <v>1.4754966858176718E-2</v>
      </c>
      <c r="E20" s="106">
        <v>0.03</v>
      </c>
      <c r="F20" s="105">
        <f ca="1">SUMIF(Table19[[#All],[Primary theme]],Table21[[#This Row],[Primary theme]],Table19[[#All],[Option Exposure]])</f>
        <v>0</v>
      </c>
      <c r="G20" s="108">
        <f ca="1">Table21[[#This Row],[Option Exposure]]+Table21[[#This Row],[Stock Exposure]]</f>
        <v>1932.4775</v>
      </c>
      <c r="H20" s="84">
        <f ca="1">Table21[[#This Row],[Combined Exposure]]/$D$4</f>
        <v>1.2180599579574729E-2</v>
      </c>
      <c r="I20" s="105">
        <f>SUMIF(Table19[Primary theme],Table21[[#This Row],[Primary theme]],Table19[Realized Profit])</f>
        <v>-1483.168321588731</v>
      </c>
      <c r="J20" s="36">
        <f ca="1">SUMIF(Table19[Primary theme],Table21[[#This Row],[Primary theme]],Table19[Unrealized Profit])</f>
        <v>864.09582158872502</v>
      </c>
      <c r="K20" s="129">
        <f ca="1">IFERROR(Table21[[#This Row],[Unrealized Profit]]/Table21[[#This Row],[Cost basis]],"")</f>
        <v>0.80878944205938574</v>
      </c>
      <c r="L20" s="13" t="b">
        <f ca="1">IF(Table21[[#This Row],[Percentage of Stock Exposure]]&gt;Table21[[#This Row],[Target]],TRUE,FALSE)</f>
        <v>0</v>
      </c>
    </row>
    <row r="21" spans="1:12" hidden="1">
      <c r="A21" s="13" t="s">
        <v>136</v>
      </c>
      <c r="B21" s="105">
        <f ca="1">SUMIF(Table19[[#All],[Primary theme]],Table21[[#This Row],[Primary theme]],Table19[[#All],[Stock Exposure]])</f>
        <v>2898.4065999999998</v>
      </c>
      <c r="C21" s="105">
        <f>SUMIF(Table19[[#All],[Primary theme]],Table21[[#This Row],[Primary theme]],Table19[[#All],[Cost of current position]])</f>
        <v>2933.9418057772427</v>
      </c>
      <c r="D21" s="106">
        <f ca="1">Table21[[#This Row],[Stock Exposure]]/$D$5</f>
        <v>2.2130086029214138E-2</v>
      </c>
      <c r="E21" s="106">
        <v>0.06</v>
      </c>
      <c r="F21" s="105">
        <f>SUMIF(Table19[[#All],[Primary theme]],Table21[[#This Row],[Primary theme]],Table19[[#All],[Option Exposure]])</f>
        <v>0</v>
      </c>
      <c r="G21" s="108">
        <f ca="1">Table21[[#This Row],[Option Exposure]]+Table21[[#This Row],[Stock Exposure]]</f>
        <v>2898.4065999999998</v>
      </c>
      <c r="H21" s="84">
        <f ca="1">Table21[[#This Row],[Combined Exposure]]/$D$4</f>
        <v>1.8268947614343049E-2</v>
      </c>
      <c r="I21" s="105">
        <f>SUMIF(Table19[Primary theme],Table21[[#This Row],[Primary theme]],Table19[Realized Profit])</f>
        <v>1380.5718057772431</v>
      </c>
      <c r="J21" s="36">
        <f ca="1">SUMIF(Table19[Primary theme],Table21[[#This Row],[Primary theme]],Table19[Unrealized Profit])</f>
        <v>-35.535205777242709</v>
      </c>
      <c r="K21" s="129">
        <f ca="1">IFERROR(Table21[[#This Row],[Unrealized Profit]]/Table21[[#This Row],[Cost basis]],"")</f>
        <v>-1.2111762308056049E-2</v>
      </c>
      <c r="L21" s="13" t="b">
        <f ca="1">IF(Table21[[#This Row],[Percentage of Stock Exposure]]&gt;Table21[[#This Row],[Target]],TRUE,FALSE)</f>
        <v>0</v>
      </c>
    </row>
    <row r="22" spans="1:12" hidden="1">
      <c r="A22" s="13" t="s">
        <v>258</v>
      </c>
      <c r="B22" s="105">
        <f ca="1">SUMIF(Table19[[#All],[Primary theme]],Table21[[#This Row],[Primary theme]],Table19[[#All],[Stock Exposure]])</f>
        <v>1113.4234999999999</v>
      </c>
      <c r="C22" s="105">
        <f>SUMIF(Table19[[#All],[Primary theme]],Table21[[#This Row],[Primary theme]],Table19[[#All],[Cost of current position]])</f>
        <v>700.35805194805198</v>
      </c>
      <c r="D22" s="106">
        <f ca="1">Table21[[#This Row],[Stock Exposure]]/$D$5</f>
        <v>8.5012771644767532E-3</v>
      </c>
      <c r="E22" s="106">
        <v>0.05</v>
      </c>
      <c r="F22" s="105">
        <f ca="1">SUMIF(Table19[[#All],[Primary theme]],Table21[[#This Row],[Primary theme]],Table19[[#All],[Option Exposure]])</f>
        <v>0</v>
      </c>
      <c r="G22" s="108">
        <f ca="1">Table21[[#This Row],[Option Exposure]]+Table21[[#This Row],[Stock Exposure]]</f>
        <v>1113.4234999999999</v>
      </c>
      <c r="H22" s="84">
        <f ca="1">Table21[[#This Row],[Combined Exposure]]/$D$4</f>
        <v>7.018020036967376E-3</v>
      </c>
      <c r="I22" s="105">
        <f>SUMIF(Table19[Primary theme],Table21[[#This Row],[Primary theme]],Table19[Realized Profit])</f>
        <v>103.44805194805247</v>
      </c>
      <c r="J22" s="36">
        <f ca="1">SUMIF(Table19[Primary theme],Table21[[#This Row],[Primary theme]],Table19[Unrealized Profit])</f>
        <v>413.06544805194807</v>
      </c>
      <c r="K22" s="129">
        <f ca="1">IFERROR(Table21[[#This Row],[Unrealized Profit]]/Table21[[#This Row],[Cost basis]],"")</f>
        <v>0.58979181706129169</v>
      </c>
      <c r="L22" s="13" t="b">
        <f ca="1">IF(Table21[[#This Row],[Percentage of Stock Exposure]]&gt;Table21[[#This Row],[Target]],TRUE,FALSE)</f>
        <v>0</v>
      </c>
    </row>
    <row r="23" spans="1:12" hidden="1">
      <c r="A23" s="13" t="s">
        <v>23</v>
      </c>
      <c r="B23" s="105">
        <f ca="1">SUMIF(Table19[[#All],[Primary theme]],Table21[[#This Row],[Primary theme]],Table19[[#All],[Stock Exposure]])</f>
        <v>203.29999999999998</v>
      </c>
      <c r="C23" s="105">
        <f>SUMIF(Table19[[#All],[Primary theme]],Table21[[#This Row],[Primary theme]],Table19[[#All],[Cost of current position]])</f>
        <v>349.15</v>
      </c>
      <c r="D23" s="106">
        <f ca="1">Table21[[#This Row],[Stock Exposure]]/$D$5</f>
        <v>1.5522482213983484E-3</v>
      </c>
      <c r="E23" s="106">
        <v>0</v>
      </c>
      <c r="F23" s="105">
        <f ca="1">SUMIF(Table19[[#All],[Primary theme]],Table21[[#This Row],[Primary theme]],Table19[[#All],[Option Exposure]])</f>
        <v>0</v>
      </c>
      <c r="G23" s="108">
        <f ca="1">Table21[[#This Row],[Option Exposure]]+Table21[[#This Row],[Stock Exposure]]</f>
        <v>203.29999999999998</v>
      </c>
      <c r="H23" s="106">
        <f ca="1">Table21[[#This Row],[Combined Exposure]]/$D$4</f>
        <v>1.2814202983100927E-3</v>
      </c>
      <c r="I23" s="105">
        <f>SUMIF(Table19[Primary theme],Table21[[#This Row],[Primary theme]],Table19[Realized Profit])</f>
        <v>2042.9017399999998</v>
      </c>
      <c r="J23" s="36">
        <f ca="1">SUMIF(Table19[Primary theme],Table21[[#This Row],[Primary theme]],Table19[Unrealized Profit])</f>
        <v>-145.85000000000002</v>
      </c>
      <c r="K23" s="129">
        <f ca="1">IFERROR(Table21[[#This Row],[Unrealized Profit]]/Table21[[#This Row],[Cost basis]],"")</f>
        <v>-0.4177287698696836</v>
      </c>
      <c r="L23" s="13" t="b">
        <f ca="1">IF(Table21[[#This Row],[Percentage of Stock Exposure]]&gt;Table21[[#This Row],[Target]],TRUE,FALSE)</f>
        <v>1</v>
      </c>
    </row>
    <row r="24" spans="1:12" hidden="1">
      <c r="A24" s="13" t="s">
        <v>133</v>
      </c>
      <c r="B24" s="105">
        <f ca="1">SUMIF(Table19[[#All],[Primary theme]],Table21[[#This Row],[Primary theme]],Table19[[#All],[Stock Exposure]])</f>
        <v>330.59449999999998</v>
      </c>
      <c r="C24" s="105">
        <f>SUMIF(Table19[[#All],[Primary theme]],Table21[[#This Row],[Primary theme]],Table19[[#All],[Cost of current position]])</f>
        <v>446.8900000000001</v>
      </c>
      <c r="D24" s="106">
        <f ca="1">Table21[[#This Row],[Stock Exposure]]/$D$5</f>
        <v>2.5241747399364304E-3</v>
      </c>
      <c r="E24" s="106">
        <v>0.05</v>
      </c>
      <c r="F24" s="105">
        <f ca="1">SUMIF(Table19[[#All],[Primary theme]],Table21[[#This Row],[Primary theme]],Table19[[#All],[Option Exposure]])</f>
        <v>0</v>
      </c>
      <c r="G24" s="108">
        <f ca="1">Table21[[#This Row],[Option Exposure]]+Table21[[#This Row],[Stock Exposure]]</f>
        <v>330.59449999999998</v>
      </c>
      <c r="H24" s="106">
        <f ca="1">Table21[[#This Row],[Combined Exposure]]/$D$4</f>
        <v>2.0837703040318544E-3</v>
      </c>
      <c r="I24" s="105">
        <f>SUMIF(Table19[Primary theme],Table21[[#This Row],[Primary theme]],Table19[Realized Profit])</f>
        <v>-526.6099999999991</v>
      </c>
      <c r="J24" s="36">
        <f ca="1">SUMIF(Table19[Primary theme],Table21[[#This Row],[Primary theme]],Table19[Unrealized Profit])</f>
        <v>-116.29550000000009</v>
      </c>
      <c r="K24" s="129">
        <f ca="1">IFERROR(Table21[[#This Row],[Unrealized Profit]]/Table21[[#This Row],[Cost basis]],"")</f>
        <v>-0.26023294322987772</v>
      </c>
      <c r="L24" s="13" t="b">
        <f ca="1">IF(Table21[[#This Row],[Percentage of Stock Exposure]]&gt;Table21[[#This Row],[Target]],TRUE,FALSE)</f>
        <v>0</v>
      </c>
    </row>
    <row r="25" spans="1:12" hidden="1">
      <c r="A25" s="13" t="s">
        <v>569</v>
      </c>
      <c r="B25" s="128">
        <f ca="1">SUMIF(Table19[[#All],[Primary theme]],Table21[[#This Row],[Primary theme]],Table19[[#All],[Stock Exposure]])</f>
        <v>171.4</v>
      </c>
      <c r="C25" s="128">
        <f>SUMIF(Table19[[#All],[Primary theme]],Table21[[#This Row],[Primary theme]],Table19[[#All],[Cost of current position]])</f>
        <v>136.30000000000001</v>
      </c>
      <c r="D25" s="106">
        <f ca="1">Table21[[#This Row],[Stock Exposure]]/$D$5</f>
        <v>1.3086834488326461E-3</v>
      </c>
      <c r="E25" s="106">
        <v>0</v>
      </c>
      <c r="F25" s="128">
        <f>SUMIF(Table19[[#All],[Primary theme]],Table21[[#This Row],[Primary theme]],Table19[[#All],[Option Exposure]])</f>
        <v>0</v>
      </c>
      <c r="G25" s="108">
        <f ca="1">Table21[[#This Row],[Option Exposure]]+Table21[[#This Row],[Stock Exposure]]</f>
        <v>171.4</v>
      </c>
      <c r="H25" s="106">
        <f ca="1">Table21[[#This Row],[Combined Exposure]]/$D$4</f>
        <v>1.0803513975914899E-3</v>
      </c>
      <c r="I25" s="128">
        <f>SUMIF(Table19[Primary theme],Table21[[#This Row],[Primary theme]],Table19[Realized Profit])</f>
        <v>0</v>
      </c>
      <c r="J25" s="128">
        <f ca="1">SUMIF(Table19[Primary theme],Table21[[#This Row],[Primary theme]],Table19[Unrealized Profit])</f>
        <v>35.099999999999994</v>
      </c>
      <c r="K25" s="197">
        <f ca="1">IFERROR(Table21[[#This Row],[Unrealized Profit]]/Table21[[#This Row],[Cost basis]],"")</f>
        <v>0.25752017608217159</v>
      </c>
      <c r="L25" s="13" t="b">
        <f ca="1">IF(Table21[[#This Row],[Percentage of Stock Exposure]]&gt;Table21[[#This Row],[Target]],TRUE,FALSE)</f>
        <v>1</v>
      </c>
    </row>
    <row r="26" spans="1:12" hidden="1">
      <c r="A26" s="13" t="s">
        <v>550</v>
      </c>
      <c r="B26" s="105">
        <f ca="1">SUMIF(Table19[[#All],[Primary theme]],Table21[[#This Row],[Primary theme]],Table19[[#All],[Stock Exposure]])</f>
        <v>145.75</v>
      </c>
      <c r="C26" s="105">
        <f>SUMIF(Table19[[#All],[Primary theme]],Table21[[#This Row],[Primary theme]],Table19[[#All],[Cost of current position]])</f>
        <v>150.5333333333333</v>
      </c>
      <c r="D26" s="106">
        <f ca="1">Table21[[#This Row],[Stock Exposure]]/$D$5</f>
        <v>1.1128390470674337E-3</v>
      </c>
      <c r="E26" s="106">
        <v>0.08</v>
      </c>
      <c r="F26" s="105">
        <f>SUMIF(Table19[[#All],[Primary theme]],Table21[[#This Row],[Primary theme]],Table19[[#All],[Option Exposure]])</f>
        <v>0</v>
      </c>
      <c r="G26" s="108">
        <f ca="1">Table21[[#This Row],[Option Exposure]]+Table21[[#This Row],[Stock Exposure]]</f>
        <v>145.75</v>
      </c>
      <c r="H26" s="84">
        <f ca="1">Table21[[#This Row],[Combined Exposure]]/$D$4</f>
        <v>9.186768739729269E-4</v>
      </c>
      <c r="I26" s="105">
        <f>SUMIF(Table19[Primary theme],Table21[[#This Row],[Primary theme]],Table19[Realized Profit])</f>
        <v>1830.8433333333337</v>
      </c>
      <c r="J26" s="36">
        <f ca="1">SUMIF(Table19[Primary theme],Table21[[#This Row],[Primary theme]],Table19[Unrealized Profit])</f>
        <v>-4.7833333333333243</v>
      </c>
      <c r="K26" s="129">
        <f ca="1">IFERROR(Table21[[#This Row],[Unrealized Profit]]/Table21[[#This Row],[Cost basis]],"")</f>
        <v>-3.1775907883082322E-2</v>
      </c>
      <c r="L26" s="13" t="b">
        <f ca="1">IF(Table21[[#This Row],[Percentage of Stock Exposure]]&gt;Table21[[#This Row],[Target]],TRUE,FALSE)</f>
        <v>0</v>
      </c>
    </row>
    <row r="27" spans="1:12" hidden="1">
      <c r="A27" s="13" t="s">
        <v>147</v>
      </c>
      <c r="B27" s="128">
        <f ca="1">SUMIF(Table19[[#All],[Primary theme]],Table21[[#This Row],[Primary theme]],Table19[[#All],[Stock Exposure]])</f>
        <v>-990.19999999999993</v>
      </c>
      <c r="C27" s="128">
        <f>SUMIF(Table19[[#All],[Primary theme]],Table21[[#This Row],[Primary theme]],Table19[[#All],[Cost of current position]])</f>
        <v>-2498.1242424242423</v>
      </c>
      <c r="D27" s="106">
        <f ca="1">Table21[[#This Row],[Stock Exposure]]/$D$5</f>
        <v>-7.5604337866632789E-3</v>
      </c>
      <c r="E27" s="106">
        <v>0</v>
      </c>
      <c r="F27" s="128">
        <f ca="1">SUMIF(Table19[[#All],[Primary theme]],Table21[[#This Row],[Primary theme]],Table19[[#All],[Option Exposure]])</f>
        <v>0</v>
      </c>
      <c r="G27" s="108">
        <f ca="1">Table21[[#This Row],[Option Exposure]]+Table21[[#This Row],[Stock Exposure]]</f>
        <v>-990.19999999999993</v>
      </c>
      <c r="H27" s="106">
        <f ca="1">Table21[[#This Row],[Combined Exposure]]/$D$4</f>
        <v>-6.2413299527134961E-3</v>
      </c>
      <c r="I27" s="128">
        <f>SUMIF(Table19[Primary theme],Table21[[#This Row],[Primary theme]],Table19[Realized Profit])</f>
        <v>-2059.984242424242</v>
      </c>
      <c r="J27" s="128">
        <f ca="1">SUMIF(Table19[Primary theme],Table21[[#This Row],[Primary theme]],Table19[Unrealized Profit])</f>
        <v>1507.924242424242</v>
      </c>
      <c r="K27" s="197">
        <f ca="1">IFERROR(Table21[[#This Row],[Unrealized Profit]]/Table21[[#This Row],[Cost basis]],"")</f>
        <v>-0.60362259683326025</v>
      </c>
      <c r="L27" s="13" t="b">
        <f ca="1">IF(Table21[[#This Row],[Percentage of Stock Exposure]]&gt;Table21[[#This Row],[Target]],TRUE,FALSE)</f>
        <v>0</v>
      </c>
    </row>
    <row r="28" spans="1:12" hidden="1">
      <c r="A28" s="13" t="s">
        <v>30</v>
      </c>
      <c r="B28" s="105">
        <f ca="1">SUMIF(Table19[[#All],[Primary theme]],Table21[[#This Row],[Primary theme]],Table19[[#All],[Stock Exposure]])</f>
        <v>0</v>
      </c>
      <c r="C28" s="105">
        <f>SUMIF(Table19[[#All],[Primary theme]],Table21[[#This Row],[Primary theme]],Table19[[#All],[Cost of current position]])</f>
        <v>0</v>
      </c>
      <c r="D28" s="106">
        <f ca="1">Table21[[#This Row],[Stock Exposure]]/$D$5</f>
        <v>0</v>
      </c>
      <c r="E28" s="106">
        <v>0.05</v>
      </c>
      <c r="F28" s="105">
        <f ca="1">SUMIF(Table19[[#All],[Primary theme]],Table21[[#This Row],[Primary theme]],Table19[[#All],[Option Exposure]])</f>
        <v>0</v>
      </c>
      <c r="G28" s="108">
        <f ca="1">Table21[[#This Row],[Option Exposure]]+Table21[[#This Row],[Stock Exposure]]</f>
        <v>0</v>
      </c>
      <c r="H28" s="106">
        <f ca="1">Table21[[#This Row],[Combined Exposure]]/$D$4</f>
        <v>0</v>
      </c>
      <c r="I28" s="105">
        <f>SUMIF(Table19[Primary theme],Table21[[#This Row],[Primary theme]],Table19[Realized Profit])</f>
        <v>4889.7999999999965</v>
      </c>
      <c r="J28" s="36">
        <f ca="1">SUMIF(Table19[Primary theme],Table21[[#This Row],[Primary theme]],Table19[Unrealized Profit])</f>
        <v>0</v>
      </c>
      <c r="K28" s="129" t="str">
        <f ca="1">IFERROR(Table21[[#This Row],[Unrealized Profit]]/Table21[[#This Row],[Cost basis]],"")</f>
        <v/>
      </c>
      <c r="L28" s="13" t="b">
        <f ca="1">IF(Table21[[#This Row],[Percentage of Stock Exposure]]&gt;Table21[[#This Row],[Target]],TRUE,FALSE)</f>
        <v>0</v>
      </c>
    </row>
    <row r="29" spans="1:12" hidden="1">
      <c r="A29" s="13" t="s">
        <v>132</v>
      </c>
      <c r="B29" s="105">
        <f ca="1">SUMIF(Table19[[#All],[Primary theme]],Table21[[#This Row],[Primary theme]],Table19[[#All],[Stock Exposure]])</f>
        <v>0</v>
      </c>
      <c r="C29" s="105">
        <f>SUMIF(Table19[[#All],[Primary theme]],Table21[[#This Row],[Primary theme]],Table19[[#All],[Cost of current position]])</f>
        <v>0</v>
      </c>
      <c r="D29" s="106">
        <f ca="1">Table21[[#This Row],[Stock Exposure]]/$D$5</f>
        <v>0</v>
      </c>
      <c r="E29" s="106">
        <v>0.01</v>
      </c>
      <c r="F29" s="105">
        <f ca="1">SUMIF(Table19[[#All],[Primary theme]],Table21[[#This Row],[Primary theme]],Table19[[#All],[Option Exposure]])</f>
        <v>0</v>
      </c>
      <c r="G29" s="108">
        <f ca="1">Table21[[#This Row],[Option Exposure]]+Table21[[#This Row],[Stock Exposure]]</f>
        <v>0</v>
      </c>
      <c r="H29" s="106">
        <f ca="1">Table21[[#This Row],[Combined Exposure]]/$D$4</f>
        <v>0</v>
      </c>
      <c r="I29" s="105">
        <f>SUMIF(Table19[Primary theme],Table21[[#This Row],[Primary theme]],Table19[Realized Profit])</f>
        <v>-40.369999999999948</v>
      </c>
      <c r="J29" s="36">
        <f ca="1">SUMIF(Table19[Primary theme],Table21[[#This Row],[Primary theme]],Table19[Unrealized Profit])</f>
        <v>0</v>
      </c>
      <c r="K29" s="129" t="str">
        <f ca="1">IFERROR(Table21[[#This Row],[Unrealized Profit]]/Table21[[#This Row],[Cost basis]],"")</f>
        <v/>
      </c>
      <c r="L29" s="13" t="b">
        <f ca="1">IF(Table21[[#This Row],[Percentage of Stock Exposure]]&gt;Table21[[#This Row],[Target]],TRUE,FALSE)</f>
        <v>0</v>
      </c>
    </row>
    <row r="30" spans="1:12" hidden="1">
      <c r="A30" s="13" t="s">
        <v>58</v>
      </c>
      <c r="B30" s="105">
        <f ca="1">SUMIF(Table19[[#All],[Primary theme]],Table21[[#This Row],[Primary theme]],Table19[[#All],[Stock Exposure]])</f>
        <v>0</v>
      </c>
      <c r="C30" s="105">
        <f>SUMIF(Table19[[#All],[Primary theme]],Table21[[#This Row],[Primary theme]],Table19[[#All],[Cost of current position]])</f>
        <v>0</v>
      </c>
      <c r="D30" s="106">
        <f ca="1">Table21[[#This Row],[Stock Exposure]]/$D$5</f>
        <v>0</v>
      </c>
      <c r="E30" s="106">
        <v>0</v>
      </c>
      <c r="F30" s="105">
        <f ca="1">SUMIF(Table19[[#All],[Primary theme]],Table21[[#This Row],[Primary theme]],Table19[[#All],[Option Exposure]])</f>
        <v>0</v>
      </c>
      <c r="G30" s="108">
        <f ca="1">Table21[[#This Row],[Option Exposure]]+Table21[[#This Row],[Stock Exposure]]</f>
        <v>0</v>
      </c>
      <c r="H30" s="106">
        <f ca="1">Table21[[#This Row],[Combined Exposure]]/$D$4</f>
        <v>0</v>
      </c>
      <c r="I30" s="36">
        <f>SUMIF(Table19[Primary theme],Table21[[#This Row],[Primary theme]],Table19[Realized Profit])</f>
        <v>666.27</v>
      </c>
      <c r="J30" s="36">
        <f ca="1">SUMIF(Table19[Primary theme],Table21[[#This Row],[Primary theme]],Table19[Unrealized Profit])</f>
        <v>0</v>
      </c>
      <c r="K30" s="129" t="str">
        <f ca="1">IFERROR(Table21[[#This Row],[Unrealized Profit]]/Table21[[#This Row],[Cost basis]],"")</f>
        <v/>
      </c>
      <c r="L30" s="13" t="b">
        <f ca="1">IF(Table21[[#This Row],[Percentage of Stock Exposure]]&gt;Table21[[#This Row],[Target]],TRUE,FALSE)</f>
        <v>0</v>
      </c>
    </row>
    <row r="31" spans="1:12">
      <c r="A31" s="13" t="s">
        <v>26</v>
      </c>
      <c r="B31" s="105">
        <f ca="1">SUMIF(Table19[[#All],[Primary theme]],Table21[[#This Row],[Primary theme]],Table19[[#All],[Stock Exposure]])</f>
        <v>935.54</v>
      </c>
      <c r="C31" s="105">
        <f>SUMIF(Table19[[#All],[Primary theme]],Table21[[#This Row],[Primary theme]],Table19[[#All],[Cost of current position]])</f>
        <v>946.9818181818182</v>
      </c>
      <c r="D31" s="106">
        <f ca="1">Table21[[#This Row],[Stock Exposure]]/$D$5</f>
        <v>7.1430905117905114E-3</v>
      </c>
      <c r="E31" s="106">
        <v>0</v>
      </c>
      <c r="F31" s="105">
        <f ca="1">SUMIF(Table19[[#All],[Primary theme]],Table21[[#This Row],[Primary theme]],Table19[[#All],[Option Exposure]])</f>
        <v>0</v>
      </c>
      <c r="G31" s="108">
        <f ca="1">Table21[[#This Row],[Option Exposure]]+Table21[[#This Row],[Stock Exposure]]</f>
        <v>935.54</v>
      </c>
      <c r="H31" s="106">
        <f ca="1">Table21[[#This Row],[Combined Exposure]]/$D$4</f>
        <v>5.896802488347389E-3</v>
      </c>
      <c r="I31" s="105">
        <f>SUMIF(Table19[Primary theme],Table21[[#This Row],[Primary theme]],Table19[Realized Profit])</f>
        <v>-455.24818181818193</v>
      </c>
      <c r="J31" s="36">
        <f ca="1">SUMIF(Table19[Primary theme],Table21[[#This Row],[Primary theme]],Table19[Unrealized Profit])</f>
        <v>-11.441818181818149</v>
      </c>
      <c r="K31" s="129">
        <f ca="1">IFERROR(Table21[[#This Row],[Unrealized Profit]]/Table21[[#This Row],[Cost basis]],"")</f>
        <v>-1.2082405345211548E-2</v>
      </c>
      <c r="L31" s="13" t="b">
        <f ca="1">IF(Table21[[#This Row],[Percentage of Stock Exposure]]&gt;Table21[[#This Row],[Target]],TRUE,FALSE)</f>
        <v>1</v>
      </c>
    </row>
    <row r="32" spans="1:12" hidden="1">
      <c r="A32" s="13" t="s">
        <v>55</v>
      </c>
      <c r="B32" s="128">
        <f ca="1">SUMIF(Table19[[#All],[Primary theme]],Table21[[#This Row],[Primary theme]],Table19[[#All],[Stock Exposure]])</f>
        <v>0</v>
      </c>
      <c r="C32" s="128">
        <f>SUMIF(Table19[[#All],[Primary theme]],Table21[[#This Row],[Primary theme]],Table19[[#All],[Cost of current position]])</f>
        <v>0</v>
      </c>
      <c r="D32" s="106">
        <f ca="1">Table21[[#This Row],[Stock Exposure]]/$D$5</f>
        <v>0</v>
      </c>
      <c r="E32" s="129">
        <v>0.04</v>
      </c>
      <c r="F32" s="128">
        <f ca="1">SUMIF(Table19[[#All],[Primary theme]],Table21[[#This Row],[Primary theme]],Table19[[#All],[Option Exposure]])</f>
        <v>0</v>
      </c>
      <c r="G32" s="108">
        <f ca="1">Table21[[#This Row],[Option Exposure]]+Table21[[#This Row],[Stock Exposure]]</f>
        <v>0</v>
      </c>
      <c r="H32" s="129">
        <f ca="1">Table21[[#This Row],[Combined Exposure]]/$D$4</f>
        <v>0</v>
      </c>
      <c r="I32" s="36">
        <f>SUMIF(Table19[Primary theme],Table21[[#This Row],[Primary theme]],Table19[Realized Profit])</f>
        <v>2262.1199999999976</v>
      </c>
      <c r="J32" s="36">
        <f ca="1">SUMIF(Table19[Primary theme],Table21[[#This Row],[Primary theme]],Table19[Unrealized Profit])</f>
        <v>0</v>
      </c>
      <c r="K32" s="84" t="str">
        <f ca="1">IFERROR(Table21[[#This Row],[Unrealized Profit]]/Table21[[#This Row],[Cost basis]],"")</f>
        <v/>
      </c>
      <c r="L32" s="13" t="b">
        <f ca="1">IF(Table21[[#This Row],[Percentage of Stock Exposure]]&gt;Table21[[#This Row],[Target]],TRUE,FALSE)</f>
        <v>0</v>
      </c>
    </row>
    <row r="33" spans="1:12" hidden="1">
      <c r="A33" s="13" t="s">
        <v>358</v>
      </c>
      <c r="B33" s="128">
        <f ca="1">SUMIF(Table19[[#All],[Primary theme]],Table21[[#This Row],[Primary theme]],Table19[[#All],[Stock Exposure]])</f>
        <v>0</v>
      </c>
      <c r="C33" s="128">
        <f>SUMIF(Table19[[#All],[Primary theme]],Table21[[#This Row],[Primary theme]],Table19[[#All],[Cost of current position]])</f>
        <v>0</v>
      </c>
      <c r="D33" s="129">
        <f ca="1">Table21[[#This Row],[Stock Exposure]]/$D$5</f>
        <v>0</v>
      </c>
      <c r="E33" s="129">
        <v>0</v>
      </c>
      <c r="F33" s="128">
        <f>SUMIF(Table19[[#All],[Primary theme]],Table21[[#This Row],[Primary theme]],Table19[[#All],[Option Exposure]])</f>
        <v>0</v>
      </c>
      <c r="G33" s="108">
        <f ca="1">Table21[[#This Row],[Option Exposure]]+Table21[[#This Row],[Stock Exposure]]</f>
        <v>0</v>
      </c>
      <c r="H33" s="129">
        <f ca="1">Table21[[#This Row],[Combined Exposure]]/$D$4</f>
        <v>0</v>
      </c>
      <c r="I33" s="36">
        <f>SUMIF(Table19[Primary theme],Table21[[#This Row],[Primary theme]],Table19[Realized Profit])</f>
        <v>131.75999999999993</v>
      </c>
      <c r="J33" s="36">
        <f ca="1">SUMIF(Table19[Primary theme],Table21[[#This Row],[Primary theme]],Table19[Unrealized Profit])</f>
        <v>0</v>
      </c>
      <c r="K33" s="129" t="str">
        <f ca="1">IFERROR(Table21[[#This Row],[Unrealized Profit]]/Table21[[#This Row],[Cost basis]],"")</f>
        <v/>
      </c>
      <c r="L33" s="13" t="b">
        <f ca="1">IF(Table21[[#This Row],[Percentage of Stock Exposure]]&gt;Table21[[#This Row],[Target]],TRUE,FALSE)</f>
        <v>0</v>
      </c>
    </row>
    <row r="34" spans="1:12" hidden="1">
      <c r="A34" s="13" t="s">
        <v>158</v>
      </c>
      <c r="B34" s="105">
        <f ca="1">SUMIF(Table19[[#All],[Primary theme]],Table21[[#This Row],[Primary theme]],Table19[[#All],[Stock Exposure]])</f>
        <v>0</v>
      </c>
      <c r="C34" s="105">
        <f>SUMIF(Table19[[#All],[Primary theme]],Table21[[#This Row],[Primary theme]],Table19[[#All],[Cost of current position]])</f>
        <v>0</v>
      </c>
      <c r="D34" s="106">
        <f ca="1">Table21[[#This Row],[Stock Exposure]]/$D$5</f>
        <v>0</v>
      </c>
      <c r="E34" s="106">
        <v>0</v>
      </c>
      <c r="F34" s="105">
        <f ca="1">SUMIF(Table19[[#All],[Primary theme]],Table21[[#This Row],[Primary theme]],Table19[[#All],[Option Exposure]])</f>
        <v>0</v>
      </c>
      <c r="G34" s="108">
        <f ca="1">Table21[[#This Row],[Option Exposure]]+Table21[[#This Row],[Stock Exposure]]</f>
        <v>0</v>
      </c>
      <c r="H34" s="106">
        <f ca="1">Table21[[#This Row],[Combined Exposure]]/$D$4</f>
        <v>0</v>
      </c>
      <c r="I34" s="36">
        <f>SUMIF(Table19[Primary theme],Table21[[#This Row],[Primary theme]],Table19[Realized Profit])</f>
        <v>69.980000000000018</v>
      </c>
      <c r="J34" s="36">
        <f ca="1">SUMIF(Table19[Primary theme],Table21[[#This Row],[Primary theme]],Table19[Unrealized Profit])</f>
        <v>0</v>
      </c>
      <c r="K34" s="197" t="str">
        <f ca="1">IFERROR(Table21[[#This Row],[Unrealized Profit]]/Table21[[#This Row],[Cost basis]],"")</f>
        <v/>
      </c>
      <c r="L34" s="13" t="b">
        <f ca="1">IF(Table21[[#This Row],[Percentage of Stock Exposure]]&gt;Table21[[#This Row],[Target]],TRUE,FALSE)</f>
        <v>0</v>
      </c>
    </row>
    <row r="35" spans="1:12" hidden="1">
      <c r="A35" s="13" t="s">
        <v>109</v>
      </c>
      <c r="B35" s="105">
        <f ca="1">SUMIF(Table19[[#All],[Primary theme]],Table21[[#This Row],[Primary theme]],Table19[[#All],[Stock Exposure]])</f>
        <v>0</v>
      </c>
      <c r="C35" s="105">
        <f>SUMIF(Table19[[#All],[Primary theme]],Table21[[#This Row],[Primary theme]],Table19[[#All],[Cost of current position]])</f>
        <v>0</v>
      </c>
      <c r="D35" s="106">
        <f ca="1">Table21[[#This Row],[Stock Exposure]]/$D$5</f>
        <v>0</v>
      </c>
      <c r="E35" s="106">
        <v>0.09</v>
      </c>
      <c r="F35" s="105">
        <f>SUMIF(Table19[[#All],[Primary theme]],Table21[[#This Row],[Primary theme]],Table19[[#All],[Option Exposure]])</f>
        <v>0</v>
      </c>
      <c r="G35" s="108">
        <f ca="1">Table21[[#This Row],[Option Exposure]]+Table21[[#This Row],[Stock Exposure]]</f>
        <v>0</v>
      </c>
      <c r="H35" s="84">
        <f ca="1">Table21[[#This Row],[Combined Exposure]]/$D$4</f>
        <v>0</v>
      </c>
      <c r="I35" s="105">
        <f>SUMIF(Table19[Primary theme],Table21[[#This Row],[Primary theme]],Table19[Realized Profit])</f>
        <v>78.440000000000026</v>
      </c>
      <c r="J35" s="36">
        <f ca="1">SUMIF(Table19[Primary theme],Table21[[#This Row],[Primary theme]],Table19[Unrealized Profit])</f>
        <v>0</v>
      </c>
      <c r="K35" s="129" t="str">
        <f ca="1">IFERROR(Table21[[#This Row],[Unrealized Profit]]/Table21[[#This Row],[Cost basis]],"")</f>
        <v/>
      </c>
      <c r="L35" s="13" t="b">
        <f ca="1">IF(Table21[[#This Row],[Percentage of Stock Exposure]]&gt;Table21[[#This Row],[Target]],TRUE,FALSE)</f>
        <v>0</v>
      </c>
    </row>
    <row r="36" spans="1:12" hidden="1">
      <c r="A36" s="13" t="s">
        <v>120</v>
      </c>
      <c r="B36" s="105">
        <f ca="1">SUMIF(Table19[[#All],[Primary theme]],Table21[[#This Row],[Primary theme]],Table19[[#All],[Stock Exposure]])</f>
        <v>0</v>
      </c>
      <c r="C36" s="105">
        <f>SUMIF(Table19[[#All],[Primary theme]],Table21[[#This Row],[Primary theme]],Table19[[#All],[Cost of current position]])</f>
        <v>0</v>
      </c>
      <c r="D36" s="106">
        <f ca="1">Table21[[#This Row],[Stock Exposure]]/$D$5</f>
        <v>0</v>
      </c>
      <c r="E36" s="106">
        <v>0.01</v>
      </c>
      <c r="F36" s="105">
        <f ca="1">SUMIF(Table19[[#All],[Primary theme]],Table21[[#This Row],[Primary theme]],Table19[[#All],[Option Exposure]])</f>
        <v>0</v>
      </c>
      <c r="G36" s="108">
        <f ca="1">Table21[[#This Row],[Option Exposure]]+Table21[[#This Row],[Stock Exposure]]</f>
        <v>0</v>
      </c>
      <c r="H36" s="106">
        <f ca="1">Table21[[#This Row],[Combined Exposure]]/$D$4</f>
        <v>0</v>
      </c>
      <c r="I36" s="105">
        <f>SUMIF(Table19[Primary theme],Table21[[#This Row],[Primary theme]],Table19[Realized Profit])</f>
        <v>-67.720000000001278</v>
      </c>
      <c r="J36" s="36">
        <f ca="1">SUMIF(Table19[Primary theme],Table21[[#This Row],[Primary theme]],Table19[Unrealized Profit])</f>
        <v>0</v>
      </c>
      <c r="K36" s="129" t="str">
        <f ca="1">IFERROR(Table21[[#This Row],[Unrealized Profit]]/Table21[[#This Row],[Cost basis]],"")</f>
        <v/>
      </c>
      <c r="L36" s="13" t="b">
        <f ca="1">IF(Table21[[#This Row],[Percentage of Stock Exposure]]&gt;Table21[[#This Row],[Target]],TRUE,FALSE)</f>
        <v>0</v>
      </c>
    </row>
    <row r="37" spans="1:12" hidden="1">
      <c r="A37" s="13" t="s">
        <v>122</v>
      </c>
      <c r="B37" s="105">
        <f ca="1">SUMIF(Table19[[#All],[Primary theme]],Table21[[#This Row],[Primary theme]],Table19[[#All],[Stock Exposure]])</f>
        <v>0</v>
      </c>
      <c r="C37" s="105">
        <f>SUMIF(Table19[[#All],[Primary theme]],Table21[[#This Row],[Primary theme]],Table19[[#All],[Cost of current position]])</f>
        <v>0</v>
      </c>
      <c r="D37" s="106">
        <f ca="1">Table21[[#This Row],[Stock Exposure]]/$D$5</f>
        <v>0</v>
      </c>
      <c r="E37" s="106">
        <v>0</v>
      </c>
      <c r="F37" s="105">
        <f>SUMIF(Table19[[#All],[Primary theme]],Table21[[#This Row],[Primary theme]],Table19[[#All],[Option Exposure]])</f>
        <v>0</v>
      </c>
      <c r="G37" s="108">
        <f ca="1">Table21[[#This Row],[Option Exposure]]+Table21[[#This Row],[Stock Exposure]]</f>
        <v>0</v>
      </c>
      <c r="H37" s="84">
        <f ca="1">Table21[[#This Row],[Combined Exposure]]/$D$4</f>
        <v>0</v>
      </c>
      <c r="I37" s="105">
        <f>SUMIF(Table19[Primary theme],Table21[[#This Row],[Primary theme]],Table19[Realized Profit])</f>
        <v>124.35999999999993</v>
      </c>
      <c r="J37" s="36">
        <f ca="1">SUMIF(Table19[Primary theme],Table21[[#This Row],[Primary theme]],Table19[Unrealized Profit])</f>
        <v>0</v>
      </c>
      <c r="K37" s="129" t="str">
        <f ca="1">IFERROR(Table21[[#This Row],[Unrealized Profit]]/Table21[[#This Row],[Cost basis]],"")</f>
        <v/>
      </c>
      <c r="L37" s="13" t="b">
        <f ca="1">IF(Table21[[#This Row],[Percentage of Stock Exposure]]&gt;Table21[[#This Row],[Target]],TRUE,FALSE)</f>
        <v>0</v>
      </c>
    </row>
    <row r="38" spans="1:12" hidden="1">
      <c r="A38" s="13" t="s">
        <v>408</v>
      </c>
      <c r="B38" s="128">
        <f ca="1">SUMIF(Table19[[#All],[Primary theme]],Table21[[#This Row],[Primary theme]],Table19[[#All],[Stock Exposure]])</f>
        <v>0</v>
      </c>
      <c r="C38" s="128">
        <f>SUMIF(Table19[[#All],[Primary theme]],Table21[[#This Row],[Primary theme]],Table19[[#All],[Cost of current position]])</f>
        <v>0</v>
      </c>
      <c r="D38" s="106">
        <f ca="1">Table21[[#This Row],[Stock Exposure]]/$D$5</f>
        <v>0</v>
      </c>
      <c r="E38" s="106">
        <v>0</v>
      </c>
      <c r="F38" s="128">
        <f ca="1">SUMIF(Table19[[#All],[Primary theme]],Table21[[#This Row],[Primary theme]],Table19[[#All],[Option Exposure]])</f>
        <v>0</v>
      </c>
      <c r="G38" s="108">
        <f ca="1">Table21[[#This Row],[Option Exposure]]+Table21[[#This Row],[Stock Exposure]]</f>
        <v>0</v>
      </c>
      <c r="H38" s="106">
        <f ca="1">Table21[[#This Row],[Combined Exposure]]/$D$4</f>
        <v>0</v>
      </c>
      <c r="I38" s="128">
        <f>SUMIF(Table19[Primary theme],Table21[[#This Row],[Primary theme]],Table19[Realized Profit])</f>
        <v>3.9000000000000341</v>
      </c>
      <c r="J38" s="128">
        <f ca="1">SUMIF(Table19[Primary theme],Table21[[#This Row],[Primary theme]],Table19[Unrealized Profit])</f>
        <v>0</v>
      </c>
      <c r="K38" s="197" t="str">
        <f ca="1">IFERROR(Table21[[#This Row],[Unrealized Profit]]/Table21[[#This Row],[Cost basis]],"")</f>
        <v/>
      </c>
      <c r="L38" s="13" t="b">
        <f ca="1">IF(Table21[[#This Row],[Percentage of Stock Exposure]]&gt;Table21[[#This Row],[Target]],TRUE,FALSE)</f>
        <v>0</v>
      </c>
    </row>
    <row r="39" spans="1:12" hidden="1">
      <c r="A39" s="13" t="s">
        <v>131</v>
      </c>
      <c r="B39" s="105">
        <f ca="1">SUMIF(Table19[[#All],[Primary theme]],Table21[[#This Row],[Primary theme]],Table19[[#All],[Stock Exposure]])</f>
        <v>0</v>
      </c>
      <c r="C39" s="105">
        <f>SUMIF(Table19[[#All],[Primary theme]],Table21[[#This Row],[Primary theme]],Table19[[#All],[Cost of current position]])</f>
        <v>0</v>
      </c>
      <c r="D39" s="106">
        <f ca="1">Table21[[#This Row],[Stock Exposure]]/$D$5</f>
        <v>0</v>
      </c>
      <c r="E39" s="106">
        <v>0</v>
      </c>
      <c r="F39" s="105">
        <f>SUMIF(Table19[[#All],[Primary theme]],Table21[[#This Row],[Primary theme]],Table19[[#All],[Option Exposure]])</f>
        <v>0</v>
      </c>
      <c r="G39" s="108">
        <f ca="1">Table21[[#This Row],[Option Exposure]]+Table21[[#This Row],[Stock Exposure]]</f>
        <v>0</v>
      </c>
      <c r="H39" s="84">
        <f ca="1">Table21[[#This Row],[Combined Exposure]]/$D$4</f>
        <v>0</v>
      </c>
      <c r="I39" s="105">
        <f>SUMIF(Table19[Primary theme],Table21[[#This Row],[Primary theme]],Table19[Realized Profit])</f>
        <v>-243.94000000000608</v>
      </c>
      <c r="J39" s="36">
        <f ca="1">SUMIF(Table19[Primary theme],Table21[[#This Row],[Primary theme]],Table19[Unrealized Profit])</f>
        <v>0</v>
      </c>
      <c r="K39" s="129" t="str">
        <f ca="1">IFERROR(Table21[[#This Row],[Unrealized Profit]]/Table21[[#This Row],[Cost basis]],"")</f>
        <v/>
      </c>
      <c r="L39" s="13" t="b">
        <f ca="1">IF(Table21[[#This Row],[Percentage of Stock Exposure]]&gt;Table21[[#This Row],[Target]],TRUE,FALSE)</f>
        <v>0</v>
      </c>
    </row>
    <row r="40" spans="1:12" hidden="1">
      <c r="A40" s="13" t="s">
        <v>293</v>
      </c>
      <c r="B40" s="105">
        <f ca="1">SUMIF(Table19[[#All],[Primary theme]],Table21[[#This Row],[Primary theme]],Table19[[#All],[Stock Exposure]])</f>
        <v>0</v>
      </c>
      <c r="C40" s="105">
        <f>SUMIF(Table19[[#All],[Primary theme]],Table21[[#This Row],[Primary theme]],Table19[[#All],[Cost of current position]])</f>
        <v>0</v>
      </c>
      <c r="D40" s="106">
        <f ca="1">Table21[[#This Row],[Stock Exposure]]/$D$5</f>
        <v>0</v>
      </c>
      <c r="E40" s="106">
        <v>0</v>
      </c>
      <c r="F40" s="105">
        <f>SUMIF(Table19[[#All],[Primary theme]],Table21[[#This Row],[Primary theme]],Table19[[#All],[Option Exposure]])</f>
        <v>0</v>
      </c>
      <c r="G40" s="108">
        <f ca="1">Table21[[#This Row],[Option Exposure]]+Table21[[#This Row],[Stock Exposure]]</f>
        <v>0</v>
      </c>
      <c r="H40" s="84">
        <f ca="1">Table21[[#This Row],[Combined Exposure]]/$D$4</f>
        <v>0</v>
      </c>
      <c r="I40" s="36">
        <f>SUMIF(Table19[Primary theme],Table21[[#This Row],[Primary theme]],Table19[Realized Profit])</f>
        <v>74.380000000000067</v>
      </c>
      <c r="J40" s="36">
        <f ca="1">SUMIF(Table19[Primary theme],Table21[[#This Row],[Primary theme]],Table19[Unrealized Profit])</f>
        <v>0</v>
      </c>
      <c r="K40" s="129" t="str">
        <f ca="1">IFERROR(Table21[[#This Row],[Unrealized Profit]]/Table21[[#This Row],[Cost basis]],"")</f>
        <v/>
      </c>
      <c r="L40" s="13" t="b">
        <f ca="1">IF(Table21[[#This Row],[Percentage of Stock Exposure]]&gt;Table21[[#This Row],[Target]],TRUE,FALSE)</f>
        <v>0</v>
      </c>
    </row>
    <row r="41" spans="1:12" hidden="1">
      <c r="A41" s="13" t="s">
        <v>25</v>
      </c>
      <c r="B41" s="105">
        <f ca="1">SUMIF(Table19[[#All],[Primary theme]],Table21[[#This Row],[Primary theme]],Table19[[#All],[Stock Exposure]])</f>
        <v>0</v>
      </c>
      <c r="C41" s="105">
        <f>SUMIF(Table19[[#All],[Primary theme]],Table21[[#This Row],[Primary theme]],Table19[[#All],[Cost of current position]])</f>
        <v>0</v>
      </c>
      <c r="D41" s="106">
        <f ca="1">Table21[[#This Row],[Stock Exposure]]/$D$5</f>
        <v>0</v>
      </c>
      <c r="E41" s="106">
        <v>0</v>
      </c>
      <c r="F41" s="105">
        <f>SUMIF(Table19[[#All],[Primary theme]],Table21[[#This Row],[Primary theme]],Table19[[#All],[Option Exposure]])</f>
        <v>0</v>
      </c>
      <c r="G41" s="108">
        <f ca="1">Table21[[#This Row],[Option Exposure]]+Table21[[#This Row],[Stock Exposure]]</f>
        <v>0</v>
      </c>
      <c r="H41" s="84">
        <f ca="1">Table21[[#This Row],[Combined Exposure]]/$D$4</f>
        <v>0</v>
      </c>
      <c r="I41" s="36">
        <f>SUMIF(Table19[Primary theme],Table21[[#This Row],[Primary theme]],Table19[Realized Profit])</f>
        <v>11.999999999999993</v>
      </c>
      <c r="J41" s="36">
        <f ca="1">SUMIF(Table19[Primary theme],Table21[[#This Row],[Primary theme]],Table19[Unrealized Profit])</f>
        <v>0</v>
      </c>
      <c r="K41" s="129" t="str">
        <f ca="1">IFERROR(Table21[[#This Row],[Unrealized Profit]]/Table21[[#This Row],[Cost basis]],"")</f>
        <v/>
      </c>
      <c r="L41" s="13" t="b">
        <f ca="1">IF(Table21[[#This Row],[Percentage of Stock Exposure]]&gt;Table21[[#This Row],[Target]],TRUE,FALSE)</f>
        <v>0</v>
      </c>
    </row>
    <row r="42" spans="1:12" hidden="1">
      <c r="A42" s="13" t="s">
        <v>326</v>
      </c>
      <c r="B42" s="105">
        <f ca="1">SUMIF(Table19[[#All],[Primary theme]],Table21[[#This Row],[Primary theme]],Table19[[#All],[Stock Exposure]])</f>
        <v>0</v>
      </c>
      <c r="C42" s="105">
        <f>SUMIF(Table19[[#All],[Primary theme]],Table21[[#This Row],[Primary theme]],Table19[[#All],[Cost of current position]])</f>
        <v>0</v>
      </c>
      <c r="D42" s="106">
        <f ca="1">Table21[[#This Row],[Stock Exposure]]/$D$5</f>
        <v>0</v>
      </c>
      <c r="E42" s="106">
        <v>0</v>
      </c>
      <c r="F42" s="105">
        <f>SUMIF(Table19[[#All],[Primary theme]],Table21[[#This Row],[Primary theme]],Table19[[#All],[Option Exposure]])</f>
        <v>0</v>
      </c>
      <c r="G42" s="108">
        <f ca="1">Table21[[#This Row],[Option Exposure]]+Table21[[#This Row],[Stock Exposure]]</f>
        <v>0</v>
      </c>
      <c r="H42" s="84">
        <f ca="1">Table21[[#This Row],[Combined Exposure]]/$D$4</f>
        <v>0</v>
      </c>
      <c r="I42" s="105">
        <f>SUMIF(Table19[Primary theme],Table21[[#This Row],[Primary theme]],Table19[Realized Profit])</f>
        <v>26.520000000000039</v>
      </c>
      <c r="J42" s="36">
        <f ca="1">SUMIF(Table19[Primary theme],Table21[[#This Row],[Primary theme]],Table19[Unrealized Profit])</f>
        <v>0</v>
      </c>
      <c r="K42" s="196" t="str">
        <f ca="1">IFERROR(Table21[[#This Row],[Unrealized Profit]]/Table21[[#This Row],[Cost basis]],"")</f>
        <v/>
      </c>
      <c r="L42" s="13" t="b">
        <f ca="1">IF(Table21[[#This Row],[Percentage of Stock Exposure]]&gt;Table21[[#This Row],[Target]],TRUE,FALSE)</f>
        <v>0</v>
      </c>
    </row>
    <row r="43" spans="1:12" hidden="1">
      <c r="A43" s="13" t="s">
        <v>126</v>
      </c>
      <c r="B43" s="105">
        <f ca="1">SUMIF(Table19[[#All],[Primary theme]],Table21[[#This Row],[Primary theme]],Table19[[#All],[Stock Exposure]])</f>
        <v>0</v>
      </c>
      <c r="C43" s="105">
        <f>SUMIF(Table19[[#All],[Primary theme]],Table21[[#This Row],[Primary theme]],Table19[[#All],[Cost of current position]])</f>
        <v>0</v>
      </c>
      <c r="D43" s="106">
        <f ca="1">Table21[[#This Row],[Stock Exposure]]/$D$5</f>
        <v>0</v>
      </c>
      <c r="E43" s="106">
        <v>0</v>
      </c>
      <c r="F43" s="105">
        <f>SUMIF(Table19[[#All],[Primary theme]],Table21[[#This Row],[Primary theme]],Table19[[#All],[Option Exposure]])</f>
        <v>0</v>
      </c>
      <c r="G43" s="108">
        <f ca="1">Table21[[#This Row],[Option Exposure]]+Table21[[#This Row],[Stock Exposure]]</f>
        <v>0</v>
      </c>
      <c r="H43" s="84">
        <f ca="1">Table21[[#This Row],[Combined Exposure]]/$D$4</f>
        <v>0</v>
      </c>
      <c r="I43" s="105">
        <f>SUMIF(Table19[Primary theme],Table21[[#This Row],[Primary theme]],Table19[Realized Profit])</f>
        <v>-19.130000000000322</v>
      </c>
      <c r="J43" s="36">
        <f ca="1">SUMIF(Table19[Primary theme],Table21[[#This Row],[Primary theme]],Table19[Unrealized Profit])</f>
        <v>0</v>
      </c>
      <c r="K43" s="196" t="str">
        <f ca="1">IFERROR(Table21[[#This Row],[Unrealized Profit]]/Table21[[#This Row],[Cost basis]],"")</f>
        <v/>
      </c>
      <c r="L43" s="13" t="b">
        <f ca="1">IF(Table21[[#This Row],[Percentage of Stock Exposure]]&gt;Table21[[#This Row],[Target]],TRUE,FALSE)</f>
        <v>0</v>
      </c>
    </row>
    <row r="44" spans="1:12" hidden="1">
      <c r="A44" s="13" t="s">
        <v>134</v>
      </c>
      <c r="B44" s="105">
        <f ca="1">SUMIF(Table19[[#All],[Primary theme]],Table21[[#This Row],[Primary theme]],Table19[[#All],[Stock Exposure]])</f>
        <v>0</v>
      </c>
      <c r="C44" s="105">
        <f>SUMIF(Table19[[#All],[Primary theme]],Table21[[#This Row],[Primary theme]],Table19[[#All],[Cost of current position]])</f>
        <v>0</v>
      </c>
      <c r="D44" s="106">
        <f ca="1">Table21[[#This Row],[Stock Exposure]]/$D$5</f>
        <v>0</v>
      </c>
      <c r="E44" s="106">
        <v>0</v>
      </c>
      <c r="F44" s="105">
        <f>SUMIF(Table19[[#All],[Primary theme]],Table21[[#This Row],[Primary theme]],Table19[[#All],[Option Exposure]])</f>
        <v>0</v>
      </c>
      <c r="G44" s="108">
        <f ca="1">Table21[[#This Row],[Option Exposure]]+Table21[[#This Row],[Stock Exposure]]</f>
        <v>0</v>
      </c>
      <c r="H44" s="84">
        <f ca="1">Table21[[#This Row],[Combined Exposure]]/$D$4</f>
        <v>0</v>
      </c>
      <c r="I44" s="105">
        <f>SUMIF(Table19[Primary theme],Table21[[#This Row],[Primary theme]],Table19[Realized Profit])</f>
        <v>116.75999999999998</v>
      </c>
      <c r="J44" s="36">
        <f ca="1">SUMIF(Table19[Primary theme],Table21[[#This Row],[Primary theme]],Table19[Unrealized Profit])</f>
        <v>0</v>
      </c>
      <c r="K44" s="196" t="str">
        <f ca="1">IFERROR(Table21[[#This Row],[Unrealized Profit]]/Table21[[#This Row],[Cost basis]],"")</f>
        <v/>
      </c>
      <c r="L44" s="13" t="b">
        <f ca="1">IF(Table21[[#This Row],[Percentage of Stock Exposure]]&gt;Table21[[#This Row],[Target]],TRUE,FALSE)</f>
        <v>0</v>
      </c>
    </row>
    <row r="45" spans="1:12" hidden="1">
      <c r="A45" s="13" t="s">
        <v>137</v>
      </c>
      <c r="B45" s="105">
        <f ca="1">SUMIF(Table19[[#All],[Primary theme]],Table21[[#This Row],[Primary theme]],Table19[[#All],[Stock Exposure]])</f>
        <v>0</v>
      </c>
      <c r="C45" s="105">
        <f>SUMIF(Table19[[#All],[Primary theme]],Table21[[#This Row],[Primary theme]],Table19[[#All],[Cost of current position]])</f>
        <v>0</v>
      </c>
      <c r="D45" s="106">
        <f ca="1">Table21[[#This Row],[Stock Exposure]]/$D$5</f>
        <v>0</v>
      </c>
      <c r="E45" s="106">
        <v>0</v>
      </c>
      <c r="F45" s="105">
        <f>SUMIF(Table19[[#All],[Primary theme]],Table21[[#This Row],[Primary theme]],Table19[[#All],[Option Exposure]])</f>
        <v>0</v>
      </c>
      <c r="G45" s="108">
        <f ca="1">Table21[[#This Row],[Option Exposure]]+Table21[[#This Row],[Stock Exposure]]</f>
        <v>0</v>
      </c>
      <c r="H45" s="84">
        <f ca="1">Table21[[#This Row],[Combined Exposure]]/$D$4</f>
        <v>0</v>
      </c>
      <c r="I45" s="105">
        <f>SUMIF(Table19[Primary theme],Table21[[#This Row],[Primary theme]],Table19[Realized Profit])</f>
        <v>-6.4600000000000435</v>
      </c>
      <c r="J45" s="36">
        <f ca="1">SUMIF(Table19[Primary theme],Table21[[#This Row],[Primary theme]],Table19[Unrealized Profit])</f>
        <v>0</v>
      </c>
      <c r="K45" s="196" t="str">
        <f ca="1">IFERROR(Table21[[#This Row],[Unrealized Profit]]/Table21[[#This Row],[Cost basis]],"")</f>
        <v/>
      </c>
      <c r="L45" s="13" t="b">
        <f ca="1">IF(Table21[[#This Row],[Percentage of Stock Exposure]]&gt;Table21[[#This Row],[Target]],TRUE,FALSE)</f>
        <v>0</v>
      </c>
    </row>
    <row r="46" spans="1:12" hidden="1">
      <c r="A46" s="13" t="s">
        <v>294</v>
      </c>
      <c r="B46" s="105">
        <f>SUMIF(Table19[[#All],[Primary theme]],Table21[[#This Row],[Primary theme]],Table19[[#All],[Stock Exposure]])</f>
        <v>0</v>
      </c>
      <c r="C46" s="105">
        <f>SUMIF(Table19[[#All],[Primary theme]],Table21[[#This Row],[Primary theme]],Table19[[#All],[Cost of current position]])</f>
        <v>0</v>
      </c>
      <c r="D46" s="106">
        <f ca="1">Table21[[#This Row],[Stock Exposure]]/$D$5</f>
        <v>0</v>
      </c>
      <c r="E46" s="106">
        <v>0</v>
      </c>
      <c r="F46" s="105">
        <f>SUMIF(Table19[[#All],[Primary theme]],Table21[[#This Row],[Primary theme]],Table19[[#All],[Option Exposure]])</f>
        <v>0</v>
      </c>
      <c r="G46" s="108">
        <f>Table21[[#This Row],[Option Exposure]]+Table21[[#This Row],[Stock Exposure]]</f>
        <v>0</v>
      </c>
      <c r="H46" s="84">
        <f ca="1">Table21[[#This Row],[Combined Exposure]]/$D$4</f>
        <v>0</v>
      </c>
      <c r="I46" s="36">
        <f>SUMIF(Table19[Primary theme],Table21[[#This Row],[Primary theme]],Table19[Realized Profit])</f>
        <v>0</v>
      </c>
      <c r="J46" s="36">
        <f>SUMIF(Table19[Primary theme],Table21[[#This Row],[Primary theme]],Table19[Unrealized Profit])</f>
        <v>0</v>
      </c>
      <c r="K46" s="196" t="str">
        <f>IFERROR(Table21[[#This Row],[Unrealized Profit]]/Table21[[#This Row],[Cost basis]],"")</f>
        <v/>
      </c>
      <c r="L46" s="13" t="b">
        <f ca="1">IF(Table21[[#This Row],[Percentage of Stock Exposure]]&gt;Table21[[#This Row],[Target]],TRUE,FALSE)</f>
        <v>0</v>
      </c>
    </row>
    <row r="47" spans="1:12" hidden="1">
      <c r="A47" s="13" t="s">
        <v>57</v>
      </c>
      <c r="B47" s="128">
        <f ca="1">SUMIF(Table19[[#All],[Primary theme]],Table21[[#This Row],[Primary theme]],Table19[[#All],[Stock Exposure]])</f>
        <v>0</v>
      </c>
      <c r="C47" s="128">
        <f>SUMIF(Table19[[#All],[Primary theme]],Table21[[#This Row],[Primary theme]],Table19[[#All],[Cost of current position]])</f>
        <v>0</v>
      </c>
      <c r="D47" s="106">
        <f ca="1">Table21[[#This Row],[Stock Exposure]]/$D$5</f>
        <v>0</v>
      </c>
      <c r="E47" s="129">
        <v>0</v>
      </c>
      <c r="F47" s="128">
        <f ca="1">SUMIF(Table19[[#All],[Primary theme]],Table21[[#This Row],[Primary theme]],Table19[[#All],[Option Exposure]])</f>
        <v>0</v>
      </c>
      <c r="G47" s="108">
        <f ca="1">Table21[[#This Row],[Option Exposure]]+Table21[[#This Row],[Stock Exposure]]</f>
        <v>0</v>
      </c>
      <c r="H47" s="106">
        <f ca="1">Table21[[#This Row],[Combined Exposure]]/$D$4</f>
        <v>0</v>
      </c>
      <c r="I47" s="128">
        <f>SUMIF(Table19[Primary theme],Table21[[#This Row],[Primary theme]],Table19[Realized Profit])</f>
        <v>-4.9799999999998761</v>
      </c>
      <c r="J47" s="128">
        <f ca="1">SUMIF(Table19[Primary theme],Table21[[#This Row],[Primary theme]],Table19[Unrealized Profit])</f>
        <v>0</v>
      </c>
      <c r="K47" s="197" t="str">
        <f ca="1">IFERROR(Table21[[#This Row],[Unrealized Profit]]/Table21[[#This Row],[Cost basis]],"")</f>
        <v/>
      </c>
      <c r="L47" s="13" t="b">
        <f ca="1">IF(Table21[[#This Row],[Percentage of Stock Exposure]]&gt;Table21[[#This Row],[Target]],TRUE,FALSE)</f>
        <v>0</v>
      </c>
    </row>
    <row r="48" spans="1:12" hidden="1">
      <c r="A48" s="13" t="s">
        <v>139</v>
      </c>
      <c r="B48" s="128">
        <f ca="1">SUMIF(Table19[[#All],[Primary theme]],Table21[[#This Row],[Primary theme]],Table19[[#All],[Stock Exposure]])</f>
        <v>0</v>
      </c>
      <c r="C48" s="128">
        <f>SUMIF(Table19[[#All],[Primary theme]],Table21[[#This Row],[Primary theme]],Table19[[#All],[Cost of current position]])</f>
        <v>0</v>
      </c>
      <c r="D48" s="106">
        <f ca="1">Table21[[#This Row],[Stock Exposure]]/$D$5</f>
        <v>0</v>
      </c>
      <c r="E48" s="106">
        <v>0</v>
      </c>
      <c r="F48" s="128">
        <f ca="1">SUMIF(Table19[[#All],[Primary theme]],Table21[[#This Row],[Primary theme]],Table19[[#All],[Option Exposure]])</f>
        <v>0</v>
      </c>
      <c r="G48" s="108">
        <f ca="1">Table21[[#This Row],[Option Exposure]]+Table21[[#This Row],[Stock Exposure]]</f>
        <v>0</v>
      </c>
      <c r="H48" s="106">
        <f ca="1">Table21[[#This Row],[Combined Exposure]]/$D$4</f>
        <v>0</v>
      </c>
      <c r="I48" s="128">
        <f>SUMIF(Table19[Primary theme],Table21[[#This Row],[Primary theme]],Table19[Realized Profit])</f>
        <v>23.649999999999984</v>
      </c>
      <c r="J48" s="128">
        <f ca="1">SUMIF(Table19[Primary theme],Table21[[#This Row],[Primary theme]],Table19[Unrealized Profit])</f>
        <v>0</v>
      </c>
      <c r="K48" s="197" t="str">
        <f ca="1">IFERROR(Table21[[#This Row],[Unrealized Profit]]/Table21[[#This Row],[Cost basis]],"")</f>
        <v/>
      </c>
      <c r="L48" s="13" t="b">
        <f ca="1">IF(Table21[[#This Row],[Percentage of Stock Exposure]]&gt;Table21[[#This Row],[Target]],TRUE,FALSE)</f>
        <v>0</v>
      </c>
    </row>
    <row r="49" spans="1:12" hidden="1">
      <c r="A49" s="13" t="s">
        <v>1</v>
      </c>
      <c r="B49" s="105">
        <f ca="1">SUMIF(Table19[[#All],[Primary theme]],Table21[[#This Row],[Primary theme]],Table19[[#All],[Stock Exposure]])</f>
        <v>0</v>
      </c>
      <c r="C49" s="105">
        <f>SUMIF(Table19[[#All],[Primary theme]],Table21[[#This Row],[Primary theme]],Table19[[#All],[Cost of current position]])</f>
        <v>0</v>
      </c>
      <c r="D49" s="106">
        <f ca="1">Table21[[#This Row],[Stock Exposure]]/$D$5</f>
        <v>0</v>
      </c>
      <c r="E49" s="106">
        <v>0</v>
      </c>
      <c r="F49" s="105">
        <f ca="1">SUMIF(Table19[[#All],[Primary theme]],Table21[[#This Row],[Primary theme]],Table19[[#All],[Option Exposure]])</f>
        <v>15778.905685450125</v>
      </c>
      <c r="G49" s="108">
        <f ca="1">Table21[[#This Row],[Option Exposure]]+Table21[[#This Row],[Stock Exposure]]</f>
        <v>15778.905685450125</v>
      </c>
      <c r="H49" s="106">
        <f ca="1">Table21[[#This Row],[Combined Exposure]]/$D$4</f>
        <v>9.9456025727773331E-2</v>
      </c>
      <c r="I49" s="105">
        <f>SUMIF(Table19[Primary theme],Table21[[#This Row],[Primary theme]],Table19[Realized Profit])</f>
        <v>-182.25000000000003</v>
      </c>
      <c r="J49" s="36">
        <f ca="1">SUMIF(Table19[Primary theme],Table21[[#This Row],[Primary theme]],Table19[Unrealized Profit])</f>
        <v>0</v>
      </c>
      <c r="K49" s="129" t="str">
        <f ca="1">IFERROR(Table21[[#This Row],[Unrealized Profit]]/Table21[[#This Row],[Cost basis]],"")</f>
        <v/>
      </c>
      <c r="L49" s="13" t="b">
        <f ca="1">IF(Table21[[#This Row],[Percentage of Stock Exposure]]&gt;Table21[[#This Row],[Target]],TRUE,FALSE)</f>
        <v>0</v>
      </c>
    </row>
    <row r="50" spans="1:12" hidden="1">
      <c r="A50" s="13" t="s">
        <v>59</v>
      </c>
      <c r="B50" s="128">
        <f ca="1">SUMIF(Table19[[#All],[Primary theme]],Table21[[#This Row],[Primary theme]],Table19[[#All],[Stock Exposure]])</f>
        <v>-296.88</v>
      </c>
      <c r="C50" s="128">
        <f>SUMIF(Table19[[#All],[Primary theme]],Table21[[#This Row],[Primary theme]],Table19[[#All],[Cost of current position]])</f>
        <v>0</v>
      </c>
      <c r="D50" s="106">
        <f ca="1">Table21[[#This Row],[Stock Exposure]]/$D$5</f>
        <v>-2.2667557893199298E-3</v>
      </c>
      <c r="E50" s="106">
        <v>0</v>
      </c>
      <c r="F50" s="128">
        <f>SUMIF(Table19[[#All],[Primary theme]],Table21[[#This Row],[Primary theme]],Table19[[#All],[Option Exposure]])</f>
        <v>0</v>
      </c>
      <c r="G50" s="108">
        <f ca="1">Table21[[#This Row],[Option Exposure]]+Table21[[#This Row],[Stock Exposure]]</f>
        <v>-296.88</v>
      </c>
      <c r="H50" s="106">
        <f ca="1">Table21[[#This Row],[Combined Exposure]]/$D$4</f>
        <v>-1.8712644277535679E-3</v>
      </c>
      <c r="I50" s="128">
        <f>SUMIF(Table19[Primary theme],Table21[[#This Row],[Primary theme]],Table19[Realized Profit])</f>
        <v>0</v>
      </c>
      <c r="J50" s="128">
        <f ca="1">SUMIF(Table19[Primary theme],Table21[[#This Row],[Primary theme]],Table19[Unrealized Profit])</f>
        <v>0</v>
      </c>
      <c r="K50" s="197" t="str">
        <f ca="1">IFERROR(Table21[[#This Row],[Unrealized Profit]]/Table21[[#This Row],[Cost basis]],"")</f>
        <v/>
      </c>
      <c r="L50" s="13" t="b">
        <f ca="1">IF(Table21[[#This Row],[Percentage of Stock Exposure]]&gt;Table21[[#This Row],[Target]],TRUE,FALSE)</f>
        <v>0</v>
      </c>
    </row>
  </sheetData>
  <conditionalFormatting sqref="I10:I30 H9">
    <cfRule type="dataBar" priority="2566">
      <dataBar>
        <cfvo type="min"/>
        <cfvo type="max"/>
        <color rgb="FF63C384"/>
      </dataBar>
      <extLst>
        <ext xmlns:x14="http://schemas.microsoft.com/office/spreadsheetml/2009/9/main" uri="{B025F937-C7B1-47D3-B67F-A62EFF666E3E}">
          <x14:id>{48B2BDD4-EED9-7147-894B-C59CE553B5A0}</x14:id>
        </ext>
      </extLst>
    </cfRule>
  </conditionalFormatting>
  <conditionalFormatting sqref="L10:L50">
    <cfRule type="cellIs" dxfId="24" priority="1" operator="equal">
      <formula>TRUE</formula>
    </cfRule>
  </conditionalFormatting>
  <conditionalFormatting sqref="D10:D50">
    <cfRule type="dataBar" priority="4531">
      <dataBar>
        <cfvo type="min"/>
        <cfvo type="max"/>
        <color rgb="FF63C384"/>
      </dataBar>
      <extLst>
        <ext xmlns:x14="http://schemas.microsoft.com/office/spreadsheetml/2009/9/main" uri="{B025F937-C7B1-47D3-B67F-A62EFF666E3E}">
          <x14:id>{1755C1DF-A33B-FF46-A988-6C9F652B7546}</x14:id>
        </ext>
      </extLst>
    </cfRule>
  </conditionalFormatting>
  <conditionalFormatting sqref="H10:H50">
    <cfRule type="dataBar" priority="4532">
      <dataBar>
        <cfvo type="min"/>
        <cfvo type="max"/>
        <color rgb="FF63C384"/>
      </dataBar>
      <extLst>
        <ext xmlns:x14="http://schemas.microsoft.com/office/spreadsheetml/2009/9/main" uri="{B025F937-C7B1-47D3-B67F-A62EFF666E3E}">
          <x14:id>{8C1B567B-0EC6-444F-AD5E-9AF1DE957DC6}</x14:id>
        </ext>
      </extLst>
    </cfRule>
  </conditionalFormatting>
  <conditionalFormatting sqref="J11:J50">
    <cfRule type="dataBar" priority="4533">
      <dataBar>
        <cfvo type="min"/>
        <cfvo type="max"/>
        <color rgb="FF63C384"/>
      </dataBar>
      <extLst>
        <ext xmlns:x14="http://schemas.microsoft.com/office/spreadsheetml/2009/9/main" uri="{B025F937-C7B1-47D3-B67F-A62EFF666E3E}">
          <x14:id>{0E74491D-6B78-BF41-AC56-56340F4FA464}</x14:id>
        </ext>
      </extLst>
    </cfRule>
  </conditionalFormatting>
  <conditionalFormatting sqref="K11:K50">
    <cfRule type="dataBar" priority="4534">
      <dataBar>
        <cfvo type="min"/>
        <cfvo type="max"/>
        <color rgb="FF63C384"/>
      </dataBar>
      <extLst>
        <ext xmlns:x14="http://schemas.microsoft.com/office/spreadsheetml/2009/9/main" uri="{B025F937-C7B1-47D3-B67F-A62EFF666E3E}">
          <x14:id>{E9BF3F08-ABE2-B741-8241-3B834D970729}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8B2BDD4-EED9-7147-894B-C59CE553B5A0}">
            <x14:dataBar minLength="0" maxLength="100" border="1" negativeBarBorderColorSameAsPositive="0">
              <x14:cfvo type="autoMin"/>
              <x14:cfvo type="autoMax"/>
              <x14:borderColor rgb="FF63C384"/>
              <x14:negativeFillColor rgb="FFFF0000"/>
              <x14:negativeBorderColor rgb="FFFF0000"/>
              <x14:axisColor rgb="FF000000"/>
            </x14:dataBar>
          </x14:cfRule>
          <xm:sqref>I10:I30 H9</xm:sqref>
        </x14:conditionalFormatting>
        <x14:conditionalFormatting xmlns:xm="http://schemas.microsoft.com/office/excel/2006/main">
          <x14:cfRule type="dataBar" id="{1755C1DF-A33B-FF46-A988-6C9F652B7546}">
            <x14:dataBar minLength="0" maxLength="100" border="1" negativeBarBorderColorSameAsPositive="0">
              <x14:cfvo type="autoMin"/>
              <x14:cfvo type="autoMax"/>
              <x14:borderColor rgb="FF63C384"/>
              <x14:negativeFillColor rgb="FFFF0000"/>
              <x14:negativeBorderColor rgb="FFFF0000"/>
              <x14:axisColor rgb="FF000000"/>
            </x14:dataBar>
          </x14:cfRule>
          <xm:sqref>D10:D50</xm:sqref>
        </x14:conditionalFormatting>
        <x14:conditionalFormatting xmlns:xm="http://schemas.microsoft.com/office/excel/2006/main">
          <x14:cfRule type="dataBar" id="{8C1B567B-0EC6-444F-AD5E-9AF1DE957DC6}">
            <x14:dataBar minLength="0" maxLength="100" border="1" negativeBarBorderColorSameAsPositive="0">
              <x14:cfvo type="autoMin"/>
              <x14:cfvo type="autoMax"/>
              <x14:borderColor rgb="FF63C384"/>
              <x14:negativeFillColor rgb="FFFF0000"/>
              <x14:negativeBorderColor rgb="FFFF0000"/>
              <x14:axisColor rgb="FF000000"/>
            </x14:dataBar>
          </x14:cfRule>
          <xm:sqref>H10:H50</xm:sqref>
        </x14:conditionalFormatting>
        <x14:conditionalFormatting xmlns:xm="http://schemas.microsoft.com/office/excel/2006/main">
          <x14:cfRule type="dataBar" id="{0E74491D-6B78-BF41-AC56-56340F4FA464}">
            <x14:dataBar minLength="0" maxLength="100" border="1" negativeBarBorderColorSameAsPositive="0">
              <x14:cfvo type="autoMin"/>
              <x14:cfvo type="autoMax"/>
              <x14:borderColor rgb="FF63C384"/>
              <x14:negativeFillColor rgb="FFFF0000"/>
              <x14:negativeBorderColor rgb="FFFF0000"/>
              <x14:axisColor rgb="FF000000"/>
            </x14:dataBar>
          </x14:cfRule>
          <xm:sqref>J11:J50</xm:sqref>
        </x14:conditionalFormatting>
        <x14:conditionalFormatting xmlns:xm="http://schemas.microsoft.com/office/excel/2006/main">
          <x14:cfRule type="dataBar" id="{E9BF3F08-ABE2-B741-8241-3B834D970729}">
            <x14:dataBar minLength="0" maxLength="100" border="1" negativeBarBorderColorSameAsPositive="0">
              <x14:cfvo type="autoMin"/>
              <x14:cfvo type="autoMax"/>
              <x14:borderColor rgb="FF63C384"/>
              <x14:negativeFillColor rgb="FFFF0000"/>
              <x14:negativeBorderColor rgb="FFFF0000"/>
              <x14:axisColor rgb="FF000000"/>
            </x14:dataBar>
          </x14:cfRule>
          <xm:sqref>K11:K50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8E92-DB89-8740-B86F-EC4AD8E59C4A}">
  <dimension ref="A1:J113"/>
  <sheetViews>
    <sheetView topLeftCell="A31" workbookViewId="0">
      <pane xSplit="1" topLeftCell="B1" activePane="topRight" state="frozen"/>
      <selection pane="topRight" activeCell="D128" sqref="D128"/>
    </sheetView>
  </sheetViews>
  <sheetFormatPr baseColWidth="10" defaultRowHeight="16"/>
  <cols>
    <col min="1" max="1" width="31" bestFit="1" customWidth="1"/>
    <col min="2" max="2" width="17.33203125" bestFit="1" customWidth="1"/>
    <col min="3" max="3" width="23.5" bestFit="1" customWidth="1"/>
    <col min="4" max="4" width="19" bestFit="1" customWidth="1"/>
    <col min="5" max="5" width="12.5" bestFit="1" customWidth="1"/>
    <col min="6" max="6" width="19.1640625" bestFit="1" customWidth="1"/>
    <col min="7" max="8" width="19.1640625" customWidth="1"/>
    <col min="9" max="9" width="17" customWidth="1"/>
    <col min="10" max="10" width="15.5" bestFit="1" customWidth="1"/>
    <col min="11" max="11" width="16.1640625" customWidth="1"/>
  </cols>
  <sheetData>
    <row r="1" spans="1:10" ht="35" thickBot="1">
      <c r="A1" s="52" t="s">
        <v>163</v>
      </c>
      <c r="C1" s="69" t="s">
        <v>195</v>
      </c>
      <c r="D1" s="70">
        <f>SUM(Table26[[#All],[Current Exposure]])</f>
        <v>37073.16930348835</v>
      </c>
      <c r="F1" t="s">
        <v>543</v>
      </c>
      <c r="G1" s="59">
        <f>SUM(Table228[Realized Profit])</f>
        <v>-2062874.6591487657</v>
      </c>
    </row>
    <row r="3" spans="1:10">
      <c r="A3" s="83">
        <v>1</v>
      </c>
      <c r="B3" s="83">
        <v>2</v>
      </c>
      <c r="C3" s="83">
        <v>3</v>
      </c>
      <c r="D3" s="83">
        <v>4</v>
      </c>
      <c r="E3" s="83">
        <v>5</v>
      </c>
      <c r="F3" s="83">
        <v>6</v>
      </c>
      <c r="G3" s="83">
        <v>7</v>
      </c>
      <c r="H3" s="83">
        <v>8</v>
      </c>
      <c r="I3" s="83">
        <v>9</v>
      </c>
      <c r="J3" s="83">
        <v>10</v>
      </c>
    </row>
    <row r="4" spans="1:10">
      <c r="A4" t="s">
        <v>61</v>
      </c>
      <c r="B4" t="s">
        <v>164</v>
      </c>
      <c r="C4" s="4" t="s">
        <v>206</v>
      </c>
      <c r="D4" s="4" t="s">
        <v>24</v>
      </c>
      <c r="E4" t="s">
        <v>165</v>
      </c>
      <c r="F4" s="4" t="s">
        <v>42</v>
      </c>
      <c r="G4" s="4" t="s">
        <v>187</v>
      </c>
      <c r="H4" s="77" t="s">
        <v>202</v>
      </c>
      <c r="I4" s="77" t="s">
        <v>256</v>
      </c>
      <c r="J4" s="72" t="s">
        <v>2</v>
      </c>
    </row>
    <row r="5" spans="1:10">
      <c r="A5" t="s">
        <v>35</v>
      </c>
      <c r="B5" t="s">
        <v>166</v>
      </c>
      <c r="C5" s="4">
        <f>IFERROR(VLOOKUP(Table26[[#This Row],[Asset]],Table228[],19,FALSE),0)</f>
        <v>-38.519380395139478</v>
      </c>
      <c r="D5" s="4">
        <f>IFERROR(VLOOKUP(Table26[[#This Row],[Asset]],Table228[#All],20,FALSE),0)</f>
        <v>1671.0622485951437</v>
      </c>
      <c r="E5" t="s">
        <v>13</v>
      </c>
      <c r="F5" s="4">
        <f>Table26[[#This Row],[How many tokens]]*Table26[[#This Row],[Current Price]]</f>
        <v>12792.772000000003</v>
      </c>
      <c r="G5" s="4">
        <f>IFERROR(VLOOKUP(Table26[[#This Row],[Asset]],Table228[#All],16,FALSE),0)</f>
        <v>147.79366487097758</v>
      </c>
      <c r="H5" s="77">
        <f>IFERROR(VLOOKUP(Table26[[#This Row],[Asset]],Table228[#All],18,FALSE),0)</f>
        <v>75.25160000000001</v>
      </c>
      <c r="I5" s="84">
        <f>IFERROR((Table26[[#This Row],[Current Price]]-Table26[[#This Row],[Average Entry]])/Table26[[#This Row],[Average Entry]],0)</f>
        <v>0.15025228008526842</v>
      </c>
      <c r="J5" s="71">
        <v>170</v>
      </c>
    </row>
    <row r="6" spans="1:10">
      <c r="A6" t="s">
        <v>426</v>
      </c>
      <c r="B6" t="s">
        <v>194</v>
      </c>
      <c r="C6" s="4">
        <f>IFERROR(VLOOKUP(Table26[[#This Row],[Asset]],Table228[],19,FALSE),0)</f>
        <v>-3799.3442215816672</v>
      </c>
      <c r="D6" s="4">
        <f>IFERROR(VLOOKUP(Table26[[#This Row],[Asset]],Table228[#All],20,FALSE),0)</f>
        <v>440.80881638076522</v>
      </c>
      <c r="E6" t="s">
        <v>13</v>
      </c>
      <c r="F6" s="4">
        <f>Table26[[#This Row],[How many tokens]]*Table26[[#This Row],[Current Price]]</f>
        <v>-859.57881863509783</v>
      </c>
      <c r="G6" s="4">
        <f>IFERROR(VLOOKUP(Table26[[#This Row],[Asset]],Table228[#All],16,FALSE),0)</f>
        <v>6.4768343066359632E-2</v>
      </c>
      <c r="H6" s="77">
        <f>IFERROR(VLOOKUP(Table26[[#This Row],[Asset]],Table228[#All],18,FALSE),0)</f>
        <v>-20077.518945999997</v>
      </c>
      <c r="I6" s="84">
        <f>IFERROR((Table26[[#This Row],[Current Price]]-Table26[[#This Row],[Average Entry]])/Table26[[#This Row],[Average Entry]],0)</f>
        <v>-0.33898262680372837</v>
      </c>
      <c r="J6" s="71">
        <v>4.2812999999999997E-2</v>
      </c>
    </row>
    <row r="7" spans="1:10">
      <c r="A7" t="s">
        <v>291</v>
      </c>
      <c r="B7" t="s">
        <v>191</v>
      </c>
      <c r="C7" s="4">
        <f>IFERROR(VLOOKUP(Table26[[#This Row],[Asset]],Table228[],19,FALSE),0)</f>
        <v>-3890.4227735867225</v>
      </c>
      <c r="D7" s="4">
        <f>IFERROR(VLOOKUP(Table26[[#This Row],[Asset]],Table228[#All],20,FALSE),0)</f>
        <v>-4.4737623277602542E-2</v>
      </c>
      <c r="E7" t="s">
        <v>8</v>
      </c>
      <c r="F7" s="4">
        <f>Table26[[#This Row],[How many tokens]]*Table26[[#This Row],[Current Price]]</f>
        <v>1.5902500000083818E-2</v>
      </c>
      <c r="G7" s="4">
        <f>IFERROR(VLOOKUP(Table26[[#This Row],[Asset]],Table228[#All],16,FALSE),0)</f>
        <v>9.5331116612744432E-2</v>
      </c>
      <c r="H7" s="77">
        <f>IFERROR(VLOOKUP(Table26[[#This Row],[Asset]],Table228[#All],18,FALSE),0)</f>
        <v>0.63610000000335276</v>
      </c>
      <c r="I7" s="84">
        <f>IFERROR((Table26[[#This Row],[Current Price]]-Table26[[#This Row],[Average Entry]])/Table26[[#This Row],[Average Entry]],0)</f>
        <v>-0.73775613998569445</v>
      </c>
      <c r="J7" s="71">
        <v>2.5000000000000001E-2</v>
      </c>
    </row>
    <row r="8" spans="1:10">
      <c r="A8" t="s">
        <v>458</v>
      </c>
      <c r="C8" s="4">
        <f>IFERROR(VLOOKUP(Table26[[#This Row],[Asset]],Table228[],19,FALSE),0)</f>
        <v>0</v>
      </c>
      <c r="D8" s="4">
        <f>IFERROR(VLOOKUP(Table26[[#This Row],[Asset]],Table228[#All],20,FALSE),0)</f>
        <v>-630</v>
      </c>
      <c r="E8" t="s">
        <v>13</v>
      </c>
      <c r="F8" s="4">
        <f>Table26[[#This Row],[How many tokens]]*Table26[[#This Row],[Current Price]]</f>
        <v>4290</v>
      </c>
      <c r="G8" s="4">
        <f>IFERROR(VLOOKUP(Table26[[#This Row],[Asset]],Table228[#All],16,FALSE),0)</f>
        <v>4920</v>
      </c>
      <c r="H8" s="77">
        <f>IFERROR(VLOOKUP(Table26[[#This Row],[Asset]],Table228[#All],18,FALSE),0)</f>
        <v>1</v>
      </c>
      <c r="I8" s="84">
        <f>IFERROR((Table26[[#This Row],[Current Price]]-Table26[[#This Row],[Average Entry]])/Table26[[#This Row],[Average Entry]],0)</f>
        <v>-0.12804878048780488</v>
      </c>
      <c r="J8" s="71">
        <v>4290</v>
      </c>
    </row>
    <row r="9" spans="1:10">
      <c r="A9" t="s">
        <v>179</v>
      </c>
      <c r="B9" t="s">
        <v>18</v>
      </c>
      <c r="C9" s="4">
        <f>IFERROR(VLOOKUP(Table26[[#This Row],[Asset]],Table228[],19,FALSE),0)</f>
        <v>-4089.5824499999999</v>
      </c>
      <c r="D9" s="4">
        <f>IFERROR(VLOOKUP(Table26[[#This Row],[Asset]],Table228[#All],20,FALSE),0)</f>
        <v>0</v>
      </c>
      <c r="E9" t="s">
        <v>13</v>
      </c>
      <c r="F9" s="4">
        <f>Table26[[#This Row],[How many tokens]]*Table26[[#This Row],[Current Price]]</f>
        <v>0</v>
      </c>
      <c r="G9" s="4">
        <f>IFERROR(VLOOKUP(Table26[[#This Row],[Asset]],Table228[#All],16,FALSE),0)</f>
        <v>927.90565000000004</v>
      </c>
      <c r="H9" s="77">
        <f>IFERROR(VLOOKUP(Table26[[#This Row],[Asset]],Table228[#All],18,FALSE),0)</f>
        <v>0</v>
      </c>
      <c r="I9" s="84">
        <f>IFERROR((Table26[[#This Row],[Current Price]]-Table26[[#This Row],[Average Entry]])/Table26[[#This Row],[Average Entry]],0)</f>
        <v>-0.31889626924892633</v>
      </c>
      <c r="J9" s="71">
        <v>632</v>
      </c>
    </row>
    <row r="10" spans="1:10">
      <c r="A10" t="s">
        <v>273</v>
      </c>
      <c r="B10" t="s">
        <v>491</v>
      </c>
      <c r="C10" s="4">
        <f>IFERROR(VLOOKUP(Table26[[#This Row],[Asset]],Table228[],19,FALSE),0)</f>
        <v>-12004.72275074883</v>
      </c>
      <c r="D10" s="4">
        <f>IFERROR(VLOOKUP(Table26[[#This Row],[Asset]],Table228[#All],20,FALSE),0)</f>
        <v>3.3201483899333983E-3</v>
      </c>
      <c r="E10" t="s">
        <v>13</v>
      </c>
      <c r="F10" s="4">
        <f>Table26[[#This Row],[How many tokens]]*Table26[[#This Row],[Current Price]]</f>
        <v>-1.8728710005525499E-3</v>
      </c>
      <c r="G10" s="4">
        <f>IFERROR(VLOOKUP(Table26[[#This Row],[Asset]],Table228[#All],16,FALSE),0)</f>
        <v>3.0500345874591717E-2</v>
      </c>
      <c r="H10" s="77">
        <f>IFERROR(VLOOKUP(Table26[[#This Row],[Asset]],Table228[#All],18,FALSE),0)</f>
        <v>-0.17026100005023181</v>
      </c>
      <c r="I10" s="84">
        <f>IFERROR((Table26[[#This Row],[Current Price]]-Table26[[#This Row],[Average Entry]])/Table26[[#This Row],[Average Entry]],0)</f>
        <v>-0.63934835213906416</v>
      </c>
      <c r="J10" s="71">
        <v>1.0999999999999999E-2</v>
      </c>
    </row>
    <row r="11" spans="1:10">
      <c r="A11" t="s">
        <v>226</v>
      </c>
      <c r="B11" t="s">
        <v>135</v>
      </c>
      <c r="C11" s="4">
        <f>IFERROR(VLOOKUP(Table26[[#This Row],[Asset]],Table228[],19,FALSE),0)</f>
        <v>-813.5145918885006</v>
      </c>
      <c r="D11" s="4">
        <f>IFERROR(VLOOKUP(Table26[[#This Row],[Asset]],Table228[#All],20,FALSE),0)</f>
        <v>-2.3737984763883032E-6</v>
      </c>
      <c r="E11" t="s">
        <v>13</v>
      </c>
      <c r="F11" s="4">
        <f>Table26[[#This Row],[How many tokens]]*Table26[[#This Row],[Current Price]]</f>
        <v>-2.8936298633925618E-5</v>
      </c>
      <c r="G11" s="4">
        <f>IFERROR(VLOOKUP(Table26[[#This Row],[Asset]],Table228[#All],16,FALSE),0)</f>
        <v>4.8560331648163348E-2</v>
      </c>
      <c r="H11" s="77">
        <f>IFERROR(VLOOKUP(Table26[[#This Row],[Asset]],Table228[#All],18,FALSE),0)</f>
        <v>-5.4699997417628765E-4</v>
      </c>
      <c r="I11" s="84">
        <f>IFERROR((Table26[[#This Row],[Current Price]]-Table26[[#This Row],[Average Entry]])/Table26[[#This Row],[Average Entry]],0)</f>
        <v>8.9366530345778433E-2</v>
      </c>
      <c r="J11" s="71">
        <v>5.2900000000000003E-2</v>
      </c>
    </row>
    <row r="12" spans="1:10">
      <c r="A12" t="s">
        <v>193</v>
      </c>
      <c r="B12" t="s">
        <v>194</v>
      </c>
      <c r="C12" s="4">
        <f>IFERROR(VLOOKUP(Table26[[#This Row],[Asset]],Table228[],19,FALSE),0)</f>
        <v>4550</v>
      </c>
      <c r="D12" s="4">
        <f>IFERROR(VLOOKUP(Table26[[#This Row],[Asset]],Table228[#All],20,FALSE),0)</f>
        <v>-210</v>
      </c>
      <c r="E12" t="s">
        <v>13</v>
      </c>
      <c r="F12" s="4">
        <f>Table26[[#This Row],[How many tokens]]*Table26[[#This Row],[Current Price]]</f>
        <v>2190</v>
      </c>
      <c r="G12" s="4">
        <f>IFERROR(VLOOKUP(Table26[[#This Row],[Asset]],Table228[#All],16,FALSE),0)</f>
        <v>4800</v>
      </c>
      <c r="H12" s="77">
        <f>IFERROR(VLOOKUP(Table26[[#This Row],[Asset]],Table228[#All],18,FALSE),0)</f>
        <v>0.5</v>
      </c>
      <c r="I12" s="84">
        <f>IFERROR((Table26[[#This Row],[Current Price]]-Table26[[#This Row],[Average Entry]])/Table26[[#This Row],[Average Entry]],0)</f>
        <v>-8.7499999999999994E-2</v>
      </c>
      <c r="J12" s="71">
        <v>4380</v>
      </c>
    </row>
    <row r="13" spans="1:10">
      <c r="A13" t="s">
        <v>482</v>
      </c>
      <c r="C13" s="4">
        <f>IFERROR(VLOOKUP(Table26[[#This Row],[Asset]],Table228[],19,FALSE),0)</f>
        <v>0</v>
      </c>
      <c r="D13" s="4">
        <f>IFERROR(VLOOKUP(Table26[[#This Row],[Asset]],Table228[#All],20,FALSE),0)</f>
        <v>-1436.7318375</v>
      </c>
      <c r="F13" s="4">
        <f>Table26[[#This Row],[How many tokens]]*Table26[[#This Row],[Current Price]]</f>
        <v>440.19018000000005</v>
      </c>
      <c r="G13" s="4">
        <f>IFERROR(VLOOKUP(Table26[[#This Row],[Asset]],Table228[#All],16,FALSE),0)</f>
        <v>23.024999999999999</v>
      </c>
      <c r="H13" s="77">
        <f>IFERROR(VLOOKUP(Table26[[#This Row],[Asset]],Table228[#All],18,FALSE),0)</f>
        <v>81.5167</v>
      </c>
      <c r="I13" s="84">
        <f>IFERROR((Table26[[#This Row],[Current Price]]-Table26[[#This Row],[Average Entry]])/Table26[[#This Row],[Average Entry]],0)</f>
        <v>-0.76547231270358307</v>
      </c>
      <c r="J13" s="71">
        <v>5.4</v>
      </c>
    </row>
    <row r="14" spans="1:10">
      <c r="A14" t="s">
        <v>493</v>
      </c>
      <c r="C14" s="4">
        <f>IFERROR(VLOOKUP(Table26[[#This Row],[Asset]],Table228[],19,FALSE),0)</f>
        <v>-1405.14903</v>
      </c>
      <c r="D14" s="4">
        <f>IFERROR(VLOOKUP(Table26[[#This Row],[Asset]],Table228[#All],20,FALSE),0)</f>
        <v>0</v>
      </c>
      <c r="F14" s="4">
        <f>Table26[[#This Row],[How many tokens]]*Table26[[#This Row],[Current Price]]</f>
        <v>0</v>
      </c>
      <c r="G14" s="4">
        <f>IFERROR(VLOOKUP(Table26[[#This Row],[Asset]],Table228[#All],16,FALSE),0)</f>
        <v>3.5654725803945939</v>
      </c>
      <c r="H14" s="77">
        <f>IFERROR(VLOOKUP(Table26[[#This Row],[Asset]],Table228[#All],18,FALSE),0)</f>
        <v>0</v>
      </c>
      <c r="I14" s="84">
        <f>IFERROR((Table26[[#This Row],[Current Price]]-Table26[[#This Row],[Average Entry]])/Table26[[#This Row],[Average Entry]],0)</f>
        <v>-0.11933132868112153</v>
      </c>
      <c r="J14" s="71">
        <v>3.14</v>
      </c>
    </row>
    <row r="15" spans="1:10">
      <c r="A15" t="s">
        <v>196</v>
      </c>
      <c r="B15" t="s">
        <v>191</v>
      </c>
      <c r="C15" s="4">
        <f>IFERROR(VLOOKUP(Table26[[#This Row],[Asset]],Table228[],19,FALSE),0)</f>
        <v>361.19000000000005</v>
      </c>
      <c r="D15" s="4">
        <f>IFERROR(VLOOKUP(Table26[[#This Row],[Asset]],Table228[#All],20,FALSE),0)</f>
        <v>51.190000000000055</v>
      </c>
      <c r="E15" t="s">
        <v>13</v>
      </c>
      <c r="F15" s="4">
        <f>Table26[[#This Row],[How many tokens]]*Table26[[#This Row],[Current Price]]</f>
        <v>1800</v>
      </c>
      <c r="G15" s="4">
        <f>IFERROR(VLOOKUP(Table26[[#This Row],[Asset]],Table228[#All],16,FALSE),0)</f>
        <v>1748.81</v>
      </c>
      <c r="H15" s="77">
        <f>IFERROR(VLOOKUP(Table26[[#This Row],[Asset]],Table228[#All],18,FALSE),0)</f>
        <v>1</v>
      </c>
      <c r="I15" s="84">
        <f>IFERROR((Table26[[#This Row],[Current Price]]-Table26[[#This Row],[Average Entry]])/Table26[[#This Row],[Average Entry]],0)</f>
        <v>2.9271333077921589E-2</v>
      </c>
      <c r="J15" s="71">
        <v>1800</v>
      </c>
    </row>
    <row r="16" spans="1:10">
      <c r="A16" t="s">
        <v>209</v>
      </c>
      <c r="B16" t="s">
        <v>131</v>
      </c>
      <c r="C16" s="4">
        <f>IFERROR(VLOOKUP(Table26[[#This Row],[Asset]],Table228[],19,FALSE),0)</f>
        <v>437.15660652492681</v>
      </c>
      <c r="D16" s="4">
        <f>IFERROR(VLOOKUP(Table26[[#This Row],[Asset]],Table228[#All],20,FALSE),0)</f>
        <v>61.893393475072742</v>
      </c>
      <c r="E16" t="s">
        <v>210</v>
      </c>
      <c r="F16" s="4">
        <f>Table26[[#This Row],[How many tokens]]*Table26[[#This Row],[Current Price]]</f>
        <v>1798.8299999999981</v>
      </c>
      <c r="G16" s="4">
        <f>IFERROR(VLOOKUP(Table26[[#This Row],[Asset]],Table228[#All],16,FALSE),0)</f>
        <v>0.96559241647344507</v>
      </c>
      <c r="H16" s="77">
        <f>IFERROR(VLOOKUP(Table26[[#This Row],[Asset]],Table228[#All],18,FALSE),0)</f>
        <v>1798.8299999999981</v>
      </c>
      <c r="I16" s="84">
        <f>IFERROR((Table26[[#This Row],[Current Price]]-Table26[[#This Row],[Average Entry]])/Table26[[#This Row],[Average Entry]],0)</f>
        <v>3.5633651362154392E-2</v>
      </c>
      <c r="J16" s="71">
        <v>1</v>
      </c>
    </row>
    <row r="17" spans="1:10">
      <c r="A17" t="s">
        <v>67</v>
      </c>
      <c r="B17" t="s">
        <v>194</v>
      </c>
      <c r="C17" s="4">
        <f>IFERROR(VLOOKUP(Table26[[#This Row],[Asset]],Table228[],19,FALSE),0)</f>
        <v>-3460.2309632774636</v>
      </c>
      <c r="D17" s="4">
        <f>IFERROR(VLOOKUP(Table26[[#This Row],[Asset]],Table228[#All],20,FALSE),0)</f>
        <v>3.7855753417780115E-2</v>
      </c>
      <c r="E17" t="s">
        <v>13</v>
      </c>
      <c r="F17" s="4">
        <f>Table26[[#This Row],[How many tokens]]*Table26[[#This Row],[Current Price]]</f>
        <v>-0.10677365999974427</v>
      </c>
      <c r="G17" s="4">
        <f>IFERROR(VLOOKUP(Table26[[#This Row],[Asset]],Table228[#All],16,FALSE),0)</f>
        <v>0.24381757088046566</v>
      </c>
      <c r="H17" s="77">
        <f>IFERROR(VLOOKUP(Table26[[#This Row],[Asset]],Table228[#All],18,FALSE),0)</f>
        <v>-0.59318699999857927</v>
      </c>
      <c r="I17" s="84">
        <f>IFERROR((Table26[[#This Row],[Current Price]]-Table26[[#This Row],[Average Entry]])/Table26[[#This Row],[Average Entry]],0)</f>
        <v>-0.26174311658511662</v>
      </c>
      <c r="J17" s="71">
        <v>0.18</v>
      </c>
    </row>
    <row r="18" spans="1:10">
      <c r="A18" t="s">
        <v>287</v>
      </c>
      <c r="B18" t="s">
        <v>194</v>
      </c>
      <c r="C18" s="4">
        <f>IFERROR(VLOOKUP(Table26[[#This Row],[Asset]],Table228[],19,FALSE),0)</f>
        <v>0</v>
      </c>
      <c r="D18" s="4">
        <f>IFERROR(VLOOKUP(Table26[[#This Row],[Asset]],Table228[#All],20,FALSE),0)</f>
        <v>1324.16238168</v>
      </c>
      <c r="E18" t="s">
        <v>288</v>
      </c>
      <c r="F18" s="4">
        <f>Table26[[#This Row],[How many tokens]]*Table26[[#This Row],[Current Price]]</f>
        <v>1508.99800168</v>
      </c>
      <c r="G18" s="4">
        <f>IFERROR(VLOOKUP(Table26[[#This Row],[Asset]],Table228[#All],16,FALSE),0)</f>
        <v>0.1</v>
      </c>
      <c r="H18" s="77">
        <f>IFERROR(VLOOKUP(Table26[[#This Row],[Asset]],Table228[#All],18,FALSE),0)</f>
        <v>1848.3561999999999</v>
      </c>
      <c r="I18" s="84">
        <f>IFERROR((Table26[[#This Row],[Current Price]]-Table26[[#This Row],[Average Entry]])/Table26[[#This Row],[Average Entry]],0)</f>
        <v>7.1639999999999997</v>
      </c>
      <c r="J18" s="71">
        <v>0.81640000000000001</v>
      </c>
    </row>
    <row r="19" spans="1:10">
      <c r="A19" t="s">
        <v>252</v>
      </c>
      <c r="B19" t="s">
        <v>194</v>
      </c>
      <c r="C19" s="4">
        <f>IFERROR(VLOOKUP(Table26[[#This Row],[Asset]],Table228[],19,FALSE),0)</f>
        <v>-5865.844752</v>
      </c>
      <c r="D19" s="4">
        <f>IFERROR(VLOOKUP(Table26[[#This Row],[Asset]],Table228[#All],20,FALSE),0)</f>
        <v>-155.83224960000021</v>
      </c>
      <c r="E19" t="s">
        <v>7</v>
      </c>
      <c r="F19" s="4">
        <f>Table26[[#This Row],[How many tokens]]*Table26[[#This Row],[Current Price]]</f>
        <v>161.76065040000029</v>
      </c>
      <c r="G19" s="4">
        <f>IFERROR(VLOOKUP(Table26[[#This Row],[Asset]],Table228[#All],16,FALSE),0)</f>
        <v>0.74999999999999989</v>
      </c>
      <c r="H19" s="77">
        <f>IFERROR(VLOOKUP(Table26[[#This Row],[Asset]],Table228[#All],18,FALSE),0)</f>
        <v>423.45720000000074</v>
      </c>
      <c r="I19" s="84">
        <f>IFERROR((Table26[[#This Row],[Current Price]]-Table26[[#This Row],[Average Entry]])/Table26[[#This Row],[Average Entry]],0)</f>
        <v>-0.49066666666666658</v>
      </c>
      <c r="J19" s="71">
        <v>0.38200000000000001</v>
      </c>
    </row>
    <row r="20" spans="1:10">
      <c r="A20" t="s">
        <v>255</v>
      </c>
      <c r="B20" t="s">
        <v>283</v>
      </c>
      <c r="C20" s="4">
        <f>IFERROR(VLOOKUP(Table26[[#This Row],[Asset]],Table228[],19,FALSE),0)</f>
        <v>55.030000000000051</v>
      </c>
      <c r="D20" s="4">
        <f>IFERROR(VLOOKUP(Table26[[#This Row],[Asset]],Table228[#All],20,FALSE),0)</f>
        <v>-4.9593906400021148E-2</v>
      </c>
      <c r="E20" t="s">
        <v>279</v>
      </c>
      <c r="F20" s="4">
        <f>Table26[[#This Row],[How many tokens]]*Table26[[#This Row],[Current Price]]</f>
        <v>0.20508209360008745</v>
      </c>
      <c r="G20" s="4">
        <f>IFERROR(VLOOKUP(Table26[[#This Row],[Asset]],Table228[#All],16,FALSE),0)</f>
        <v>0.03</v>
      </c>
      <c r="H20" s="77">
        <f>IFERROR(VLOOKUP(Table26[[#This Row],[Asset]],Table228[#All],18,FALSE),0)</f>
        <v>8.4892000000036205</v>
      </c>
      <c r="I20" s="84">
        <f>IFERROR((Table26[[#This Row],[Current Price]]-Table26[[#This Row],[Average Entry]])/Table26[[#This Row],[Average Entry]],0)</f>
        <v>-0.19473333333333334</v>
      </c>
      <c r="J20" s="71">
        <v>2.4157999999999999E-2</v>
      </c>
    </row>
    <row r="21" spans="1:10">
      <c r="A21" t="s">
        <v>444</v>
      </c>
      <c r="B21" t="s">
        <v>18</v>
      </c>
      <c r="C21" s="4">
        <f>IFERROR(VLOOKUP(Table26[[#This Row],[Asset]],Table228[],19,FALSE),0)</f>
        <v>0</v>
      </c>
      <c r="D21" s="4">
        <f>IFERROR(VLOOKUP(Table26[[#This Row],[Asset]],Table228[#All],20,FALSE),0)</f>
        <v>0</v>
      </c>
      <c r="E21" t="s">
        <v>8</v>
      </c>
      <c r="F21" s="4">
        <f>Table26[[#This Row],[How many tokens]]*Table26[[#This Row],[Current Price]]</f>
        <v>1250</v>
      </c>
      <c r="G21" s="4">
        <f>IFERROR(VLOOKUP(Table26[[#This Row],[Asset]],Table228[#All],16,FALSE),0)</f>
        <v>1250</v>
      </c>
      <c r="H21" s="77">
        <f>IFERROR(VLOOKUP(Table26[[#This Row],[Asset]],Table228[#All],18,FALSE),0)</f>
        <v>1</v>
      </c>
      <c r="I21" s="84">
        <f>IFERROR((Table26[[#This Row],[Current Price]]-Table26[[#This Row],[Average Entry]])/Table26[[#This Row],[Average Entry]],0)</f>
        <v>0</v>
      </c>
      <c r="J21" s="71">
        <v>1250</v>
      </c>
    </row>
    <row r="22" spans="1:10">
      <c r="A22" t="s">
        <v>516</v>
      </c>
      <c r="C22" s="4">
        <f>IFERROR(VLOOKUP(Table26[[#This Row],[Asset]],Table228[],19,FALSE),0)</f>
        <v>0</v>
      </c>
      <c r="D22" s="4">
        <f>IFERROR(VLOOKUP(Table26[[#This Row],[Asset]],Table228[#All],20,FALSE),0)</f>
        <v>0</v>
      </c>
      <c r="F22" s="4">
        <f>Table26[[#This Row],[How many tokens]]*Table26[[#This Row],[Current Price]]</f>
        <v>1158.4000000000001</v>
      </c>
      <c r="G22" s="4">
        <f>IFERROR(VLOOKUP(Table26[[#This Row],[Asset]],Table228[#All],16,FALSE),0)</f>
        <v>128</v>
      </c>
      <c r="H22" s="77">
        <f>IFERROR(VLOOKUP(Table26[[#This Row],[Asset]],Table228[#All],18,FALSE),0)</f>
        <v>9.0500000000000007</v>
      </c>
      <c r="I22" s="84">
        <f>IFERROR((Table26[[#This Row],[Current Price]]-Table26[[#This Row],[Average Entry]])/Table26[[#This Row],[Average Entry]],0)</f>
        <v>0</v>
      </c>
      <c r="J22" s="71">
        <v>128</v>
      </c>
    </row>
    <row r="23" spans="1:10">
      <c r="A23" t="s">
        <v>36</v>
      </c>
      <c r="B23" t="s">
        <v>191</v>
      </c>
      <c r="C23" s="4">
        <f>IFERROR(VLOOKUP(Table26[[#This Row],[Asset]],Table228[],19,FALSE),0)</f>
        <v>-602.24234999999999</v>
      </c>
      <c r="D23" s="4">
        <f>IFERROR(VLOOKUP(Table26[[#This Row],[Asset]],Table228[#All],20,FALSE),0)</f>
        <v>0</v>
      </c>
      <c r="E23" t="s">
        <v>13</v>
      </c>
      <c r="F23" s="4">
        <f>Table26[[#This Row],[How many tokens]]*Table26[[#This Row],[Current Price]]</f>
        <v>0</v>
      </c>
      <c r="G23" s="4">
        <f>IFERROR(VLOOKUP(Table26[[#This Row],[Asset]],Table228[#All],16,FALSE),0)</f>
        <v>0.44</v>
      </c>
      <c r="H23" s="77">
        <f>IFERROR(VLOOKUP(Table26[[#This Row],[Asset]],Table228[#All],18,FALSE),0)</f>
        <v>0</v>
      </c>
      <c r="I23" s="84">
        <f>IFERROR((Table26[[#This Row],[Current Price]]-Table26[[#This Row],[Average Entry]])/Table26[[#This Row],[Average Entry]],0)</f>
        <v>0</v>
      </c>
      <c r="J23" s="71">
        <v>0.44</v>
      </c>
    </row>
    <row r="24" spans="1:10">
      <c r="A24" t="s">
        <v>44</v>
      </c>
      <c r="B24" t="s">
        <v>183</v>
      </c>
      <c r="C24" s="4">
        <f>IFERROR(VLOOKUP(Table26[[#This Row],[Asset]],Table228[],19,FALSE),0)</f>
        <v>-412.05273664056273</v>
      </c>
      <c r="D24" s="4">
        <f>IFERROR(VLOOKUP(Table26[[#This Row],[Asset]],Table228[#All],20,FALSE),0)</f>
        <v>1202.8039465105621</v>
      </c>
      <c r="E24" t="s">
        <v>8</v>
      </c>
      <c r="F24" s="4">
        <f>Table26[[#This Row],[How many tokens]]*Table26[[#This Row],[Current Price]]</f>
        <v>3169.9765499999994</v>
      </c>
      <c r="G24" s="4">
        <f>IFERROR(VLOOKUP(Table26[[#This Row],[Asset]],Table228[#All],16,FALSE),0)</f>
        <v>0.46542282863798418</v>
      </c>
      <c r="H24" s="77">
        <f>IFERROR(VLOOKUP(Table26[[#This Row],[Asset]],Table228[#All],18,FALSE),0)</f>
        <v>4226.6353999999992</v>
      </c>
      <c r="I24" s="84">
        <f>IFERROR((Table26[[#This Row],[Current Price]]-Table26[[#This Row],[Average Entry]])/Table26[[#This Row],[Average Entry]],0)</f>
        <v>0.61143793095582344</v>
      </c>
      <c r="J24" s="71">
        <v>0.75</v>
      </c>
    </row>
    <row r="25" spans="1:10">
      <c r="A25" t="s">
        <v>492</v>
      </c>
      <c r="B25" t="s">
        <v>135</v>
      </c>
      <c r="C25" s="4">
        <f>IFERROR(VLOOKUP(Table26[[#This Row],[Asset]],Table228[],19,FALSE),0)</f>
        <v>-1864.3976401114273</v>
      </c>
      <c r="D25" s="4">
        <f>IFERROR(VLOOKUP(Table26[[#This Row],[Asset]],Table228[#All],20,FALSE),0)</f>
        <v>3.740831077731646E-7</v>
      </c>
      <c r="E25" t="s">
        <v>13</v>
      </c>
      <c r="F25" s="4">
        <f>Table26[[#This Row],[How many tokens]]*Table26[[#This Row],[Current Price]]</f>
        <v>-2.6547493325779216E-7</v>
      </c>
      <c r="G25" s="4">
        <f>IFERROR(VLOOKUP(Table26[[#This Row],[Asset]],Table228[#All],16,FALSE),0)</f>
        <v>1.7285356805951564E-2</v>
      </c>
      <c r="H25" s="77">
        <f>IFERROR(VLOOKUP(Table26[[#This Row],[Asset]],Table228[#All],18,FALSE),0)</f>
        <v>-3.6999990697950125E-5</v>
      </c>
      <c r="I25" s="84">
        <f>IFERROR((Table26[[#This Row],[Current Price]]-Table26[[#This Row],[Average Entry]])/Table26[[#This Row],[Average Entry]],0)</f>
        <v>-0.58490877101654282</v>
      </c>
      <c r="J25" s="71">
        <v>7.175E-3</v>
      </c>
    </row>
    <row r="26" spans="1:10">
      <c r="A26" t="s">
        <v>12</v>
      </c>
      <c r="B26" t="s">
        <v>194</v>
      </c>
      <c r="C26" s="4">
        <f>IFERROR(VLOOKUP(Table26[[#This Row],[Asset]],Table228[],19,FALSE),0)</f>
        <v>-265.59940000000006</v>
      </c>
      <c r="D26" s="4">
        <f>IFERROR(VLOOKUP(Table26[[#This Row],[Asset]],Table228[#All],20,FALSE),0)</f>
        <v>58.338838999999943</v>
      </c>
      <c r="E26" t="s">
        <v>210</v>
      </c>
      <c r="F26" s="4">
        <f>Table26[[#This Row],[How many tokens]]*Table26[[#This Row],[Current Price]]</f>
        <v>843.66936399999975</v>
      </c>
      <c r="G26" s="4">
        <f>IFERROR(VLOOKUP(Table26[[#This Row],[Asset]],Table228[#All],16,FALSE),0)</f>
        <v>1.75</v>
      </c>
      <c r="H26" s="77">
        <f>IFERROR(VLOOKUP(Table26[[#This Row],[Asset]],Table228[#All],18,FALSE),0)</f>
        <v>448.76029999999992</v>
      </c>
      <c r="I26" s="84">
        <f>IFERROR((Table26[[#This Row],[Current Price]]-Table26[[#This Row],[Average Entry]])/Table26[[#This Row],[Average Entry]],0)</f>
        <v>7.4285714285714219E-2</v>
      </c>
      <c r="J26" s="71">
        <v>1.88</v>
      </c>
    </row>
    <row r="27" spans="1:10">
      <c r="A27" t="s">
        <v>14</v>
      </c>
      <c r="B27" t="s">
        <v>135</v>
      </c>
      <c r="C27" s="4">
        <f>IFERROR(VLOOKUP(Table26[[#This Row],[Asset]],Table228[],19,FALSE),0)</f>
        <v>275.89075200000002</v>
      </c>
      <c r="D27" s="4">
        <f>IFERROR(VLOOKUP(Table26[[#This Row],[Asset]],Table228[#All],20,FALSE),0)</f>
        <v>337.84321707499998</v>
      </c>
      <c r="E27" t="s">
        <v>13</v>
      </c>
      <c r="F27" s="4">
        <f>Table26[[#This Row],[How many tokens]]*Table26[[#This Row],[Current Price]]</f>
        <v>823.09520457499991</v>
      </c>
      <c r="G27" s="4">
        <f>IFERROR(VLOOKUP(Table26[[#This Row],[Asset]],Table228[#All],16,FALSE),0)</f>
        <v>4.4999999999999999E-4</v>
      </c>
      <c r="H27" s="77">
        <f>IFERROR(VLOOKUP(Table26[[#This Row],[Asset]],Table228[#All],18,FALSE),0)</f>
        <v>1078337.75</v>
      </c>
      <c r="I27" s="84">
        <f>IFERROR((Table26[[#This Row],[Current Price]]-Table26[[#This Row],[Average Entry]])/Table26[[#This Row],[Average Entry]],0)</f>
        <v>0.69622222222222219</v>
      </c>
      <c r="J27" s="71">
        <v>7.6329999999999996E-4</v>
      </c>
    </row>
    <row r="28" spans="1:10">
      <c r="A28" t="s">
        <v>197</v>
      </c>
      <c r="B28" t="s">
        <v>194</v>
      </c>
      <c r="C28" s="4">
        <f>IFERROR(VLOOKUP(Table26[[#This Row],[Asset]],Table228[],19,FALSE),0)</f>
        <v>0</v>
      </c>
      <c r="D28" s="4">
        <f>IFERROR(VLOOKUP(Table26[[#This Row],[Asset]],Table228[#All],20,FALSE),0)</f>
        <v>-691.29</v>
      </c>
      <c r="E28" t="s">
        <v>13</v>
      </c>
      <c r="F28" s="4">
        <f>Table26[[#This Row],[How many tokens]]*Table26[[#This Row],[Current Price]]</f>
        <v>779.72</v>
      </c>
      <c r="G28" s="4">
        <f>IFERROR(VLOOKUP(Table26[[#This Row],[Asset]],Table228[#All],16,FALSE),0)</f>
        <v>1471.01</v>
      </c>
      <c r="H28" s="77">
        <f>IFERROR(VLOOKUP(Table26[[#This Row],[Asset]],Table228[#All],18,FALSE),0)</f>
        <v>1</v>
      </c>
      <c r="I28" s="84">
        <f>IFERROR((Table26[[#This Row],[Current Price]]-Table26[[#This Row],[Average Entry]])/Table26[[#This Row],[Average Entry]],0)</f>
        <v>-0.46994242051379664</v>
      </c>
      <c r="J28" s="71">
        <v>779.72</v>
      </c>
    </row>
    <row r="29" spans="1:10">
      <c r="A29" t="s">
        <v>496</v>
      </c>
      <c r="B29" t="s">
        <v>194</v>
      </c>
      <c r="C29" s="4">
        <f>IFERROR(VLOOKUP(Table26[[#This Row],[Asset]],Table228[],19,FALSE),0)</f>
        <v>-3407.0482550581455</v>
      </c>
      <c r="D29" s="4">
        <f>IFERROR(VLOOKUP(Table26[[#This Row],[Asset]],Table228[#All],20,FALSE),0)</f>
        <v>-365.46514719313012</v>
      </c>
      <c r="F29" s="4">
        <f>Table26[[#This Row],[How many tokens]]*Table26[[#This Row],[Current Price]]</f>
        <v>200.3475931000001</v>
      </c>
      <c r="G29" s="4">
        <f>IFERROR(VLOOKUP(Table26[[#This Row],[Asset]],Table228[#All],16,FALSE),0)</f>
        <v>0.282415541678464</v>
      </c>
      <c r="H29" s="77">
        <f>IFERROR(VLOOKUP(Table26[[#This Row],[Asset]],Table228[#All],18,FALSE),0)</f>
        <v>2003.4759310000009</v>
      </c>
      <c r="I29" s="84">
        <f>IFERROR((Table26[[#This Row],[Current Price]]-Table26[[#This Row],[Average Entry]])/Table26[[#This Row],[Average Entry]],0)</f>
        <v>-0.64591183825905696</v>
      </c>
      <c r="J29" s="71">
        <v>0.1</v>
      </c>
    </row>
    <row r="30" spans="1:10">
      <c r="A30" t="s">
        <v>272</v>
      </c>
      <c r="B30" t="s">
        <v>135</v>
      </c>
      <c r="C30" s="4">
        <f>IFERROR(VLOOKUP(Table26[[#This Row],[Asset]],Table228[],19,FALSE),0)</f>
        <v>0</v>
      </c>
      <c r="D30" s="4">
        <f>IFERROR(VLOOKUP(Table26[[#This Row],[Asset]],Table228[#All],20,FALSE),0)</f>
        <v>660</v>
      </c>
      <c r="E30" t="s">
        <v>13</v>
      </c>
      <c r="F30" s="4">
        <f>Table26[[#This Row],[How many tokens]]*Table26[[#This Row],[Current Price]]</f>
        <v>732.59999999999991</v>
      </c>
      <c r="G30" s="4">
        <f>IFERROR(VLOOKUP(Table26[[#This Row],[Asset]],Table228[#All],16,FALSE),0)</f>
        <v>2.1801801801801801</v>
      </c>
      <c r="H30" s="77">
        <f>IFERROR(VLOOKUP(Table26[[#This Row],[Asset]],Table228[#All],18,FALSE),0)</f>
        <v>33.299999999999997</v>
      </c>
      <c r="I30" s="84">
        <f>IFERROR((Table26[[#This Row],[Current Price]]-Table26[[#This Row],[Average Entry]])/Table26[[#This Row],[Average Entry]],0)</f>
        <v>9.0909090909090917</v>
      </c>
      <c r="J30" s="71">
        <v>22</v>
      </c>
    </row>
    <row r="31" spans="1:10">
      <c r="A31" t="s">
        <v>207</v>
      </c>
      <c r="B31" t="s">
        <v>194</v>
      </c>
      <c r="C31" s="4">
        <f>IFERROR(VLOOKUP(Table26[[#This Row],[Asset]],Table228[],19,FALSE),0)</f>
        <v>0</v>
      </c>
      <c r="D31" s="4">
        <f>IFERROR(VLOOKUP(Table26[[#This Row],[Asset]],Table228[#All],20,FALSE),0)</f>
        <v>-1291.4934845</v>
      </c>
      <c r="E31" t="s">
        <v>208</v>
      </c>
      <c r="F31" s="4">
        <f>Table26[[#This Row],[How many tokens]]*Table26[[#This Row],[Current Price]]</f>
        <v>712.31251550000013</v>
      </c>
      <c r="G31" s="4">
        <f>IFERROR(VLOOKUP(Table26[[#This Row],[Asset]],Table228[#All],16,FALSE),0)</f>
        <v>0.17961640476047483</v>
      </c>
      <c r="H31" s="77">
        <f>IFERROR(VLOOKUP(Table26[[#This Row],[Asset]],Table228[#All],18,FALSE),0)</f>
        <v>11156.03</v>
      </c>
      <c r="I31" s="84">
        <f>IFERROR((Table26[[#This Row],[Current Price]]-Table26[[#This Row],[Average Entry]])/Table26[[#This Row],[Average Entry]],0)</f>
        <v>-0.64452022027082456</v>
      </c>
      <c r="J31" s="71">
        <v>6.3850000000000004E-2</v>
      </c>
    </row>
    <row r="32" spans="1:10">
      <c r="A32" t="s">
        <v>75</v>
      </c>
      <c r="B32" t="s">
        <v>194</v>
      </c>
      <c r="C32" s="4">
        <f>IFERROR(VLOOKUP(Table26[[#This Row],[Asset]],Table228[],19,FALSE),0)</f>
        <v>0</v>
      </c>
      <c r="D32" s="4">
        <f>IFERROR(VLOOKUP(Table26[[#This Row],[Asset]],Table228[#All],20,FALSE),0)</f>
        <v>-2.0000000000000018</v>
      </c>
      <c r="E32" t="s">
        <v>13</v>
      </c>
      <c r="F32" s="4">
        <f>Table26[[#This Row],[How many tokens]]*Table26[[#This Row],[Current Price]]</f>
        <v>690</v>
      </c>
      <c r="G32" s="4">
        <f>IFERROR(VLOOKUP(Table26[[#This Row],[Asset]],Table228[#All],16,FALSE),0)</f>
        <v>0.69199999999999995</v>
      </c>
      <c r="H32" s="77">
        <f>IFERROR(VLOOKUP(Table26[[#This Row],[Asset]],Table228[#All],18,FALSE),0)</f>
        <v>1000</v>
      </c>
      <c r="I32" s="84">
        <f>IFERROR((Table26[[#This Row],[Current Price]]-Table26[[#This Row],[Average Entry]])/Table26[[#This Row],[Average Entry]],0)</f>
        <v>-2.8901734104046272E-3</v>
      </c>
      <c r="J32" s="71">
        <v>0.69</v>
      </c>
    </row>
    <row r="33" spans="1:10">
      <c r="A33" t="s">
        <v>439</v>
      </c>
      <c r="B33" t="s">
        <v>18</v>
      </c>
      <c r="C33" s="4">
        <f>IFERROR(VLOOKUP(Table26[[#This Row],[Asset]],Table228[],19,FALSE),0)</f>
        <v>0</v>
      </c>
      <c r="D33" s="4">
        <f>IFERROR(VLOOKUP(Table26[[#This Row],[Asset]],Table228[#All],20,FALSE),0)</f>
        <v>-888</v>
      </c>
      <c r="E33" t="s">
        <v>7</v>
      </c>
      <c r="F33" s="4">
        <f>Table26[[#This Row],[How many tokens]]*Table26[[#This Row],[Current Price]]</f>
        <v>512</v>
      </c>
      <c r="G33" s="4">
        <f>IFERROR(VLOOKUP(Table26[[#This Row],[Asset]],Table228[#All],16,FALSE),0)</f>
        <v>700</v>
      </c>
      <c r="H33" s="77">
        <f>IFERROR(VLOOKUP(Table26[[#This Row],[Asset]],Table228[#All],18,FALSE),0)</f>
        <v>2</v>
      </c>
      <c r="I33" s="84">
        <f>IFERROR((Table26[[#This Row],[Current Price]]-Table26[[#This Row],[Average Entry]])/Table26[[#This Row],[Average Entry]],0)</f>
        <v>-0.63428571428571423</v>
      </c>
      <c r="J33" s="71">
        <v>256</v>
      </c>
    </row>
    <row r="34" spans="1:10">
      <c r="A34" t="s">
        <v>10</v>
      </c>
      <c r="B34" t="s">
        <v>166</v>
      </c>
      <c r="C34" s="4">
        <f>IFERROR(VLOOKUP(Table26[[#This Row],[Asset]],Table228[],19,FALSE),0)</f>
        <v>0</v>
      </c>
      <c r="D34" s="4">
        <f>IFERROR(VLOOKUP(Table26[[#This Row],[Asset]],Table228[#All],20,FALSE),0)</f>
        <v>123.41198999999996</v>
      </c>
      <c r="E34" t="s">
        <v>9</v>
      </c>
      <c r="F34" s="4">
        <f>Table26[[#This Row],[How many tokens]]*Table26[[#This Row],[Current Price]]</f>
        <v>477.63698999999986</v>
      </c>
      <c r="G34" s="4">
        <f>IFERROR(VLOOKUP(Table26[[#This Row],[Asset]],Table228[#All],16,FALSE),0)</f>
        <v>2500</v>
      </c>
      <c r="H34" s="77">
        <f>IFERROR(VLOOKUP(Table26[[#This Row],[Asset]],Table228[#All],18,FALSE),0)</f>
        <v>0.14168999999999995</v>
      </c>
      <c r="I34" s="84">
        <f>IFERROR((Table26[[#This Row],[Current Price]]-Table26[[#This Row],[Average Entry]])/Table26[[#This Row],[Average Entry]],0)</f>
        <v>0.34839999999999999</v>
      </c>
      <c r="J34" s="71">
        <v>3371</v>
      </c>
    </row>
    <row r="35" spans="1:10">
      <c r="A35" t="s">
        <v>518</v>
      </c>
      <c r="C35" s="4">
        <f>IFERROR(VLOOKUP(Table26[[#This Row],[Asset]],Table228[],19,FALSE),0)</f>
        <v>0</v>
      </c>
      <c r="D35" s="4">
        <f>IFERROR(VLOOKUP(Table26[[#This Row],[Asset]],Table228[#All],20,FALSE),0)</f>
        <v>-72.645292199999815</v>
      </c>
      <c r="F35" s="4">
        <f>Table26[[#This Row],[How many tokens]]*Table26[[#This Row],[Current Price]]</f>
        <v>1586.207392</v>
      </c>
      <c r="G35" s="4">
        <f>IFERROR(VLOOKUP(Table26[[#This Row],[Asset]],Table228[#All],16,FALSE),0)</f>
        <v>2.8466624409681225E-3</v>
      </c>
      <c r="H35" s="77">
        <f>IFERROR(VLOOKUP(Table26[[#This Row],[Asset]],Table228[#All],18,FALSE),0)</f>
        <v>582736</v>
      </c>
      <c r="I35" s="84">
        <f>IFERROR((Table26[[#This Row],[Current Price]]-Table26[[#This Row],[Average Entry]])/Table26[[#This Row],[Average Entry]],0)</f>
        <v>-4.3792491576811608E-2</v>
      </c>
      <c r="J35" s="71">
        <v>2.722E-3</v>
      </c>
    </row>
    <row r="36" spans="1:10">
      <c r="A36" t="s">
        <v>218</v>
      </c>
      <c r="B36" t="s">
        <v>194</v>
      </c>
      <c r="C36" s="4">
        <f>IFERROR(VLOOKUP(Table26[[#This Row],[Asset]],Table228[],19,FALSE),0)</f>
        <v>0</v>
      </c>
      <c r="D36" s="4">
        <f>IFERROR(VLOOKUP(Table26[[#This Row],[Asset]],Table228[#All],20,FALSE),0)</f>
        <v>0</v>
      </c>
      <c r="E36" t="s">
        <v>13</v>
      </c>
      <c r="F36" s="4">
        <f>Table26[[#This Row],[How many tokens]]*Table26[[#This Row],[Current Price]]</f>
        <v>393.32</v>
      </c>
      <c r="G36" s="4">
        <f>IFERROR(VLOOKUP(Table26[[#This Row],[Asset]],Table228[#All],16,FALSE),0)</f>
        <v>393.32</v>
      </c>
      <c r="H36" s="77">
        <f>IFERROR(VLOOKUP(Table26[[#This Row],[Asset]],Table228[#All],18,FALSE),0)</f>
        <v>1</v>
      </c>
      <c r="I36" s="84">
        <f>IFERROR((Table26[[#This Row],[Current Price]]-Table26[[#This Row],[Average Entry]])/Table26[[#This Row],[Average Entry]],0)</f>
        <v>0</v>
      </c>
      <c r="J36" s="71">
        <v>393.32</v>
      </c>
    </row>
    <row r="37" spans="1:10">
      <c r="A37" t="s">
        <v>198</v>
      </c>
      <c r="B37" t="s">
        <v>199</v>
      </c>
      <c r="C37" s="4">
        <f>IFERROR(VLOOKUP(Table26[[#This Row],[Asset]],Table228[],19,FALSE),0)</f>
        <v>0</v>
      </c>
      <c r="D37" s="4">
        <f>IFERROR(VLOOKUP(Table26[[#This Row],[Asset]],Table228[#All],20,FALSE),0)</f>
        <v>-3349.37</v>
      </c>
      <c r="E37" t="s">
        <v>13</v>
      </c>
      <c r="F37" s="4">
        <f>Table26[[#This Row],[How many tokens]]*Table26[[#This Row],[Current Price]]</f>
        <v>370.55</v>
      </c>
      <c r="G37" s="4">
        <f>IFERROR(VLOOKUP(Table26[[#This Row],[Asset]],Table228[#All],16,FALSE),0)</f>
        <v>3719.92</v>
      </c>
      <c r="H37" s="77">
        <f>IFERROR(VLOOKUP(Table26[[#This Row],[Asset]],Table228[#All],18,FALSE),0)</f>
        <v>1</v>
      </c>
      <c r="I37" s="84">
        <f>IFERROR((Table26[[#This Row],[Current Price]]-Table26[[#This Row],[Average Entry]])/Table26[[#This Row],[Average Entry]],0)</f>
        <v>-0.90038764274500527</v>
      </c>
      <c r="J37" s="71">
        <v>370.55</v>
      </c>
    </row>
    <row r="38" spans="1:10">
      <c r="A38" t="s">
        <v>289</v>
      </c>
      <c r="B38" t="s">
        <v>194</v>
      </c>
      <c r="C38" s="4">
        <f>IFERROR(VLOOKUP(Table26[[#This Row],[Asset]],Table228[],19,FALSE),0)</f>
        <v>0</v>
      </c>
      <c r="D38" s="4">
        <f>IFERROR(VLOOKUP(Table26[[#This Row],[Asset]],Table228[#All],20,FALSE),0)</f>
        <v>0.10000000000002274</v>
      </c>
      <c r="E38" t="s">
        <v>288</v>
      </c>
      <c r="F38" s="4">
        <f>Table26[[#This Row],[How many tokens]]*Table26[[#This Row],[Current Price]]</f>
        <v>346.67</v>
      </c>
      <c r="G38" s="4">
        <f>IFERROR(VLOOKUP(Table26[[#This Row],[Asset]],Table228[#All],16,FALSE),0)</f>
        <v>346.57</v>
      </c>
      <c r="H38" s="77">
        <f>IFERROR(VLOOKUP(Table26[[#This Row],[Asset]],Table228[#All],18,FALSE),0)</f>
        <v>1</v>
      </c>
      <c r="I38" s="84">
        <f>IFERROR((Table26[[#This Row],[Current Price]]-Table26[[#This Row],[Average Entry]])/Table26[[#This Row],[Average Entry]],0)</f>
        <v>2.8854199728777083E-4</v>
      </c>
      <c r="J38" s="71">
        <v>346.67</v>
      </c>
    </row>
    <row r="39" spans="1:10">
      <c r="A39" t="s">
        <v>503</v>
      </c>
      <c r="C39" s="4">
        <f>IFERROR(VLOOKUP(Table26[[#This Row],[Asset]],Table228[],19,FALSE),0)</f>
        <v>-150.13389042341939</v>
      </c>
      <c r="D39" s="4">
        <f>IFERROR(VLOOKUP(Table26[[#This Row],[Asset]],Table228[#All],20,FALSE),0)</f>
        <v>-4.0287139045805649</v>
      </c>
      <c r="F39" s="4">
        <f>Table26[[#This Row],[How many tokens]]*Table26[[#This Row],[Current Price]]</f>
        <v>80.775255792000024</v>
      </c>
      <c r="G39" s="4">
        <f>IFERROR(VLOOKUP(Table26[[#This Row],[Asset]],Table228[#All],16,FALSE),0)</f>
        <v>2.4693073982950103E-2</v>
      </c>
      <c r="H39" s="77">
        <f>IFERROR(VLOOKUP(Table26[[#This Row],[Asset]],Table228[#All],18,FALSE),0)</f>
        <v>3434.3221000000012</v>
      </c>
      <c r="I39" s="84">
        <f>IFERROR((Table26[[#This Row],[Current Price]]-Table26[[#This Row],[Average Entry]])/Table26[[#This Row],[Average Entry]],0)</f>
        <v>-4.7506194804262894E-2</v>
      </c>
      <c r="J39" s="71">
        <v>2.3519999999999999E-2</v>
      </c>
    </row>
    <row r="40" spans="1:10">
      <c r="A40" t="s">
        <v>506</v>
      </c>
      <c r="C40" s="4">
        <f>IFERROR(VLOOKUP(Table26[[#This Row],[Asset]],Table228[],19,FALSE),0)</f>
        <v>0</v>
      </c>
      <c r="D40" s="4">
        <f>IFERROR(VLOOKUP(Table26[[#This Row],[Asset]],Table228[#All],20,FALSE),0)</f>
        <v>-1636</v>
      </c>
      <c r="F40" s="4">
        <f>Table26[[#This Row],[How many tokens]]*Table26[[#This Row],[Current Price]]</f>
        <v>224</v>
      </c>
      <c r="G40" s="4">
        <f>IFERROR(VLOOKUP(Table26[[#This Row],[Asset]],Table228[#All],16,FALSE),0)</f>
        <v>1860</v>
      </c>
      <c r="H40" s="77">
        <f>IFERROR(VLOOKUP(Table26[[#This Row],[Asset]],Table228[#All],18,FALSE),0)</f>
        <v>1</v>
      </c>
      <c r="I40" s="84">
        <f>IFERROR((Table26[[#This Row],[Current Price]]-Table26[[#This Row],[Average Entry]])/Table26[[#This Row],[Average Entry]],0)</f>
        <v>-0.87956989247311823</v>
      </c>
      <c r="J40" s="71">
        <v>224</v>
      </c>
    </row>
    <row r="41" spans="1:10">
      <c r="A41" t="s">
        <v>324</v>
      </c>
      <c r="B41" t="s">
        <v>18</v>
      </c>
      <c r="C41" s="4">
        <f>IFERROR(VLOOKUP(Table26[[#This Row],[Asset]],Table228[],19,FALSE),0)</f>
        <v>0</v>
      </c>
      <c r="D41" s="4">
        <f>IFERROR(VLOOKUP(Table26[[#This Row],[Asset]],Table228[#All],20,FALSE),0)</f>
        <v>0</v>
      </c>
      <c r="E41" t="s">
        <v>13</v>
      </c>
      <c r="F41" s="4">
        <f>Table26[[#This Row],[How many tokens]]*Table26[[#This Row],[Current Price]]</f>
        <v>214</v>
      </c>
      <c r="G41" s="4">
        <f>IFERROR(VLOOKUP(Table26[[#This Row],[Asset]],Table228[#All],16,FALSE),0)</f>
        <v>214</v>
      </c>
      <c r="H41" s="77">
        <f>IFERROR(VLOOKUP(Table26[[#This Row],[Asset]],Table228[#All],18,FALSE),0)</f>
        <v>1</v>
      </c>
      <c r="I41" s="84">
        <f>IFERROR((Table26[[#This Row],[Current Price]]-Table26[[#This Row],[Average Entry]])/Table26[[#This Row],[Average Entry]],0)</f>
        <v>0</v>
      </c>
      <c r="J41" s="71">
        <v>214</v>
      </c>
    </row>
    <row r="42" spans="1:10">
      <c r="A42" t="s">
        <v>234</v>
      </c>
      <c r="B42" t="s">
        <v>18</v>
      </c>
      <c r="C42" s="4">
        <f>IFERROR(VLOOKUP(Table26[[#This Row],[Asset]],Table228[],19,FALSE),0)</f>
        <v>0</v>
      </c>
      <c r="D42" s="4">
        <f>IFERROR(VLOOKUP(Table26[[#This Row],[Asset]],Table228[#All],20,FALSE),0)</f>
        <v>-2810</v>
      </c>
      <c r="E42" t="s">
        <v>13</v>
      </c>
      <c r="F42" s="4">
        <f>Table26[[#This Row],[How many tokens]]*Table26[[#This Row],[Current Price]]</f>
        <v>190</v>
      </c>
      <c r="G42" s="4">
        <f>IFERROR(VLOOKUP(Table26[[#This Row],[Asset]],Table228[#All],16,FALSE),0)</f>
        <v>3000</v>
      </c>
      <c r="H42" s="77">
        <f>IFERROR(VLOOKUP(Table26[[#This Row],[Asset]],Table228[#All],18,FALSE),0)</f>
        <v>1</v>
      </c>
      <c r="I42" s="84">
        <f>IFERROR((Table26[[#This Row],[Current Price]]-Table26[[#This Row],[Average Entry]])/Table26[[#This Row],[Average Entry]],0)</f>
        <v>-0.93666666666666665</v>
      </c>
      <c r="J42" s="71">
        <v>190</v>
      </c>
    </row>
    <row r="43" spans="1:10">
      <c r="A43" t="s">
        <v>238</v>
      </c>
      <c r="B43" t="s">
        <v>18</v>
      </c>
      <c r="C43" s="4">
        <f>IFERROR(VLOOKUP(Table26[[#This Row],[Asset]],Table228[],19,FALSE),0)</f>
        <v>0</v>
      </c>
      <c r="D43" s="4">
        <f>IFERROR(VLOOKUP(Table26[[#This Row],[Asset]],Table228[#All],20,FALSE),0)</f>
        <v>188</v>
      </c>
      <c r="E43" t="s">
        <v>13</v>
      </c>
      <c r="F43" s="4">
        <f>Table26[[#This Row],[How many tokens]]*Table26[[#This Row],[Current Price]]</f>
        <v>188</v>
      </c>
      <c r="G43" s="4">
        <f>IFERROR(VLOOKUP(Table26[[#This Row],[Asset]],Table228[#All],16,FALSE),0)</f>
        <v>0</v>
      </c>
      <c r="H43" s="77">
        <f>IFERROR(VLOOKUP(Table26[[#This Row],[Asset]],Table228[#All],18,FALSE),0)</f>
        <v>1</v>
      </c>
      <c r="I43" s="84">
        <f>IFERROR((Table26[[#This Row],[Current Price]]-Table26[[#This Row],[Average Entry]])/Table26[[#This Row],[Average Entry]],0)</f>
        <v>0</v>
      </c>
      <c r="J43" s="71">
        <v>188</v>
      </c>
    </row>
    <row r="44" spans="1:10">
      <c r="A44" t="s">
        <v>62</v>
      </c>
      <c r="B44" t="s">
        <v>194</v>
      </c>
      <c r="C44" s="4">
        <f>IFERROR(VLOOKUP(Table26[[#This Row],[Asset]],Table228[],19,FALSE),0)</f>
        <v>0</v>
      </c>
      <c r="D44" s="4">
        <f>IFERROR(VLOOKUP(Table26[[#This Row],[Asset]],Table228[#All],20,FALSE),0)</f>
        <v>-726.18</v>
      </c>
      <c r="E44" t="s">
        <v>8</v>
      </c>
      <c r="F44" s="4">
        <f>Table26[[#This Row],[How many tokens]]*Table26[[#This Row],[Current Price]]</f>
        <v>178.22</v>
      </c>
      <c r="G44" s="4">
        <f>IFERROR(VLOOKUP(Table26[[#This Row],[Asset]],Table228[#All],16,FALSE),0)</f>
        <v>6.8</v>
      </c>
      <c r="H44" s="77">
        <f>IFERROR(VLOOKUP(Table26[[#This Row],[Asset]],Table228[#All],18,FALSE),0)</f>
        <v>133</v>
      </c>
      <c r="I44" s="84">
        <f>IFERROR((Table26[[#This Row],[Current Price]]-Table26[[#This Row],[Average Entry]])/Table26[[#This Row],[Average Entry]],0)</f>
        <v>-0.80294117647058827</v>
      </c>
      <c r="J44" s="71">
        <v>1.34</v>
      </c>
    </row>
    <row r="45" spans="1:10">
      <c r="A45" t="s">
        <v>338</v>
      </c>
      <c r="B45" t="s">
        <v>194</v>
      </c>
      <c r="C45" s="4">
        <f>IFERROR(VLOOKUP(Table26[[#This Row],[Asset]],Table228[],19,FALSE),0)</f>
        <v>0</v>
      </c>
      <c r="D45" s="4">
        <f>IFERROR(VLOOKUP(Table26[[#This Row],[Asset]],Table228[#All],20,FALSE),0)</f>
        <v>-3837.2000000000003</v>
      </c>
      <c r="E45" t="s">
        <v>7</v>
      </c>
      <c r="F45" s="4">
        <f>Table26[[#This Row],[How many tokens]]*Table26[[#This Row],[Current Price]]</f>
        <v>162.80000000000001</v>
      </c>
      <c r="G45" s="4">
        <f>IFERROR(VLOOKUP(Table26[[#This Row],[Asset]],Table228[#All],16,FALSE),0)</f>
        <v>1</v>
      </c>
      <c r="H45" s="77">
        <f>IFERROR(VLOOKUP(Table26[[#This Row],[Asset]],Table228[#All],18,FALSE),0)</f>
        <v>4000</v>
      </c>
      <c r="I45" s="84">
        <f>IFERROR((Table26[[#This Row],[Current Price]]-Table26[[#This Row],[Average Entry]])/Table26[[#This Row],[Average Entry]],0)</f>
        <v>-0.95930000000000004</v>
      </c>
      <c r="J45" s="71">
        <v>4.07E-2</v>
      </c>
    </row>
    <row r="46" spans="1:10">
      <c r="A46" t="s">
        <v>70</v>
      </c>
      <c r="B46" t="s">
        <v>282</v>
      </c>
      <c r="C46" s="4">
        <f>IFERROR(VLOOKUP(Table26[[#This Row],[Asset]],Table228[],19,FALSE),0)</f>
        <v>-457.94040000000001</v>
      </c>
      <c r="D46" s="4">
        <f>IFERROR(VLOOKUP(Table26[[#This Row],[Asset]],Table228[#All],20,FALSE),0)</f>
        <v>0</v>
      </c>
      <c r="E46" t="s">
        <v>280</v>
      </c>
      <c r="F46" s="4">
        <f>Table26[[#This Row],[How many tokens]]*Table26[[#This Row],[Current Price]]</f>
        <v>0</v>
      </c>
      <c r="G46" s="4">
        <f>IFERROR(VLOOKUP(Table26[[#This Row],[Asset]],Table228[#All],16,FALSE),0)</f>
        <v>16</v>
      </c>
      <c r="H46" s="77">
        <f>IFERROR(VLOOKUP(Table26[[#This Row],[Asset]],Table228[#All],18,FALSE),0)</f>
        <v>0</v>
      </c>
      <c r="I46" s="84">
        <f>IFERROR((Table26[[#This Row],[Current Price]]-Table26[[#This Row],[Average Entry]])/Table26[[#This Row],[Average Entry]],0)</f>
        <v>-0.703125</v>
      </c>
      <c r="J46" s="71">
        <v>4.75</v>
      </c>
    </row>
    <row r="47" spans="1:10">
      <c r="A47" t="s">
        <v>253</v>
      </c>
      <c r="B47" t="s">
        <v>282</v>
      </c>
      <c r="C47" s="4">
        <f>IFERROR(VLOOKUP(Table26[[#This Row],[Asset]],Table228[],19,FALSE),0)</f>
        <v>-3552.5344866111996</v>
      </c>
      <c r="D47" s="4">
        <f>IFERROR(VLOOKUP(Table26[[#This Row],[Asset]],Table228[#All],20,FALSE),0)</f>
        <v>0</v>
      </c>
      <c r="E47" t="s">
        <v>11</v>
      </c>
      <c r="F47" s="4">
        <f>Table26[[#This Row],[How many tokens]]*Table26[[#This Row],[Current Price]]</f>
        <v>0</v>
      </c>
      <c r="G47" s="4">
        <f>IFERROR(VLOOKUP(Table26[[#This Row],[Asset]],Table228[#All],16,FALSE),0)</f>
        <v>11</v>
      </c>
      <c r="H47" s="77">
        <f>IFERROR(VLOOKUP(Table26[[#This Row],[Asset]],Table228[#All],18,FALSE),0)</f>
        <v>0</v>
      </c>
      <c r="I47" s="84">
        <f>IFERROR((Table26[[#This Row],[Current Price]]-Table26[[#This Row],[Average Entry]])/Table26[[#This Row],[Average Entry]],0)</f>
        <v>-0.53972727272727272</v>
      </c>
      <c r="J47" s="71">
        <v>5.0629999999999997</v>
      </c>
    </row>
    <row r="48" spans="1:10">
      <c r="A48" t="s">
        <v>242</v>
      </c>
      <c r="B48" t="s">
        <v>246</v>
      </c>
      <c r="C48" s="4">
        <f>IFERROR(VLOOKUP(Table26[[#This Row],[Asset]],Table228[],19,FALSE),0)</f>
        <v>-149.15030082960001</v>
      </c>
      <c r="D48" s="4">
        <f>IFERROR(VLOOKUP(Table26[[#This Row],[Asset]],Table228[#All],20,FALSE),0)</f>
        <v>-185.70188905536</v>
      </c>
      <c r="E48" t="s">
        <v>8</v>
      </c>
      <c r="F48" s="4">
        <f>Table26[[#This Row],[How many tokens]]*Table26[[#This Row],[Current Price]]</f>
        <v>141.23805646463998</v>
      </c>
      <c r="G48" s="4">
        <f>IFERROR(VLOOKUP(Table26[[#This Row],[Asset]],Table228[#All],16,FALSE),0)</f>
        <v>6.0000000000000005E-2</v>
      </c>
      <c r="H48" s="77">
        <f>IFERROR(VLOOKUP(Table26[[#This Row],[Asset]],Table228[#All],18,FALSE),0)</f>
        <v>5448.9990919999991</v>
      </c>
      <c r="I48" s="84">
        <f>IFERROR((Table26[[#This Row],[Current Price]]-Table26[[#This Row],[Average Entry]])/Table26[[#This Row],[Average Entry]],0)</f>
        <v>-0.56800000000000006</v>
      </c>
      <c r="J48" s="71">
        <v>2.5919999999999999E-2</v>
      </c>
    </row>
    <row r="49" spans="1:10">
      <c r="A49" t="s">
        <v>190</v>
      </c>
      <c r="B49" t="s">
        <v>191</v>
      </c>
      <c r="C49" s="4">
        <f>IFERROR(VLOOKUP(Table26[[#This Row],[Asset]],Table228[],19,FALSE),0)</f>
        <v>0</v>
      </c>
      <c r="D49" s="4">
        <f>IFERROR(VLOOKUP(Table26[[#This Row],[Asset]],Table228[#All],20,FALSE),0)</f>
        <v>-2075.3827500000002</v>
      </c>
      <c r="E49" t="s">
        <v>13</v>
      </c>
      <c r="F49" s="4">
        <f>Table26[[#This Row],[How many tokens]]*Table26[[#This Row],[Current Price]]</f>
        <v>138.35885000000002</v>
      </c>
      <c r="G49" s="4">
        <f>IFERROR(VLOOKUP(Table26[[#This Row],[Asset]],Table228[#All],16,FALSE),0)</f>
        <v>8.0000000000000016E-2</v>
      </c>
      <c r="H49" s="77">
        <f>IFERROR(VLOOKUP(Table26[[#This Row],[Asset]],Table228[#All],18,FALSE),0)</f>
        <v>27671.77</v>
      </c>
      <c r="I49" s="84">
        <f>IFERROR((Table26[[#This Row],[Current Price]]-Table26[[#This Row],[Average Entry]])/Table26[[#This Row],[Average Entry]],0)</f>
        <v>-0.9375</v>
      </c>
      <c r="J49" s="71">
        <v>5.0000000000000001E-3</v>
      </c>
    </row>
    <row r="50" spans="1:10">
      <c r="A50" t="s">
        <v>160</v>
      </c>
      <c r="B50" t="s">
        <v>191</v>
      </c>
      <c r="C50" s="4">
        <f>IFERROR(VLOOKUP(Table26[[#This Row],[Asset]],Table228[],19,FALSE),0)</f>
        <v>2.8011100000000027</v>
      </c>
      <c r="D50" s="4">
        <f>IFERROR(VLOOKUP(Table26[[#This Row],[Asset]],Table228[#All],20,FALSE),0)</f>
        <v>-66.718739999999983</v>
      </c>
      <c r="E50" t="s">
        <v>13</v>
      </c>
      <c r="F50" s="4">
        <f>Table26[[#This Row],[How many tokens]]*Table26[[#This Row],[Current Price]]</f>
        <v>115.24145999999999</v>
      </c>
      <c r="G50" s="4">
        <f>IFERROR(VLOOKUP(Table26[[#This Row],[Asset]],Table228[#All],16,FALSE),0)</f>
        <v>0.09</v>
      </c>
      <c r="H50" s="77">
        <f>IFERROR(VLOOKUP(Table26[[#This Row],[Asset]],Table228[#All],18,FALSE),0)</f>
        <v>2021.7799999999997</v>
      </c>
      <c r="I50" s="84">
        <f>IFERROR((Table26[[#This Row],[Current Price]]-Table26[[#This Row],[Average Entry]])/Table26[[#This Row],[Average Entry]],0)</f>
        <v>-0.36666666666666664</v>
      </c>
      <c r="J50" s="71">
        <v>5.7000000000000002E-2</v>
      </c>
    </row>
    <row r="51" spans="1:10">
      <c r="A51" t="s">
        <v>222</v>
      </c>
      <c r="B51" t="s">
        <v>18</v>
      </c>
      <c r="C51" s="4">
        <f>IFERROR(VLOOKUP(Table26[[#This Row],[Asset]],Table228[],19,FALSE),0)</f>
        <v>-6418.6296296296296</v>
      </c>
      <c r="D51" s="4">
        <f>IFERROR(VLOOKUP(Table26[[#This Row],[Asset]],Table228[#All],20,FALSE),0)</f>
        <v>-69.370370370370381</v>
      </c>
      <c r="E51" t="s">
        <v>13</v>
      </c>
      <c r="F51" s="4">
        <f>Table26[[#This Row],[How many tokens]]*Table26[[#This Row],[Current Price]]</f>
        <v>111</v>
      </c>
      <c r="G51" s="4">
        <f>IFERROR(VLOOKUP(Table26[[#This Row],[Asset]],Table228[#All],16,FALSE),0)</f>
        <v>180.37037037037038</v>
      </c>
      <c r="H51" s="77">
        <f>IFERROR(VLOOKUP(Table26[[#This Row],[Asset]],Table228[#All],18,FALSE),0)</f>
        <v>1</v>
      </c>
      <c r="I51" s="84">
        <f>IFERROR((Table26[[#This Row],[Current Price]]-Table26[[#This Row],[Average Entry]])/Table26[[#This Row],[Average Entry]],0)</f>
        <v>-0.38459958932238197</v>
      </c>
      <c r="J51" s="71">
        <v>111</v>
      </c>
    </row>
    <row r="52" spans="1:10">
      <c r="A52" t="s">
        <v>72</v>
      </c>
      <c r="B52" t="s">
        <v>166</v>
      </c>
      <c r="C52" s="4">
        <f>IFERROR(VLOOKUP(Table26[[#This Row],[Asset]],Table228[],19,FALSE),0)</f>
        <v>-120.6</v>
      </c>
      <c r="D52" s="4">
        <f>IFERROR(VLOOKUP(Table26[[#This Row],[Asset]],Table228[#All],20,FALSE),0)</f>
        <v>0</v>
      </c>
      <c r="E52" t="s">
        <v>343</v>
      </c>
      <c r="F52" s="4">
        <f>Table26[[#This Row],[How many tokens]]*Table26[[#This Row],[Current Price]]</f>
        <v>0</v>
      </c>
      <c r="G52" s="4">
        <f>IFERROR(VLOOKUP(Table26[[#This Row],[Asset]],Table228[#All],16,FALSE),0)</f>
        <v>0.3</v>
      </c>
      <c r="H52" s="77">
        <f>IFERROR(VLOOKUP(Table26[[#This Row],[Asset]],Table228[#All],18,FALSE),0)</f>
        <v>0</v>
      </c>
      <c r="I52" s="84">
        <f>IFERROR((Table26[[#This Row],[Current Price]]-Table26[[#This Row],[Average Entry]])/Table26[[#This Row],[Average Entry]],0)</f>
        <v>-0.16766666666666663</v>
      </c>
      <c r="J52" s="71">
        <v>0.24970000000000001</v>
      </c>
    </row>
    <row r="53" spans="1:10">
      <c r="A53" t="s">
        <v>274</v>
      </c>
      <c r="B53" t="s">
        <v>18</v>
      </c>
      <c r="C53" s="4">
        <f>IFERROR(VLOOKUP(Table26[[#This Row],[Asset]],Table228[],19,FALSE),0)</f>
        <v>0</v>
      </c>
      <c r="D53" s="4">
        <f>IFERROR(VLOOKUP(Table26[[#This Row],[Asset]],Table228[#All],20,FALSE),0)</f>
        <v>-1.2704999999999969</v>
      </c>
      <c r="E53" t="s">
        <v>13</v>
      </c>
      <c r="F53" s="4">
        <f>Table26[[#This Row],[How many tokens]]*Table26[[#This Row],[Current Price]]</f>
        <v>64.729500000000002</v>
      </c>
      <c r="G53" s="4">
        <f>IFERROR(VLOOKUP(Table26[[#This Row],[Asset]],Table228[#All],16,FALSE),0)</f>
        <v>4.0000000000000001E-3</v>
      </c>
      <c r="H53" s="77">
        <f>IFERROR(VLOOKUP(Table26[[#This Row],[Asset]],Table228[#All],18,FALSE),0)</f>
        <v>16500</v>
      </c>
      <c r="I53" s="84">
        <f>IFERROR((Table26[[#This Row],[Current Price]]-Table26[[#This Row],[Average Entry]])/Table26[[#This Row],[Average Entry]],0)</f>
        <v>-1.9249999999999951E-2</v>
      </c>
      <c r="J53" s="71">
        <v>3.9230000000000003E-3</v>
      </c>
    </row>
    <row r="54" spans="1:10">
      <c r="A54" t="s">
        <v>182</v>
      </c>
      <c r="B54" t="s">
        <v>184</v>
      </c>
      <c r="C54" s="4">
        <f>IFERROR(VLOOKUP(Table26[[#This Row],[Asset]],Table228[],19,FALSE),0)</f>
        <v>-419.86706582250002</v>
      </c>
      <c r="D54" s="4">
        <f>IFERROR(VLOOKUP(Table26[[#This Row],[Asset]],Table228[#All],20,FALSE),0)</f>
        <v>-120.27189290749997</v>
      </c>
      <c r="E54" t="s">
        <v>13</v>
      </c>
      <c r="F54" s="4">
        <f>Table26[[#This Row],[How many tokens]]*Table26[[#This Row],[Current Price]]</f>
        <v>29.693060842499996</v>
      </c>
      <c r="G54" s="4">
        <f>IFERROR(VLOOKUP(Table26[[#This Row],[Asset]],Table228[#All],16,FALSE),0)</f>
        <v>5.0000000000000001E-3</v>
      </c>
      <c r="H54" s="77">
        <f>IFERROR(VLOOKUP(Table26[[#This Row],[Asset]],Table228[#All],18,FALSE),0)</f>
        <v>29992.990749999997</v>
      </c>
      <c r="I54" s="84">
        <f>IFERROR((Table26[[#This Row],[Current Price]]-Table26[[#This Row],[Average Entry]])/Table26[[#This Row],[Average Entry]],0)</f>
        <v>-0.80199999999999994</v>
      </c>
      <c r="J54" s="71">
        <v>9.8999999999999999E-4</v>
      </c>
    </row>
    <row r="55" spans="1:10">
      <c r="A55" t="s">
        <v>213</v>
      </c>
      <c r="B55" t="s">
        <v>194</v>
      </c>
      <c r="C55" s="4">
        <f>IFERROR(VLOOKUP(Table26[[#This Row],[Asset]],Table228[],19,FALSE),0)</f>
        <v>0</v>
      </c>
      <c r="D55" s="4">
        <f>IFERROR(VLOOKUP(Table26[[#This Row],[Asset]],Table228[#All],20,FALSE),0)</f>
        <v>-1.254397767700322E-2</v>
      </c>
      <c r="E55" t="s">
        <v>13</v>
      </c>
      <c r="F55" s="4">
        <f>Table26[[#This Row],[How many tokens]]*Table26[[#This Row],[Current Price]]</f>
        <v>27.36379130397</v>
      </c>
      <c r="G55" s="4">
        <f>IFERROR(VLOOKUP(Table26[[#This Row],[Asset]],Table228[#All],16,FALSE),0)</f>
        <v>1.5277000000000001E-3</v>
      </c>
      <c r="H55" s="77">
        <f>IFERROR(VLOOKUP(Table26[[#This Row],[Asset]],Table228[#All],18,FALSE),0)</f>
        <v>17919.968110000002</v>
      </c>
      <c r="I55" s="84">
        <f>IFERROR((Table26[[#This Row],[Current Price]]-Table26[[#This Row],[Average Entry]])/Table26[[#This Row],[Average Entry]],0)</f>
        <v>-4.5820514498931699E-4</v>
      </c>
      <c r="J55" s="71">
        <v>1.5269999999999999E-3</v>
      </c>
    </row>
    <row r="56" spans="1:10">
      <c r="A56" t="s">
        <v>32</v>
      </c>
      <c r="B56" t="s">
        <v>282</v>
      </c>
      <c r="C56" s="4">
        <f>IFERROR(VLOOKUP(Table26[[#This Row],[Asset]],Table228[],19,FALSE),0)</f>
        <v>-1622.83176777421</v>
      </c>
      <c r="D56" s="4">
        <f>IFERROR(VLOOKUP(Table26[[#This Row],[Asset]],Table228[#All],20,FALSE),0)</f>
        <v>-141.12094464899988</v>
      </c>
      <c r="E56" t="s">
        <v>33</v>
      </c>
      <c r="F56" s="4">
        <f>Table26[[#This Row],[How many tokens]]*Table26[[#This Row],[Current Price]]</f>
        <v>24.749636750999976</v>
      </c>
      <c r="G56" s="4">
        <f>IFERROR(VLOOKUP(Table26[[#This Row],[Asset]],Table228[#All],16,FALSE),0)</f>
        <v>0.38</v>
      </c>
      <c r="H56" s="77">
        <f>IFERROR(VLOOKUP(Table26[[#This Row],[Asset]],Table228[#All],18,FALSE),0)</f>
        <v>436.50152999999955</v>
      </c>
      <c r="I56" s="84">
        <f>IFERROR((Table26[[#This Row],[Current Price]]-Table26[[#This Row],[Average Entry]])/Table26[[#This Row],[Average Entry]],0)</f>
        <v>-0.85078947368421065</v>
      </c>
      <c r="J56" s="71">
        <v>5.67E-2</v>
      </c>
    </row>
    <row r="57" spans="1:10">
      <c r="A57" t="s">
        <v>277</v>
      </c>
      <c r="B57" t="s">
        <v>18</v>
      </c>
      <c r="C57" s="4">
        <f>IFERROR(VLOOKUP(Table26[[#This Row],[Asset]],Table228[],19,FALSE),0)</f>
        <v>0</v>
      </c>
      <c r="D57" s="4">
        <f>IFERROR(VLOOKUP(Table26[[#This Row],[Asset]],Table228[#All],20,FALSE),0)</f>
        <v>0</v>
      </c>
      <c r="E57" t="s">
        <v>13</v>
      </c>
      <c r="F57" s="4">
        <f>Table26[[#This Row],[How many tokens]]*Table26[[#This Row],[Current Price]]</f>
        <v>20</v>
      </c>
      <c r="G57" s="4">
        <f>IFERROR(VLOOKUP(Table26[[#This Row],[Asset]],Table228[#All],16,FALSE),0)</f>
        <v>20</v>
      </c>
      <c r="H57" s="77">
        <f>IFERROR(VLOOKUP(Table26[[#This Row],[Asset]],Table228[#All],18,FALSE),0)</f>
        <v>1</v>
      </c>
      <c r="I57" s="84">
        <f>IFERROR((Table26[[#This Row],[Current Price]]-Table26[[#This Row],[Average Entry]])/Table26[[#This Row],[Average Entry]],0)</f>
        <v>0</v>
      </c>
      <c r="J57" s="71">
        <v>20</v>
      </c>
    </row>
    <row r="58" spans="1:10">
      <c r="A58" t="s">
        <v>244</v>
      </c>
      <c r="B58" t="s">
        <v>245</v>
      </c>
      <c r="C58" s="4">
        <f>IFERROR(VLOOKUP(Table26[[#This Row],[Asset]],Table228[],19,FALSE),0)</f>
        <v>0</v>
      </c>
      <c r="D58" s="4">
        <f>IFERROR(VLOOKUP(Table26[[#This Row],[Asset]],Table228[#All],20,FALSE),0)</f>
        <v>-76.573909999999998</v>
      </c>
      <c r="E58" t="s">
        <v>13</v>
      </c>
      <c r="F58" s="4">
        <f>Table26[[#This Row],[How many tokens]]*Table26[[#This Row],[Current Price]]</f>
        <v>19.806089999999998</v>
      </c>
      <c r="G58" s="4">
        <f>IFERROR(VLOOKUP(Table26[[#This Row],[Asset]],Table228[#All],16,FALSE),0)</f>
        <v>2000</v>
      </c>
      <c r="H58" s="77">
        <f>IFERROR(VLOOKUP(Table26[[#This Row],[Asset]],Table228[#All],18,FALSE),0)</f>
        <v>4.8189999999999997E-2</v>
      </c>
      <c r="I58" s="84">
        <f>IFERROR((Table26[[#This Row],[Current Price]]-Table26[[#This Row],[Average Entry]])/Table26[[#This Row],[Average Entry]],0)</f>
        <v>-0.79449999999999998</v>
      </c>
      <c r="J58" s="71">
        <v>411</v>
      </c>
    </row>
    <row r="59" spans="1:10">
      <c r="A59" t="s">
        <v>5</v>
      </c>
      <c r="B59" t="s">
        <v>342</v>
      </c>
      <c r="C59" s="4">
        <f>IFERROR(VLOOKUP(Table26[[#This Row],[Asset]],Table228[],19,FALSE),0)</f>
        <v>0</v>
      </c>
      <c r="D59" s="4">
        <f>IFERROR(VLOOKUP(Table26[[#This Row],[Asset]],Table228[#All],20,FALSE),0)</f>
        <v>-82.416000000000011</v>
      </c>
      <c r="E59" t="s">
        <v>6</v>
      </c>
      <c r="F59" s="4">
        <f>Table26[[#This Row],[How many tokens]]*Table26[[#This Row],[Current Price]]</f>
        <v>18.584</v>
      </c>
      <c r="G59" s="4">
        <f>IFERROR(VLOOKUP(Table26[[#This Row],[Asset]],Table228[#All],16,FALSE),0)</f>
        <v>1</v>
      </c>
      <c r="H59" s="77">
        <f>IFERROR(VLOOKUP(Table26[[#This Row],[Asset]],Table228[#All],18,FALSE),0)</f>
        <v>101</v>
      </c>
      <c r="I59" s="84">
        <f>IFERROR((Table26[[#This Row],[Current Price]]-Table26[[#This Row],[Average Entry]])/Table26[[#This Row],[Average Entry]],0)</f>
        <v>-0.81600000000000006</v>
      </c>
      <c r="J59" s="71">
        <v>0.184</v>
      </c>
    </row>
    <row r="60" spans="1:10">
      <c r="A60" t="s">
        <v>251</v>
      </c>
      <c r="B60" t="s">
        <v>191</v>
      </c>
      <c r="C60" s="4">
        <f>IFERROR(VLOOKUP(Table26[[#This Row],[Asset]],Table228[],19,FALSE),0)</f>
        <v>-1862.098257424607</v>
      </c>
      <c r="D60" s="4">
        <f>IFERROR(VLOOKUP(Table26[[#This Row],[Asset]],Table228[#All],20,FALSE),0)</f>
        <v>-2.9887935753930743</v>
      </c>
      <c r="E60" t="s">
        <v>251</v>
      </c>
      <c r="F60" s="4">
        <f>Table26[[#This Row],[How many tokens]]*Table26[[#This Row],[Current Price]]</f>
        <v>1.9182909999997697</v>
      </c>
      <c r="G60" s="4">
        <f>IFERROR(VLOOKUP(Table26[[#This Row],[Asset]],Table228[#All],16,FALSE),0)</f>
        <v>2.7882746607156279</v>
      </c>
      <c r="H60" s="77">
        <f>IFERROR(VLOOKUP(Table26[[#This Row],[Asset]],Table228[#All],18,FALSE),0)</f>
        <v>1.7598999999997886</v>
      </c>
      <c r="I60" s="84">
        <f>IFERROR((Table26[[#This Row],[Current Price]]-Table26[[#This Row],[Average Entry]])/Table26[[#This Row],[Average Entry]],0)</f>
        <v>-0.60907724932656204</v>
      </c>
      <c r="J60" s="71">
        <v>1.0900000000000001</v>
      </c>
    </row>
    <row r="61" spans="1:10">
      <c r="A61" t="s">
        <v>236</v>
      </c>
      <c r="B61" t="s">
        <v>18</v>
      </c>
      <c r="C61" s="4">
        <f>IFERROR(VLOOKUP(Table26[[#This Row],[Asset]],Table228[],19,FALSE),0)</f>
        <v>0</v>
      </c>
      <c r="D61" s="4">
        <f>IFERROR(VLOOKUP(Table26[[#This Row],[Asset]],Table228[#All],20,FALSE),0)</f>
        <v>-1999</v>
      </c>
      <c r="E61" t="s">
        <v>13</v>
      </c>
      <c r="F61" s="4">
        <f>Table26[[#This Row],[How many tokens]]*Table26[[#This Row],[Current Price]]</f>
        <v>1</v>
      </c>
      <c r="G61" s="4">
        <f>IFERROR(VLOOKUP(Table26[[#This Row],[Asset]],Table228[#All],16,FALSE),0)</f>
        <v>2000</v>
      </c>
      <c r="H61" s="77">
        <f>IFERROR(VLOOKUP(Table26[[#This Row],[Asset]],Table228[#All],18,FALSE),0)</f>
        <v>1</v>
      </c>
      <c r="I61" s="84">
        <f>IFERROR((Table26[[#This Row],[Current Price]]-Table26[[#This Row],[Average Entry]])/Table26[[#This Row],[Average Entry]],0)</f>
        <v>-0.99950000000000006</v>
      </c>
      <c r="J61" s="71">
        <v>1</v>
      </c>
    </row>
    <row r="62" spans="1:10">
      <c r="A62" t="s">
        <v>508</v>
      </c>
      <c r="C62" s="4">
        <f>IFERROR(VLOOKUP(Table26[[#This Row],[Asset]],Table228[],19,FALSE),0)</f>
        <v>1345.6149999999998</v>
      </c>
      <c r="D62" s="4">
        <f>IFERROR(VLOOKUP(Table26[[#This Row],[Asset]],Table228[#All],20,FALSE),0)</f>
        <v>-3453.3850000000002</v>
      </c>
      <c r="F62" s="4">
        <f>Table26[[#This Row],[How many tokens]]*Table26[[#This Row],[Current Price]]</f>
        <v>1</v>
      </c>
      <c r="G62" s="4">
        <f>IFERROR(VLOOKUP(Table26[[#This Row],[Asset]],Table228[#All],16,FALSE),0)</f>
        <v>3454.3850000000002</v>
      </c>
      <c r="H62" s="77">
        <f>IFERROR(VLOOKUP(Table26[[#This Row],[Asset]],Table228[#All],18,FALSE),0)</f>
        <v>1</v>
      </c>
      <c r="I62" s="84">
        <f>IFERROR((Table26[[#This Row],[Current Price]]-Table26[[#This Row],[Average Entry]])/Table26[[#This Row],[Average Entry]],0)</f>
        <v>-0.99971051286987411</v>
      </c>
      <c r="J62" s="71">
        <v>1</v>
      </c>
    </row>
    <row r="63" spans="1:10">
      <c r="A63" t="s">
        <v>225</v>
      </c>
      <c r="B63" t="s">
        <v>135</v>
      </c>
      <c r="C63" s="4">
        <f>IFERROR(VLOOKUP(Table26[[#This Row],[Asset]],Table228[],19,FALSE),0)</f>
        <v>-577.93719753678226</v>
      </c>
      <c r="D63" s="4">
        <f>IFERROR(VLOOKUP(Table26[[#This Row],[Asset]],Table228[#All],20,FALSE),0)</f>
        <v>-1.4374103217934595E-2</v>
      </c>
      <c r="E63" t="s">
        <v>13</v>
      </c>
      <c r="F63" s="4">
        <f>Table26[[#This Row],[How many tokens]]*Table26[[#This Row],[Current Price]]</f>
        <v>5.0320000000283471E-3</v>
      </c>
      <c r="G63" s="4">
        <f>IFERROR(VLOOKUP(Table26[[#This Row],[Asset]],Table228[#All],16,FALSE),0)</f>
        <v>7.713077590561852</v>
      </c>
      <c r="H63" s="77">
        <f>IFERROR(VLOOKUP(Table26[[#This Row],[Asset]],Table228[#All],18,FALSE),0)</f>
        <v>2.5160000000141736E-3</v>
      </c>
      <c r="I63" s="84">
        <f>IFERROR((Table26[[#This Row],[Current Price]]-Table26[[#This Row],[Average Entry]])/Table26[[#This Row],[Average Entry]],0)</f>
        <v>-0.74070013214345065</v>
      </c>
      <c r="J63" s="71">
        <v>2</v>
      </c>
    </row>
    <row r="64" spans="1:10">
      <c r="A64" t="s">
        <v>489</v>
      </c>
      <c r="B64" t="s">
        <v>491</v>
      </c>
      <c r="C64" s="4">
        <f>IFERROR(VLOOKUP(Table26[[#This Row],[Asset]],Table228[],19,FALSE),0)</f>
        <v>581.47535700000003</v>
      </c>
      <c r="D64" s="4">
        <f>IFERROR(VLOOKUP(Table26[[#This Row],[Asset]],Table228[#All],20,FALSE),0)</f>
        <v>-6.7760000019915585E-7</v>
      </c>
      <c r="F64" s="4">
        <f>Table26[[#This Row],[How many tokens]]*Table26[[#This Row],[Current Price]]</f>
        <v>7.7294800022718844E-5</v>
      </c>
      <c r="G64" s="4">
        <f>IFERROR(VLOOKUP(Table26[[#This Row],[Asset]],Table228[#All],16,FALSE),0)</f>
        <v>0.32219999999999999</v>
      </c>
      <c r="H64" s="77">
        <f>IFERROR(VLOOKUP(Table26[[#This Row],[Asset]],Table228[#All],18,FALSE),0)</f>
        <v>2.4200000007112976E-4</v>
      </c>
      <c r="I64" s="84">
        <f>IFERROR((Table26[[#This Row],[Current Price]]-Table26[[#This Row],[Average Entry]])/Table26[[#This Row],[Average Entry]],0)</f>
        <v>-8.6902545003102703E-3</v>
      </c>
      <c r="J64" s="71">
        <v>0.31940000000000002</v>
      </c>
    </row>
    <row r="65" spans="1:10">
      <c r="A65" t="s">
        <v>501</v>
      </c>
      <c r="C65" s="4">
        <f>IFERROR(VLOOKUP(Table26[[#This Row],[Asset]],Table228[],19,FALSE),0)</f>
        <v>-2148.4966463688793</v>
      </c>
      <c r="D65" s="4">
        <f>IFERROR(VLOOKUP(Table26[[#This Row],[Asset]],Table228[#All],20,FALSE),0)</f>
        <v>-4.3437765270937202E-8</v>
      </c>
      <c r="F65" s="4">
        <f>Table26[[#This Row],[How many tokens]]*Table26[[#This Row],[Current Price]]</f>
        <v>3.1998254416976123E-7</v>
      </c>
      <c r="G65" s="4">
        <f>IFERROR(VLOOKUP(Table26[[#This Row],[Asset]],Table228[#All],16,FALSE),0)</f>
        <v>0.13469999999999999</v>
      </c>
      <c r="H65" s="77">
        <f>IFERROR(VLOOKUP(Table26[[#This Row],[Asset]],Table228[#All],18,FALSE),0)</f>
        <v>2.6979978429153562E-6</v>
      </c>
      <c r="I65" s="84">
        <f>IFERROR((Table26[[#This Row],[Current Price]]-Table26[[#This Row],[Average Entry]])/Table26[[#This Row],[Average Entry]],0)</f>
        <v>-0.11952487008166289</v>
      </c>
      <c r="J65" s="71">
        <v>0.1186</v>
      </c>
    </row>
    <row r="66" spans="1:10">
      <c r="A66" t="s">
        <v>346</v>
      </c>
      <c r="B66" t="s">
        <v>347</v>
      </c>
      <c r="C66" s="4">
        <f>IFERROR(VLOOKUP(Table26[[#This Row],[Asset]],Table228[],19,FALSE),0)</f>
        <v>9742.6982114921248</v>
      </c>
      <c r="D66" s="4">
        <f>IFERROR(VLOOKUP(Table26[[#This Row],[Asset]],Table228[#All],20,FALSE),0)</f>
        <v>0</v>
      </c>
      <c r="E66" t="s">
        <v>348</v>
      </c>
      <c r="F66" s="4">
        <f>Table26[[#This Row],[How many tokens]]*Table26[[#This Row],[Current Price]]</f>
        <v>0</v>
      </c>
      <c r="G66" s="4">
        <f>IFERROR(VLOOKUP(Table26[[#This Row],[Asset]],Table228[#All],16,FALSE),0)</f>
        <v>0.62114759878113723</v>
      </c>
      <c r="H66" s="77">
        <f>IFERROR(VLOOKUP(Table26[[#This Row],[Asset]],Table228[#All],18,FALSE),0)</f>
        <v>0</v>
      </c>
      <c r="I66" s="84">
        <f>IFERROR((Table26[[#This Row],[Current Price]]-Table26[[#This Row],[Average Entry]])/Table26[[#This Row],[Average Entry]],0)</f>
        <v>0.59382407972380935</v>
      </c>
      <c r="J66" s="71">
        <v>0.99</v>
      </c>
    </row>
    <row r="67" spans="1:10">
      <c r="A67" t="s">
        <v>519</v>
      </c>
      <c r="C67" s="4">
        <f>IFERROR(VLOOKUP(Table26[[#This Row],[Asset]],Table228[],19,FALSE),0)</f>
        <v>168.48398300000008</v>
      </c>
      <c r="D67" s="4">
        <f>IFERROR(VLOOKUP(Table26[[#This Row],[Asset]],Table228[#All],20,FALSE),0)</f>
        <v>0</v>
      </c>
      <c r="F67" s="4">
        <f>Table26[[#This Row],[How many tokens]]*Table26[[#This Row],[Current Price]]</f>
        <v>0</v>
      </c>
      <c r="G67" s="4">
        <f>IFERROR(VLOOKUP(Table26[[#This Row],[Asset]],Table228[#All],16,FALSE),0)</f>
        <v>352.03288325427013</v>
      </c>
      <c r="H67" s="77">
        <f>IFERROR(VLOOKUP(Table26[[#This Row],[Asset]],Table228[#All],18,FALSE),0)</f>
        <v>0</v>
      </c>
      <c r="I67" s="84">
        <f>IFERROR((Table26[[#This Row],[Current Price]]-Table26[[#This Row],[Average Entry]])/Table26[[#This Row],[Average Entry]],0)</f>
        <v>7.9444614625757776E-2</v>
      </c>
      <c r="J67" s="71">
        <v>380</v>
      </c>
    </row>
    <row r="68" spans="1:10">
      <c r="A68" t="s">
        <v>4</v>
      </c>
      <c r="B68" t="s">
        <v>282</v>
      </c>
      <c r="C68" s="4">
        <f>IFERROR(VLOOKUP(Table26[[#This Row],[Asset]],Table228[],19,FALSE),0)</f>
        <v>-377458.53</v>
      </c>
      <c r="D68" s="4">
        <f>IFERROR(VLOOKUP(Table26[[#This Row],[Asset]],Table228[#All],20,FALSE),0)</f>
        <v>0</v>
      </c>
      <c r="E68" t="s">
        <v>345</v>
      </c>
      <c r="F68" s="4">
        <f>Table26[[#This Row],[How many tokens]]*Table26[[#This Row],[Current Price]]</f>
        <v>0</v>
      </c>
      <c r="G68" s="4">
        <f>IFERROR(VLOOKUP(Table26[[#This Row],[Asset]],Table228[#All],16,FALSE),0)</f>
        <v>20.101131838189058</v>
      </c>
      <c r="H68" s="77">
        <f>IFERROR(VLOOKUP(Table26[[#This Row],[Asset]],Table228[#All],18,FALSE),0)</f>
        <v>0</v>
      </c>
      <c r="I68" s="84">
        <f>IFERROR((Table26[[#This Row],[Current Price]]-Table26[[#This Row],[Average Entry]])/Table26[[#This Row],[Average Entry]],0)</f>
        <v>-0.98894092124814259</v>
      </c>
      <c r="J68" s="71">
        <v>0.2223</v>
      </c>
    </row>
    <row r="69" spans="1:10">
      <c r="A69" t="s">
        <v>221</v>
      </c>
      <c r="B69" t="s">
        <v>191</v>
      </c>
      <c r="C69" s="4">
        <f>IFERROR(VLOOKUP(Table26[[#This Row],[Asset]],Table228[],19,FALSE),0)</f>
        <v>388.63849229457122</v>
      </c>
      <c r="D69" s="4">
        <f>IFERROR(VLOOKUP(Table26[[#This Row],[Asset]],Table228[#All],20,FALSE),0)</f>
        <v>-2.7782840992706692</v>
      </c>
      <c r="E69" t="s">
        <v>13</v>
      </c>
      <c r="F69" s="4">
        <f>Table26[[#This Row],[How many tokens]]*Table26[[#This Row],[Current Price]]</f>
        <v>108</v>
      </c>
      <c r="G69" s="4">
        <f>IFERROR(VLOOKUP(Table26[[#This Row],[Asset]],Table228[#All],16,FALSE),0)</f>
        <v>0.92315236749392227</v>
      </c>
      <c r="H69" s="77">
        <f>IFERROR(VLOOKUP(Table26[[#This Row],[Asset]],Table228[#All],18,FALSE),0)</f>
        <v>120</v>
      </c>
      <c r="I69" s="84">
        <f>IFERROR((Table26[[#This Row],[Current Price]]-Table26[[#This Row],[Average Entry]])/Table26[[#This Row],[Average Entry]],0)</f>
        <v>-2.5079681652958194E-2</v>
      </c>
      <c r="J69" s="71">
        <v>0.9</v>
      </c>
    </row>
    <row r="70" spans="1:10">
      <c r="A70" t="s">
        <v>212</v>
      </c>
      <c r="B70" t="s">
        <v>194</v>
      </c>
      <c r="C70" s="4">
        <f>IFERROR(VLOOKUP(Table26[[#This Row],[Asset]],Table228[],19,FALSE),0)</f>
        <v>476</v>
      </c>
      <c r="D70" s="4">
        <f>IFERROR(VLOOKUP(Table26[[#This Row],[Asset]],Table228[#All],20,FALSE),0)</f>
        <v>0</v>
      </c>
      <c r="E70" t="s">
        <v>208</v>
      </c>
      <c r="F70" s="4">
        <f>Table26[[#This Row],[How many tokens]]*Table26[[#This Row],[Current Price]]</f>
        <v>0</v>
      </c>
      <c r="G70" s="4">
        <f>IFERROR(VLOOKUP(Table26[[#This Row],[Asset]],Table228[#All],16,FALSE),0)</f>
        <v>2122</v>
      </c>
      <c r="H70" s="77">
        <f>IFERROR(VLOOKUP(Table26[[#This Row],[Asset]],Table228[#All],18,FALSE),0)</f>
        <v>0</v>
      </c>
      <c r="I70" s="84">
        <f>IFERROR((Table26[[#This Row],[Current Price]]-Table26[[#This Row],[Average Entry]])/Table26[[#This Row],[Average Entry]],0)</f>
        <v>0.64938737040527805</v>
      </c>
      <c r="J70" s="71">
        <v>3500</v>
      </c>
    </row>
    <row r="71" spans="1:10">
      <c r="A71" t="s">
        <v>17</v>
      </c>
      <c r="B71" t="s">
        <v>166</v>
      </c>
      <c r="C71" s="4">
        <f>IFERROR(VLOOKUP(Table26[[#This Row],[Asset]],Table228[],19,FALSE),0)</f>
        <v>3889.9900000000002</v>
      </c>
      <c r="D71" s="4">
        <f>IFERROR(VLOOKUP(Table26[[#This Row],[Asset]],Table228[#All],20,FALSE),0)</f>
        <v>0</v>
      </c>
      <c r="E71" t="s">
        <v>16</v>
      </c>
      <c r="F71" s="4">
        <f>Table26[[#This Row],[How many tokens]]*Table26[[#This Row],[Current Price]]</f>
        <v>0</v>
      </c>
      <c r="G71" s="4">
        <f>IFERROR(VLOOKUP(Table26[[#This Row],[Asset]],Table228[#All],16,FALSE),0)</f>
        <v>0.41</v>
      </c>
      <c r="H71" s="77">
        <f>IFERROR(VLOOKUP(Table26[[#This Row],[Asset]],Table228[#All],18,FALSE),0)</f>
        <v>0</v>
      </c>
      <c r="I71" s="84">
        <f>IFERROR((Table26[[#This Row],[Current Price]]-Table26[[#This Row],[Average Entry]])/Table26[[#This Row],[Average Entry]],0)</f>
        <v>0</v>
      </c>
      <c r="J71" s="71">
        <v>0.41</v>
      </c>
    </row>
    <row r="72" spans="1:10">
      <c r="A72" t="s">
        <v>217</v>
      </c>
      <c r="B72" t="s">
        <v>135</v>
      </c>
      <c r="C72" s="4">
        <f>IFERROR(VLOOKUP(Table26[[#This Row],[Asset]],Table228[],19,FALSE),0)</f>
        <v>403.77</v>
      </c>
      <c r="D72" s="4">
        <f>IFERROR(VLOOKUP(Table26[[#This Row],[Asset]],Table228[#All],20,FALSE),0)</f>
        <v>0</v>
      </c>
      <c r="E72" t="s">
        <v>13</v>
      </c>
      <c r="F72" s="4">
        <f>Table26[[#This Row],[How many tokens]]*Table26[[#This Row],[Current Price]]</f>
        <v>0</v>
      </c>
      <c r="G72" s="4">
        <f>IFERROR(VLOOKUP(Table26[[#This Row],[Asset]],Table228[#All],16,FALSE),0)</f>
        <v>520.35</v>
      </c>
      <c r="H72" s="77">
        <f>IFERROR(VLOOKUP(Table26[[#This Row],[Asset]],Table228[#All],18,FALSE),0)</f>
        <v>0</v>
      </c>
      <c r="I72" s="84">
        <f>IFERROR((Table26[[#This Row],[Current Price]]-Table26[[#This Row],[Average Entry]])/Table26[[#This Row],[Average Entry]],0)</f>
        <v>0</v>
      </c>
      <c r="J72" s="71">
        <v>520.35</v>
      </c>
    </row>
    <row r="73" spans="1:10">
      <c r="A73" t="s">
        <v>178</v>
      </c>
      <c r="B73" t="s">
        <v>18</v>
      </c>
      <c r="C73" s="4">
        <f>IFERROR(VLOOKUP(Table26[[#This Row],[Asset]],Table228[],19,FALSE),0)</f>
        <v>-4941</v>
      </c>
      <c r="D73" s="4">
        <f>IFERROR(VLOOKUP(Table26[[#This Row],[Asset]],Table228[#All],20,FALSE),0)</f>
        <v>0</v>
      </c>
      <c r="E73" t="s">
        <v>13</v>
      </c>
      <c r="F73" s="4">
        <f>Table26[[#This Row],[How many tokens]]*Table26[[#This Row],[Current Price]]</f>
        <v>0</v>
      </c>
      <c r="G73" s="4">
        <f>IFERROR(VLOOKUP(Table26[[#This Row],[Asset]],Table228[#All],16,FALSE),0)</f>
        <v>925</v>
      </c>
      <c r="H73" s="77">
        <f>IFERROR(VLOOKUP(Table26[[#This Row],[Asset]],Table228[#All],18,FALSE),0)</f>
        <v>0</v>
      </c>
      <c r="I73" s="84">
        <f>IFERROR((Table26[[#This Row],[Current Price]]-Table26[[#This Row],[Average Entry]])/Table26[[#This Row],[Average Entry]],0)</f>
        <v>-0.23243243243243245</v>
      </c>
      <c r="J73" s="71">
        <v>710</v>
      </c>
    </row>
    <row r="74" spans="1:10">
      <c r="A74" t="s">
        <v>227</v>
      </c>
      <c r="B74" t="s">
        <v>18</v>
      </c>
      <c r="C74" s="4">
        <f>IFERROR(VLOOKUP(Table26[[#This Row],[Asset]],Table228[],19,FALSE),0)</f>
        <v>468</v>
      </c>
      <c r="D74" s="4">
        <f>IFERROR(VLOOKUP(Table26[[#This Row],[Asset]],Table228[#All],20,FALSE),0)</f>
        <v>0</v>
      </c>
      <c r="E74" t="s">
        <v>13</v>
      </c>
      <c r="F74" s="4">
        <f>Table26[[#This Row],[How many tokens]]*Table26[[#This Row],[Current Price]]</f>
        <v>0</v>
      </c>
      <c r="G74" s="4">
        <f>IFERROR(VLOOKUP(Table26[[#This Row],[Asset]],Table228[#All],16,FALSE),0)</f>
        <v>80</v>
      </c>
      <c r="H74" s="77">
        <f>IFERROR(VLOOKUP(Table26[[#This Row],[Asset]],Table228[#All],18,FALSE),0)</f>
        <v>0</v>
      </c>
      <c r="I74" s="84">
        <f>IFERROR((Table26[[#This Row],[Current Price]]-Table26[[#This Row],[Average Entry]])/Table26[[#This Row],[Average Entry]],0)</f>
        <v>2.5874999999999999</v>
      </c>
      <c r="J74" s="71">
        <v>287</v>
      </c>
    </row>
    <row r="75" spans="1:10">
      <c r="A75" t="s">
        <v>235</v>
      </c>
      <c r="B75" t="s">
        <v>18</v>
      </c>
      <c r="C75" s="4">
        <f>IFERROR(VLOOKUP(Table26[[#This Row],[Asset]],Table228[],19,FALSE),0)</f>
        <v>-235</v>
      </c>
      <c r="D75" s="4">
        <f>IFERROR(VLOOKUP(Table26[[#This Row],[Asset]],Table228[#All],20,FALSE),0)</f>
        <v>0</v>
      </c>
      <c r="E75" t="s">
        <v>13</v>
      </c>
      <c r="F75" s="4">
        <f>Table26[[#This Row],[How many tokens]]*Table26[[#This Row],[Current Price]]</f>
        <v>0</v>
      </c>
      <c r="G75" s="4">
        <f>IFERROR(VLOOKUP(Table26[[#This Row],[Asset]],Table228[#All],16,FALSE),0)</f>
        <v>50</v>
      </c>
      <c r="H75" s="77">
        <f>IFERROR(VLOOKUP(Table26[[#This Row],[Asset]],Table228[#All],18,FALSE),0)</f>
        <v>0</v>
      </c>
      <c r="I75" s="84">
        <f>IFERROR((Table26[[#This Row],[Current Price]]-Table26[[#This Row],[Average Entry]])/Table26[[#This Row],[Average Entry]],0)</f>
        <v>-0.43200000000000005</v>
      </c>
      <c r="J75" s="71">
        <v>28.4</v>
      </c>
    </row>
    <row r="76" spans="1:10">
      <c r="A76" t="s">
        <v>237</v>
      </c>
      <c r="B76" t="s">
        <v>18</v>
      </c>
      <c r="C76" s="4">
        <f>IFERROR(VLOOKUP(Table26[[#This Row],[Asset]],Table228[],19,FALSE),0)</f>
        <v>0</v>
      </c>
      <c r="D76" s="4">
        <f>IFERROR(VLOOKUP(Table26[[#This Row],[Asset]],Table228[#All],20,FALSE),0)</f>
        <v>0</v>
      </c>
      <c r="E76" t="s">
        <v>13</v>
      </c>
      <c r="F76" s="4">
        <f>Table26[[#This Row],[How many tokens]]*Table26[[#This Row],[Current Price]]</f>
        <v>0</v>
      </c>
      <c r="G76" s="4">
        <f>IFERROR(VLOOKUP(Table26[[#This Row],[Asset]],Table228[#All],16,FALSE),0)</f>
        <v>0</v>
      </c>
      <c r="H76" s="77">
        <f>IFERROR(VLOOKUP(Table26[[#This Row],[Asset]],Table228[#All],18,FALSE),0)</f>
        <v>0</v>
      </c>
      <c r="I76" s="84">
        <f>IFERROR((Table26[[#This Row],[Current Price]]-Table26[[#This Row],[Average Entry]])/Table26[[#This Row],[Average Entry]],0)</f>
        <v>0</v>
      </c>
      <c r="J76" s="71">
        <v>32.57</v>
      </c>
    </row>
    <row r="77" spans="1:10">
      <c r="A77" t="s">
        <v>239</v>
      </c>
      <c r="B77" t="s">
        <v>18</v>
      </c>
      <c r="C77" s="4">
        <f>IFERROR(VLOOKUP(Table26[[#This Row],[Asset]],Table228[],19,FALSE),0)</f>
        <v>-2552</v>
      </c>
      <c r="D77" s="4">
        <f>IFERROR(VLOOKUP(Table26[[#This Row],[Asset]],Table228[#All],20,FALSE),0)</f>
        <v>0</v>
      </c>
      <c r="E77" t="s">
        <v>13</v>
      </c>
      <c r="F77" s="4">
        <f>Table26[[#This Row],[How many tokens]]*Table26[[#This Row],[Current Price]]</f>
        <v>0</v>
      </c>
      <c r="G77" s="4">
        <f>IFERROR(VLOOKUP(Table26[[#This Row],[Asset]],Table228[#All],16,FALSE),0)</f>
        <v>30</v>
      </c>
      <c r="H77" s="77">
        <f>IFERROR(VLOOKUP(Table26[[#This Row],[Asset]],Table228[#All],18,FALSE),0)</f>
        <v>0</v>
      </c>
      <c r="I77" s="84">
        <f>IFERROR((Table26[[#This Row],[Current Price]]-Table26[[#This Row],[Average Entry]])/Table26[[#This Row],[Average Entry]],0)</f>
        <v>-0.90533333333333332</v>
      </c>
      <c r="J77" s="71">
        <v>2.84</v>
      </c>
    </row>
    <row r="78" spans="1:10">
      <c r="A78" t="s">
        <v>247</v>
      </c>
      <c r="B78" t="s">
        <v>135</v>
      </c>
      <c r="C78" s="4">
        <f>IFERROR(VLOOKUP(Table26[[#This Row],[Asset]],Table228[],19,FALSE),0)</f>
        <v>-8.6399999999999864</v>
      </c>
      <c r="D78" s="4">
        <f>IFERROR(VLOOKUP(Table26[[#This Row],[Asset]],Table228[#All],20,FALSE),0)</f>
        <v>0</v>
      </c>
      <c r="E78" t="s">
        <v>13</v>
      </c>
      <c r="F78" s="4">
        <f>Table26[[#This Row],[How many tokens]]*Table26[[#This Row],[Current Price]]</f>
        <v>0</v>
      </c>
      <c r="G78" s="4">
        <f>IFERROR(VLOOKUP(Table26[[#This Row],[Asset]],Table228[#All],16,FALSE),0)</f>
        <v>763.64</v>
      </c>
      <c r="H78" s="77">
        <f>IFERROR(VLOOKUP(Table26[[#This Row],[Asset]],Table228[#All],18,FALSE),0)</f>
        <v>0</v>
      </c>
      <c r="I78" s="84">
        <f>IFERROR((Table26[[#This Row],[Current Price]]-Table26[[#This Row],[Average Entry]])/Table26[[#This Row],[Average Entry]],0)</f>
        <v>-1.1314231836991234E-2</v>
      </c>
      <c r="J78" s="71">
        <v>755</v>
      </c>
    </row>
    <row r="79" spans="1:10">
      <c r="A79" t="s">
        <v>249</v>
      </c>
      <c r="B79" t="s">
        <v>281</v>
      </c>
      <c r="C79" s="4">
        <f>IFERROR(VLOOKUP(Table26[[#This Row],[Asset]],Table228[],19,FALSE),0)</f>
        <v>-1318.0364256000003</v>
      </c>
      <c r="D79" s="4">
        <f>IFERROR(VLOOKUP(Table26[[#This Row],[Asset]],Table228[#All],20,FALSE),0)</f>
        <v>0</v>
      </c>
      <c r="E79" t="s">
        <v>9</v>
      </c>
      <c r="F79" s="4">
        <f>Table26[[#This Row],[How many tokens]]*Table26[[#This Row],[Current Price]]</f>
        <v>0</v>
      </c>
      <c r="G79" s="4">
        <f>IFERROR(VLOOKUP(Table26[[#This Row],[Asset]],Table228[#All],16,FALSE),0)</f>
        <v>0.29432183943168821</v>
      </c>
      <c r="H79" s="77">
        <f>IFERROR(VLOOKUP(Table26[[#This Row],[Asset]],Table228[#All],18,FALSE),0)</f>
        <v>0</v>
      </c>
      <c r="I79" s="84">
        <f>IFERROR((Table26[[#This Row],[Current Price]]-Table26[[#This Row],[Average Entry]])/Table26[[#This Row],[Average Entry]],0)</f>
        <v>-0.34595407404458328</v>
      </c>
      <c r="J79" s="71">
        <v>0.1925</v>
      </c>
    </row>
    <row r="80" spans="1:10">
      <c r="A80" t="s">
        <v>250</v>
      </c>
      <c r="B80" t="s">
        <v>18</v>
      </c>
      <c r="C80" s="4">
        <f>IFERROR(VLOOKUP(Table26[[#This Row],[Asset]],Table228[],19,FALSE),0)</f>
        <v>-1143.62583</v>
      </c>
      <c r="D80" s="4">
        <f>IFERROR(VLOOKUP(Table26[[#This Row],[Asset]],Table228[#All],20,FALSE),0)</f>
        <v>0</v>
      </c>
      <c r="E80" t="s">
        <v>15</v>
      </c>
      <c r="F80" s="4">
        <f>Table26[[#This Row],[How many tokens]]*Table26[[#This Row],[Current Price]]</f>
        <v>0</v>
      </c>
      <c r="G80" s="4">
        <f>IFERROR(VLOOKUP(Table26[[#This Row],[Asset]],Table228[#All],16,FALSE),0)</f>
        <v>0.02</v>
      </c>
      <c r="H80" s="77">
        <f>IFERROR(VLOOKUP(Table26[[#This Row],[Asset]],Table228[#All],18,FALSE),0)</f>
        <v>0</v>
      </c>
      <c r="I80" s="84">
        <f>IFERROR((Table26[[#This Row],[Current Price]]-Table26[[#This Row],[Average Entry]])/Table26[[#This Row],[Average Entry]],0)</f>
        <v>-0.65</v>
      </c>
      <c r="J80" s="71">
        <v>7.0000000000000001E-3</v>
      </c>
    </row>
    <row r="81" spans="1:10">
      <c r="A81" t="s">
        <v>254</v>
      </c>
      <c r="B81" t="s">
        <v>191</v>
      </c>
      <c r="C81" s="4">
        <f>IFERROR(VLOOKUP(Table26[[#This Row],[Asset]],Table228[],19,FALSE),0)</f>
        <v>-3949.2027000000007</v>
      </c>
      <c r="D81" s="4">
        <f>IFERROR(VLOOKUP(Table26[[#This Row],[Asset]],Table228[#All],20,FALSE),0)</f>
        <v>0</v>
      </c>
      <c r="E81" t="s">
        <v>7</v>
      </c>
      <c r="F81" s="4">
        <f>Table26[[#This Row],[How many tokens]]*Table26[[#This Row],[Current Price]]</f>
        <v>0</v>
      </c>
      <c r="G81" s="4">
        <f>IFERROR(VLOOKUP(Table26[[#This Row],[Asset]],Table228[#All],16,FALSE),0)</f>
        <v>0.20000000000000004</v>
      </c>
      <c r="H81" s="77">
        <f>IFERROR(VLOOKUP(Table26[[#This Row],[Asset]],Table228[#All],18,FALSE),0)</f>
        <v>0</v>
      </c>
      <c r="I81" s="84">
        <f>IFERROR((Table26[[#This Row],[Current Price]]-Table26[[#This Row],[Average Entry]])/Table26[[#This Row],[Average Entry]],0)</f>
        <v>-0.90930000000000011</v>
      </c>
      <c r="J81" s="71">
        <v>1.814E-2</v>
      </c>
    </row>
    <row r="82" spans="1:10">
      <c r="A82" t="s">
        <v>275</v>
      </c>
      <c r="B82" t="s">
        <v>284</v>
      </c>
      <c r="C82" s="4">
        <f>IFERROR(VLOOKUP(Table26[[#This Row],[Asset]],Table228[],19,FALSE),0)</f>
        <v>0</v>
      </c>
      <c r="D82" s="4">
        <f>IFERROR(VLOOKUP(Table26[[#This Row],[Asset]],Table228[#All],20,FALSE),0)</f>
        <v>0</v>
      </c>
      <c r="E82" t="s">
        <v>278</v>
      </c>
      <c r="F82" s="4">
        <f>Table26[[#This Row],[How many tokens]]*Table26[[#This Row],[Current Price]]</f>
        <v>0</v>
      </c>
      <c r="G82" s="4">
        <f>IFERROR(VLOOKUP(Table26[[#This Row],[Asset]],Table228[#All],16,FALSE),0)</f>
        <v>0</v>
      </c>
      <c r="H82" s="77">
        <f>IFERROR(VLOOKUP(Table26[[#This Row],[Asset]],Table228[#All],18,FALSE),0)</f>
        <v>0</v>
      </c>
      <c r="I82" s="84">
        <f>IFERROR((Table26[[#This Row],[Current Price]]-Table26[[#This Row],[Average Entry]])/Table26[[#This Row],[Average Entry]],0)</f>
        <v>0</v>
      </c>
      <c r="J82" s="71">
        <v>1.88</v>
      </c>
    </row>
    <row r="83" spans="1:10">
      <c r="A83" t="s">
        <v>286</v>
      </c>
      <c r="B83" t="s">
        <v>282</v>
      </c>
      <c r="C83" s="4">
        <f>IFERROR(VLOOKUP(Table26[[#This Row],[Asset]],Table228[],19,FALSE),0)</f>
        <v>404.6</v>
      </c>
      <c r="D83" s="4">
        <f>IFERROR(VLOOKUP(Table26[[#This Row],[Asset]],Table228[#All],20,FALSE),0)</f>
        <v>0</v>
      </c>
      <c r="E83" t="s">
        <v>210</v>
      </c>
      <c r="F83" s="4">
        <f>Table26[[#This Row],[How many tokens]]*Table26[[#This Row],[Current Price]]</f>
        <v>0</v>
      </c>
      <c r="G83" s="4">
        <f>IFERROR(VLOOKUP(Table26[[#This Row],[Asset]],Table228[#All],16,FALSE),0)</f>
        <v>0</v>
      </c>
      <c r="H83" s="77">
        <f>IFERROR(VLOOKUP(Table26[[#This Row],[Asset]],Table228[#All],18,FALSE),0)</f>
        <v>0</v>
      </c>
      <c r="I83" s="84">
        <f>IFERROR((Table26[[#This Row],[Current Price]]-Table26[[#This Row],[Average Entry]])/Table26[[#This Row],[Average Entry]],0)</f>
        <v>0</v>
      </c>
      <c r="J83" s="71">
        <v>0.17</v>
      </c>
    </row>
    <row r="84" spans="1:10">
      <c r="A84" t="s">
        <v>290</v>
      </c>
      <c r="B84" t="s">
        <v>194</v>
      </c>
      <c r="C84" s="4">
        <f>IFERROR(VLOOKUP(Table26[[#This Row],[Asset]],Table228[],19,FALSE),0)</f>
        <v>1559.2700000000002</v>
      </c>
      <c r="D84" s="4">
        <f>IFERROR(VLOOKUP(Table26[[#This Row],[Asset]],Table228[#All],20,FALSE),0)</f>
        <v>0</v>
      </c>
      <c r="E84" t="s">
        <v>16</v>
      </c>
      <c r="F84" s="4">
        <f>Table26[[#This Row],[How many tokens]]*Table26[[#This Row],[Current Price]]</f>
        <v>0</v>
      </c>
      <c r="G84" s="4">
        <f>IFERROR(VLOOKUP(Table26[[#This Row],[Asset]],Table228[#All],16,FALSE),0)</f>
        <v>3</v>
      </c>
      <c r="H84" s="77">
        <f>IFERROR(VLOOKUP(Table26[[#This Row],[Asset]],Table228[#All],18,FALSE),0)</f>
        <v>0</v>
      </c>
      <c r="I84" s="84">
        <f>IFERROR((Table26[[#This Row],[Current Price]]-Table26[[#This Row],[Average Entry]])/Table26[[#This Row],[Average Entry]],0)</f>
        <v>2.2033333333333331</v>
      </c>
      <c r="J84" s="71">
        <v>9.61</v>
      </c>
    </row>
    <row r="85" spans="1:10">
      <c r="A85" t="s">
        <v>74</v>
      </c>
      <c r="B85" t="s">
        <v>194</v>
      </c>
      <c r="C85" s="4">
        <f>IFERROR(VLOOKUP(Table26[[#This Row],[Asset]],Table228[],19,FALSE),0)</f>
        <v>0</v>
      </c>
      <c r="D85" s="4">
        <f>IFERROR(VLOOKUP(Table26[[#This Row],[Asset]],Table228[#All],20,FALSE),0)</f>
        <v>0</v>
      </c>
      <c r="E85" t="s">
        <v>8</v>
      </c>
      <c r="F85" s="4">
        <f>Table26[[#This Row],[How many tokens]]*Table26[[#This Row],[Current Price]]</f>
        <v>0</v>
      </c>
      <c r="G85" s="4">
        <f>IFERROR(VLOOKUP(Table26[[#This Row],[Asset]],Table228[#All],16,FALSE),0)</f>
        <v>0</v>
      </c>
      <c r="H85" s="77">
        <f>IFERROR(VLOOKUP(Table26[[#This Row],[Asset]],Table228[#All],18,FALSE),0)</f>
        <v>0</v>
      </c>
      <c r="I85" s="84">
        <f>IFERROR((Table26[[#This Row],[Current Price]]-Table26[[#This Row],[Average Entry]])/Table26[[#This Row],[Average Entry]],0)</f>
        <v>0</v>
      </c>
      <c r="J85" s="71">
        <v>6.3700000000000007E-2</v>
      </c>
    </row>
    <row r="86" spans="1:10">
      <c r="A86" t="s">
        <v>22</v>
      </c>
      <c r="B86" t="s">
        <v>194</v>
      </c>
      <c r="C86" s="4">
        <f>IFERROR(VLOOKUP(Table26[[#This Row],[Asset]],Table228[],19,FALSE),0)</f>
        <v>0</v>
      </c>
      <c r="D86" s="4">
        <f>IFERROR(VLOOKUP(Table26[[#This Row],[Asset]],Table228[#All],20,FALSE),0)</f>
        <v>0</v>
      </c>
      <c r="E86" t="s">
        <v>210</v>
      </c>
      <c r="F86" s="4">
        <f>Table26[[#This Row],[How many tokens]]*Table26[[#This Row],[Current Price]]</f>
        <v>0</v>
      </c>
      <c r="G86" s="4">
        <f>IFERROR(VLOOKUP(Table26[[#This Row],[Asset]],Table228[#All],16,FALSE),0)</f>
        <v>0</v>
      </c>
      <c r="H86" s="77">
        <f>IFERROR(VLOOKUP(Table26[[#This Row],[Asset]],Table228[#All],18,FALSE),0)</f>
        <v>0</v>
      </c>
      <c r="I86" s="84">
        <f>IFERROR((Table26[[#This Row],[Current Price]]-Table26[[#This Row],[Average Entry]])/Table26[[#This Row],[Average Entry]],0)</f>
        <v>0</v>
      </c>
      <c r="J86" s="71">
        <v>0.1928</v>
      </c>
    </row>
    <row r="87" spans="1:10">
      <c r="A87" t="s">
        <v>322</v>
      </c>
      <c r="B87" t="s">
        <v>191</v>
      </c>
      <c r="C87" s="4">
        <f>IFERROR(VLOOKUP(Table26[[#This Row],[Asset]],Table228[],19,FALSE),0)</f>
        <v>626.55237999999974</v>
      </c>
      <c r="D87" s="4">
        <f>IFERROR(VLOOKUP(Table26[[#This Row],[Asset]],Table228[#All],20,FALSE),0)</f>
        <v>0</v>
      </c>
      <c r="E87" t="s">
        <v>8</v>
      </c>
      <c r="F87" s="4">
        <f>Table26[[#This Row],[How many tokens]]*Table26[[#This Row],[Current Price]]</f>
        <v>0</v>
      </c>
      <c r="G87" s="4">
        <f>IFERROR(VLOOKUP(Table26[[#This Row],[Asset]],Table228[#All],16,FALSE),0)</f>
        <v>0.1373555606302809</v>
      </c>
      <c r="H87" s="77">
        <f>IFERROR(VLOOKUP(Table26[[#This Row],[Asset]],Table228[#All],18,FALSE),0)</f>
        <v>0</v>
      </c>
      <c r="I87" s="84">
        <f>IFERROR((Table26[[#This Row],[Current Price]]-Table26[[#This Row],[Average Entry]])/Table26[[#This Row],[Average Entry]],0)</f>
        <v>-4.7071706457405105E-2</v>
      </c>
      <c r="J87" s="71">
        <v>0.13089000000000001</v>
      </c>
    </row>
    <row r="88" spans="1:10">
      <c r="A88" t="s">
        <v>328</v>
      </c>
      <c r="B88" t="s">
        <v>329</v>
      </c>
      <c r="C88" s="4">
        <f>IFERROR(VLOOKUP(Table26[[#This Row],[Asset]],Table228[],19,FALSE),0)</f>
        <v>22</v>
      </c>
      <c r="D88" s="4">
        <f>IFERROR(VLOOKUP(Table26[[#This Row],[Asset]],Table228[#All],20,FALSE),0)</f>
        <v>0</v>
      </c>
      <c r="E88" t="s">
        <v>7</v>
      </c>
      <c r="F88" s="4">
        <f>Table26[[#This Row],[How many tokens]]*Table26[[#This Row],[Current Price]]</f>
        <v>0</v>
      </c>
      <c r="G88" s="4">
        <f>IFERROR(VLOOKUP(Table26[[#This Row],[Asset]],Table228[#All],16,FALSE),0)</f>
        <v>228</v>
      </c>
      <c r="H88" s="77">
        <f>IFERROR(VLOOKUP(Table26[[#This Row],[Asset]],Table228[#All],18,FALSE),0)</f>
        <v>0</v>
      </c>
      <c r="I88" s="84">
        <f>IFERROR((Table26[[#This Row],[Current Price]]-Table26[[#This Row],[Average Entry]])/Table26[[#This Row],[Average Entry]],0)</f>
        <v>0</v>
      </c>
      <c r="J88" s="71">
        <v>228</v>
      </c>
    </row>
    <row r="89" spans="1:10">
      <c r="A89" t="s">
        <v>73</v>
      </c>
      <c r="B89" t="s">
        <v>282</v>
      </c>
      <c r="C89" s="4">
        <f>IFERROR(VLOOKUP(Table26[[#This Row],[Asset]],Table228[],19,FALSE),0)</f>
        <v>-388.26025874999999</v>
      </c>
      <c r="D89" s="4">
        <f>IFERROR(VLOOKUP(Table26[[#This Row],[Asset]],Table228[#All],20,FALSE),0)</f>
        <v>0</v>
      </c>
      <c r="E89" t="s">
        <v>344</v>
      </c>
      <c r="F89" s="4">
        <f>Table26[[#This Row],[How many tokens]]*Table26[[#This Row],[Current Price]]</f>
        <v>0</v>
      </c>
      <c r="G89" s="4">
        <f>IFERROR(VLOOKUP(Table26[[#This Row],[Asset]],Table228[#All],16,FALSE),0)</f>
        <v>1</v>
      </c>
      <c r="H89" s="77">
        <f>IFERROR(VLOOKUP(Table26[[#This Row],[Asset]],Table228[#All],18,FALSE),0)</f>
        <v>0</v>
      </c>
      <c r="I89" s="84">
        <f>IFERROR((Table26[[#This Row],[Current Price]]-Table26[[#This Row],[Average Entry]])/Table26[[#This Row],[Average Entry]],0)</f>
        <v>-0.50609999999999999</v>
      </c>
      <c r="J89" s="71">
        <v>0.49390000000000001</v>
      </c>
    </row>
    <row r="90" spans="1:10">
      <c r="A90" t="s">
        <v>335</v>
      </c>
      <c r="B90" t="s">
        <v>194</v>
      </c>
      <c r="C90" s="4">
        <f>IFERROR(VLOOKUP(Table26[[#This Row],[Asset]],Table228[],19,FALSE),0)</f>
        <v>-136</v>
      </c>
      <c r="D90" s="4">
        <f>IFERROR(VLOOKUP(Table26[[#This Row],[Asset]],Table228[#All],20,FALSE),0)</f>
        <v>0</v>
      </c>
      <c r="E90" t="s">
        <v>7</v>
      </c>
      <c r="F90" s="4">
        <f>Table26[[#This Row],[How many tokens]]*Table26[[#This Row],[Current Price]]</f>
        <v>0</v>
      </c>
      <c r="G90" s="4">
        <f>IFERROR(VLOOKUP(Table26[[#This Row],[Asset]],Table228[#All],16,FALSE),0)</f>
        <v>400</v>
      </c>
      <c r="H90" s="77">
        <f>IFERROR(VLOOKUP(Table26[[#This Row],[Asset]],Table228[#All],18,FALSE),0)</f>
        <v>0</v>
      </c>
      <c r="I90" s="84">
        <f>IFERROR((Table26[[#This Row],[Current Price]]-Table26[[#This Row],[Average Entry]])/Table26[[#This Row],[Average Entry]],0)</f>
        <v>-0.48499999999999999</v>
      </c>
      <c r="J90" s="71">
        <v>206</v>
      </c>
    </row>
    <row r="91" spans="1:10">
      <c r="A91" t="s">
        <v>340</v>
      </c>
      <c r="B91" t="s">
        <v>194</v>
      </c>
      <c r="C91" s="4">
        <f>IFERROR(VLOOKUP(Table26[[#This Row],[Asset]],Table228[],19,FALSE),0)</f>
        <v>370</v>
      </c>
      <c r="D91" s="4">
        <f>IFERROR(VLOOKUP(Table26[[#This Row],[Asset]],Table228[#All],20,FALSE),0)</f>
        <v>0</v>
      </c>
      <c r="E91" t="s">
        <v>13</v>
      </c>
      <c r="F91" s="4">
        <f>Table26[[#This Row],[How many tokens]]*Table26[[#This Row],[Current Price]]</f>
        <v>0</v>
      </c>
      <c r="G91" s="4">
        <f>IFERROR(VLOOKUP(Table26[[#This Row],[Asset]],Table228[#All],16,FALSE),0)</f>
        <v>1430</v>
      </c>
      <c r="H91" s="77">
        <f>IFERROR(VLOOKUP(Table26[[#This Row],[Asset]],Table228[#All],18,FALSE),0)</f>
        <v>0</v>
      </c>
      <c r="I91" s="84">
        <f>IFERROR((Table26[[#This Row],[Current Price]]-Table26[[#This Row],[Average Entry]])/Table26[[#This Row],[Average Entry]],0)</f>
        <v>0</v>
      </c>
      <c r="J91" s="71">
        <v>1430</v>
      </c>
    </row>
    <row r="92" spans="1:10">
      <c r="A92" t="s">
        <v>435</v>
      </c>
      <c r="B92" t="s">
        <v>282</v>
      </c>
      <c r="C92" s="4">
        <f>IFERROR(VLOOKUP(Table26[[#This Row],[Asset]],Table228[],19,FALSE),0)</f>
        <v>92.4</v>
      </c>
      <c r="D92" s="4">
        <f>IFERROR(VLOOKUP(Table26[[#This Row],[Asset]],Table228[#All],20,FALSE),0)</f>
        <v>0</v>
      </c>
      <c r="E92" t="s">
        <v>9</v>
      </c>
      <c r="F92" s="4">
        <f>Table26[[#This Row],[How many tokens]]*Table26[[#This Row],[Current Price]]</f>
        <v>0</v>
      </c>
      <c r="G92" s="4">
        <f>IFERROR(VLOOKUP(Table26[[#This Row],[Asset]],Table228[#All],16,FALSE),0)</f>
        <v>0</v>
      </c>
      <c r="H92" s="77">
        <f>IFERROR(VLOOKUP(Table26[[#This Row],[Asset]],Table228[#All],18,FALSE),0)</f>
        <v>0</v>
      </c>
      <c r="I92" s="84">
        <f>IFERROR((Table26[[#This Row],[Current Price]]-Table26[[#This Row],[Average Entry]])/Table26[[#This Row],[Average Entry]],0)</f>
        <v>0</v>
      </c>
      <c r="J92" s="71">
        <v>0.12719</v>
      </c>
    </row>
    <row r="93" spans="1:10">
      <c r="A93" t="s">
        <v>442</v>
      </c>
      <c r="B93" t="s">
        <v>18</v>
      </c>
      <c r="C93" s="4">
        <f>IFERROR(VLOOKUP(Table26[[#This Row],[Asset]],Table228[],19,FALSE),0)</f>
        <v>0</v>
      </c>
      <c r="D93" s="4">
        <f>IFERROR(VLOOKUP(Table26[[#This Row],[Asset]],Table228[#All],20,FALSE),0)</f>
        <v>0</v>
      </c>
      <c r="E93" t="s">
        <v>15</v>
      </c>
      <c r="F93" s="4">
        <f>Table26[[#This Row],[How many tokens]]*Table26[[#This Row],[Current Price]]</f>
        <v>0</v>
      </c>
      <c r="G93" s="4">
        <f>IFERROR(VLOOKUP(Table26[[#This Row],[Asset]],Table228[#All],16,FALSE),0)</f>
        <v>0</v>
      </c>
      <c r="H93" s="77">
        <f>IFERROR(VLOOKUP(Table26[[#This Row],[Asset]],Table228[#All],18,FALSE),0)</f>
        <v>0</v>
      </c>
      <c r="I93" s="84">
        <f>IFERROR((Table26[[#This Row],[Current Price]]-Table26[[#This Row],[Average Entry]])/Table26[[#This Row],[Average Entry]],0)</f>
        <v>0</v>
      </c>
      <c r="J93" s="71">
        <v>0</v>
      </c>
    </row>
    <row r="94" spans="1:10">
      <c r="A94" t="s">
        <v>474</v>
      </c>
      <c r="C94" s="4">
        <f>IFERROR(VLOOKUP(Table26[[#This Row],[Asset]],Table228[],19,FALSE),0)</f>
        <v>-120</v>
      </c>
      <c r="D94" s="4">
        <f>IFERROR(VLOOKUP(Table26[[#This Row],[Asset]],Table228[#All],20,FALSE),0)</f>
        <v>0</v>
      </c>
      <c r="F94" s="4">
        <f>Table26[[#This Row],[How many tokens]]*Table26[[#This Row],[Current Price]]</f>
        <v>0</v>
      </c>
      <c r="G94" s="4">
        <f>IFERROR(VLOOKUP(Table26[[#This Row],[Asset]],Table228[#All],16,FALSE),0)</f>
        <v>1790</v>
      </c>
      <c r="H94" s="77">
        <f>IFERROR(VLOOKUP(Table26[[#This Row],[Asset]],Table228[#All],18,FALSE),0)</f>
        <v>0</v>
      </c>
      <c r="I94" s="84">
        <f>IFERROR((Table26[[#This Row],[Current Price]]-Table26[[#This Row],[Average Entry]])/Table26[[#This Row],[Average Entry]],0)</f>
        <v>0</v>
      </c>
      <c r="J94" s="71">
        <v>1790</v>
      </c>
    </row>
    <row r="95" spans="1:10">
      <c r="A95" t="s">
        <v>475</v>
      </c>
      <c r="C95" s="4">
        <f>IFERROR(VLOOKUP(Table26[[#This Row],[Asset]],Table228[],19,FALSE),0)</f>
        <v>0</v>
      </c>
      <c r="D95" s="4">
        <f>IFERROR(VLOOKUP(Table26[[#This Row],[Asset]],Table228[#All],20,FALSE),0)</f>
        <v>0</v>
      </c>
      <c r="F95" s="4">
        <f>Table26[[#This Row],[How many tokens]]*Table26[[#This Row],[Current Price]]</f>
        <v>0</v>
      </c>
      <c r="G95" s="4">
        <f>IFERROR(VLOOKUP(Table26[[#This Row],[Asset]],Table228[#All],16,FALSE),0)</f>
        <v>0</v>
      </c>
      <c r="H95" s="77">
        <f>IFERROR(VLOOKUP(Table26[[#This Row],[Asset]],Table228[#All],18,FALSE),0)</f>
        <v>0</v>
      </c>
      <c r="I95" s="84">
        <f>IFERROR((Table26[[#This Row],[Current Price]]-Table26[[#This Row],[Average Entry]])/Table26[[#This Row],[Average Entry]],0)</f>
        <v>0</v>
      </c>
      <c r="J95" s="71">
        <v>5.93</v>
      </c>
    </row>
    <row r="96" spans="1:10">
      <c r="A96" t="s">
        <v>477</v>
      </c>
      <c r="C96" s="4">
        <f>IFERROR(VLOOKUP(Table26[[#This Row],[Asset]],Table228[],19,FALSE),0)</f>
        <v>-171.73791359999993</v>
      </c>
      <c r="D96" s="4">
        <f>IFERROR(VLOOKUP(Table26[[#This Row],[Asset]],Table228[#All],20,FALSE),0)</f>
        <v>0</v>
      </c>
      <c r="F96" s="4">
        <f>Table26[[#This Row],[How many tokens]]*Table26[[#This Row],[Current Price]]</f>
        <v>0</v>
      </c>
      <c r="G96" s="4">
        <f>IFERROR(VLOOKUP(Table26[[#This Row],[Asset]],Table228[#All],16,FALSE),0)</f>
        <v>4.5599999999999996</v>
      </c>
      <c r="H96" s="77">
        <f>IFERROR(VLOOKUP(Table26[[#This Row],[Asset]],Table228[#All],18,FALSE),0)</f>
        <v>0</v>
      </c>
      <c r="I96" s="84">
        <f>IFERROR((Table26[[#This Row],[Current Price]]-Table26[[#This Row],[Average Entry]])/Table26[[#This Row],[Average Entry]],0)</f>
        <v>0</v>
      </c>
      <c r="J96" s="71">
        <v>4.5599999999999996</v>
      </c>
    </row>
    <row r="97" spans="1:10">
      <c r="A97" t="s">
        <v>479</v>
      </c>
      <c r="C97" s="4">
        <f>IFERROR(VLOOKUP(Table26[[#This Row],[Asset]],Table228[],19,FALSE),0)</f>
        <v>-248.94079650640003</v>
      </c>
      <c r="D97" s="4">
        <f>IFERROR(VLOOKUP(Table26[[#This Row],[Asset]],Table228[#All],20,FALSE),0)</f>
        <v>0</v>
      </c>
      <c r="F97" s="4">
        <f>Table26[[#This Row],[How many tokens]]*Table26[[#This Row],[Current Price]]</f>
        <v>0</v>
      </c>
      <c r="G97" s="4">
        <f>IFERROR(VLOOKUP(Table26[[#This Row],[Asset]],Table228[#All],16,FALSE),0)</f>
        <v>0.13858020360316373</v>
      </c>
      <c r="H97" s="77">
        <f>IFERROR(VLOOKUP(Table26[[#This Row],[Asset]],Table228[#All],18,FALSE),0)</f>
        <v>0</v>
      </c>
      <c r="I97" s="84">
        <f>IFERROR((Table26[[#This Row],[Current Price]]-Table26[[#This Row],[Average Entry]])/Table26[[#This Row],[Average Entry]],0)</f>
        <v>3.7508704946397436E-3</v>
      </c>
      <c r="J97" s="71">
        <v>0.1391</v>
      </c>
    </row>
    <row r="98" spans="1:10">
      <c r="A98" t="s">
        <v>486</v>
      </c>
      <c r="B98" t="s">
        <v>18</v>
      </c>
      <c r="C98" s="4">
        <f>IFERROR(VLOOKUP(Table26[[#This Row],[Asset]],Table228[],19,FALSE),0)</f>
        <v>-918.09979999999996</v>
      </c>
      <c r="D98" s="4">
        <f>IFERROR(VLOOKUP(Table26[[#This Row],[Asset]],Table228[#All],20,FALSE),0)</f>
        <v>0</v>
      </c>
      <c r="F98" s="4">
        <f>Table26[[#This Row],[How many tokens]]*Table26[[#This Row],[Current Price]]</f>
        <v>0</v>
      </c>
      <c r="G98" s="4">
        <f>IFERROR(VLOOKUP(Table26[[#This Row],[Asset]],Table228[#All],16,FALSE),0)</f>
        <v>1422.0998</v>
      </c>
      <c r="H98" s="77">
        <f>IFERROR(VLOOKUP(Table26[[#This Row],[Asset]],Table228[#All],18,FALSE),0)</f>
        <v>0</v>
      </c>
      <c r="I98" s="84">
        <f>IFERROR((Table26[[#This Row],[Current Price]]-Table26[[#This Row],[Average Entry]])/Table26[[#This Row],[Average Entry]],0)</f>
        <v>-7.01779157833784E-5</v>
      </c>
      <c r="J98" s="71">
        <v>1422</v>
      </c>
    </row>
    <row r="99" spans="1:10">
      <c r="A99" t="s">
        <v>490</v>
      </c>
      <c r="B99" t="s">
        <v>491</v>
      </c>
      <c r="C99" s="4">
        <f>IFERROR(VLOOKUP(Table26[[#This Row],[Asset]],Table228[],19,FALSE),0)</f>
        <v>904.8591136</v>
      </c>
      <c r="D99" s="4">
        <f>IFERROR(VLOOKUP(Table26[[#This Row],[Asset]],Table228[#All],20,FALSE),0)</f>
        <v>0</v>
      </c>
      <c r="F99" s="4">
        <f>Table26[[#This Row],[How many tokens]]*Table26[[#This Row],[Current Price]]</f>
        <v>0</v>
      </c>
      <c r="G99" s="4">
        <f>IFERROR(VLOOKUP(Table26[[#This Row],[Asset]],Table228[#All],16,FALSE),0)</f>
        <v>0.20599999999999999</v>
      </c>
      <c r="H99" s="77">
        <f>IFERROR(VLOOKUP(Table26[[#This Row],[Asset]],Table228[#All],18,FALSE),0)</f>
        <v>0</v>
      </c>
      <c r="I99" s="84">
        <f>IFERROR((Table26[[#This Row],[Current Price]]-Table26[[#This Row],[Average Entry]])/Table26[[#This Row],[Average Entry]],0)</f>
        <v>-4.3689320388348744E-3</v>
      </c>
      <c r="J99" s="71">
        <v>0.2051</v>
      </c>
    </row>
    <row r="100" spans="1:10">
      <c r="A100" t="s">
        <v>497</v>
      </c>
      <c r="B100" t="s">
        <v>18</v>
      </c>
      <c r="C100" s="4">
        <f>IFERROR(VLOOKUP(Table26[[#This Row],[Asset]],Table228[],19,FALSE),0)</f>
        <v>-2549.9</v>
      </c>
      <c r="D100" s="4">
        <f>IFERROR(VLOOKUP(Table26[[#This Row],[Asset]],Table228[#All],20,FALSE),0)</f>
        <v>0</v>
      </c>
      <c r="F100" s="4">
        <f>Table26[[#This Row],[How many tokens]]*Table26[[#This Row],[Current Price]]</f>
        <v>0</v>
      </c>
      <c r="G100" s="4">
        <f>IFERROR(VLOOKUP(Table26[[#This Row],[Asset]],Table228[#All],16,FALSE),0)</f>
        <v>1476.5</v>
      </c>
      <c r="H100" s="77">
        <f>IFERROR(VLOOKUP(Table26[[#This Row],[Asset]],Table228[#All],18,FALSE),0)</f>
        <v>0</v>
      </c>
      <c r="I100" s="84">
        <f>IFERROR((Table26[[#This Row],[Current Price]]-Table26[[#This Row],[Average Entry]])/Table26[[#This Row],[Average Entry]],0)</f>
        <v>-3.0816119200812734E-2</v>
      </c>
      <c r="J100" s="71">
        <v>1431</v>
      </c>
    </row>
    <row r="101" spans="1:10">
      <c r="A101" t="s">
        <v>499</v>
      </c>
      <c r="C101" s="4">
        <f>IFERROR(VLOOKUP(Table26[[#This Row],[Asset]],Table228[],19,FALSE),0)</f>
        <v>-73.450227950000141</v>
      </c>
      <c r="D101" s="4">
        <f>IFERROR(VLOOKUP(Table26[[#This Row],[Asset]],Table228[#All],20,FALSE),0)</f>
        <v>0</v>
      </c>
      <c r="F101" s="4">
        <f>Table26[[#This Row],[How many tokens]]*Table26[[#This Row],[Current Price]]</f>
        <v>0</v>
      </c>
      <c r="G101" s="4">
        <f>IFERROR(VLOOKUP(Table26[[#This Row],[Asset]],Table228[#All],16,FALSE),0)</f>
        <v>1.16405E-3</v>
      </c>
      <c r="H101" s="77">
        <f>IFERROR(VLOOKUP(Table26[[#This Row],[Asset]],Table228[#All],18,FALSE),0)</f>
        <v>0</v>
      </c>
      <c r="I101" s="84">
        <f>IFERROR((Table26[[#This Row],[Current Price]]-Table26[[#This Row],[Average Entry]])/Table26[[#This Row],[Average Entry]],0)</f>
        <v>-2.6674111936772587E-2</v>
      </c>
      <c r="J101" s="71">
        <v>1.1329999999999999E-3</v>
      </c>
    </row>
    <row r="102" spans="1:10">
      <c r="A102" t="s">
        <v>502</v>
      </c>
      <c r="C102" s="4">
        <f>IFERROR(VLOOKUP(Table26[[#This Row],[Asset]],Table228[],19,FALSE),0)</f>
        <v>-84.667488323336002</v>
      </c>
      <c r="D102" s="4">
        <f>IFERROR(VLOOKUP(Table26[[#This Row],[Asset]],Table228[#All],20,FALSE),0)</f>
        <v>0</v>
      </c>
      <c r="E102" t="s">
        <v>13</v>
      </c>
      <c r="F102" s="4">
        <f>Table26[[#This Row],[How many tokens]]*Table26[[#This Row],[Current Price]]</f>
        <v>0</v>
      </c>
      <c r="G102" s="4">
        <f>IFERROR(VLOOKUP(Table26[[#This Row],[Asset]],Table228[#All],16,FALSE),0)</f>
        <v>3.949E-4</v>
      </c>
      <c r="H102" s="77">
        <f>IFERROR(VLOOKUP(Table26[[#This Row],[Asset]],Table228[#All],18,FALSE),0)</f>
        <v>0</v>
      </c>
      <c r="I102" s="84">
        <f>IFERROR((Table26[[#This Row],[Current Price]]-Table26[[#This Row],[Average Entry]])/Table26[[#This Row],[Average Entry]],0)</f>
        <v>0</v>
      </c>
      <c r="J102" s="71">
        <v>3.949E-4</v>
      </c>
    </row>
    <row r="103" spans="1:10">
      <c r="A103" t="s">
        <v>510</v>
      </c>
      <c r="C103" s="4">
        <f>IFERROR(VLOOKUP(Table26[[#This Row],[Asset]],Table228[],19,FALSE),0)</f>
        <v>598</v>
      </c>
      <c r="D103" s="4">
        <f>IFERROR(VLOOKUP(Table26[[#This Row],[Asset]],Table228[#All],20,FALSE),0)</f>
        <v>0</v>
      </c>
      <c r="E103" t="s">
        <v>13</v>
      </c>
      <c r="F103" s="4">
        <f>Table26[[#This Row],[How many tokens]]*Table26[[#This Row],[Current Price]]</f>
        <v>0</v>
      </c>
      <c r="G103" s="4">
        <f>IFERROR(VLOOKUP(Table26[[#This Row],[Asset]],Table228[#All],16,FALSE),0)</f>
        <v>2.7000000000000001E-3</v>
      </c>
      <c r="H103" s="77">
        <f>IFERROR(VLOOKUP(Table26[[#This Row],[Asset]],Table228[#All],18,FALSE),0)</f>
        <v>0</v>
      </c>
      <c r="I103" s="84">
        <f>IFERROR((Table26[[#This Row],[Current Price]]-Table26[[#This Row],[Average Entry]])/Table26[[#This Row],[Average Entry]],0)</f>
        <v>-6.1481481481481609E-2</v>
      </c>
      <c r="J103" s="71">
        <v>2.5339999999999998E-3</v>
      </c>
    </row>
    <row r="104" spans="1:10">
      <c r="A104" t="s">
        <v>64</v>
      </c>
      <c r="B104" t="s">
        <v>341</v>
      </c>
      <c r="C104" s="4">
        <f>IFERROR(VLOOKUP(Table26[[#This Row],[Asset]],Table228[],19,FALSE),0)</f>
        <v>-25.590831000000005</v>
      </c>
      <c r="D104" s="4">
        <f>IFERROR(VLOOKUP(Table26[[#This Row],[Asset]],Table228[#All],20,FALSE),0)</f>
        <v>2.1812699999998585E-3</v>
      </c>
      <c r="E104" t="s">
        <v>13</v>
      </c>
      <c r="F104" s="4">
        <f>Table26[[#This Row],[How many tokens]]*Table26[[#This Row],[Current Price]]</f>
        <v>-0.12319592999999225</v>
      </c>
      <c r="G104" s="4">
        <f>IFERROR(VLOOKUP(Table26[[#This Row],[Asset]],Table228[#All],16,FALSE),0)</f>
        <v>6.84</v>
      </c>
      <c r="H104" s="77">
        <f>IFERROR(VLOOKUP(Table26[[#This Row],[Asset]],Table228[#All],18,FALSE),0)</f>
        <v>-1.8329999999998847E-2</v>
      </c>
      <c r="I104" s="84">
        <f>IFERROR((Table26[[#This Row],[Current Price]]-Table26[[#This Row],[Average Entry]])/Table26[[#This Row],[Average Entry]],0)</f>
        <v>-1.7397660818713419E-2</v>
      </c>
      <c r="J104" s="71">
        <v>6.7210000000000001</v>
      </c>
    </row>
    <row r="105" spans="1:10">
      <c r="A105" t="s">
        <v>488</v>
      </c>
      <c r="B105" t="s">
        <v>491</v>
      </c>
      <c r="C105" s="4">
        <f>IFERROR(VLOOKUP(Table26[[#This Row],[Asset]],Table228[],19,FALSE),0)</f>
        <v>1515.2517899523857</v>
      </c>
      <c r="D105" s="4">
        <f>IFERROR(VLOOKUP(Table26[[#This Row],[Asset]],Table228[#All],20,FALSE),0)</f>
        <v>-6.5107400984633024E-2</v>
      </c>
      <c r="F105" s="4">
        <f>Table26[[#This Row],[How many tokens]]*Table26[[#This Row],[Current Price]]</f>
        <v>-0.20584805999958919</v>
      </c>
      <c r="G105" s="4">
        <f>IFERROR(VLOOKUP(Table26[[#This Row],[Asset]],Table228[#All],16,FALSE),0)</f>
        <v>0.22562475194096182</v>
      </c>
      <c r="H105" s="77">
        <f>IFERROR(VLOOKUP(Table26[[#This Row],[Asset]],Table228[#All],18,FALSE),0)</f>
        <v>-0.62378199999875505</v>
      </c>
      <c r="I105" s="84">
        <f>IFERROR((Table26[[#This Row],[Current Price]]-Table26[[#This Row],[Average Entry]])/Table26[[#This Row],[Average Entry]],0)</f>
        <v>0.46260548614962943</v>
      </c>
      <c r="J105" s="71">
        <v>0.33</v>
      </c>
    </row>
    <row r="106" spans="1:10">
      <c r="A106" t="s">
        <v>332</v>
      </c>
      <c r="B106" t="s">
        <v>333</v>
      </c>
      <c r="C106" s="4">
        <f>IFERROR(VLOOKUP(Table26[[#This Row],[Asset]],Table228[],19,FALSE),0)</f>
        <v>-203.22563499999998</v>
      </c>
      <c r="D106" s="4">
        <f>IFERROR(VLOOKUP(Table26[[#This Row],[Asset]],Table228[#All],20,FALSE),0)</f>
        <v>156.96479999999997</v>
      </c>
      <c r="E106" t="s">
        <v>11</v>
      </c>
      <c r="F106" s="4">
        <f>Table26[[#This Row],[How many tokens]]*Table26[[#This Row],[Current Price]]</f>
        <v>-65.155199999999994</v>
      </c>
      <c r="G106" s="4">
        <f>IFERROR(VLOOKUP(Table26[[#This Row],[Asset]],Table228[#All],16,FALSE),0)</f>
        <v>2.9999999999999996</v>
      </c>
      <c r="H106" s="77">
        <f>IFERROR(VLOOKUP(Table26[[#This Row],[Asset]],Table228[#All],18,FALSE),0)</f>
        <v>-74.039999999999992</v>
      </c>
      <c r="I106" s="84">
        <f>IFERROR((Table26[[#This Row],[Current Price]]-Table26[[#This Row],[Average Entry]])/Table26[[#This Row],[Average Entry]],0)</f>
        <v>-0.70666666666666667</v>
      </c>
      <c r="J106" s="71">
        <v>0.88</v>
      </c>
    </row>
    <row r="107" spans="1:10">
      <c r="A107" t="s">
        <v>480</v>
      </c>
      <c r="C107" s="4">
        <f>IFERROR(VLOOKUP(Table26[[#This Row],[Asset]],Table228[],19,FALSE),0)</f>
        <v>2072.153297904194</v>
      </c>
      <c r="D107" s="4">
        <f>IFERROR(VLOOKUP(Table26[[#This Row],[Asset]],Table228[#All],20,FALSE),0)</f>
        <v>28.017551964353032</v>
      </c>
      <c r="F107" s="4">
        <f>Table26[[#This Row],[How many tokens]]*Table26[[#This Row],[Current Price]]</f>
        <v>-116.52925939128104</v>
      </c>
      <c r="G107" s="4">
        <f>IFERROR(VLOOKUP(Table26[[#This Row],[Asset]],Table228[#All],16,FALSE),0)</f>
        <v>2.2203761843005787E-3</v>
      </c>
      <c r="H107" s="77">
        <f>IFERROR(VLOOKUP(Table26[[#This Row],[Asset]],Table228[#All],18,FALSE),0)</f>
        <v>-65100.144911330193</v>
      </c>
      <c r="I107" s="84">
        <f>IFERROR((Table26[[#This Row],[Current Price]]-Table26[[#This Row],[Average Entry]])/Table26[[#This Row],[Average Entry]],0)</f>
        <v>-0.19383030107402627</v>
      </c>
      <c r="J107" s="71">
        <v>1.7899999999999999E-3</v>
      </c>
    </row>
    <row r="108" spans="1:10">
      <c r="A108" t="s">
        <v>481</v>
      </c>
      <c r="C108" s="4">
        <f>IFERROR(VLOOKUP(Table26[[#This Row],[Asset]],Table228[],19,FALSE),0)</f>
        <v>2048.6905000000002</v>
      </c>
      <c r="D108" s="4">
        <f>IFERROR(VLOOKUP(Table26[[#This Row],[Asset]],Table228[#All],20,FALSE),0)</f>
        <v>-1294.2474000000002</v>
      </c>
      <c r="F108" s="4">
        <f>Table26[[#This Row],[How many tokens]]*Table26[[#This Row],[Current Price]]</f>
        <v>-1294.2474000000002</v>
      </c>
      <c r="G108" s="4">
        <f>IFERROR(VLOOKUP(Table26[[#This Row],[Asset]],Table228[#All],16,FALSE),0)</f>
        <v>0</v>
      </c>
      <c r="H108" s="77">
        <f>IFERROR(VLOOKUP(Table26[[#This Row],[Asset]],Table228[#All],18,FALSE),0)</f>
        <v>-227.46000000000004</v>
      </c>
      <c r="I108" s="84">
        <f>IFERROR((Table26[[#This Row],[Current Price]]-Table26[[#This Row],[Average Entry]])/Table26[[#This Row],[Average Entry]],0)</f>
        <v>0</v>
      </c>
      <c r="J108" s="71">
        <v>5.69</v>
      </c>
    </row>
    <row r="109" spans="1:10">
      <c r="A109" t="s">
        <v>223</v>
      </c>
      <c r="B109" t="s">
        <v>18</v>
      </c>
      <c r="C109" s="4">
        <f>IFERROR(VLOOKUP(Table26[[#This Row],[Asset]],Table228[],19,FALSE),0)</f>
        <v>-3505.0881221094037</v>
      </c>
      <c r="D109" s="4">
        <f>IFERROR(VLOOKUP(Table26[[#This Row],[Asset]],Table228[#All],20,FALSE),0)</f>
        <v>631.23978634467016</v>
      </c>
      <c r="E109" t="s">
        <v>13</v>
      </c>
      <c r="F109" s="4">
        <f>Table26[[#This Row],[How many tokens]]*Table26[[#This Row],[Current Price]]</f>
        <v>-1328.6974258000002</v>
      </c>
      <c r="G109" s="4">
        <f>IFERROR(VLOOKUP(Table26[[#This Row],[Asset]],Table228[#All],16,FALSE),0)</f>
        <v>0.29501633315268971</v>
      </c>
      <c r="H109" s="77">
        <f>IFERROR(VLOOKUP(Table26[[#This Row],[Asset]],Table228[#All],18,FALSE),0)</f>
        <v>-6643.487129000001</v>
      </c>
      <c r="I109" s="84">
        <f>IFERROR((Table26[[#This Row],[Current Price]]-Table26[[#This Row],[Average Entry]])/Table26[[#This Row],[Average Entry]],0)</f>
        <v>-0.32207143291796225</v>
      </c>
      <c r="J109" s="71">
        <v>0.2</v>
      </c>
    </row>
    <row r="110" spans="1:10">
      <c r="A110" t="s">
        <v>224</v>
      </c>
      <c r="B110" t="s">
        <v>191</v>
      </c>
      <c r="C110" s="4">
        <f>IFERROR(VLOOKUP(Table26[[#This Row],[Asset]],Table228[],19,FALSE),0)</f>
        <v>4538.3900061541044</v>
      </c>
      <c r="D110" s="4">
        <f>IFERROR(VLOOKUP(Table26[[#This Row],[Asset]],Table228[#All],20,FALSE),0)</f>
        <v>-403.08573034855146</v>
      </c>
      <c r="E110" t="s">
        <v>13</v>
      </c>
      <c r="F110" s="4">
        <f>Table26[[#This Row],[How many tokens]]*Table26[[#This Row],[Current Price]]</f>
        <v>-1460.2439625799998</v>
      </c>
      <c r="G110" s="4">
        <f>IFERROR(VLOOKUP(Table26[[#This Row],[Asset]],Table228[#All],16,FALSE),0)</f>
        <v>2.4469848302807393</v>
      </c>
      <c r="H110" s="77">
        <f>IFERROR(VLOOKUP(Table26[[#This Row],[Asset]],Table228[#All],18,FALSE),0)</f>
        <v>-432.02484099999992</v>
      </c>
      <c r="I110" s="84">
        <f>IFERROR((Table26[[#This Row],[Current Price]]-Table26[[#This Row],[Average Entry]])/Table26[[#This Row],[Average Entry]],0)</f>
        <v>0.38129176698337641</v>
      </c>
      <c r="J110" s="71">
        <v>3.38</v>
      </c>
    </row>
    <row r="111" spans="1:10">
      <c r="A111" t="s">
        <v>564</v>
      </c>
      <c r="B111" t="s">
        <v>565</v>
      </c>
      <c r="C111" s="4">
        <f>IFERROR(VLOOKUP(Table26[[#This Row],[Asset]],Table228[],19,FALSE),0)</f>
        <v>-517.13771134695844</v>
      </c>
      <c r="D111" s="4">
        <f>IFERROR(VLOOKUP(Table26[[#This Row],[Asset]],Table228[#All],20,FALSE),0)</f>
        <v>5.2723469587914566E-3</v>
      </c>
      <c r="F111" s="4">
        <f>Table26[[#This Row],[How many tokens]]*Table26[[#This Row],[Current Price]]</f>
        <v>-0.18668999999993047</v>
      </c>
      <c r="G111" s="4">
        <f>IFERROR(VLOOKUP(Table26[[#This Row],[Asset]],Table228[#All],16,FALSE),0)</f>
        <v>15.115145429826253</v>
      </c>
      <c r="H111" s="77">
        <f>IFERROR(VLOOKUP(Table26[[#This Row],[Asset]],Table228[#All],18,FALSE),0)</f>
        <v>-1.2699999999995271E-2</v>
      </c>
      <c r="I111" s="84">
        <f>IFERROR((Table26[[#This Row],[Current Price]]-Table26[[#This Row],[Average Entry]])/Table26[[#This Row],[Average Entry]],0)</f>
        <v>-2.7465526663545018E-2</v>
      </c>
      <c r="J111" s="71">
        <v>14.7</v>
      </c>
    </row>
    <row r="112" spans="1:10">
      <c r="A112" t="s">
        <v>566</v>
      </c>
      <c r="B112" t="s">
        <v>194</v>
      </c>
      <c r="C112" s="4">
        <f>IFERROR(VLOOKUP(Table26[[#This Row],[Asset]],Table228[],19,FALSE),0)</f>
        <v>-60.079127405858216</v>
      </c>
      <c r="D112" s="4">
        <f>IFERROR(VLOOKUP(Table26[[#This Row],[Asset]],Table228[#All],20,FALSE),0)</f>
        <v>461.3619520058582</v>
      </c>
      <c r="F112" s="4">
        <f>Table26[[#This Row],[How many tokens]]*Table26[[#This Row],[Current Price]]</f>
        <v>1108.4852519999999</v>
      </c>
      <c r="G112" s="4">
        <f>IFERROR(VLOOKUP(Table26[[#This Row],[Asset]],Table228[#All],16,FALSE),0)</f>
        <v>4.1560054717428895E-3</v>
      </c>
      <c r="H112" s="77">
        <f>IFERROR(VLOOKUP(Table26[[#This Row],[Asset]],Table228[#All],18,FALSE),0)</f>
        <v>155708</v>
      </c>
      <c r="I112" s="84">
        <f>IFERROR((Table26[[#This Row],[Current Price]]-Table26[[#This Row],[Average Entry]])/Table26[[#This Row],[Average Entry]],0)</f>
        <v>0.71294288431591746</v>
      </c>
      <c r="J112" s="71">
        <v>7.1190000000000003E-3</v>
      </c>
    </row>
    <row r="113" spans="1:10">
      <c r="A113" t="s">
        <v>568</v>
      </c>
      <c r="B113" t="s">
        <v>491</v>
      </c>
      <c r="C113" s="4">
        <f>IFERROR(VLOOKUP(Table26[[#This Row],[Asset]],Table228[],19,FALSE),0)</f>
        <v>-608.74786720000009</v>
      </c>
      <c r="D113" s="4">
        <f>IFERROR(VLOOKUP(Table26[[#This Row],[Asset]],Table228[#All],20,FALSE),0)</f>
        <v>0</v>
      </c>
      <c r="F113" s="4">
        <f>Table26[[#This Row],[How many tokens]]*Table26[[#This Row],[Current Price]]</f>
        <v>0</v>
      </c>
      <c r="G113" s="4">
        <f>IFERROR(VLOOKUP(Table26[[#This Row],[Asset]],Table228[#All],16,FALSE),0)</f>
        <v>7.9000000000000008E-3</v>
      </c>
      <c r="H113" s="77">
        <f>IFERROR(VLOOKUP(Table26[[#This Row],[Asset]],Table228[#All],18,FALSE),0)</f>
        <v>0</v>
      </c>
      <c r="I113" s="84">
        <f>IFERROR((Table26[[#This Row],[Current Price]]-Table26[[#This Row],[Average Entry]])/Table26[[#This Row],[Average Entry]],0)</f>
        <v>-0.11392405063291146</v>
      </c>
      <c r="J113" s="71">
        <v>7.0000000000000001E-3</v>
      </c>
    </row>
  </sheetData>
  <conditionalFormatting sqref="C4:C113">
    <cfRule type="dataBar" priority="4089">
      <dataBar>
        <cfvo type="min"/>
        <cfvo type="max"/>
        <color rgb="FF63C384"/>
      </dataBar>
      <extLst>
        <ext xmlns:x14="http://schemas.microsoft.com/office/spreadsheetml/2009/9/main" uri="{B025F937-C7B1-47D3-B67F-A62EFF666E3E}">
          <x14:id>{67CD6D3F-F0AB-F947-9484-E8B35E09C73A}</x14:id>
        </ext>
      </extLst>
    </cfRule>
  </conditionalFormatting>
  <conditionalFormatting sqref="D5:D113">
    <cfRule type="dataBar" priority="4091">
      <dataBar>
        <cfvo type="min"/>
        <cfvo type="max"/>
        <color rgb="FF63C384"/>
      </dataBar>
      <extLst>
        <ext xmlns:x14="http://schemas.microsoft.com/office/spreadsheetml/2009/9/main" uri="{B025F937-C7B1-47D3-B67F-A62EFF666E3E}">
          <x14:id>{AF94ACA4-B8F3-2D4E-9AA8-625E5A61DF40}</x14:id>
        </ext>
      </extLst>
    </cfRule>
  </conditionalFormatting>
  <conditionalFormatting sqref="F4:F113">
    <cfRule type="dataBar" priority="4093">
      <dataBar>
        <cfvo type="min"/>
        <cfvo type="max"/>
        <color rgb="FF63C384"/>
      </dataBar>
      <extLst>
        <ext xmlns:x14="http://schemas.microsoft.com/office/spreadsheetml/2009/9/main" uri="{B025F937-C7B1-47D3-B67F-A62EFF666E3E}">
          <x14:id>{613DDFCD-A6D9-BF44-AB41-5B2545BE4FC3}</x14:id>
        </ext>
      </extLst>
    </cfRule>
  </conditionalFormatting>
  <conditionalFormatting sqref="I5:I113">
    <cfRule type="dataBar" priority="4095">
      <dataBar>
        <cfvo type="min"/>
        <cfvo type="max"/>
        <color rgb="FF63C384"/>
      </dataBar>
      <extLst>
        <ext xmlns:x14="http://schemas.microsoft.com/office/spreadsheetml/2009/9/main" uri="{B025F937-C7B1-47D3-B67F-A62EFF666E3E}">
          <x14:id>{29DED451-E699-DA4B-8226-D92A96B86A78}</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7CD6D3F-F0AB-F947-9484-E8B35E09C73A}">
            <x14:dataBar minLength="0" maxLength="100" border="1" negativeBarBorderColorSameAsPositive="0">
              <x14:cfvo type="autoMin"/>
              <x14:cfvo type="autoMax"/>
              <x14:borderColor rgb="FF63C384"/>
              <x14:negativeFillColor rgb="FFFF0000"/>
              <x14:negativeBorderColor rgb="FFFF0000"/>
              <x14:axisColor rgb="FF000000"/>
            </x14:dataBar>
          </x14:cfRule>
          <xm:sqref>C4:C113</xm:sqref>
        </x14:conditionalFormatting>
        <x14:conditionalFormatting xmlns:xm="http://schemas.microsoft.com/office/excel/2006/main">
          <x14:cfRule type="dataBar" id="{AF94ACA4-B8F3-2D4E-9AA8-625E5A61DF40}">
            <x14:dataBar minLength="0" maxLength="100" border="1" negativeBarBorderColorSameAsPositive="0">
              <x14:cfvo type="autoMin"/>
              <x14:cfvo type="autoMax"/>
              <x14:borderColor rgb="FF63C384"/>
              <x14:negativeFillColor rgb="FFFF0000"/>
              <x14:negativeBorderColor rgb="FFFF0000"/>
              <x14:axisColor rgb="FF000000"/>
            </x14:dataBar>
          </x14:cfRule>
          <xm:sqref>D5:D113</xm:sqref>
        </x14:conditionalFormatting>
        <x14:conditionalFormatting xmlns:xm="http://schemas.microsoft.com/office/excel/2006/main">
          <x14:cfRule type="dataBar" id="{613DDFCD-A6D9-BF44-AB41-5B2545BE4FC3}">
            <x14:dataBar minLength="0" maxLength="100" border="1" negativeBarBorderColorSameAsPositive="0">
              <x14:cfvo type="autoMin"/>
              <x14:cfvo type="autoMax"/>
              <x14:borderColor rgb="FF63C384"/>
              <x14:negativeFillColor rgb="FFFF0000"/>
              <x14:negativeBorderColor rgb="FFFF0000"/>
              <x14:axisColor rgb="FF000000"/>
            </x14:dataBar>
          </x14:cfRule>
          <xm:sqref>F4:F113</xm:sqref>
        </x14:conditionalFormatting>
        <x14:conditionalFormatting xmlns:xm="http://schemas.microsoft.com/office/excel/2006/main">
          <x14:cfRule type="dataBar" id="{29DED451-E699-DA4B-8226-D92A96B86A78}">
            <x14:dataBar minLength="0" maxLength="100" border="1" negativeBarBorderColorSameAsPositive="0">
              <x14:cfvo type="autoMin"/>
              <x14:cfvo type="autoMax"/>
              <x14:borderColor rgb="FF63C384"/>
              <x14:negativeFillColor rgb="FFFF0000"/>
              <x14:negativeBorderColor rgb="FFFF0000"/>
              <x14:axisColor rgb="FF000000"/>
            </x14:dataBar>
          </x14:cfRule>
          <xm:sqref>I5:I113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EAA7-113B-814C-A256-638C597395AC}">
  <dimension ref="A1:AC453"/>
  <sheetViews>
    <sheetView topLeftCell="A9" zoomScaleNormal="100" workbookViewId="0">
      <pane xSplit="1" topLeftCell="B1" activePane="topRight" state="frozen"/>
      <selection pane="topRight" activeCell="U19" sqref="U19"/>
    </sheetView>
  </sheetViews>
  <sheetFormatPr baseColWidth="10" defaultRowHeight="16"/>
  <cols>
    <col min="1" max="1" width="21.6640625" bestFit="1" customWidth="1"/>
    <col min="2" max="2" width="16.6640625" customWidth="1"/>
    <col min="3" max="3" width="14.5" bestFit="1" customWidth="1"/>
    <col min="4" max="4" width="10.83203125" bestFit="1" customWidth="1"/>
    <col min="5" max="5" width="11.5" customWidth="1"/>
    <col min="6" max="6" width="16.6640625" bestFit="1" customWidth="1"/>
    <col min="7" max="7" width="14" bestFit="1" customWidth="1"/>
    <col min="8" max="8" width="13.33203125" customWidth="1"/>
    <col min="9" max="9" width="11.33203125" style="53" customWidth="1"/>
    <col min="10" max="10" width="15.6640625" customWidth="1"/>
    <col min="11" max="11" width="12.1640625" customWidth="1"/>
    <col min="12" max="12" width="20.83203125" hidden="1" customWidth="1"/>
    <col min="13" max="13" width="19.1640625" hidden="1" customWidth="1"/>
    <col min="14" max="14" width="18.6640625" hidden="1" customWidth="1"/>
    <col min="15" max="15" width="20.33203125" hidden="1" customWidth="1"/>
    <col min="16" max="17" width="20.33203125" customWidth="1"/>
    <col min="18" max="18" width="22.83203125" bestFit="1" customWidth="1"/>
    <col min="19" max="19" width="16.33203125" bestFit="1" customWidth="1"/>
    <col min="20" max="20" width="19" bestFit="1" customWidth="1"/>
    <col min="21" max="21" width="15.5" bestFit="1" customWidth="1"/>
  </cols>
  <sheetData>
    <row r="1" spans="1:29" s="54" customFormat="1" ht="22" thickBot="1">
      <c r="A1" s="57" t="s">
        <v>167</v>
      </c>
      <c r="B1"/>
      <c r="C1"/>
      <c r="D1"/>
      <c r="E1"/>
      <c r="F1"/>
      <c r="G1"/>
      <c r="H1"/>
      <c r="I1"/>
      <c r="J1"/>
      <c r="K1"/>
      <c r="M1" s="55"/>
      <c r="N1" s="55"/>
      <c r="O1" s="55"/>
      <c r="P1" s="55"/>
      <c r="Q1" s="55"/>
      <c r="R1" s="55"/>
      <c r="S1" s="55"/>
      <c r="T1" s="55"/>
      <c r="U1" s="55"/>
      <c r="V1" s="55"/>
      <c r="W1" s="55"/>
      <c r="X1" s="55"/>
      <c r="Y1" s="55"/>
      <c r="Z1" s="55"/>
      <c r="AA1" s="55"/>
      <c r="AB1" s="55"/>
      <c r="AC1" s="55"/>
    </row>
    <row r="2" spans="1:29" s="13" customFormat="1" ht="17" thickBot="1">
      <c r="A2" s="63">
        <v>1</v>
      </c>
      <c r="B2" s="64">
        <v>2</v>
      </c>
      <c r="C2" s="64">
        <v>3</v>
      </c>
      <c r="D2" s="64">
        <v>4</v>
      </c>
      <c r="E2" s="64">
        <v>5</v>
      </c>
      <c r="F2" s="64">
        <v>6</v>
      </c>
      <c r="G2" s="64">
        <v>7</v>
      </c>
      <c r="H2" s="64">
        <v>8</v>
      </c>
      <c r="I2" s="64">
        <v>9</v>
      </c>
      <c r="J2" s="64">
        <v>10</v>
      </c>
      <c r="K2" s="64">
        <v>11</v>
      </c>
      <c r="L2" s="64">
        <v>12</v>
      </c>
      <c r="M2" s="64">
        <v>13</v>
      </c>
      <c r="N2" s="64">
        <v>14</v>
      </c>
      <c r="O2" s="64">
        <v>15</v>
      </c>
      <c r="P2" s="64">
        <v>16</v>
      </c>
      <c r="Q2" s="64">
        <v>17</v>
      </c>
      <c r="R2" s="64">
        <v>18</v>
      </c>
      <c r="S2" s="64">
        <v>19</v>
      </c>
      <c r="T2" s="64">
        <v>20</v>
      </c>
      <c r="U2" s="65">
        <v>21</v>
      </c>
      <c r="V2" s="62"/>
      <c r="W2" s="62"/>
      <c r="X2" s="62"/>
      <c r="Y2" s="62"/>
      <c r="Z2" s="62"/>
      <c r="AA2" s="62"/>
      <c r="AB2" s="62"/>
      <c r="AC2" s="62"/>
    </row>
    <row r="3" spans="1:29">
      <c r="A3" t="s">
        <v>61</v>
      </c>
      <c r="B3" s="68" t="s">
        <v>0</v>
      </c>
      <c r="C3" s="3" t="s">
        <v>168</v>
      </c>
      <c r="D3" t="s">
        <v>3</v>
      </c>
      <c r="E3" t="s">
        <v>188</v>
      </c>
      <c r="F3" s="90" t="s">
        <v>143</v>
      </c>
      <c r="G3" s="73" t="s">
        <v>169</v>
      </c>
      <c r="H3" s="61" t="s">
        <v>170</v>
      </c>
      <c r="I3" s="66" t="s">
        <v>171</v>
      </c>
      <c r="J3" s="15" t="s">
        <v>172</v>
      </c>
      <c r="K3" s="15" t="s">
        <v>173</v>
      </c>
      <c r="L3" t="s">
        <v>185</v>
      </c>
      <c r="M3" t="s">
        <v>186</v>
      </c>
      <c r="N3" s="53" t="s">
        <v>200</v>
      </c>
      <c r="O3" s="53" t="s">
        <v>201</v>
      </c>
      <c r="P3" s="58" t="s">
        <v>204</v>
      </c>
      <c r="Q3" s="58" t="s">
        <v>205</v>
      </c>
      <c r="R3" t="s">
        <v>203</v>
      </c>
      <c r="S3" t="s">
        <v>206</v>
      </c>
      <c r="T3" s="53" t="s">
        <v>24</v>
      </c>
      <c r="U3" s="60" t="s">
        <v>2</v>
      </c>
    </row>
    <row r="4" spans="1:29">
      <c r="A4" t="s">
        <v>182</v>
      </c>
      <c r="B4" s="68">
        <v>45292</v>
      </c>
      <c r="C4" s="3" t="s">
        <v>180</v>
      </c>
      <c r="D4" t="s">
        <v>174</v>
      </c>
      <c r="E4" t="s">
        <v>189</v>
      </c>
      <c r="F4" s="90">
        <v>5.0000000000000001E-3</v>
      </c>
      <c r="G4" s="73">
        <f>30000+96087.42</f>
        <v>126087.42</v>
      </c>
      <c r="H4" s="61">
        <f>IF(G4&gt;0,G4,0)</f>
        <v>126087.42</v>
      </c>
      <c r="I4" s="66">
        <f t="shared" ref="I4:I17" si="0">IF(G4&lt;0,ABS(G4),0)</f>
        <v>0</v>
      </c>
      <c r="J4" s="15">
        <f>H4*F4</f>
        <v>630.43709999999999</v>
      </c>
      <c r="K4" s="15">
        <f>I4*F4</f>
        <v>0</v>
      </c>
      <c r="L4">
        <f>SUMIF(Table228[[#All],[Asset]],Table228[[#This Row],[Asset]],Table228[[#All],[Bought number]])</f>
        <v>126087.42</v>
      </c>
      <c r="M4">
        <f>SUMIF(Table228[[#All],[Asset]],Table228[[#This Row],[Asset]],Table228[[#All],[Sold Number]])</f>
        <v>96094.429250000001</v>
      </c>
      <c r="N4" s="53">
        <f>SUMIF(Table228[[#All],[Asset]],Table228[[#This Row],[Asset]],Table228[[#All],[Bought amount]])</f>
        <v>630.43709999999999</v>
      </c>
      <c r="O4" s="53">
        <f>SUMIF(Table228[[#All],[Asset]],Table228[[#This Row],[Asset]],Table228[[#All],[Sold amount]])</f>
        <v>60.605080427500006</v>
      </c>
      <c r="P4" s="58">
        <f>Table228[[#This Row],[Total bought Amount]]/Table228[[#This Row],[Total bought Number]]</f>
        <v>5.0000000000000001E-3</v>
      </c>
      <c r="Q4" s="58">
        <f>IFERROR(Table228[[#This Row],[Total Sold Amount]]/Table228[[#This Row],[Total Sold Number]],0)</f>
        <v>6.3068255777688602E-4</v>
      </c>
      <c r="R4" s="21">
        <f>Table228[[#This Row],[Total bought Number]]-Table228[[#This Row],[Total Sold Number]]</f>
        <v>29992.990749999997</v>
      </c>
      <c r="S4" s="59">
        <f>(Table228[[#This Row],[Ave exit price]]-Table228[[#This Row],[Ave Entry price]])*Table228[[#This Row],[Total Sold Number]]</f>
        <v>-419.86706582250002</v>
      </c>
      <c r="T4" s="53">
        <f>(Table228[[#This Row],[Current Price]]-Table228[[#This Row],[Ave Entry price]])*Table228[[#This Row],[How many tokens now]]</f>
        <v>-120.27189290749997</v>
      </c>
      <c r="U4" s="60">
        <f>VLOOKUP(Table228[[#This Row],[Asset]],Table26[#All],10,FALSE)</f>
        <v>9.8999999999999999E-4</v>
      </c>
    </row>
    <row r="5" spans="1:29">
      <c r="A5" t="s">
        <v>182</v>
      </c>
      <c r="B5" s="68">
        <v>45292</v>
      </c>
      <c r="C5" s="3" t="s">
        <v>180</v>
      </c>
      <c r="D5" t="s">
        <v>174</v>
      </c>
      <c r="E5" t="s">
        <v>189</v>
      </c>
      <c r="F5" s="90">
        <v>0.01</v>
      </c>
      <c r="G5" s="73">
        <v>-7</v>
      </c>
      <c r="H5" s="61">
        <f t="shared" ref="H5:H15" si="1">IF(G5&gt;0,G5,0)</f>
        <v>0</v>
      </c>
      <c r="I5" s="66">
        <f t="shared" si="0"/>
        <v>7</v>
      </c>
      <c r="J5" s="15">
        <f t="shared" ref="J5:J15" si="2">H5*F5</f>
        <v>0</v>
      </c>
      <c r="K5" s="15">
        <f t="shared" ref="K5:K15" si="3">I5*F5</f>
        <v>7.0000000000000007E-2</v>
      </c>
      <c r="L5">
        <f>SUMIF(Table228[[#All],[Asset]],Table228[[#This Row],[Asset]],Table228[[#All],[Bought number]])</f>
        <v>126087.42</v>
      </c>
      <c r="M5">
        <f>SUMIF(Table228[[#All],[Asset]],Table228[[#This Row],[Asset]],Table228[[#All],[Sold Number]])</f>
        <v>96094.429250000001</v>
      </c>
      <c r="N5" s="53">
        <f>SUMIF(Table228[[#All],[Asset]],Table228[[#This Row],[Asset]],Table228[[#All],[Bought amount]])</f>
        <v>630.43709999999999</v>
      </c>
      <c r="O5" s="53">
        <f>SUMIF(Table228[[#All],[Asset]],Table228[[#This Row],[Asset]],Table228[[#All],[Sold amount]])</f>
        <v>60.605080427500006</v>
      </c>
      <c r="P5" s="58">
        <f>Table228[[#This Row],[Total bought Amount]]/Table228[[#This Row],[Total bought Number]]</f>
        <v>5.0000000000000001E-3</v>
      </c>
      <c r="Q5" s="58">
        <f>IFERROR(Table228[[#This Row],[Total Sold Amount]]/Table228[[#This Row],[Total Sold Number]],0)</f>
        <v>6.3068255777688602E-4</v>
      </c>
      <c r="R5" s="21">
        <f>Table228[[#This Row],[Total bought Number]]-Table228[[#This Row],[Total Sold Number]]</f>
        <v>29992.990749999997</v>
      </c>
      <c r="S5" s="59">
        <f>(Table228[[#This Row],[Ave exit price]]-Table228[[#This Row],[Ave Entry price]])*Table228[[#This Row],[Total Sold Number]]</f>
        <v>-419.86706582250002</v>
      </c>
      <c r="T5" s="53">
        <f>(Table228[[#This Row],[Current Price]]-Table228[[#This Row],[Ave Entry price]])*Table228[[#This Row],[How many tokens now]]</f>
        <v>-120.27189290749997</v>
      </c>
      <c r="U5" s="60">
        <f>VLOOKUP(Table228[[#This Row],[Asset]],Table26[#All],10,FALSE)</f>
        <v>9.8999999999999999E-4</v>
      </c>
    </row>
    <row r="6" spans="1:29">
      <c r="A6" t="s">
        <v>190</v>
      </c>
      <c r="B6" s="68">
        <v>45344</v>
      </c>
      <c r="C6" s="3" t="s">
        <v>180</v>
      </c>
      <c r="D6" t="s">
        <v>174</v>
      </c>
      <c r="E6" t="s">
        <v>189</v>
      </c>
      <c r="F6" s="90">
        <v>0.08</v>
      </c>
      <c r="G6" s="73">
        <v>15422.77</v>
      </c>
      <c r="H6" s="61">
        <f t="shared" si="1"/>
        <v>15422.77</v>
      </c>
      <c r="I6" s="66">
        <f t="shared" si="0"/>
        <v>0</v>
      </c>
      <c r="J6" s="15">
        <f t="shared" si="2"/>
        <v>1233.8216</v>
      </c>
      <c r="K6" s="15">
        <f t="shared" si="3"/>
        <v>0</v>
      </c>
      <c r="L6">
        <f>SUMIF(Table228[[#All],[Asset]],Table228[[#This Row],[Asset]],Table228[[#All],[Bought number]])</f>
        <v>27671.77</v>
      </c>
      <c r="M6">
        <f>SUMIF(Table228[[#All],[Asset]],Table228[[#This Row],[Asset]],Table228[[#All],[Sold Number]])</f>
        <v>0</v>
      </c>
      <c r="N6" s="53">
        <f>SUMIF(Table228[[#All],[Asset]],Table228[[#This Row],[Asset]],Table228[[#All],[Bought amount]])</f>
        <v>2213.7416000000003</v>
      </c>
      <c r="O6" s="53">
        <f>SUMIF(Table228[[#All],[Asset]],Table228[[#This Row],[Asset]],Table228[[#All],[Sold amount]])</f>
        <v>0</v>
      </c>
      <c r="P6" s="58">
        <f>Table228[[#This Row],[Total bought Amount]]/Table228[[#This Row],[Total bought Number]]</f>
        <v>8.0000000000000016E-2</v>
      </c>
      <c r="Q6" s="58">
        <f>IFERROR(Table228[[#This Row],[Total Sold Amount]]/Table228[[#This Row],[Total Sold Number]],0)</f>
        <v>0</v>
      </c>
      <c r="R6" s="21">
        <f>Table228[[#This Row],[Total bought Number]]-Table228[[#This Row],[Total Sold Number]]</f>
        <v>27671.77</v>
      </c>
      <c r="S6" s="59">
        <f>(Table228[[#This Row],[Ave exit price]]-Table228[[#This Row],[Ave Entry price]])*Table228[[#This Row],[Total Sold Number]]</f>
        <v>0</v>
      </c>
      <c r="T6" s="53">
        <f>(Table228[[#This Row],[Current Price]]-Table228[[#This Row],[Ave Entry price]])*Table228[[#This Row],[How many tokens now]]</f>
        <v>-2075.3827500000002</v>
      </c>
      <c r="U6" s="60">
        <f>VLOOKUP(Table228[[#This Row],[Asset]],Table26[#All],10,FALSE)</f>
        <v>5.0000000000000001E-3</v>
      </c>
    </row>
    <row r="7" spans="1:29">
      <c r="A7" t="s">
        <v>35</v>
      </c>
      <c r="B7" s="68">
        <v>45444</v>
      </c>
      <c r="C7" s="3" t="s">
        <v>192</v>
      </c>
      <c r="D7" t="s">
        <v>76</v>
      </c>
      <c r="E7" t="s">
        <v>189</v>
      </c>
      <c r="F7" s="90">
        <v>150</v>
      </c>
      <c r="G7" s="73">
        <v>96.307599999999994</v>
      </c>
      <c r="H7" s="61">
        <f t="shared" si="1"/>
        <v>96.307599999999994</v>
      </c>
      <c r="I7" s="66">
        <f t="shared" si="0"/>
        <v>0</v>
      </c>
      <c r="J7" s="15">
        <f t="shared" si="2"/>
        <v>14446.14</v>
      </c>
      <c r="K7" s="15">
        <f t="shared" si="3"/>
        <v>0</v>
      </c>
      <c r="L7">
        <f>SUMIF(Table228[[#All],[Asset]],Table228[[#This Row],[Asset]],Table228[[#All],[Bought number]])</f>
        <v>154.92660000000001</v>
      </c>
      <c r="M7">
        <f>SUMIF(Table228[[#All],[Asset]],Table228[[#This Row],[Asset]],Table228[[#All],[Sold Number]])</f>
        <v>79.674999999999997</v>
      </c>
      <c r="N7" s="53">
        <f>SUMIF(Table228[[#All],[Asset]],Table228[[#This Row],[Asset]],Table228[[#All],[Bought amount]])</f>
        <v>22897.17</v>
      </c>
      <c r="O7" s="53">
        <f>SUMIF(Table228[[#All],[Asset]],Table228[[#This Row],[Asset]],Table228[[#All],[Sold amount]])</f>
        <v>11736.940868199999</v>
      </c>
      <c r="P7" s="58">
        <f>Table228[[#This Row],[Total bought Amount]]/Table228[[#This Row],[Total bought Number]]</f>
        <v>147.79366487097758</v>
      </c>
      <c r="Q7" s="58">
        <f>IFERROR(Table228[[#This Row],[Total Sold Amount]]/Table228[[#This Row],[Total Sold Number]],0)</f>
        <v>147.31020857483526</v>
      </c>
      <c r="R7" s="21">
        <f>Table228[[#This Row],[Total bought Number]]-Table228[[#This Row],[Total Sold Number]]</f>
        <v>75.25160000000001</v>
      </c>
      <c r="S7" s="59">
        <f>(Table228[[#This Row],[Ave exit price]]-Table228[[#This Row],[Ave Entry price]])*Table228[[#This Row],[Total Sold Number]]</f>
        <v>-38.519380395139478</v>
      </c>
      <c r="T7" s="53">
        <f>(Table228[[#This Row],[Current Price]]-Table228[[#This Row],[Ave Entry price]])*Table228[[#This Row],[How many tokens now]]</f>
        <v>1671.0622485951437</v>
      </c>
      <c r="U7" s="60">
        <f>VLOOKUP(Table228[[#This Row],[Asset]],Table26[#All],10,FALSE)</f>
        <v>170</v>
      </c>
    </row>
    <row r="8" spans="1:29">
      <c r="A8" t="s">
        <v>193</v>
      </c>
      <c r="B8" s="68">
        <v>45444</v>
      </c>
      <c r="C8" s="3" t="s">
        <v>175</v>
      </c>
      <c r="D8" t="s">
        <v>76</v>
      </c>
      <c r="E8" t="s">
        <v>189</v>
      </c>
      <c r="F8" s="90">
        <v>4680</v>
      </c>
      <c r="G8" s="73">
        <v>1</v>
      </c>
      <c r="H8" s="61">
        <f t="shared" si="1"/>
        <v>1</v>
      </c>
      <c r="I8" s="66">
        <f t="shared" si="0"/>
        <v>0</v>
      </c>
      <c r="J8" s="15">
        <f t="shared" si="2"/>
        <v>4680</v>
      </c>
      <c r="K8" s="15">
        <f t="shared" si="3"/>
        <v>0</v>
      </c>
      <c r="L8">
        <f>SUMIF(Table228[[#All],[Asset]],Table228[[#This Row],[Asset]],Table228[[#All],[Bought number]])</f>
        <v>2</v>
      </c>
      <c r="M8">
        <f>SUMIF(Table228[[#All],[Asset]],Table228[[#This Row],[Asset]],Table228[[#All],[Sold Number]])</f>
        <v>1.5</v>
      </c>
      <c r="N8" s="53">
        <f>SUMIF(Table228[[#All],[Asset]],Table228[[#This Row],[Asset]],Table228[[#All],[Bought amount]])</f>
        <v>9600</v>
      </c>
      <c r="O8" s="53">
        <f>SUMIF(Table228[[#All],[Asset]],Table228[[#This Row],[Asset]],Table228[[#All],[Sold amount]])</f>
        <v>11750</v>
      </c>
      <c r="P8" s="58">
        <f>Table228[[#This Row],[Total bought Amount]]/Table228[[#This Row],[Total bought Number]]</f>
        <v>4800</v>
      </c>
      <c r="Q8" s="58">
        <f>IFERROR(Table228[[#This Row],[Total Sold Amount]]/Table228[[#This Row],[Total Sold Number]],0)</f>
        <v>7833.333333333333</v>
      </c>
      <c r="R8" s="21">
        <f>Table228[[#This Row],[Total bought Number]]-Table228[[#This Row],[Total Sold Number]]</f>
        <v>0.5</v>
      </c>
      <c r="S8" s="59">
        <f>(Table228[[#This Row],[Ave exit price]]-Table228[[#This Row],[Ave Entry price]])*Table228[[#This Row],[Total Sold Number]]</f>
        <v>4550</v>
      </c>
      <c r="T8" s="53">
        <f>(Table228[[#This Row],[Current Price]]-Table228[[#This Row],[Ave Entry price]])*Table228[[#This Row],[How many tokens now]]</f>
        <v>-210</v>
      </c>
      <c r="U8" s="60">
        <f>VLOOKUP(Table228[[#This Row],[Asset]],Table26[#All],10,FALSE)</f>
        <v>4380</v>
      </c>
    </row>
    <row r="9" spans="1:29">
      <c r="A9" t="s">
        <v>196</v>
      </c>
      <c r="B9" s="68">
        <v>45444</v>
      </c>
      <c r="C9" s="3" t="s">
        <v>175</v>
      </c>
      <c r="D9" t="s">
        <v>76</v>
      </c>
      <c r="E9" t="s">
        <v>189</v>
      </c>
      <c r="F9" s="90">
        <v>2560</v>
      </c>
      <c r="G9" s="73">
        <v>1</v>
      </c>
      <c r="H9" s="61">
        <f t="shared" si="1"/>
        <v>1</v>
      </c>
      <c r="I9" s="66">
        <f t="shared" si="0"/>
        <v>0</v>
      </c>
      <c r="J9" s="15">
        <f t="shared" si="2"/>
        <v>2560</v>
      </c>
      <c r="K9" s="15">
        <f t="shared" si="3"/>
        <v>0</v>
      </c>
      <c r="L9">
        <f>SUMIF(Table228[[#All],[Asset]],Table228[[#This Row],[Asset]],Table228[[#All],[Bought number]])</f>
        <v>2</v>
      </c>
      <c r="M9">
        <f>SUMIF(Table228[[#All],[Asset]],Table228[[#This Row],[Asset]],Table228[[#All],[Sold Number]])</f>
        <v>1</v>
      </c>
      <c r="N9" s="53">
        <f>SUMIF(Table228[[#All],[Asset]],Table228[[#This Row],[Asset]],Table228[[#All],[Bought amount]])</f>
        <v>3497.62</v>
      </c>
      <c r="O9" s="53">
        <f>SUMIF(Table228[[#All],[Asset]],Table228[[#This Row],[Asset]],Table228[[#All],[Sold amount]])</f>
        <v>2110</v>
      </c>
      <c r="P9" s="58">
        <f>Table228[[#This Row],[Total bought Amount]]/Table228[[#This Row],[Total bought Number]]</f>
        <v>1748.81</v>
      </c>
      <c r="Q9" s="58">
        <f>IFERROR(Table228[[#This Row],[Total Sold Amount]]/Table228[[#This Row],[Total Sold Number]],0)</f>
        <v>2110</v>
      </c>
      <c r="R9" s="21">
        <f>Table228[[#This Row],[Total bought Number]]-Table228[[#This Row],[Total Sold Number]]</f>
        <v>1</v>
      </c>
      <c r="S9" s="59">
        <f>(Table228[[#This Row],[Ave exit price]]-Table228[[#This Row],[Ave Entry price]])*Table228[[#This Row],[Total Sold Number]]</f>
        <v>361.19000000000005</v>
      </c>
      <c r="T9" s="53">
        <f>(Table228[[#This Row],[Current Price]]-Table228[[#This Row],[Ave Entry price]])*Table228[[#This Row],[How many tokens now]]</f>
        <v>51.190000000000055</v>
      </c>
      <c r="U9" s="60">
        <f>VLOOKUP(Table228[[#This Row],[Asset]],Table26[#All],10,FALSE)</f>
        <v>1800</v>
      </c>
    </row>
    <row r="10" spans="1:29">
      <c r="A10" t="s">
        <v>197</v>
      </c>
      <c r="B10" s="68">
        <v>45444</v>
      </c>
      <c r="C10" s="3" t="s">
        <v>175</v>
      </c>
      <c r="D10" t="s">
        <v>76</v>
      </c>
      <c r="E10" t="s">
        <v>189</v>
      </c>
      <c r="F10" s="90">
        <f>777.4+693.61</f>
        <v>1471.01</v>
      </c>
      <c r="G10" s="73">
        <v>1</v>
      </c>
      <c r="H10" s="61">
        <f t="shared" si="1"/>
        <v>1</v>
      </c>
      <c r="I10" s="66">
        <f t="shared" si="0"/>
        <v>0</v>
      </c>
      <c r="J10" s="15">
        <f t="shared" si="2"/>
        <v>1471.01</v>
      </c>
      <c r="K10" s="15">
        <f t="shared" si="3"/>
        <v>0</v>
      </c>
      <c r="L10">
        <f>SUMIF(Table228[[#All],[Asset]],Table228[[#This Row],[Asset]],Table228[[#All],[Bought number]])</f>
        <v>1</v>
      </c>
      <c r="M10">
        <f>SUMIF(Table228[[#All],[Asset]],Table228[[#This Row],[Asset]],Table228[[#All],[Sold Number]])</f>
        <v>0</v>
      </c>
      <c r="N10" s="53">
        <f>SUMIF(Table228[[#All],[Asset]],Table228[[#This Row],[Asset]],Table228[[#All],[Bought amount]])</f>
        <v>1471.01</v>
      </c>
      <c r="O10" s="53">
        <f>SUMIF(Table228[[#All],[Asset]],Table228[[#This Row],[Asset]],Table228[[#All],[Sold amount]])</f>
        <v>0</v>
      </c>
      <c r="P10" s="58">
        <f>Table228[[#This Row],[Total bought Amount]]/Table228[[#This Row],[Total bought Number]]</f>
        <v>1471.01</v>
      </c>
      <c r="Q10" s="58">
        <f>IFERROR(Table228[[#This Row],[Total Sold Amount]]/Table228[[#This Row],[Total Sold Number]],0)</f>
        <v>0</v>
      </c>
      <c r="R10" s="21">
        <f>Table228[[#This Row],[Total bought Number]]-Table228[[#This Row],[Total Sold Number]]</f>
        <v>1</v>
      </c>
      <c r="S10" s="59">
        <f>(Table228[[#This Row],[Ave exit price]]-Table228[[#This Row],[Ave Entry price]])*Table228[[#This Row],[Total Sold Number]]</f>
        <v>0</v>
      </c>
      <c r="T10" s="53">
        <f>(Table228[[#This Row],[Current Price]]-Table228[[#This Row],[Ave Entry price]])*Table228[[#This Row],[How many tokens now]]</f>
        <v>-691.29</v>
      </c>
      <c r="U10" s="60">
        <f>VLOOKUP(Table228[[#This Row],[Asset]],Table26[#All],10,FALSE)</f>
        <v>779.72</v>
      </c>
    </row>
    <row r="11" spans="1:29">
      <c r="A11" t="s">
        <v>198</v>
      </c>
      <c r="B11" s="68">
        <v>45444</v>
      </c>
      <c r="C11" s="3" t="s">
        <v>175</v>
      </c>
      <c r="D11" t="s">
        <v>76</v>
      </c>
      <c r="E11" t="s">
        <v>189</v>
      </c>
      <c r="F11" s="90">
        <f>3349.53+370.39</f>
        <v>3719.92</v>
      </c>
      <c r="G11" s="73">
        <v>1</v>
      </c>
      <c r="H11" s="61">
        <f t="shared" si="1"/>
        <v>1</v>
      </c>
      <c r="I11" s="66">
        <f t="shared" si="0"/>
        <v>0</v>
      </c>
      <c r="J11" s="15">
        <f t="shared" si="2"/>
        <v>3719.92</v>
      </c>
      <c r="K11" s="15">
        <f t="shared" si="3"/>
        <v>0</v>
      </c>
      <c r="L11">
        <f>SUMIF(Table228[[#All],[Asset]],Table228[[#This Row],[Asset]],Table228[[#All],[Bought number]])</f>
        <v>1</v>
      </c>
      <c r="M11">
        <f>SUMIF(Table228[[#All],[Asset]],Table228[[#This Row],[Asset]],Table228[[#All],[Sold Number]])</f>
        <v>0</v>
      </c>
      <c r="N11" s="53">
        <f>SUMIF(Table228[[#All],[Asset]],Table228[[#This Row],[Asset]],Table228[[#All],[Bought amount]])</f>
        <v>3719.92</v>
      </c>
      <c r="O11" s="53">
        <f>SUMIF(Table228[[#All],[Asset]],Table228[[#This Row],[Asset]],Table228[[#All],[Sold amount]])</f>
        <v>0</v>
      </c>
      <c r="P11" s="58">
        <f>Table228[[#This Row],[Total bought Amount]]/Table228[[#This Row],[Total bought Number]]</f>
        <v>3719.92</v>
      </c>
      <c r="Q11" s="58">
        <f>IFERROR(Table228[[#This Row],[Total Sold Amount]]/Table228[[#This Row],[Total Sold Number]],0)</f>
        <v>0</v>
      </c>
      <c r="R11" s="21">
        <f>Table228[[#This Row],[Total bought Number]]-Table228[[#This Row],[Total Sold Number]]</f>
        <v>1</v>
      </c>
      <c r="S11" s="59">
        <f>(Table228[[#This Row],[Ave exit price]]-Table228[[#This Row],[Ave Entry price]])*Table228[[#This Row],[Total Sold Number]]</f>
        <v>0</v>
      </c>
      <c r="T11" s="53">
        <f>(Table228[[#This Row],[Current Price]]-Table228[[#This Row],[Ave Entry price]])*Table228[[#This Row],[How many tokens now]]</f>
        <v>-3349.37</v>
      </c>
      <c r="U11" s="60">
        <f>VLOOKUP(Table228[[#This Row],[Asset]],Table26[#All],10,FALSE)</f>
        <v>370.55</v>
      </c>
    </row>
    <row r="12" spans="1:29">
      <c r="A12" t="s">
        <v>207</v>
      </c>
      <c r="B12" s="68">
        <v>45292</v>
      </c>
      <c r="C12" s="3" t="s">
        <v>180</v>
      </c>
      <c r="D12" t="s">
        <v>34</v>
      </c>
      <c r="E12" t="s">
        <v>211</v>
      </c>
      <c r="F12" s="90">
        <v>0.2</v>
      </c>
      <c r="G12" s="73">
        <v>10019.030000000001</v>
      </c>
      <c r="H12" s="61">
        <f t="shared" si="1"/>
        <v>10019.030000000001</v>
      </c>
      <c r="I12" s="66">
        <f t="shared" si="0"/>
        <v>0</v>
      </c>
      <c r="J12" s="15">
        <f t="shared" si="2"/>
        <v>2003.8060000000003</v>
      </c>
      <c r="K12" s="15">
        <f t="shared" si="3"/>
        <v>0</v>
      </c>
      <c r="L12">
        <f>SUMIF(Table228[[#All],[Asset]],Table228[[#This Row],[Asset]],Table228[[#All],[Bought number]])</f>
        <v>11156.03</v>
      </c>
      <c r="M12">
        <f>SUMIF(Table228[[#All],[Asset]],Table228[[#This Row],[Asset]],Table228[[#All],[Sold Number]])</f>
        <v>0</v>
      </c>
      <c r="N12" s="53">
        <f>SUMIF(Table228[[#All],[Asset]],Table228[[#This Row],[Asset]],Table228[[#All],[Bought amount]])</f>
        <v>2003.8060000000003</v>
      </c>
      <c r="O12" s="53">
        <f>SUMIF(Table228[[#All],[Asset]],Table228[[#This Row],[Asset]],Table228[[#All],[Sold amount]])</f>
        <v>0</v>
      </c>
      <c r="P12" s="58">
        <f>Table228[[#This Row],[Total bought Amount]]/Table228[[#This Row],[Total bought Number]]</f>
        <v>0.17961640476047483</v>
      </c>
      <c r="Q12" s="58">
        <f>IFERROR(Table228[[#This Row],[Total Sold Amount]]/Table228[[#This Row],[Total Sold Number]],0)</f>
        <v>0</v>
      </c>
      <c r="R12" s="21">
        <f>Table228[[#This Row],[Total bought Number]]-Table228[[#This Row],[Total Sold Number]]</f>
        <v>11156.03</v>
      </c>
      <c r="S12" s="59">
        <f>(Table228[[#This Row],[Ave exit price]]-Table228[[#This Row],[Ave Entry price]])*Table228[[#This Row],[Total Sold Number]]</f>
        <v>0</v>
      </c>
      <c r="T12" s="53">
        <f>(Table228[[#This Row],[Current Price]]-Table228[[#This Row],[Ave Entry price]])*Table228[[#This Row],[How many tokens now]]</f>
        <v>-1291.4934845</v>
      </c>
      <c r="U12" s="60">
        <f>VLOOKUP(Table228[[#This Row],[Asset]],Table26[#All],10,FALSE)</f>
        <v>6.3850000000000004E-2</v>
      </c>
    </row>
    <row r="13" spans="1:29">
      <c r="A13" t="s">
        <v>212</v>
      </c>
      <c r="B13" s="68">
        <v>45292</v>
      </c>
      <c r="C13" s="3" t="s">
        <v>175</v>
      </c>
      <c r="D13" t="s">
        <v>34</v>
      </c>
      <c r="E13" t="s">
        <v>211</v>
      </c>
      <c r="F13" s="90">
        <v>2744</v>
      </c>
      <c r="G13" s="73">
        <v>1</v>
      </c>
      <c r="H13" s="61">
        <f t="shared" si="1"/>
        <v>1</v>
      </c>
      <c r="I13" s="66">
        <f t="shared" si="0"/>
        <v>0</v>
      </c>
      <c r="J13" s="15">
        <f t="shared" si="2"/>
        <v>2744</v>
      </c>
      <c r="K13" s="15">
        <f t="shared" si="3"/>
        <v>0</v>
      </c>
      <c r="L13">
        <f>SUMIF(Table228[[#All],[Asset]],Table228[[#This Row],[Asset]],Table228[[#All],[Bought number]])</f>
        <v>2</v>
      </c>
      <c r="M13">
        <f>SUMIF(Table228[[#All],[Asset]],Table228[[#This Row],[Asset]],Table228[[#All],[Sold Number]])</f>
        <v>2</v>
      </c>
      <c r="N13" s="53">
        <f>SUMIF(Table228[[#All],[Asset]],Table228[[#This Row],[Asset]],Table228[[#All],[Bought amount]])</f>
        <v>4244</v>
      </c>
      <c r="O13" s="53">
        <f>SUMIF(Table228[[#All],[Asset]],Table228[[#This Row],[Asset]],Table228[[#All],[Sold amount]])</f>
        <v>4720</v>
      </c>
      <c r="P13" s="58">
        <f>Table228[[#This Row],[Total bought Amount]]/Table228[[#This Row],[Total bought Number]]</f>
        <v>2122</v>
      </c>
      <c r="Q13" s="58">
        <f>IFERROR(Table228[[#This Row],[Total Sold Amount]]/Table228[[#This Row],[Total Sold Number]],0)</f>
        <v>2360</v>
      </c>
      <c r="R13" s="21">
        <f>Table228[[#This Row],[Total bought Number]]-Table228[[#This Row],[Total Sold Number]]</f>
        <v>0</v>
      </c>
      <c r="S13" s="59">
        <f>(Table228[[#This Row],[Ave exit price]]-Table228[[#This Row],[Ave Entry price]])*Table228[[#This Row],[Total Sold Number]]</f>
        <v>476</v>
      </c>
      <c r="T13" s="53">
        <f>(Table228[[#This Row],[Current Price]]-Table228[[#This Row],[Ave Entry price]])*Table228[[#This Row],[How many tokens now]]</f>
        <v>0</v>
      </c>
      <c r="U13" s="60">
        <f>VLOOKUP(Table228[[#This Row],[Asset]],Table26[#All],10,FALSE)</f>
        <v>3500</v>
      </c>
    </row>
    <row r="14" spans="1:29">
      <c r="A14" t="s">
        <v>17</v>
      </c>
      <c r="B14" s="68">
        <v>45292</v>
      </c>
      <c r="C14" s="3" t="s">
        <v>180</v>
      </c>
      <c r="D14" t="s">
        <v>174</v>
      </c>
      <c r="E14" t="s">
        <v>211</v>
      </c>
      <c r="F14" s="90">
        <v>0.41</v>
      </c>
      <c r="G14" s="73">
        <v>10000</v>
      </c>
      <c r="H14" s="61">
        <f t="shared" si="1"/>
        <v>10000</v>
      </c>
      <c r="I14" s="66">
        <f t="shared" si="0"/>
        <v>0</v>
      </c>
      <c r="J14" s="15">
        <f t="shared" si="2"/>
        <v>4100</v>
      </c>
      <c r="K14" s="15">
        <f t="shared" si="3"/>
        <v>0</v>
      </c>
      <c r="L14">
        <f>SUMIF(Table228[[#All],[Asset]],Table228[[#This Row],[Asset]],Table228[[#All],[Bought number]])</f>
        <v>10000</v>
      </c>
      <c r="M14">
        <f>SUMIF(Table228[[#All],[Asset]],Table228[[#This Row],[Asset]],Table228[[#All],[Sold Number]])</f>
        <v>10000</v>
      </c>
      <c r="N14" s="53">
        <f>SUMIF(Table228[[#All],[Asset]],Table228[[#This Row],[Asset]],Table228[[#All],[Bought amount]])</f>
        <v>4100</v>
      </c>
      <c r="O14" s="53">
        <f>SUMIF(Table228[[#All],[Asset]],Table228[[#This Row],[Asset]],Table228[[#All],[Sold amount]])</f>
        <v>7989.99</v>
      </c>
      <c r="P14" s="58">
        <f>Table228[[#This Row],[Total bought Amount]]/Table228[[#This Row],[Total bought Number]]</f>
        <v>0.41</v>
      </c>
      <c r="Q14" s="58">
        <f>IFERROR(Table228[[#This Row],[Total Sold Amount]]/Table228[[#This Row],[Total Sold Number]],0)</f>
        <v>0.79899900000000001</v>
      </c>
      <c r="R14" s="21">
        <f>Table228[[#This Row],[Total bought Number]]-Table228[[#This Row],[Total Sold Number]]</f>
        <v>0</v>
      </c>
      <c r="S14" s="59">
        <f>(Table228[[#This Row],[Ave exit price]]-Table228[[#This Row],[Ave Entry price]])*Table228[[#This Row],[Total Sold Number]]</f>
        <v>3889.9900000000002</v>
      </c>
      <c r="T14" s="53">
        <f>(Table228[[#This Row],[Current Price]]-Table228[[#This Row],[Ave Entry price]])*Table228[[#This Row],[How many tokens now]]</f>
        <v>0</v>
      </c>
      <c r="U14" s="60">
        <f>VLOOKUP(Table228[[#This Row],[Asset]],Table26[#All],10,FALSE)</f>
        <v>0.41</v>
      </c>
    </row>
    <row r="15" spans="1:29">
      <c r="A15" t="s">
        <v>209</v>
      </c>
      <c r="B15" s="68">
        <v>45292</v>
      </c>
      <c r="C15" s="3" t="s">
        <v>176</v>
      </c>
      <c r="D15" t="s">
        <v>262</v>
      </c>
      <c r="E15" t="s">
        <v>263</v>
      </c>
      <c r="F15" s="90">
        <v>1</v>
      </c>
      <c r="G15" s="73">
        <v>9000</v>
      </c>
      <c r="H15" s="61">
        <f t="shared" si="1"/>
        <v>9000</v>
      </c>
      <c r="I15" s="66">
        <f t="shared" si="0"/>
        <v>0</v>
      </c>
      <c r="J15" s="15">
        <f t="shared" si="2"/>
        <v>9000</v>
      </c>
      <c r="K15" s="15">
        <f t="shared" si="3"/>
        <v>0</v>
      </c>
      <c r="L15">
        <f>SUMIF(Table228[[#All],[Asset]],Table228[[#This Row],[Asset]],Table228[[#All],[Bought number]])</f>
        <v>14504.07</v>
      </c>
      <c r="M15">
        <f>SUMIF(Table228[[#All],[Asset]],Table228[[#This Row],[Asset]],Table228[[#All],[Sold Number]])</f>
        <v>12705.240000000002</v>
      </c>
      <c r="N15" s="53">
        <f>SUMIF(Table228[[#All],[Asset]],Table228[[#This Row],[Asset]],Table228[[#All],[Bought amount]])</f>
        <v>14005.02</v>
      </c>
      <c r="O15" s="53">
        <f>SUMIF(Table228[[#All],[Asset]],Table228[[#This Row],[Asset]],Table228[[#All],[Sold amount]])</f>
        <v>12705.240000000002</v>
      </c>
      <c r="P15" s="58">
        <f>Table228[[#This Row],[Total bought Amount]]/Table228[[#This Row],[Total bought Number]]</f>
        <v>0.96559241647344507</v>
      </c>
      <c r="Q15" s="58">
        <f>IFERROR(Table228[[#This Row],[Total Sold Amount]]/Table228[[#This Row],[Total Sold Number]],0)</f>
        <v>1</v>
      </c>
      <c r="R15" s="21">
        <f>Table228[[#This Row],[Total bought Number]]-Table228[[#This Row],[Total Sold Number]]</f>
        <v>1798.8299999999981</v>
      </c>
      <c r="S15" s="59">
        <f>(Table228[[#This Row],[Ave exit price]]-Table228[[#This Row],[Ave Entry price]])*Table228[[#This Row],[Total Sold Number]]</f>
        <v>437.15660652492681</v>
      </c>
      <c r="T15" s="53">
        <f>(Table228[[#This Row],[Current Price]]-Table228[[#This Row],[Ave Entry price]])*Table228[[#This Row],[How many tokens now]]</f>
        <v>61.893393475072742</v>
      </c>
      <c r="U15" s="60">
        <f>VLOOKUP(Table228[[#This Row],[Asset]],Table26[#All],10,FALSE)</f>
        <v>1</v>
      </c>
    </row>
    <row r="16" spans="1:29">
      <c r="A16" s="7" t="s">
        <v>213</v>
      </c>
      <c r="B16" s="68">
        <v>45292</v>
      </c>
      <c r="C16" s="3" t="s">
        <v>176</v>
      </c>
      <c r="D16" t="s">
        <v>174</v>
      </c>
      <c r="E16" t="s">
        <v>189</v>
      </c>
      <c r="F16" s="91">
        <v>1.5277000000000001E-3</v>
      </c>
      <c r="G16" s="74">
        <v>17919.968110000002</v>
      </c>
      <c r="H16" s="61">
        <f t="shared" ref="H16:H26" si="4">IF(G16&gt;0,G16,0)</f>
        <v>17919.968110000002</v>
      </c>
      <c r="I16" s="67">
        <f t="shared" si="0"/>
        <v>0</v>
      </c>
      <c r="J16" s="53">
        <f t="shared" ref="J16:J26" si="5">H16*F16</f>
        <v>27.376335281647005</v>
      </c>
      <c r="K16" s="53">
        <f t="shared" ref="K16:K26" si="6">I16*F16</f>
        <v>0</v>
      </c>
      <c r="L16">
        <f>SUMIF(Table228[[#All],[Asset]],Table228[[#This Row],[Asset]],Table228[[#All],[Bought number]])</f>
        <v>17919.968110000002</v>
      </c>
      <c r="M16">
        <f>SUMIF(Table228[[#All],[Asset]],Table228[[#This Row],[Asset]],Table228[[#All],[Sold Number]])</f>
        <v>0</v>
      </c>
      <c r="N16" s="53">
        <f>SUMIF(Table228[[#All],[Asset]],Table228[[#This Row],[Asset]],Table228[[#All],[Bought amount]])</f>
        <v>27.376335281647005</v>
      </c>
      <c r="O16" s="53">
        <f>SUMIF(Table228[[#All],[Asset]],Table228[[#This Row],[Asset]],Table228[[#All],[Sold amount]])</f>
        <v>0</v>
      </c>
      <c r="P16" s="58">
        <f>Table228[[#This Row],[Total bought Amount]]/Table228[[#This Row],[Total bought Number]]</f>
        <v>1.5277000000000001E-3</v>
      </c>
      <c r="Q16" s="58">
        <f>IFERROR(Table228[[#This Row],[Total Sold Amount]]/Table228[[#This Row],[Total Sold Number]],0)</f>
        <v>0</v>
      </c>
      <c r="R16" s="21">
        <f>Table228[[#This Row],[Total bought Number]]-Table228[[#This Row],[Total Sold Number]]</f>
        <v>17919.968110000002</v>
      </c>
      <c r="S16" s="59">
        <f>(Table228[[#This Row],[Ave exit price]]-Table228[[#This Row],[Ave Entry price]])*Table228[[#This Row],[Total Sold Number]]</f>
        <v>0</v>
      </c>
      <c r="T16" s="53">
        <f>(Table228[[#This Row],[Current Price]]-Table228[[#This Row],[Ave Entry price]])*Table228[[#This Row],[How many tokens now]]</f>
        <v>-1.254397767700322E-2</v>
      </c>
      <c r="U16" s="60">
        <f>VLOOKUP(Table228[[#This Row],[Asset]],Table26[#All],10,FALSE)</f>
        <v>1.5269999999999999E-3</v>
      </c>
    </row>
    <row r="17" spans="1:21">
      <c r="A17" t="s">
        <v>35</v>
      </c>
      <c r="B17" s="68">
        <v>45474</v>
      </c>
      <c r="C17" s="3" t="s">
        <v>214</v>
      </c>
      <c r="D17" t="s">
        <v>36</v>
      </c>
      <c r="E17" t="s">
        <v>189</v>
      </c>
      <c r="F17" s="91">
        <v>150</v>
      </c>
      <c r="G17" s="74">
        <v>6.4</v>
      </c>
      <c r="H17" s="61">
        <f t="shared" si="4"/>
        <v>6.4</v>
      </c>
      <c r="I17" s="67">
        <f t="shared" si="0"/>
        <v>0</v>
      </c>
      <c r="J17" s="53">
        <f t="shared" si="5"/>
        <v>960</v>
      </c>
      <c r="K17" s="53">
        <f t="shared" si="6"/>
        <v>0</v>
      </c>
      <c r="L17">
        <f>SUMIF(Table228[[#All],[Asset]],Table228[[#This Row],[Asset]],Table228[[#All],[Bought number]])</f>
        <v>154.92660000000001</v>
      </c>
      <c r="M17">
        <f>SUMIF(Table228[[#All],[Asset]],Table228[[#This Row],[Asset]],Table228[[#All],[Sold Number]])</f>
        <v>79.674999999999997</v>
      </c>
      <c r="N17" s="53">
        <f>SUMIF(Table228[[#All],[Asset]],Table228[[#This Row],[Asset]],Table228[[#All],[Bought amount]])</f>
        <v>22897.17</v>
      </c>
      <c r="O17" s="53">
        <f>SUMIF(Table228[[#All],[Asset]],Table228[[#This Row],[Asset]],Table228[[#All],[Sold amount]])</f>
        <v>11736.940868199999</v>
      </c>
      <c r="P17" s="58">
        <f>Table228[[#This Row],[Total bought Amount]]/Table228[[#This Row],[Total bought Number]]</f>
        <v>147.79366487097758</v>
      </c>
      <c r="Q17" s="58">
        <f>IFERROR(Table228[[#This Row],[Total Sold Amount]]/Table228[[#This Row],[Total Sold Number]],0)</f>
        <v>147.31020857483526</v>
      </c>
      <c r="R17" s="21">
        <f>Table228[[#This Row],[Total bought Number]]-Table228[[#This Row],[Total Sold Number]]</f>
        <v>75.25160000000001</v>
      </c>
      <c r="S17" s="59">
        <f>(Table228[[#This Row],[Ave exit price]]-Table228[[#This Row],[Ave Entry price]])*Table228[[#This Row],[Total Sold Number]]</f>
        <v>-38.519380395139478</v>
      </c>
      <c r="T17" s="53">
        <f>(Table228[[#This Row],[Current Price]]-Table228[[#This Row],[Ave Entry price]])*Table228[[#This Row],[How many tokens now]]</f>
        <v>1671.0622485951437</v>
      </c>
      <c r="U17" s="60">
        <f>VLOOKUP(Table228[[#This Row],[Asset]],Table26[#All],10,FALSE)</f>
        <v>170</v>
      </c>
    </row>
    <row r="18" spans="1:21">
      <c r="A18" t="s">
        <v>67</v>
      </c>
      <c r="B18" s="68">
        <v>45292</v>
      </c>
      <c r="C18" s="3" t="s">
        <v>180</v>
      </c>
      <c r="D18" t="s">
        <v>215</v>
      </c>
      <c r="E18" t="s">
        <v>189</v>
      </c>
      <c r="F18" s="91">
        <v>0.35</v>
      </c>
      <c r="G18" s="74">
        <v>10000</v>
      </c>
      <c r="H18" s="61">
        <f t="shared" si="4"/>
        <v>10000</v>
      </c>
      <c r="I18" s="67">
        <f t="shared" ref="I18:I26" si="7">IF(G18&lt;0,ABS(G18),0)</f>
        <v>0</v>
      </c>
      <c r="J18" s="53">
        <f t="shared" si="5"/>
        <v>3500</v>
      </c>
      <c r="K18" s="53">
        <f t="shared" si="6"/>
        <v>0</v>
      </c>
      <c r="L18">
        <f>SUMIF(Table228[[#All],[Asset]],Table228[[#This Row],[Asset]],Table228[[#All],[Bought number]])</f>
        <v>34194.467916000001</v>
      </c>
      <c r="M18">
        <f>SUMIF(Table228[[#All],[Asset]],Table228[[#This Row],[Asset]],Table228[[#All],[Sold Number]])</f>
        <v>34195.061103</v>
      </c>
      <c r="N18" s="53">
        <f>SUMIF(Table228[[#All],[Asset]],Table228[[#This Row],[Asset]],Table228[[#All],[Bought amount]])</f>
        <v>8337.2121048291392</v>
      </c>
      <c r="O18" s="53">
        <f>SUMIF(Table228[[#All],[Asset]],Table228[[#This Row],[Asset]],Table228[[#All],[Sold amount]])</f>
        <v>4877.1257709650927</v>
      </c>
      <c r="P18" s="58">
        <f>Table228[[#This Row],[Total bought Amount]]/Table228[[#This Row],[Total bought Number]]</f>
        <v>0.24381757088046566</v>
      </c>
      <c r="Q18" s="58">
        <f>IFERROR(Table228[[#This Row],[Total Sold Amount]]/Table228[[#This Row],[Total Sold Number]],0)</f>
        <v>0.14262661371695029</v>
      </c>
      <c r="R18" s="21">
        <f>Table228[[#This Row],[Total bought Number]]-Table228[[#This Row],[Total Sold Number]]</f>
        <v>-0.59318699999857927</v>
      </c>
      <c r="S18" s="59">
        <f>(Table228[[#This Row],[Ave exit price]]-Table228[[#This Row],[Ave Entry price]])*Table228[[#This Row],[Total Sold Number]]</f>
        <v>-3460.2309632774636</v>
      </c>
      <c r="T18" s="53">
        <f>(Table228[[#This Row],[Current Price]]-Table228[[#This Row],[Ave Entry price]])*Table228[[#This Row],[How many tokens now]]</f>
        <v>3.7855753417780115E-2</v>
      </c>
      <c r="U18" s="60">
        <f>VLOOKUP(Table228[[#This Row],[Asset]],Table26[#All],10,FALSE)</f>
        <v>0.18</v>
      </c>
    </row>
    <row r="19" spans="1:21">
      <c r="A19" t="s">
        <v>75</v>
      </c>
      <c r="B19" s="68">
        <v>45292</v>
      </c>
      <c r="C19" s="3" t="s">
        <v>180</v>
      </c>
      <c r="D19" t="s">
        <v>68</v>
      </c>
      <c r="E19" t="s">
        <v>189</v>
      </c>
      <c r="F19" s="91">
        <v>0.69199999999999995</v>
      </c>
      <c r="G19" s="74">
        <v>1000</v>
      </c>
      <c r="H19" s="61">
        <f t="shared" si="4"/>
        <v>1000</v>
      </c>
      <c r="I19" s="67">
        <f t="shared" si="7"/>
        <v>0</v>
      </c>
      <c r="J19" s="53">
        <f t="shared" si="5"/>
        <v>692</v>
      </c>
      <c r="K19" s="53">
        <f t="shared" si="6"/>
        <v>0</v>
      </c>
      <c r="L19">
        <f>SUMIF(Table228[[#All],[Asset]],Table228[[#This Row],[Asset]],Table228[[#All],[Bought number]])</f>
        <v>1000</v>
      </c>
      <c r="M19">
        <f>SUMIF(Table228[[#All],[Asset]],Table228[[#This Row],[Asset]],Table228[[#All],[Sold Number]])</f>
        <v>0</v>
      </c>
      <c r="N19" s="53">
        <f>SUMIF(Table228[[#All],[Asset]],Table228[[#This Row],[Asset]],Table228[[#All],[Bought amount]])</f>
        <v>692</v>
      </c>
      <c r="O19" s="53">
        <f>SUMIF(Table228[[#All],[Asset]],Table228[[#This Row],[Asset]],Table228[[#All],[Sold amount]])</f>
        <v>0</v>
      </c>
      <c r="P19" s="58">
        <f>Table228[[#This Row],[Total bought Amount]]/Table228[[#This Row],[Total bought Number]]</f>
        <v>0.69199999999999995</v>
      </c>
      <c r="Q19" s="58">
        <f>IFERROR(Table228[[#This Row],[Total Sold Amount]]/Table228[[#This Row],[Total Sold Number]],0)</f>
        <v>0</v>
      </c>
      <c r="R19" s="21">
        <f>Table228[[#This Row],[Total bought Number]]-Table228[[#This Row],[Total Sold Number]]</f>
        <v>1000</v>
      </c>
      <c r="S19" s="59">
        <f>(Table228[[#This Row],[Ave exit price]]-Table228[[#This Row],[Ave Entry price]])*Table228[[#This Row],[Total Sold Number]]</f>
        <v>0</v>
      </c>
      <c r="T19" s="53">
        <f>(Table228[[#This Row],[Current Price]]-Table228[[#This Row],[Ave Entry price]])*Table228[[#This Row],[How many tokens now]]</f>
        <v>-2.0000000000000018</v>
      </c>
      <c r="U19" s="60">
        <f>VLOOKUP(Table228[[#This Row],[Asset]],Table26[#All],10,FALSE)</f>
        <v>0.69</v>
      </c>
    </row>
    <row r="20" spans="1:21">
      <c r="A20" t="s">
        <v>35</v>
      </c>
      <c r="B20" s="68">
        <v>45444</v>
      </c>
      <c r="C20" s="82" t="s">
        <v>216</v>
      </c>
      <c r="D20" t="s">
        <v>177</v>
      </c>
      <c r="E20" t="s">
        <v>189</v>
      </c>
      <c r="F20" s="91">
        <v>150</v>
      </c>
      <c r="G20" s="74">
        <v>10.72</v>
      </c>
      <c r="H20" s="61">
        <f t="shared" si="4"/>
        <v>10.72</v>
      </c>
      <c r="I20" s="67">
        <f t="shared" si="7"/>
        <v>0</v>
      </c>
      <c r="J20" s="53">
        <f t="shared" si="5"/>
        <v>1608</v>
      </c>
      <c r="K20" s="53">
        <f t="shared" si="6"/>
        <v>0</v>
      </c>
      <c r="L20">
        <f>SUMIF(Table228[[#All],[Asset]],Table228[[#This Row],[Asset]],Table228[[#All],[Bought number]])</f>
        <v>154.92660000000001</v>
      </c>
      <c r="M20">
        <f>SUMIF(Table228[[#All],[Asset]],Table228[[#This Row],[Asset]],Table228[[#All],[Sold Number]])</f>
        <v>79.674999999999997</v>
      </c>
      <c r="N20" s="53">
        <f>SUMIF(Table228[[#All],[Asset]],Table228[[#This Row],[Asset]],Table228[[#All],[Bought amount]])</f>
        <v>22897.17</v>
      </c>
      <c r="O20" s="53">
        <f>SUMIF(Table228[[#All],[Asset]],Table228[[#This Row],[Asset]],Table228[[#All],[Sold amount]])</f>
        <v>11736.940868199999</v>
      </c>
      <c r="P20" s="58">
        <f>Table228[[#This Row],[Total bought Amount]]/Table228[[#This Row],[Total bought Number]]</f>
        <v>147.79366487097758</v>
      </c>
      <c r="Q20" s="58">
        <f>IFERROR(Table228[[#This Row],[Total Sold Amount]]/Table228[[#This Row],[Total Sold Number]],0)</f>
        <v>147.31020857483526</v>
      </c>
      <c r="R20" s="21">
        <f>Table228[[#This Row],[Total bought Number]]-Table228[[#This Row],[Total Sold Number]]</f>
        <v>75.25160000000001</v>
      </c>
      <c r="S20" s="59">
        <f>(Table228[[#This Row],[Ave exit price]]-Table228[[#This Row],[Ave Entry price]])*Table228[[#This Row],[Total Sold Number]]</f>
        <v>-38.519380395139478</v>
      </c>
      <c r="T20" s="53">
        <f>(Table228[[#This Row],[Current Price]]-Table228[[#This Row],[Ave Entry price]])*Table228[[#This Row],[How many tokens now]]</f>
        <v>1671.0622485951437</v>
      </c>
      <c r="U20" s="60">
        <f>VLOOKUP(Table228[[#This Row],[Asset]],Table26[#All],10,FALSE)</f>
        <v>170</v>
      </c>
    </row>
    <row r="21" spans="1:21">
      <c r="A21" t="s">
        <v>217</v>
      </c>
      <c r="B21" s="68">
        <v>45292</v>
      </c>
      <c r="C21" s="82" t="s">
        <v>175</v>
      </c>
      <c r="D21" t="s">
        <v>177</v>
      </c>
      <c r="E21" t="s">
        <v>189</v>
      </c>
      <c r="F21" s="91">
        <v>520.35</v>
      </c>
      <c r="G21" s="74">
        <v>1</v>
      </c>
      <c r="H21" s="61">
        <f t="shared" si="4"/>
        <v>1</v>
      </c>
      <c r="I21" s="67">
        <f t="shared" si="7"/>
        <v>0</v>
      </c>
      <c r="J21" s="53">
        <f t="shared" si="5"/>
        <v>520.35</v>
      </c>
      <c r="K21" s="53">
        <f t="shared" si="6"/>
        <v>0</v>
      </c>
      <c r="L21">
        <f>SUMIF(Table228[[#All],[Asset]],Table228[[#This Row],[Asset]],Table228[[#All],[Bought number]])</f>
        <v>1</v>
      </c>
      <c r="M21">
        <f>SUMIF(Table228[[#All],[Asset]],Table228[[#This Row],[Asset]],Table228[[#All],[Sold Number]])</f>
        <v>1</v>
      </c>
      <c r="N21" s="53">
        <f>SUMIF(Table228[[#All],[Asset]],Table228[[#This Row],[Asset]],Table228[[#All],[Bought amount]])</f>
        <v>520.35</v>
      </c>
      <c r="O21" s="53">
        <f>SUMIF(Table228[[#All],[Asset]],Table228[[#This Row],[Asset]],Table228[[#All],[Sold amount]])</f>
        <v>924.12</v>
      </c>
      <c r="P21" s="58">
        <f>Table228[[#This Row],[Total bought Amount]]/Table228[[#This Row],[Total bought Number]]</f>
        <v>520.35</v>
      </c>
      <c r="Q21" s="58">
        <f>IFERROR(Table228[[#This Row],[Total Sold Amount]]/Table228[[#This Row],[Total Sold Number]],0)</f>
        <v>924.12</v>
      </c>
      <c r="R21" s="21">
        <f>Table228[[#This Row],[Total bought Number]]-Table228[[#This Row],[Total Sold Number]]</f>
        <v>0</v>
      </c>
      <c r="S21" s="59">
        <f>(Table228[[#This Row],[Ave exit price]]-Table228[[#This Row],[Ave Entry price]])*Table228[[#This Row],[Total Sold Number]]</f>
        <v>403.77</v>
      </c>
      <c r="T21" s="53">
        <f>(Table228[[#This Row],[Current Price]]-Table228[[#This Row],[Ave Entry price]])*Table228[[#This Row],[How many tokens now]]</f>
        <v>0</v>
      </c>
      <c r="U21" s="60">
        <f>VLOOKUP(Table228[[#This Row],[Asset]],Table26[#All],10,FALSE)</f>
        <v>520.35</v>
      </c>
    </row>
    <row r="22" spans="1:21">
      <c r="A22" t="s">
        <v>218</v>
      </c>
      <c r="B22" s="68">
        <v>45292</v>
      </c>
      <c r="C22" s="82" t="s">
        <v>175</v>
      </c>
      <c r="D22" t="s">
        <v>219</v>
      </c>
      <c r="E22" t="s">
        <v>189</v>
      </c>
      <c r="F22" s="91">
        <v>393.32</v>
      </c>
      <c r="G22" s="74">
        <v>1</v>
      </c>
      <c r="H22" s="61">
        <f t="shared" si="4"/>
        <v>1</v>
      </c>
      <c r="I22" s="67">
        <f t="shared" si="7"/>
        <v>0</v>
      </c>
      <c r="J22" s="53">
        <f t="shared" si="5"/>
        <v>393.32</v>
      </c>
      <c r="K22" s="53">
        <f t="shared" si="6"/>
        <v>0</v>
      </c>
      <c r="L22">
        <f>SUMIF(Table228[[#All],[Asset]],Table228[[#This Row],[Asset]],Table228[[#All],[Bought number]])</f>
        <v>1</v>
      </c>
      <c r="M22">
        <f>SUMIF(Table228[[#All],[Asset]],Table228[[#This Row],[Asset]],Table228[[#All],[Sold Number]])</f>
        <v>0</v>
      </c>
      <c r="N22" s="53">
        <f>SUMIF(Table228[[#All],[Asset]],Table228[[#This Row],[Asset]],Table228[[#All],[Bought amount]])</f>
        <v>393.32</v>
      </c>
      <c r="O22" s="53">
        <f>SUMIF(Table228[[#All],[Asset]],Table228[[#This Row],[Asset]],Table228[[#All],[Sold amount]])</f>
        <v>0</v>
      </c>
      <c r="P22" s="58">
        <f>Table228[[#This Row],[Total bought Amount]]/Table228[[#This Row],[Total bought Number]]</f>
        <v>393.32</v>
      </c>
      <c r="Q22" s="58">
        <f>IFERROR(Table228[[#This Row],[Total Sold Amount]]/Table228[[#This Row],[Total Sold Number]],0)</f>
        <v>0</v>
      </c>
      <c r="R22" s="21">
        <f>Table228[[#This Row],[Total bought Number]]-Table228[[#This Row],[Total Sold Number]]</f>
        <v>1</v>
      </c>
      <c r="S22" s="59">
        <f>(Table228[[#This Row],[Ave exit price]]-Table228[[#This Row],[Ave Entry price]])*Table228[[#This Row],[Total Sold Number]]</f>
        <v>0</v>
      </c>
      <c r="T22" s="53">
        <f>(Table228[[#This Row],[Current Price]]-Table228[[#This Row],[Ave Entry price]])*Table228[[#This Row],[How many tokens now]]</f>
        <v>0</v>
      </c>
      <c r="U22" s="60">
        <f>VLOOKUP(Table228[[#This Row],[Asset]],Table26[#All],10,FALSE)</f>
        <v>393.32</v>
      </c>
    </row>
    <row r="23" spans="1:21">
      <c r="A23" t="s">
        <v>36</v>
      </c>
      <c r="B23" s="68">
        <v>45444</v>
      </c>
      <c r="C23" s="3" t="s">
        <v>180</v>
      </c>
      <c r="D23" t="s">
        <v>36</v>
      </c>
      <c r="E23" t="s">
        <v>189</v>
      </c>
      <c r="F23" s="91">
        <v>0.44</v>
      </c>
      <c r="G23" s="74">
        <v>2307</v>
      </c>
      <c r="H23" s="61">
        <f t="shared" si="4"/>
        <v>2307</v>
      </c>
      <c r="I23" s="67">
        <f t="shared" si="7"/>
        <v>0</v>
      </c>
      <c r="J23" s="53">
        <f t="shared" si="5"/>
        <v>1015.08</v>
      </c>
      <c r="K23" s="53">
        <f t="shared" si="6"/>
        <v>0</v>
      </c>
      <c r="L23">
        <f>SUMIF(Table228[[#All],[Asset]],Table228[[#This Row],[Asset]],Table228[[#All],[Bought number]])</f>
        <v>2307</v>
      </c>
      <c r="M23">
        <f>SUMIF(Table228[[#All],[Asset]],Table228[[#This Row],[Asset]],Table228[[#All],[Sold Number]])</f>
        <v>2307</v>
      </c>
      <c r="N23" s="53">
        <f>SUMIF(Table228[[#All],[Asset]],Table228[[#This Row],[Asset]],Table228[[#All],[Bought amount]])</f>
        <v>1015.08</v>
      </c>
      <c r="O23" s="53">
        <f>SUMIF(Table228[[#All],[Asset]],Table228[[#This Row],[Asset]],Table228[[#All],[Sold amount]])</f>
        <v>412.83765</v>
      </c>
      <c r="P23" s="58">
        <f>Table228[[#This Row],[Total bought Amount]]/Table228[[#This Row],[Total bought Number]]</f>
        <v>0.44</v>
      </c>
      <c r="Q23" s="58">
        <f>IFERROR(Table228[[#This Row],[Total Sold Amount]]/Table228[[#This Row],[Total Sold Number]],0)</f>
        <v>0.17895</v>
      </c>
      <c r="R23" s="21">
        <f>Table228[[#This Row],[Total bought Number]]-Table228[[#This Row],[Total Sold Number]]</f>
        <v>0</v>
      </c>
      <c r="S23" s="59">
        <f>(Table228[[#This Row],[Ave exit price]]-Table228[[#This Row],[Ave Entry price]])*Table228[[#This Row],[Total Sold Number]]</f>
        <v>-602.24234999999999</v>
      </c>
      <c r="T23" s="53">
        <f>(Table228[[#This Row],[Current Price]]-Table228[[#This Row],[Ave Entry price]])*Table228[[#This Row],[How many tokens now]]</f>
        <v>0</v>
      </c>
      <c r="U23" s="60">
        <f>VLOOKUP(Table228[[#This Row],[Asset]],Table26[#All],10,FALSE)</f>
        <v>0.44</v>
      </c>
    </row>
    <row r="24" spans="1:21">
      <c r="A24" t="s">
        <v>209</v>
      </c>
      <c r="B24" s="68">
        <v>45444</v>
      </c>
      <c r="C24" s="3" t="s">
        <v>180</v>
      </c>
      <c r="D24" t="s">
        <v>220</v>
      </c>
      <c r="E24" t="s">
        <v>189</v>
      </c>
      <c r="F24" s="91">
        <v>1</v>
      </c>
      <c r="G24" s="74">
        <v>2015</v>
      </c>
      <c r="H24" s="61">
        <f t="shared" si="4"/>
        <v>2015</v>
      </c>
      <c r="I24" s="67">
        <f t="shared" si="7"/>
        <v>0</v>
      </c>
      <c r="J24" s="53">
        <f t="shared" si="5"/>
        <v>2015</v>
      </c>
      <c r="K24" s="53">
        <f t="shared" si="6"/>
        <v>0</v>
      </c>
      <c r="L24">
        <f>SUMIF(Table228[[#All],[Asset]],Table228[[#This Row],[Asset]],Table228[[#All],[Bought number]])</f>
        <v>14504.07</v>
      </c>
      <c r="M24">
        <f>SUMIF(Table228[[#All],[Asset]],Table228[[#This Row],[Asset]],Table228[[#All],[Sold Number]])</f>
        <v>12705.240000000002</v>
      </c>
      <c r="N24" s="53">
        <f>SUMIF(Table228[[#All],[Asset]],Table228[[#This Row],[Asset]],Table228[[#All],[Bought amount]])</f>
        <v>14005.02</v>
      </c>
      <c r="O24" s="53">
        <f>SUMIF(Table228[[#All],[Asset]],Table228[[#This Row],[Asset]],Table228[[#All],[Sold amount]])</f>
        <v>12705.240000000002</v>
      </c>
      <c r="P24" s="58">
        <f>Table228[[#This Row],[Total bought Amount]]/Table228[[#This Row],[Total bought Number]]</f>
        <v>0.96559241647344507</v>
      </c>
      <c r="Q24" s="58">
        <f>IFERROR(Table228[[#This Row],[Total Sold Amount]]/Table228[[#This Row],[Total Sold Number]],0)</f>
        <v>1</v>
      </c>
      <c r="R24" s="21">
        <f>Table228[[#This Row],[Total bought Number]]-Table228[[#This Row],[Total Sold Number]]</f>
        <v>1798.8299999999981</v>
      </c>
      <c r="S24" s="59">
        <f>(Table228[[#This Row],[Ave exit price]]-Table228[[#This Row],[Ave Entry price]])*Table228[[#This Row],[Total Sold Number]]</f>
        <v>437.15660652492681</v>
      </c>
      <c r="T24" s="53">
        <f>(Table228[[#This Row],[Current Price]]-Table228[[#This Row],[Ave Entry price]])*Table228[[#This Row],[How many tokens now]]</f>
        <v>61.893393475072742</v>
      </c>
      <c r="U24" s="60">
        <f>VLOOKUP(Table228[[#This Row],[Asset]],Table26[#All],10,FALSE)</f>
        <v>1</v>
      </c>
    </row>
    <row r="25" spans="1:21">
      <c r="A25" t="s">
        <v>209</v>
      </c>
      <c r="B25" s="68">
        <v>45444</v>
      </c>
      <c r="C25" s="3" t="s">
        <v>180</v>
      </c>
      <c r="D25" t="s">
        <v>220</v>
      </c>
      <c r="E25" t="s">
        <v>189</v>
      </c>
      <c r="F25" s="91">
        <v>1</v>
      </c>
      <c r="G25" s="74">
        <v>560.02</v>
      </c>
      <c r="H25" s="61">
        <f t="shared" si="4"/>
        <v>560.02</v>
      </c>
      <c r="I25" s="67">
        <f t="shared" si="7"/>
        <v>0</v>
      </c>
      <c r="J25" s="53">
        <f t="shared" si="5"/>
        <v>560.02</v>
      </c>
      <c r="K25" s="53">
        <f t="shared" si="6"/>
        <v>0</v>
      </c>
      <c r="L25">
        <f>SUMIF(Table228[[#All],[Asset]],Table228[[#This Row],[Asset]],Table228[[#All],[Bought number]])</f>
        <v>14504.07</v>
      </c>
      <c r="M25">
        <f>SUMIF(Table228[[#All],[Asset]],Table228[[#This Row],[Asset]],Table228[[#All],[Sold Number]])</f>
        <v>12705.240000000002</v>
      </c>
      <c r="N25" s="53">
        <f>SUMIF(Table228[[#All],[Asset]],Table228[[#This Row],[Asset]],Table228[[#All],[Bought amount]])</f>
        <v>14005.02</v>
      </c>
      <c r="O25" s="53">
        <f>SUMIF(Table228[[#All],[Asset]],Table228[[#This Row],[Asset]],Table228[[#All],[Sold amount]])</f>
        <v>12705.240000000002</v>
      </c>
      <c r="P25" s="58">
        <f>Table228[[#This Row],[Total bought Amount]]/Table228[[#This Row],[Total bought Number]]</f>
        <v>0.96559241647344507</v>
      </c>
      <c r="Q25" s="58">
        <f>IFERROR(Table228[[#This Row],[Total Sold Amount]]/Table228[[#This Row],[Total Sold Number]],0)</f>
        <v>1</v>
      </c>
      <c r="R25" s="21">
        <f>Table228[[#This Row],[Total bought Number]]-Table228[[#This Row],[Total Sold Number]]</f>
        <v>1798.8299999999981</v>
      </c>
      <c r="S25" s="59">
        <f>(Table228[[#This Row],[Ave exit price]]-Table228[[#This Row],[Ave Entry price]])*Table228[[#This Row],[Total Sold Number]]</f>
        <v>437.15660652492681</v>
      </c>
      <c r="T25" s="53">
        <f>(Table228[[#This Row],[Current Price]]-Table228[[#This Row],[Ave Entry price]])*Table228[[#This Row],[How many tokens now]]</f>
        <v>61.893393475072742</v>
      </c>
      <c r="U25" s="60">
        <f>VLOOKUP(Table228[[#This Row],[Asset]],Table26[#All],10,FALSE)</f>
        <v>1</v>
      </c>
    </row>
    <row r="26" spans="1:21">
      <c r="A26" t="s">
        <v>221</v>
      </c>
      <c r="B26" s="68">
        <v>45352</v>
      </c>
      <c r="C26" s="82" t="s">
        <v>180</v>
      </c>
      <c r="D26" t="s">
        <v>178</v>
      </c>
      <c r="E26" t="s">
        <v>189</v>
      </c>
      <c r="F26" s="91">
        <v>0.90569999999999995</v>
      </c>
      <c r="G26" s="74">
        <v>3206.59</v>
      </c>
      <c r="H26" s="61">
        <f t="shared" si="4"/>
        <v>3206.59</v>
      </c>
      <c r="I26" s="67">
        <f t="shared" si="7"/>
        <v>0</v>
      </c>
      <c r="J26" s="53">
        <f t="shared" si="5"/>
        <v>2904.2085630000001</v>
      </c>
      <c r="K26" s="53">
        <f t="shared" si="6"/>
        <v>0</v>
      </c>
      <c r="L26">
        <f>SUMIF(Table228[[#All],[Asset]],Table228[[#This Row],[Asset]],Table228[[#All],[Bought number]])</f>
        <v>3846.05</v>
      </c>
      <c r="M26">
        <f>SUMIF(Table228[[#All],[Asset]],Table228[[#This Row],[Asset]],Table228[[#All],[Sold Number]])</f>
        <v>3726.05</v>
      </c>
      <c r="N26" s="53">
        <f>SUMIF(Table228[[#All],[Asset]],Table228[[#This Row],[Asset]],Table228[[#All],[Bought amount]])</f>
        <v>3550.4901629999999</v>
      </c>
      <c r="O26" s="53">
        <f>SUMIF(Table228[[#All],[Asset]],Table228[[#This Row],[Asset]],Table228[[#All],[Sold amount]])</f>
        <v>3828.3503711953003</v>
      </c>
      <c r="P26" s="58">
        <f>Table228[[#This Row],[Total bought Amount]]/Table228[[#This Row],[Total bought Number]]</f>
        <v>0.92315236749392227</v>
      </c>
      <c r="Q26" s="58">
        <f>IFERROR(Table228[[#This Row],[Total Sold Amount]]/Table228[[#This Row],[Total Sold Number]],0)</f>
        <v>1.0274554477785591</v>
      </c>
      <c r="R26" s="21">
        <f>Table228[[#This Row],[Total bought Number]]-Table228[[#This Row],[Total Sold Number]]</f>
        <v>120</v>
      </c>
      <c r="S26" s="59">
        <f>(Table228[[#This Row],[Ave exit price]]-Table228[[#This Row],[Ave Entry price]])*Table228[[#This Row],[Total Sold Number]]</f>
        <v>388.63849229457122</v>
      </c>
      <c r="T26" s="53">
        <f>(Table228[[#This Row],[Current Price]]-Table228[[#This Row],[Ave Entry price]])*Table228[[#This Row],[How many tokens now]]</f>
        <v>-2.7782840992706692</v>
      </c>
      <c r="U26" s="60">
        <f>VLOOKUP(Table228[[#This Row],[Asset]],Table26[#All],10,FALSE)</f>
        <v>0.9</v>
      </c>
    </row>
    <row r="27" spans="1:21">
      <c r="A27" t="s">
        <v>182</v>
      </c>
      <c r="B27" s="68">
        <v>45482</v>
      </c>
      <c r="C27" s="82" t="s">
        <v>180</v>
      </c>
      <c r="D27" t="s">
        <v>174</v>
      </c>
      <c r="E27" t="s">
        <v>189</v>
      </c>
      <c r="F27" s="90">
        <v>6.3000000000000003E-4</v>
      </c>
      <c r="G27" s="73">
        <v>-96087.429250000001</v>
      </c>
      <c r="H27" s="61">
        <f t="shared" ref="H27:H45" si="8">IF(G27&gt;0,G27,0)</f>
        <v>0</v>
      </c>
      <c r="I27" s="67">
        <f t="shared" ref="I27:I45" si="9">IF(G27&lt;0,ABS(G27),0)</f>
        <v>96087.429250000001</v>
      </c>
      <c r="J27" s="15">
        <f t="shared" ref="J27:J45" si="10">H27*F27</f>
        <v>0</v>
      </c>
      <c r="K27" s="15">
        <f t="shared" ref="K27:K45" si="11">I27*F27</f>
        <v>60.535080427500006</v>
      </c>
      <c r="L27">
        <f>SUMIF(Table228[[#All],[Asset]],Table228[[#This Row],[Asset]],Table228[[#All],[Bought number]])</f>
        <v>126087.42</v>
      </c>
      <c r="M27">
        <f>SUMIF(Table228[[#All],[Asset]],Table228[[#This Row],[Asset]],Table228[[#All],[Sold Number]])</f>
        <v>96094.429250000001</v>
      </c>
      <c r="N27" s="15">
        <f>SUMIF(Table228[[#All],[Asset]],Table228[[#This Row],[Asset]],Table228[[#All],[Bought amount]])</f>
        <v>630.43709999999999</v>
      </c>
      <c r="O27" s="15">
        <f>SUMIF(Table228[[#All],[Asset]],Table228[[#This Row],[Asset]],Table228[[#All],[Sold amount]])</f>
        <v>60.605080427500006</v>
      </c>
      <c r="P27" s="75">
        <f>Table228[[#This Row],[Total bought Amount]]/Table228[[#This Row],[Total bought Number]]</f>
        <v>5.0000000000000001E-3</v>
      </c>
      <c r="Q27" s="75">
        <f>IFERROR(Table228[[#This Row],[Total Sold Amount]]/Table228[[#This Row],[Total Sold Number]],0)</f>
        <v>6.3068255777688602E-4</v>
      </c>
      <c r="R27" s="21">
        <f>Table228[[#This Row],[Total bought Number]]-Table228[[#This Row],[Total Sold Number]]</f>
        <v>29992.990749999997</v>
      </c>
      <c r="S27" s="59">
        <f>(Table228[[#This Row],[Ave exit price]]-Table228[[#This Row],[Ave Entry price]])*Table228[[#This Row],[Total Sold Number]]</f>
        <v>-419.86706582250002</v>
      </c>
      <c r="T27" s="15">
        <f>(Table228[[#This Row],[Current Price]]-Table228[[#This Row],[Ave Entry price]])*Table228[[#This Row],[How many tokens now]]</f>
        <v>-120.27189290749997</v>
      </c>
      <c r="U27" s="76">
        <f>VLOOKUP(Table228[[#This Row],[Asset]],Table26[#All],10,FALSE)</f>
        <v>9.8999999999999999E-4</v>
      </c>
    </row>
    <row r="28" spans="1:21">
      <c r="A28" t="s">
        <v>179</v>
      </c>
      <c r="B28" s="68">
        <v>45352</v>
      </c>
      <c r="C28" s="3" t="s">
        <v>180</v>
      </c>
      <c r="D28" t="s">
        <v>174</v>
      </c>
      <c r="E28" t="s">
        <v>189</v>
      </c>
      <c r="F28" s="90">
        <v>1000</v>
      </c>
      <c r="G28" s="73">
        <v>6</v>
      </c>
      <c r="H28" s="61">
        <f t="shared" si="8"/>
        <v>6</v>
      </c>
      <c r="I28" s="67">
        <f t="shared" si="9"/>
        <v>0</v>
      </c>
      <c r="J28" s="15">
        <f t="shared" si="10"/>
        <v>6000</v>
      </c>
      <c r="K28" s="15">
        <f t="shared" si="11"/>
        <v>0</v>
      </c>
      <c r="L28">
        <f>SUMIF(Table228[[#All],[Asset]],Table228[[#This Row],[Asset]],Table228[[#All],[Bought number]])</f>
        <v>9</v>
      </c>
      <c r="M28">
        <f>SUMIF(Table228[[#All],[Asset]],Table228[[#This Row],[Asset]],Table228[[#All],[Sold Number]])</f>
        <v>9</v>
      </c>
      <c r="N28" s="15">
        <f>SUMIF(Table228[[#All],[Asset]],Table228[[#This Row],[Asset]],Table228[[#All],[Bought amount]])</f>
        <v>8351.15085</v>
      </c>
      <c r="O28" s="15">
        <f>SUMIF(Table228[[#All],[Asset]],Table228[[#This Row],[Asset]],Table228[[#All],[Sold amount]])</f>
        <v>4261.5684000000001</v>
      </c>
      <c r="P28" s="75">
        <f>Table228[[#This Row],[Total bought Amount]]/Table228[[#This Row],[Total bought Number]]</f>
        <v>927.90565000000004</v>
      </c>
      <c r="Q28" s="75">
        <f>IFERROR(Table228[[#This Row],[Total Sold Amount]]/Table228[[#This Row],[Total Sold Number]],0)</f>
        <v>473.50760000000002</v>
      </c>
      <c r="R28" s="21">
        <f>Table228[[#This Row],[Total bought Number]]-Table228[[#This Row],[Total Sold Number]]</f>
        <v>0</v>
      </c>
      <c r="S28" s="59">
        <f>(Table228[[#This Row],[Ave exit price]]-Table228[[#This Row],[Ave Entry price]])*Table228[[#This Row],[Total Sold Number]]</f>
        <v>-4089.5824499999999</v>
      </c>
      <c r="T28" s="15">
        <f>(Table228[[#This Row],[Current Price]]-Table228[[#This Row],[Ave Entry price]])*Table228[[#This Row],[How many tokens now]]</f>
        <v>0</v>
      </c>
      <c r="U28" s="76">
        <f>VLOOKUP(Table228[[#This Row],[Asset]],Table26[#All],10,FALSE)</f>
        <v>632</v>
      </c>
    </row>
    <row r="29" spans="1:21">
      <c r="A29" t="s">
        <v>178</v>
      </c>
      <c r="B29" s="68">
        <v>45292</v>
      </c>
      <c r="C29" s="82" t="s">
        <v>180</v>
      </c>
      <c r="D29" t="s">
        <v>174</v>
      </c>
      <c r="E29" t="s">
        <v>189</v>
      </c>
      <c r="F29" s="90">
        <v>1000</v>
      </c>
      <c r="G29" s="73">
        <v>2</v>
      </c>
      <c r="H29" s="61">
        <f t="shared" si="8"/>
        <v>2</v>
      </c>
      <c r="I29" s="67">
        <f t="shared" si="9"/>
        <v>0</v>
      </c>
      <c r="J29" s="15">
        <f t="shared" si="10"/>
        <v>2000</v>
      </c>
      <c r="K29" s="15">
        <f t="shared" si="11"/>
        <v>0</v>
      </c>
      <c r="L29">
        <f>SUMIF(Table228[[#All],[Asset]],Table228[[#This Row],[Asset]],Table228[[#All],[Bought number]])</f>
        <v>6</v>
      </c>
      <c r="M29">
        <f>SUMIF(Table228[[#All],[Asset]],Table228[[#This Row],[Asset]],Table228[[#All],[Sold Number]])</f>
        <v>6</v>
      </c>
      <c r="N29" s="15">
        <f>SUMIF(Table228[[#All],[Asset]],Table228[[#This Row],[Asset]],Table228[[#All],[Bought amount]])</f>
        <v>5550</v>
      </c>
      <c r="O29" s="15">
        <f>SUMIF(Table228[[#All],[Asset]],Table228[[#This Row],[Asset]],Table228[[#All],[Sold amount]])</f>
        <v>609</v>
      </c>
      <c r="P29" s="75">
        <f>Table228[[#This Row],[Total bought Amount]]/Table228[[#This Row],[Total bought Number]]</f>
        <v>925</v>
      </c>
      <c r="Q29" s="75">
        <f>IFERROR(Table228[[#This Row],[Total Sold Amount]]/Table228[[#This Row],[Total Sold Number]],0)</f>
        <v>101.5</v>
      </c>
      <c r="R29" s="21">
        <f>Table228[[#This Row],[Total bought Number]]-Table228[[#This Row],[Total Sold Number]]</f>
        <v>0</v>
      </c>
      <c r="S29" s="59">
        <f>(Table228[[#This Row],[Ave exit price]]-Table228[[#This Row],[Ave Entry price]])*Table228[[#This Row],[Total Sold Number]]</f>
        <v>-4941</v>
      </c>
      <c r="T29" s="15">
        <f>(Table228[[#This Row],[Current Price]]-Table228[[#This Row],[Ave Entry price]])*Table228[[#This Row],[How many tokens now]]</f>
        <v>0</v>
      </c>
      <c r="U29" s="76">
        <f>VLOOKUP(Table228[[#This Row],[Asset]],Table26[#All],10,FALSE)</f>
        <v>710</v>
      </c>
    </row>
    <row r="30" spans="1:21">
      <c r="A30" t="s">
        <v>234</v>
      </c>
      <c r="B30" s="68">
        <v>45292</v>
      </c>
      <c r="C30" s="82" t="s">
        <v>180</v>
      </c>
      <c r="D30" t="s">
        <v>234</v>
      </c>
      <c r="E30" t="s">
        <v>189</v>
      </c>
      <c r="F30" s="90">
        <v>3000</v>
      </c>
      <c r="G30" s="73">
        <v>1</v>
      </c>
      <c r="H30" s="61">
        <f t="shared" si="8"/>
        <v>1</v>
      </c>
      <c r="I30" s="67">
        <f t="shared" si="9"/>
        <v>0</v>
      </c>
      <c r="J30" s="15">
        <f t="shared" si="10"/>
        <v>3000</v>
      </c>
      <c r="K30" s="15">
        <f t="shared" si="11"/>
        <v>0</v>
      </c>
      <c r="L30">
        <f>SUMIF(Table228[[#All],[Asset]],Table228[[#This Row],[Asset]],Table228[[#All],[Bought number]])</f>
        <v>1</v>
      </c>
      <c r="M30">
        <f>SUMIF(Table228[[#All],[Asset]],Table228[[#This Row],[Asset]],Table228[[#All],[Sold Number]])</f>
        <v>0</v>
      </c>
      <c r="N30" s="15">
        <f>SUMIF(Table228[[#All],[Asset]],Table228[[#This Row],[Asset]],Table228[[#All],[Bought amount]])</f>
        <v>3000</v>
      </c>
      <c r="O30" s="15">
        <f>SUMIF(Table228[[#All],[Asset]],Table228[[#This Row],[Asset]],Table228[[#All],[Sold amount]])</f>
        <v>0</v>
      </c>
      <c r="P30" s="75">
        <f>Table228[[#This Row],[Total bought Amount]]/Table228[[#This Row],[Total bought Number]]</f>
        <v>3000</v>
      </c>
      <c r="Q30" s="75">
        <f>IFERROR(Table228[[#This Row],[Total Sold Amount]]/Table228[[#This Row],[Total Sold Number]],0)</f>
        <v>0</v>
      </c>
      <c r="R30" s="21">
        <f>Table228[[#This Row],[Total bought Number]]-Table228[[#This Row],[Total Sold Number]]</f>
        <v>1</v>
      </c>
      <c r="S30" s="59">
        <f>(Table228[[#This Row],[Ave exit price]]-Table228[[#This Row],[Ave Entry price]])*Table228[[#This Row],[Total Sold Number]]</f>
        <v>0</v>
      </c>
      <c r="T30" s="15">
        <f>(Table228[[#This Row],[Current Price]]-Table228[[#This Row],[Ave Entry price]])*Table228[[#This Row],[How many tokens now]]</f>
        <v>-2810</v>
      </c>
      <c r="U30" s="76">
        <f>VLOOKUP(Table228[[#This Row],[Asset]],Table26[#All],10,FALSE)</f>
        <v>190</v>
      </c>
    </row>
    <row r="31" spans="1:21">
      <c r="A31" t="s">
        <v>236</v>
      </c>
      <c r="B31" s="68">
        <v>45292</v>
      </c>
      <c r="C31" s="3" t="s">
        <v>176</v>
      </c>
      <c r="D31" t="s">
        <v>240</v>
      </c>
      <c r="E31" t="s">
        <v>189</v>
      </c>
      <c r="F31" s="90">
        <v>2000</v>
      </c>
      <c r="G31" s="73">
        <v>1</v>
      </c>
      <c r="H31" s="61">
        <f t="shared" si="8"/>
        <v>1</v>
      </c>
      <c r="I31" s="67">
        <f t="shared" si="9"/>
        <v>0</v>
      </c>
      <c r="J31" s="15">
        <f t="shared" si="10"/>
        <v>2000</v>
      </c>
      <c r="K31" s="15">
        <f t="shared" si="11"/>
        <v>0</v>
      </c>
      <c r="L31">
        <f>SUMIF(Table228[[#All],[Asset]],Table228[[#This Row],[Asset]],Table228[[#All],[Bought number]])</f>
        <v>1</v>
      </c>
      <c r="M31">
        <f>SUMIF(Table228[[#All],[Asset]],Table228[[#This Row],[Asset]],Table228[[#All],[Sold Number]])</f>
        <v>0</v>
      </c>
      <c r="N31" s="15">
        <f>SUMIF(Table228[[#All],[Asset]],Table228[[#This Row],[Asset]],Table228[[#All],[Bought amount]])</f>
        <v>2000</v>
      </c>
      <c r="O31" s="15">
        <f>SUMIF(Table228[[#All],[Asset]],Table228[[#This Row],[Asset]],Table228[[#All],[Sold amount]])</f>
        <v>0</v>
      </c>
      <c r="P31" s="75">
        <f>Table228[[#This Row],[Total bought Amount]]/Table228[[#This Row],[Total bought Number]]</f>
        <v>2000</v>
      </c>
      <c r="Q31" s="75">
        <f>IFERROR(Table228[[#This Row],[Total Sold Amount]]/Table228[[#This Row],[Total Sold Number]],0)</f>
        <v>0</v>
      </c>
      <c r="R31" s="21">
        <f>Table228[[#This Row],[Total bought Number]]-Table228[[#This Row],[Total Sold Number]]</f>
        <v>1</v>
      </c>
      <c r="S31" s="59">
        <f>(Table228[[#This Row],[Ave exit price]]-Table228[[#This Row],[Ave Entry price]])*Table228[[#This Row],[Total Sold Number]]</f>
        <v>0</v>
      </c>
      <c r="T31" s="15">
        <f>(Table228[[#This Row],[Current Price]]-Table228[[#This Row],[Ave Entry price]])*Table228[[#This Row],[How many tokens now]]</f>
        <v>-1999</v>
      </c>
      <c r="U31" s="76">
        <f>VLOOKUP(Table228[[#This Row],[Asset]],Table26[#All],10,FALSE)</f>
        <v>1</v>
      </c>
    </row>
    <row r="32" spans="1:21">
      <c r="A32" t="s">
        <v>222</v>
      </c>
      <c r="B32" s="68">
        <v>45292</v>
      </c>
      <c r="C32" s="3" t="s">
        <v>176</v>
      </c>
      <c r="D32" t="s">
        <v>240</v>
      </c>
      <c r="E32" t="s">
        <v>189</v>
      </c>
      <c r="F32" s="90">
        <v>200</v>
      </c>
      <c r="G32" s="73">
        <v>1</v>
      </c>
      <c r="H32" s="61">
        <f t="shared" si="8"/>
        <v>1</v>
      </c>
      <c r="I32" s="67">
        <f t="shared" si="9"/>
        <v>0</v>
      </c>
      <c r="J32" s="15">
        <f t="shared" si="10"/>
        <v>200</v>
      </c>
      <c r="K32" s="15">
        <f t="shared" si="11"/>
        <v>0</v>
      </c>
      <c r="L32">
        <f>SUMIF(Table228[[#All],[Asset]],Table228[[#This Row],[Asset]],Table228[[#All],[Bought number]])</f>
        <v>54</v>
      </c>
      <c r="M32">
        <f>SUMIF(Table228[[#All],[Asset]],Table228[[#This Row],[Asset]],Table228[[#All],[Sold Number]])</f>
        <v>53</v>
      </c>
      <c r="N32" s="15">
        <f>SUMIF(Table228[[#All],[Asset]],Table228[[#This Row],[Asset]],Table228[[#All],[Bought amount]])</f>
        <v>9740</v>
      </c>
      <c r="O32" s="15">
        <f>SUMIF(Table228[[#All],[Asset]],Table228[[#This Row],[Asset]],Table228[[#All],[Sold amount]])</f>
        <v>3141</v>
      </c>
      <c r="P32" s="75">
        <f>Table228[[#This Row],[Total bought Amount]]/Table228[[#This Row],[Total bought Number]]</f>
        <v>180.37037037037038</v>
      </c>
      <c r="Q32" s="75">
        <f>IFERROR(Table228[[#This Row],[Total Sold Amount]]/Table228[[#This Row],[Total Sold Number]],0)</f>
        <v>59.264150943396224</v>
      </c>
      <c r="R32" s="21">
        <f>Table228[[#This Row],[Total bought Number]]-Table228[[#This Row],[Total Sold Number]]</f>
        <v>1</v>
      </c>
      <c r="S32" s="59">
        <f>(Table228[[#This Row],[Ave exit price]]-Table228[[#This Row],[Ave Entry price]])*Table228[[#This Row],[Total Sold Number]]</f>
        <v>-6418.6296296296296</v>
      </c>
      <c r="T32" s="15">
        <f>(Table228[[#This Row],[Current Price]]-Table228[[#This Row],[Ave Entry price]])*Table228[[#This Row],[How many tokens now]]</f>
        <v>-69.370370370370381</v>
      </c>
      <c r="U32" s="76">
        <f>VLOOKUP(Table228[[#This Row],[Asset]],Table26[#All],10,FALSE)</f>
        <v>111</v>
      </c>
    </row>
    <row r="33" spans="1:21">
      <c r="A33" t="s">
        <v>239</v>
      </c>
      <c r="B33" s="68">
        <v>45292</v>
      </c>
      <c r="C33" s="3" t="s">
        <v>176</v>
      </c>
      <c r="D33" t="s">
        <v>240</v>
      </c>
      <c r="E33" t="s">
        <v>189</v>
      </c>
      <c r="F33" s="90">
        <v>30</v>
      </c>
      <c r="G33" s="73">
        <v>18</v>
      </c>
      <c r="H33" s="61">
        <f t="shared" si="8"/>
        <v>18</v>
      </c>
      <c r="I33" s="67">
        <f t="shared" si="9"/>
        <v>0</v>
      </c>
      <c r="J33" s="15">
        <f t="shared" si="10"/>
        <v>540</v>
      </c>
      <c r="K33" s="15">
        <f t="shared" si="11"/>
        <v>0</v>
      </c>
      <c r="L33">
        <f>SUMIF(Table228[[#All],[Asset]],Table228[[#This Row],[Asset]],Table228[[#All],[Bought number]])</f>
        <v>88</v>
      </c>
      <c r="M33">
        <f>SUMIF(Table228[[#All],[Asset]],Table228[[#This Row],[Asset]],Table228[[#All],[Sold Number]])</f>
        <v>88</v>
      </c>
      <c r="N33" s="15">
        <f>SUMIF(Table228[[#All],[Asset]],Table228[[#This Row],[Asset]],Table228[[#All],[Bought amount]])</f>
        <v>2640</v>
      </c>
      <c r="O33" s="15">
        <f>SUMIF(Table228[[#All],[Asset]],Table228[[#This Row],[Asset]],Table228[[#All],[Sold amount]])</f>
        <v>88</v>
      </c>
      <c r="P33" s="75">
        <f>Table228[[#This Row],[Total bought Amount]]/Table228[[#This Row],[Total bought Number]]</f>
        <v>30</v>
      </c>
      <c r="Q33" s="75">
        <f>IFERROR(Table228[[#This Row],[Total Sold Amount]]/Table228[[#This Row],[Total Sold Number]],0)</f>
        <v>1</v>
      </c>
      <c r="R33" s="21">
        <f>Table228[[#This Row],[Total bought Number]]-Table228[[#This Row],[Total Sold Number]]</f>
        <v>0</v>
      </c>
      <c r="S33" s="59">
        <f>(Table228[[#This Row],[Ave exit price]]-Table228[[#This Row],[Ave Entry price]])*Table228[[#This Row],[Total Sold Number]]</f>
        <v>-2552</v>
      </c>
      <c r="T33" s="15">
        <f>(Table228[[#This Row],[Current Price]]-Table228[[#This Row],[Ave Entry price]])*Table228[[#This Row],[How many tokens now]]</f>
        <v>0</v>
      </c>
      <c r="U33" s="76">
        <f>VLOOKUP(Table228[[#This Row],[Asset]],Table26[#All],10,FALSE)</f>
        <v>2.84</v>
      </c>
    </row>
    <row r="34" spans="1:21">
      <c r="A34" t="s">
        <v>224</v>
      </c>
      <c r="B34" s="68">
        <v>45334</v>
      </c>
      <c r="C34" s="3" t="s">
        <v>176</v>
      </c>
      <c r="D34" t="s">
        <v>68</v>
      </c>
      <c r="E34" t="s">
        <v>241</v>
      </c>
      <c r="F34" s="90">
        <v>2</v>
      </c>
      <c r="G34" s="73">
        <v>10.68</v>
      </c>
      <c r="H34" s="61">
        <f t="shared" si="8"/>
        <v>10.68</v>
      </c>
      <c r="I34" s="67">
        <f t="shared" si="9"/>
        <v>0</v>
      </c>
      <c r="J34" s="15">
        <f t="shared" si="10"/>
        <v>21.36</v>
      </c>
      <c r="K34" s="15">
        <f t="shared" si="11"/>
        <v>0</v>
      </c>
      <c r="L34">
        <f>SUMIF(Table228[[#All],[Asset]],Table228[[#This Row],[Asset]],Table228[[#All],[Bought number]])</f>
        <v>2402.9751590000001</v>
      </c>
      <c r="M34">
        <f>SUMIF(Table228[[#All],[Asset]],Table228[[#This Row],[Asset]],Table228[[#All],[Sold Number]])</f>
        <v>2835</v>
      </c>
      <c r="N34" s="15">
        <f>SUMIF(Table228[[#All],[Asset]],Table228[[#This Row],[Asset]],Table228[[#All],[Bought amount]])</f>
        <v>5880.0437616144482</v>
      </c>
      <c r="O34" s="15">
        <f>SUMIF(Table228[[#All],[Asset]],Table228[[#This Row],[Asset]],Table228[[#All],[Sold amount]])</f>
        <v>11475.592000000001</v>
      </c>
      <c r="P34" s="75">
        <f>Table228[[#This Row],[Total bought Amount]]/Table228[[#This Row],[Total bought Number]]</f>
        <v>2.4469848302807393</v>
      </c>
      <c r="Q34" s="75">
        <f>IFERROR(Table228[[#This Row],[Total Sold Amount]]/Table228[[#This Row],[Total Sold Number]],0)</f>
        <v>4.0478278659611995</v>
      </c>
      <c r="R34" s="21">
        <f>Table228[[#This Row],[Total bought Number]]-Table228[[#This Row],[Total Sold Number]]</f>
        <v>-432.02484099999992</v>
      </c>
      <c r="S34" s="59">
        <f>(Table228[[#This Row],[Ave exit price]]-Table228[[#This Row],[Ave Entry price]])*Table228[[#This Row],[Total Sold Number]]</f>
        <v>4538.3900061541044</v>
      </c>
      <c r="T34" s="15">
        <f>(Table228[[#This Row],[Current Price]]-Table228[[#This Row],[Ave Entry price]])*Table228[[#This Row],[How many tokens now]]</f>
        <v>-403.08573034855146</v>
      </c>
      <c r="U34" s="76">
        <f>VLOOKUP(Table228[[#This Row],[Asset]],Table26[#All],10,FALSE)</f>
        <v>3.38</v>
      </c>
    </row>
    <row r="35" spans="1:21">
      <c r="A35" t="s">
        <v>242</v>
      </c>
      <c r="B35" s="68">
        <v>45384</v>
      </c>
      <c r="C35" s="3" t="s">
        <v>176</v>
      </c>
      <c r="D35" t="s">
        <v>174</v>
      </c>
      <c r="E35" t="s">
        <v>243</v>
      </c>
      <c r="F35" s="90">
        <v>0.06</v>
      </c>
      <c r="G35" s="73">
        <v>5449</v>
      </c>
      <c r="H35" s="61">
        <f t="shared" si="8"/>
        <v>5449</v>
      </c>
      <c r="I35" s="67">
        <f t="shared" si="9"/>
        <v>0</v>
      </c>
      <c r="J35" s="15">
        <f t="shared" si="10"/>
        <v>326.94</v>
      </c>
      <c r="K35" s="15">
        <f t="shared" si="11"/>
        <v>0</v>
      </c>
      <c r="L35">
        <f>SUMIF(Table228[[#All],[Asset]],Table228[[#This Row],[Asset]],Table228[[#All],[Bought number]])</f>
        <v>12696.341211999999</v>
      </c>
      <c r="M35">
        <f>SUMIF(Table228[[#All],[Asset]],Table228[[#This Row],[Asset]],Table228[[#All],[Sold Number]])</f>
        <v>7247.3421200000003</v>
      </c>
      <c r="N35" s="15">
        <f>SUMIF(Table228[[#All],[Asset]],Table228[[#This Row],[Asset]],Table228[[#All],[Bought amount]])</f>
        <v>761.78047272000003</v>
      </c>
      <c r="O35" s="15">
        <f>SUMIF(Table228[[#All],[Asset]],Table228[[#This Row],[Asset]],Table228[[#All],[Sold amount]])</f>
        <v>285.69022637040001</v>
      </c>
      <c r="P35" s="75">
        <f>Table228[[#This Row],[Total bought Amount]]/Table228[[#This Row],[Total bought Number]]</f>
        <v>6.0000000000000005E-2</v>
      </c>
      <c r="Q35" s="75">
        <f>IFERROR(Table228[[#This Row],[Total Sold Amount]]/Table228[[#This Row],[Total Sold Number]],0)</f>
        <v>3.9420000000000004E-2</v>
      </c>
      <c r="R35" s="21">
        <f>Table228[[#This Row],[Total bought Number]]-Table228[[#This Row],[Total Sold Number]]</f>
        <v>5448.9990919999991</v>
      </c>
      <c r="S35" s="59">
        <f>(Table228[[#This Row],[Ave exit price]]-Table228[[#This Row],[Ave Entry price]])*Table228[[#This Row],[Total Sold Number]]</f>
        <v>-149.15030082960001</v>
      </c>
      <c r="T35" s="15">
        <f>(Table228[[#This Row],[Current Price]]-Table228[[#This Row],[Ave Entry price]])*Table228[[#This Row],[How many tokens now]]</f>
        <v>-185.70188905536</v>
      </c>
      <c r="U35" s="76">
        <f>VLOOKUP(Table228[[#This Row],[Asset]],Table26[#All],10,FALSE)</f>
        <v>2.5919999999999999E-2</v>
      </c>
    </row>
    <row r="36" spans="1:21">
      <c r="A36" t="s">
        <v>224</v>
      </c>
      <c r="B36" s="68">
        <v>45483</v>
      </c>
      <c r="C36" s="3" t="s">
        <v>176</v>
      </c>
      <c r="D36" t="s">
        <v>174</v>
      </c>
      <c r="E36" t="s">
        <v>243</v>
      </c>
      <c r="F36" s="90">
        <v>2.9</v>
      </c>
      <c r="G36" s="73">
        <v>376.91845000000001</v>
      </c>
      <c r="H36" s="61">
        <f t="shared" si="8"/>
        <v>376.91845000000001</v>
      </c>
      <c r="I36" s="67">
        <f t="shared" si="9"/>
        <v>0</v>
      </c>
      <c r="J36" s="15">
        <f t="shared" si="10"/>
        <v>1093.0635050000001</v>
      </c>
      <c r="K36" s="15">
        <f t="shared" si="11"/>
        <v>0</v>
      </c>
      <c r="L36">
        <f>SUMIF(Table228[[#All],[Asset]],Table228[[#This Row],[Asset]],Table228[[#All],[Bought number]])</f>
        <v>2402.9751590000001</v>
      </c>
      <c r="M36">
        <f>SUMIF(Table228[[#All],[Asset]],Table228[[#This Row],[Asset]],Table228[[#All],[Sold Number]])</f>
        <v>2835</v>
      </c>
      <c r="N36" s="15">
        <f>SUMIF(Table228[[#All],[Asset]],Table228[[#This Row],[Asset]],Table228[[#All],[Bought amount]])</f>
        <v>5880.0437616144482</v>
      </c>
      <c r="O36" s="15">
        <f>SUMIF(Table228[[#All],[Asset]],Table228[[#This Row],[Asset]],Table228[[#All],[Sold amount]])</f>
        <v>11475.592000000001</v>
      </c>
      <c r="P36" s="75">
        <f>Table228[[#This Row],[Total bought Amount]]/Table228[[#This Row],[Total bought Number]]</f>
        <v>2.4469848302807393</v>
      </c>
      <c r="Q36" s="75">
        <f>IFERROR(Table228[[#This Row],[Total Sold Amount]]/Table228[[#This Row],[Total Sold Number]],0)</f>
        <v>4.0478278659611995</v>
      </c>
      <c r="R36" s="21">
        <f>Table228[[#This Row],[Total bought Number]]-Table228[[#This Row],[Total Sold Number]]</f>
        <v>-432.02484099999992</v>
      </c>
      <c r="S36" s="59">
        <f>(Table228[[#This Row],[Ave exit price]]-Table228[[#This Row],[Ave Entry price]])*Table228[[#This Row],[Total Sold Number]]</f>
        <v>4538.3900061541044</v>
      </c>
      <c r="T36" s="15">
        <f>(Table228[[#This Row],[Current Price]]-Table228[[#This Row],[Ave Entry price]])*Table228[[#This Row],[How many tokens now]]</f>
        <v>-403.08573034855146</v>
      </c>
      <c r="U36" s="76">
        <f>VLOOKUP(Table228[[#This Row],[Asset]],Table26[#All],10,FALSE)</f>
        <v>3.38</v>
      </c>
    </row>
    <row r="37" spans="1:21">
      <c r="A37" t="s">
        <v>35</v>
      </c>
      <c r="B37" s="68">
        <v>45483</v>
      </c>
      <c r="C37" s="3" t="s">
        <v>176</v>
      </c>
      <c r="D37" t="s">
        <v>174</v>
      </c>
      <c r="E37" t="s">
        <v>243</v>
      </c>
      <c r="F37" s="90">
        <v>150</v>
      </c>
      <c r="G37" s="73">
        <v>1.7689999999999999</v>
      </c>
      <c r="H37" s="61">
        <f t="shared" si="8"/>
        <v>1.7689999999999999</v>
      </c>
      <c r="I37" s="67">
        <f t="shared" si="9"/>
        <v>0</v>
      </c>
      <c r="J37" s="15">
        <f t="shared" si="10"/>
        <v>265.34999999999997</v>
      </c>
      <c r="K37" s="15">
        <f t="shared" si="11"/>
        <v>0</v>
      </c>
      <c r="L37">
        <f>SUMIF(Table228[[#All],[Asset]],Table228[[#This Row],[Asset]],Table228[[#All],[Bought number]])</f>
        <v>154.92660000000001</v>
      </c>
      <c r="M37">
        <f>SUMIF(Table228[[#All],[Asset]],Table228[[#This Row],[Asset]],Table228[[#All],[Sold Number]])</f>
        <v>79.674999999999997</v>
      </c>
      <c r="N37" s="15">
        <f>SUMIF(Table228[[#All],[Asset]],Table228[[#This Row],[Asset]],Table228[[#All],[Bought amount]])</f>
        <v>22897.17</v>
      </c>
      <c r="O37" s="15">
        <f>SUMIF(Table228[[#All],[Asset]],Table228[[#This Row],[Asset]],Table228[[#All],[Sold amount]])</f>
        <v>11736.940868199999</v>
      </c>
      <c r="P37" s="75">
        <f>Table228[[#This Row],[Total bought Amount]]/Table228[[#This Row],[Total bought Number]]</f>
        <v>147.79366487097758</v>
      </c>
      <c r="Q37" s="75">
        <f>IFERROR(Table228[[#This Row],[Total Sold Amount]]/Table228[[#This Row],[Total Sold Number]],0)</f>
        <v>147.31020857483526</v>
      </c>
      <c r="R37" s="21">
        <f>Table228[[#This Row],[Total bought Number]]-Table228[[#This Row],[Total Sold Number]]</f>
        <v>75.25160000000001</v>
      </c>
      <c r="S37" s="59">
        <f>(Table228[[#This Row],[Ave exit price]]-Table228[[#This Row],[Ave Entry price]])*Table228[[#This Row],[Total Sold Number]]</f>
        <v>-38.519380395139478</v>
      </c>
      <c r="T37" s="15">
        <f>(Table228[[#This Row],[Current Price]]-Table228[[#This Row],[Ave Entry price]])*Table228[[#This Row],[How many tokens now]]</f>
        <v>1671.0622485951437</v>
      </c>
      <c r="U37" s="76">
        <f>VLOOKUP(Table228[[#This Row],[Asset]],Table26[#All],10,FALSE)</f>
        <v>170</v>
      </c>
    </row>
    <row r="38" spans="1:21">
      <c r="A38" t="s">
        <v>244</v>
      </c>
      <c r="B38" s="68">
        <v>45387</v>
      </c>
      <c r="C38" s="3" t="s">
        <v>176</v>
      </c>
      <c r="D38" t="s">
        <v>174</v>
      </c>
      <c r="E38" t="s">
        <v>243</v>
      </c>
      <c r="F38" s="90">
        <v>2000</v>
      </c>
      <c r="G38" s="73">
        <v>4.8189999999999997E-2</v>
      </c>
      <c r="H38" s="61">
        <f t="shared" si="8"/>
        <v>4.8189999999999997E-2</v>
      </c>
      <c r="I38" s="67">
        <f t="shared" si="9"/>
        <v>0</v>
      </c>
      <c r="J38" s="15">
        <f t="shared" si="10"/>
        <v>96.38</v>
      </c>
      <c r="K38" s="15">
        <f t="shared" si="11"/>
        <v>0</v>
      </c>
      <c r="L38">
        <f>SUMIF(Table228[[#All],[Asset]],Table228[[#This Row],[Asset]],Table228[[#All],[Bought number]])</f>
        <v>4.8189999999999997E-2</v>
      </c>
      <c r="M38">
        <f>SUMIF(Table228[[#All],[Asset]],Table228[[#This Row],[Asset]],Table228[[#All],[Sold Number]])</f>
        <v>0</v>
      </c>
      <c r="N38" s="15">
        <f>SUMIF(Table228[[#All],[Asset]],Table228[[#This Row],[Asset]],Table228[[#All],[Bought amount]])</f>
        <v>96.38</v>
      </c>
      <c r="O38" s="15">
        <f>SUMIF(Table228[[#All],[Asset]],Table228[[#This Row],[Asset]],Table228[[#All],[Sold amount]])</f>
        <v>0</v>
      </c>
      <c r="P38" s="75">
        <f>Table228[[#This Row],[Total bought Amount]]/Table228[[#This Row],[Total bought Number]]</f>
        <v>2000</v>
      </c>
      <c r="Q38" s="75">
        <f>IFERROR(Table228[[#This Row],[Total Sold Amount]]/Table228[[#This Row],[Total Sold Number]],0)</f>
        <v>0</v>
      </c>
      <c r="R38" s="21">
        <f>Table228[[#This Row],[Total bought Number]]-Table228[[#This Row],[Total Sold Number]]</f>
        <v>4.8189999999999997E-2</v>
      </c>
      <c r="S38" s="59">
        <f>(Table228[[#This Row],[Ave exit price]]-Table228[[#This Row],[Ave Entry price]])*Table228[[#This Row],[Total Sold Number]]</f>
        <v>0</v>
      </c>
      <c r="T38" s="15">
        <f>(Table228[[#This Row],[Current Price]]-Table228[[#This Row],[Ave Entry price]])*Table228[[#This Row],[How many tokens now]]</f>
        <v>-76.573909999999998</v>
      </c>
      <c r="U38" s="76">
        <f>VLOOKUP(Table228[[#This Row],[Asset]],Table26[#All],10,FALSE)</f>
        <v>411</v>
      </c>
    </row>
    <row r="39" spans="1:21">
      <c r="A39" t="s">
        <v>14</v>
      </c>
      <c r="B39" s="68">
        <v>45415</v>
      </c>
      <c r="C39" s="3" t="s">
        <v>180</v>
      </c>
      <c r="D39" t="s">
        <v>174</v>
      </c>
      <c r="E39" t="s">
        <v>241</v>
      </c>
      <c r="F39" s="90">
        <v>4.4999999999999999E-4</v>
      </c>
      <c r="G39" s="73">
        <v>2056673.75</v>
      </c>
      <c r="H39" s="61">
        <f t="shared" si="8"/>
        <v>2056673.75</v>
      </c>
      <c r="I39" s="67">
        <f t="shared" si="9"/>
        <v>0</v>
      </c>
      <c r="J39" s="15">
        <f t="shared" si="10"/>
        <v>925.50318749999997</v>
      </c>
      <c r="K39" s="15">
        <f t="shared" si="11"/>
        <v>0</v>
      </c>
      <c r="L39">
        <f>SUMIF(Table228[[#All],[Asset]],Table228[[#This Row],[Asset]],Table228[[#All],[Bought number]])</f>
        <v>2056673.75</v>
      </c>
      <c r="M39">
        <f>SUMIF(Table228[[#All],[Asset]],Table228[[#This Row],[Asset]],Table228[[#All],[Sold Number]])</f>
        <v>978336</v>
      </c>
      <c r="N39" s="15">
        <f>SUMIF(Table228[[#All],[Asset]],Table228[[#This Row],[Asset]],Table228[[#All],[Bought amount]])</f>
        <v>925.50318749999997</v>
      </c>
      <c r="O39" s="15">
        <f>SUMIF(Table228[[#All],[Asset]],Table228[[#This Row],[Asset]],Table228[[#All],[Sold amount]])</f>
        <v>716.14195200000006</v>
      </c>
      <c r="P39" s="75">
        <f>Table228[[#This Row],[Total bought Amount]]/Table228[[#This Row],[Total bought Number]]</f>
        <v>4.4999999999999999E-4</v>
      </c>
      <c r="Q39" s="75">
        <f>IFERROR(Table228[[#This Row],[Total Sold Amount]]/Table228[[#This Row],[Total Sold Number]],0)</f>
        <v>7.3200000000000001E-4</v>
      </c>
      <c r="R39" s="21">
        <f>Table228[[#This Row],[Total bought Number]]-Table228[[#This Row],[Total Sold Number]]</f>
        <v>1078337.75</v>
      </c>
      <c r="S39" s="59">
        <f>(Table228[[#This Row],[Ave exit price]]-Table228[[#This Row],[Ave Entry price]])*Table228[[#This Row],[Total Sold Number]]</f>
        <v>275.89075200000002</v>
      </c>
      <c r="T39" s="15">
        <f>(Table228[[#This Row],[Current Price]]-Table228[[#This Row],[Ave Entry price]])*Table228[[#This Row],[How many tokens now]]</f>
        <v>337.84321707499998</v>
      </c>
      <c r="U39" s="76">
        <f>VLOOKUP(Table228[[#This Row],[Asset]],Table26[#All],10,FALSE)</f>
        <v>7.6329999999999996E-4</v>
      </c>
    </row>
    <row r="40" spans="1:21">
      <c r="A40" t="s">
        <v>226</v>
      </c>
      <c r="B40" s="68">
        <v>45468</v>
      </c>
      <c r="C40" s="3" t="s">
        <v>176</v>
      </c>
      <c r="D40" t="s">
        <v>262</v>
      </c>
      <c r="E40" t="s">
        <v>263</v>
      </c>
      <c r="F40" s="90">
        <v>7.0000000000000007E-2</v>
      </c>
      <c r="G40" s="73">
        <v>22964.51</v>
      </c>
      <c r="H40" s="61">
        <f t="shared" si="8"/>
        <v>22964.51</v>
      </c>
      <c r="I40" s="67">
        <f t="shared" si="9"/>
        <v>0</v>
      </c>
      <c r="J40" s="15">
        <f t="shared" si="10"/>
        <v>1607.5157000000002</v>
      </c>
      <c r="K40" s="15">
        <f t="shared" si="11"/>
        <v>0</v>
      </c>
      <c r="L40">
        <f>SUMIF(Table228[[#All],[Asset]],Table228[[#This Row],[Asset]],Table228[[#All],[Bought number]])</f>
        <v>323932.72954500001</v>
      </c>
      <c r="M40">
        <f>SUMIF(Table228[[#All],[Asset]],Table228[[#This Row],[Asset]],Table228[[#All],[Sold Number]])</f>
        <v>323932.73009199998</v>
      </c>
      <c r="N40" s="15">
        <f>SUMIF(Table228[[#All],[Asset]],Table228[[#This Row],[Asset]],Table228[[#All],[Bought amount]])</f>
        <v>15730.280778400003</v>
      </c>
      <c r="O40" s="15">
        <f>SUMIF(Table228[[#All],[Asset]],Table228[[#This Row],[Asset]],Table228[[#All],[Sold amount]])</f>
        <v>14916.766213074001</v>
      </c>
      <c r="P40" s="75">
        <f>Table228[[#This Row],[Total bought Amount]]/Table228[[#This Row],[Total bought Number]]</f>
        <v>4.8560331648163348E-2</v>
      </c>
      <c r="Q40" s="75">
        <f>IFERROR(Table228[[#This Row],[Total Sold Amount]]/Table228[[#This Row],[Total Sold Number]],0)</f>
        <v>4.6048962723950426E-2</v>
      </c>
      <c r="R40" s="21">
        <f>Table228[[#This Row],[Total bought Number]]-Table228[[#This Row],[Total Sold Number]]</f>
        <v>-5.4699997417628765E-4</v>
      </c>
      <c r="S40" s="59">
        <f>(Table228[[#This Row],[Ave exit price]]-Table228[[#This Row],[Ave Entry price]])*Table228[[#This Row],[Total Sold Number]]</f>
        <v>-813.5145918885006</v>
      </c>
      <c r="T40" s="15">
        <f>(Table228[[#This Row],[Current Price]]-Table228[[#This Row],[Ave Entry price]])*Table228[[#This Row],[How many tokens now]]</f>
        <v>-2.3737984763883032E-6</v>
      </c>
      <c r="U40" s="76">
        <f>VLOOKUP(Table228[[#This Row],[Asset]],Table26[#All],10,FALSE)</f>
        <v>5.2900000000000003E-2</v>
      </c>
    </row>
    <row r="41" spans="1:21">
      <c r="A41" t="s">
        <v>247</v>
      </c>
      <c r="B41" s="68">
        <v>45415</v>
      </c>
      <c r="C41" s="3" t="s">
        <v>175</v>
      </c>
      <c r="D41" t="s">
        <v>174</v>
      </c>
      <c r="E41" t="s">
        <v>241</v>
      </c>
      <c r="F41" s="90">
        <v>763.64</v>
      </c>
      <c r="G41" s="73">
        <v>1</v>
      </c>
      <c r="H41" s="61">
        <f t="shared" si="8"/>
        <v>1</v>
      </c>
      <c r="I41" s="67">
        <f t="shared" si="9"/>
        <v>0</v>
      </c>
      <c r="J41" s="15">
        <f t="shared" si="10"/>
        <v>763.64</v>
      </c>
      <c r="K41" s="15">
        <f t="shared" si="11"/>
        <v>0</v>
      </c>
      <c r="L41">
        <f>SUMIF(Table228[[#All],[Asset]],Table228[[#This Row],[Asset]],Table228[[#All],[Bought number]])</f>
        <v>1</v>
      </c>
      <c r="M41">
        <f>SUMIF(Table228[[#All],[Asset]],Table228[[#This Row],[Asset]],Table228[[#All],[Sold Number]])</f>
        <v>1</v>
      </c>
      <c r="N41" s="15">
        <f>SUMIF(Table228[[#All],[Asset]],Table228[[#This Row],[Asset]],Table228[[#All],[Bought amount]])</f>
        <v>763.64</v>
      </c>
      <c r="O41" s="15">
        <f>SUMIF(Table228[[#All],[Asset]],Table228[[#This Row],[Asset]],Table228[[#All],[Sold amount]])</f>
        <v>755</v>
      </c>
      <c r="P41" s="75">
        <f>Table228[[#This Row],[Total bought Amount]]/Table228[[#This Row],[Total bought Number]]</f>
        <v>763.64</v>
      </c>
      <c r="Q41" s="75">
        <f>IFERROR(Table228[[#This Row],[Total Sold Amount]]/Table228[[#This Row],[Total Sold Number]],0)</f>
        <v>755</v>
      </c>
      <c r="R41" s="21">
        <f>Table228[[#This Row],[Total bought Number]]-Table228[[#This Row],[Total Sold Number]]</f>
        <v>0</v>
      </c>
      <c r="S41" s="59">
        <f>(Table228[[#This Row],[Ave exit price]]-Table228[[#This Row],[Ave Entry price]])*Table228[[#This Row],[Total Sold Number]]</f>
        <v>-8.6399999999999864</v>
      </c>
      <c r="T41" s="15">
        <f>(Table228[[#This Row],[Current Price]]-Table228[[#This Row],[Ave Entry price]])*Table228[[#This Row],[How many tokens now]]</f>
        <v>0</v>
      </c>
      <c r="U41" s="76">
        <f>VLOOKUP(Table228[[#This Row],[Asset]],Table26[#All],10,FALSE)</f>
        <v>755</v>
      </c>
    </row>
    <row r="42" spans="1:21">
      <c r="A42" t="s">
        <v>209</v>
      </c>
      <c r="B42" s="68">
        <v>45474</v>
      </c>
      <c r="C42" s="3" t="s">
        <v>176</v>
      </c>
      <c r="D42" t="s">
        <v>174</v>
      </c>
      <c r="E42" t="s">
        <v>248</v>
      </c>
      <c r="F42" s="90">
        <v>1</v>
      </c>
      <c r="G42" s="73">
        <v>0</v>
      </c>
      <c r="H42" s="61">
        <f t="shared" si="8"/>
        <v>0</v>
      </c>
      <c r="I42" s="67">
        <f t="shared" si="9"/>
        <v>0</v>
      </c>
      <c r="J42" s="15">
        <f t="shared" si="10"/>
        <v>0</v>
      </c>
      <c r="K42" s="15">
        <f t="shared" si="11"/>
        <v>0</v>
      </c>
      <c r="L42">
        <f>SUMIF(Table228[[#All],[Asset]],Table228[[#This Row],[Asset]],Table228[[#All],[Bought number]])</f>
        <v>14504.07</v>
      </c>
      <c r="M42">
        <f>SUMIF(Table228[[#All],[Asset]],Table228[[#This Row],[Asset]],Table228[[#All],[Sold Number]])</f>
        <v>12705.240000000002</v>
      </c>
      <c r="N42" s="15">
        <f>SUMIF(Table228[[#All],[Asset]],Table228[[#This Row],[Asset]],Table228[[#All],[Bought amount]])</f>
        <v>14005.02</v>
      </c>
      <c r="O42" s="15">
        <f>SUMIF(Table228[[#All],[Asset]],Table228[[#This Row],[Asset]],Table228[[#All],[Sold amount]])</f>
        <v>12705.240000000002</v>
      </c>
      <c r="P42" s="75">
        <f>Table228[[#This Row],[Total bought Amount]]/Table228[[#This Row],[Total bought Number]]</f>
        <v>0.96559241647344507</v>
      </c>
      <c r="Q42" s="75">
        <f>IFERROR(Table228[[#This Row],[Total Sold Amount]]/Table228[[#This Row],[Total Sold Number]],0)</f>
        <v>1</v>
      </c>
      <c r="R42" s="21">
        <f>Table228[[#This Row],[Total bought Number]]-Table228[[#This Row],[Total Sold Number]]</f>
        <v>1798.8299999999981</v>
      </c>
      <c r="S42" s="59">
        <f>(Table228[[#This Row],[Ave exit price]]-Table228[[#This Row],[Ave Entry price]])*Table228[[#This Row],[Total Sold Number]]</f>
        <v>437.15660652492681</v>
      </c>
      <c r="T42" s="15">
        <f>(Table228[[#This Row],[Current Price]]-Table228[[#This Row],[Ave Entry price]])*Table228[[#This Row],[How many tokens now]]</f>
        <v>61.893393475072742</v>
      </c>
      <c r="U42" s="76">
        <f>VLOOKUP(Table228[[#This Row],[Asset]],Table26[#All],10,FALSE)</f>
        <v>1</v>
      </c>
    </row>
    <row r="43" spans="1:21">
      <c r="A43" t="s">
        <v>226</v>
      </c>
      <c r="B43" s="68">
        <v>45483</v>
      </c>
      <c r="C43" s="3" t="s">
        <v>176</v>
      </c>
      <c r="D43" t="s">
        <v>174</v>
      </c>
      <c r="E43" t="s">
        <v>241</v>
      </c>
      <c r="F43" s="90">
        <v>3.4453999999999999E-2</v>
      </c>
      <c r="G43" s="73">
        <v>8158</v>
      </c>
      <c r="H43" s="61">
        <f t="shared" si="8"/>
        <v>8158</v>
      </c>
      <c r="I43" s="67">
        <f t="shared" si="9"/>
        <v>0</v>
      </c>
      <c r="J43" s="15">
        <f t="shared" si="10"/>
        <v>281.07573199999996</v>
      </c>
      <c r="K43" s="15">
        <f t="shared" si="11"/>
        <v>0</v>
      </c>
      <c r="L43">
        <f>SUMIF(Table228[[#All],[Asset]],Table228[[#This Row],[Asset]],Table228[[#All],[Bought number]])</f>
        <v>323932.72954500001</v>
      </c>
      <c r="M43">
        <f>SUMIF(Table228[[#All],[Asset]],Table228[[#This Row],[Asset]],Table228[[#All],[Sold Number]])</f>
        <v>323932.73009199998</v>
      </c>
      <c r="N43" s="15">
        <f>SUMIF(Table228[[#All],[Asset]],Table228[[#This Row],[Asset]],Table228[[#All],[Bought amount]])</f>
        <v>15730.280778400003</v>
      </c>
      <c r="O43" s="15">
        <f>SUMIF(Table228[[#All],[Asset]],Table228[[#This Row],[Asset]],Table228[[#All],[Sold amount]])</f>
        <v>14916.766213074001</v>
      </c>
      <c r="P43" s="75">
        <f>Table228[[#This Row],[Total bought Amount]]/Table228[[#This Row],[Total bought Number]]</f>
        <v>4.8560331648163348E-2</v>
      </c>
      <c r="Q43" s="75">
        <f>IFERROR(Table228[[#This Row],[Total Sold Amount]]/Table228[[#This Row],[Total Sold Number]],0)</f>
        <v>4.6048962723950426E-2</v>
      </c>
      <c r="R43" s="21">
        <f>Table228[[#This Row],[Total bought Number]]-Table228[[#This Row],[Total Sold Number]]</f>
        <v>-5.4699997417628765E-4</v>
      </c>
      <c r="S43" s="59">
        <f>(Table228[[#This Row],[Ave exit price]]-Table228[[#This Row],[Ave Entry price]])*Table228[[#This Row],[Total Sold Number]]</f>
        <v>-813.5145918885006</v>
      </c>
      <c r="T43" s="15">
        <f>(Table228[[#This Row],[Current Price]]-Table228[[#This Row],[Ave Entry price]])*Table228[[#This Row],[How many tokens now]]</f>
        <v>-2.3737984763883032E-6</v>
      </c>
      <c r="U43" s="76">
        <f>VLOOKUP(Table228[[#This Row],[Asset]],Table26[#All],10,FALSE)</f>
        <v>5.2900000000000003E-2</v>
      </c>
    </row>
    <row r="44" spans="1:21">
      <c r="A44" t="s">
        <v>226</v>
      </c>
      <c r="B44" s="68">
        <v>45483</v>
      </c>
      <c r="C44" s="3" t="s">
        <v>176</v>
      </c>
      <c r="D44" t="s">
        <v>174</v>
      </c>
      <c r="E44" t="s">
        <v>241</v>
      </c>
      <c r="F44" s="90">
        <v>3.1E-2</v>
      </c>
      <c r="G44" s="73">
        <v>16270</v>
      </c>
      <c r="H44" s="61">
        <f t="shared" si="8"/>
        <v>16270</v>
      </c>
      <c r="I44" s="67">
        <f t="shared" si="9"/>
        <v>0</v>
      </c>
      <c r="J44" s="15">
        <f t="shared" si="10"/>
        <v>504.37</v>
      </c>
      <c r="K44" s="15">
        <f t="shared" si="11"/>
        <v>0</v>
      </c>
      <c r="L44">
        <f>SUMIF(Table228[[#All],[Asset]],Table228[[#This Row],[Asset]],Table228[[#All],[Bought number]])</f>
        <v>323932.72954500001</v>
      </c>
      <c r="M44">
        <f>SUMIF(Table228[[#All],[Asset]],Table228[[#This Row],[Asset]],Table228[[#All],[Sold Number]])</f>
        <v>323932.73009199998</v>
      </c>
      <c r="N44" s="15">
        <f>SUMIF(Table228[[#All],[Asset]],Table228[[#This Row],[Asset]],Table228[[#All],[Bought amount]])</f>
        <v>15730.280778400003</v>
      </c>
      <c r="O44" s="15">
        <f>SUMIF(Table228[[#All],[Asset]],Table228[[#This Row],[Asset]],Table228[[#All],[Sold amount]])</f>
        <v>14916.766213074001</v>
      </c>
      <c r="P44" s="75">
        <f>Table228[[#This Row],[Total bought Amount]]/Table228[[#This Row],[Total bought Number]]</f>
        <v>4.8560331648163348E-2</v>
      </c>
      <c r="Q44" s="75">
        <f>IFERROR(Table228[[#This Row],[Total Sold Amount]]/Table228[[#This Row],[Total Sold Number]],0)</f>
        <v>4.6048962723950426E-2</v>
      </c>
      <c r="R44" s="21">
        <f>Table228[[#This Row],[Total bought Number]]-Table228[[#This Row],[Total Sold Number]]</f>
        <v>-5.4699997417628765E-4</v>
      </c>
      <c r="S44" s="59">
        <f>(Table228[[#This Row],[Ave exit price]]-Table228[[#This Row],[Ave Entry price]])*Table228[[#This Row],[Total Sold Number]]</f>
        <v>-813.5145918885006</v>
      </c>
      <c r="T44" s="15">
        <f>(Table228[[#This Row],[Current Price]]-Table228[[#This Row],[Ave Entry price]])*Table228[[#This Row],[How many tokens now]]</f>
        <v>-2.3737984763883032E-6</v>
      </c>
      <c r="U44" s="76">
        <f>VLOOKUP(Table228[[#This Row],[Asset]],Table26[#All],10,FALSE)</f>
        <v>5.2900000000000003E-2</v>
      </c>
    </row>
    <row r="45" spans="1:21">
      <c r="A45" t="s">
        <v>14</v>
      </c>
      <c r="B45" s="68">
        <v>45483</v>
      </c>
      <c r="C45" s="3" t="s">
        <v>176</v>
      </c>
      <c r="D45" t="s">
        <v>174</v>
      </c>
      <c r="E45" t="s">
        <v>241</v>
      </c>
      <c r="F45" s="90">
        <v>7.3200000000000001E-4</v>
      </c>
      <c r="G45" s="73">
        <v>-978336</v>
      </c>
      <c r="H45" s="61">
        <f t="shared" si="8"/>
        <v>0</v>
      </c>
      <c r="I45" s="67">
        <f t="shared" si="9"/>
        <v>978336</v>
      </c>
      <c r="J45" s="15">
        <f t="shared" si="10"/>
        <v>0</v>
      </c>
      <c r="K45" s="15">
        <f t="shared" si="11"/>
        <v>716.14195200000006</v>
      </c>
      <c r="L45">
        <f>SUMIF(Table228[[#All],[Asset]],Table228[[#This Row],[Asset]],Table228[[#All],[Bought number]])</f>
        <v>2056673.75</v>
      </c>
      <c r="M45">
        <f>SUMIF(Table228[[#All],[Asset]],Table228[[#This Row],[Asset]],Table228[[#All],[Sold Number]])</f>
        <v>978336</v>
      </c>
      <c r="N45" s="15">
        <f>SUMIF(Table228[[#All],[Asset]],Table228[[#This Row],[Asset]],Table228[[#All],[Bought amount]])</f>
        <v>925.50318749999997</v>
      </c>
      <c r="O45" s="15">
        <f>SUMIF(Table228[[#All],[Asset]],Table228[[#This Row],[Asset]],Table228[[#All],[Sold amount]])</f>
        <v>716.14195200000006</v>
      </c>
      <c r="P45" s="75">
        <f>Table228[[#This Row],[Total bought Amount]]/Table228[[#This Row],[Total bought Number]]</f>
        <v>4.4999999999999999E-4</v>
      </c>
      <c r="Q45" s="75">
        <f>IFERROR(Table228[[#This Row],[Total Sold Amount]]/Table228[[#This Row],[Total Sold Number]],0)</f>
        <v>7.3200000000000001E-4</v>
      </c>
      <c r="R45" s="21">
        <f>Table228[[#This Row],[Total bought Number]]-Table228[[#This Row],[Total Sold Number]]</f>
        <v>1078337.75</v>
      </c>
      <c r="S45" s="59">
        <f>(Table228[[#This Row],[Ave exit price]]-Table228[[#This Row],[Ave Entry price]])*Table228[[#This Row],[Total Sold Number]]</f>
        <v>275.89075200000002</v>
      </c>
      <c r="T45" s="15">
        <f>(Table228[[#This Row],[Current Price]]-Table228[[#This Row],[Ave Entry price]])*Table228[[#This Row],[How many tokens now]]</f>
        <v>337.84321707499998</v>
      </c>
      <c r="U45" s="76">
        <f>VLOOKUP(Table228[[#This Row],[Asset]],Table26[#All],10,FALSE)</f>
        <v>7.6329999999999996E-4</v>
      </c>
    </row>
    <row r="46" spans="1:21">
      <c r="A46" t="s">
        <v>209</v>
      </c>
      <c r="B46" s="68">
        <v>45483</v>
      </c>
      <c r="C46" s="3" t="s">
        <v>176</v>
      </c>
      <c r="D46" t="s">
        <v>262</v>
      </c>
      <c r="E46" t="s">
        <v>263</v>
      </c>
      <c r="F46" s="90">
        <v>1</v>
      </c>
      <c r="G46" s="73">
        <v>726</v>
      </c>
      <c r="H46" s="61">
        <f t="shared" ref="H46:H51" si="12">IF(G46&gt;0,G46,0)</f>
        <v>726</v>
      </c>
      <c r="I46" s="67">
        <f t="shared" ref="I46:I51" si="13">IF(G46&lt;0,ABS(G46),0)</f>
        <v>0</v>
      </c>
      <c r="J46" s="15">
        <f t="shared" ref="J46:J51" si="14">H46*F46</f>
        <v>726</v>
      </c>
      <c r="K46" s="15">
        <f t="shared" ref="K46:K51" si="15">I46*F46</f>
        <v>0</v>
      </c>
      <c r="L46">
        <f>SUMIF(Table228[[#All],[Asset]],Table228[[#This Row],[Asset]],Table228[[#All],[Bought number]])</f>
        <v>14504.07</v>
      </c>
      <c r="M46">
        <f>SUMIF(Table228[[#All],[Asset]],Table228[[#This Row],[Asset]],Table228[[#All],[Sold Number]])</f>
        <v>12705.240000000002</v>
      </c>
      <c r="N46" s="15">
        <f>SUMIF(Table228[[#All],[Asset]],Table228[[#This Row],[Asset]],Table228[[#All],[Bought amount]])</f>
        <v>14005.02</v>
      </c>
      <c r="O46" s="15">
        <f>SUMIF(Table228[[#All],[Asset]],Table228[[#This Row],[Asset]],Table228[[#All],[Sold amount]])</f>
        <v>12705.240000000002</v>
      </c>
      <c r="P46" s="75">
        <f>Table228[[#This Row],[Total bought Amount]]/Table228[[#This Row],[Total bought Number]]</f>
        <v>0.96559241647344507</v>
      </c>
      <c r="Q46" s="75">
        <f>IFERROR(Table228[[#This Row],[Total Sold Amount]]/Table228[[#This Row],[Total Sold Number]],0)</f>
        <v>1</v>
      </c>
      <c r="R46" s="21">
        <f>Table228[[#This Row],[Total bought Number]]-Table228[[#This Row],[Total Sold Number]]</f>
        <v>1798.8299999999981</v>
      </c>
      <c r="S46" s="59">
        <f>(Table228[[#This Row],[Ave exit price]]-Table228[[#This Row],[Ave Entry price]])*Table228[[#This Row],[Total Sold Number]]</f>
        <v>437.15660652492681</v>
      </c>
      <c r="T46" s="15">
        <f>(Table228[[#This Row],[Current Price]]-Table228[[#This Row],[Ave Entry price]])*Table228[[#This Row],[How many tokens now]]</f>
        <v>61.893393475072742</v>
      </c>
      <c r="U46" s="76">
        <f>VLOOKUP(Table228[[#This Row],[Asset]],Table26[#All],10,FALSE)</f>
        <v>1</v>
      </c>
    </row>
    <row r="47" spans="1:21">
      <c r="A47" t="s">
        <v>223</v>
      </c>
      <c r="B47" s="68">
        <v>45352</v>
      </c>
      <c r="C47" s="3" t="s">
        <v>176</v>
      </c>
      <c r="D47" t="s">
        <v>174</v>
      </c>
      <c r="E47" t="s">
        <v>270</v>
      </c>
      <c r="F47" s="90">
        <v>0.38</v>
      </c>
      <c r="G47" s="73">
        <v>27289.777590000002</v>
      </c>
      <c r="H47" s="61">
        <f t="shared" si="12"/>
        <v>27289.777590000002</v>
      </c>
      <c r="I47" s="67">
        <f t="shared" si="13"/>
        <v>0</v>
      </c>
      <c r="J47" s="15">
        <f t="shared" si="14"/>
        <v>10370.115484200001</v>
      </c>
      <c r="K47" s="15">
        <f t="shared" si="15"/>
        <v>0</v>
      </c>
      <c r="L47">
        <f>SUMIF(Table228[[#All],[Asset]],Table228[[#This Row],[Asset]],Table228[[#All],[Bought number]])</f>
        <v>70451.060641000004</v>
      </c>
      <c r="M47">
        <f>SUMIF(Table228[[#All],[Asset]],Table228[[#This Row],[Asset]],Table228[[#All],[Sold Number]])</f>
        <v>77094.547770000005</v>
      </c>
      <c r="N47" s="15">
        <f>SUMIF(Table228[[#All],[Asset]],Table228[[#This Row],[Asset]],Table228[[#All],[Bought amount]])</f>
        <v>20784.213577025603</v>
      </c>
      <c r="O47" s="15">
        <f>SUMIF(Table228[[#All],[Asset]],Table228[[#This Row],[Asset]],Table228[[#All],[Sold amount]])</f>
        <v>19239.062667060869</v>
      </c>
      <c r="P47" s="75">
        <f>Table228[[#This Row],[Total bought Amount]]/Table228[[#This Row],[Total bought Number]]</f>
        <v>0.29501633315268971</v>
      </c>
      <c r="Q47" s="75">
        <f>IFERROR(Table228[[#This Row],[Total Sold Amount]]/Table228[[#This Row],[Total Sold Number]],0)</f>
        <v>0.24955153410404224</v>
      </c>
      <c r="R47" s="21">
        <f>Table228[[#This Row],[Total bought Number]]-Table228[[#This Row],[Total Sold Number]]</f>
        <v>-6643.487129000001</v>
      </c>
      <c r="S47" s="59">
        <f>(Table228[[#This Row],[Ave exit price]]-Table228[[#This Row],[Ave Entry price]])*Table228[[#This Row],[Total Sold Number]]</f>
        <v>-3505.0881221094037</v>
      </c>
      <c r="T47" s="15">
        <f>(Table228[[#This Row],[Current Price]]-Table228[[#This Row],[Ave Entry price]])*Table228[[#This Row],[How many tokens now]]</f>
        <v>631.23978634467016</v>
      </c>
      <c r="U47" s="76">
        <f>VLOOKUP(Table228[[#This Row],[Asset]],Table26[#All],10,FALSE)</f>
        <v>0.2</v>
      </c>
    </row>
    <row r="48" spans="1:21">
      <c r="A48" t="s">
        <v>224</v>
      </c>
      <c r="B48" s="68">
        <v>45352</v>
      </c>
      <c r="C48" s="3" t="s">
        <v>176</v>
      </c>
      <c r="D48" t="s">
        <v>174</v>
      </c>
      <c r="E48" t="s">
        <v>270</v>
      </c>
      <c r="F48" s="90">
        <v>2.2000000000000002</v>
      </c>
      <c r="G48" s="73">
        <v>1753.0736999999999</v>
      </c>
      <c r="H48" s="61">
        <f t="shared" si="12"/>
        <v>1753.0736999999999</v>
      </c>
      <c r="I48" s="67">
        <f t="shared" si="13"/>
        <v>0</v>
      </c>
      <c r="J48" s="15">
        <f t="shared" si="14"/>
        <v>3856.7621400000003</v>
      </c>
      <c r="K48" s="15">
        <f t="shared" si="15"/>
        <v>0</v>
      </c>
      <c r="L48">
        <f>SUMIF(Table228[[#All],[Asset]],Table228[[#This Row],[Asset]],Table228[[#All],[Bought number]])</f>
        <v>2402.9751590000001</v>
      </c>
      <c r="M48">
        <f>SUMIF(Table228[[#All],[Asset]],Table228[[#This Row],[Asset]],Table228[[#All],[Sold Number]])</f>
        <v>2835</v>
      </c>
      <c r="N48" s="15">
        <f>SUMIF(Table228[[#All],[Asset]],Table228[[#This Row],[Asset]],Table228[[#All],[Bought amount]])</f>
        <v>5880.0437616144482</v>
      </c>
      <c r="O48" s="15">
        <f>SUMIF(Table228[[#All],[Asset]],Table228[[#This Row],[Asset]],Table228[[#All],[Sold amount]])</f>
        <v>11475.592000000001</v>
      </c>
      <c r="P48" s="75">
        <f>Table228[[#This Row],[Total bought Amount]]/Table228[[#This Row],[Total bought Number]]</f>
        <v>2.4469848302807393</v>
      </c>
      <c r="Q48" s="75">
        <f>IFERROR(Table228[[#This Row],[Total Sold Amount]]/Table228[[#This Row],[Total Sold Number]],0)</f>
        <v>4.0478278659611995</v>
      </c>
      <c r="R48" s="21">
        <f>Table228[[#This Row],[Total bought Number]]-Table228[[#This Row],[Total Sold Number]]</f>
        <v>-432.02484099999992</v>
      </c>
      <c r="S48" s="59">
        <f>(Table228[[#This Row],[Ave exit price]]-Table228[[#This Row],[Ave Entry price]])*Table228[[#This Row],[Total Sold Number]]</f>
        <v>4538.3900061541044</v>
      </c>
      <c r="T48" s="15">
        <f>(Table228[[#This Row],[Current Price]]-Table228[[#This Row],[Ave Entry price]])*Table228[[#This Row],[How many tokens now]]</f>
        <v>-403.08573034855146</v>
      </c>
      <c r="U48" s="76">
        <f>VLOOKUP(Table228[[#This Row],[Asset]],Table26[#All],10,FALSE)</f>
        <v>3.38</v>
      </c>
    </row>
    <row r="49" spans="1:21">
      <c r="A49" t="s">
        <v>225</v>
      </c>
      <c r="B49" s="68">
        <v>45352</v>
      </c>
      <c r="C49" s="3" t="s">
        <v>176</v>
      </c>
      <c r="D49" t="s">
        <v>174</v>
      </c>
      <c r="E49" t="s">
        <v>270</v>
      </c>
      <c r="F49" s="90">
        <v>3</v>
      </c>
      <c r="G49" s="73">
        <v>154.37855999999999</v>
      </c>
      <c r="H49" s="61">
        <f t="shared" si="12"/>
        <v>154.37855999999999</v>
      </c>
      <c r="I49" s="67">
        <f t="shared" si="13"/>
        <v>0</v>
      </c>
      <c r="J49" s="15">
        <f t="shared" si="14"/>
        <v>463.13567999999998</v>
      </c>
      <c r="K49" s="15">
        <f t="shared" si="15"/>
        <v>0</v>
      </c>
      <c r="L49">
        <f>SUMIF(Table228[[#All],[Asset]],Table228[[#This Row],[Asset]],Table228[[#All],[Bought number]])</f>
        <v>251.69107600000001</v>
      </c>
      <c r="M49">
        <f>SUMIF(Table228[[#All],[Asset]],Table228[[#This Row],[Asset]],Table228[[#All],[Sold Number]])</f>
        <v>251.68856</v>
      </c>
      <c r="N49" s="15">
        <f>SUMIF(Table228[[#All],[Asset]],Table228[[#This Row],[Asset]],Table228[[#All],[Bought amount]])</f>
        <v>1941.31279804</v>
      </c>
      <c r="O49" s="15">
        <f>SUMIF(Table228[[#All],[Asset]],Table228[[#This Row],[Asset]],Table228[[#All],[Sold amount]])</f>
        <v>1363.3561943999998</v>
      </c>
      <c r="P49" s="75">
        <f>Table228[[#This Row],[Total bought Amount]]/Table228[[#This Row],[Total bought Number]]</f>
        <v>7.713077590561852</v>
      </c>
      <c r="Q49" s="75">
        <f>IFERROR(Table228[[#This Row],[Total Sold Amount]]/Table228[[#This Row],[Total Sold Number]],0)</f>
        <v>5.4168381526756715</v>
      </c>
      <c r="R49" s="21">
        <f>Table228[[#This Row],[Total bought Number]]-Table228[[#This Row],[Total Sold Number]]</f>
        <v>2.5160000000141736E-3</v>
      </c>
      <c r="S49" s="59">
        <f>(Table228[[#This Row],[Ave exit price]]-Table228[[#This Row],[Ave Entry price]])*Table228[[#This Row],[Total Sold Number]]</f>
        <v>-577.93719753678226</v>
      </c>
      <c r="T49" s="15">
        <f>(Table228[[#This Row],[Current Price]]-Table228[[#This Row],[Ave Entry price]])*Table228[[#This Row],[How many tokens now]]</f>
        <v>-1.4374103217934595E-2</v>
      </c>
      <c r="U49" s="76">
        <f>VLOOKUP(Table228[[#This Row],[Asset]],Table26[#All],10,FALSE)</f>
        <v>2</v>
      </c>
    </row>
    <row r="50" spans="1:21">
      <c r="A50" t="s">
        <v>35</v>
      </c>
      <c r="B50" s="68">
        <v>45352</v>
      </c>
      <c r="C50" s="3" t="s">
        <v>214</v>
      </c>
      <c r="D50" t="s">
        <v>174</v>
      </c>
      <c r="E50" t="s">
        <v>270</v>
      </c>
      <c r="F50" s="90">
        <v>150</v>
      </c>
      <c r="G50" s="73">
        <v>4.3</v>
      </c>
      <c r="H50" s="61">
        <f t="shared" si="12"/>
        <v>4.3</v>
      </c>
      <c r="I50" s="67">
        <f t="shared" si="13"/>
        <v>0</v>
      </c>
      <c r="J50" s="15">
        <f t="shared" si="14"/>
        <v>645</v>
      </c>
      <c r="K50" s="15">
        <f t="shared" si="15"/>
        <v>0</v>
      </c>
      <c r="L50">
        <f>SUMIF(Table228[[#All],[Asset]],Table228[[#This Row],[Asset]],Table228[[#All],[Bought number]])</f>
        <v>154.92660000000001</v>
      </c>
      <c r="M50">
        <f>SUMIF(Table228[[#All],[Asset]],Table228[[#This Row],[Asset]],Table228[[#All],[Sold Number]])</f>
        <v>79.674999999999997</v>
      </c>
      <c r="N50" s="15">
        <f>SUMIF(Table228[[#All],[Asset]],Table228[[#This Row],[Asset]],Table228[[#All],[Bought amount]])</f>
        <v>22897.17</v>
      </c>
      <c r="O50" s="15">
        <f>SUMIF(Table228[[#All],[Asset]],Table228[[#This Row],[Asset]],Table228[[#All],[Sold amount]])</f>
        <v>11736.940868199999</v>
      </c>
      <c r="P50" s="75">
        <f>Table228[[#This Row],[Total bought Amount]]/Table228[[#This Row],[Total bought Number]]</f>
        <v>147.79366487097758</v>
      </c>
      <c r="Q50" s="75">
        <f>IFERROR(Table228[[#This Row],[Total Sold Amount]]/Table228[[#This Row],[Total Sold Number]],0)</f>
        <v>147.31020857483526</v>
      </c>
      <c r="R50" s="21">
        <f>Table228[[#This Row],[Total bought Number]]-Table228[[#This Row],[Total Sold Number]]</f>
        <v>75.25160000000001</v>
      </c>
      <c r="S50" s="59">
        <f>(Table228[[#This Row],[Ave exit price]]-Table228[[#This Row],[Ave Entry price]])*Table228[[#This Row],[Total Sold Number]]</f>
        <v>-38.519380395139478</v>
      </c>
      <c r="T50" s="15">
        <f>(Table228[[#This Row],[Current Price]]-Table228[[#This Row],[Ave Entry price]])*Table228[[#This Row],[How many tokens now]]</f>
        <v>1671.0622485951437</v>
      </c>
      <c r="U50" s="76">
        <f>VLOOKUP(Table228[[#This Row],[Asset]],Table26[#All],10,FALSE)</f>
        <v>170</v>
      </c>
    </row>
    <row r="51" spans="1:21">
      <c r="A51" t="s">
        <v>242</v>
      </c>
      <c r="B51" s="68">
        <v>45403</v>
      </c>
      <c r="C51" s="3" t="s">
        <v>176</v>
      </c>
      <c r="D51" t="s">
        <v>174</v>
      </c>
      <c r="E51" t="s">
        <v>270</v>
      </c>
      <c r="F51" s="17">
        <v>0.06</v>
      </c>
      <c r="G51" s="73">
        <v>7247.3412120000003</v>
      </c>
      <c r="H51" s="61">
        <f t="shared" si="12"/>
        <v>7247.3412120000003</v>
      </c>
      <c r="I51" s="67">
        <f t="shared" si="13"/>
        <v>0</v>
      </c>
      <c r="J51" s="15">
        <f t="shared" si="14"/>
        <v>434.84047271999998</v>
      </c>
      <c r="K51" s="15">
        <f t="shared" si="15"/>
        <v>0</v>
      </c>
      <c r="L51">
        <f>SUMIF(Table228[[#All],[Asset]],Table228[[#This Row],[Asset]],Table228[[#All],[Bought number]])</f>
        <v>12696.341211999999</v>
      </c>
      <c r="M51">
        <f>SUMIF(Table228[[#All],[Asset]],Table228[[#This Row],[Asset]],Table228[[#All],[Sold Number]])</f>
        <v>7247.3421200000003</v>
      </c>
      <c r="N51" s="15">
        <f>SUMIF(Table228[[#All],[Asset]],Table228[[#This Row],[Asset]],Table228[[#All],[Bought amount]])</f>
        <v>761.78047272000003</v>
      </c>
      <c r="O51" s="15">
        <f>SUMIF(Table228[[#All],[Asset]],Table228[[#This Row],[Asset]],Table228[[#All],[Sold amount]])</f>
        <v>285.69022637040001</v>
      </c>
      <c r="P51" s="75">
        <f>Table228[[#This Row],[Total bought Amount]]/Table228[[#This Row],[Total bought Number]]</f>
        <v>6.0000000000000005E-2</v>
      </c>
      <c r="Q51" s="75">
        <f>IFERROR(Table228[[#This Row],[Total Sold Amount]]/Table228[[#This Row],[Total Sold Number]],0)</f>
        <v>3.9420000000000004E-2</v>
      </c>
      <c r="R51" s="21">
        <f>Table228[[#This Row],[Total bought Number]]-Table228[[#This Row],[Total Sold Number]]</f>
        <v>5448.9990919999991</v>
      </c>
      <c r="S51" s="59">
        <f>(Table228[[#This Row],[Ave exit price]]-Table228[[#This Row],[Ave Entry price]])*Table228[[#This Row],[Total Sold Number]]</f>
        <v>-149.15030082960001</v>
      </c>
      <c r="T51" s="15">
        <f>(Table228[[#This Row],[Current Price]]-Table228[[#This Row],[Ave Entry price]])*Table228[[#This Row],[How many tokens now]]</f>
        <v>-185.70188905536</v>
      </c>
      <c r="U51" s="76">
        <f>VLOOKUP(Table228[[#This Row],[Asset]],Table26[#All],10,FALSE)</f>
        <v>2.5919999999999999E-2</v>
      </c>
    </row>
    <row r="52" spans="1:21">
      <c r="A52" t="s">
        <v>35</v>
      </c>
      <c r="B52" s="68">
        <v>45485</v>
      </c>
      <c r="C52" s="3" t="s">
        <v>214</v>
      </c>
      <c r="D52" t="s">
        <v>262</v>
      </c>
      <c r="E52" t="s">
        <v>263</v>
      </c>
      <c r="F52" s="17">
        <v>140</v>
      </c>
      <c r="G52" s="73">
        <v>35.17</v>
      </c>
      <c r="H52" s="61">
        <f t="shared" ref="H52:H58" si="16">IF(G52&gt;0,G52,0)</f>
        <v>35.17</v>
      </c>
      <c r="I52" s="67">
        <f t="shared" ref="I52:I58" si="17">IF(G52&lt;0,ABS(G52),0)</f>
        <v>0</v>
      </c>
      <c r="J52" s="15">
        <f t="shared" ref="J52:J58" si="18">H52*F52</f>
        <v>4923.8</v>
      </c>
      <c r="K52" s="15">
        <f t="shared" ref="K52:K58" si="19">I52*F52</f>
        <v>0</v>
      </c>
      <c r="L52">
        <f>SUMIF(Table228[[#All],[Asset]],Table228[[#This Row],[Asset]],Table228[[#All],[Bought number]])</f>
        <v>154.92660000000001</v>
      </c>
      <c r="M52">
        <f>SUMIF(Table228[[#All],[Asset]],Table228[[#This Row],[Asset]],Table228[[#All],[Sold Number]])</f>
        <v>79.674999999999997</v>
      </c>
      <c r="N52" s="15">
        <f>SUMIF(Table228[[#All],[Asset]],Table228[[#This Row],[Asset]],Table228[[#All],[Bought amount]])</f>
        <v>22897.17</v>
      </c>
      <c r="O52" s="15">
        <f>SUMIF(Table228[[#All],[Asset]],Table228[[#This Row],[Asset]],Table228[[#All],[Sold amount]])</f>
        <v>11736.940868199999</v>
      </c>
      <c r="P52" s="75">
        <f>Table228[[#This Row],[Total bought Amount]]/Table228[[#This Row],[Total bought Number]]</f>
        <v>147.79366487097758</v>
      </c>
      <c r="Q52" s="75">
        <f>IFERROR(Table228[[#This Row],[Total Sold Amount]]/Table228[[#This Row],[Total Sold Number]],0)</f>
        <v>147.31020857483526</v>
      </c>
      <c r="R52" s="21">
        <f>Table228[[#This Row],[Total bought Number]]-Table228[[#This Row],[Total Sold Number]]</f>
        <v>75.25160000000001</v>
      </c>
      <c r="S52" s="59">
        <f>(Table228[[#This Row],[Ave exit price]]-Table228[[#This Row],[Ave Entry price]])*Table228[[#This Row],[Total Sold Number]]</f>
        <v>-38.519380395139478</v>
      </c>
      <c r="T52" s="15">
        <f>(Table228[[#This Row],[Current Price]]-Table228[[#This Row],[Ave Entry price]])*Table228[[#This Row],[How many tokens now]]</f>
        <v>1671.0622485951437</v>
      </c>
      <c r="U52" s="76">
        <f>VLOOKUP(Table228[[#This Row],[Asset]],Table26[#All],10,FALSE)</f>
        <v>170</v>
      </c>
    </row>
    <row r="53" spans="1:21">
      <c r="A53" t="s">
        <v>224</v>
      </c>
      <c r="B53" s="68">
        <v>45352</v>
      </c>
      <c r="C53" s="3" t="s">
        <v>180</v>
      </c>
      <c r="D53" t="s">
        <v>76</v>
      </c>
      <c r="E53" t="s">
        <v>270</v>
      </c>
      <c r="F53" s="17">
        <v>2.2000000000000002</v>
      </c>
      <c r="G53" s="73">
        <v>100</v>
      </c>
      <c r="H53" s="61">
        <f t="shared" si="16"/>
        <v>100</v>
      </c>
      <c r="I53" s="67">
        <f t="shared" si="17"/>
        <v>0</v>
      </c>
      <c r="J53" s="15">
        <f t="shared" si="18"/>
        <v>220.00000000000003</v>
      </c>
      <c r="K53" s="15">
        <f t="shared" si="19"/>
        <v>0</v>
      </c>
      <c r="L53">
        <f>SUMIF(Table228[[#All],[Asset]],Table228[[#This Row],[Asset]],Table228[[#All],[Bought number]])</f>
        <v>2402.9751590000001</v>
      </c>
      <c r="M53">
        <f>SUMIF(Table228[[#All],[Asset]],Table228[[#This Row],[Asset]],Table228[[#All],[Sold Number]])</f>
        <v>2835</v>
      </c>
      <c r="N53" s="15">
        <f>SUMIF(Table228[[#All],[Asset]],Table228[[#This Row],[Asset]],Table228[[#All],[Bought amount]])</f>
        <v>5880.0437616144482</v>
      </c>
      <c r="O53" s="15">
        <f>SUMIF(Table228[[#All],[Asset]],Table228[[#This Row],[Asset]],Table228[[#All],[Sold amount]])</f>
        <v>11475.592000000001</v>
      </c>
      <c r="P53" s="75">
        <f>Table228[[#This Row],[Total bought Amount]]/Table228[[#This Row],[Total bought Number]]</f>
        <v>2.4469848302807393</v>
      </c>
      <c r="Q53" s="75">
        <f>IFERROR(Table228[[#This Row],[Total Sold Amount]]/Table228[[#This Row],[Total Sold Number]],0)</f>
        <v>4.0478278659611995</v>
      </c>
      <c r="R53" s="21">
        <f>Table228[[#This Row],[Total bought Number]]-Table228[[#This Row],[Total Sold Number]]</f>
        <v>-432.02484099999992</v>
      </c>
      <c r="S53" s="59">
        <f>(Table228[[#This Row],[Ave exit price]]-Table228[[#This Row],[Ave Entry price]])*Table228[[#This Row],[Total Sold Number]]</f>
        <v>4538.3900061541044</v>
      </c>
      <c r="T53" s="15">
        <f>(Table228[[#This Row],[Current Price]]-Table228[[#This Row],[Ave Entry price]])*Table228[[#This Row],[How many tokens now]]</f>
        <v>-403.08573034855146</v>
      </c>
      <c r="U53" s="76">
        <f>VLOOKUP(Table228[[#This Row],[Asset]],Table26[#All],10,FALSE)</f>
        <v>3.38</v>
      </c>
    </row>
    <row r="54" spans="1:21">
      <c r="A54" t="s">
        <v>190</v>
      </c>
      <c r="B54" s="68">
        <v>45352</v>
      </c>
      <c r="C54" s="3" t="s">
        <v>180</v>
      </c>
      <c r="D54" t="s">
        <v>271</v>
      </c>
      <c r="E54" t="s">
        <v>270</v>
      </c>
      <c r="F54" s="17">
        <v>0.08</v>
      </c>
      <c r="G54" s="73">
        <v>12249</v>
      </c>
      <c r="H54" s="61">
        <f t="shared" si="16"/>
        <v>12249</v>
      </c>
      <c r="I54" s="67">
        <f t="shared" si="17"/>
        <v>0</v>
      </c>
      <c r="J54" s="15">
        <f t="shared" si="18"/>
        <v>979.92000000000007</v>
      </c>
      <c r="K54" s="15">
        <f t="shared" si="19"/>
        <v>0</v>
      </c>
      <c r="L54">
        <f>SUMIF(Table228[[#All],[Asset]],Table228[[#This Row],[Asset]],Table228[[#All],[Bought number]])</f>
        <v>27671.77</v>
      </c>
      <c r="M54">
        <f>SUMIF(Table228[[#All],[Asset]],Table228[[#This Row],[Asset]],Table228[[#All],[Sold Number]])</f>
        <v>0</v>
      </c>
      <c r="N54" s="15">
        <f>SUMIF(Table228[[#All],[Asset]],Table228[[#This Row],[Asset]],Table228[[#All],[Bought amount]])</f>
        <v>2213.7416000000003</v>
      </c>
      <c r="O54" s="15">
        <f>SUMIF(Table228[[#All],[Asset]],Table228[[#This Row],[Asset]],Table228[[#All],[Sold amount]])</f>
        <v>0</v>
      </c>
      <c r="P54" s="75">
        <f>Table228[[#This Row],[Total bought Amount]]/Table228[[#This Row],[Total bought Number]]</f>
        <v>8.0000000000000016E-2</v>
      </c>
      <c r="Q54" s="75">
        <f>IFERROR(Table228[[#This Row],[Total Sold Amount]]/Table228[[#This Row],[Total Sold Number]],0)</f>
        <v>0</v>
      </c>
      <c r="R54" s="21">
        <f>Table228[[#This Row],[Total bought Number]]-Table228[[#This Row],[Total Sold Number]]</f>
        <v>27671.77</v>
      </c>
      <c r="S54" s="59">
        <f>(Table228[[#This Row],[Ave exit price]]-Table228[[#This Row],[Ave Entry price]])*Table228[[#This Row],[Total Sold Number]]</f>
        <v>0</v>
      </c>
      <c r="T54" s="15">
        <f>(Table228[[#This Row],[Current Price]]-Table228[[#This Row],[Ave Entry price]])*Table228[[#This Row],[How many tokens now]]</f>
        <v>-2075.3827500000002</v>
      </c>
      <c r="U54" s="76">
        <f>VLOOKUP(Table228[[#This Row],[Asset]],Table26[#All],10,FALSE)</f>
        <v>5.0000000000000001E-3</v>
      </c>
    </row>
    <row r="55" spans="1:21">
      <c r="A55" t="s">
        <v>178</v>
      </c>
      <c r="B55" s="68">
        <v>45352</v>
      </c>
      <c r="C55" s="3" t="s">
        <v>180</v>
      </c>
      <c r="D55" t="s">
        <v>174</v>
      </c>
      <c r="E55" t="s">
        <v>270</v>
      </c>
      <c r="F55" s="17">
        <v>1500</v>
      </c>
      <c r="G55" s="73">
        <v>1</v>
      </c>
      <c r="H55" s="61">
        <f t="shared" si="16"/>
        <v>1</v>
      </c>
      <c r="I55" s="67">
        <f t="shared" si="17"/>
        <v>0</v>
      </c>
      <c r="J55" s="15">
        <f t="shared" si="18"/>
        <v>1500</v>
      </c>
      <c r="K55" s="15">
        <f t="shared" si="19"/>
        <v>0</v>
      </c>
      <c r="L55">
        <f>SUMIF(Table228[[#All],[Asset]],Table228[[#This Row],[Asset]],Table228[[#All],[Bought number]])</f>
        <v>6</v>
      </c>
      <c r="M55">
        <f>SUMIF(Table228[[#All],[Asset]],Table228[[#This Row],[Asset]],Table228[[#All],[Sold Number]])</f>
        <v>6</v>
      </c>
      <c r="N55" s="15">
        <f>SUMIF(Table228[[#All],[Asset]],Table228[[#This Row],[Asset]],Table228[[#All],[Bought amount]])</f>
        <v>5550</v>
      </c>
      <c r="O55" s="15">
        <f>SUMIF(Table228[[#All],[Asset]],Table228[[#This Row],[Asset]],Table228[[#All],[Sold amount]])</f>
        <v>609</v>
      </c>
      <c r="P55" s="75">
        <f>Table228[[#This Row],[Total bought Amount]]/Table228[[#This Row],[Total bought Number]]</f>
        <v>925</v>
      </c>
      <c r="Q55" s="75">
        <f>IFERROR(Table228[[#This Row],[Total Sold Amount]]/Table228[[#This Row],[Total Sold Number]],0)</f>
        <v>101.5</v>
      </c>
      <c r="R55" s="21">
        <f>Table228[[#This Row],[Total bought Number]]-Table228[[#This Row],[Total Sold Number]]</f>
        <v>0</v>
      </c>
      <c r="S55" s="59">
        <f>(Table228[[#This Row],[Ave exit price]]-Table228[[#This Row],[Ave Entry price]])*Table228[[#This Row],[Total Sold Number]]</f>
        <v>-4941</v>
      </c>
      <c r="T55" s="15">
        <f>(Table228[[#This Row],[Current Price]]-Table228[[#This Row],[Ave Entry price]])*Table228[[#This Row],[How many tokens now]]</f>
        <v>0</v>
      </c>
      <c r="U55" s="76">
        <f>VLOOKUP(Table228[[#This Row],[Asset]],Table26[#All],10,FALSE)</f>
        <v>710</v>
      </c>
    </row>
    <row r="56" spans="1:21">
      <c r="A56" t="s">
        <v>238</v>
      </c>
      <c r="B56" s="68">
        <v>45352</v>
      </c>
      <c r="C56" s="3" t="s">
        <v>176</v>
      </c>
      <c r="D56" t="s">
        <v>174</v>
      </c>
      <c r="E56" t="s">
        <v>270</v>
      </c>
      <c r="F56" s="17">
        <v>0</v>
      </c>
      <c r="G56" s="73">
        <v>1</v>
      </c>
      <c r="H56" s="61">
        <f t="shared" si="16"/>
        <v>1</v>
      </c>
      <c r="I56" s="67">
        <f t="shared" si="17"/>
        <v>0</v>
      </c>
      <c r="J56" s="15">
        <f t="shared" si="18"/>
        <v>0</v>
      </c>
      <c r="K56" s="15">
        <f t="shared" si="19"/>
        <v>0</v>
      </c>
      <c r="L56">
        <f>SUMIF(Table228[[#All],[Asset]],Table228[[#This Row],[Asset]],Table228[[#All],[Bought number]])</f>
        <v>1</v>
      </c>
      <c r="M56">
        <f>SUMIF(Table228[[#All],[Asset]],Table228[[#This Row],[Asset]],Table228[[#All],[Sold Number]])</f>
        <v>0</v>
      </c>
      <c r="N56" s="15">
        <f>SUMIF(Table228[[#All],[Asset]],Table228[[#This Row],[Asset]],Table228[[#All],[Bought amount]])</f>
        <v>0</v>
      </c>
      <c r="O56" s="15">
        <f>SUMIF(Table228[[#All],[Asset]],Table228[[#This Row],[Asset]],Table228[[#All],[Sold amount]])</f>
        <v>0</v>
      </c>
      <c r="P56" s="75">
        <f>Table228[[#This Row],[Total bought Amount]]/Table228[[#This Row],[Total bought Number]]</f>
        <v>0</v>
      </c>
      <c r="Q56" s="75">
        <f>IFERROR(Table228[[#This Row],[Total Sold Amount]]/Table228[[#This Row],[Total Sold Number]],0)</f>
        <v>0</v>
      </c>
      <c r="R56" s="21">
        <f>Table228[[#This Row],[Total bought Number]]-Table228[[#This Row],[Total Sold Number]]</f>
        <v>1</v>
      </c>
      <c r="S56" s="59">
        <f>(Table228[[#This Row],[Ave exit price]]-Table228[[#This Row],[Ave Entry price]])*Table228[[#This Row],[Total Sold Number]]</f>
        <v>0</v>
      </c>
      <c r="T56" s="15">
        <f>(Table228[[#This Row],[Current Price]]-Table228[[#This Row],[Ave Entry price]])*Table228[[#This Row],[How many tokens now]]</f>
        <v>188</v>
      </c>
      <c r="U56" s="76">
        <f>VLOOKUP(Table228[[#This Row],[Asset]],Table26[#All],10,FALSE)</f>
        <v>188</v>
      </c>
    </row>
    <row r="57" spans="1:21">
      <c r="A57" t="s">
        <v>272</v>
      </c>
      <c r="B57" s="68">
        <v>45352</v>
      </c>
      <c r="C57" s="3" t="s">
        <v>180</v>
      </c>
      <c r="D57" t="s">
        <v>174</v>
      </c>
      <c r="E57" t="s">
        <v>270</v>
      </c>
      <c r="F57" s="17">
        <v>0</v>
      </c>
      <c r="G57" s="73">
        <v>30</v>
      </c>
      <c r="H57" s="61">
        <f t="shared" si="16"/>
        <v>30</v>
      </c>
      <c r="I57" s="67">
        <f t="shared" si="17"/>
        <v>0</v>
      </c>
      <c r="J57" s="15">
        <f t="shared" si="18"/>
        <v>0</v>
      </c>
      <c r="K57" s="15">
        <f t="shared" si="19"/>
        <v>0</v>
      </c>
      <c r="L57">
        <f>SUMIF(Table228[[#All],[Asset]],Table228[[#This Row],[Asset]],Table228[[#All],[Bought number]])</f>
        <v>33.299999999999997</v>
      </c>
      <c r="M57">
        <f>SUMIF(Table228[[#All],[Asset]],Table228[[#This Row],[Asset]],Table228[[#All],[Sold Number]])</f>
        <v>0</v>
      </c>
      <c r="N57" s="15">
        <f>SUMIF(Table228[[#All],[Asset]],Table228[[#This Row],[Asset]],Table228[[#All],[Bought amount]])</f>
        <v>72.599999999999994</v>
      </c>
      <c r="O57" s="15">
        <f>SUMIF(Table228[[#All],[Asset]],Table228[[#This Row],[Asset]],Table228[[#All],[Sold amount]])</f>
        <v>0</v>
      </c>
      <c r="P57" s="75">
        <f>Table228[[#This Row],[Total bought Amount]]/Table228[[#This Row],[Total bought Number]]</f>
        <v>2.1801801801801801</v>
      </c>
      <c r="Q57" s="75">
        <f>IFERROR(Table228[[#This Row],[Total Sold Amount]]/Table228[[#This Row],[Total Sold Number]],0)</f>
        <v>0</v>
      </c>
      <c r="R57" s="21">
        <f>Table228[[#This Row],[Total bought Number]]-Table228[[#This Row],[Total Sold Number]]</f>
        <v>33.299999999999997</v>
      </c>
      <c r="S57" s="59">
        <f>(Table228[[#This Row],[Ave exit price]]-Table228[[#This Row],[Ave Entry price]])*Table228[[#This Row],[Total Sold Number]]</f>
        <v>0</v>
      </c>
      <c r="T57" s="15">
        <f>(Table228[[#This Row],[Current Price]]-Table228[[#This Row],[Ave Entry price]])*Table228[[#This Row],[How many tokens now]]</f>
        <v>660</v>
      </c>
      <c r="U57" s="76">
        <f>VLOOKUP(Table228[[#This Row],[Asset]],Table26[#All],10,FALSE)</f>
        <v>22</v>
      </c>
    </row>
    <row r="58" spans="1:21">
      <c r="A58" t="s">
        <v>272</v>
      </c>
      <c r="B58" s="68">
        <v>45485</v>
      </c>
      <c r="C58" s="3" t="s">
        <v>180</v>
      </c>
      <c r="D58" t="s">
        <v>262</v>
      </c>
      <c r="E58" t="s">
        <v>263</v>
      </c>
      <c r="F58" s="17">
        <v>22</v>
      </c>
      <c r="G58" s="73">
        <v>3.3</v>
      </c>
      <c r="H58" s="61">
        <f t="shared" si="16"/>
        <v>3.3</v>
      </c>
      <c r="I58" s="67">
        <f t="shared" si="17"/>
        <v>0</v>
      </c>
      <c r="J58" s="15">
        <f t="shared" si="18"/>
        <v>72.599999999999994</v>
      </c>
      <c r="K58" s="15">
        <f t="shared" si="19"/>
        <v>0</v>
      </c>
      <c r="L58">
        <f>SUMIF(Table228[[#All],[Asset]],Table228[[#This Row],[Asset]],Table228[[#All],[Bought number]])</f>
        <v>33.299999999999997</v>
      </c>
      <c r="M58">
        <f>SUMIF(Table228[[#All],[Asset]],Table228[[#This Row],[Asset]],Table228[[#All],[Sold Number]])</f>
        <v>0</v>
      </c>
      <c r="N58" s="15">
        <f>SUMIF(Table228[[#All],[Asset]],Table228[[#This Row],[Asset]],Table228[[#All],[Bought amount]])</f>
        <v>72.599999999999994</v>
      </c>
      <c r="O58" s="15">
        <f>SUMIF(Table228[[#All],[Asset]],Table228[[#This Row],[Asset]],Table228[[#All],[Sold amount]])</f>
        <v>0</v>
      </c>
      <c r="P58" s="75">
        <f>Table228[[#This Row],[Total bought Amount]]/Table228[[#This Row],[Total bought Number]]</f>
        <v>2.1801801801801801</v>
      </c>
      <c r="Q58" s="75">
        <f>IFERROR(Table228[[#This Row],[Total Sold Amount]]/Table228[[#This Row],[Total Sold Number]],0)</f>
        <v>0</v>
      </c>
      <c r="R58" s="21">
        <f>Table228[[#This Row],[Total bought Number]]-Table228[[#This Row],[Total Sold Number]]</f>
        <v>33.299999999999997</v>
      </c>
      <c r="S58" s="59">
        <f>(Table228[[#This Row],[Ave exit price]]-Table228[[#This Row],[Ave Entry price]])*Table228[[#This Row],[Total Sold Number]]</f>
        <v>0</v>
      </c>
      <c r="T58" s="15">
        <f>(Table228[[#This Row],[Current Price]]-Table228[[#This Row],[Ave Entry price]])*Table228[[#This Row],[How many tokens now]]</f>
        <v>660</v>
      </c>
      <c r="U58" s="76">
        <f>VLOOKUP(Table228[[#This Row],[Asset]],Table26[#All],10,FALSE)</f>
        <v>22</v>
      </c>
    </row>
    <row r="59" spans="1:21">
      <c r="A59" t="s">
        <v>160</v>
      </c>
      <c r="B59" s="68">
        <v>45474</v>
      </c>
      <c r="C59" s="3" t="s">
        <v>180</v>
      </c>
      <c r="D59" t="s">
        <v>174</v>
      </c>
      <c r="E59" t="s">
        <v>189</v>
      </c>
      <c r="F59" s="17">
        <v>0.09</v>
      </c>
      <c r="G59" s="73">
        <v>7624</v>
      </c>
      <c r="H59" s="61">
        <f t="shared" ref="H59:H70" si="20">IF(G59&gt;0,G59,0)</f>
        <v>7624</v>
      </c>
      <c r="I59" s="67">
        <f t="shared" ref="I59:I70" si="21">IF(G59&lt;0,ABS(G59),0)</f>
        <v>0</v>
      </c>
      <c r="J59" s="15">
        <f t="shared" ref="J59:J70" si="22">H59*F59</f>
        <v>686.16</v>
      </c>
      <c r="K59" s="15">
        <f t="shared" ref="K59:K70" si="23">I59*F59</f>
        <v>0</v>
      </c>
      <c r="L59">
        <f>SUMIF(Table228[[#All],[Asset]],Table228[[#This Row],[Asset]],Table228[[#All],[Bought number]])</f>
        <v>7624</v>
      </c>
      <c r="M59">
        <f>SUMIF(Table228[[#All],[Asset]],Table228[[#This Row],[Asset]],Table228[[#All],[Sold Number]])</f>
        <v>5602.22</v>
      </c>
      <c r="N59" s="15">
        <f>SUMIF(Table228[[#All],[Asset]],Table228[[#This Row],[Asset]],Table228[[#All],[Bought amount]])</f>
        <v>686.16</v>
      </c>
      <c r="O59" s="15">
        <f>SUMIF(Table228[[#All],[Asset]],Table228[[#This Row],[Asset]],Table228[[#All],[Sold amount]])</f>
        <v>507.00091000000003</v>
      </c>
      <c r="P59" s="75">
        <f>Table228[[#This Row],[Total bought Amount]]/Table228[[#This Row],[Total bought Number]]</f>
        <v>0.09</v>
      </c>
      <c r="Q59" s="75">
        <f>IFERROR(Table228[[#This Row],[Total Sold Amount]]/Table228[[#This Row],[Total Sold Number]],0)</f>
        <v>9.0499999999999997E-2</v>
      </c>
      <c r="R59" s="21">
        <f>Table228[[#This Row],[Total bought Number]]-Table228[[#This Row],[Total Sold Number]]</f>
        <v>2021.7799999999997</v>
      </c>
      <c r="S59" s="59">
        <f>(Table228[[#This Row],[Ave exit price]]-Table228[[#This Row],[Ave Entry price]])*Table228[[#This Row],[Total Sold Number]]</f>
        <v>2.8011100000000027</v>
      </c>
      <c r="T59" s="15">
        <f>(Table228[[#This Row],[Current Price]]-Table228[[#This Row],[Ave Entry price]])*Table228[[#This Row],[How many tokens now]]</f>
        <v>-66.718739999999983</v>
      </c>
      <c r="U59" s="76">
        <f>VLOOKUP(Table228[[#This Row],[Asset]],Table26[#All],10,FALSE)</f>
        <v>5.7000000000000002E-2</v>
      </c>
    </row>
    <row r="60" spans="1:21">
      <c r="A60" t="s">
        <v>35</v>
      </c>
      <c r="B60" s="68">
        <v>45487</v>
      </c>
      <c r="C60" s="3" t="s">
        <v>176</v>
      </c>
      <c r="D60" t="s">
        <v>174</v>
      </c>
      <c r="E60" t="s">
        <v>243</v>
      </c>
      <c r="F60" s="17">
        <v>150</v>
      </c>
      <c r="G60" s="73">
        <v>-1.5</v>
      </c>
      <c r="H60" s="61">
        <f t="shared" si="20"/>
        <v>0</v>
      </c>
      <c r="I60" s="67">
        <f t="shared" si="21"/>
        <v>1.5</v>
      </c>
      <c r="J60" s="15">
        <f t="shared" si="22"/>
        <v>0</v>
      </c>
      <c r="K60" s="15">
        <f t="shared" si="23"/>
        <v>225</v>
      </c>
      <c r="L60">
        <f>SUMIF(Table228[[#All],[Asset]],Table228[[#This Row],[Asset]],Table228[[#All],[Bought number]])</f>
        <v>154.92660000000001</v>
      </c>
      <c r="M60">
        <f>SUMIF(Table228[[#All],[Asset]],Table228[[#This Row],[Asset]],Table228[[#All],[Sold Number]])</f>
        <v>79.674999999999997</v>
      </c>
      <c r="N60" s="15">
        <f>SUMIF(Table228[[#All],[Asset]],Table228[[#This Row],[Asset]],Table228[[#All],[Bought amount]])</f>
        <v>22897.17</v>
      </c>
      <c r="O60" s="15">
        <f>SUMIF(Table228[[#All],[Asset]],Table228[[#This Row],[Asset]],Table228[[#All],[Sold amount]])</f>
        <v>11736.940868199999</v>
      </c>
      <c r="P60" s="75">
        <f>Table228[[#This Row],[Total bought Amount]]/Table228[[#This Row],[Total bought Number]]</f>
        <v>147.79366487097758</v>
      </c>
      <c r="Q60" s="75">
        <f>IFERROR(Table228[[#This Row],[Total Sold Amount]]/Table228[[#This Row],[Total Sold Number]],0)</f>
        <v>147.31020857483526</v>
      </c>
      <c r="R60" s="21">
        <f>Table228[[#This Row],[Total bought Number]]-Table228[[#This Row],[Total Sold Number]]</f>
        <v>75.25160000000001</v>
      </c>
      <c r="S60" s="59">
        <f>(Table228[[#This Row],[Ave exit price]]-Table228[[#This Row],[Ave Entry price]])*Table228[[#This Row],[Total Sold Number]]</f>
        <v>-38.519380395139478</v>
      </c>
      <c r="T60" s="15">
        <f>(Table228[[#This Row],[Current Price]]-Table228[[#This Row],[Ave Entry price]])*Table228[[#This Row],[How many tokens now]]</f>
        <v>1671.0622485951437</v>
      </c>
      <c r="U60" s="76">
        <f>VLOOKUP(Table228[[#This Row],[Asset]],Table26[#All],10,FALSE)</f>
        <v>170</v>
      </c>
    </row>
    <row r="61" spans="1:21">
      <c r="A61" t="s">
        <v>273</v>
      </c>
      <c r="B61" s="68">
        <v>45487</v>
      </c>
      <c r="C61" s="3" t="s">
        <v>176</v>
      </c>
      <c r="D61" t="s">
        <v>174</v>
      </c>
      <c r="E61" t="s">
        <v>243</v>
      </c>
      <c r="F61" s="17">
        <f>150*1.5/Table228[[#This Row],[Number]]</f>
        <v>7.9155672823219003E-3</v>
      </c>
      <c r="G61" s="73">
        <v>28425</v>
      </c>
      <c r="H61" s="61">
        <f t="shared" si="20"/>
        <v>28425</v>
      </c>
      <c r="I61" s="67">
        <f t="shared" si="21"/>
        <v>0</v>
      </c>
      <c r="J61" s="15">
        <f t="shared" si="22"/>
        <v>225.00000000000003</v>
      </c>
      <c r="K61" s="15">
        <f t="shared" si="23"/>
        <v>0</v>
      </c>
      <c r="L61">
        <f>SUMIF(Table228[[#All],[Asset]],Table228[[#This Row],[Asset]],Table228[[#All],[Bought number]])</f>
        <v>798337.86606299994</v>
      </c>
      <c r="M61">
        <f>SUMIF(Table228[[#All],[Asset]],Table228[[#This Row],[Asset]],Table228[[#All],[Sold Number]])</f>
        <v>798338.03632399999</v>
      </c>
      <c r="N61" s="15">
        <f>SUMIF(Table228[[#All],[Asset]],Table228[[#This Row],[Asset]],Table228[[#All],[Bought amount]])</f>
        <v>24349.581039704975</v>
      </c>
      <c r="O61" s="15">
        <f>SUMIF(Table228[[#All],[Asset]],Table228[[#This Row],[Asset]],Table228[[#All],[Sold amount]])</f>
        <v>12344.863481975535</v>
      </c>
      <c r="P61" s="75">
        <f>Table228[[#This Row],[Total bought Amount]]/Table228[[#This Row],[Total bought Number]]</f>
        <v>3.0500345874591717E-2</v>
      </c>
      <c r="Q61" s="75">
        <f>IFERROR(Table228[[#This Row],[Total Sold Amount]]/Table228[[#This Row],[Total Sold Number]],0)</f>
        <v>1.5463203455541554E-2</v>
      </c>
      <c r="R61" s="21">
        <f>Table228[[#This Row],[Total bought Number]]-Table228[[#This Row],[Total Sold Number]]</f>
        <v>-0.17026100005023181</v>
      </c>
      <c r="S61" s="59">
        <f>(Table228[[#This Row],[Ave exit price]]-Table228[[#This Row],[Ave Entry price]])*Table228[[#This Row],[Total Sold Number]]</f>
        <v>-12004.72275074883</v>
      </c>
      <c r="T61" s="15">
        <f>(Table228[[#This Row],[Current Price]]-Table228[[#This Row],[Ave Entry price]])*Table228[[#This Row],[How many tokens now]]</f>
        <v>3.3201483899333983E-3</v>
      </c>
      <c r="U61" s="76">
        <f>VLOOKUP(Table228[[#This Row],[Asset]],Table26[#All],10,FALSE)</f>
        <v>1.0999999999999999E-2</v>
      </c>
    </row>
    <row r="62" spans="1:21">
      <c r="A62" t="s">
        <v>274</v>
      </c>
      <c r="B62" s="68">
        <v>45488</v>
      </c>
      <c r="C62" s="3" t="s">
        <v>176</v>
      </c>
      <c r="D62" t="s">
        <v>174</v>
      </c>
      <c r="E62" t="s">
        <v>189</v>
      </c>
      <c r="F62" s="17">
        <v>4.0000000000000001E-3</v>
      </c>
      <c r="G62" s="73">
        <v>16500</v>
      </c>
      <c r="H62" s="61">
        <f t="shared" si="20"/>
        <v>16500</v>
      </c>
      <c r="I62" s="67">
        <f t="shared" si="21"/>
        <v>0</v>
      </c>
      <c r="J62" s="15">
        <f t="shared" si="22"/>
        <v>66</v>
      </c>
      <c r="K62" s="15">
        <f t="shared" si="23"/>
        <v>0</v>
      </c>
      <c r="L62">
        <f>SUMIF(Table228[[#All],[Asset]],Table228[[#This Row],[Asset]],Table228[[#All],[Bought number]])</f>
        <v>16500</v>
      </c>
      <c r="M62">
        <f>SUMIF(Table228[[#All],[Asset]],Table228[[#This Row],[Asset]],Table228[[#All],[Sold Number]])</f>
        <v>0</v>
      </c>
      <c r="N62" s="15">
        <f>SUMIF(Table228[[#All],[Asset]],Table228[[#This Row],[Asset]],Table228[[#All],[Bought amount]])</f>
        <v>66</v>
      </c>
      <c r="O62" s="15">
        <f>SUMIF(Table228[[#All],[Asset]],Table228[[#This Row],[Asset]],Table228[[#All],[Sold amount]])</f>
        <v>0</v>
      </c>
      <c r="P62" s="75">
        <f>Table228[[#This Row],[Total bought Amount]]/Table228[[#This Row],[Total bought Number]]</f>
        <v>4.0000000000000001E-3</v>
      </c>
      <c r="Q62" s="75">
        <f>IFERROR(Table228[[#This Row],[Total Sold Amount]]/Table228[[#This Row],[Total Sold Number]],0)</f>
        <v>0</v>
      </c>
      <c r="R62" s="21">
        <f>Table228[[#This Row],[Total bought Number]]-Table228[[#This Row],[Total Sold Number]]</f>
        <v>16500</v>
      </c>
      <c r="S62" s="59">
        <f>(Table228[[#This Row],[Ave exit price]]-Table228[[#This Row],[Ave Entry price]])*Table228[[#This Row],[Total Sold Number]]</f>
        <v>0</v>
      </c>
      <c r="T62" s="15">
        <f>(Table228[[#This Row],[Current Price]]-Table228[[#This Row],[Ave Entry price]])*Table228[[#This Row],[How many tokens now]]</f>
        <v>-1.2704999999999969</v>
      </c>
      <c r="U62" s="76">
        <f>VLOOKUP(Table228[[#This Row],[Asset]],Table26[#All],10,FALSE)</f>
        <v>3.9230000000000003E-3</v>
      </c>
    </row>
    <row r="63" spans="1:21">
      <c r="A63" t="s">
        <v>222</v>
      </c>
      <c r="B63" s="68">
        <v>45413</v>
      </c>
      <c r="C63" s="3" t="s">
        <v>176</v>
      </c>
      <c r="D63" t="s">
        <v>174</v>
      </c>
      <c r="E63" t="s">
        <v>276</v>
      </c>
      <c r="F63" s="17">
        <v>180</v>
      </c>
      <c r="G63" s="73">
        <v>53</v>
      </c>
      <c r="H63" s="61">
        <f t="shared" si="20"/>
        <v>53</v>
      </c>
      <c r="I63" s="67">
        <f t="shared" si="21"/>
        <v>0</v>
      </c>
      <c r="J63" s="15">
        <f t="shared" si="22"/>
        <v>9540</v>
      </c>
      <c r="K63" s="15">
        <f t="shared" si="23"/>
        <v>0</v>
      </c>
      <c r="L63">
        <f>SUMIF(Table228[[#All],[Asset]],Table228[[#This Row],[Asset]],Table228[[#All],[Bought number]])</f>
        <v>54</v>
      </c>
      <c r="M63">
        <f>SUMIF(Table228[[#All],[Asset]],Table228[[#This Row],[Asset]],Table228[[#All],[Sold Number]])</f>
        <v>53</v>
      </c>
      <c r="N63" s="15">
        <f>SUMIF(Table228[[#All],[Asset]],Table228[[#This Row],[Asset]],Table228[[#All],[Bought amount]])</f>
        <v>9740</v>
      </c>
      <c r="O63" s="15">
        <f>SUMIF(Table228[[#All],[Asset]],Table228[[#This Row],[Asset]],Table228[[#All],[Sold amount]])</f>
        <v>3141</v>
      </c>
      <c r="P63" s="75">
        <f>Table228[[#This Row],[Total bought Amount]]/Table228[[#This Row],[Total bought Number]]</f>
        <v>180.37037037037038</v>
      </c>
      <c r="Q63" s="75">
        <f>IFERROR(Table228[[#This Row],[Total Sold Amount]]/Table228[[#This Row],[Total Sold Number]],0)</f>
        <v>59.264150943396224</v>
      </c>
      <c r="R63" s="21">
        <f>Table228[[#This Row],[Total bought Number]]-Table228[[#This Row],[Total Sold Number]]</f>
        <v>1</v>
      </c>
      <c r="S63" s="59">
        <f>(Table228[[#This Row],[Ave exit price]]-Table228[[#This Row],[Ave Entry price]])*Table228[[#This Row],[Total Sold Number]]</f>
        <v>-6418.6296296296296</v>
      </c>
      <c r="T63" s="15">
        <f>(Table228[[#This Row],[Current Price]]-Table228[[#This Row],[Ave Entry price]])*Table228[[#This Row],[How many tokens now]]</f>
        <v>-69.370370370370381</v>
      </c>
      <c r="U63" s="76">
        <f>VLOOKUP(Table228[[#This Row],[Asset]],Table26[#All],10,FALSE)</f>
        <v>111</v>
      </c>
    </row>
    <row r="64" spans="1:21">
      <c r="A64" t="s">
        <v>178</v>
      </c>
      <c r="B64" s="68">
        <v>45413</v>
      </c>
      <c r="C64" s="3" t="s">
        <v>176</v>
      </c>
      <c r="D64" t="s">
        <v>174</v>
      </c>
      <c r="E64" t="s">
        <v>276</v>
      </c>
      <c r="F64" s="17">
        <v>700</v>
      </c>
      <c r="G64" s="73">
        <v>2</v>
      </c>
      <c r="H64" s="61">
        <f t="shared" si="20"/>
        <v>2</v>
      </c>
      <c r="I64" s="67">
        <f t="shared" si="21"/>
        <v>0</v>
      </c>
      <c r="J64" s="15">
        <f t="shared" si="22"/>
        <v>1400</v>
      </c>
      <c r="K64" s="15">
        <f t="shared" si="23"/>
        <v>0</v>
      </c>
      <c r="L64">
        <f>SUMIF(Table228[[#All],[Asset]],Table228[[#This Row],[Asset]],Table228[[#All],[Bought number]])</f>
        <v>6</v>
      </c>
      <c r="M64">
        <f>SUMIF(Table228[[#All],[Asset]],Table228[[#This Row],[Asset]],Table228[[#All],[Sold Number]])</f>
        <v>6</v>
      </c>
      <c r="N64" s="15">
        <f>SUMIF(Table228[[#All],[Asset]],Table228[[#This Row],[Asset]],Table228[[#All],[Bought amount]])</f>
        <v>5550</v>
      </c>
      <c r="O64" s="15">
        <f>SUMIF(Table228[[#All],[Asset]],Table228[[#This Row],[Asset]],Table228[[#All],[Sold amount]])</f>
        <v>609</v>
      </c>
      <c r="P64" s="75">
        <f>Table228[[#This Row],[Total bought Amount]]/Table228[[#This Row],[Total bought Number]]</f>
        <v>925</v>
      </c>
      <c r="Q64" s="75">
        <f>IFERROR(Table228[[#This Row],[Total Sold Amount]]/Table228[[#This Row],[Total Sold Number]],0)</f>
        <v>101.5</v>
      </c>
      <c r="R64" s="21">
        <f>Table228[[#This Row],[Total bought Number]]-Table228[[#This Row],[Total Sold Number]]</f>
        <v>0</v>
      </c>
      <c r="S64" s="59">
        <f>(Table228[[#This Row],[Ave exit price]]-Table228[[#This Row],[Ave Entry price]])*Table228[[#This Row],[Total Sold Number]]</f>
        <v>-4941</v>
      </c>
      <c r="T64" s="15">
        <f>(Table228[[#This Row],[Current Price]]-Table228[[#This Row],[Ave Entry price]])*Table228[[#This Row],[How many tokens now]]</f>
        <v>0</v>
      </c>
      <c r="U64" s="76">
        <f>VLOOKUP(Table228[[#This Row],[Asset]],Table26[#All],10,FALSE)</f>
        <v>710</v>
      </c>
    </row>
    <row r="65" spans="1:21">
      <c r="A65" t="s">
        <v>227</v>
      </c>
      <c r="B65" s="68">
        <v>45474</v>
      </c>
      <c r="C65" s="3" t="s">
        <v>176</v>
      </c>
      <c r="D65" t="s">
        <v>174</v>
      </c>
      <c r="E65" t="s">
        <v>276</v>
      </c>
      <c r="F65" s="17">
        <v>80</v>
      </c>
      <c r="G65" s="73">
        <v>4</v>
      </c>
      <c r="H65" s="61">
        <f t="shared" si="20"/>
        <v>4</v>
      </c>
      <c r="I65" s="67">
        <f t="shared" si="21"/>
        <v>0</v>
      </c>
      <c r="J65" s="15">
        <f t="shared" si="22"/>
        <v>320</v>
      </c>
      <c r="K65" s="15">
        <f t="shared" si="23"/>
        <v>0</v>
      </c>
      <c r="L65">
        <f>SUMIF(Table228[[#All],[Asset]],Table228[[#This Row],[Asset]],Table228[[#All],[Bought number]])</f>
        <v>4</v>
      </c>
      <c r="M65">
        <f>SUMIF(Table228[[#All],[Asset]],Table228[[#This Row],[Asset]],Table228[[#All],[Sold Number]])</f>
        <v>4</v>
      </c>
      <c r="N65" s="15">
        <f>SUMIF(Table228[[#All],[Asset]],Table228[[#This Row],[Asset]],Table228[[#All],[Bought amount]])</f>
        <v>320</v>
      </c>
      <c r="O65" s="15">
        <f>SUMIF(Table228[[#All],[Asset]],Table228[[#This Row],[Asset]],Table228[[#All],[Sold amount]])</f>
        <v>788</v>
      </c>
      <c r="P65" s="75">
        <f>Table228[[#This Row],[Total bought Amount]]/Table228[[#This Row],[Total bought Number]]</f>
        <v>80</v>
      </c>
      <c r="Q65" s="75">
        <f>IFERROR(Table228[[#This Row],[Total Sold Amount]]/Table228[[#This Row],[Total Sold Number]],0)</f>
        <v>197</v>
      </c>
      <c r="R65" s="21">
        <f>Table228[[#This Row],[Total bought Number]]-Table228[[#This Row],[Total Sold Number]]</f>
        <v>0</v>
      </c>
      <c r="S65" s="59">
        <f>(Table228[[#This Row],[Ave exit price]]-Table228[[#This Row],[Ave Entry price]])*Table228[[#This Row],[Total Sold Number]]</f>
        <v>468</v>
      </c>
      <c r="T65" s="15">
        <f>(Table228[[#This Row],[Current Price]]-Table228[[#This Row],[Ave Entry price]])*Table228[[#This Row],[How many tokens now]]</f>
        <v>0</v>
      </c>
      <c r="U65" s="76">
        <f>VLOOKUP(Table228[[#This Row],[Asset]],Table26[#All],10,FALSE)</f>
        <v>287</v>
      </c>
    </row>
    <row r="66" spans="1:21">
      <c r="A66" t="s">
        <v>239</v>
      </c>
      <c r="B66" s="68">
        <v>45413</v>
      </c>
      <c r="C66" s="3" t="s">
        <v>176</v>
      </c>
      <c r="D66" t="s">
        <v>174</v>
      </c>
      <c r="E66" t="s">
        <v>276</v>
      </c>
      <c r="F66" s="17">
        <v>30</v>
      </c>
      <c r="G66" s="73">
        <v>70</v>
      </c>
      <c r="H66" s="61">
        <f t="shared" si="20"/>
        <v>70</v>
      </c>
      <c r="I66" s="67">
        <f t="shared" si="21"/>
        <v>0</v>
      </c>
      <c r="J66" s="15">
        <f t="shared" si="22"/>
        <v>2100</v>
      </c>
      <c r="K66" s="15">
        <f t="shared" si="23"/>
        <v>0</v>
      </c>
      <c r="L66">
        <f>SUMIF(Table228[[#All],[Asset]],Table228[[#This Row],[Asset]],Table228[[#All],[Bought number]])</f>
        <v>88</v>
      </c>
      <c r="M66">
        <f>SUMIF(Table228[[#All],[Asset]],Table228[[#This Row],[Asset]],Table228[[#All],[Sold Number]])</f>
        <v>88</v>
      </c>
      <c r="N66" s="15">
        <f>SUMIF(Table228[[#All],[Asset]],Table228[[#This Row],[Asset]],Table228[[#All],[Bought amount]])</f>
        <v>2640</v>
      </c>
      <c r="O66" s="15">
        <f>SUMIF(Table228[[#All],[Asset]],Table228[[#This Row],[Asset]],Table228[[#All],[Sold amount]])</f>
        <v>88</v>
      </c>
      <c r="P66" s="75">
        <f>Table228[[#This Row],[Total bought Amount]]/Table228[[#This Row],[Total bought Number]]</f>
        <v>30</v>
      </c>
      <c r="Q66" s="75">
        <f>IFERROR(Table228[[#This Row],[Total Sold Amount]]/Table228[[#This Row],[Total Sold Number]],0)</f>
        <v>1</v>
      </c>
      <c r="R66" s="21">
        <f>Table228[[#This Row],[Total bought Number]]-Table228[[#This Row],[Total Sold Number]]</f>
        <v>0</v>
      </c>
      <c r="S66" s="59">
        <f>(Table228[[#This Row],[Ave exit price]]-Table228[[#This Row],[Ave Entry price]])*Table228[[#This Row],[Total Sold Number]]</f>
        <v>-2552</v>
      </c>
      <c r="T66" s="15">
        <f>(Table228[[#This Row],[Current Price]]-Table228[[#This Row],[Ave Entry price]])*Table228[[#This Row],[How many tokens now]]</f>
        <v>0</v>
      </c>
      <c r="U66" s="76">
        <f>VLOOKUP(Table228[[#This Row],[Asset]],Table26[#All],10,FALSE)</f>
        <v>2.84</v>
      </c>
    </row>
    <row r="67" spans="1:21">
      <c r="A67" t="s">
        <v>235</v>
      </c>
      <c r="B67" s="68">
        <v>45352</v>
      </c>
      <c r="C67" s="3" t="s">
        <v>176</v>
      </c>
      <c r="D67" t="s">
        <v>174</v>
      </c>
      <c r="E67" t="s">
        <v>276</v>
      </c>
      <c r="F67" s="17">
        <v>50</v>
      </c>
      <c r="G67" s="73">
        <v>5</v>
      </c>
      <c r="H67" s="61">
        <f t="shared" si="20"/>
        <v>5</v>
      </c>
      <c r="I67" s="67">
        <f t="shared" si="21"/>
        <v>0</v>
      </c>
      <c r="J67" s="15">
        <f t="shared" si="22"/>
        <v>250</v>
      </c>
      <c r="K67" s="15">
        <f t="shared" si="23"/>
        <v>0</v>
      </c>
      <c r="L67">
        <f>SUMIF(Table228[[#All],[Asset]],Table228[[#This Row],[Asset]],Table228[[#All],[Bought number]])</f>
        <v>5</v>
      </c>
      <c r="M67">
        <f>SUMIF(Table228[[#All],[Asset]],Table228[[#This Row],[Asset]],Table228[[#All],[Sold Number]])</f>
        <v>5</v>
      </c>
      <c r="N67" s="15">
        <f>SUMIF(Table228[[#All],[Asset]],Table228[[#This Row],[Asset]],Table228[[#All],[Bought amount]])</f>
        <v>250</v>
      </c>
      <c r="O67" s="15">
        <f>SUMIF(Table228[[#All],[Asset]],Table228[[#This Row],[Asset]],Table228[[#All],[Sold amount]])</f>
        <v>15</v>
      </c>
      <c r="P67" s="75">
        <f>Table228[[#This Row],[Total bought Amount]]/Table228[[#This Row],[Total bought Number]]</f>
        <v>50</v>
      </c>
      <c r="Q67" s="75">
        <f>IFERROR(Table228[[#This Row],[Total Sold Amount]]/Table228[[#This Row],[Total Sold Number]],0)</f>
        <v>3</v>
      </c>
      <c r="R67" s="21">
        <f>Table228[[#This Row],[Total bought Number]]-Table228[[#This Row],[Total Sold Number]]</f>
        <v>0</v>
      </c>
      <c r="S67" s="59">
        <f>(Table228[[#This Row],[Ave exit price]]-Table228[[#This Row],[Ave Entry price]])*Table228[[#This Row],[Total Sold Number]]</f>
        <v>-235</v>
      </c>
      <c r="T67" s="15">
        <f>(Table228[[#This Row],[Current Price]]-Table228[[#This Row],[Ave Entry price]])*Table228[[#This Row],[How many tokens now]]</f>
        <v>0</v>
      </c>
      <c r="U67" s="76">
        <f>VLOOKUP(Table228[[#This Row],[Asset]],Table26[#All],10,FALSE)</f>
        <v>28.4</v>
      </c>
    </row>
    <row r="68" spans="1:21">
      <c r="A68" t="s">
        <v>277</v>
      </c>
      <c r="B68" s="68">
        <v>45352</v>
      </c>
      <c r="C68" s="3" t="s">
        <v>176</v>
      </c>
      <c r="D68" t="s">
        <v>174</v>
      </c>
      <c r="E68" t="s">
        <v>276</v>
      </c>
      <c r="F68" s="17">
        <v>20</v>
      </c>
      <c r="G68" s="73">
        <v>1</v>
      </c>
      <c r="H68" s="61">
        <f t="shared" si="20"/>
        <v>1</v>
      </c>
      <c r="I68" s="67">
        <f t="shared" si="21"/>
        <v>0</v>
      </c>
      <c r="J68" s="15">
        <f t="shared" si="22"/>
        <v>20</v>
      </c>
      <c r="K68" s="15">
        <f t="shared" si="23"/>
        <v>0</v>
      </c>
      <c r="L68">
        <f>SUMIF(Table228[[#All],[Asset]],Table228[[#This Row],[Asset]],Table228[[#All],[Bought number]])</f>
        <v>1</v>
      </c>
      <c r="M68">
        <f>SUMIF(Table228[[#All],[Asset]],Table228[[#This Row],[Asset]],Table228[[#All],[Sold Number]])</f>
        <v>0</v>
      </c>
      <c r="N68" s="15">
        <f>SUMIF(Table228[[#All],[Asset]],Table228[[#This Row],[Asset]],Table228[[#All],[Bought amount]])</f>
        <v>20</v>
      </c>
      <c r="O68" s="15">
        <f>SUMIF(Table228[[#All],[Asset]],Table228[[#This Row],[Asset]],Table228[[#All],[Sold amount]])</f>
        <v>0</v>
      </c>
      <c r="P68" s="75">
        <f>Table228[[#This Row],[Total bought Amount]]/Table228[[#This Row],[Total bought Number]]</f>
        <v>20</v>
      </c>
      <c r="Q68" s="75">
        <f>IFERROR(Table228[[#This Row],[Total Sold Amount]]/Table228[[#This Row],[Total Sold Number]],0)</f>
        <v>0</v>
      </c>
      <c r="R68" s="21">
        <f>Table228[[#This Row],[Total bought Number]]-Table228[[#This Row],[Total Sold Number]]</f>
        <v>1</v>
      </c>
      <c r="S68" s="59">
        <f>(Table228[[#This Row],[Ave exit price]]-Table228[[#This Row],[Ave Entry price]])*Table228[[#This Row],[Total Sold Number]]</f>
        <v>0</v>
      </c>
      <c r="T68" s="15">
        <f>(Table228[[#This Row],[Current Price]]-Table228[[#This Row],[Ave Entry price]])*Table228[[#This Row],[How many tokens now]]</f>
        <v>0</v>
      </c>
      <c r="U68" s="76">
        <f>VLOOKUP(Table228[[#This Row],[Asset]],Table26[#All],10,FALSE)</f>
        <v>20</v>
      </c>
    </row>
    <row r="69" spans="1:21">
      <c r="A69" t="s">
        <v>249</v>
      </c>
      <c r="B69" s="68">
        <v>45292</v>
      </c>
      <c r="C69" s="3" t="s">
        <v>176</v>
      </c>
      <c r="D69" t="s">
        <v>174</v>
      </c>
      <c r="E69" t="s">
        <v>285</v>
      </c>
      <c r="F69" s="17">
        <v>0.3</v>
      </c>
      <c r="G69" s="73">
        <v>11974.3696</v>
      </c>
      <c r="H69" s="61">
        <f t="shared" si="20"/>
        <v>11974.3696</v>
      </c>
      <c r="I69" s="67">
        <f t="shared" si="21"/>
        <v>0</v>
      </c>
      <c r="J69" s="15">
        <f t="shared" si="22"/>
        <v>3592.31088</v>
      </c>
      <c r="K69" s="15">
        <f t="shared" si="23"/>
        <v>0</v>
      </c>
      <c r="L69">
        <f>SUMIF(Table228[[#All],[Asset]],Table228[[#This Row],[Asset]],Table228[[#All],[Bought number]])</f>
        <v>12514.3696</v>
      </c>
      <c r="M69">
        <f>SUMIF(Table228[[#All],[Asset]],Table228[[#This Row],[Asset]],Table228[[#All],[Sold Number]])</f>
        <v>12514.3696</v>
      </c>
      <c r="N69" s="15">
        <f>SUMIF(Table228[[#All],[Asset]],Table228[[#This Row],[Asset]],Table228[[#All],[Bought amount]])</f>
        <v>3683.2522800000002</v>
      </c>
      <c r="O69" s="15">
        <f>SUMIF(Table228[[#All],[Asset]],Table228[[#This Row],[Asset]],Table228[[#All],[Sold amount]])</f>
        <v>2365.2158543999999</v>
      </c>
      <c r="P69" s="75">
        <f>Table228[[#This Row],[Total bought Amount]]/Table228[[#This Row],[Total bought Number]]</f>
        <v>0.29432183943168821</v>
      </c>
      <c r="Q69" s="75">
        <f>IFERROR(Table228[[#This Row],[Total Sold Amount]]/Table228[[#This Row],[Total Sold Number]],0)</f>
        <v>0.189</v>
      </c>
      <c r="R69" s="21">
        <f>Table228[[#This Row],[Total bought Number]]-Table228[[#This Row],[Total Sold Number]]</f>
        <v>0</v>
      </c>
      <c r="S69" s="59">
        <f>(Table228[[#This Row],[Ave exit price]]-Table228[[#This Row],[Ave Entry price]])*Table228[[#This Row],[Total Sold Number]]</f>
        <v>-1318.0364256000003</v>
      </c>
      <c r="T69" s="15">
        <f>(Table228[[#This Row],[Current Price]]-Table228[[#This Row],[Ave Entry price]])*Table228[[#This Row],[How many tokens now]]</f>
        <v>0</v>
      </c>
      <c r="U69" s="76">
        <f>VLOOKUP(Table228[[#This Row],[Asset]],Table26[#All],10,FALSE)</f>
        <v>0.1925</v>
      </c>
    </row>
    <row r="70" spans="1:21">
      <c r="A70" t="s">
        <v>286</v>
      </c>
      <c r="B70" s="68">
        <v>45474</v>
      </c>
      <c r="C70" s="3" t="s">
        <v>176</v>
      </c>
      <c r="D70" t="s">
        <v>174</v>
      </c>
      <c r="E70" t="s">
        <v>285</v>
      </c>
      <c r="F70" s="17">
        <v>0</v>
      </c>
      <c r="G70" s="73">
        <v>2975</v>
      </c>
      <c r="H70" s="61">
        <f t="shared" si="20"/>
        <v>2975</v>
      </c>
      <c r="I70" s="67">
        <f t="shared" si="21"/>
        <v>0</v>
      </c>
      <c r="J70" s="15">
        <f t="shared" si="22"/>
        <v>0</v>
      </c>
      <c r="K70" s="15">
        <f t="shared" si="23"/>
        <v>0</v>
      </c>
      <c r="L70">
        <f>SUMIF(Table228[[#All],[Asset]],Table228[[#This Row],[Asset]],Table228[[#All],[Bought number]])</f>
        <v>2975</v>
      </c>
      <c r="M70">
        <f>SUMIF(Table228[[#All],[Asset]],Table228[[#This Row],[Asset]],Table228[[#All],[Sold Number]])</f>
        <v>2975</v>
      </c>
      <c r="N70" s="15">
        <f>SUMIF(Table228[[#All],[Asset]],Table228[[#This Row],[Asset]],Table228[[#All],[Bought amount]])</f>
        <v>0</v>
      </c>
      <c r="O70" s="15">
        <f>SUMIF(Table228[[#All],[Asset]],Table228[[#This Row],[Asset]],Table228[[#All],[Sold amount]])</f>
        <v>404.6</v>
      </c>
      <c r="P70" s="75">
        <f>Table228[[#This Row],[Total bought Amount]]/Table228[[#This Row],[Total bought Number]]</f>
        <v>0</v>
      </c>
      <c r="Q70" s="75">
        <f>IFERROR(Table228[[#This Row],[Total Sold Amount]]/Table228[[#This Row],[Total Sold Number]],0)</f>
        <v>0.13600000000000001</v>
      </c>
      <c r="R70" s="21">
        <f>Table228[[#This Row],[Total bought Number]]-Table228[[#This Row],[Total Sold Number]]</f>
        <v>0</v>
      </c>
      <c r="S70" s="59">
        <f>(Table228[[#This Row],[Ave exit price]]-Table228[[#This Row],[Ave Entry price]])*Table228[[#This Row],[Total Sold Number]]</f>
        <v>404.6</v>
      </c>
      <c r="T70" s="15">
        <f>(Table228[[#This Row],[Current Price]]-Table228[[#This Row],[Ave Entry price]])*Table228[[#This Row],[How many tokens now]]</f>
        <v>0</v>
      </c>
      <c r="U70" s="76">
        <f>VLOOKUP(Table228[[#This Row],[Asset]],Table26[#All],10,FALSE)</f>
        <v>0.17</v>
      </c>
    </row>
    <row r="71" spans="1:21">
      <c r="A71" t="s">
        <v>10</v>
      </c>
      <c r="B71" s="68">
        <v>45292</v>
      </c>
      <c r="C71" s="3" t="s">
        <v>176</v>
      </c>
      <c r="D71" t="s">
        <v>174</v>
      </c>
      <c r="E71" t="s">
        <v>285</v>
      </c>
      <c r="F71" s="17">
        <v>2500</v>
      </c>
      <c r="G71" s="73">
        <f>0.05+0.0264+0.0164+0.0164+0.009+0.007+0.0056+0.0049+0.003+0.00299</f>
        <v>0.14168999999999995</v>
      </c>
      <c r="H71" s="61">
        <f>IF(G71&gt;0,G71,0)</f>
        <v>0.14168999999999995</v>
      </c>
      <c r="I71" s="67">
        <f>IF(G71&lt;0,ABS(G71),0)</f>
        <v>0</v>
      </c>
      <c r="J71" s="15">
        <f>H71*F71</f>
        <v>354.22499999999991</v>
      </c>
      <c r="K71" s="15">
        <f>I71*F71</f>
        <v>0</v>
      </c>
      <c r="L71">
        <f>SUMIF(Table228[[#All],[Asset]],Table228[[#This Row],[Asset]],Table228[[#All],[Bought number]])</f>
        <v>0.14168999999999995</v>
      </c>
      <c r="M71">
        <f>SUMIF(Table228[[#All],[Asset]],Table228[[#This Row],[Asset]],Table228[[#All],[Sold Number]])</f>
        <v>0</v>
      </c>
      <c r="N71" s="15">
        <f>SUMIF(Table228[[#All],[Asset]],Table228[[#This Row],[Asset]],Table228[[#All],[Bought amount]])</f>
        <v>354.22499999999991</v>
      </c>
      <c r="O71" s="15">
        <f>SUMIF(Table228[[#All],[Asset]],Table228[[#This Row],[Asset]],Table228[[#All],[Sold amount]])</f>
        <v>0</v>
      </c>
      <c r="P71" s="75">
        <f>Table228[[#This Row],[Total bought Amount]]/Table228[[#This Row],[Total bought Number]]</f>
        <v>2500</v>
      </c>
      <c r="Q71" s="75">
        <f>IFERROR(Table228[[#This Row],[Total Sold Amount]]/Table228[[#This Row],[Total Sold Number]],0)</f>
        <v>0</v>
      </c>
      <c r="R71" s="21">
        <f>Table228[[#This Row],[Total bought Number]]-Table228[[#This Row],[Total Sold Number]]</f>
        <v>0.14168999999999995</v>
      </c>
      <c r="S71" s="59">
        <f>(Table228[[#This Row],[Ave exit price]]-Table228[[#This Row],[Ave Entry price]])*Table228[[#This Row],[Total Sold Number]]</f>
        <v>0</v>
      </c>
      <c r="T71" s="15">
        <f>(Table228[[#This Row],[Current Price]]-Table228[[#This Row],[Ave Entry price]])*Table228[[#This Row],[How many tokens now]]</f>
        <v>123.41198999999996</v>
      </c>
      <c r="U71" s="76">
        <f>VLOOKUP(Table228[[#This Row],[Asset]],Table26[#All],10,FALSE)</f>
        <v>3371</v>
      </c>
    </row>
    <row r="72" spans="1:21">
      <c r="A72" t="s">
        <v>287</v>
      </c>
      <c r="B72" s="68">
        <v>45292</v>
      </c>
      <c r="C72" s="3" t="s">
        <v>180</v>
      </c>
      <c r="D72" t="s">
        <v>174</v>
      </c>
      <c r="E72" t="s">
        <v>285</v>
      </c>
      <c r="F72" s="17">
        <v>0.1</v>
      </c>
      <c r="G72" s="73">
        <v>1848.3561999999999</v>
      </c>
      <c r="H72" s="61">
        <f>IF(G72&gt;0,G72,0)</f>
        <v>1848.3561999999999</v>
      </c>
      <c r="I72" s="67">
        <f>IF(G72&lt;0,ABS(G72),0)</f>
        <v>0</v>
      </c>
      <c r="J72" s="15">
        <f>H72*F72</f>
        <v>184.83562000000001</v>
      </c>
      <c r="K72" s="15">
        <f>I72*F72</f>
        <v>0</v>
      </c>
      <c r="L72">
        <f>SUMIF(Table228[[#All],[Asset]],Table228[[#This Row],[Asset]],Table228[[#All],[Bought number]])</f>
        <v>1848.3561999999999</v>
      </c>
      <c r="M72">
        <f>SUMIF(Table228[[#All],[Asset]],Table228[[#This Row],[Asset]],Table228[[#All],[Sold Number]])</f>
        <v>0</v>
      </c>
      <c r="N72" s="15">
        <f>SUMIF(Table228[[#All],[Asset]],Table228[[#This Row],[Asset]],Table228[[#All],[Bought amount]])</f>
        <v>184.83562000000001</v>
      </c>
      <c r="O72" s="15">
        <f>SUMIF(Table228[[#All],[Asset]],Table228[[#This Row],[Asset]],Table228[[#All],[Sold amount]])</f>
        <v>0</v>
      </c>
      <c r="P72" s="75">
        <f>Table228[[#This Row],[Total bought Amount]]/Table228[[#This Row],[Total bought Number]]</f>
        <v>0.1</v>
      </c>
      <c r="Q72" s="75">
        <f>IFERROR(Table228[[#This Row],[Total Sold Amount]]/Table228[[#This Row],[Total Sold Number]],0)</f>
        <v>0</v>
      </c>
      <c r="R72" s="21">
        <f>Table228[[#This Row],[Total bought Number]]-Table228[[#This Row],[Total Sold Number]]</f>
        <v>1848.3561999999999</v>
      </c>
      <c r="S72" s="59">
        <f>(Table228[[#This Row],[Ave exit price]]-Table228[[#This Row],[Ave Entry price]])*Table228[[#This Row],[Total Sold Number]]</f>
        <v>0</v>
      </c>
      <c r="T72" s="15">
        <f>(Table228[[#This Row],[Current Price]]-Table228[[#This Row],[Ave Entry price]])*Table228[[#This Row],[How many tokens now]]</f>
        <v>1324.16238168</v>
      </c>
      <c r="U72" s="76">
        <f>VLOOKUP(Table228[[#This Row],[Asset]],Table26[#All],10,FALSE)</f>
        <v>0.81640000000000001</v>
      </c>
    </row>
    <row r="73" spans="1:21">
      <c r="A73" t="s">
        <v>289</v>
      </c>
      <c r="B73" s="68">
        <v>45292</v>
      </c>
      <c r="C73" s="3" t="s">
        <v>175</v>
      </c>
      <c r="D73" t="s">
        <v>174</v>
      </c>
      <c r="E73" t="s">
        <v>285</v>
      </c>
      <c r="F73" s="17">
        <v>346.57</v>
      </c>
      <c r="G73" s="73">
        <v>1</v>
      </c>
      <c r="H73" s="61">
        <f>IF(G73&gt;0,G73,0)</f>
        <v>1</v>
      </c>
      <c r="I73" s="67">
        <f>IF(G73&lt;0,ABS(G73),0)</f>
        <v>0</v>
      </c>
      <c r="J73" s="15">
        <f>H73*F73</f>
        <v>346.57</v>
      </c>
      <c r="K73" s="15">
        <f>I73*F73</f>
        <v>0</v>
      </c>
      <c r="L73">
        <f>SUMIF(Table228[[#All],[Asset]],Table228[[#This Row],[Asset]],Table228[[#All],[Bought number]])</f>
        <v>1</v>
      </c>
      <c r="M73">
        <f>SUMIF(Table228[[#All],[Asset]],Table228[[#This Row],[Asset]],Table228[[#All],[Sold Number]])</f>
        <v>0</v>
      </c>
      <c r="N73" s="15">
        <f>SUMIF(Table228[[#All],[Asset]],Table228[[#This Row],[Asset]],Table228[[#All],[Bought amount]])</f>
        <v>346.57</v>
      </c>
      <c r="O73" s="15">
        <f>SUMIF(Table228[[#All],[Asset]],Table228[[#This Row],[Asset]],Table228[[#All],[Sold amount]])</f>
        <v>0</v>
      </c>
      <c r="P73" s="75">
        <f>Table228[[#This Row],[Total bought Amount]]/Table228[[#This Row],[Total bought Number]]</f>
        <v>346.57</v>
      </c>
      <c r="Q73" s="75">
        <f>IFERROR(Table228[[#This Row],[Total Sold Amount]]/Table228[[#This Row],[Total Sold Number]],0)</f>
        <v>0</v>
      </c>
      <c r="R73" s="21">
        <f>Table228[[#This Row],[Total bought Number]]-Table228[[#This Row],[Total Sold Number]]</f>
        <v>1</v>
      </c>
      <c r="S73" s="59">
        <f>(Table228[[#This Row],[Ave exit price]]-Table228[[#This Row],[Ave Entry price]])*Table228[[#This Row],[Total Sold Number]]</f>
        <v>0</v>
      </c>
      <c r="T73" s="15">
        <f>(Table228[[#This Row],[Current Price]]-Table228[[#This Row],[Ave Entry price]])*Table228[[#This Row],[How many tokens now]]</f>
        <v>0.10000000000002274</v>
      </c>
      <c r="U73" s="76">
        <f>VLOOKUP(Table228[[#This Row],[Asset]],Table26[#All],10,FALSE)</f>
        <v>346.67</v>
      </c>
    </row>
    <row r="74" spans="1:21">
      <c r="A74" t="s">
        <v>12</v>
      </c>
      <c r="B74" s="68">
        <v>45292</v>
      </c>
      <c r="C74" s="3" t="s">
        <v>176</v>
      </c>
      <c r="D74" t="s">
        <v>174</v>
      </c>
      <c r="E74" t="s">
        <v>285</v>
      </c>
      <c r="F74" s="17">
        <v>1.75</v>
      </c>
      <c r="G74" s="73">
        <v>1115.7602999999999</v>
      </c>
      <c r="H74" s="61">
        <f>IF(G74&gt;0,G74,0)</f>
        <v>1115.7602999999999</v>
      </c>
      <c r="I74" s="67">
        <f>IF(G74&lt;0,ABS(G74),0)</f>
        <v>0</v>
      </c>
      <c r="J74" s="15">
        <f>H74*F74</f>
        <v>1952.5805249999999</v>
      </c>
      <c r="K74" s="15">
        <f>I74*F74</f>
        <v>0</v>
      </c>
      <c r="L74">
        <f>SUMIF(Table228[[#All],[Asset]],Table228[[#This Row],[Asset]],Table228[[#All],[Bought number]])</f>
        <v>1115.7602999999999</v>
      </c>
      <c r="M74">
        <f>SUMIF(Table228[[#All],[Asset]],Table228[[#This Row],[Asset]],Table228[[#All],[Sold Number]])</f>
        <v>667</v>
      </c>
      <c r="N74" s="15">
        <f>SUMIF(Table228[[#All],[Asset]],Table228[[#This Row],[Asset]],Table228[[#All],[Bought amount]])</f>
        <v>1952.5805249999999</v>
      </c>
      <c r="O74" s="15">
        <f>SUMIF(Table228[[#All],[Asset]],Table228[[#This Row],[Asset]],Table228[[#All],[Sold amount]])</f>
        <v>901.65059999999994</v>
      </c>
      <c r="P74" s="75">
        <f>Table228[[#This Row],[Total bought Amount]]/Table228[[#This Row],[Total bought Number]]</f>
        <v>1.75</v>
      </c>
      <c r="Q74" s="75">
        <f>IFERROR(Table228[[#This Row],[Total Sold Amount]]/Table228[[#This Row],[Total Sold Number]],0)</f>
        <v>1.3517999999999999</v>
      </c>
      <c r="R74" s="21">
        <f>Table228[[#This Row],[Total bought Number]]-Table228[[#This Row],[Total Sold Number]]</f>
        <v>448.76029999999992</v>
      </c>
      <c r="S74" s="59">
        <f>(Table228[[#This Row],[Ave exit price]]-Table228[[#This Row],[Ave Entry price]])*Table228[[#This Row],[Total Sold Number]]</f>
        <v>-265.59940000000006</v>
      </c>
      <c r="T74" s="15">
        <f>(Table228[[#This Row],[Current Price]]-Table228[[#This Row],[Ave Entry price]])*Table228[[#This Row],[How many tokens now]]</f>
        <v>58.338838999999943</v>
      </c>
      <c r="U74" s="76">
        <f>VLOOKUP(Table228[[#This Row],[Asset]],Table26[#All],10,FALSE)</f>
        <v>1.88</v>
      </c>
    </row>
    <row r="75" spans="1:21">
      <c r="A75" t="s">
        <v>290</v>
      </c>
      <c r="B75" s="68">
        <v>45292</v>
      </c>
      <c r="C75" s="3" t="s">
        <v>180</v>
      </c>
      <c r="D75" t="s">
        <v>174</v>
      </c>
      <c r="E75" t="s">
        <v>285</v>
      </c>
      <c r="F75" s="17">
        <v>3</v>
      </c>
      <c r="G75" s="73">
        <v>241</v>
      </c>
      <c r="H75" s="61">
        <f t="shared" ref="H75:H84" si="24">IF(G75&gt;0,G75,0)</f>
        <v>241</v>
      </c>
      <c r="I75" s="67">
        <f t="shared" ref="I75:I84" si="25">IF(G75&lt;0,ABS(G75),0)</f>
        <v>0</v>
      </c>
      <c r="J75" s="15">
        <f t="shared" ref="J75:J84" si="26">H75*F75</f>
        <v>723</v>
      </c>
      <c r="K75" s="15">
        <f t="shared" ref="K75:K84" si="27">I75*F75</f>
        <v>0</v>
      </c>
      <c r="L75">
        <f>SUMIF(Table228[[#All],[Asset]],Table228[[#This Row],[Asset]],Table228[[#All],[Bought number]])</f>
        <v>241</v>
      </c>
      <c r="M75">
        <f>SUMIF(Table228[[#All],[Asset]],Table228[[#This Row],[Asset]],Table228[[#All],[Sold Number]])</f>
        <v>241</v>
      </c>
      <c r="N75" s="15">
        <f>SUMIF(Table228[[#All],[Asset]],Table228[[#This Row],[Asset]],Table228[[#All],[Bought amount]])</f>
        <v>723</v>
      </c>
      <c r="O75" s="15">
        <f>SUMIF(Table228[[#All],[Asset]],Table228[[#This Row],[Asset]],Table228[[#All],[Sold amount]])</f>
        <v>2282.27</v>
      </c>
      <c r="P75" s="75">
        <f>Table228[[#This Row],[Total bought Amount]]/Table228[[#This Row],[Total bought Number]]</f>
        <v>3</v>
      </c>
      <c r="Q75" s="75">
        <f>IFERROR(Table228[[#This Row],[Total Sold Amount]]/Table228[[#This Row],[Total Sold Number]],0)</f>
        <v>9.4700000000000006</v>
      </c>
      <c r="R75" s="21">
        <f>Table228[[#This Row],[Total bought Number]]-Table228[[#This Row],[Total Sold Number]]</f>
        <v>0</v>
      </c>
      <c r="S75" s="59">
        <f>(Table228[[#This Row],[Ave exit price]]-Table228[[#This Row],[Ave Entry price]])*Table228[[#This Row],[Total Sold Number]]</f>
        <v>1559.2700000000002</v>
      </c>
      <c r="T75" s="15">
        <f>(Table228[[#This Row],[Current Price]]-Table228[[#This Row],[Ave Entry price]])*Table228[[#This Row],[How many tokens now]]</f>
        <v>0</v>
      </c>
      <c r="U75" s="76">
        <f>VLOOKUP(Table228[[#This Row],[Asset]],Table26[#All],10,FALSE)</f>
        <v>9.61</v>
      </c>
    </row>
    <row r="76" spans="1:21">
      <c r="A76" t="s">
        <v>291</v>
      </c>
      <c r="B76" s="68">
        <v>45352</v>
      </c>
      <c r="C76" s="3" t="s">
        <v>180</v>
      </c>
      <c r="D76" t="s">
        <v>174</v>
      </c>
      <c r="E76" t="s">
        <v>285</v>
      </c>
      <c r="F76" s="17">
        <v>0.1411</v>
      </c>
      <c r="G76" s="73">
        <v>7509.6360999999997</v>
      </c>
      <c r="H76" s="61">
        <f t="shared" si="24"/>
        <v>7509.6360999999997</v>
      </c>
      <c r="I76" s="67">
        <f t="shared" si="25"/>
        <v>0</v>
      </c>
      <c r="J76" s="15">
        <f t="shared" si="26"/>
        <v>1059.60965371</v>
      </c>
      <c r="K76" s="15">
        <f t="shared" si="27"/>
        <v>0</v>
      </c>
      <c r="L76">
        <f>SUMIF(Table228[[#All],[Asset]],Table228[[#This Row],[Asset]],Table228[[#All],[Bought number]])</f>
        <v>56191.636100000003</v>
      </c>
      <c r="M76">
        <f>SUMIF(Table228[[#All],[Asset]],Table228[[#This Row],[Asset]],Table228[[#All],[Sold Number]])</f>
        <v>56191</v>
      </c>
      <c r="N76" s="15">
        <f>SUMIF(Table228[[#All],[Asset]],Table228[[#This Row],[Asset]],Table228[[#All],[Bought amount]])</f>
        <v>5356.8114137100001</v>
      </c>
      <c r="O76" s="15">
        <f>SUMIF(Table228[[#All],[Asset]],Table228[[#This Row],[Asset]],Table228[[#All],[Sold amount]])</f>
        <v>1466.328</v>
      </c>
      <c r="P76" s="75">
        <f>Table228[[#This Row],[Total bought Amount]]/Table228[[#This Row],[Total bought Number]]</f>
        <v>9.5331116612744432E-2</v>
      </c>
      <c r="Q76" s="75">
        <f>IFERROR(Table228[[#This Row],[Total Sold Amount]]/Table228[[#This Row],[Total Sold Number]],0)</f>
        <v>2.6095424534178072E-2</v>
      </c>
      <c r="R76" s="21">
        <f>Table228[[#This Row],[Total bought Number]]-Table228[[#This Row],[Total Sold Number]]</f>
        <v>0.63610000000335276</v>
      </c>
      <c r="S76" s="59">
        <f>(Table228[[#This Row],[Ave exit price]]-Table228[[#This Row],[Ave Entry price]])*Table228[[#This Row],[Total Sold Number]]</f>
        <v>-3890.4227735867225</v>
      </c>
      <c r="T76" s="15">
        <f>(Table228[[#This Row],[Current Price]]-Table228[[#This Row],[Ave Entry price]])*Table228[[#This Row],[How many tokens now]]</f>
        <v>-4.4737623277602542E-2</v>
      </c>
      <c r="U76" s="76">
        <f>VLOOKUP(Table228[[#This Row],[Asset]],Table26[#All],10,FALSE)</f>
        <v>2.5000000000000001E-2</v>
      </c>
    </row>
    <row r="77" spans="1:21">
      <c r="A77" t="s">
        <v>227</v>
      </c>
      <c r="B77" s="68">
        <v>45488</v>
      </c>
      <c r="C77" s="3" t="s">
        <v>176</v>
      </c>
      <c r="D77" t="s">
        <v>174</v>
      </c>
      <c r="E77" t="s">
        <v>276</v>
      </c>
      <c r="F77" s="17">
        <v>216</v>
      </c>
      <c r="G77" s="73">
        <v>-3</v>
      </c>
      <c r="H77" s="61">
        <f t="shared" si="24"/>
        <v>0</v>
      </c>
      <c r="I77" s="67">
        <f t="shared" si="25"/>
        <v>3</v>
      </c>
      <c r="J77" s="15">
        <f t="shared" si="26"/>
        <v>0</v>
      </c>
      <c r="K77" s="15">
        <f t="shared" si="27"/>
        <v>648</v>
      </c>
      <c r="L77">
        <f>SUMIF(Table228[[#All],[Asset]],Table228[[#This Row],[Asset]],Table228[[#All],[Bought number]])</f>
        <v>4</v>
      </c>
      <c r="M77">
        <f>SUMIF(Table228[[#All],[Asset]],Table228[[#This Row],[Asset]],Table228[[#All],[Sold Number]])</f>
        <v>4</v>
      </c>
      <c r="N77" s="15">
        <f>SUMIF(Table228[[#All],[Asset]],Table228[[#This Row],[Asset]],Table228[[#All],[Bought amount]])</f>
        <v>320</v>
      </c>
      <c r="O77" s="15">
        <f>SUMIF(Table228[[#All],[Asset]],Table228[[#This Row],[Asset]],Table228[[#All],[Sold amount]])</f>
        <v>788</v>
      </c>
      <c r="P77" s="75">
        <f>Table228[[#This Row],[Total bought Amount]]/Table228[[#This Row],[Total bought Number]]</f>
        <v>80</v>
      </c>
      <c r="Q77" s="75">
        <f>IFERROR(Table228[[#This Row],[Total Sold Amount]]/Table228[[#This Row],[Total Sold Number]],0)</f>
        <v>197</v>
      </c>
      <c r="R77" s="21">
        <f>Table228[[#This Row],[Total bought Number]]-Table228[[#This Row],[Total Sold Number]]</f>
        <v>0</v>
      </c>
      <c r="S77" s="59">
        <f>(Table228[[#This Row],[Ave exit price]]-Table228[[#This Row],[Ave Entry price]])*Table228[[#This Row],[Total Sold Number]]</f>
        <v>468</v>
      </c>
      <c r="T77" s="15">
        <f>(Table228[[#This Row],[Current Price]]-Table228[[#This Row],[Ave Entry price]])*Table228[[#This Row],[How many tokens now]]</f>
        <v>0</v>
      </c>
      <c r="U77" s="76">
        <f>VLOOKUP(Table228[[#This Row],[Asset]],Table26[#All],10,FALSE)</f>
        <v>287</v>
      </c>
    </row>
    <row r="78" spans="1:21">
      <c r="A78" t="s">
        <v>178</v>
      </c>
      <c r="B78" s="68">
        <v>45484</v>
      </c>
      <c r="C78" s="3" t="s">
        <v>180</v>
      </c>
      <c r="D78" t="s">
        <v>174</v>
      </c>
      <c r="E78" t="s">
        <v>189</v>
      </c>
      <c r="F78" s="17">
        <v>650</v>
      </c>
      <c r="G78" s="73">
        <v>1</v>
      </c>
      <c r="H78" s="61">
        <f t="shared" si="24"/>
        <v>1</v>
      </c>
      <c r="I78" s="67">
        <f t="shared" si="25"/>
        <v>0</v>
      </c>
      <c r="J78" s="15">
        <f t="shared" si="26"/>
        <v>650</v>
      </c>
      <c r="K78" s="15">
        <f t="shared" si="27"/>
        <v>0</v>
      </c>
      <c r="L78">
        <f>SUMIF(Table228[[#All],[Asset]],Table228[[#This Row],[Asset]],Table228[[#All],[Bought number]])</f>
        <v>6</v>
      </c>
      <c r="M78">
        <f>SUMIF(Table228[[#All],[Asset]],Table228[[#This Row],[Asset]],Table228[[#All],[Sold Number]])</f>
        <v>6</v>
      </c>
      <c r="N78" s="15">
        <f>SUMIF(Table228[[#All],[Asset]],Table228[[#This Row],[Asset]],Table228[[#All],[Bought amount]])</f>
        <v>5550</v>
      </c>
      <c r="O78" s="15">
        <f>SUMIF(Table228[[#All],[Asset]],Table228[[#This Row],[Asset]],Table228[[#All],[Sold amount]])</f>
        <v>609</v>
      </c>
      <c r="P78" s="75">
        <f>Table228[[#This Row],[Total bought Amount]]/Table228[[#This Row],[Total bought Number]]</f>
        <v>925</v>
      </c>
      <c r="Q78" s="75">
        <f>IFERROR(Table228[[#This Row],[Total Sold Amount]]/Table228[[#This Row],[Total Sold Number]],0)</f>
        <v>101.5</v>
      </c>
      <c r="R78" s="21">
        <f>Table228[[#This Row],[Total bought Number]]-Table228[[#This Row],[Total Sold Number]]</f>
        <v>0</v>
      </c>
      <c r="S78" s="59">
        <f>(Table228[[#This Row],[Ave exit price]]-Table228[[#This Row],[Ave Entry price]])*Table228[[#This Row],[Total Sold Number]]</f>
        <v>-4941</v>
      </c>
      <c r="T78" s="15">
        <f>(Table228[[#This Row],[Current Price]]-Table228[[#This Row],[Ave Entry price]])*Table228[[#This Row],[How many tokens now]]</f>
        <v>0</v>
      </c>
      <c r="U78" s="76">
        <f>VLOOKUP(Table228[[#This Row],[Asset]],Table26[#All],10,FALSE)</f>
        <v>710</v>
      </c>
    </row>
    <row r="79" spans="1:21">
      <c r="A79" t="s">
        <v>221</v>
      </c>
      <c r="B79" s="68">
        <v>45489</v>
      </c>
      <c r="C79" s="3" t="s">
        <v>180</v>
      </c>
      <c r="D79" t="s">
        <v>174</v>
      </c>
      <c r="E79" t="s">
        <v>276</v>
      </c>
      <c r="F79" s="17">
        <v>0.96</v>
      </c>
      <c r="G79" s="73">
        <v>232.46</v>
      </c>
      <c r="H79" s="61">
        <f t="shared" si="24"/>
        <v>232.46</v>
      </c>
      <c r="I79" s="67">
        <f t="shared" si="25"/>
        <v>0</v>
      </c>
      <c r="J79" s="15">
        <f t="shared" si="26"/>
        <v>223.16159999999999</v>
      </c>
      <c r="K79" s="15">
        <f t="shared" si="27"/>
        <v>0</v>
      </c>
      <c r="L79">
        <f>SUMIF(Table228[[#All],[Asset]],Table228[[#This Row],[Asset]],Table228[[#All],[Bought number]])</f>
        <v>3846.05</v>
      </c>
      <c r="M79">
        <f>SUMIF(Table228[[#All],[Asset]],Table228[[#This Row],[Asset]],Table228[[#All],[Sold Number]])</f>
        <v>3726.05</v>
      </c>
      <c r="N79" s="15">
        <f>SUMIF(Table228[[#All],[Asset]],Table228[[#This Row],[Asset]],Table228[[#All],[Bought amount]])</f>
        <v>3550.4901629999999</v>
      </c>
      <c r="O79" s="15">
        <f>SUMIF(Table228[[#All],[Asset]],Table228[[#This Row],[Asset]],Table228[[#All],[Sold amount]])</f>
        <v>3828.3503711953003</v>
      </c>
      <c r="P79" s="75">
        <f>Table228[[#This Row],[Total bought Amount]]/Table228[[#This Row],[Total bought Number]]</f>
        <v>0.92315236749392227</v>
      </c>
      <c r="Q79" s="75">
        <f>IFERROR(Table228[[#This Row],[Total Sold Amount]]/Table228[[#This Row],[Total Sold Number]],0)</f>
        <v>1.0274554477785591</v>
      </c>
      <c r="R79" s="21">
        <f>Table228[[#This Row],[Total bought Number]]-Table228[[#This Row],[Total Sold Number]]</f>
        <v>120</v>
      </c>
      <c r="S79" s="59">
        <f>(Table228[[#This Row],[Ave exit price]]-Table228[[#This Row],[Ave Entry price]])*Table228[[#This Row],[Total Sold Number]]</f>
        <v>388.63849229457122</v>
      </c>
      <c r="T79" s="15">
        <f>(Table228[[#This Row],[Current Price]]-Table228[[#This Row],[Ave Entry price]])*Table228[[#This Row],[How many tokens now]]</f>
        <v>-2.7782840992706692</v>
      </c>
      <c r="U79" s="76">
        <f>VLOOKUP(Table228[[#This Row],[Asset]],Table26[#All],10,FALSE)</f>
        <v>0.9</v>
      </c>
    </row>
    <row r="80" spans="1:21">
      <c r="A80" t="s">
        <v>221</v>
      </c>
      <c r="B80" s="68">
        <v>45492</v>
      </c>
      <c r="C80" s="3" t="s">
        <v>180</v>
      </c>
      <c r="D80" t="s">
        <v>174</v>
      </c>
      <c r="E80" t="s">
        <v>189</v>
      </c>
      <c r="F80" s="17">
        <v>0.96</v>
      </c>
      <c r="G80" s="73">
        <v>287</v>
      </c>
      <c r="H80" s="61">
        <f t="shared" si="24"/>
        <v>287</v>
      </c>
      <c r="I80" s="67">
        <f t="shared" si="25"/>
        <v>0</v>
      </c>
      <c r="J80" s="15">
        <f t="shared" si="26"/>
        <v>275.52</v>
      </c>
      <c r="K80" s="15">
        <f t="shared" si="27"/>
        <v>0</v>
      </c>
      <c r="L80">
        <f>SUMIF(Table228[[#All],[Asset]],Table228[[#This Row],[Asset]],Table228[[#All],[Bought number]])</f>
        <v>3846.05</v>
      </c>
      <c r="M80">
        <f>SUMIF(Table228[[#All],[Asset]],Table228[[#This Row],[Asset]],Table228[[#All],[Sold Number]])</f>
        <v>3726.05</v>
      </c>
      <c r="N80" s="15">
        <f>SUMIF(Table228[[#All],[Asset]],Table228[[#This Row],[Asset]],Table228[[#All],[Bought amount]])</f>
        <v>3550.4901629999999</v>
      </c>
      <c r="O80" s="15">
        <f>SUMIF(Table228[[#All],[Asset]],Table228[[#This Row],[Asset]],Table228[[#All],[Sold amount]])</f>
        <v>3828.3503711953003</v>
      </c>
      <c r="P80" s="75">
        <f>Table228[[#This Row],[Total bought Amount]]/Table228[[#This Row],[Total bought Number]]</f>
        <v>0.92315236749392227</v>
      </c>
      <c r="Q80" s="75">
        <f>IFERROR(Table228[[#This Row],[Total Sold Amount]]/Table228[[#This Row],[Total Sold Number]],0)</f>
        <v>1.0274554477785591</v>
      </c>
      <c r="R80" s="21">
        <f>Table228[[#This Row],[Total bought Number]]-Table228[[#This Row],[Total Sold Number]]</f>
        <v>120</v>
      </c>
      <c r="S80" s="59">
        <f>(Table228[[#This Row],[Ave exit price]]-Table228[[#This Row],[Ave Entry price]])*Table228[[#This Row],[Total Sold Number]]</f>
        <v>388.63849229457122</v>
      </c>
      <c r="T80" s="15">
        <f>(Table228[[#This Row],[Current Price]]-Table228[[#This Row],[Ave Entry price]])*Table228[[#This Row],[How many tokens now]]</f>
        <v>-2.7782840992706692</v>
      </c>
      <c r="U80" s="76">
        <f>VLOOKUP(Table228[[#This Row],[Asset]],Table26[#All],10,FALSE)</f>
        <v>0.9</v>
      </c>
    </row>
    <row r="81" spans="1:21">
      <c r="A81" t="s">
        <v>224</v>
      </c>
      <c r="B81" s="68">
        <v>45493</v>
      </c>
      <c r="C81" s="3" t="s">
        <v>176</v>
      </c>
      <c r="D81" t="s">
        <v>174</v>
      </c>
      <c r="E81" t="s">
        <v>243</v>
      </c>
      <c r="F81" s="17">
        <v>3.16</v>
      </c>
      <c r="G81" s="73">
        <v>-377</v>
      </c>
      <c r="H81" s="61">
        <f t="shared" si="24"/>
        <v>0</v>
      </c>
      <c r="I81" s="67">
        <f t="shared" si="25"/>
        <v>377</v>
      </c>
      <c r="J81" s="15">
        <f t="shared" si="26"/>
        <v>0</v>
      </c>
      <c r="K81" s="15">
        <f t="shared" si="27"/>
        <v>1191.3200000000002</v>
      </c>
      <c r="L81">
        <f>SUMIF(Table228[[#All],[Asset]],Table228[[#This Row],[Asset]],Table228[[#All],[Bought number]])</f>
        <v>2402.9751590000001</v>
      </c>
      <c r="M81">
        <f>SUMIF(Table228[[#All],[Asset]],Table228[[#This Row],[Asset]],Table228[[#All],[Sold Number]])</f>
        <v>2835</v>
      </c>
      <c r="N81" s="15">
        <f>SUMIF(Table228[[#All],[Asset]],Table228[[#This Row],[Asset]],Table228[[#All],[Bought amount]])</f>
        <v>5880.0437616144482</v>
      </c>
      <c r="O81" s="15">
        <f>SUMIF(Table228[[#All],[Asset]],Table228[[#This Row],[Asset]],Table228[[#All],[Sold amount]])</f>
        <v>11475.592000000001</v>
      </c>
      <c r="P81" s="75">
        <f>Table228[[#This Row],[Total bought Amount]]/Table228[[#This Row],[Total bought Number]]</f>
        <v>2.4469848302807393</v>
      </c>
      <c r="Q81" s="75">
        <f>IFERROR(Table228[[#This Row],[Total Sold Amount]]/Table228[[#This Row],[Total Sold Number]],0)</f>
        <v>4.0478278659611995</v>
      </c>
      <c r="R81" s="21">
        <f>Table228[[#This Row],[Total bought Number]]-Table228[[#This Row],[Total Sold Number]]</f>
        <v>-432.02484099999992</v>
      </c>
      <c r="S81" s="59">
        <f>(Table228[[#This Row],[Ave exit price]]-Table228[[#This Row],[Ave Entry price]])*Table228[[#This Row],[Total Sold Number]]</f>
        <v>4538.3900061541044</v>
      </c>
      <c r="T81" s="15">
        <f>(Table228[[#This Row],[Current Price]]-Table228[[#This Row],[Ave Entry price]])*Table228[[#This Row],[How many tokens now]]</f>
        <v>-403.08573034855146</v>
      </c>
      <c r="U81" s="76">
        <f>VLOOKUP(Table228[[#This Row],[Asset]],Table26[#All],10,FALSE)</f>
        <v>3.38</v>
      </c>
    </row>
    <row r="82" spans="1:21">
      <c r="A82" t="s">
        <v>226</v>
      </c>
      <c r="B82" s="68">
        <v>45493</v>
      </c>
      <c r="C82" s="3" t="s">
        <v>176</v>
      </c>
      <c r="D82" t="s">
        <v>174</v>
      </c>
      <c r="E82" t="s">
        <v>263</v>
      </c>
      <c r="F82" s="17">
        <v>0.03</v>
      </c>
      <c r="G82" s="73">
        <v>40447</v>
      </c>
      <c r="H82" s="61">
        <f t="shared" si="24"/>
        <v>40447</v>
      </c>
      <c r="I82" s="67">
        <f t="shared" si="25"/>
        <v>0</v>
      </c>
      <c r="J82" s="15">
        <f t="shared" si="26"/>
        <v>1213.4099999999999</v>
      </c>
      <c r="K82" s="15">
        <f t="shared" si="27"/>
        <v>0</v>
      </c>
      <c r="L82">
        <f>SUMIF(Table228[[#All],[Asset]],Table228[[#This Row],[Asset]],Table228[[#All],[Bought number]])</f>
        <v>323932.72954500001</v>
      </c>
      <c r="M82">
        <f>SUMIF(Table228[[#All],[Asset]],Table228[[#This Row],[Asset]],Table228[[#All],[Sold Number]])</f>
        <v>323932.73009199998</v>
      </c>
      <c r="N82" s="15">
        <f>SUMIF(Table228[[#All],[Asset]],Table228[[#This Row],[Asset]],Table228[[#All],[Bought amount]])</f>
        <v>15730.280778400003</v>
      </c>
      <c r="O82" s="15">
        <f>SUMIF(Table228[[#All],[Asset]],Table228[[#This Row],[Asset]],Table228[[#All],[Sold amount]])</f>
        <v>14916.766213074001</v>
      </c>
      <c r="P82" s="75">
        <f>Table228[[#This Row],[Total bought Amount]]/Table228[[#This Row],[Total bought Number]]</f>
        <v>4.8560331648163348E-2</v>
      </c>
      <c r="Q82" s="75">
        <f>IFERROR(Table228[[#This Row],[Total Sold Amount]]/Table228[[#This Row],[Total Sold Number]],0)</f>
        <v>4.6048962723950426E-2</v>
      </c>
      <c r="R82" s="21">
        <f>Table228[[#This Row],[Total bought Number]]-Table228[[#This Row],[Total Sold Number]]</f>
        <v>-5.4699997417628765E-4</v>
      </c>
      <c r="S82" s="59">
        <f>(Table228[[#This Row],[Ave exit price]]-Table228[[#This Row],[Ave Entry price]])*Table228[[#This Row],[Total Sold Number]]</f>
        <v>-813.5145918885006</v>
      </c>
      <c r="T82" s="15">
        <f>(Table228[[#This Row],[Current Price]]-Table228[[#This Row],[Ave Entry price]])*Table228[[#This Row],[How many tokens now]]</f>
        <v>-2.3737984763883032E-6</v>
      </c>
      <c r="U82" s="76">
        <f>VLOOKUP(Table228[[#This Row],[Asset]],Table26[#All],10,FALSE)</f>
        <v>5.2900000000000003E-2</v>
      </c>
    </row>
    <row r="83" spans="1:21">
      <c r="A83" t="s">
        <v>247</v>
      </c>
      <c r="B83" s="68">
        <v>45493</v>
      </c>
      <c r="C83" s="3" t="s">
        <v>175</v>
      </c>
      <c r="D83" t="s">
        <v>174</v>
      </c>
      <c r="E83" t="s">
        <v>241</v>
      </c>
      <c r="F83" s="17">
        <v>755</v>
      </c>
      <c r="G83" s="73">
        <v>-1</v>
      </c>
      <c r="H83" s="61">
        <f t="shared" si="24"/>
        <v>0</v>
      </c>
      <c r="I83" s="67">
        <f t="shared" si="25"/>
        <v>1</v>
      </c>
      <c r="J83" s="15">
        <f t="shared" si="26"/>
        <v>0</v>
      </c>
      <c r="K83" s="15">
        <f t="shared" si="27"/>
        <v>755</v>
      </c>
      <c r="L83">
        <f>SUMIF(Table228[[#All],[Asset]],Table228[[#This Row],[Asset]],Table228[[#All],[Bought number]])</f>
        <v>1</v>
      </c>
      <c r="M83">
        <f>SUMIF(Table228[[#All],[Asset]],Table228[[#This Row],[Asset]],Table228[[#All],[Sold Number]])</f>
        <v>1</v>
      </c>
      <c r="N83" s="15">
        <f>SUMIF(Table228[[#All],[Asset]],Table228[[#This Row],[Asset]],Table228[[#All],[Bought amount]])</f>
        <v>763.64</v>
      </c>
      <c r="O83" s="15">
        <f>SUMIF(Table228[[#All],[Asset]],Table228[[#This Row],[Asset]],Table228[[#All],[Sold amount]])</f>
        <v>755</v>
      </c>
      <c r="P83" s="75">
        <f>Table228[[#This Row],[Total bought Amount]]/Table228[[#This Row],[Total bought Number]]</f>
        <v>763.64</v>
      </c>
      <c r="Q83" s="75">
        <f>IFERROR(Table228[[#This Row],[Total Sold Amount]]/Table228[[#This Row],[Total Sold Number]],0)</f>
        <v>755</v>
      </c>
      <c r="R83" s="21">
        <f>Table228[[#This Row],[Total bought Number]]-Table228[[#This Row],[Total Sold Number]]</f>
        <v>0</v>
      </c>
      <c r="S83" s="59">
        <f>(Table228[[#This Row],[Ave exit price]]-Table228[[#This Row],[Ave Entry price]])*Table228[[#This Row],[Total Sold Number]]</f>
        <v>-8.6399999999999864</v>
      </c>
      <c r="T83" s="15">
        <f>(Table228[[#This Row],[Current Price]]-Table228[[#This Row],[Ave Entry price]])*Table228[[#This Row],[How many tokens now]]</f>
        <v>0</v>
      </c>
      <c r="U83" s="76">
        <f>VLOOKUP(Table228[[#This Row],[Asset]],Table26[#All],10,FALSE)</f>
        <v>755</v>
      </c>
    </row>
    <row r="84" spans="1:21">
      <c r="A84" t="s">
        <v>226</v>
      </c>
      <c r="B84" s="68">
        <v>45493</v>
      </c>
      <c r="C84" s="3" t="s">
        <v>176</v>
      </c>
      <c r="D84" t="s">
        <v>174</v>
      </c>
      <c r="E84" t="s">
        <v>263</v>
      </c>
      <c r="F84" s="17">
        <v>2.9000000000000001E-2</v>
      </c>
      <c r="G84" s="73">
        <v>25680.44</v>
      </c>
      <c r="H84" s="61">
        <f t="shared" si="24"/>
        <v>25680.44</v>
      </c>
      <c r="I84" s="67">
        <f t="shared" si="25"/>
        <v>0</v>
      </c>
      <c r="J84" s="15">
        <f t="shared" si="26"/>
        <v>744.73275999999998</v>
      </c>
      <c r="K84" s="15">
        <f t="shared" si="27"/>
        <v>0</v>
      </c>
      <c r="L84">
        <f>SUMIF(Table228[[#All],[Asset]],Table228[[#This Row],[Asset]],Table228[[#All],[Bought number]])</f>
        <v>323932.72954500001</v>
      </c>
      <c r="M84">
        <f>SUMIF(Table228[[#All],[Asset]],Table228[[#This Row],[Asset]],Table228[[#All],[Sold Number]])</f>
        <v>323932.73009199998</v>
      </c>
      <c r="N84" s="15">
        <f>SUMIF(Table228[[#All],[Asset]],Table228[[#This Row],[Asset]],Table228[[#All],[Bought amount]])</f>
        <v>15730.280778400003</v>
      </c>
      <c r="O84" s="15">
        <f>SUMIF(Table228[[#All],[Asset]],Table228[[#This Row],[Asset]],Table228[[#All],[Sold amount]])</f>
        <v>14916.766213074001</v>
      </c>
      <c r="P84" s="75">
        <f>Table228[[#This Row],[Total bought Amount]]/Table228[[#This Row],[Total bought Number]]</f>
        <v>4.8560331648163348E-2</v>
      </c>
      <c r="Q84" s="75">
        <f>IFERROR(Table228[[#This Row],[Total Sold Amount]]/Table228[[#This Row],[Total Sold Number]],0)</f>
        <v>4.6048962723950426E-2</v>
      </c>
      <c r="R84" s="21">
        <f>Table228[[#This Row],[Total bought Number]]-Table228[[#This Row],[Total Sold Number]]</f>
        <v>-5.4699997417628765E-4</v>
      </c>
      <c r="S84" s="59">
        <f>(Table228[[#This Row],[Ave exit price]]-Table228[[#This Row],[Ave Entry price]])*Table228[[#This Row],[Total Sold Number]]</f>
        <v>-813.5145918885006</v>
      </c>
      <c r="T84" s="15">
        <f>(Table228[[#This Row],[Current Price]]-Table228[[#This Row],[Ave Entry price]])*Table228[[#This Row],[How many tokens now]]</f>
        <v>-2.3737984763883032E-6</v>
      </c>
      <c r="U84" s="76">
        <f>VLOOKUP(Table228[[#This Row],[Asset]],Table26[#All],10,FALSE)</f>
        <v>5.2900000000000003E-2</v>
      </c>
    </row>
    <row r="85" spans="1:21">
      <c r="A85" t="s">
        <v>226</v>
      </c>
      <c r="B85" s="68">
        <v>45494</v>
      </c>
      <c r="C85" s="3" t="s">
        <v>176</v>
      </c>
      <c r="D85" t="s">
        <v>174</v>
      </c>
      <c r="E85" t="s">
        <v>189</v>
      </c>
      <c r="F85" s="17">
        <v>7.0000000000000007E-2</v>
      </c>
      <c r="G85" s="73">
        <v>168.92094499999999</v>
      </c>
      <c r="H85" s="61">
        <f t="shared" ref="H85:H99" si="28">IF(G85&gt;0,G85,0)</f>
        <v>168.92094499999999</v>
      </c>
      <c r="I85" s="67">
        <f t="shared" ref="I85:I99" si="29">IF(G85&lt;0,ABS(G85),0)</f>
        <v>0</v>
      </c>
      <c r="J85" s="15">
        <f t="shared" ref="J85:J99" si="30">H85*F85</f>
        <v>11.824466150000001</v>
      </c>
      <c r="K85" s="15">
        <f t="shared" ref="K85:K99" si="31">I85*F85</f>
        <v>0</v>
      </c>
      <c r="L85">
        <f>SUMIF(Table228[[#All],[Asset]],Table228[[#This Row],[Asset]],Table228[[#All],[Bought number]])</f>
        <v>323932.72954500001</v>
      </c>
      <c r="M85">
        <f>SUMIF(Table228[[#All],[Asset]],Table228[[#This Row],[Asset]],Table228[[#All],[Sold Number]])</f>
        <v>323932.73009199998</v>
      </c>
      <c r="N85" s="15">
        <f>SUMIF(Table228[[#All],[Asset]],Table228[[#This Row],[Asset]],Table228[[#All],[Bought amount]])</f>
        <v>15730.280778400003</v>
      </c>
      <c r="O85" s="15">
        <f>SUMIF(Table228[[#All],[Asset]],Table228[[#This Row],[Asset]],Table228[[#All],[Sold amount]])</f>
        <v>14916.766213074001</v>
      </c>
      <c r="P85" s="75">
        <f>Table228[[#This Row],[Total bought Amount]]/Table228[[#This Row],[Total bought Number]]</f>
        <v>4.8560331648163348E-2</v>
      </c>
      <c r="Q85" s="75">
        <f>IFERROR(Table228[[#This Row],[Total Sold Amount]]/Table228[[#This Row],[Total Sold Number]],0)</f>
        <v>4.6048962723950426E-2</v>
      </c>
      <c r="R85" s="21">
        <f>Table228[[#This Row],[Total bought Number]]-Table228[[#This Row],[Total Sold Number]]</f>
        <v>-5.4699997417628765E-4</v>
      </c>
      <c r="S85" s="59">
        <f>(Table228[[#This Row],[Ave exit price]]-Table228[[#This Row],[Ave Entry price]])*Table228[[#This Row],[Total Sold Number]]</f>
        <v>-813.5145918885006</v>
      </c>
      <c r="T85" s="15">
        <f>(Table228[[#This Row],[Current Price]]-Table228[[#This Row],[Ave Entry price]])*Table228[[#This Row],[How many tokens now]]</f>
        <v>-2.3737984763883032E-6</v>
      </c>
      <c r="U85" s="76">
        <f>VLOOKUP(Table228[[#This Row],[Asset]],Table26[#All],10,FALSE)</f>
        <v>5.2900000000000003E-2</v>
      </c>
    </row>
    <row r="86" spans="1:21">
      <c r="A86" t="s">
        <v>196</v>
      </c>
      <c r="B86" s="68">
        <v>45494</v>
      </c>
      <c r="C86" s="3" t="s">
        <v>175</v>
      </c>
      <c r="D86" t="s">
        <v>76</v>
      </c>
      <c r="E86" t="s">
        <v>241</v>
      </c>
      <c r="F86" s="17">
        <v>937.62</v>
      </c>
      <c r="G86" s="73">
        <v>1</v>
      </c>
      <c r="H86" s="61">
        <f t="shared" si="28"/>
        <v>1</v>
      </c>
      <c r="I86" s="67">
        <f t="shared" si="29"/>
        <v>0</v>
      </c>
      <c r="J86" s="15">
        <f t="shared" si="30"/>
        <v>937.62</v>
      </c>
      <c r="K86" s="15">
        <f t="shared" si="31"/>
        <v>0</v>
      </c>
      <c r="L86">
        <f>SUMIF(Table228[[#All],[Asset]],Table228[[#This Row],[Asset]],Table228[[#All],[Bought number]])</f>
        <v>2</v>
      </c>
      <c r="M86">
        <f>SUMIF(Table228[[#All],[Asset]],Table228[[#This Row],[Asset]],Table228[[#All],[Sold Number]])</f>
        <v>1</v>
      </c>
      <c r="N86" s="15">
        <f>SUMIF(Table228[[#All],[Asset]],Table228[[#This Row],[Asset]],Table228[[#All],[Bought amount]])</f>
        <v>3497.62</v>
      </c>
      <c r="O86" s="15">
        <f>SUMIF(Table228[[#All],[Asset]],Table228[[#This Row],[Asset]],Table228[[#All],[Sold amount]])</f>
        <v>2110</v>
      </c>
      <c r="P86" s="75">
        <f>Table228[[#This Row],[Total bought Amount]]/Table228[[#This Row],[Total bought Number]]</f>
        <v>1748.81</v>
      </c>
      <c r="Q86" s="75">
        <f>IFERROR(Table228[[#This Row],[Total Sold Amount]]/Table228[[#This Row],[Total Sold Number]],0)</f>
        <v>2110</v>
      </c>
      <c r="R86" s="21">
        <f>Table228[[#This Row],[Total bought Number]]-Table228[[#This Row],[Total Sold Number]]</f>
        <v>1</v>
      </c>
      <c r="S86" s="59">
        <f>(Table228[[#This Row],[Ave exit price]]-Table228[[#This Row],[Ave Entry price]])*Table228[[#This Row],[Total Sold Number]]</f>
        <v>361.19000000000005</v>
      </c>
      <c r="T86" s="15">
        <f>(Table228[[#This Row],[Current Price]]-Table228[[#This Row],[Ave Entry price]])*Table228[[#This Row],[How many tokens now]]</f>
        <v>51.190000000000055</v>
      </c>
      <c r="U86" s="76">
        <f>VLOOKUP(Table228[[#This Row],[Asset]],Table26[#All],10,FALSE)</f>
        <v>1800</v>
      </c>
    </row>
    <row r="87" spans="1:21">
      <c r="A87" t="s">
        <v>222</v>
      </c>
      <c r="B87" s="68">
        <v>45494</v>
      </c>
      <c r="C87" s="3" t="s">
        <v>176</v>
      </c>
      <c r="D87" t="s">
        <v>240</v>
      </c>
      <c r="E87" t="s">
        <v>276</v>
      </c>
      <c r="F87" s="17">
        <v>137</v>
      </c>
      <c r="G87" s="73">
        <v>-3</v>
      </c>
      <c r="H87" s="61">
        <f t="shared" si="28"/>
        <v>0</v>
      </c>
      <c r="I87" s="67">
        <f t="shared" si="29"/>
        <v>3</v>
      </c>
      <c r="J87" s="15">
        <f t="shared" si="30"/>
        <v>0</v>
      </c>
      <c r="K87" s="15">
        <f t="shared" si="31"/>
        <v>411</v>
      </c>
      <c r="L87">
        <f>SUMIF(Table228[[#All],[Asset]],Table228[[#This Row],[Asset]],Table228[[#All],[Bought number]])</f>
        <v>54</v>
      </c>
      <c r="M87">
        <f>SUMIF(Table228[[#All],[Asset]],Table228[[#This Row],[Asset]],Table228[[#All],[Sold Number]])</f>
        <v>53</v>
      </c>
      <c r="N87" s="15">
        <f>SUMIF(Table228[[#All],[Asset]],Table228[[#This Row],[Asset]],Table228[[#All],[Bought amount]])</f>
        <v>9740</v>
      </c>
      <c r="O87" s="15">
        <f>SUMIF(Table228[[#All],[Asset]],Table228[[#This Row],[Asset]],Table228[[#All],[Sold amount]])</f>
        <v>3141</v>
      </c>
      <c r="P87" s="75">
        <f>Table228[[#This Row],[Total bought Amount]]/Table228[[#This Row],[Total bought Number]]</f>
        <v>180.37037037037038</v>
      </c>
      <c r="Q87" s="75">
        <f>IFERROR(Table228[[#This Row],[Total Sold Amount]]/Table228[[#This Row],[Total Sold Number]],0)</f>
        <v>59.264150943396224</v>
      </c>
      <c r="R87" s="21">
        <f>Table228[[#This Row],[Total bought Number]]-Table228[[#This Row],[Total Sold Number]]</f>
        <v>1</v>
      </c>
      <c r="S87" s="59">
        <f>(Table228[[#This Row],[Ave exit price]]-Table228[[#This Row],[Ave Entry price]])*Table228[[#This Row],[Total Sold Number]]</f>
        <v>-6418.6296296296296</v>
      </c>
      <c r="T87" s="15">
        <f>(Table228[[#This Row],[Current Price]]-Table228[[#This Row],[Ave Entry price]])*Table228[[#This Row],[How many tokens now]]</f>
        <v>-69.370370370370381</v>
      </c>
      <c r="U87" s="76">
        <f>VLOOKUP(Table228[[#This Row],[Asset]],Table26[#All],10,FALSE)</f>
        <v>111</v>
      </c>
    </row>
    <row r="88" spans="1:21">
      <c r="A88" t="s">
        <v>35</v>
      </c>
      <c r="B88" s="68">
        <v>45494</v>
      </c>
      <c r="C88" s="3" t="s">
        <v>176</v>
      </c>
      <c r="D88" t="s">
        <v>240</v>
      </c>
      <c r="E88" t="s">
        <v>276</v>
      </c>
      <c r="F88" s="17">
        <v>185</v>
      </c>
      <c r="G88" s="73">
        <v>-5.21</v>
      </c>
      <c r="H88" s="61">
        <f t="shared" si="28"/>
        <v>0</v>
      </c>
      <c r="I88" s="67">
        <f t="shared" si="29"/>
        <v>5.21</v>
      </c>
      <c r="J88" s="15">
        <f t="shared" si="30"/>
        <v>0</v>
      </c>
      <c r="K88" s="15">
        <f t="shared" si="31"/>
        <v>963.85</v>
      </c>
      <c r="L88">
        <f>SUMIF(Table228[[#All],[Asset]],Table228[[#This Row],[Asset]],Table228[[#All],[Bought number]])</f>
        <v>154.92660000000001</v>
      </c>
      <c r="M88">
        <f>SUMIF(Table228[[#All],[Asset]],Table228[[#This Row],[Asset]],Table228[[#All],[Sold Number]])</f>
        <v>79.674999999999997</v>
      </c>
      <c r="N88" s="15">
        <f>SUMIF(Table228[[#All],[Asset]],Table228[[#This Row],[Asset]],Table228[[#All],[Bought amount]])</f>
        <v>22897.17</v>
      </c>
      <c r="O88" s="15">
        <f>SUMIF(Table228[[#All],[Asset]],Table228[[#This Row],[Asset]],Table228[[#All],[Sold amount]])</f>
        <v>11736.940868199999</v>
      </c>
      <c r="P88" s="75">
        <f>Table228[[#This Row],[Total bought Amount]]/Table228[[#This Row],[Total bought Number]]</f>
        <v>147.79366487097758</v>
      </c>
      <c r="Q88" s="75">
        <f>IFERROR(Table228[[#This Row],[Total Sold Amount]]/Table228[[#This Row],[Total Sold Number]],0)</f>
        <v>147.31020857483526</v>
      </c>
      <c r="R88" s="21">
        <f>Table228[[#This Row],[Total bought Number]]-Table228[[#This Row],[Total Sold Number]]</f>
        <v>75.25160000000001</v>
      </c>
      <c r="S88" s="59">
        <f>(Table228[[#This Row],[Ave exit price]]-Table228[[#This Row],[Ave Entry price]])*Table228[[#This Row],[Total Sold Number]]</f>
        <v>-38.519380395139478</v>
      </c>
      <c r="T88" s="15">
        <f>(Table228[[#This Row],[Current Price]]-Table228[[#This Row],[Ave Entry price]])*Table228[[#This Row],[How many tokens now]]</f>
        <v>1671.0622485951437</v>
      </c>
      <c r="U88" s="76">
        <f>VLOOKUP(Table228[[#This Row],[Asset]],Table26[#All],10,FALSE)</f>
        <v>170</v>
      </c>
    </row>
    <row r="89" spans="1:21">
      <c r="A89" t="s">
        <v>179</v>
      </c>
      <c r="B89" s="68">
        <v>45494</v>
      </c>
      <c r="C89" s="3" t="s">
        <v>176</v>
      </c>
      <c r="D89" t="s">
        <v>240</v>
      </c>
      <c r="E89" t="s">
        <v>276</v>
      </c>
      <c r="F89" s="17">
        <v>966.15084999999999</v>
      </c>
      <c r="G89" s="73">
        <v>1</v>
      </c>
      <c r="H89" s="61">
        <f t="shared" si="28"/>
        <v>1</v>
      </c>
      <c r="I89" s="67">
        <f t="shared" si="29"/>
        <v>0</v>
      </c>
      <c r="J89" s="15">
        <f t="shared" si="30"/>
        <v>966.15084999999999</v>
      </c>
      <c r="K89" s="15">
        <f t="shared" si="31"/>
        <v>0</v>
      </c>
      <c r="L89">
        <f>SUMIF(Table228[[#All],[Asset]],Table228[[#This Row],[Asset]],Table228[[#All],[Bought number]])</f>
        <v>9</v>
      </c>
      <c r="M89">
        <f>SUMIF(Table228[[#All],[Asset]],Table228[[#This Row],[Asset]],Table228[[#All],[Sold Number]])</f>
        <v>9</v>
      </c>
      <c r="N89" s="15">
        <f>SUMIF(Table228[[#All],[Asset]],Table228[[#This Row],[Asset]],Table228[[#All],[Bought amount]])</f>
        <v>8351.15085</v>
      </c>
      <c r="O89" s="15">
        <f>SUMIF(Table228[[#All],[Asset]],Table228[[#This Row],[Asset]],Table228[[#All],[Sold amount]])</f>
        <v>4261.5684000000001</v>
      </c>
      <c r="P89" s="75">
        <f>Table228[[#This Row],[Total bought Amount]]/Table228[[#This Row],[Total bought Number]]</f>
        <v>927.90565000000004</v>
      </c>
      <c r="Q89" s="75">
        <f>IFERROR(Table228[[#This Row],[Total Sold Amount]]/Table228[[#This Row],[Total Sold Number]],0)</f>
        <v>473.50760000000002</v>
      </c>
      <c r="R89" s="21">
        <f>Table228[[#This Row],[Total bought Number]]-Table228[[#This Row],[Total Sold Number]]</f>
        <v>0</v>
      </c>
      <c r="S89" s="59">
        <f>(Table228[[#This Row],[Ave exit price]]-Table228[[#This Row],[Ave Entry price]])*Table228[[#This Row],[Total Sold Number]]</f>
        <v>-4089.5824499999999</v>
      </c>
      <c r="T89" s="15">
        <f>(Table228[[#This Row],[Current Price]]-Table228[[#This Row],[Ave Entry price]])*Table228[[#This Row],[How many tokens now]]</f>
        <v>0</v>
      </c>
      <c r="U89" s="76">
        <f>VLOOKUP(Table228[[#This Row],[Asset]],Table26[#All],10,FALSE)</f>
        <v>632</v>
      </c>
    </row>
    <row r="90" spans="1:21">
      <c r="A90" t="s">
        <v>209</v>
      </c>
      <c r="B90" s="68">
        <v>45500</v>
      </c>
      <c r="C90" s="3" t="s">
        <v>321</v>
      </c>
      <c r="D90" t="s">
        <v>178</v>
      </c>
      <c r="E90" t="s">
        <v>189</v>
      </c>
      <c r="F90" s="17">
        <v>0</v>
      </c>
      <c r="G90" s="73">
        <v>85.63</v>
      </c>
      <c r="H90" s="61">
        <f t="shared" si="28"/>
        <v>85.63</v>
      </c>
      <c r="I90" s="67">
        <f t="shared" si="29"/>
        <v>0</v>
      </c>
      <c r="J90" s="15">
        <f t="shared" si="30"/>
        <v>0</v>
      </c>
      <c r="K90" s="15">
        <f t="shared" si="31"/>
        <v>0</v>
      </c>
      <c r="L90">
        <f>SUMIF(Table228[[#All],[Asset]],Table228[[#This Row],[Asset]],Table228[[#All],[Bought number]])</f>
        <v>14504.07</v>
      </c>
      <c r="M90">
        <f>SUMIF(Table228[[#All],[Asset]],Table228[[#This Row],[Asset]],Table228[[#All],[Sold Number]])</f>
        <v>12705.240000000002</v>
      </c>
      <c r="N90" s="15">
        <f>SUMIF(Table228[[#All],[Asset]],Table228[[#This Row],[Asset]],Table228[[#All],[Bought amount]])</f>
        <v>14005.02</v>
      </c>
      <c r="O90" s="15">
        <f>SUMIF(Table228[[#All],[Asset]],Table228[[#This Row],[Asset]],Table228[[#All],[Sold amount]])</f>
        <v>12705.240000000002</v>
      </c>
      <c r="P90" s="75">
        <f>Table228[[#This Row],[Total bought Amount]]/Table228[[#This Row],[Total bought Number]]</f>
        <v>0.96559241647344507</v>
      </c>
      <c r="Q90" s="75">
        <f>IFERROR(Table228[[#This Row],[Total Sold Amount]]/Table228[[#This Row],[Total Sold Number]],0)</f>
        <v>1</v>
      </c>
      <c r="R90" s="21">
        <f>Table228[[#This Row],[Total bought Number]]-Table228[[#This Row],[Total Sold Number]]</f>
        <v>1798.8299999999981</v>
      </c>
      <c r="S90" s="59">
        <f>(Table228[[#This Row],[Ave exit price]]-Table228[[#This Row],[Ave Entry price]])*Table228[[#This Row],[Total Sold Number]]</f>
        <v>437.15660652492681</v>
      </c>
      <c r="T90" s="15">
        <f>(Table228[[#This Row],[Current Price]]-Table228[[#This Row],[Ave Entry price]])*Table228[[#This Row],[How many tokens now]]</f>
        <v>61.893393475072742</v>
      </c>
      <c r="U90" s="76">
        <f>VLOOKUP(Table228[[#This Row],[Asset]],Table26[#All],10,FALSE)</f>
        <v>1</v>
      </c>
    </row>
    <row r="91" spans="1:21">
      <c r="A91" t="s">
        <v>209</v>
      </c>
      <c r="B91" s="68">
        <v>45500</v>
      </c>
      <c r="C91" s="3" t="s">
        <v>321</v>
      </c>
      <c r="D91" t="s">
        <v>178</v>
      </c>
      <c r="E91" t="s">
        <v>189</v>
      </c>
      <c r="F91" s="17">
        <v>0</v>
      </c>
      <c r="G91" s="73">
        <v>29.01</v>
      </c>
      <c r="H91" s="61">
        <f t="shared" si="28"/>
        <v>29.01</v>
      </c>
      <c r="I91" s="67">
        <f t="shared" si="29"/>
        <v>0</v>
      </c>
      <c r="J91" s="15">
        <f t="shared" si="30"/>
        <v>0</v>
      </c>
      <c r="K91" s="15">
        <f t="shared" si="31"/>
        <v>0</v>
      </c>
      <c r="L91">
        <f>SUMIF(Table228[[#All],[Asset]],Table228[[#This Row],[Asset]],Table228[[#All],[Bought number]])</f>
        <v>14504.07</v>
      </c>
      <c r="M91">
        <f>SUMIF(Table228[[#All],[Asset]],Table228[[#This Row],[Asset]],Table228[[#All],[Sold Number]])</f>
        <v>12705.240000000002</v>
      </c>
      <c r="N91" s="15">
        <f>SUMIF(Table228[[#All],[Asset]],Table228[[#This Row],[Asset]],Table228[[#All],[Bought amount]])</f>
        <v>14005.02</v>
      </c>
      <c r="O91" s="15">
        <f>SUMIF(Table228[[#All],[Asset]],Table228[[#This Row],[Asset]],Table228[[#All],[Sold amount]])</f>
        <v>12705.240000000002</v>
      </c>
      <c r="P91" s="75">
        <f>Table228[[#This Row],[Total bought Amount]]/Table228[[#This Row],[Total bought Number]]</f>
        <v>0.96559241647344507</v>
      </c>
      <c r="Q91" s="75">
        <f>IFERROR(Table228[[#This Row],[Total Sold Amount]]/Table228[[#This Row],[Total Sold Number]],0)</f>
        <v>1</v>
      </c>
      <c r="R91" s="21">
        <f>Table228[[#This Row],[Total bought Number]]-Table228[[#This Row],[Total Sold Number]]</f>
        <v>1798.8299999999981</v>
      </c>
      <c r="S91" s="59">
        <f>(Table228[[#This Row],[Ave exit price]]-Table228[[#This Row],[Ave Entry price]])*Table228[[#This Row],[Total Sold Number]]</f>
        <v>437.15660652492681</v>
      </c>
      <c r="T91" s="15">
        <f>(Table228[[#This Row],[Current Price]]-Table228[[#This Row],[Ave Entry price]])*Table228[[#This Row],[How many tokens now]]</f>
        <v>61.893393475072742</v>
      </c>
      <c r="U91" s="76">
        <f>VLOOKUP(Table228[[#This Row],[Asset]],Table26[#All],10,FALSE)</f>
        <v>1</v>
      </c>
    </row>
    <row r="92" spans="1:21">
      <c r="A92" t="s">
        <v>322</v>
      </c>
      <c r="B92" s="1">
        <v>45439</v>
      </c>
      <c r="C92" s="3" t="s">
        <v>176</v>
      </c>
      <c r="D92" t="s">
        <v>71</v>
      </c>
      <c r="E92" t="s">
        <v>285</v>
      </c>
      <c r="F92" s="17">
        <v>0.12</v>
      </c>
      <c r="G92" s="73">
        <v>6758</v>
      </c>
      <c r="H92" s="61">
        <f t="shared" si="28"/>
        <v>6758</v>
      </c>
      <c r="I92" s="67">
        <f t="shared" si="29"/>
        <v>0</v>
      </c>
      <c r="J92" s="15">
        <f t="shared" si="30"/>
        <v>810.95999999999992</v>
      </c>
      <c r="K92" s="15">
        <f t="shared" si="31"/>
        <v>0</v>
      </c>
      <c r="L92">
        <f>SUMIF(Table228[[#All],[Asset]],Table228[[#This Row],[Asset]],Table228[[#All],[Bought number]])</f>
        <v>8758</v>
      </c>
      <c r="M92">
        <f>SUMIF(Table228[[#All],[Asset]],Table228[[#This Row],[Asset]],Table228[[#All],[Sold Number]])</f>
        <v>8758</v>
      </c>
      <c r="N92" s="15">
        <f>SUMIF(Table228[[#All],[Asset]],Table228[[#This Row],[Asset]],Table228[[#All],[Bought amount]])</f>
        <v>1202.96</v>
      </c>
      <c r="O92" s="15">
        <f>SUMIF(Table228[[#All],[Asset]],Table228[[#This Row],[Asset]],Table228[[#All],[Sold amount]])</f>
        <v>1829.5123799999999</v>
      </c>
      <c r="P92" s="75">
        <f>Table228[[#This Row],[Total bought Amount]]/Table228[[#This Row],[Total bought Number]]</f>
        <v>0.1373555606302809</v>
      </c>
      <c r="Q92" s="75">
        <f>IFERROR(Table228[[#This Row],[Total Sold Amount]]/Table228[[#This Row],[Total Sold Number]],0)</f>
        <v>0.20889613838775975</v>
      </c>
      <c r="R92" s="21">
        <f>Table228[[#This Row],[Total bought Number]]-Table228[[#This Row],[Total Sold Number]]</f>
        <v>0</v>
      </c>
      <c r="S92" s="59">
        <f>(Table228[[#This Row],[Ave exit price]]-Table228[[#This Row],[Ave Entry price]])*Table228[[#This Row],[Total Sold Number]]</f>
        <v>626.55237999999974</v>
      </c>
      <c r="T92" s="15">
        <f>(Table228[[#This Row],[Current Price]]-Table228[[#This Row],[Ave Entry price]])*Table228[[#This Row],[How many tokens now]]</f>
        <v>0</v>
      </c>
      <c r="U92" s="76">
        <f>VLOOKUP(Table228[[#This Row],[Asset]],Table26[#All],10,FALSE)</f>
        <v>0.13089000000000001</v>
      </c>
    </row>
    <row r="93" spans="1:21">
      <c r="A93" t="s">
        <v>322</v>
      </c>
      <c r="B93" s="68">
        <v>45500</v>
      </c>
      <c r="C93" s="3" t="s">
        <v>176</v>
      </c>
      <c r="D93" t="s">
        <v>71</v>
      </c>
      <c r="E93" t="s">
        <v>285</v>
      </c>
      <c r="F93" s="17">
        <v>0.19600000000000001</v>
      </c>
      <c r="G93" s="73">
        <v>2000</v>
      </c>
      <c r="H93" s="61">
        <f t="shared" si="28"/>
        <v>2000</v>
      </c>
      <c r="I93" s="67">
        <f t="shared" si="29"/>
        <v>0</v>
      </c>
      <c r="J93" s="15">
        <f t="shared" si="30"/>
        <v>392</v>
      </c>
      <c r="K93" s="15">
        <f t="shared" si="31"/>
        <v>0</v>
      </c>
      <c r="L93">
        <f>SUMIF(Table228[[#All],[Asset]],Table228[[#This Row],[Asset]],Table228[[#All],[Bought number]])</f>
        <v>8758</v>
      </c>
      <c r="M93">
        <f>SUMIF(Table228[[#All],[Asset]],Table228[[#This Row],[Asset]],Table228[[#All],[Sold Number]])</f>
        <v>8758</v>
      </c>
      <c r="N93" s="15">
        <f>SUMIF(Table228[[#All],[Asset]],Table228[[#This Row],[Asset]],Table228[[#All],[Bought amount]])</f>
        <v>1202.96</v>
      </c>
      <c r="O93" s="15">
        <f>SUMIF(Table228[[#All],[Asset]],Table228[[#This Row],[Asset]],Table228[[#All],[Sold amount]])</f>
        <v>1829.5123799999999</v>
      </c>
      <c r="P93" s="75">
        <f>Table228[[#This Row],[Total bought Amount]]/Table228[[#This Row],[Total bought Number]]</f>
        <v>0.1373555606302809</v>
      </c>
      <c r="Q93" s="75">
        <f>IFERROR(Table228[[#This Row],[Total Sold Amount]]/Table228[[#This Row],[Total Sold Number]],0)</f>
        <v>0.20889613838775975</v>
      </c>
      <c r="R93" s="21">
        <f>Table228[[#This Row],[Total bought Number]]-Table228[[#This Row],[Total Sold Number]]</f>
        <v>0</v>
      </c>
      <c r="S93" s="59">
        <f>(Table228[[#This Row],[Ave exit price]]-Table228[[#This Row],[Ave Entry price]])*Table228[[#This Row],[Total Sold Number]]</f>
        <v>626.55237999999974</v>
      </c>
      <c r="T93" s="15">
        <f>(Table228[[#This Row],[Current Price]]-Table228[[#This Row],[Ave Entry price]])*Table228[[#This Row],[How many tokens now]]</f>
        <v>0</v>
      </c>
      <c r="U93" s="76">
        <f>VLOOKUP(Table228[[#This Row],[Asset]],Table26[#All],10,FALSE)</f>
        <v>0.13089000000000001</v>
      </c>
    </row>
    <row r="94" spans="1:21">
      <c r="A94" t="s">
        <v>209</v>
      </c>
      <c r="B94" s="68">
        <v>45501</v>
      </c>
      <c r="C94" s="3" t="s">
        <v>323</v>
      </c>
      <c r="D94" t="s">
        <v>178</v>
      </c>
      <c r="E94" t="s">
        <v>276</v>
      </c>
      <c r="F94" s="17">
        <v>0</v>
      </c>
      <c r="G94" s="73">
        <v>39</v>
      </c>
      <c r="H94" s="61">
        <f t="shared" si="28"/>
        <v>39</v>
      </c>
      <c r="I94" s="67">
        <f t="shared" si="29"/>
        <v>0</v>
      </c>
      <c r="J94" s="15">
        <f t="shared" si="30"/>
        <v>0</v>
      </c>
      <c r="K94" s="15">
        <f t="shared" si="31"/>
        <v>0</v>
      </c>
      <c r="L94">
        <f>SUMIF(Table228[[#All],[Asset]],Table228[[#This Row],[Asset]],Table228[[#All],[Bought number]])</f>
        <v>14504.07</v>
      </c>
      <c r="M94">
        <f>SUMIF(Table228[[#All],[Asset]],Table228[[#This Row],[Asset]],Table228[[#All],[Sold Number]])</f>
        <v>12705.240000000002</v>
      </c>
      <c r="N94" s="15">
        <f>SUMIF(Table228[[#All],[Asset]],Table228[[#This Row],[Asset]],Table228[[#All],[Bought amount]])</f>
        <v>14005.02</v>
      </c>
      <c r="O94" s="15">
        <f>SUMIF(Table228[[#All],[Asset]],Table228[[#This Row],[Asset]],Table228[[#All],[Sold amount]])</f>
        <v>12705.240000000002</v>
      </c>
      <c r="P94" s="75">
        <f>Table228[[#This Row],[Total bought Amount]]/Table228[[#This Row],[Total bought Number]]</f>
        <v>0.96559241647344507</v>
      </c>
      <c r="Q94" s="75">
        <f>IFERROR(Table228[[#This Row],[Total Sold Amount]]/Table228[[#This Row],[Total Sold Number]],0)</f>
        <v>1</v>
      </c>
      <c r="R94" s="21">
        <f>Table228[[#This Row],[Total bought Number]]-Table228[[#This Row],[Total Sold Number]]</f>
        <v>1798.8299999999981</v>
      </c>
      <c r="S94" s="59">
        <f>(Table228[[#This Row],[Ave exit price]]-Table228[[#This Row],[Ave Entry price]])*Table228[[#This Row],[Total Sold Number]]</f>
        <v>437.15660652492681</v>
      </c>
      <c r="T94" s="15">
        <f>(Table228[[#This Row],[Current Price]]-Table228[[#This Row],[Ave Entry price]])*Table228[[#This Row],[How many tokens now]]</f>
        <v>61.893393475072742</v>
      </c>
      <c r="U94" s="76">
        <f>VLOOKUP(Table228[[#This Row],[Asset]],Table26[#All],10,FALSE)</f>
        <v>1</v>
      </c>
    </row>
    <row r="95" spans="1:21">
      <c r="A95" t="s">
        <v>209</v>
      </c>
      <c r="B95" s="68">
        <v>45501</v>
      </c>
      <c r="C95" s="3" t="s">
        <v>321</v>
      </c>
      <c r="D95" t="s">
        <v>178</v>
      </c>
      <c r="E95" t="s">
        <v>276</v>
      </c>
      <c r="F95" s="17">
        <v>0</v>
      </c>
      <c r="G95" s="73">
        <v>10.5</v>
      </c>
      <c r="H95" s="61">
        <f t="shared" si="28"/>
        <v>10.5</v>
      </c>
      <c r="I95" s="67">
        <f t="shared" si="29"/>
        <v>0</v>
      </c>
      <c r="J95" s="15">
        <f t="shared" si="30"/>
        <v>0</v>
      </c>
      <c r="K95" s="15">
        <f t="shared" si="31"/>
        <v>0</v>
      </c>
      <c r="L95">
        <f>SUMIF(Table228[[#All],[Asset]],Table228[[#This Row],[Asset]],Table228[[#All],[Bought number]])</f>
        <v>14504.07</v>
      </c>
      <c r="M95">
        <f>SUMIF(Table228[[#All],[Asset]],Table228[[#This Row],[Asset]],Table228[[#All],[Sold Number]])</f>
        <v>12705.240000000002</v>
      </c>
      <c r="N95" s="15">
        <f>SUMIF(Table228[[#All],[Asset]],Table228[[#This Row],[Asset]],Table228[[#All],[Bought amount]])</f>
        <v>14005.02</v>
      </c>
      <c r="O95" s="15">
        <f>SUMIF(Table228[[#All],[Asset]],Table228[[#This Row],[Asset]],Table228[[#All],[Sold amount]])</f>
        <v>12705.240000000002</v>
      </c>
      <c r="P95" s="75">
        <f>Table228[[#This Row],[Total bought Amount]]/Table228[[#This Row],[Total bought Number]]</f>
        <v>0.96559241647344507</v>
      </c>
      <c r="Q95" s="75">
        <f>IFERROR(Table228[[#This Row],[Total Sold Amount]]/Table228[[#This Row],[Total Sold Number]],0)</f>
        <v>1</v>
      </c>
      <c r="R95" s="21">
        <f>Table228[[#This Row],[Total bought Number]]-Table228[[#This Row],[Total Sold Number]]</f>
        <v>1798.8299999999981</v>
      </c>
      <c r="S95" s="59">
        <f>(Table228[[#This Row],[Ave exit price]]-Table228[[#This Row],[Ave Entry price]])*Table228[[#This Row],[Total Sold Number]]</f>
        <v>437.15660652492681</v>
      </c>
      <c r="T95" s="15">
        <f>(Table228[[#This Row],[Current Price]]-Table228[[#This Row],[Ave Entry price]])*Table228[[#This Row],[How many tokens now]]</f>
        <v>61.893393475072742</v>
      </c>
      <c r="U95" s="76">
        <f>VLOOKUP(Table228[[#This Row],[Asset]],Table26[#All],10,FALSE)</f>
        <v>1</v>
      </c>
    </row>
    <row r="96" spans="1:21">
      <c r="A96" t="s">
        <v>209</v>
      </c>
      <c r="B96" s="68">
        <v>45501</v>
      </c>
      <c r="C96" s="3" t="s">
        <v>321</v>
      </c>
      <c r="D96" t="s">
        <v>178</v>
      </c>
      <c r="E96" t="s">
        <v>276</v>
      </c>
      <c r="F96" s="17">
        <v>1</v>
      </c>
      <c r="G96" s="73">
        <v>-49.6</v>
      </c>
      <c r="H96" s="61">
        <f t="shared" si="28"/>
        <v>0</v>
      </c>
      <c r="I96" s="67">
        <f t="shared" si="29"/>
        <v>49.6</v>
      </c>
      <c r="J96" s="15">
        <f t="shared" si="30"/>
        <v>0</v>
      </c>
      <c r="K96" s="15">
        <f t="shared" si="31"/>
        <v>49.6</v>
      </c>
      <c r="L96">
        <f>SUMIF(Table228[[#All],[Asset]],Table228[[#This Row],[Asset]],Table228[[#All],[Bought number]])</f>
        <v>14504.07</v>
      </c>
      <c r="M96">
        <f>SUMIF(Table228[[#All],[Asset]],Table228[[#This Row],[Asset]],Table228[[#All],[Sold Number]])</f>
        <v>12705.240000000002</v>
      </c>
      <c r="N96" s="15">
        <f>SUMIF(Table228[[#All],[Asset]],Table228[[#This Row],[Asset]],Table228[[#All],[Bought amount]])</f>
        <v>14005.02</v>
      </c>
      <c r="O96" s="15">
        <f>SUMIF(Table228[[#All],[Asset]],Table228[[#This Row],[Asset]],Table228[[#All],[Sold amount]])</f>
        <v>12705.240000000002</v>
      </c>
      <c r="P96" s="75">
        <f>Table228[[#This Row],[Total bought Amount]]/Table228[[#This Row],[Total bought Number]]</f>
        <v>0.96559241647344507</v>
      </c>
      <c r="Q96" s="75">
        <f>IFERROR(Table228[[#This Row],[Total Sold Amount]]/Table228[[#This Row],[Total Sold Number]],0)</f>
        <v>1</v>
      </c>
      <c r="R96" s="21">
        <f>Table228[[#This Row],[Total bought Number]]-Table228[[#This Row],[Total Sold Number]]</f>
        <v>1798.8299999999981</v>
      </c>
      <c r="S96" s="59">
        <f>(Table228[[#This Row],[Ave exit price]]-Table228[[#This Row],[Ave Entry price]])*Table228[[#This Row],[Total Sold Number]]</f>
        <v>437.15660652492681</v>
      </c>
      <c r="T96" s="15">
        <f>(Table228[[#This Row],[Current Price]]-Table228[[#This Row],[Ave Entry price]])*Table228[[#This Row],[How many tokens now]]</f>
        <v>61.893393475072742</v>
      </c>
      <c r="U96" s="76">
        <f>VLOOKUP(Table228[[#This Row],[Asset]],Table26[#All],10,FALSE)</f>
        <v>1</v>
      </c>
    </row>
    <row r="97" spans="1:21">
      <c r="A97" t="s">
        <v>35</v>
      </c>
      <c r="B97" s="68">
        <v>45501</v>
      </c>
      <c r="C97" s="3" t="s">
        <v>176</v>
      </c>
      <c r="D97" t="s">
        <v>68</v>
      </c>
      <c r="E97" t="s">
        <v>276</v>
      </c>
      <c r="F97" s="17">
        <v>188</v>
      </c>
      <c r="G97" s="73">
        <v>0.26</v>
      </c>
      <c r="H97" s="61">
        <f t="shared" si="28"/>
        <v>0.26</v>
      </c>
      <c r="I97" s="67">
        <f t="shared" si="29"/>
        <v>0</v>
      </c>
      <c r="J97" s="15">
        <f t="shared" si="30"/>
        <v>48.88</v>
      </c>
      <c r="K97" s="15">
        <f t="shared" si="31"/>
        <v>0</v>
      </c>
      <c r="L97">
        <f>SUMIF(Table228[[#All],[Asset]],Table228[[#This Row],[Asset]],Table228[[#All],[Bought number]])</f>
        <v>154.92660000000001</v>
      </c>
      <c r="M97">
        <f>SUMIF(Table228[[#All],[Asset]],Table228[[#This Row],[Asset]],Table228[[#All],[Sold Number]])</f>
        <v>79.674999999999997</v>
      </c>
      <c r="N97" s="15">
        <f>SUMIF(Table228[[#All],[Asset]],Table228[[#This Row],[Asset]],Table228[[#All],[Bought amount]])</f>
        <v>22897.17</v>
      </c>
      <c r="O97" s="15">
        <f>SUMIF(Table228[[#All],[Asset]],Table228[[#This Row],[Asset]],Table228[[#All],[Sold amount]])</f>
        <v>11736.940868199999</v>
      </c>
      <c r="P97" s="75">
        <f>Table228[[#This Row],[Total bought Amount]]/Table228[[#This Row],[Total bought Number]]</f>
        <v>147.79366487097758</v>
      </c>
      <c r="Q97" s="75">
        <f>IFERROR(Table228[[#This Row],[Total Sold Amount]]/Table228[[#This Row],[Total Sold Number]],0)</f>
        <v>147.31020857483526</v>
      </c>
      <c r="R97" s="21">
        <f>Table228[[#This Row],[Total bought Number]]-Table228[[#This Row],[Total Sold Number]]</f>
        <v>75.25160000000001</v>
      </c>
      <c r="S97" s="59">
        <f>(Table228[[#This Row],[Ave exit price]]-Table228[[#This Row],[Ave Entry price]])*Table228[[#This Row],[Total Sold Number]]</f>
        <v>-38.519380395139478</v>
      </c>
      <c r="T97" s="15">
        <f>(Table228[[#This Row],[Current Price]]-Table228[[#This Row],[Ave Entry price]])*Table228[[#This Row],[How many tokens now]]</f>
        <v>1671.0622485951437</v>
      </c>
      <c r="U97" s="76">
        <f>VLOOKUP(Table228[[#This Row],[Asset]],Table26[#All],10,FALSE)</f>
        <v>170</v>
      </c>
    </row>
    <row r="98" spans="1:21">
      <c r="A98" t="s">
        <v>35</v>
      </c>
      <c r="B98" s="68">
        <v>45501</v>
      </c>
      <c r="C98" s="3" t="s">
        <v>176</v>
      </c>
      <c r="D98" t="s">
        <v>240</v>
      </c>
      <c r="E98" t="s">
        <v>276</v>
      </c>
      <c r="F98" s="17">
        <v>188</v>
      </c>
      <c r="G98" s="73">
        <v>-1.365</v>
      </c>
      <c r="H98" s="61">
        <f t="shared" si="28"/>
        <v>0</v>
      </c>
      <c r="I98" s="67">
        <f t="shared" si="29"/>
        <v>1.365</v>
      </c>
      <c r="J98" s="15">
        <f t="shared" si="30"/>
        <v>0</v>
      </c>
      <c r="K98" s="15">
        <f t="shared" si="31"/>
        <v>256.62</v>
      </c>
      <c r="L98">
        <f>SUMIF(Table228[[#All],[Asset]],Table228[[#This Row],[Asset]],Table228[[#All],[Bought number]])</f>
        <v>154.92660000000001</v>
      </c>
      <c r="M98">
        <f>SUMIF(Table228[[#All],[Asset]],Table228[[#This Row],[Asset]],Table228[[#All],[Sold Number]])</f>
        <v>79.674999999999997</v>
      </c>
      <c r="N98" s="15">
        <f>SUMIF(Table228[[#All],[Asset]],Table228[[#This Row],[Asset]],Table228[[#All],[Bought amount]])</f>
        <v>22897.17</v>
      </c>
      <c r="O98" s="15">
        <f>SUMIF(Table228[[#All],[Asset]],Table228[[#This Row],[Asset]],Table228[[#All],[Sold amount]])</f>
        <v>11736.940868199999</v>
      </c>
      <c r="P98" s="75">
        <f>Table228[[#This Row],[Total bought Amount]]/Table228[[#This Row],[Total bought Number]]</f>
        <v>147.79366487097758</v>
      </c>
      <c r="Q98" s="75">
        <f>IFERROR(Table228[[#This Row],[Total Sold Amount]]/Table228[[#This Row],[Total Sold Number]],0)</f>
        <v>147.31020857483526</v>
      </c>
      <c r="R98" s="21">
        <f>Table228[[#This Row],[Total bought Number]]-Table228[[#This Row],[Total Sold Number]]</f>
        <v>75.25160000000001</v>
      </c>
      <c r="S98" s="59">
        <f>(Table228[[#This Row],[Ave exit price]]-Table228[[#This Row],[Ave Entry price]])*Table228[[#This Row],[Total Sold Number]]</f>
        <v>-38.519380395139478</v>
      </c>
      <c r="T98" s="15">
        <f>(Table228[[#This Row],[Current Price]]-Table228[[#This Row],[Ave Entry price]])*Table228[[#This Row],[How many tokens now]]</f>
        <v>1671.0622485951437</v>
      </c>
      <c r="U98" s="76">
        <f>VLOOKUP(Table228[[#This Row],[Asset]],Table26[#All],10,FALSE)</f>
        <v>170</v>
      </c>
    </row>
    <row r="99" spans="1:21">
      <c r="A99" t="s">
        <v>324</v>
      </c>
      <c r="B99" s="68">
        <v>45501</v>
      </c>
      <c r="C99" s="3" t="s">
        <v>180</v>
      </c>
      <c r="D99" t="s">
        <v>240</v>
      </c>
      <c r="E99" t="s">
        <v>276</v>
      </c>
      <c r="F99" s="17">
        <v>214</v>
      </c>
      <c r="G99" s="73">
        <v>1</v>
      </c>
      <c r="H99" s="61">
        <f t="shared" si="28"/>
        <v>1</v>
      </c>
      <c r="I99" s="67">
        <f t="shared" si="29"/>
        <v>0</v>
      </c>
      <c r="J99" s="15">
        <f t="shared" si="30"/>
        <v>214</v>
      </c>
      <c r="K99" s="15">
        <f t="shared" si="31"/>
        <v>0</v>
      </c>
      <c r="L99">
        <f>SUMIF(Table228[[#All],[Asset]],Table228[[#This Row],[Asset]],Table228[[#All],[Bought number]])</f>
        <v>1</v>
      </c>
      <c r="M99">
        <f>SUMIF(Table228[[#All],[Asset]],Table228[[#This Row],[Asset]],Table228[[#All],[Sold Number]])</f>
        <v>0</v>
      </c>
      <c r="N99" s="15">
        <f>SUMIF(Table228[[#All],[Asset]],Table228[[#This Row],[Asset]],Table228[[#All],[Bought amount]])</f>
        <v>214</v>
      </c>
      <c r="O99" s="15">
        <f>SUMIF(Table228[[#All],[Asset]],Table228[[#This Row],[Asset]],Table228[[#All],[Sold amount]])</f>
        <v>0</v>
      </c>
      <c r="P99" s="75">
        <f>Table228[[#This Row],[Total bought Amount]]/Table228[[#This Row],[Total bought Number]]</f>
        <v>214</v>
      </c>
      <c r="Q99" s="75">
        <f>IFERROR(Table228[[#This Row],[Total Sold Amount]]/Table228[[#This Row],[Total Sold Number]],0)</f>
        <v>0</v>
      </c>
      <c r="R99" s="21">
        <f>Table228[[#This Row],[Total bought Number]]-Table228[[#This Row],[Total Sold Number]]</f>
        <v>1</v>
      </c>
      <c r="S99" s="59">
        <f>(Table228[[#This Row],[Ave exit price]]-Table228[[#This Row],[Ave Entry price]])*Table228[[#This Row],[Total Sold Number]]</f>
        <v>0</v>
      </c>
      <c r="T99" s="15">
        <f>(Table228[[#This Row],[Current Price]]-Table228[[#This Row],[Ave Entry price]])*Table228[[#This Row],[How many tokens now]]</f>
        <v>0</v>
      </c>
      <c r="U99" s="76">
        <f>VLOOKUP(Table228[[#This Row],[Asset]],Table26[#All],10,FALSE)</f>
        <v>214</v>
      </c>
    </row>
    <row r="100" spans="1:21">
      <c r="A100" t="s">
        <v>209</v>
      </c>
      <c r="B100" s="68">
        <v>45502</v>
      </c>
      <c r="C100" s="3" t="s">
        <v>176</v>
      </c>
      <c r="D100" t="s">
        <v>68</v>
      </c>
      <c r="E100" t="s">
        <v>263</v>
      </c>
      <c r="F100" s="17">
        <v>1</v>
      </c>
      <c r="G100" s="73">
        <v>-726</v>
      </c>
      <c r="H100" s="61">
        <f t="shared" ref="H100:H142" si="32">IF(G100&gt;0,G100,0)</f>
        <v>0</v>
      </c>
      <c r="I100" s="67">
        <f t="shared" ref="I100:I142" si="33">IF(G100&lt;0,ABS(G100),0)</f>
        <v>726</v>
      </c>
      <c r="J100" s="15">
        <f t="shared" ref="J100:J142" si="34">H100*F100</f>
        <v>0</v>
      </c>
      <c r="K100" s="15">
        <f t="shared" ref="K100:K142" si="35">I100*F100</f>
        <v>726</v>
      </c>
      <c r="L100">
        <f>SUMIF(Table228[[#All],[Asset]],Table228[[#This Row],[Asset]],Table228[[#All],[Bought number]])</f>
        <v>14504.07</v>
      </c>
      <c r="M100">
        <f>SUMIF(Table228[[#All],[Asset]],Table228[[#This Row],[Asset]],Table228[[#All],[Sold Number]])</f>
        <v>12705.240000000002</v>
      </c>
      <c r="N100" s="15">
        <f>SUMIF(Table228[[#All],[Asset]],Table228[[#This Row],[Asset]],Table228[[#All],[Bought amount]])</f>
        <v>14005.02</v>
      </c>
      <c r="O100" s="15">
        <f>SUMIF(Table228[[#All],[Asset]],Table228[[#This Row],[Asset]],Table228[[#All],[Sold amount]])</f>
        <v>12705.240000000002</v>
      </c>
      <c r="P100" s="75">
        <f>Table228[[#This Row],[Total bought Amount]]/Table228[[#This Row],[Total bought Number]]</f>
        <v>0.96559241647344507</v>
      </c>
      <c r="Q100" s="75">
        <f>IFERROR(Table228[[#This Row],[Total Sold Amount]]/Table228[[#This Row],[Total Sold Number]],0)</f>
        <v>1</v>
      </c>
      <c r="R100" s="21">
        <f>Table228[[#This Row],[Total bought Number]]-Table228[[#This Row],[Total Sold Number]]</f>
        <v>1798.8299999999981</v>
      </c>
      <c r="S100" s="59">
        <f>(Table228[[#This Row],[Ave exit price]]-Table228[[#This Row],[Ave Entry price]])*Table228[[#This Row],[Total Sold Number]]</f>
        <v>437.15660652492681</v>
      </c>
      <c r="T100" s="15">
        <f>(Table228[[#This Row],[Current Price]]-Table228[[#This Row],[Ave Entry price]])*Table228[[#This Row],[How many tokens now]]</f>
        <v>61.893393475072742</v>
      </c>
      <c r="U100" s="76">
        <f>VLOOKUP(Table228[[#This Row],[Asset]],Table26[#All],10,FALSE)</f>
        <v>1</v>
      </c>
    </row>
    <row r="101" spans="1:21">
      <c r="A101" t="s">
        <v>226</v>
      </c>
      <c r="B101" s="68">
        <v>45502</v>
      </c>
      <c r="C101" s="3" t="s">
        <v>176</v>
      </c>
      <c r="D101" t="s">
        <v>68</v>
      </c>
      <c r="E101" t="s">
        <v>276</v>
      </c>
      <c r="F101" s="17">
        <f>726/Table228[[#This Row],[Number]]</f>
        <v>5.9792455938066216E-2</v>
      </c>
      <c r="G101" s="73">
        <v>12142</v>
      </c>
      <c r="H101" s="61">
        <f t="shared" si="32"/>
        <v>12142</v>
      </c>
      <c r="I101" s="67">
        <f t="shared" si="33"/>
        <v>0</v>
      </c>
      <c r="J101" s="15">
        <f t="shared" si="34"/>
        <v>726</v>
      </c>
      <c r="K101" s="15">
        <f t="shared" si="35"/>
        <v>0</v>
      </c>
      <c r="L101">
        <f>SUMIF(Table228[[#All],[Asset]],Table228[[#This Row],[Asset]],Table228[[#All],[Bought number]])</f>
        <v>323932.72954500001</v>
      </c>
      <c r="M101">
        <f>SUMIF(Table228[[#All],[Asset]],Table228[[#This Row],[Asset]],Table228[[#All],[Sold Number]])</f>
        <v>323932.73009199998</v>
      </c>
      <c r="N101" s="15">
        <f>SUMIF(Table228[[#All],[Asset]],Table228[[#This Row],[Asset]],Table228[[#All],[Bought amount]])</f>
        <v>15730.280778400003</v>
      </c>
      <c r="O101" s="15">
        <f>SUMIF(Table228[[#All],[Asset]],Table228[[#This Row],[Asset]],Table228[[#All],[Sold amount]])</f>
        <v>14916.766213074001</v>
      </c>
      <c r="P101" s="75">
        <f>Table228[[#This Row],[Total bought Amount]]/Table228[[#This Row],[Total bought Number]]</f>
        <v>4.8560331648163348E-2</v>
      </c>
      <c r="Q101" s="75">
        <f>IFERROR(Table228[[#This Row],[Total Sold Amount]]/Table228[[#This Row],[Total Sold Number]],0)</f>
        <v>4.6048962723950426E-2</v>
      </c>
      <c r="R101" s="21">
        <f>Table228[[#This Row],[Total bought Number]]-Table228[[#This Row],[Total Sold Number]]</f>
        <v>-5.4699997417628765E-4</v>
      </c>
      <c r="S101" s="59">
        <f>(Table228[[#This Row],[Ave exit price]]-Table228[[#This Row],[Ave Entry price]])*Table228[[#This Row],[Total Sold Number]]</f>
        <v>-813.5145918885006</v>
      </c>
      <c r="T101" s="15">
        <f>(Table228[[#This Row],[Current Price]]-Table228[[#This Row],[Ave Entry price]])*Table228[[#This Row],[How many tokens now]]</f>
        <v>-2.3737984763883032E-6</v>
      </c>
      <c r="U101" s="76">
        <f>VLOOKUP(Table228[[#This Row],[Asset]],Table26[#All],10,FALSE)</f>
        <v>5.2900000000000003E-2</v>
      </c>
    </row>
    <row r="102" spans="1:21">
      <c r="A102" t="s">
        <v>226</v>
      </c>
      <c r="B102" s="68">
        <v>45502</v>
      </c>
      <c r="C102" s="3" t="s">
        <v>176</v>
      </c>
      <c r="D102" t="s">
        <v>68</v>
      </c>
      <c r="E102" t="s">
        <v>276</v>
      </c>
      <c r="F102" s="17">
        <f>200/Table228[[#This Row],[Number]]</f>
        <v>5.7405281285878303E-2</v>
      </c>
      <c r="G102" s="73">
        <v>3484</v>
      </c>
      <c r="H102" s="61">
        <f t="shared" si="32"/>
        <v>3484</v>
      </c>
      <c r="I102" s="67">
        <f t="shared" si="33"/>
        <v>0</v>
      </c>
      <c r="J102" s="15">
        <f t="shared" si="34"/>
        <v>200</v>
      </c>
      <c r="K102" s="15">
        <f t="shared" si="35"/>
        <v>0</v>
      </c>
      <c r="L102">
        <f>SUMIF(Table228[[#All],[Asset]],Table228[[#This Row],[Asset]],Table228[[#All],[Bought number]])</f>
        <v>323932.72954500001</v>
      </c>
      <c r="M102">
        <f>SUMIF(Table228[[#All],[Asset]],Table228[[#This Row],[Asset]],Table228[[#All],[Sold Number]])</f>
        <v>323932.73009199998</v>
      </c>
      <c r="N102" s="15">
        <f>SUMIF(Table228[[#All],[Asset]],Table228[[#This Row],[Asset]],Table228[[#All],[Bought amount]])</f>
        <v>15730.280778400003</v>
      </c>
      <c r="O102" s="15">
        <f>SUMIF(Table228[[#All],[Asset]],Table228[[#This Row],[Asset]],Table228[[#All],[Sold amount]])</f>
        <v>14916.766213074001</v>
      </c>
      <c r="P102" s="75">
        <f>Table228[[#This Row],[Total bought Amount]]/Table228[[#This Row],[Total bought Number]]</f>
        <v>4.8560331648163348E-2</v>
      </c>
      <c r="Q102" s="75">
        <f>IFERROR(Table228[[#This Row],[Total Sold Amount]]/Table228[[#This Row],[Total Sold Number]],0)</f>
        <v>4.6048962723950426E-2</v>
      </c>
      <c r="R102" s="21">
        <f>Table228[[#This Row],[Total bought Number]]-Table228[[#This Row],[Total Sold Number]]</f>
        <v>-5.4699997417628765E-4</v>
      </c>
      <c r="S102" s="59">
        <f>(Table228[[#This Row],[Ave exit price]]-Table228[[#This Row],[Ave Entry price]])*Table228[[#This Row],[Total Sold Number]]</f>
        <v>-813.5145918885006</v>
      </c>
      <c r="T102" s="15">
        <f>(Table228[[#This Row],[Current Price]]-Table228[[#This Row],[Ave Entry price]])*Table228[[#This Row],[How many tokens now]]</f>
        <v>-2.3737984763883032E-6</v>
      </c>
      <c r="U102" s="76">
        <f>VLOOKUP(Table228[[#This Row],[Asset]],Table26[#All],10,FALSE)</f>
        <v>5.2900000000000003E-2</v>
      </c>
    </row>
    <row r="103" spans="1:21">
      <c r="A103" t="s">
        <v>222</v>
      </c>
      <c r="B103" s="68">
        <v>45502</v>
      </c>
      <c r="C103" s="3" t="s">
        <v>176</v>
      </c>
      <c r="D103" t="s">
        <v>68</v>
      </c>
      <c r="E103" t="s">
        <v>276</v>
      </c>
      <c r="F103" s="17">
        <v>97</v>
      </c>
      <c r="G103" s="73">
        <v>-10</v>
      </c>
      <c r="H103" s="61">
        <f t="shared" si="32"/>
        <v>0</v>
      </c>
      <c r="I103" s="67">
        <f t="shared" si="33"/>
        <v>10</v>
      </c>
      <c r="J103" s="15">
        <f t="shared" si="34"/>
        <v>0</v>
      </c>
      <c r="K103" s="15">
        <f t="shared" si="35"/>
        <v>970</v>
      </c>
      <c r="L103">
        <f>SUMIF(Table228[[#All],[Asset]],Table228[[#This Row],[Asset]],Table228[[#All],[Bought number]])</f>
        <v>54</v>
      </c>
      <c r="M103">
        <f>SUMIF(Table228[[#All],[Asset]],Table228[[#This Row],[Asset]],Table228[[#All],[Sold Number]])</f>
        <v>53</v>
      </c>
      <c r="N103" s="15">
        <f>SUMIF(Table228[[#All],[Asset]],Table228[[#This Row],[Asset]],Table228[[#All],[Bought amount]])</f>
        <v>9740</v>
      </c>
      <c r="O103" s="15">
        <f>SUMIF(Table228[[#All],[Asset]],Table228[[#This Row],[Asset]],Table228[[#All],[Sold amount]])</f>
        <v>3141</v>
      </c>
      <c r="P103" s="75">
        <f>Table228[[#This Row],[Total bought Amount]]/Table228[[#This Row],[Total bought Number]]</f>
        <v>180.37037037037038</v>
      </c>
      <c r="Q103" s="75">
        <f>IFERROR(Table228[[#This Row],[Total Sold Amount]]/Table228[[#This Row],[Total Sold Number]],0)</f>
        <v>59.264150943396224</v>
      </c>
      <c r="R103" s="21">
        <f>Table228[[#This Row],[Total bought Number]]-Table228[[#This Row],[Total Sold Number]]</f>
        <v>1</v>
      </c>
      <c r="S103" s="59">
        <f>(Table228[[#This Row],[Ave exit price]]-Table228[[#This Row],[Ave Entry price]])*Table228[[#This Row],[Total Sold Number]]</f>
        <v>-6418.6296296296296</v>
      </c>
      <c r="T103" s="15">
        <f>(Table228[[#This Row],[Current Price]]-Table228[[#This Row],[Ave Entry price]])*Table228[[#This Row],[How many tokens now]]</f>
        <v>-69.370370370370381</v>
      </c>
      <c r="U103" s="76">
        <f>VLOOKUP(Table228[[#This Row],[Asset]],Table26[#All],10,FALSE)</f>
        <v>111</v>
      </c>
    </row>
    <row r="104" spans="1:21">
      <c r="A104" t="s">
        <v>226</v>
      </c>
      <c r="B104" s="68">
        <v>45502</v>
      </c>
      <c r="C104" s="3" t="s">
        <v>176</v>
      </c>
      <c r="D104" t="s">
        <v>68</v>
      </c>
      <c r="E104" t="s">
        <v>276</v>
      </c>
      <c r="F104" s="17">
        <f>970/Table228[[#This Row],[Number]]</f>
        <v>5.7078969047899261E-2</v>
      </c>
      <c r="G104" s="73">
        <v>16994</v>
      </c>
      <c r="H104" s="61">
        <f t="shared" si="32"/>
        <v>16994</v>
      </c>
      <c r="I104" s="67">
        <f t="shared" si="33"/>
        <v>0</v>
      </c>
      <c r="J104" s="15">
        <f t="shared" si="34"/>
        <v>970</v>
      </c>
      <c r="K104" s="15">
        <f t="shared" si="35"/>
        <v>0</v>
      </c>
      <c r="L104">
        <f>SUMIF(Table228[[#All],[Asset]],Table228[[#This Row],[Asset]],Table228[[#All],[Bought number]])</f>
        <v>323932.72954500001</v>
      </c>
      <c r="M104">
        <f>SUMIF(Table228[[#All],[Asset]],Table228[[#This Row],[Asset]],Table228[[#All],[Sold Number]])</f>
        <v>323932.73009199998</v>
      </c>
      <c r="N104" s="15">
        <f>SUMIF(Table228[[#All],[Asset]],Table228[[#This Row],[Asset]],Table228[[#All],[Bought amount]])</f>
        <v>15730.280778400003</v>
      </c>
      <c r="O104" s="15">
        <f>SUMIF(Table228[[#All],[Asset]],Table228[[#This Row],[Asset]],Table228[[#All],[Sold amount]])</f>
        <v>14916.766213074001</v>
      </c>
      <c r="P104" s="75">
        <f>Table228[[#This Row],[Total bought Amount]]/Table228[[#This Row],[Total bought Number]]</f>
        <v>4.8560331648163348E-2</v>
      </c>
      <c r="Q104" s="75">
        <f>IFERROR(Table228[[#This Row],[Total Sold Amount]]/Table228[[#This Row],[Total Sold Number]],0)</f>
        <v>4.6048962723950426E-2</v>
      </c>
      <c r="R104" s="21">
        <f>Table228[[#This Row],[Total bought Number]]-Table228[[#This Row],[Total Sold Number]]</f>
        <v>-5.4699997417628765E-4</v>
      </c>
      <c r="S104" s="59">
        <f>(Table228[[#This Row],[Ave exit price]]-Table228[[#This Row],[Ave Entry price]])*Table228[[#This Row],[Total Sold Number]]</f>
        <v>-813.5145918885006</v>
      </c>
      <c r="T104" s="15">
        <f>(Table228[[#This Row],[Current Price]]-Table228[[#This Row],[Ave Entry price]])*Table228[[#This Row],[How many tokens now]]</f>
        <v>-2.3737984763883032E-6</v>
      </c>
      <c r="U104" s="76">
        <f>VLOOKUP(Table228[[#This Row],[Asset]],Table26[#All],10,FALSE)</f>
        <v>5.2900000000000003E-2</v>
      </c>
    </row>
    <row r="105" spans="1:21">
      <c r="A105" t="s">
        <v>328</v>
      </c>
      <c r="B105" s="68">
        <v>45292</v>
      </c>
      <c r="C105" s="82" t="s">
        <v>175</v>
      </c>
      <c r="D105" t="s">
        <v>7</v>
      </c>
      <c r="E105" t="s">
        <v>330</v>
      </c>
      <c r="F105" s="17">
        <v>228</v>
      </c>
      <c r="G105" s="73">
        <v>1</v>
      </c>
      <c r="H105" s="61">
        <f t="shared" si="32"/>
        <v>1</v>
      </c>
      <c r="I105" s="67">
        <f t="shared" si="33"/>
        <v>0</v>
      </c>
      <c r="J105" s="15">
        <f t="shared" si="34"/>
        <v>228</v>
      </c>
      <c r="K105" s="15">
        <f t="shared" si="35"/>
        <v>0</v>
      </c>
      <c r="L105">
        <f>SUMIF(Table228[[#All],[Asset]],Table228[[#This Row],[Asset]],Table228[[#All],[Bought number]])</f>
        <v>1</v>
      </c>
      <c r="M105">
        <f>SUMIF(Table228[[#All],[Asset]],Table228[[#This Row],[Asset]],Table228[[#All],[Sold Number]])</f>
        <v>1</v>
      </c>
      <c r="N105" s="15">
        <f>SUMIF(Table228[[#All],[Asset]],Table228[[#This Row],[Asset]],Table228[[#All],[Bought amount]])</f>
        <v>228</v>
      </c>
      <c r="O105" s="15">
        <f>SUMIF(Table228[[#All],[Asset]],Table228[[#This Row],[Asset]],Table228[[#All],[Sold amount]])</f>
        <v>250</v>
      </c>
      <c r="P105" s="75">
        <f>Table228[[#This Row],[Total bought Amount]]/Table228[[#This Row],[Total bought Number]]</f>
        <v>228</v>
      </c>
      <c r="Q105" s="75">
        <f>IFERROR(Table228[[#This Row],[Total Sold Amount]]/Table228[[#This Row],[Total Sold Number]],0)</f>
        <v>250</v>
      </c>
      <c r="R105" s="21">
        <f>Table228[[#This Row],[Total bought Number]]-Table228[[#This Row],[Total Sold Number]]</f>
        <v>0</v>
      </c>
      <c r="S105" s="59">
        <f>(Table228[[#This Row],[Ave exit price]]-Table228[[#This Row],[Ave Entry price]])*Table228[[#This Row],[Total Sold Number]]</f>
        <v>22</v>
      </c>
      <c r="T105" s="15">
        <f>(Table228[[#This Row],[Current Price]]-Table228[[#This Row],[Ave Entry price]])*Table228[[#This Row],[How many tokens now]]</f>
        <v>0</v>
      </c>
      <c r="U105" s="76">
        <f>VLOOKUP(Table228[[#This Row],[Asset]],Table26[#All],10,FALSE)</f>
        <v>228</v>
      </c>
    </row>
    <row r="106" spans="1:21">
      <c r="A106" t="s">
        <v>253</v>
      </c>
      <c r="B106" s="68">
        <v>45387</v>
      </c>
      <c r="C106" s="3" t="s">
        <v>180</v>
      </c>
      <c r="D106" t="s">
        <v>46</v>
      </c>
      <c r="E106" t="s">
        <v>330</v>
      </c>
      <c r="F106" s="17">
        <v>11</v>
      </c>
      <c r="G106" s="73">
        <v>30.582999999999998</v>
      </c>
      <c r="H106" s="61">
        <f t="shared" si="32"/>
        <v>30.582999999999998</v>
      </c>
      <c r="I106" s="67">
        <f t="shared" si="33"/>
        <v>0</v>
      </c>
      <c r="J106" s="15">
        <f t="shared" si="34"/>
        <v>336.41300000000001</v>
      </c>
      <c r="K106" s="15">
        <f t="shared" si="35"/>
        <v>0</v>
      </c>
      <c r="L106">
        <f>SUMIF(Table228[[#All],[Asset]],Table228[[#This Row],[Asset]],Table228[[#All],[Bought number]])</f>
        <v>573.20479999999998</v>
      </c>
      <c r="M106">
        <f>SUMIF(Table228[[#All],[Asset]],Table228[[#This Row],[Asset]],Table228[[#All],[Sold Number]])</f>
        <v>573.20479999999998</v>
      </c>
      <c r="N106" s="15">
        <f>SUMIF(Table228[[#All],[Asset]],Table228[[#This Row],[Asset]],Table228[[#All],[Bought amount]])</f>
        <v>6305.2528000000002</v>
      </c>
      <c r="O106" s="15">
        <f>SUMIF(Table228[[#All],[Asset]],Table228[[#This Row],[Asset]],Table228[[#All],[Sold amount]])</f>
        <v>2752.7183133888002</v>
      </c>
      <c r="P106" s="75">
        <f>Table228[[#This Row],[Total bought Amount]]/Table228[[#This Row],[Total bought Number]]</f>
        <v>11</v>
      </c>
      <c r="Q106" s="75">
        <f>IFERROR(Table228[[#This Row],[Total Sold Amount]]/Table228[[#This Row],[Total Sold Number]],0)</f>
        <v>4.8023294874516056</v>
      </c>
      <c r="R106" s="21">
        <f>Table228[[#This Row],[Total bought Number]]-Table228[[#This Row],[Total Sold Number]]</f>
        <v>0</v>
      </c>
      <c r="S106" s="59">
        <f>(Table228[[#This Row],[Ave exit price]]-Table228[[#This Row],[Ave Entry price]])*Table228[[#This Row],[Total Sold Number]]</f>
        <v>-3552.5344866111996</v>
      </c>
      <c r="T106" s="15">
        <f>(Table228[[#This Row],[Current Price]]-Table228[[#This Row],[Ave Entry price]])*Table228[[#This Row],[How many tokens now]]</f>
        <v>0</v>
      </c>
      <c r="U106" s="76">
        <f>VLOOKUP(Table228[[#This Row],[Asset]],Table26[#All],10,FALSE)</f>
        <v>5.0629999999999997</v>
      </c>
    </row>
    <row r="107" spans="1:21">
      <c r="A107" t="s">
        <v>222</v>
      </c>
      <c r="B107" s="68">
        <v>45508</v>
      </c>
      <c r="C107" s="82" t="s">
        <v>176</v>
      </c>
      <c r="D107" t="s">
        <v>68</v>
      </c>
      <c r="E107" t="s">
        <v>276</v>
      </c>
      <c r="F107" s="17">
        <v>54</v>
      </c>
      <c r="G107" s="73">
        <v>-30</v>
      </c>
      <c r="H107" s="61">
        <f t="shared" si="32"/>
        <v>0</v>
      </c>
      <c r="I107" s="67">
        <f t="shared" si="33"/>
        <v>30</v>
      </c>
      <c r="J107" s="15">
        <f t="shared" si="34"/>
        <v>0</v>
      </c>
      <c r="K107" s="15">
        <f t="shared" si="35"/>
        <v>1620</v>
      </c>
      <c r="L107">
        <f>SUMIF(Table228[[#All],[Asset]],Table228[[#This Row],[Asset]],Table228[[#All],[Bought number]])</f>
        <v>54</v>
      </c>
      <c r="M107">
        <f>SUMIF(Table228[[#All],[Asset]],Table228[[#This Row],[Asset]],Table228[[#All],[Sold Number]])</f>
        <v>53</v>
      </c>
      <c r="N107" s="15">
        <f>SUMIF(Table228[[#All],[Asset]],Table228[[#This Row],[Asset]],Table228[[#All],[Bought amount]])</f>
        <v>9740</v>
      </c>
      <c r="O107" s="15">
        <f>SUMIF(Table228[[#All],[Asset]],Table228[[#This Row],[Asset]],Table228[[#All],[Sold amount]])</f>
        <v>3141</v>
      </c>
      <c r="P107" s="75">
        <f>Table228[[#This Row],[Total bought Amount]]/Table228[[#This Row],[Total bought Number]]</f>
        <v>180.37037037037038</v>
      </c>
      <c r="Q107" s="75">
        <f>IFERROR(Table228[[#This Row],[Total Sold Amount]]/Table228[[#This Row],[Total Sold Number]],0)</f>
        <v>59.264150943396224</v>
      </c>
      <c r="R107" s="21">
        <f>Table228[[#This Row],[Total bought Number]]-Table228[[#This Row],[Total Sold Number]]</f>
        <v>1</v>
      </c>
      <c r="S107" s="59">
        <f>(Table228[[#This Row],[Ave exit price]]-Table228[[#This Row],[Ave Entry price]])*Table228[[#This Row],[Total Sold Number]]</f>
        <v>-6418.6296296296296</v>
      </c>
      <c r="T107" s="15">
        <f>(Table228[[#This Row],[Current Price]]-Table228[[#This Row],[Ave Entry price]])*Table228[[#This Row],[How many tokens now]]</f>
        <v>-69.370370370370381</v>
      </c>
      <c r="U107" s="76">
        <f>VLOOKUP(Table228[[#This Row],[Asset]],Table26[#All],10,FALSE)</f>
        <v>111</v>
      </c>
    </row>
    <row r="108" spans="1:21">
      <c r="A108" t="s">
        <v>251</v>
      </c>
      <c r="B108" s="68">
        <v>45292</v>
      </c>
      <c r="C108" s="82" t="s">
        <v>214</v>
      </c>
      <c r="D108" t="s">
        <v>7</v>
      </c>
      <c r="E108" t="s">
        <v>331</v>
      </c>
      <c r="F108" s="17">
        <v>2.44</v>
      </c>
      <c r="G108" s="73">
        <v>393</v>
      </c>
      <c r="H108" s="61">
        <f t="shared" si="32"/>
        <v>393</v>
      </c>
      <c r="I108" s="67">
        <f t="shared" si="33"/>
        <v>0</v>
      </c>
      <c r="J108" s="15">
        <f t="shared" si="34"/>
        <v>958.92</v>
      </c>
      <c r="K108" s="15">
        <f t="shared" si="35"/>
        <v>0</v>
      </c>
      <c r="L108">
        <f>SUMIF(Table228[[#All],[Asset]],Table228[[#This Row],[Asset]],Table228[[#All],[Bought number]])</f>
        <v>1039.4598999999998</v>
      </c>
      <c r="M108">
        <f>SUMIF(Table228[[#All],[Asset]],Table228[[#This Row],[Asset]],Table228[[#All],[Sold Number]])</f>
        <v>1037.7</v>
      </c>
      <c r="N108" s="15">
        <f>SUMIF(Table228[[#All],[Asset]],Table228[[#This Row],[Asset]],Table228[[#All],[Bought amount]])</f>
        <v>2898.2997</v>
      </c>
      <c r="O108" s="15">
        <f>SUMIF(Table228[[#All],[Asset]],Table228[[#This Row],[Asset]],Table228[[#All],[Sold amount]])</f>
        <v>1031.2943580000001</v>
      </c>
      <c r="P108" s="75">
        <f>Table228[[#This Row],[Total bought Amount]]/Table228[[#This Row],[Total bought Number]]</f>
        <v>2.7882746607156279</v>
      </c>
      <c r="Q108" s="75">
        <f>IFERROR(Table228[[#This Row],[Total Sold Amount]]/Table228[[#This Row],[Total Sold Number]],0)</f>
        <v>0.99382707718993935</v>
      </c>
      <c r="R108" s="21">
        <f>Table228[[#This Row],[Total bought Number]]-Table228[[#This Row],[Total Sold Number]]</f>
        <v>1.7598999999997886</v>
      </c>
      <c r="S108" s="59">
        <f>(Table228[[#This Row],[Ave exit price]]-Table228[[#This Row],[Ave Entry price]])*Table228[[#This Row],[Total Sold Number]]</f>
        <v>-1862.098257424607</v>
      </c>
      <c r="T108" s="15">
        <f>(Table228[[#This Row],[Current Price]]-Table228[[#This Row],[Ave Entry price]])*Table228[[#This Row],[How many tokens now]]</f>
        <v>-2.9887935753930743</v>
      </c>
      <c r="U108" s="76">
        <f>VLOOKUP(Table228[[#This Row],[Asset]],Table26[#All],10,FALSE)</f>
        <v>1.0900000000000001</v>
      </c>
    </row>
    <row r="109" spans="1:21">
      <c r="A109" t="s">
        <v>251</v>
      </c>
      <c r="B109" s="68">
        <v>45508</v>
      </c>
      <c r="C109" s="82" t="s">
        <v>214</v>
      </c>
      <c r="D109" t="s">
        <v>7</v>
      </c>
      <c r="E109" t="s">
        <v>331</v>
      </c>
      <c r="F109" s="17">
        <v>1.159</v>
      </c>
      <c r="G109" s="73">
        <v>-393</v>
      </c>
      <c r="H109" s="61">
        <f t="shared" si="32"/>
        <v>0</v>
      </c>
      <c r="I109" s="67">
        <f t="shared" si="33"/>
        <v>393</v>
      </c>
      <c r="J109" s="15">
        <f t="shared" si="34"/>
        <v>0</v>
      </c>
      <c r="K109" s="15">
        <f t="shared" si="35"/>
        <v>455.48700000000002</v>
      </c>
      <c r="L109">
        <f>SUMIF(Table228[[#All],[Asset]],Table228[[#This Row],[Asset]],Table228[[#All],[Bought number]])</f>
        <v>1039.4598999999998</v>
      </c>
      <c r="M109">
        <f>SUMIF(Table228[[#All],[Asset]],Table228[[#This Row],[Asset]],Table228[[#All],[Sold Number]])</f>
        <v>1037.7</v>
      </c>
      <c r="N109" s="15">
        <f>SUMIF(Table228[[#All],[Asset]],Table228[[#This Row],[Asset]],Table228[[#All],[Bought amount]])</f>
        <v>2898.2997</v>
      </c>
      <c r="O109" s="15">
        <f>SUMIF(Table228[[#All],[Asset]],Table228[[#This Row],[Asset]],Table228[[#All],[Sold amount]])</f>
        <v>1031.2943580000001</v>
      </c>
      <c r="P109" s="75">
        <f>Table228[[#This Row],[Total bought Amount]]/Table228[[#This Row],[Total bought Number]]</f>
        <v>2.7882746607156279</v>
      </c>
      <c r="Q109" s="75">
        <f>IFERROR(Table228[[#This Row],[Total Sold Amount]]/Table228[[#This Row],[Total Sold Number]],0)</f>
        <v>0.99382707718993935</v>
      </c>
      <c r="R109" s="21">
        <f>Table228[[#This Row],[Total bought Number]]-Table228[[#This Row],[Total Sold Number]]</f>
        <v>1.7598999999997886</v>
      </c>
      <c r="S109" s="59">
        <f>(Table228[[#This Row],[Ave exit price]]-Table228[[#This Row],[Ave Entry price]])*Table228[[#This Row],[Total Sold Number]]</f>
        <v>-1862.098257424607</v>
      </c>
      <c r="T109" s="15">
        <f>(Table228[[#This Row],[Current Price]]-Table228[[#This Row],[Ave Entry price]])*Table228[[#This Row],[How many tokens now]]</f>
        <v>-2.9887935753930743</v>
      </c>
      <c r="U109" s="76">
        <f>VLOOKUP(Table228[[#This Row],[Asset]],Table26[#All],10,FALSE)</f>
        <v>1.0900000000000001</v>
      </c>
    </row>
    <row r="110" spans="1:21">
      <c r="A110" t="s">
        <v>254</v>
      </c>
      <c r="B110" s="68">
        <v>45292</v>
      </c>
      <c r="C110" s="3" t="s">
        <v>175</v>
      </c>
      <c r="D110" t="s">
        <v>7</v>
      </c>
      <c r="E110" t="s">
        <v>331</v>
      </c>
      <c r="F110" s="17">
        <v>0.2</v>
      </c>
      <c r="G110" s="73">
        <v>21687</v>
      </c>
      <c r="H110" s="61">
        <f t="shared" si="32"/>
        <v>21687</v>
      </c>
      <c r="I110" s="67">
        <f t="shared" si="33"/>
        <v>0</v>
      </c>
      <c r="J110" s="15">
        <f t="shared" si="34"/>
        <v>4337.4000000000005</v>
      </c>
      <c r="K110" s="15">
        <f t="shared" si="35"/>
        <v>0</v>
      </c>
      <c r="L110">
        <f>SUMIF(Table228[[#All],[Asset]],Table228[[#This Row],[Asset]],Table228[[#All],[Bought number]])</f>
        <v>21687</v>
      </c>
      <c r="M110">
        <f>SUMIF(Table228[[#All],[Asset]],Table228[[#This Row],[Asset]],Table228[[#All],[Sold Number]])</f>
        <v>21687</v>
      </c>
      <c r="N110" s="15">
        <f>SUMIF(Table228[[#All],[Asset]],Table228[[#This Row],[Asset]],Table228[[#All],[Bought amount]])</f>
        <v>4337.4000000000005</v>
      </c>
      <c r="O110" s="15">
        <f>SUMIF(Table228[[#All],[Asset]],Table228[[#This Row],[Asset]],Table228[[#All],[Sold amount]])</f>
        <v>388.19729999999998</v>
      </c>
      <c r="P110" s="75">
        <f>Table228[[#This Row],[Total bought Amount]]/Table228[[#This Row],[Total bought Number]]</f>
        <v>0.20000000000000004</v>
      </c>
      <c r="Q110" s="75">
        <f>IFERROR(Table228[[#This Row],[Total Sold Amount]]/Table228[[#This Row],[Total Sold Number]],0)</f>
        <v>1.7899999999999999E-2</v>
      </c>
      <c r="R110" s="21">
        <f>Table228[[#This Row],[Total bought Number]]-Table228[[#This Row],[Total Sold Number]]</f>
        <v>0</v>
      </c>
      <c r="S110" s="59">
        <f>(Table228[[#This Row],[Ave exit price]]-Table228[[#This Row],[Ave Entry price]])*Table228[[#This Row],[Total Sold Number]]</f>
        <v>-3949.2027000000007</v>
      </c>
      <c r="T110" s="15">
        <f>(Table228[[#This Row],[Current Price]]-Table228[[#This Row],[Ave Entry price]])*Table228[[#This Row],[How many tokens now]]</f>
        <v>0</v>
      </c>
      <c r="U110" s="76">
        <f>VLOOKUP(Table228[[#This Row],[Asset]],Table26[#All],10,FALSE)</f>
        <v>1.814E-2</v>
      </c>
    </row>
    <row r="111" spans="1:21">
      <c r="A111" t="s">
        <v>254</v>
      </c>
      <c r="B111" s="68">
        <v>45292</v>
      </c>
      <c r="C111" s="3" t="s">
        <v>175</v>
      </c>
      <c r="D111" t="s">
        <v>7</v>
      </c>
      <c r="E111" t="s">
        <v>331</v>
      </c>
      <c r="F111" s="17">
        <v>1.7899999999999999E-2</v>
      </c>
      <c r="G111" s="73">
        <v>-21687</v>
      </c>
      <c r="H111" s="61">
        <f t="shared" si="32"/>
        <v>0</v>
      </c>
      <c r="I111" s="67">
        <f t="shared" si="33"/>
        <v>21687</v>
      </c>
      <c r="J111" s="15">
        <f t="shared" si="34"/>
        <v>0</v>
      </c>
      <c r="K111" s="15">
        <f t="shared" si="35"/>
        <v>388.19729999999998</v>
      </c>
      <c r="L111">
        <f>SUMIF(Table228[[#All],[Asset]],Table228[[#This Row],[Asset]],Table228[[#All],[Bought number]])</f>
        <v>21687</v>
      </c>
      <c r="M111">
        <f>SUMIF(Table228[[#All],[Asset]],Table228[[#This Row],[Asset]],Table228[[#All],[Sold Number]])</f>
        <v>21687</v>
      </c>
      <c r="N111" s="15">
        <f>SUMIF(Table228[[#All],[Asset]],Table228[[#This Row],[Asset]],Table228[[#All],[Bought amount]])</f>
        <v>4337.4000000000005</v>
      </c>
      <c r="O111" s="15">
        <f>SUMIF(Table228[[#All],[Asset]],Table228[[#This Row],[Asset]],Table228[[#All],[Sold amount]])</f>
        <v>388.19729999999998</v>
      </c>
      <c r="P111" s="75">
        <f>Table228[[#This Row],[Total bought Amount]]/Table228[[#This Row],[Total bought Number]]</f>
        <v>0.20000000000000004</v>
      </c>
      <c r="Q111" s="75">
        <f>IFERROR(Table228[[#This Row],[Total Sold Amount]]/Table228[[#This Row],[Total Sold Number]],0)</f>
        <v>1.7899999999999999E-2</v>
      </c>
      <c r="R111" s="21">
        <f>Table228[[#This Row],[Total bought Number]]-Table228[[#This Row],[Total Sold Number]]</f>
        <v>0</v>
      </c>
      <c r="S111" s="59">
        <f>(Table228[[#This Row],[Ave exit price]]-Table228[[#This Row],[Ave Entry price]])*Table228[[#This Row],[Total Sold Number]]</f>
        <v>-3949.2027000000007</v>
      </c>
      <c r="T111" s="15">
        <f>(Table228[[#This Row],[Current Price]]-Table228[[#This Row],[Ave Entry price]])*Table228[[#This Row],[How many tokens now]]</f>
        <v>0</v>
      </c>
      <c r="U111" s="76">
        <f>VLOOKUP(Table228[[#This Row],[Asset]],Table26[#All],10,FALSE)</f>
        <v>1.814E-2</v>
      </c>
    </row>
    <row r="112" spans="1:21">
      <c r="A112" t="s">
        <v>252</v>
      </c>
      <c r="B112" s="68">
        <v>45292</v>
      </c>
      <c r="C112" s="82" t="s">
        <v>175</v>
      </c>
      <c r="D112" t="s">
        <v>7</v>
      </c>
      <c r="E112" t="s">
        <v>331</v>
      </c>
      <c r="F112" s="17">
        <v>0.75</v>
      </c>
      <c r="G112" s="73">
        <v>6505.38</v>
      </c>
      <c r="H112" s="61">
        <f t="shared" si="32"/>
        <v>6505.38</v>
      </c>
      <c r="I112" s="67">
        <f t="shared" si="33"/>
        <v>0</v>
      </c>
      <c r="J112" s="15">
        <f t="shared" si="34"/>
        <v>4879.0349999999999</v>
      </c>
      <c r="K112" s="15">
        <f t="shared" si="35"/>
        <v>0</v>
      </c>
      <c r="L112">
        <f>SUMIF(Table228[[#All],[Asset]],Table228[[#This Row],[Asset]],Table228[[#All],[Bought number]])</f>
        <v>15683.837200000002</v>
      </c>
      <c r="M112">
        <f>SUMIF(Table228[[#All],[Asset]],Table228[[#This Row],[Asset]],Table228[[#All],[Sold Number]])</f>
        <v>15260.380000000001</v>
      </c>
      <c r="N112" s="15">
        <f>SUMIF(Table228[[#All],[Asset]],Table228[[#This Row],[Asset]],Table228[[#All],[Bought amount]])</f>
        <v>11762.877899999999</v>
      </c>
      <c r="O112" s="15">
        <f>SUMIF(Table228[[#All],[Asset]],Table228[[#This Row],[Asset]],Table228[[#All],[Sold amount]])</f>
        <v>5579.440247999999</v>
      </c>
      <c r="P112" s="75">
        <f>Table228[[#This Row],[Total bought Amount]]/Table228[[#This Row],[Total bought Number]]</f>
        <v>0.74999999999999989</v>
      </c>
      <c r="Q112" s="75">
        <f>IFERROR(Table228[[#This Row],[Total Sold Amount]]/Table228[[#This Row],[Total Sold Number]],0)</f>
        <v>0.36561607561541709</v>
      </c>
      <c r="R112" s="21">
        <f>Table228[[#This Row],[Total bought Number]]-Table228[[#This Row],[Total Sold Number]]</f>
        <v>423.45720000000074</v>
      </c>
      <c r="S112" s="59">
        <f>(Table228[[#This Row],[Ave exit price]]-Table228[[#This Row],[Ave Entry price]])*Table228[[#This Row],[Total Sold Number]]</f>
        <v>-5865.844752</v>
      </c>
      <c r="T112" s="15">
        <f>(Table228[[#This Row],[Current Price]]-Table228[[#This Row],[Ave Entry price]])*Table228[[#This Row],[How many tokens now]]</f>
        <v>-155.83224960000021</v>
      </c>
      <c r="U112" s="76">
        <f>VLOOKUP(Table228[[#This Row],[Asset]],Table26[#All],10,FALSE)</f>
        <v>0.38200000000000001</v>
      </c>
    </row>
    <row r="113" spans="1:21">
      <c r="A113" t="s">
        <v>252</v>
      </c>
      <c r="B113" s="68">
        <v>45508</v>
      </c>
      <c r="C113" s="82" t="s">
        <v>175</v>
      </c>
      <c r="D113" t="s">
        <v>7</v>
      </c>
      <c r="E113" t="s">
        <v>331</v>
      </c>
      <c r="F113" s="17">
        <v>0.37059999999999998</v>
      </c>
      <c r="G113" s="73">
        <v>-6505.38</v>
      </c>
      <c r="H113" s="61">
        <f t="shared" si="32"/>
        <v>0</v>
      </c>
      <c r="I113" s="67">
        <f t="shared" si="33"/>
        <v>6505.38</v>
      </c>
      <c r="J113" s="15">
        <f t="shared" si="34"/>
        <v>0</v>
      </c>
      <c r="K113" s="15">
        <f t="shared" si="35"/>
        <v>2410.8938279999998</v>
      </c>
      <c r="L113">
        <f>SUMIF(Table228[[#All],[Asset]],Table228[[#This Row],[Asset]],Table228[[#All],[Bought number]])</f>
        <v>15683.837200000002</v>
      </c>
      <c r="M113">
        <f>SUMIF(Table228[[#All],[Asset]],Table228[[#This Row],[Asset]],Table228[[#All],[Sold Number]])</f>
        <v>15260.380000000001</v>
      </c>
      <c r="N113" s="15">
        <f>SUMIF(Table228[[#All],[Asset]],Table228[[#This Row],[Asset]],Table228[[#All],[Bought amount]])</f>
        <v>11762.877899999999</v>
      </c>
      <c r="O113" s="15">
        <f>SUMIF(Table228[[#All],[Asset]],Table228[[#This Row],[Asset]],Table228[[#All],[Sold amount]])</f>
        <v>5579.440247999999</v>
      </c>
      <c r="P113" s="75">
        <f>Table228[[#This Row],[Total bought Amount]]/Table228[[#This Row],[Total bought Number]]</f>
        <v>0.74999999999999989</v>
      </c>
      <c r="Q113" s="75">
        <f>IFERROR(Table228[[#This Row],[Total Sold Amount]]/Table228[[#This Row],[Total Sold Number]],0)</f>
        <v>0.36561607561541709</v>
      </c>
      <c r="R113" s="21">
        <f>Table228[[#This Row],[Total bought Number]]-Table228[[#This Row],[Total Sold Number]]</f>
        <v>423.45720000000074</v>
      </c>
      <c r="S113" s="59">
        <f>(Table228[[#This Row],[Ave exit price]]-Table228[[#This Row],[Ave Entry price]])*Table228[[#This Row],[Total Sold Number]]</f>
        <v>-5865.844752</v>
      </c>
      <c r="T113" s="15">
        <f>(Table228[[#This Row],[Current Price]]-Table228[[#This Row],[Ave Entry price]])*Table228[[#This Row],[How many tokens now]]</f>
        <v>-155.83224960000021</v>
      </c>
      <c r="U113" s="76">
        <f>VLOOKUP(Table228[[#This Row],[Asset]],Table26[#All],10,FALSE)</f>
        <v>0.38200000000000001</v>
      </c>
    </row>
    <row r="114" spans="1:21">
      <c r="A114" t="s">
        <v>252</v>
      </c>
      <c r="B114" s="68">
        <v>44927</v>
      </c>
      <c r="C114" s="82" t="s">
        <v>180</v>
      </c>
      <c r="D114" t="s">
        <v>7</v>
      </c>
      <c r="E114" t="s">
        <v>331</v>
      </c>
      <c r="F114" s="17">
        <v>0.75</v>
      </c>
      <c r="G114" s="73">
        <v>6890</v>
      </c>
      <c r="H114" s="61">
        <f t="shared" si="32"/>
        <v>6890</v>
      </c>
      <c r="I114" s="67">
        <f t="shared" si="33"/>
        <v>0</v>
      </c>
      <c r="J114" s="15">
        <f t="shared" si="34"/>
        <v>5167.5</v>
      </c>
      <c r="K114" s="15">
        <f t="shared" si="35"/>
        <v>0</v>
      </c>
      <c r="L114">
        <f>SUMIF(Table228[[#All],[Asset]],Table228[[#This Row],[Asset]],Table228[[#All],[Bought number]])</f>
        <v>15683.837200000002</v>
      </c>
      <c r="M114">
        <f>SUMIF(Table228[[#All],[Asset]],Table228[[#This Row],[Asset]],Table228[[#All],[Sold Number]])</f>
        <v>15260.380000000001</v>
      </c>
      <c r="N114" s="15">
        <f>SUMIF(Table228[[#All],[Asset]],Table228[[#This Row],[Asset]],Table228[[#All],[Bought amount]])</f>
        <v>11762.877899999999</v>
      </c>
      <c r="O114" s="15">
        <f>SUMIF(Table228[[#All],[Asset]],Table228[[#This Row],[Asset]],Table228[[#All],[Sold amount]])</f>
        <v>5579.440247999999</v>
      </c>
      <c r="P114" s="75">
        <f>Table228[[#This Row],[Total bought Amount]]/Table228[[#This Row],[Total bought Number]]</f>
        <v>0.74999999999999989</v>
      </c>
      <c r="Q114" s="75">
        <f>IFERROR(Table228[[#This Row],[Total Sold Amount]]/Table228[[#This Row],[Total Sold Number]],0)</f>
        <v>0.36561607561541709</v>
      </c>
      <c r="R114" s="21">
        <f>Table228[[#This Row],[Total bought Number]]-Table228[[#This Row],[Total Sold Number]]</f>
        <v>423.45720000000074</v>
      </c>
      <c r="S114" s="59">
        <f>(Table228[[#This Row],[Ave exit price]]-Table228[[#This Row],[Ave Entry price]])*Table228[[#This Row],[Total Sold Number]]</f>
        <v>-5865.844752</v>
      </c>
      <c r="T114" s="15">
        <f>(Table228[[#This Row],[Current Price]]-Table228[[#This Row],[Ave Entry price]])*Table228[[#This Row],[How many tokens now]]</f>
        <v>-155.83224960000021</v>
      </c>
      <c r="U114" s="76">
        <f>VLOOKUP(Table228[[#This Row],[Asset]],Table26[#All],10,FALSE)</f>
        <v>0.38200000000000001</v>
      </c>
    </row>
    <row r="115" spans="1:21">
      <c r="A115" t="s">
        <v>253</v>
      </c>
      <c r="B115" s="68">
        <v>44927</v>
      </c>
      <c r="C115" s="82" t="s">
        <v>180</v>
      </c>
      <c r="D115" t="s">
        <v>7</v>
      </c>
      <c r="E115" t="s">
        <v>331</v>
      </c>
      <c r="F115" s="17">
        <v>11</v>
      </c>
      <c r="G115" s="73">
        <v>196.71180000000001</v>
      </c>
      <c r="H115" s="61">
        <f t="shared" si="32"/>
        <v>196.71180000000001</v>
      </c>
      <c r="I115" s="67">
        <f t="shared" si="33"/>
        <v>0</v>
      </c>
      <c r="J115" s="15">
        <f t="shared" si="34"/>
        <v>2163.8298</v>
      </c>
      <c r="K115" s="15">
        <f t="shared" si="35"/>
        <v>0</v>
      </c>
      <c r="L115">
        <f>SUMIF(Table228[[#All],[Asset]],Table228[[#This Row],[Asset]],Table228[[#All],[Bought number]])</f>
        <v>573.20479999999998</v>
      </c>
      <c r="M115">
        <f>SUMIF(Table228[[#All],[Asset]],Table228[[#This Row],[Asset]],Table228[[#All],[Sold Number]])</f>
        <v>573.20479999999998</v>
      </c>
      <c r="N115" s="15">
        <f>SUMIF(Table228[[#All],[Asset]],Table228[[#This Row],[Asset]],Table228[[#All],[Bought amount]])</f>
        <v>6305.2528000000002</v>
      </c>
      <c r="O115" s="15">
        <f>SUMIF(Table228[[#All],[Asset]],Table228[[#This Row],[Asset]],Table228[[#All],[Sold amount]])</f>
        <v>2752.7183133888002</v>
      </c>
      <c r="P115" s="75">
        <f>Table228[[#This Row],[Total bought Amount]]/Table228[[#This Row],[Total bought Number]]</f>
        <v>11</v>
      </c>
      <c r="Q115" s="75">
        <f>IFERROR(Table228[[#This Row],[Total Sold Amount]]/Table228[[#This Row],[Total Sold Number]],0)</f>
        <v>4.8023294874516056</v>
      </c>
      <c r="R115" s="21">
        <f>Table228[[#This Row],[Total bought Number]]-Table228[[#This Row],[Total Sold Number]]</f>
        <v>0</v>
      </c>
      <c r="S115" s="59">
        <f>(Table228[[#This Row],[Ave exit price]]-Table228[[#This Row],[Ave Entry price]])*Table228[[#This Row],[Total Sold Number]]</f>
        <v>-3552.5344866111996</v>
      </c>
      <c r="T115" s="15">
        <f>(Table228[[#This Row],[Current Price]]-Table228[[#This Row],[Ave Entry price]])*Table228[[#This Row],[How many tokens now]]</f>
        <v>0</v>
      </c>
      <c r="U115" s="76">
        <f>VLOOKUP(Table228[[#This Row],[Asset]],Table26[#All],10,FALSE)</f>
        <v>5.0629999999999997</v>
      </c>
    </row>
    <row r="116" spans="1:21">
      <c r="A116" t="s">
        <v>251</v>
      </c>
      <c r="B116" s="68">
        <v>44927</v>
      </c>
      <c r="C116" s="82" t="s">
        <v>180</v>
      </c>
      <c r="D116" t="s">
        <v>7</v>
      </c>
      <c r="E116" t="s">
        <v>331</v>
      </c>
      <c r="F116" s="17">
        <v>3</v>
      </c>
      <c r="G116" s="73">
        <v>646.45989999999995</v>
      </c>
      <c r="H116" s="61">
        <f t="shared" si="32"/>
        <v>646.45989999999995</v>
      </c>
      <c r="I116" s="67">
        <f t="shared" si="33"/>
        <v>0</v>
      </c>
      <c r="J116" s="15">
        <f t="shared" si="34"/>
        <v>1939.3797</v>
      </c>
      <c r="K116" s="15">
        <f t="shared" si="35"/>
        <v>0</v>
      </c>
      <c r="L116">
        <f>SUMIF(Table228[[#All],[Asset]],Table228[[#This Row],[Asset]],Table228[[#All],[Bought number]])</f>
        <v>1039.4598999999998</v>
      </c>
      <c r="M116">
        <f>SUMIF(Table228[[#All],[Asset]],Table228[[#This Row],[Asset]],Table228[[#All],[Sold Number]])</f>
        <v>1037.7</v>
      </c>
      <c r="N116" s="15">
        <f>SUMIF(Table228[[#All],[Asset]],Table228[[#This Row],[Asset]],Table228[[#All],[Bought amount]])</f>
        <v>2898.2997</v>
      </c>
      <c r="O116" s="15">
        <f>SUMIF(Table228[[#All],[Asset]],Table228[[#This Row],[Asset]],Table228[[#All],[Sold amount]])</f>
        <v>1031.2943580000001</v>
      </c>
      <c r="P116" s="75">
        <f>Table228[[#This Row],[Total bought Amount]]/Table228[[#This Row],[Total bought Number]]</f>
        <v>2.7882746607156279</v>
      </c>
      <c r="Q116" s="75">
        <f>IFERROR(Table228[[#This Row],[Total Sold Amount]]/Table228[[#This Row],[Total Sold Number]],0)</f>
        <v>0.99382707718993935</v>
      </c>
      <c r="R116" s="21">
        <f>Table228[[#This Row],[Total bought Number]]-Table228[[#This Row],[Total Sold Number]]</f>
        <v>1.7598999999997886</v>
      </c>
      <c r="S116" s="59">
        <f>(Table228[[#This Row],[Ave exit price]]-Table228[[#This Row],[Ave Entry price]])*Table228[[#This Row],[Total Sold Number]]</f>
        <v>-1862.098257424607</v>
      </c>
      <c r="T116" s="15">
        <f>(Table228[[#This Row],[Current Price]]-Table228[[#This Row],[Ave Entry price]])*Table228[[#This Row],[How many tokens now]]</f>
        <v>-2.9887935753930743</v>
      </c>
      <c r="U116" s="76">
        <f>VLOOKUP(Table228[[#This Row],[Asset]],Table26[#All],10,FALSE)</f>
        <v>1.0900000000000001</v>
      </c>
    </row>
    <row r="117" spans="1:21">
      <c r="A117" t="s">
        <v>250</v>
      </c>
      <c r="B117" s="68">
        <v>44927</v>
      </c>
      <c r="C117" s="82" t="s">
        <v>180</v>
      </c>
      <c r="D117" t="s">
        <v>7</v>
      </c>
      <c r="E117" t="s">
        <v>331</v>
      </c>
      <c r="F117" s="17">
        <v>0.02</v>
      </c>
      <c r="G117" s="73">
        <v>83289</v>
      </c>
      <c r="H117" s="61">
        <f t="shared" si="32"/>
        <v>83289</v>
      </c>
      <c r="I117" s="67">
        <f t="shared" si="33"/>
        <v>0</v>
      </c>
      <c r="J117" s="15">
        <f t="shared" si="34"/>
        <v>1665.78</v>
      </c>
      <c r="K117" s="15">
        <f t="shared" si="35"/>
        <v>0</v>
      </c>
      <c r="L117">
        <f>SUMIF(Table228[[#All],[Asset]],Table228[[#This Row],[Asset]],Table228[[#All],[Bought number]])</f>
        <v>89428</v>
      </c>
      <c r="M117">
        <f>SUMIF(Table228[[#All],[Asset]],Table228[[#This Row],[Asset]],Table228[[#All],[Sold Number]])</f>
        <v>89428</v>
      </c>
      <c r="N117" s="15">
        <f>SUMIF(Table228[[#All],[Asset]],Table228[[#This Row],[Asset]],Table228[[#All],[Bought amount]])</f>
        <v>1788.56</v>
      </c>
      <c r="O117" s="15">
        <f>SUMIF(Table228[[#All],[Asset]],Table228[[#This Row],[Asset]],Table228[[#All],[Sold amount]])</f>
        <v>644.93416999999999</v>
      </c>
      <c r="P117" s="75">
        <f>Table228[[#This Row],[Total bought Amount]]/Table228[[#This Row],[Total bought Number]]</f>
        <v>0.02</v>
      </c>
      <c r="Q117" s="75">
        <f>IFERROR(Table228[[#This Row],[Total Sold Amount]]/Table228[[#This Row],[Total Sold Number]],0)</f>
        <v>7.2117700272845194E-3</v>
      </c>
      <c r="R117" s="21">
        <f>Table228[[#This Row],[Total bought Number]]-Table228[[#This Row],[Total Sold Number]]</f>
        <v>0</v>
      </c>
      <c r="S117" s="59">
        <f>(Table228[[#This Row],[Ave exit price]]-Table228[[#This Row],[Ave Entry price]])*Table228[[#This Row],[Total Sold Number]]</f>
        <v>-1143.62583</v>
      </c>
      <c r="T117" s="15">
        <f>(Table228[[#This Row],[Current Price]]-Table228[[#This Row],[Ave Entry price]])*Table228[[#This Row],[How many tokens now]]</f>
        <v>0</v>
      </c>
      <c r="U117" s="76">
        <f>VLOOKUP(Table228[[#This Row],[Asset]],Table26[#All],10,FALSE)</f>
        <v>7.0000000000000001E-3</v>
      </c>
    </row>
    <row r="118" spans="1:21">
      <c r="A118" t="s">
        <v>73</v>
      </c>
      <c r="B118" s="68">
        <v>45292</v>
      </c>
      <c r="C118" s="82" t="s">
        <v>180</v>
      </c>
      <c r="D118" t="s">
        <v>7</v>
      </c>
      <c r="E118" t="s">
        <v>331</v>
      </c>
      <c r="F118" s="17">
        <v>1</v>
      </c>
      <c r="G118" s="73">
        <v>932.19749999999999</v>
      </c>
      <c r="H118" s="61">
        <f t="shared" si="32"/>
        <v>932.19749999999999</v>
      </c>
      <c r="I118" s="67">
        <f t="shared" si="33"/>
        <v>0</v>
      </c>
      <c r="J118" s="15">
        <f t="shared" si="34"/>
        <v>932.19749999999999</v>
      </c>
      <c r="K118" s="15">
        <f t="shared" si="35"/>
        <v>0</v>
      </c>
      <c r="L118">
        <f>SUMIF(Table228[[#All],[Asset]],Table228[[#This Row],[Asset]],Table228[[#All],[Bought number]])</f>
        <v>932.19749999999999</v>
      </c>
      <c r="M118">
        <f>SUMIF(Table228[[#All],[Asset]],Table228[[#This Row],[Asset]],Table228[[#All],[Sold Number]])</f>
        <v>932.19749999999999</v>
      </c>
      <c r="N118" s="15">
        <f>SUMIF(Table228[[#All],[Asset]],Table228[[#This Row],[Asset]],Table228[[#All],[Bought amount]])</f>
        <v>932.19749999999999</v>
      </c>
      <c r="O118" s="15">
        <f>SUMIF(Table228[[#All],[Asset]],Table228[[#This Row],[Asset]],Table228[[#All],[Sold amount]])</f>
        <v>543.93724125000006</v>
      </c>
      <c r="P118" s="75">
        <f>Table228[[#This Row],[Total bought Amount]]/Table228[[#This Row],[Total bought Number]]</f>
        <v>1</v>
      </c>
      <c r="Q118" s="75">
        <f>IFERROR(Table228[[#This Row],[Total Sold Amount]]/Table228[[#This Row],[Total Sold Number]],0)</f>
        <v>0.58350000000000002</v>
      </c>
      <c r="R118" s="21">
        <f>Table228[[#This Row],[Total bought Number]]-Table228[[#This Row],[Total Sold Number]]</f>
        <v>0</v>
      </c>
      <c r="S118" s="59">
        <f>(Table228[[#This Row],[Ave exit price]]-Table228[[#This Row],[Ave Entry price]])*Table228[[#This Row],[Total Sold Number]]</f>
        <v>-388.26025874999999</v>
      </c>
      <c r="T118" s="15">
        <f>(Table228[[#This Row],[Current Price]]-Table228[[#This Row],[Ave Entry price]])*Table228[[#This Row],[How many tokens now]]</f>
        <v>0</v>
      </c>
      <c r="U118" s="76">
        <f>VLOOKUP(Table228[[#This Row],[Asset]],Table26[#All],10,FALSE)</f>
        <v>0.49390000000000001</v>
      </c>
    </row>
    <row r="119" spans="1:21">
      <c r="A119" t="s">
        <v>32</v>
      </c>
      <c r="B119" s="68">
        <v>44927</v>
      </c>
      <c r="C119" s="82" t="s">
        <v>180</v>
      </c>
      <c r="D119" t="s">
        <v>7</v>
      </c>
      <c r="E119" t="s">
        <v>331</v>
      </c>
      <c r="F119" s="17">
        <v>0.38</v>
      </c>
      <c r="G119" s="73">
        <v>3643.4690000000001</v>
      </c>
      <c r="H119" s="61">
        <f t="shared" si="32"/>
        <v>3643.4690000000001</v>
      </c>
      <c r="I119" s="67">
        <f t="shared" si="33"/>
        <v>0</v>
      </c>
      <c r="J119" s="15">
        <f t="shared" si="34"/>
        <v>1384.5182199999999</v>
      </c>
      <c r="K119" s="15">
        <f t="shared" si="35"/>
        <v>0</v>
      </c>
      <c r="L119">
        <f>SUMIF(Table228[[#All],[Asset]],Table228[[#This Row],[Asset]],Table228[[#All],[Bought number]])</f>
        <v>5396.5559999999996</v>
      </c>
      <c r="M119">
        <f>SUMIF(Table228[[#All],[Asset]],Table228[[#This Row],[Asset]],Table228[[#All],[Sold Number]])</f>
        <v>4960.05447</v>
      </c>
      <c r="N119" s="15">
        <f>SUMIF(Table228[[#All],[Asset]],Table228[[#This Row],[Asset]],Table228[[#All],[Bought amount]])</f>
        <v>2050.69128</v>
      </c>
      <c r="O119" s="15">
        <f>SUMIF(Table228[[#All],[Asset]],Table228[[#This Row],[Asset]],Table228[[#All],[Sold amount]])</f>
        <v>261.98893082579002</v>
      </c>
      <c r="P119" s="75">
        <f>Table228[[#This Row],[Total bought Amount]]/Table228[[#This Row],[Total bought Number]]</f>
        <v>0.38</v>
      </c>
      <c r="Q119" s="75">
        <f>IFERROR(Table228[[#This Row],[Total Sold Amount]]/Table228[[#This Row],[Total Sold Number]],0)</f>
        <v>5.2819768897777855E-2</v>
      </c>
      <c r="R119" s="21">
        <f>Table228[[#This Row],[Total bought Number]]-Table228[[#This Row],[Total Sold Number]]</f>
        <v>436.50152999999955</v>
      </c>
      <c r="S119" s="59">
        <f>(Table228[[#This Row],[Ave exit price]]-Table228[[#This Row],[Ave Entry price]])*Table228[[#This Row],[Total Sold Number]]</f>
        <v>-1622.83176777421</v>
      </c>
      <c r="T119" s="15">
        <f>(Table228[[#This Row],[Current Price]]-Table228[[#This Row],[Ave Entry price]])*Table228[[#This Row],[How many tokens now]]</f>
        <v>-141.12094464899988</v>
      </c>
      <c r="U119" s="76">
        <f>VLOOKUP(Table228[[#This Row],[Asset]],Table26[#All],10,FALSE)</f>
        <v>5.67E-2</v>
      </c>
    </row>
    <row r="120" spans="1:21">
      <c r="A120" t="s">
        <v>70</v>
      </c>
      <c r="B120" s="68">
        <v>45292</v>
      </c>
      <c r="C120" s="82" t="s">
        <v>180</v>
      </c>
      <c r="D120" t="s">
        <v>7</v>
      </c>
      <c r="E120" t="s">
        <v>331</v>
      </c>
      <c r="F120" s="17">
        <v>16</v>
      </c>
      <c r="G120" s="73">
        <v>31.89</v>
      </c>
      <c r="H120" s="61">
        <f t="shared" si="32"/>
        <v>31.89</v>
      </c>
      <c r="I120" s="67">
        <f t="shared" si="33"/>
        <v>0</v>
      </c>
      <c r="J120" s="15">
        <f t="shared" si="34"/>
        <v>510.24</v>
      </c>
      <c r="K120" s="15">
        <f t="shared" si="35"/>
        <v>0</v>
      </c>
      <c r="L120">
        <f>SUMIF(Table228[[#All],[Asset]],Table228[[#This Row],[Asset]],Table228[[#All],[Bought number]])</f>
        <v>31.89</v>
      </c>
      <c r="M120">
        <f>SUMIF(Table228[[#All],[Asset]],Table228[[#This Row],[Asset]],Table228[[#All],[Sold Number]])</f>
        <v>31.89</v>
      </c>
      <c r="N120" s="15">
        <f>SUMIF(Table228[[#All],[Asset]],Table228[[#This Row],[Asset]],Table228[[#All],[Bought amount]])</f>
        <v>510.24</v>
      </c>
      <c r="O120" s="15">
        <f>SUMIF(Table228[[#All],[Asset]],Table228[[#This Row],[Asset]],Table228[[#All],[Sold amount]])</f>
        <v>52.299599999999998</v>
      </c>
      <c r="P120" s="75">
        <f>Table228[[#This Row],[Total bought Amount]]/Table228[[#This Row],[Total bought Number]]</f>
        <v>16</v>
      </c>
      <c r="Q120" s="75">
        <f>IFERROR(Table228[[#This Row],[Total Sold Amount]]/Table228[[#This Row],[Total Sold Number]],0)</f>
        <v>1.64</v>
      </c>
      <c r="R120" s="21">
        <f>Table228[[#This Row],[Total bought Number]]-Table228[[#This Row],[Total Sold Number]]</f>
        <v>0</v>
      </c>
      <c r="S120" s="59">
        <f>(Table228[[#This Row],[Ave exit price]]-Table228[[#This Row],[Ave Entry price]])*Table228[[#This Row],[Total Sold Number]]</f>
        <v>-457.94040000000001</v>
      </c>
      <c r="T120" s="15">
        <f>(Table228[[#This Row],[Current Price]]-Table228[[#This Row],[Ave Entry price]])*Table228[[#This Row],[How many tokens now]]</f>
        <v>0</v>
      </c>
      <c r="U120" s="76">
        <f>VLOOKUP(Table228[[#This Row],[Asset]],Table26[#All],10,FALSE)</f>
        <v>4.75</v>
      </c>
    </row>
    <row r="121" spans="1:21">
      <c r="A121" t="s">
        <v>72</v>
      </c>
      <c r="B121" s="68">
        <v>45292</v>
      </c>
      <c r="C121" s="82" t="s">
        <v>180</v>
      </c>
      <c r="D121" t="s">
        <v>7</v>
      </c>
      <c r="E121" t="s">
        <v>331</v>
      </c>
      <c r="F121" s="17">
        <v>0.3</v>
      </c>
      <c r="G121" s="73">
        <v>402</v>
      </c>
      <c r="H121" s="61">
        <f t="shared" si="32"/>
        <v>402</v>
      </c>
      <c r="I121" s="67">
        <f t="shared" si="33"/>
        <v>0</v>
      </c>
      <c r="J121" s="15">
        <f t="shared" si="34"/>
        <v>120.6</v>
      </c>
      <c r="K121" s="15">
        <f t="shared" si="35"/>
        <v>0</v>
      </c>
      <c r="L121">
        <f>SUMIF(Table228[[#All],[Asset]],Table228[[#This Row],[Asset]],Table228[[#All],[Bought number]])</f>
        <v>402</v>
      </c>
      <c r="M121">
        <f>SUMIF(Table228[[#All],[Asset]],Table228[[#This Row],[Asset]],Table228[[#All],[Sold Number]])</f>
        <v>402</v>
      </c>
      <c r="N121" s="15">
        <f>SUMIF(Table228[[#All],[Asset]],Table228[[#This Row],[Asset]],Table228[[#All],[Bought amount]])</f>
        <v>120.6</v>
      </c>
      <c r="O121" s="15">
        <f>SUMIF(Table228[[#All],[Asset]],Table228[[#This Row],[Asset]],Table228[[#All],[Sold amount]])</f>
        <v>0</v>
      </c>
      <c r="P121" s="75">
        <f>Table228[[#This Row],[Total bought Amount]]/Table228[[#This Row],[Total bought Number]]</f>
        <v>0.3</v>
      </c>
      <c r="Q121" s="75">
        <f>IFERROR(Table228[[#This Row],[Total Sold Amount]]/Table228[[#This Row],[Total Sold Number]],0)</f>
        <v>0</v>
      </c>
      <c r="R121" s="21">
        <f>Table228[[#This Row],[Total bought Number]]-Table228[[#This Row],[Total Sold Number]]</f>
        <v>0</v>
      </c>
      <c r="S121" s="59">
        <f>(Table228[[#This Row],[Ave exit price]]-Table228[[#This Row],[Ave Entry price]])*Table228[[#This Row],[Total Sold Number]]</f>
        <v>-120.6</v>
      </c>
      <c r="T121" s="15">
        <f>(Table228[[#This Row],[Current Price]]-Table228[[#This Row],[Ave Entry price]])*Table228[[#This Row],[How many tokens now]]</f>
        <v>0</v>
      </c>
      <c r="U121" s="76">
        <f>VLOOKUP(Table228[[#This Row],[Asset]],Table26[#All],10,FALSE)</f>
        <v>0.24970000000000001</v>
      </c>
    </row>
    <row r="122" spans="1:21">
      <c r="A122" t="s">
        <v>253</v>
      </c>
      <c r="B122" s="68">
        <v>45292</v>
      </c>
      <c r="C122" s="82" t="s">
        <v>180</v>
      </c>
      <c r="D122" t="s">
        <v>7</v>
      </c>
      <c r="E122" t="s">
        <v>334</v>
      </c>
      <c r="F122" s="17">
        <v>11</v>
      </c>
      <c r="G122" s="73">
        <v>67.91</v>
      </c>
      <c r="H122" s="61">
        <f t="shared" si="32"/>
        <v>67.91</v>
      </c>
      <c r="I122" s="67">
        <f t="shared" si="33"/>
        <v>0</v>
      </c>
      <c r="J122" s="15">
        <f t="shared" si="34"/>
        <v>747.01</v>
      </c>
      <c r="K122" s="15">
        <f t="shared" si="35"/>
        <v>0</v>
      </c>
      <c r="L122">
        <f>SUMIF(Table228[[#All],[Asset]],Table228[[#This Row],[Asset]],Table228[[#All],[Bought number]])</f>
        <v>573.20479999999998</v>
      </c>
      <c r="M122">
        <f>SUMIF(Table228[[#All],[Asset]],Table228[[#This Row],[Asset]],Table228[[#All],[Sold Number]])</f>
        <v>573.20479999999998</v>
      </c>
      <c r="N122" s="15">
        <f>SUMIF(Table228[[#All],[Asset]],Table228[[#This Row],[Asset]],Table228[[#All],[Bought amount]])</f>
        <v>6305.2528000000002</v>
      </c>
      <c r="O122" s="15">
        <f>SUMIF(Table228[[#All],[Asset]],Table228[[#This Row],[Asset]],Table228[[#All],[Sold amount]])</f>
        <v>2752.7183133888002</v>
      </c>
      <c r="P122" s="75">
        <f>Table228[[#This Row],[Total bought Amount]]/Table228[[#This Row],[Total bought Number]]</f>
        <v>11</v>
      </c>
      <c r="Q122" s="75">
        <f>IFERROR(Table228[[#This Row],[Total Sold Amount]]/Table228[[#This Row],[Total Sold Number]],0)</f>
        <v>4.8023294874516056</v>
      </c>
      <c r="R122" s="21">
        <f>Table228[[#This Row],[Total bought Number]]-Table228[[#This Row],[Total Sold Number]]</f>
        <v>0</v>
      </c>
      <c r="S122" s="59">
        <f>(Table228[[#This Row],[Ave exit price]]-Table228[[#This Row],[Ave Entry price]])*Table228[[#This Row],[Total Sold Number]]</f>
        <v>-3552.5344866111996</v>
      </c>
      <c r="T122" s="15">
        <f>(Table228[[#This Row],[Current Price]]-Table228[[#This Row],[Ave Entry price]])*Table228[[#This Row],[How many tokens now]]</f>
        <v>0</v>
      </c>
      <c r="U122" s="76">
        <f>VLOOKUP(Table228[[#This Row],[Asset]],Table26[#All],10,FALSE)</f>
        <v>5.0629999999999997</v>
      </c>
    </row>
    <row r="123" spans="1:21">
      <c r="A123" t="s">
        <v>252</v>
      </c>
      <c r="B123" s="68">
        <v>45292</v>
      </c>
      <c r="C123" s="82" t="s">
        <v>180</v>
      </c>
      <c r="D123" t="s">
        <v>7</v>
      </c>
      <c r="E123" t="s">
        <v>334</v>
      </c>
      <c r="F123" s="17">
        <v>0.75</v>
      </c>
      <c r="G123" s="73">
        <v>659.45719999999994</v>
      </c>
      <c r="H123" s="61">
        <f t="shared" si="32"/>
        <v>659.45719999999994</v>
      </c>
      <c r="I123" s="67">
        <f t="shared" si="33"/>
        <v>0</v>
      </c>
      <c r="J123" s="15">
        <f t="shared" si="34"/>
        <v>494.59289999999999</v>
      </c>
      <c r="K123" s="15">
        <f t="shared" si="35"/>
        <v>0</v>
      </c>
      <c r="L123">
        <f>SUMIF(Table228[[#All],[Asset]],Table228[[#This Row],[Asset]],Table228[[#All],[Bought number]])</f>
        <v>15683.837200000002</v>
      </c>
      <c r="M123">
        <f>SUMIF(Table228[[#All],[Asset]],Table228[[#This Row],[Asset]],Table228[[#All],[Sold Number]])</f>
        <v>15260.380000000001</v>
      </c>
      <c r="N123" s="15">
        <f>SUMIF(Table228[[#All],[Asset]],Table228[[#This Row],[Asset]],Table228[[#All],[Bought amount]])</f>
        <v>11762.877899999999</v>
      </c>
      <c r="O123" s="15">
        <f>SUMIF(Table228[[#All],[Asset]],Table228[[#This Row],[Asset]],Table228[[#All],[Sold amount]])</f>
        <v>5579.440247999999</v>
      </c>
      <c r="P123" s="75">
        <f>Table228[[#This Row],[Total bought Amount]]/Table228[[#This Row],[Total bought Number]]</f>
        <v>0.74999999999999989</v>
      </c>
      <c r="Q123" s="75">
        <f>IFERROR(Table228[[#This Row],[Total Sold Amount]]/Table228[[#This Row],[Total Sold Number]],0)</f>
        <v>0.36561607561541709</v>
      </c>
      <c r="R123" s="21">
        <f>Table228[[#This Row],[Total bought Number]]-Table228[[#This Row],[Total Sold Number]]</f>
        <v>423.45720000000074</v>
      </c>
      <c r="S123" s="59">
        <f>(Table228[[#This Row],[Ave exit price]]-Table228[[#This Row],[Ave Entry price]])*Table228[[#This Row],[Total Sold Number]]</f>
        <v>-5865.844752</v>
      </c>
      <c r="T123" s="15">
        <f>(Table228[[#This Row],[Current Price]]-Table228[[#This Row],[Ave Entry price]])*Table228[[#This Row],[How many tokens now]]</f>
        <v>-155.83224960000021</v>
      </c>
      <c r="U123" s="76">
        <f>VLOOKUP(Table228[[#This Row],[Asset]],Table26[#All],10,FALSE)</f>
        <v>0.38200000000000001</v>
      </c>
    </row>
    <row r="124" spans="1:21">
      <c r="A124" t="s">
        <v>32</v>
      </c>
      <c r="B124" s="68">
        <v>45292</v>
      </c>
      <c r="C124" s="82" t="s">
        <v>180</v>
      </c>
      <c r="D124" t="s">
        <v>7</v>
      </c>
      <c r="E124" t="s">
        <v>334</v>
      </c>
      <c r="F124" s="17">
        <v>0.38</v>
      </c>
      <c r="G124" s="73">
        <v>1726.127</v>
      </c>
      <c r="H124" s="61">
        <f t="shared" si="32"/>
        <v>1726.127</v>
      </c>
      <c r="I124" s="67">
        <f t="shared" si="33"/>
        <v>0</v>
      </c>
      <c r="J124" s="15">
        <f t="shared" si="34"/>
        <v>655.92826000000002</v>
      </c>
      <c r="K124" s="15">
        <f t="shared" si="35"/>
        <v>0</v>
      </c>
      <c r="L124">
        <f>SUMIF(Table228[[#All],[Asset]],Table228[[#This Row],[Asset]],Table228[[#All],[Bought number]])</f>
        <v>5396.5559999999996</v>
      </c>
      <c r="M124">
        <f>SUMIF(Table228[[#All],[Asset]],Table228[[#This Row],[Asset]],Table228[[#All],[Sold Number]])</f>
        <v>4960.05447</v>
      </c>
      <c r="N124" s="15">
        <f>SUMIF(Table228[[#All],[Asset]],Table228[[#This Row],[Asset]],Table228[[#All],[Bought amount]])</f>
        <v>2050.69128</v>
      </c>
      <c r="O124" s="15">
        <f>SUMIF(Table228[[#All],[Asset]],Table228[[#This Row],[Asset]],Table228[[#All],[Sold amount]])</f>
        <v>261.98893082579002</v>
      </c>
      <c r="P124" s="75">
        <f>Table228[[#This Row],[Total bought Amount]]/Table228[[#This Row],[Total bought Number]]</f>
        <v>0.38</v>
      </c>
      <c r="Q124" s="75">
        <f>IFERROR(Table228[[#This Row],[Total Sold Amount]]/Table228[[#This Row],[Total Sold Number]],0)</f>
        <v>5.2819768897777855E-2</v>
      </c>
      <c r="R124" s="21">
        <f>Table228[[#This Row],[Total bought Number]]-Table228[[#This Row],[Total Sold Number]]</f>
        <v>436.50152999999955</v>
      </c>
      <c r="S124" s="59">
        <f>(Table228[[#This Row],[Ave exit price]]-Table228[[#This Row],[Ave Entry price]])*Table228[[#This Row],[Total Sold Number]]</f>
        <v>-1622.83176777421</v>
      </c>
      <c r="T124" s="15">
        <f>(Table228[[#This Row],[Current Price]]-Table228[[#This Row],[Ave Entry price]])*Table228[[#This Row],[How many tokens now]]</f>
        <v>-141.12094464899988</v>
      </c>
      <c r="U124" s="76">
        <f>VLOOKUP(Table228[[#This Row],[Asset]],Table26[#All],10,FALSE)</f>
        <v>5.67E-2</v>
      </c>
    </row>
    <row r="125" spans="1:21">
      <c r="A125" t="s">
        <v>4</v>
      </c>
      <c r="B125" s="68">
        <v>45292</v>
      </c>
      <c r="C125" s="82" t="s">
        <v>180</v>
      </c>
      <c r="D125" t="s">
        <v>7</v>
      </c>
      <c r="E125" t="s">
        <v>334</v>
      </c>
      <c r="F125" s="17">
        <v>30</v>
      </c>
      <c r="G125" s="73">
        <v>193</v>
      </c>
      <c r="H125" s="61">
        <f t="shared" si="32"/>
        <v>193</v>
      </c>
      <c r="I125" s="67">
        <f t="shared" si="33"/>
        <v>0</v>
      </c>
      <c r="J125" s="15">
        <f t="shared" si="34"/>
        <v>5790</v>
      </c>
      <c r="K125" s="15">
        <f t="shared" si="35"/>
        <v>0</v>
      </c>
      <c r="L125">
        <f>SUMIF(Table228[[#All],[Asset]],Table228[[#This Row],[Asset]],Table228[[#All],[Bought number]])</f>
        <v>19084</v>
      </c>
      <c r="M125">
        <f>SUMIF(Table228[[#All],[Asset]],Table228[[#This Row],[Asset]],Table228[[#All],[Sold Number]])</f>
        <v>19084</v>
      </c>
      <c r="N125" s="15">
        <f>SUMIF(Table228[[#All],[Asset]],Table228[[#This Row],[Asset]],Table228[[#All],[Bought amount]])</f>
        <v>383610</v>
      </c>
      <c r="O125" s="15">
        <f>SUMIF(Table228[[#All],[Asset]],Table228[[#This Row],[Asset]],Table228[[#All],[Sold amount]])</f>
        <v>6151.47</v>
      </c>
      <c r="P125" s="75">
        <f>Table228[[#This Row],[Total bought Amount]]/Table228[[#This Row],[Total bought Number]]</f>
        <v>20.101131838189058</v>
      </c>
      <c r="Q125" s="75">
        <f>IFERROR(Table228[[#This Row],[Total Sold Amount]]/Table228[[#This Row],[Total Sold Number]],0)</f>
        <v>0.32233651226158039</v>
      </c>
      <c r="R125" s="21">
        <f>Table228[[#This Row],[Total bought Number]]-Table228[[#This Row],[Total Sold Number]]</f>
        <v>0</v>
      </c>
      <c r="S125" s="59">
        <f>(Table228[[#This Row],[Ave exit price]]-Table228[[#This Row],[Ave Entry price]])*Table228[[#This Row],[Total Sold Number]]</f>
        <v>-377458.53</v>
      </c>
      <c r="T125" s="15">
        <f>(Table228[[#This Row],[Current Price]]-Table228[[#This Row],[Ave Entry price]])*Table228[[#This Row],[How many tokens now]]</f>
        <v>0</v>
      </c>
      <c r="U125" s="76">
        <f>VLOOKUP(Table228[[#This Row],[Asset]],Table26[#All],10,FALSE)</f>
        <v>0.2223</v>
      </c>
    </row>
    <row r="126" spans="1:21">
      <c r="A126" t="s">
        <v>250</v>
      </c>
      <c r="B126" s="68">
        <v>45292</v>
      </c>
      <c r="C126" s="82" t="s">
        <v>180</v>
      </c>
      <c r="D126" t="s">
        <v>7</v>
      </c>
      <c r="E126" t="s">
        <v>334</v>
      </c>
      <c r="F126" s="17">
        <v>0.02</v>
      </c>
      <c r="G126" s="73">
        <v>6139</v>
      </c>
      <c r="H126" s="61">
        <f t="shared" si="32"/>
        <v>6139</v>
      </c>
      <c r="I126" s="67">
        <f t="shared" si="33"/>
        <v>0</v>
      </c>
      <c r="J126" s="15">
        <f t="shared" si="34"/>
        <v>122.78</v>
      </c>
      <c r="K126" s="15">
        <f t="shared" si="35"/>
        <v>0</v>
      </c>
      <c r="L126">
        <f>SUMIF(Table228[[#All],[Asset]],Table228[[#This Row],[Asset]],Table228[[#All],[Bought number]])</f>
        <v>89428</v>
      </c>
      <c r="M126">
        <f>SUMIF(Table228[[#All],[Asset]],Table228[[#This Row],[Asset]],Table228[[#All],[Sold Number]])</f>
        <v>89428</v>
      </c>
      <c r="N126" s="15">
        <f>SUMIF(Table228[[#All],[Asset]],Table228[[#This Row],[Asset]],Table228[[#All],[Bought amount]])</f>
        <v>1788.56</v>
      </c>
      <c r="O126" s="15">
        <f>SUMIF(Table228[[#All],[Asset]],Table228[[#This Row],[Asset]],Table228[[#All],[Sold amount]])</f>
        <v>644.93416999999999</v>
      </c>
      <c r="P126" s="75">
        <f>Table228[[#This Row],[Total bought Amount]]/Table228[[#This Row],[Total bought Number]]</f>
        <v>0.02</v>
      </c>
      <c r="Q126" s="75">
        <f>IFERROR(Table228[[#This Row],[Total Sold Amount]]/Table228[[#This Row],[Total Sold Number]],0)</f>
        <v>7.2117700272845194E-3</v>
      </c>
      <c r="R126" s="21">
        <f>Table228[[#This Row],[Total bought Number]]-Table228[[#This Row],[Total Sold Number]]</f>
        <v>0</v>
      </c>
      <c r="S126" s="59">
        <f>(Table228[[#This Row],[Ave exit price]]-Table228[[#This Row],[Ave Entry price]])*Table228[[#This Row],[Total Sold Number]]</f>
        <v>-1143.62583</v>
      </c>
      <c r="T126" s="15">
        <f>(Table228[[#This Row],[Current Price]]-Table228[[#This Row],[Ave Entry price]])*Table228[[#This Row],[How many tokens now]]</f>
        <v>0</v>
      </c>
      <c r="U126" s="76">
        <f>VLOOKUP(Table228[[#This Row],[Asset]],Table26[#All],10,FALSE)</f>
        <v>7.0000000000000001E-3</v>
      </c>
    </row>
    <row r="127" spans="1:21">
      <c r="A127" t="s">
        <v>335</v>
      </c>
      <c r="B127" s="68">
        <v>45292</v>
      </c>
      <c r="C127" s="82" t="s">
        <v>175</v>
      </c>
      <c r="D127" t="s">
        <v>7</v>
      </c>
      <c r="E127" t="s">
        <v>334</v>
      </c>
      <c r="F127" s="17">
        <v>400</v>
      </c>
      <c r="G127" s="73">
        <v>1</v>
      </c>
      <c r="H127" s="61">
        <f t="shared" si="32"/>
        <v>1</v>
      </c>
      <c r="I127" s="67">
        <f t="shared" si="33"/>
        <v>0</v>
      </c>
      <c r="J127" s="15">
        <f t="shared" si="34"/>
        <v>400</v>
      </c>
      <c r="K127" s="15">
        <f t="shared" si="35"/>
        <v>0</v>
      </c>
      <c r="L127">
        <f>SUMIF(Table228[[#All],[Asset]],Table228[[#This Row],[Asset]],Table228[[#All],[Bought number]])</f>
        <v>1</v>
      </c>
      <c r="M127">
        <f>SUMIF(Table228[[#All],[Asset]],Table228[[#This Row],[Asset]],Table228[[#All],[Sold Number]])</f>
        <v>1</v>
      </c>
      <c r="N127" s="15">
        <f>SUMIF(Table228[[#All],[Asset]],Table228[[#This Row],[Asset]],Table228[[#All],[Bought amount]])</f>
        <v>400</v>
      </c>
      <c r="O127" s="15">
        <f>SUMIF(Table228[[#All],[Asset]],Table228[[#This Row],[Asset]],Table228[[#All],[Sold amount]])</f>
        <v>264</v>
      </c>
      <c r="P127" s="75">
        <f>Table228[[#This Row],[Total bought Amount]]/Table228[[#This Row],[Total bought Number]]</f>
        <v>400</v>
      </c>
      <c r="Q127" s="75">
        <f>IFERROR(Table228[[#This Row],[Total Sold Amount]]/Table228[[#This Row],[Total Sold Number]],0)</f>
        <v>264</v>
      </c>
      <c r="R127" s="21">
        <f>Table228[[#This Row],[Total bought Number]]-Table228[[#This Row],[Total Sold Number]]</f>
        <v>0</v>
      </c>
      <c r="S127" s="59">
        <f>(Table228[[#This Row],[Ave exit price]]-Table228[[#This Row],[Ave Entry price]])*Table228[[#This Row],[Total Sold Number]]</f>
        <v>-136</v>
      </c>
      <c r="T127" s="15">
        <f>(Table228[[#This Row],[Current Price]]-Table228[[#This Row],[Ave Entry price]])*Table228[[#This Row],[How many tokens now]]</f>
        <v>0</v>
      </c>
      <c r="U127" s="76">
        <f>VLOOKUP(Table228[[#This Row],[Asset]],Table26[#All],10,FALSE)</f>
        <v>206</v>
      </c>
    </row>
    <row r="128" spans="1:21">
      <c r="A128" t="s">
        <v>253</v>
      </c>
      <c r="B128" s="68">
        <v>45292</v>
      </c>
      <c r="C128" s="82" t="s">
        <v>180</v>
      </c>
      <c r="D128" t="s">
        <v>7</v>
      </c>
      <c r="E128" t="s">
        <v>336</v>
      </c>
      <c r="F128" s="17">
        <v>11</v>
      </c>
      <c r="G128" s="73">
        <v>278</v>
      </c>
      <c r="H128" s="61">
        <f t="shared" si="32"/>
        <v>278</v>
      </c>
      <c r="I128" s="67">
        <f t="shared" si="33"/>
        <v>0</v>
      </c>
      <c r="J128" s="15">
        <f t="shared" si="34"/>
        <v>3058</v>
      </c>
      <c r="K128" s="15">
        <f t="shared" si="35"/>
        <v>0</v>
      </c>
      <c r="L128">
        <f>SUMIF(Table228[[#All],[Asset]],Table228[[#This Row],[Asset]],Table228[[#All],[Bought number]])</f>
        <v>573.20479999999998</v>
      </c>
      <c r="M128">
        <f>SUMIF(Table228[[#All],[Asset]],Table228[[#This Row],[Asset]],Table228[[#All],[Sold Number]])</f>
        <v>573.20479999999998</v>
      </c>
      <c r="N128" s="15">
        <f>SUMIF(Table228[[#All],[Asset]],Table228[[#This Row],[Asset]],Table228[[#All],[Bought amount]])</f>
        <v>6305.2528000000002</v>
      </c>
      <c r="O128" s="15">
        <f>SUMIF(Table228[[#All],[Asset]],Table228[[#This Row],[Asset]],Table228[[#All],[Sold amount]])</f>
        <v>2752.7183133888002</v>
      </c>
      <c r="P128" s="75">
        <f>Table228[[#This Row],[Total bought Amount]]/Table228[[#This Row],[Total bought Number]]</f>
        <v>11</v>
      </c>
      <c r="Q128" s="75">
        <f>IFERROR(Table228[[#This Row],[Total Sold Amount]]/Table228[[#This Row],[Total Sold Number]],0)</f>
        <v>4.8023294874516056</v>
      </c>
      <c r="R128" s="21">
        <f>Table228[[#This Row],[Total bought Number]]-Table228[[#This Row],[Total Sold Number]]</f>
        <v>0</v>
      </c>
      <c r="S128" s="59">
        <f>(Table228[[#This Row],[Ave exit price]]-Table228[[#This Row],[Ave Entry price]])*Table228[[#This Row],[Total Sold Number]]</f>
        <v>-3552.5344866111996</v>
      </c>
      <c r="T128" s="15">
        <f>(Table228[[#This Row],[Current Price]]-Table228[[#This Row],[Ave Entry price]])*Table228[[#This Row],[How many tokens now]]</f>
        <v>0</v>
      </c>
      <c r="U128" s="76">
        <f>VLOOKUP(Table228[[#This Row],[Asset]],Table26[#All],10,FALSE)</f>
        <v>5.0629999999999997</v>
      </c>
    </row>
    <row r="129" spans="1:21">
      <c r="A129" t="s">
        <v>252</v>
      </c>
      <c r="B129" s="68">
        <v>45292</v>
      </c>
      <c r="C129" s="82" t="s">
        <v>180</v>
      </c>
      <c r="D129" t="s">
        <v>7</v>
      </c>
      <c r="E129" t="s">
        <v>336</v>
      </c>
      <c r="F129" s="17">
        <v>0.75</v>
      </c>
      <c r="G129" s="73">
        <v>1629</v>
      </c>
      <c r="H129" s="61">
        <f t="shared" si="32"/>
        <v>1629</v>
      </c>
      <c r="I129" s="67">
        <f t="shared" si="33"/>
        <v>0</v>
      </c>
      <c r="J129" s="15">
        <f t="shared" si="34"/>
        <v>1221.75</v>
      </c>
      <c r="K129" s="15">
        <f t="shared" si="35"/>
        <v>0</v>
      </c>
      <c r="L129">
        <f>SUMIF(Table228[[#All],[Asset]],Table228[[#This Row],[Asset]],Table228[[#All],[Bought number]])</f>
        <v>15683.837200000002</v>
      </c>
      <c r="M129">
        <f>SUMIF(Table228[[#All],[Asset]],Table228[[#This Row],[Asset]],Table228[[#All],[Sold Number]])</f>
        <v>15260.380000000001</v>
      </c>
      <c r="N129" s="15">
        <f>SUMIF(Table228[[#All],[Asset]],Table228[[#This Row],[Asset]],Table228[[#All],[Bought amount]])</f>
        <v>11762.877899999999</v>
      </c>
      <c r="O129" s="15">
        <f>SUMIF(Table228[[#All],[Asset]],Table228[[#This Row],[Asset]],Table228[[#All],[Sold amount]])</f>
        <v>5579.440247999999</v>
      </c>
      <c r="P129" s="75">
        <f>Table228[[#This Row],[Total bought Amount]]/Table228[[#This Row],[Total bought Number]]</f>
        <v>0.74999999999999989</v>
      </c>
      <c r="Q129" s="75">
        <f>IFERROR(Table228[[#This Row],[Total Sold Amount]]/Table228[[#This Row],[Total Sold Number]],0)</f>
        <v>0.36561607561541709</v>
      </c>
      <c r="R129" s="21">
        <f>Table228[[#This Row],[Total bought Number]]-Table228[[#This Row],[Total Sold Number]]</f>
        <v>423.45720000000074</v>
      </c>
      <c r="S129" s="59">
        <f>(Table228[[#This Row],[Ave exit price]]-Table228[[#This Row],[Ave Entry price]])*Table228[[#This Row],[Total Sold Number]]</f>
        <v>-5865.844752</v>
      </c>
      <c r="T129" s="15">
        <f>(Table228[[#This Row],[Current Price]]-Table228[[#This Row],[Ave Entry price]])*Table228[[#This Row],[How many tokens now]]</f>
        <v>-155.83224960000021</v>
      </c>
      <c r="U129" s="76">
        <f>VLOOKUP(Table228[[#This Row],[Asset]],Table26[#All],10,FALSE)</f>
        <v>0.38200000000000001</v>
      </c>
    </row>
    <row r="130" spans="1:21">
      <c r="A130" t="s">
        <v>32</v>
      </c>
      <c r="B130" s="68">
        <v>45292</v>
      </c>
      <c r="C130" s="82" t="s">
        <v>180</v>
      </c>
      <c r="D130" t="s">
        <v>7</v>
      </c>
      <c r="E130" t="s">
        <v>336</v>
      </c>
      <c r="F130" s="17">
        <v>0.38</v>
      </c>
      <c r="G130" s="73">
        <v>26.96</v>
      </c>
      <c r="H130" s="61">
        <f t="shared" si="32"/>
        <v>26.96</v>
      </c>
      <c r="I130" s="67">
        <f t="shared" si="33"/>
        <v>0</v>
      </c>
      <c r="J130" s="15">
        <f t="shared" si="34"/>
        <v>10.2448</v>
      </c>
      <c r="K130" s="15">
        <f t="shared" si="35"/>
        <v>0</v>
      </c>
      <c r="L130">
        <f>SUMIF(Table228[[#All],[Asset]],Table228[[#This Row],[Asset]],Table228[[#All],[Bought number]])</f>
        <v>5396.5559999999996</v>
      </c>
      <c r="M130">
        <f>SUMIF(Table228[[#All],[Asset]],Table228[[#This Row],[Asset]],Table228[[#All],[Sold Number]])</f>
        <v>4960.05447</v>
      </c>
      <c r="N130" s="15">
        <f>SUMIF(Table228[[#All],[Asset]],Table228[[#This Row],[Asset]],Table228[[#All],[Bought amount]])</f>
        <v>2050.69128</v>
      </c>
      <c r="O130" s="15">
        <f>SUMIF(Table228[[#All],[Asset]],Table228[[#This Row],[Asset]],Table228[[#All],[Sold amount]])</f>
        <v>261.98893082579002</v>
      </c>
      <c r="P130" s="75">
        <f>Table228[[#This Row],[Total bought Amount]]/Table228[[#This Row],[Total bought Number]]</f>
        <v>0.38</v>
      </c>
      <c r="Q130" s="75">
        <f>IFERROR(Table228[[#This Row],[Total Sold Amount]]/Table228[[#This Row],[Total Sold Number]],0)</f>
        <v>5.2819768897777855E-2</v>
      </c>
      <c r="R130" s="21">
        <f>Table228[[#This Row],[Total bought Number]]-Table228[[#This Row],[Total Sold Number]]</f>
        <v>436.50152999999955</v>
      </c>
      <c r="S130" s="59">
        <f>(Table228[[#This Row],[Ave exit price]]-Table228[[#This Row],[Ave Entry price]])*Table228[[#This Row],[Total Sold Number]]</f>
        <v>-1622.83176777421</v>
      </c>
      <c r="T130" s="15">
        <f>(Table228[[#This Row],[Current Price]]-Table228[[#This Row],[Ave Entry price]])*Table228[[#This Row],[How many tokens now]]</f>
        <v>-141.12094464899988</v>
      </c>
      <c r="U130" s="76">
        <f>VLOOKUP(Table228[[#This Row],[Asset]],Table26[#All],10,FALSE)</f>
        <v>5.67E-2</v>
      </c>
    </row>
    <row r="131" spans="1:21">
      <c r="A131" t="s">
        <v>332</v>
      </c>
      <c r="B131" s="68">
        <v>45292</v>
      </c>
      <c r="C131" s="82" t="s">
        <v>180</v>
      </c>
      <c r="D131" t="s">
        <v>7</v>
      </c>
      <c r="E131" t="s">
        <v>336</v>
      </c>
      <c r="F131" s="17">
        <v>3</v>
      </c>
      <c r="G131" s="73">
        <v>26.96</v>
      </c>
      <c r="H131" s="61">
        <f t="shared" si="32"/>
        <v>26.96</v>
      </c>
      <c r="I131" s="67">
        <f t="shared" si="33"/>
        <v>0</v>
      </c>
      <c r="J131" s="15">
        <f t="shared" si="34"/>
        <v>80.88</v>
      </c>
      <c r="K131" s="15">
        <f t="shared" si="35"/>
        <v>0</v>
      </c>
      <c r="L131">
        <f>SUMIF(Table228[[#All],[Asset]],Table228[[#This Row],[Asset]],Table228[[#All],[Bought number]])</f>
        <v>26.96</v>
      </c>
      <c r="M131">
        <f>SUMIF(Table228[[#All],[Asset]],Table228[[#This Row],[Asset]],Table228[[#All],[Sold Number]])</f>
        <v>101</v>
      </c>
      <c r="N131" s="15">
        <f>SUMIF(Table228[[#All],[Asset]],Table228[[#This Row],[Asset]],Table228[[#All],[Bought amount]])</f>
        <v>80.88</v>
      </c>
      <c r="O131" s="15">
        <f>SUMIF(Table228[[#All],[Asset]],Table228[[#This Row],[Asset]],Table228[[#All],[Sold amount]])</f>
        <v>99.774365000000003</v>
      </c>
      <c r="P131" s="75">
        <f>Table228[[#This Row],[Total bought Amount]]/Table228[[#This Row],[Total bought Number]]</f>
        <v>2.9999999999999996</v>
      </c>
      <c r="Q131" s="75">
        <f>IFERROR(Table228[[#This Row],[Total Sold Amount]]/Table228[[#This Row],[Total Sold Number]],0)</f>
        <v>0.98786499999999999</v>
      </c>
      <c r="R131" s="21">
        <f>Table228[[#This Row],[Total bought Number]]-Table228[[#This Row],[Total Sold Number]]</f>
        <v>-74.039999999999992</v>
      </c>
      <c r="S131" s="59">
        <f>(Table228[[#This Row],[Ave exit price]]-Table228[[#This Row],[Ave Entry price]])*Table228[[#This Row],[Total Sold Number]]</f>
        <v>-203.22563499999998</v>
      </c>
      <c r="T131" s="15">
        <f>(Table228[[#This Row],[Current Price]]-Table228[[#This Row],[Ave Entry price]])*Table228[[#This Row],[How many tokens now]]</f>
        <v>156.96479999999997</v>
      </c>
      <c r="U131" s="76">
        <f>VLOOKUP(Table228[[#This Row],[Asset]],Table26[#All],10,FALSE)</f>
        <v>0.88</v>
      </c>
    </row>
    <row r="132" spans="1:21">
      <c r="A132" t="s">
        <v>5</v>
      </c>
      <c r="B132" s="68">
        <v>45292</v>
      </c>
      <c r="C132" s="82" t="s">
        <v>180</v>
      </c>
      <c r="D132" t="s">
        <v>7</v>
      </c>
      <c r="E132" t="s">
        <v>336</v>
      </c>
      <c r="F132" s="17">
        <v>1</v>
      </c>
      <c r="G132" s="73">
        <v>101</v>
      </c>
      <c r="H132" s="61">
        <f t="shared" si="32"/>
        <v>101</v>
      </c>
      <c r="I132" s="67">
        <f t="shared" si="33"/>
        <v>0</v>
      </c>
      <c r="J132" s="15">
        <f t="shared" si="34"/>
        <v>101</v>
      </c>
      <c r="K132" s="15">
        <f t="shared" si="35"/>
        <v>0</v>
      </c>
      <c r="L132">
        <f>SUMIF(Table228[[#All],[Asset]],Table228[[#This Row],[Asset]],Table228[[#All],[Bought number]])</f>
        <v>101</v>
      </c>
      <c r="M132">
        <f>SUMIF(Table228[[#All],[Asset]],Table228[[#This Row],[Asset]],Table228[[#All],[Sold Number]])</f>
        <v>0</v>
      </c>
      <c r="N132" s="15">
        <f>SUMIF(Table228[[#All],[Asset]],Table228[[#This Row],[Asset]],Table228[[#All],[Bought amount]])</f>
        <v>101</v>
      </c>
      <c r="O132" s="15">
        <f>SUMIF(Table228[[#All],[Asset]],Table228[[#This Row],[Asset]],Table228[[#All],[Sold amount]])</f>
        <v>0</v>
      </c>
      <c r="P132" s="75">
        <f>Table228[[#This Row],[Total bought Amount]]/Table228[[#This Row],[Total bought Number]]</f>
        <v>1</v>
      </c>
      <c r="Q132" s="75">
        <f>IFERROR(Table228[[#This Row],[Total Sold Amount]]/Table228[[#This Row],[Total Sold Number]],0)</f>
        <v>0</v>
      </c>
      <c r="R132" s="21">
        <f>Table228[[#This Row],[Total bought Number]]-Table228[[#This Row],[Total Sold Number]]</f>
        <v>101</v>
      </c>
      <c r="S132" s="59">
        <f>(Table228[[#This Row],[Ave exit price]]-Table228[[#This Row],[Ave Entry price]])*Table228[[#This Row],[Total Sold Number]]</f>
        <v>0</v>
      </c>
      <c r="T132" s="15">
        <f>(Table228[[#This Row],[Current Price]]-Table228[[#This Row],[Ave Entry price]])*Table228[[#This Row],[How many tokens now]]</f>
        <v>-82.416000000000011</v>
      </c>
      <c r="U132" s="76">
        <f>VLOOKUP(Table228[[#This Row],[Asset]],Table26[#All],10,FALSE)</f>
        <v>0.184</v>
      </c>
    </row>
    <row r="133" spans="1:21">
      <c r="A133" t="s">
        <v>4</v>
      </c>
      <c r="B133" s="68">
        <v>44927</v>
      </c>
      <c r="C133" s="82" t="s">
        <v>180</v>
      </c>
      <c r="D133" t="s">
        <v>337</v>
      </c>
      <c r="E133" t="s">
        <v>19</v>
      </c>
      <c r="F133" s="17">
        <v>20</v>
      </c>
      <c r="G133" s="73">
        <v>18891</v>
      </c>
      <c r="H133" s="61">
        <f t="shared" si="32"/>
        <v>18891</v>
      </c>
      <c r="I133" s="67">
        <f t="shared" si="33"/>
        <v>0</v>
      </c>
      <c r="J133" s="15">
        <f t="shared" si="34"/>
        <v>377820</v>
      </c>
      <c r="K133" s="15">
        <f t="shared" si="35"/>
        <v>0</v>
      </c>
      <c r="L133">
        <f>SUMIF(Table228[[#All],[Asset]],Table228[[#This Row],[Asset]],Table228[[#All],[Bought number]])</f>
        <v>19084</v>
      </c>
      <c r="M133">
        <f>SUMIF(Table228[[#All],[Asset]],Table228[[#This Row],[Asset]],Table228[[#All],[Sold Number]])</f>
        <v>19084</v>
      </c>
      <c r="N133" s="15">
        <f>SUMIF(Table228[[#All],[Asset]],Table228[[#This Row],[Asset]],Table228[[#All],[Bought amount]])</f>
        <v>383610</v>
      </c>
      <c r="O133" s="15">
        <f>SUMIF(Table228[[#All],[Asset]],Table228[[#This Row],[Asset]],Table228[[#All],[Sold amount]])</f>
        <v>6151.47</v>
      </c>
      <c r="P133" s="75">
        <f>Table228[[#This Row],[Total bought Amount]]/Table228[[#This Row],[Total bought Number]]</f>
        <v>20.101131838189058</v>
      </c>
      <c r="Q133" s="75">
        <f>IFERROR(Table228[[#This Row],[Total Sold Amount]]/Table228[[#This Row],[Total Sold Number]],0)</f>
        <v>0.32233651226158039</v>
      </c>
      <c r="R133" s="21">
        <f>Table228[[#This Row],[Total bought Number]]-Table228[[#This Row],[Total Sold Number]]</f>
        <v>0</v>
      </c>
      <c r="S133" s="59">
        <f>(Table228[[#This Row],[Ave exit price]]-Table228[[#This Row],[Ave Entry price]])*Table228[[#This Row],[Total Sold Number]]</f>
        <v>-377458.53</v>
      </c>
      <c r="T133" s="15">
        <f>(Table228[[#This Row],[Current Price]]-Table228[[#This Row],[Ave Entry price]])*Table228[[#This Row],[How many tokens now]]</f>
        <v>0</v>
      </c>
      <c r="U133" s="76">
        <f>VLOOKUP(Table228[[#This Row],[Asset]],Table26[#All],10,FALSE)</f>
        <v>0.2223</v>
      </c>
    </row>
    <row r="134" spans="1:21">
      <c r="A134" t="s">
        <v>338</v>
      </c>
      <c r="B134" s="68">
        <v>44927</v>
      </c>
      <c r="C134" s="82" t="s">
        <v>180</v>
      </c>
      <c r="D134" t="s">
        <v>338</v>
      </c>
      <c r="E134" t="s">
        <v>19</v>
      </c>
      <c r="F134" s="17">
        <v>1</v>
      </c>
      <c r="G134" s="73">
        <v>4000</v>
      </c>
      <c r="H134" s="61">
        <f t="shared" si="32"/>
        <v>4000</v>
      </c>
      <c r="I134" s="67">
        <f t="shared" si="33"/>
        <v>0</v>
      </c>
      <c r="J134" s="15">
        <f t="shared" si="34"/>
        <v>4000</v>
      </c>
      <c r="K134" s="15">
        <f t="shared" si="35"/>
        <v>0</v>
      </c>
      <c r="L134">
        <f>SUMIF(Table228[[#All],[Asset]],Table228[[#This Row],[Asset]],Table228[[#All],[Bought number]])</f>
        <v>4000</v>
      </c>
      <c r="M134">
        <f>SUMIF(Table228[[#All],[Asset]],Table228[[#This Row],[Asset]],Table228[[#All],[Sold Number]])</f>
        <v>0</v>
      </c>
      <c r="N134" s="15">
        <f>SUMIF(Table228[[#All],[Asset]],Table228[[#This Row],[Asset]],Table228[[#All],[Bought amount]])</f>
        <v>4000</v>
      </c>
      <c r="O134" s="15">
        <f>SUMIF(Table228[[#All],[Asset]],Table228[[#This Row],[Asset]],Table228[[#All],[Sold amount]])</f>
        <v>0</v>
      </c>
      <c r="P134" s="75">
        <f>Table228[[#This Row],[Total bought Amount]]/Table228[[#This Row],[Total bought Number]]</f>
        <v>1</v>
      </c>
      <c r="Q134" s="75">
        <f>IFERROR(Table228[[#This Row],[Total Sold Amount]]/Table228[[#This Row],[Total Sold Number]],0)</f>
        <v>0</v>
      </c>
      <c r="R134" s="21">
        <f>Table228[[#This Row],[Total bought Number]]-Table228[[#This Row],[Total Sold Number]]</f>
        <v>4000</v>
      </c>
      <c r="S134" s="59">
        <f>(Table228[[#This Row],[Ave exit price]]-Table228[[#This Row],[Ave Entry price]])*Table228[[#This Row],[Total Sold Number]]</f>
        <v>0</v>
      </c>
      <c r="T134" s="15">
        <f>(Table228[[#This Row],[Current Price]]-Table228[[#This Row],[Ave Entry price]])*Table228[[#This Row],[How many tokens now]]</f>
        <v>-3837.2000000000003</v>
      </c>
      <c r="U134" s="76">
        <f>VLOOKUP(Table228[[#This Row],[Asset]],Table26[#All],10,FALSE)</f>
        <v>4.07E-2</v>
      </c>
    </row>
    <row r="135" spans="1:21">
      <c r="A135" t="s">
        <v>35</v>
      </c>
      <c r="B135" s="68">
        <v>45511</v>
      </c>
      <c r="C135" s="82" t="s">
        <v>214</v>
      </c>
      <c r="D135" t="s">
        <v>36</v>
      </c>
      <c r="E135" t="s">
        <v>189</v>
      </c>
      <c r="F135" s="17">
        <v>0</v>
      </c>
      <c r="G135" s="73">
        <v>-6.4</v>
      </c>
      <c r="H135" s="61">
        <f t="shared" si="32"/>
        <v>0</v>
      </c>
      <c r="I135" s="67">
        <f t="shared" si="33"/>
        <v>6.4</v>
      </c>
      <c r="J135" s="15">
        <f t="shared" si="34"/>
        <v>0</v>
      </c>
      <c r="K135" s="15">
        <f t="shared" si="35"/>
        <v>0</v>
      </c>
      <c r="L135">
        <f>SUMIF(Table228[[#All],[Asset]],Table228[[#This Row],[Asset]],Table228[[#All],[Bought number]])</f>
        <v>154.92660000000001</v>
      </c>
      <c r="M135">
        <f>SUMIF(Table228[[#All],[Asset]],Table228[[#This Row],[Asset]],Table228[[#All],[Sold Number]])</f>
        <v>79.674999999999997</v>
      </c>
      <c r="N135" s="15">
        <f>SUMIF(Table228[[#All],[Asset]],Table228[[#This Row],[Asset]],Table228[[#All],[Bought amount]])</f>
        <v>22897.17</v>
      </c>
      <c r="O135" s="15">
        <f>SUMIF(Table228[[#All],[Asset]],Table228[[#This Row],[Asset]],Table228[[#All],[Sold amount]])</f>
        <v>11736.940868199999</v>
      </c>
      <c r="P135" s="75">
        <f>Table228[[#This Row],[Total bought Amount]]/Table228[[#This Row],[Total bought Number]]</f>
        <v>147.79366487097758</v>
      </c>
      <c r="Q135" s="75">
        <f>IFERROR(Table228[[#This Row],[Total Sold Amount]]/Table228[[#This Row],[Total Sold Number]],0)</f>
        <v>147.31020857483526</v>
      </c>
      <c r="R135" s="21">
        <f>Table228[[#This Row],[Total bought Number]]-Table228[[#This Row],[Total Sold Number]]</f>
        <v>75.25160000000001</v>
      </c>
      <c r="S135" s="59">
        <f>(Table228[[#This Row],[Ave exit price]]-Table228[[#This Row],[Ave Entry price]])*Table228[[#This Row],[Total Sold Number]]</f>
        <v>-38.519380395139478</v>
      </c>
      <c r="T135" s="15">
        <f>(Table228[[#This Row],[Current Price]]-Table228[[#This Row],[Ave Entry price]])*Table228[[#This Row],[How many tokens now]]</f>
        <v>1671.0622485951437</v>
      </c>
      <c r="U135" s="76">
        <f>VLOOKUP(Table228[[#This Row],[Asset]],Table26[#All],10,FALSE)</f>
        <v>170</v>
      </c>
    </row>
    <row r="136" spans="1:21">
      <c r="A136" t="s">
        <v>209</v>
      </c>
      <c r="B136" s="68">
        <v>45512</v>
      </c>
      <c r="C136" s="82" t="s">
        <v>321</v>
      </c>
      <c r="D136" t="s">
        <v>178</v>
      </c>
      <c r="E136" t="s">
        <v>189</v>
      </c>
      <c r="F136" s="17">
        <v>0</v>
      </c>
      <c r="G136" s="73">
        <f>224+17.44*3</f>
        <v>276.32</v>
      </c>
      <c r="H136" s="61">
        <f t="shared" si="32"/>
        <v>276.32</v>
      </c>
      <c r="I136" s="67">
        <f t="shared" si="33"/>
        <v>0</v>
      </c>
      <c r="J136" s="15">
        <f t="shared" si="34"/>
        <v>0</v>
      </c>
      <c r="K136" s="15">
        <f t="shared" si="35"/>
        <v>0</v>
      </c>
      <c r="L136">
        <f>SUMIF(Table228[[#All],[Asset]],Table228[[#This Row],[Asset]],Table228[[#All],[Bought number]])</f>
        <v>14504.07</v>
      </c>
      <c r="M136">
        <f>SUMIF(Table228[[#All],[Asset]],Table228[[#This Row],[Asset]],Table228[[#All],[Sold Number]])</f>
        <v>12705.240000000002</v>
      </c>
      <c r="N136" s="15">
        <f>SUMIF(Table228[[#All],[Asset]],Table228[[#This Row],[Asset]],Table228[[#All],[Bought amount]])</f>
        <v>14005.02</v>
      </c>
      <c r="O136" s="15">
        <f>SUMIF(Table228[[#All],[Asset]],Table228[[#This Row],[Asset]],Table228[[#All],[Sold amount]])</f>
        <v>12705.240000000002</v>
      </c>
      <c r="P136" s="75">
        <f>Table228[[#This Row],[Total bought Amount]]/Table228[[#This Row],[Total bought Number]]</f>
        <v>0.96559241647344507</v>
      </c>
      <c r="Q136" s="75">
        <f>IFERROR(Table228[[#This Row],[Total Sold Amount]]/Table228[[#This Row],[Total Sold Number]],0)</f>
        <v>1</v>
      </c>
      <c r="R136" s="21">
        <f>Table228[[#This Row],[Total bought Number]]-Table228[[#This Row],[Total Sold Number]]</f>
        <v>1798.8299999999981</v>
      </c>
      <c r="S136" s="59">
        <f>(Table228[[#This Row],[Ave exit price]]-Table228[[#This Row],[Ave Entry price]])*Table228[[#This Row],[Total Sold Number]]</f>
        <v>437.15660652492681</v>
      </c>
      <c r="T136" s="15">
        <f>(Table228[[#This Row],[Current Price]]-Table228[[#This Row],[Ave Entry price]])*Table228[[#This Row],[How many tokens now]]</f>
        <v>61.893393475072742</v>
      </c>
      <c r="U136" s="76">
        <f>VLOOKUP(Table228[[#This Row],[Asset]],Table26[#All],10,FALSE)</f>
        <v>1</v>
      </c>
    </row>
    <row r="137" spans="1:21">
      <c r="A137" t="s">
        <v>209</v>
      </c>
      <c r="B137" s="68">
        <v>45512</v>
      </c>
      <c r="C137" s="82" t="s">
        <v>321</v>
      </c>
      <c r="D137" t="s">
        <v>178</v>
      </c>
      <c r="E137" t="s">
        <v>189</v>
      </c>
      <c r="F137" s="17">
        <v>1</v>
      </c>
      <c r="G137" s="73">
        <v>-276.32</v>
      </c>
      <c r="H137" s="61">
        <f t="shared" si="32"/>
        <v>0</v>
      </c>
      <c r="I137" s="67">
        <f t="shared" si="33"/>
        <v>276.32</v>
      </c>
      <c r="J137" s="15">
        <f t="shared" si="34"/>
        <v>0</v>
      </c>
      <c r="K137" s="15">
        <f t="shared" si="35"/>
        <v>276.32</v>
      </c>
      <c r="L137">
        <f>SUMIF(Table228[[#All],[Asset]],Table228[[#This Row],[Asset]],Table228[[#All],[Bought number]])</f>
        <v>14504.07</v>
      </c>
      <c r="M137">
        <f>SUMIF(Table228[[#All],[Asset]],Table228[[#This Row],[Asset]],Table228[[#All],[Sold Number]])</f>
        <v>12705.240000000002</v>
      </c>
      <c r="N137" s="15">
        <f>SUMIF(Table228[[#All],[Asset]],Table228[[#This Row],[Asset]],Table228[[#All],[Bought amount]])</f>
        <v>14005.02</v>
      </c>
      <c r="O137" s="15">
        <f>SUMIF(Table228[[#All],[Asset]],Table228[[#This Row],[Asset]],Table228[[#All],[Sold amount]])</f>
        <v>12705.240000000002</v>
      </c>
      <c r="P137" s="75">
        <f>Table228[[#This Row],[Total bought Amount]]/Table228[[#This Row],[Total bought Number]]</f>
        <v>0.96559241647344507</v>
      </c>
      <c r="Q137" s="75">
        <f>IFERROR(Table228[[#This Row],[Total Sold Amount]]/Table228[[#This Row],[Total Sold Number]],0)</f>
        <v>1</v>
      </c>
      <c r="R137" s="21">
        <f>Table228[[#This Row],[Total bought Number]]-Table228[[#This Row],[Total Sold Number]]</f>
        <v>1798.8299999999981</v>
      </c>
      <c r="S137" s="59">
        <f>(Table228[[#This Row],[Ave exit price]]-Table228[[#This Row],[Ave Entry price]])*Table228[[#This Row],[Total Sold Number]]</f>
        <v>437.15660652492681</v>
      </c>
      <c r="T137" s="15">
        <f>(Table228[[#This Row],[Current Price]]-Table228[[#This Row],[Ave Entry price]])*Table228[[#This Row],[How many tokens now]]</f>
        <v>61.893393475072742</v>
      </c>
      <c r="U137" s="76">
        <f>VLOOKUP(Table228[[#This Row],[Asset]],Table26[#All],10,FALSE)</f>
        <v>1</v>
      </c>
    </row>
    <row r="138" spans="1:21">
      <c r="A138" t="s">
        <v>340</v>
      </c>
      <c r="B138" s="68">
        <v>45512</v>
      </c>
      <c r="C138" s="82" t="s">
        <v>175</v>
      </c>
      <c r="D138" t="s">
        <v>76</v>
      </c>
      <c r="E138" t="s">
        <v>189</v>
      </c>
      <c r="F138" s="17">
        <v>1430</v>
      </c>
      <c r="G138" s="73">
        <v>1</v>
      </c>
      <c r="H138" s="61">
        <f t="shared" si="32"/>
        <v>1</v>
      </c>
      <c r="I138" s="67">
        <f t="shared" si="33"/>
        <v>0</v>
      </c>
      <c r="J138" s="15">
        <f t="shared" si="34"/>
        <v>1430</v>
      </c>
      <c r="K138" s="15">
        <f t="shared" si="35"/>
        <v>0</v>
      </c>
      <c r="L138">
        <f>SUMIF(Table228[[#All],[Asset]],Table228[[#This Row],[Asset]],Table228[[#All],[Bought number]])</f>
        <v>1</v>
      </c>
      <c r="M138">
        <f>SUMIF(Table228[[#All],[Asset]],Table228[[#This Row],[Asset]],Table228[[#All],[Sold Number]])</f>
        <v>1</v>
      </c>
      <c r="N138" s="15">
        <f>SUMIF(Table228[[#All],[Asset]],Table228[[#This Row],[Asset]],Table228[[#All],[Bought amount]])</f>
        <v>1430</v>
      </c>
      <c r="O138" s="15">
        <f>SUMIF(Table228[[#All],[Asset]],Table228[[#This Row],[Asset]],Table228[[#All],[Sold amount]])</f>
        <v>1800</v>
      </c>
      <c r="P138" s="75">
        <f>Table228[[#This Row],[Total bought Amount]]/Table228[[#This Row],[Total bought Number]]</f>
        <v>1430</v>
      </c>
      <c r="Q138" s="75">
        <f>IFERROR(Table228[[#This Row],[Total Sold Amount]]/Table228[[#This Row],[Total Sold Number]],0)</f>
        <v>1800</v>
      </c>
      <c r="R138" s="21">
        <f>Table228[[#This Row],[Total bought Number]]-Table228[[#This Row],[Total Sold Number]]</f>
        <v>0</v>
      </c>
      <c r="S138" s="59">
        <f>(Table228[[#This Row],[Ave exit price]]-Table228[[#This Row],[Ave Entry price]])*Table228[[#This Row],[Total Sold Number]]</f>
        <v>370</v>
      </c>
      <c r="T138" s="15">
        <f>(Table228[[#This Row],[Current Price]]-Table228[[#This Row],[Ave Entry price]])*Table228[[#This Row],[How many tokens now]]</f>
        <v>0</v>
      </c>
      <c r="U138" s="76">
        <f>VLOOKUP(Table228[[#This Row],[Asset]],Table26[#All],10,FALSE)</f>
        <v>1430</v>
      </c>
    </row>
    <row r="139" spans="1:21">
      <c r="A139" t="s">
        <v>209</v>
      </c>
      <c r="B139" s="68">
        <v>45512</v>
      </c>
      <c r="C139" s="82" t="s">
        <v>321</v>
      </c>
      <c r="D139" t="s">
        <v>178</v>
      </c>
      <c r="E139" t="s">
        <v>276</v>
      </c>
      <c r="F139" s="17">
        <v>0</v>
      </c>
      <c r="G139" s="73">
        <f>14.1*3</f>
        <v>42.3</v>
      </c>
      <c r="H139" s="61">
        <f t="shared" si="32"/>
        <v>42.3</v>
      </c>
      <c r="I139" s="67">
        <f t="shared" si="33"/>
        <v>0</v>
      </c>
      <c r="J139" s="15">
        <f t="shared" si="34"/>
        <v>0</v>
      </c>
      <c r="K139" s="15">
        <f t="shared" si="35"/>
        <v>0</v>
      </c>
      <c r="L139">
        <f>SUMIF(Table228[[#All],[Asset]],Table228[[#This Row],[Asset]],Table228[[#All],[Bought number]])</f>
        <v>14504.07</v>
      </c>
      <c r="M139">
        <f>SUMIF(Table228[[#All],[Asset]],Table228[[#This Row],[Asset]],Table228[[#All],[Sold Number]])</f>
        <v>12705.240000000002</v>
      </c>
      <c r="N139" s="15">
        <f>SUMIF(Table228[[#All],[Asset]],Table228[[#This Row],[Asset]],Table228[[#All],[Bought amount]])</f>
        <v>14005.02</v>
      </c>
      <c r="O139" s="15">
        <f>SUMIF(Table228[[#All],[Asset]],Table228[[#This Row],[Asset]],Table228[[#All],[Sold amount]])</f>
        <v>12705.240000000002</v>
      </c>
      <c r="P139" s="75">
        <f>Table228[[#This Row],[Total bought Amount]]/Table228[[#This Row],[Total bought Number]]</f>
        <v>0.96559241647344507</v>
      </c>
      <c r="Q139" s="75">
        <f>IFERROR(Table228[[#This Row],[Total Sold Amount]]/Table228[[#This Row],[Total Sold Number]],0)</f>
        <v>1</v>
      </c>
      <c r="R139" s="21">
        <f>Table228[[#This Row],[Total bought Number]]-Table228[[#This Row],[Total Sold Number]]</f>
        <v>1798.8299999999981</v>
      </c>
      <c r="S139" s="59">
        <f>(Table228[[#This Row],[Ave exit price]]-Table228[[#This Row],[Ave Entry price]])*Table228[[#This Row],[Total Sold Number]]</f>
        <v>437.15660652492681</v>
      </c>
      <c r="T139" s="15">
        <f>(Table228[[#This Row],[Current Price]]-Table228[[#This Row],[Ave Entry price]])*Table228[[#This Row],[How many tokens now]]</f>
        <v>61.893393475072742</v>
      </c>
      <c r="U139" s="76">
        <f>VLOOKUP(Table228[[#This Row],[Asset]],Table26[#All],10,FALSE)</f>
        <v>1</v>
      </c>
    </row>
    <row r="140" spans="1:21">
      <c r="A140" t="s">
        <v>209</v>
      </c>
      <c r="B140" s="68">
        <v>45512</v>
      </c>
      <c r="C140" s="82" t="s">
        <v>321</v>
      </c>
      <c r="D140" t="s">
        <v>178</v>
      </c>
      <c r="E140" t="s">
        <v>276</v>
      </c>
      <c r="F140" s="17">
        <v>1</v>
      </c>
      <c r="G140" s="73">
        <v>-42.3</v>
      </c>
      <c r="H140" s="61">
        <f t="shared" si="32"/>
        <v>0</v>
      </c>
      <c r="I140" s="67">
        <f t="shared" si="33"/>
        <v>42.3</v>
      </c>
      <c r="J140" s="15">
        <f t="shared" si="34"/>
        <v>0</v>
      </c>
      <c r="K140" s="15">
        <f t="shared" si="35"/>
        <v>42.3</v>
      </c>
      <c r="L140">
        <f>SUMIF(Table228[[#All],[Asset]],Table228[[#This Row],[Asset]],Table228[[#All],[Bought number]])</f>
        <v>14504.07</v>
      </c>
      <c r="M140">
        <f>SUMIF(Table228[[#All],[Asset]],Table228[[#This Row],[Asset]],Table228[[#All],[Sold Number]])</f>
        <v>12705.240000000002</v>
      </c>
      <c r="N140" s="15">
        <f>SUMIF(Table228[[#All],[Asset]],Table228[[#This Row],[Asset]],Table228[[#All],[Bought amount]])</f>
        <v>14005.02</v>
      </c>
      <c r="O140" s="15">
        <f>SUMIF(Table228[[#All],[Asset]],Table228[[#This Row],[Asset]],Table228[[#All],[Sold amount]])</f>
        <v>12705.240000000002</v>
      </c>
      <c r="P140" s="75">
        <f>Table228[[#This Row],[Total bought Amount]]/Table228[[#This Row],[Total bought Number]]</f>
        <v>0.96559241647344507</v>
      </c>
      <c r="Q140" s="75">
        <f>IFERROR(Table228[[#This Row],[Total Sold Amount]]/Table228[[#This Row],[Total Sold Number]],0)</f>
        <v>1</v>
      </c>
      <c r="R140" s="21">
        <f>Table228[[#This Row],[Total bought Number]]-Table228[[#This Row],[Total Sold Number]]</f>
        <v>1798.8299999999981</v>
      </c>
      <c r="S140" s="59">
        <f>(Table228[[#This Row],[Ave exit price]]-Table228[[#This Row],[Ave Entry price]])*Table228[[#This Row],[Total Sold Number]]</f>
        <v>437.15660652492681</v>
      </c>
      <c r="T140" s="15">
        <f>(Table228[[#This Row],[Current Price]]-Table228[[#This Row],[Ave Entry price]])*Table228[[#This Row],[How many tokens now]]</f>
        <v>61.893393475072742</v>
      </c>
      <c r="U140" s="76">
        <f>VLOOKUP(Table228[[#This Row],[Asset]],Table26[#All],10,FALSE)</f>
        <v>1</v>
      </c>
    </row>
    <row r="141" spans="1:21">
      <c r="A141" t="s">
        <v>179</v>
      </c>
      <c r="B141" s="68">
        <v>45512</v>
      </c>
      <c r="C141" s="3" t="s">
        <v>180</v>
      </c>
      <c r="D141" t="s">
        <v>240</v>
      </c>
      <c r="E141" t="s">
        <v>189</v>
      </c>
      <c r="F141" s="17">
        <v>680</v>
      </c>
      <c r="G141" s="73">
        <v>1</v>
      </c>
      <c r="H141" s="61">
        <f t="shared" si="32"/>
        <v>1</v>
      </c>
      <c r="I141" s="67">
        <f t="shared" si="33"/>
        <v>0</v>
      </c>
      <c r="J141" s="15">
        <f t="shared" si="34"/>
        <v>680</v>
      </c>
      <c r="K141" s="15">
        <f t="shared" si="35"/>
        <v>0</v>
      </c>
      <c r="L141">
        <f>SUMIF(Table228[[#All],[Asset]],Table228[[#This Row],[Asset]],Table228[[#All],[Bought number]])</f>
        <v>9</v>
      </c>
      <c r="M141">
        <f>SUMIF(Table228[[#All],[Asset]],Table228[[#This Row],[Asset]],Table228[[#All],[Sold Number]])</f>
        <v>9</v>
      </c>
      <c r="N141" s="15">
        <f>SUMIF(Table228[[#All],[Asset]],Table228[[#This Row],[Asset]],Table228[[#All],[Bought amount]])</f>
        <v>8351.15085</v>
      </c>
      <c r="O141" s="15">
        <f>SUMIF(Table228[[#All],[Asset]],Table228[[#This Row],[Asset]],Table228[[#All],[Sold amount]])</f>
        <v>4261.5684000000001</v>
      </c>
      <c r="P141" s="75">
        <f>Table228[[#This Row],[Total bought Amount]]/Table228[[#This Row],[Total bought Number]]</f>
        <v>927.90565000000004</v>
      </c>
      <c r="Q141" s="75">
        <f>IFERROR(Table228[[#This Row],[Total Sold Amount]]/Table228[[#This Row],[Total Sold Number]],0)</f>
        <v>473.50760000000002</v>
      </c>
      <c r="R141" s="21">
        <f>Table228[[#This Row],[Total bought Number]]-Table228[[#This Row],[Total Sold Number]]</f>
        <v>0</v>
      </c>
      <c r="S141" s="59">
        <f>(Table228[[#This Row],[Ave exit price]]-Table228[[#This Row],[Ave Entry price]])*Table228[[#This Row],[Total Sold Number]]</f>
        <v>-4089.5824499999999</v>
      </c>
      <c r="T141" s="15">
        <f>(Table228[[#This Row],[Current Price]]-Table228[[#This Row],[Ave Entry price]])*Table228[[#This Row],[How many tokens now]]</f>
        <v>0</v>
      </c>
      <c r="U141" s="76">
        <f>VLOOKUP(Table228[[#This Row],[Asset]],Table26[#All],10,FALSE)</f>
        <v>632</v>
      </c>
    </row>
    <row r="142" spans="1:21">
      <c r="A142" t="s">
        <v>179</v>
      </c>
      <c r="B142" s="68">
        <v>45512</v>
      </c>
      <c r="C142" s="3" t="s">
        <v>180</v>
      </c>
      <c r="D142" t="s">
        <v>240</v>
      </c>
      <c r="E142" t="s">
        <v>189</v>
      </c>
      <c r="F142" s="17">
        <v>705</v>
      </c>
      <c r="G142" s="73">
        <v>1</v>
      </c>
      <c r="H142" s="61">
        <f t="shared" si="32"/>
        <v>1</v>
      </c>
      <c r="I142" s="67">
        <f t="shared" si="33"/>
        <v>0</v>
      </c>
      <c r="J142" s="15">
        <f t="shared" si="34"/>
        <v>705</v>
      </c>
      <c r="K142" s="15">
        <f t="shared" si="35"/>
        <v>0</v>
      </c>
      <c r="L142">
        <f>SUMIF(Table228[[#All],[Asset]],Table228[[#This Row],[Asset]],Table228[[#All],[Bought number]])</f>
        <v>9</v>
      </c>
      <c r="M142">
        <f>SUMIF(Table228[[#All],[Asset]],Table228[[#This Row],[Asset]],Table228[[#All],[Sold Number]])</f>
        <v>9</v>
      </c>
      <c r="N142" s="15">
        <f>SUMIF(Table228[[#All],[Asset]],Table228[[#This Row],[Asset]],Table228[[#All],[Bought amount]])</f>
        <v>8351.15085</v>
      </c>
      <c r="O142" s="15">
        <f>SUMIF(Table228[[#All],[Asset]],Table228[[#This Row],[Asset]],Table228[[#All],[Sold amount]])</f>
        <v>4261.5684000000001</v>
      </c>
      <c r="P142" s="75">
        <f>Table228[[#This Row],[Total bought Amount]]/Table228[[#This Row],[Total bought Number]]</f>
        <v>927.90565000000004</v>
      </c>
      <c r="Q142" s="75">
        <f>IFERROR(Table228[[#This Row],[Total Sold Amount]]/Table228[[#This Row],[Total Sold Number]],0)</f>
        <v>473.50760000000002</v>
      </c>
      <c r="R142" s="21">
        <f>Table228[[#This Row],[Total bought Number]]-Table228[[#This Row],[Total Sold Number]]</f>
        <v>0</v>
      </c>
      <c r="S142" s="59">
        <f>(Table228[[#This Row],[Ave exit price]]-Table228[[#This Row],[Ave Entry price]])*Table228[[#This Row],[Total Sold Number]]</f>
        <v>-4089.5824499999999</v>
      </c>
      <c r="T142" s="15">
        <f>(Table228[[#This Row],[Current Price]]-Table228[[#This Row],[Ave Entry price]])*Table228[[#This Row],[How many tokens now]]</f>
        <v>0</v>
      </c>
      <c r="U142" s="76">
        <f>VLOOKUP(Table228[[#This Row],[Asset]],Table26[#All],10,FALSE)</f>
        <v>632</v>
      </c>
    </row>
    <row r="143" spans="1:21">
      <c r="A143" t="s">
        <v>64</v>
      </c>
      <c r="B143" s="68">
        <v>45515</v>
      </c>
      <c r="C143" s="82" t="s">
        <v>176</v>
      </c>
      <c r="D143" t="s">
        <v>174</v>
      </c>
      <c r="E143" t="s">
        <v>248</v>
      </c>
      <c r="F143" s="17">
        <v>6.84</v>
      </c>
      <c r="G143" s="73">
        <v>36.54</v>
      </c>
      <c r="H143" s="61">
        <f t="shared" ref="H143:H148" si="36">IF(G143&gt;0,G143,0)</f>
        <v>36.54</v>
      </c>
      <c r="I143" s="67">
        <f t="shared" ref="I143:I148" si="37">IF(G143&lt;0,ABS(G143),0)</f>
        <v>0</v>
      </c>
      <c r="J143" s="15">
        <f t="shared" ref="J143:J148" si="38">H143*F143</f>
        <v>249.93359999999998</v>
      </c>
      <c r="K143" s="15">
        <f t="shared" ref="K143:K148" si="39">I143*F143</f>
        <v>0</v>
      </c>
      <c r="L143">
        <f>SUMIF(Table228[[#All],[Asset]],Table228[[#This Row],[Asset]],Table228[[#All],[Bought number]])</f>
        <v>36.54</v>
      </c>
      <c r="M143">
        <f>SUMIF(Table228[[#All],[Asset]],Table228[[#This Row],[Asset]],Table228[[#All],[Sold Number]])</f>
        <v>36.558329999999998</v>
      </c>
      <c r="N143" s="15">
        <f>SUMIF(Table228[[#All],[Asset]],Table228[[#This Row],[Asset]],Table228[[#All],[Bought amount]])</f>
        <v>249.93359999999998</v>
      </c>
      <c r="O143" s="15">
        <f>SUMIF(Table228[[#All],[Asset]],Table228[[#This Row],[Asset]],Table228[[#All],[Sold amount]])</f>
        <v>224.46814619999998</v>
      </c>
      <c r="P143" s="75">
        <f>Table228[[#This Row],[Total bought Amount]]/Table228[[#This Row],[Total bought Number]]</f>
        <v>6.84</v>
      </c>
      <c r="Q143" s="75">
        <f>IFERROR(Table228[[#This Row],[Total Sold Amount]]/Table228[[#This Row],[Total Sold Number]],0)</f>
        <v>6.14</v>
      </c>
      <c r="R143" s="21">
        <f>Table228[[#This Row],[Total bought Number]]-Table228[[#This Row],[Total Sold Number]]</f>
        <v>-1.8329999999998847E-2</v>
      </c>
      <c r="S143" s="59">
        <f>(Table228[[#This Row],[Ave exit price]]-Table228[[#This Row],[Ave Entry price]])*Table228[[#This Row],[Total Sold Number]]</f>
        <v>-25.590831000000005</v>
      </c>
      <c r="T143" s="15">
        <f>(Table228[[#This Row],[Current Price]]-Table228[[#This Row],[Ave Entry price]])*Table228[[#This Row],[How many tokens now]]</f>
        <v>2.1812699999998585E-3</v>
      </c>
      <c r="U143" s="76">
        <f>VLOOKUP(Table228[[#This Row],[Asset]],Table26[#All],10,FALSE)</f>
        <v>6.7210000000000001</v>
      </c>
    </row>
    <row r="144" spans="1:21">
      <c r="A144" t="s">
        <v>207</v>
      </c>
      <c r="B144" s="68">
        <v>45516</v>
      </c>
      <c r="C144" s="82" t="s">
        <v>180</v>
      </c>
      <c r="D144" t="s">
        <v>174</v>
      </c>
      <c r="E144" t="s">
        <v>211</v>
      </c>
      <c r="F144" s="17">
        <v>0</v>
      </c>
      <c r="G144" s="73">
        <v>1137</v>
      </c>
      <c r="H144" s="61">
        <f t="shared" si="36"/>
        <v>1137</v>
      </c>
      <c r="I144" s="67">
        <f t="shared" si="37"/>
        <v>0</v>
      </c>
      <c r="J144" s="15">
        <f t="shared" si="38"/>
        <v>0</v>
      </c>
      <c r="K144" s="15">
        <f t="shared" si="39"/>
        <v>0</v>
      </c>
      <c r="L144">
        <f>SUMIF(Table228[[#All],[Asset]],Table228[[#This Row],[Asset]],Table228[[#All],[Bought number]])</f>
        <v>11156.03</v>
      </c>
      <c r="M144">
        <f>SUMIF(Table228[[#All],[Asset]],Table228[[#This Row],[Asset]],Table228[[#All],[Sold Number]])</f>
        <v>0</v>
      </c>
      <c r="N144" s="15">
        <f>SUMIF(Table228[[#All],[Asset]],Table228[[#This Row],[Asset]],Table228[[#All],[Bought amount]])</f>
        <v>2003.8060000000003</v>
      </c>
      <c r="O144" s="15">
        <f>SUMIF(Table228[[#All],[Asset]],Table228[[#This Row],[Asset]],Table228[[#All],[Sold amount]])</f>
        <v>0</v>
      </c>
      <c r="P144" s="75">
        <f>Table228[[#This Row],[Total bought Amount]]/Table228[[#This Row],[Total bought Number]]</f>
        <v>0.17961640476047483</v>
      </c>
      <c r="Q144" s="75">
        <f>IFERROR(Table228[[#This Row],[Total Sold Amount]]/Table228[[#This Row],[Total Sold Number]],0)</f>
        <v>0</v>
      </c>
      <c r="R144" s="21">
        <f>Table228[[#This Row],[Total bought Number]]-Table228[[#This Row],[Total Sold Number]]</f>
        <v>11156.03</v>
      </c>
      <c r="S144" s="59">
        <f>(Table228[[#This Row],[Ave exit price]]-Table228[[#This Row],[Ave Entry price]])*Table228[[#This Row],[Total Sold Number]]</f>
        <v>0</v>
      </c>
      <c r="T144" s="15">
        <f>(Table228[[#This Row],[Current Price]]-Table228[[#This Row],[Ave Entry price]])*Table228[[#This Row],[How many tokens now]]</f>
        <v>-1291.4934845</v>
      </c>
      <c r="U144" s="76">
        <f>VLOOKUP(Table228[[#This Row],[Asset]],Table26[#All],10,FALSE)</f>
        <v>6.3850000000000004E-2</v>
      </c>
    </row>
    <row r="145" spans="1:21">
      <c r="A145" t="s">
        <v>212</v>
      </c>
      <c r="B145" s="68">
        <v>45516</v>
      </c>
      <c r="C145" s="3" t="s">
        <v>175</v>
      </c>
      <c r="D145" t="s">
        <v>174</v>
      </c>
      <c r="E145" t="s">
        <v>211</v>
      </c>
      <c r="F145" s="17">
        <v>2920</v>
      </c>
      <c r="G145" s="73">
        <v>-1</v>
      </c>
      <c r="H145" s="61">
        <f t="shared" si="36"/>
        <v>0</v>
      </c>
      <c r="I145" s="67">
        <f t="shared" si="37"/>
        <v>1</v>
      </c>
      <c r="J145" s="15">
        <f t="shared" si="38"/>
        <v>0</v>
      </c>
      <c r="K145" s="15">
        <f t="shared" si="39"/>
        <v>2920</v>
      </c>
      <c r="L145">
        <f>SUMIF(Table228[[#All],[Asset]],Table228[[#This Row],[Asset]],Table228[[#All],[Bought number]])</f>
        <v>2</v>
      </c>
      <c r="M145">
        <f>SUMIF(Table228[[#All],[Asset]],Table228[[#This Row],[Asset]],Table228[[#All],[Sold Number]])</f>
        <v>2</v>
      </c>
      <c r="N145" s="15">
        <f>SUMIF(Table228[[#All],[Asset]],Table228[[#This Row],[Asset]],Table228[[#All],[Bought amount]])</f>
        <v>4244</v>
      </c>
      <c r="O145" s="15">
        <f>SUMIF(Table228[[#All],[Asset]],Table228[[#This Row],[Asset]],Table228[[#All],[Sold amount]])</f>
        <v>4720</v>
      </c>
      <c r="P145" s="75">
        <f>Table228[[#This Row],[Total bought Amount]]/Table228[[#This Row],[Total bought Number]]</f>
        <v>2122</v>
      </c>
      <c r="Q145" s="75">
        <f>IFERROR(Table228[[#This Row],[Total Sold Amount]]/Table228[[#This Row],[Total Sold Number]],0)</f>
        <v>2360</v>
      </c>
      <c r="R145" s="21">
        <f>Table228[[#This Row],[Total bought Number]]-Table228[[#This Row],[Total Sold Number]]</f>
        <v>0</v>
      </c>
      <c r="S145" s="59">
        <f>(Table228[[#This Row],[Ave exit price]]-Table228[[#This Row],[Ave Entry price]])*Table228[[#This Row],[Total Sold Number]]</f>
        <v>476</v>
      </c>
      <c r="T145" s="15">
        <f>(Table228[[#This Row],[Current Price]]-Table228[[#This Row],[Ave Entry price]])*Table228[[#This Row],[How many tokens now]]</f>
        <v>0</v>
      </c>
      <c r="U145" s="76">
        <f>VLOOKUP(Table228[[#This Row],[Asset]],Table26[#All],10,FALSE)</f>
        <v>3500</v>
      </c>
    </row>
    <row r="146" spans="1:21">
      <c r="A146" t="s">
        <v>212</v>
      </c>
      <c r="B146" s="68">
        <v>45516</v>
      </c>
      <c r="C146" s="3" t="s">
        <v>175</v>
      </c>
      <c r="D146" t="s">
        <v>174</v>
      </c>
      <c r="E146" t="s">
        <v>211</v>
      </c>
      <c r="F146" s="17">
        <v>1500</v>
      </c>
      <c r="G146" s="73">
        <v>1</v>
      </c>
      <c r="H146" s="61">
        <f t="shared" si="36"/>
        <v>1</v>
      </c>
      <c r="I146" s="67">
        <f t="shared" si="37"/>
        <v>0</v>
      </c>
      <c r="J146" s="15">
        <f t="shared" si="38"/>
        <v>1500</v>
      </c>
      <c r="K146" s="15">
        <f t="shared" si="39"/>
        <v>0</v>
      </c>
      <c r="L146">
        <f>SUMIF(Table228[[#All],[Asset]],Table228[[#This Row],[Asset]],Table228[[#All],[Bought number]])</f>
        <v>2</v>
      </c>
      <c r="M146">
        <f>SUMIF(Table228[[#All],[Asset]],Table228[[#This Row],[Asset]],Table228[[#All],[Sold Number]])</f>
        <v>2</v>
      </c>
      <c r="N146" s="15">
        <f>SUMIF(Table228[[#All],[Asset]],Table228[[#This Row],[Asset]],Table228[[#All],[Bought amount]])</f>
        <v>4244</v>
      </c>
      <c r="O146" s="15">
        <f>SUMIF(Table228[[#All],[Asset]],Table228[[#This Row],[Asset]],Table228[[#All],[Sold amount]])</f>
        <v>4720</v>
      </c>
      <c r="P146" s="75">
        <f>Table228[[#This Row],[Total bought Amount]]/Table228[[#This Row],[Total bought Number]]</f>
        <v>2122</v>
      </c>
      <c r="Q146" s="75">
        <f>IFERROR(Table228[[#This Row],[Total Sold Amount]]/Table228[[#This Row],[Total Sold Number]],0)</f>
        <v>2360</v>
      </c>
      <c r="R146" s="21">
        <f>Table228[[#This Row],[Total bought Number]]-Table228[[#This Row],[Total Sold Number]]</f>
        <v>0</v>
      </c>
      <c r="S146" s="59">
        <f>(Table228[[#This Row],[Ave exit price]]-Table228[[#This Row],[Ave Entry price]])*Table228[[#This Row],[Total Sold Number]]</f>
        <v>476</v>
      </c>
      <c r="T146" s="15">
        <f>(Table228[[#This Row],[Current Price]]-Table228[[#This Row],[Ave Entry price]])*Table228[[#This Row],[How many tokens now]]</f>
        <v>0</v>
      </c>
      <c r="U146" s="76">
        <f>VLOOKUP(Table228[[#This Row],[Asset]],Table26[#All],10,FALSE)</f>
        <v>3500</v>
      </c>
    </row>
    <row r="147" spans="1:21">
      <c r="A147" t="s">
        <v>346</v>
      </c>
      <c r="B147" s="68">
        <v>45516</v>
      </c>
      <c r="C147" s="3" t="s">
        <v>180</v>
      </c>
      <c r="D147" t="s">
        <v>174</v>
      </c>
      <c r="E147" t="s">
        <v>285</v>
      </c>
      <c r="F147" s="17">
        <v>0.46</v>
      </c>
      <c r="G147" s="73">
        <v>3079.34</v>
      </c>
      <c r="H147" s="61">
        <f t="shared" si="36"/>
        <v>3079.34</v>
      </c>
      <c r="I147" s="67">
        <f t="shared" si="37"/>
        <v>0</v>
      </c>
      <c r="J147" s="15">
        <f t="shared" si="38"/>
        <v>1416.4964000000002</v>
      </c>
      <c r="K147" s="15">
        <f t="shared" si="39"/>
        <v>0</v>
      </c>
      <c r="L147">
        <f>SUMIF(Table228[[#All],[Asset]],Table228[[#This Row],[Asset]],Table228[[#All],[Bought number]])</f>
        <v>240949.690848</v>
      </c>
      <c r="M147">
        <f>SUMIF(Table228[[#All],[Asset]],Table228[[#This Row],[Asset]],Table228[[#All],[Sold Number]])</f>
        <v>240949.69084800003</v>
      </c>
      <c r="N147" s="15">
        <f>SUMIF(Table228[[#All],[Asset]],Table228[[#This Row],[Asset]],Table228[[#All],[Bought amount]])</f>
        <v>149665.32189729257</v>
      </c>
      <c r="O147" s="15">
        <f>SUMIF(Table228[[#All],[Asset]],Table228[[#This Row],[Asset]],Table228[[#All],[Sold amount]])</f>
        <v>159408.02010878469</v>
      </c>
      <c r="P147" s="75">
        <f>Table228[[#This Row],[Total bought Amount]]/Table228[[#This Row],[Total bought Number]]</f>
        <v>0.62114759878113723</v>
      </c>
      <c r="Q147" s="75">
        <f>IFERROR(Table228[[#This Row],[Total Sold Amount]]/Table228[[#This Row],[Total Sold Number]],0)</f>
        <v>0.66158217322364266</v>
      </c>
      <c r="R147" s="21">
        <f>Table228[[#This Row],[Total bought Number]]-Table228[[#This Row],[Total Sold Number]]</f>
        <v>0</v>
      </c>
      <c r="S147" s="59">
        <f>(Table228[[#This Row],[Ave exit price]]-Table228[[#This Row],[Ave Entry price]])*Table228[[#This Row],[Total Sold Number]]</f>
        <v>9742.6982114921248</v>
      </c>
      <c r="T147" s="15">
        <f>(Table228[[#This Row],[Current Price]]-Table228[[#This Row],[Ave Entry price]])*Table228[[#This Row],[How many tokens now]]</f>
        <v>0</v>
      </c>
      <c r="U147" s="76">
        <f>VLOOKUP(Table228[[#This Row],[Asset]],Table26[#All],10,FALSE)</f>
        <v>0.99</v>
      </c>
    </row>
    <row r="148" spans="1:21">
      <c r="A148" t="s">
        <v>255</v>
      </c>
      <c r="B148" s="68">
        <v>45082</v>
      </c>
      <c r="C148" s="82" t="s">
        <v>176</v>
      </c>
      <c r="D148" t="s">
        <v>174</v>
      </c>
      <c r="E148" t="s">
        <v>350</v>
      </c>
      <c r="F148" s="17">
        <v>0.03</v>
      </c>
      <c r="G148" s="73">
        <v>55038.489200000004</v>
      </c>
      <c r="H148" s="61">
        <f t="shared" si="36"/>
        <v>55038.489200000004</v>
      </c>
      <c r="I148" s="67">
        <f t="shared" si="37"/>
        <v>0</v>
      </c>
      <c r="J148" s="15">
        <f t="shared" si="38"/>
        <v>1651.1546760000001</v>
      </c>
      <c r="K148" s="15">
        <f t="shared" si="39"/>
        <v>0</v>
      </c>
      <c r="L148">
        <f>SUMIF(Table228[[#All],[Asset]],Table228[[#This Row],[Asset]],Table228[[#All],[Bought number]])</f>
        <v>55038.489200000004</v>
      </c>
      <c r="M148">
        <f>SUMIF(Table228[[#All],[Asset]],Table228[[#This Row],[Asset]],Table228[[#All],[Sold Number]])</f>
        <v>55030</v>
      </c>
      <c r="N148" s="15">
        <f>SUMIF(Table228[[#All],[Asset]],Table228[[#This Row],[Asset]],Table228[[#All],[Bought amount]])</f>
        <v>1651.1546760000001</v>
      </c>
      <c r="O148" s="15">
        <f>SUMIF(Table228[[#All],[Asset]],Table228[[#This Row],[Asset]],Table228[[#All],[Sold amount]])</f>
        <v>1705.93</v>
      </c>
      <c r="P148" s="75">
        <f>Table228[[#This Row],[Total bought Amount]]/Table228[[#This Row],[Total bought Number]]</f>
        <v>0.03</v>
      </c>
      <c r="Q148" s="75">
        <f>IFERROR(Table228[[#This Row],[Total Sold Amount]]/Table228[[#This Row],[Total Sold Number]],0)</f>
        <v>3.1E-2</v>
      </c>
      <c r="R148" s="21">
        <f>Table228[[#This Row],[Total bought Number]]-Table228[[#This Row],[Total Sold Number]]</f>
        <v>8.4892000000036205</v>
      </c>
      <c r="S148" s="59">
        <f>(Table228[[#This Row],[Ave exit price]]-Table228[[#This Row],[Ave Entry price]])*Table228[[#This Row],[Total Sold Number]]</f>
        <v>55.030000000000051</v>
      </c>
      <c r="T148" s="15">
        <f>(Table228[[#This Row],[Current Price]]-Table228[[#This Row],[Ave Entry price]])*Table228[[#This Row],[How many tokens now]]</f>
        <v>-4.9593906400021148E-2</v>
      </c>
      <c r="U148" s="76">
        <f>VLOOKUP(Table228[[#This Row],[Asset]],Table26[#All],10,FALSE)</f>
        <v>2.4157999999999999E-2</v>
      </c>
    </row>
    <row r="149" spans="1:21">
      <c r="A149" t="s">
        <v>209</v>
      </c>
      <c r="B149" s="68">
        <v>45518</v>
      </c>
      <c r="C149" s="82" t="s">
        <v>176</v>
      </c>
      <c r="D149" t="s">
        <v>174</v>
      </c>
      <c r="E149" t="s">
        <v>263</v>
      </c>
      <c r="F149" s="17">
        <v>1</v>
      </c>
      <c r="G149" s="73">
        <v>-1000</v>
      </c>
      <c r="H149" s="61">
        <f t="shared" ref="H149:H156" si="40">IF(G149&gt;0,G149,0)</f>
        <v>0</v>
      </c>
      <c r="I149" s="67">
        <f t="shared" ref="I149:I156" si="41">IF(G149&lt;0,ABS(G149),0)</f>
        <v>1000</v>
      </c>
      <c r="J149" s="15">
        <f t="shared" ref="J149:J156" si="42">H149*F149</f>
        <v>0</v>
      </c>
      <c r="K149" s="15">
        <f t="shared" ref="K149:K156" si="43">I149*F149</f>
        <v>1000</v>
      </c>
      <c r="L149">
        <f>SUMIF(Table228[[#All],[Asset]],Table228[[#This Row],[Asset]],Table228[[#All],[Bought number]])</f>
        <v>14504.07</v>
      </c>
      <c r="M149">
        <f>SUMIF(Table228[[#All],[Asset]],Table228[[#This Row],[Asset]],Table228[[#All],[Sold Number]])</f>
        <v>12705.240000000002</v>
      </c>
      <c r="N149" s="15">
        <f>SUMIF(Table228[[#All],[Asset]],Table228[[#This Row],[Asset]],Table228[[#All],[Bought amount]])</f>
        <v>14005.02</v>
      </c>
      <c r="O149" s="15">
        <f>SUMIF(Table228[[#All],[Asset]],Table228[[#This Row],[Asset]],Table228[[#All],[Sold amount]])</f>
        <v>12705.240000000002</v>
      </c>
      <c r="P149" s="75">
        <f>Table228[[#This Row],[Total bought Amount]]/Table228[[#This Row],[Total bought Number]]</f>
        <v>0.96559241647344507</v>
      </c>
      <c r="Q149" s="75">
        <f>IFERROR(Table228[[#This Row],[Total Sold Amount]]/Table228[[#This Row],[Total Sold Number]],0)</f>
        <v>1</v>
      </c>
      <c r="R149" s="21">
        <f>Table228[[#This Row],[Total bought Number]]-Table228[[#This Row],[Total Sold Number]]</f>
        <v>1798.8299999999981</v>
      </c>
      <c r="S149" s="59">
        <f>(Table228[[#This Row],[Ave exit price]]-Table228[[#This Row],[Ave Entry price]])*Table228[[#This Row],[Total Sold Number]]</f>
        <v>437.15660652492681</v>
      </c>
      <c r="T149" s="15">
        <f>(Table228[[#This Row],[Current Price]]-Table228[[#This Row],[Ave Entry price]])*Table228[[#This Row],[How many tokens now]]</f>
        <v>61.893393475072742</v>
      </c>
      <c r="U149" s="76">
        <f>VLOOKUP(Table228[[#This Row],[Asset]],Table26[#All],10,FALSE)</f>
        <v>1</v>
      </c>
    </row>
    <row r="150" spans="1:21">
      <c r="A150" t="s">
        <v>209</v>
      </c>
      <c r="B150" s="68">
        <v>45518</v>
      </c>
      <c r="C150" s="82" t="s">
        <v>176</v>
      </c>
      <c r="D150" t="s">
        <v>174</v>
      </c>
      <c r="E150" t="s">
        <v>263</v>
      </c>
      <c r="F150" s="17">
        <v>1</v>
      </c>
      <c r="G150" s="73">
        <v>-8036</v>
      </c>
      <c r="H150" s="61">
        <f t="shared" si="40"/>
        <v>0</v>
      </c>
      <c r="I150" s="67">
        <f t="shared" si="41"/>
        <v>8036</v>
      </c>
      <c r="J150" s="15">
        <f t="shared" si="42"/>
        <v>0</v>
      </c>
      <c r="K150" s="15">
        <f t="shared" si="43"/>
        <v>8036</v>
      </c>
      <c r="L150">
        <f>SUMIF(Table228[[#All],[Asset]],Table228[[#This Row],[Asset]],Table228[[#All],[Bought number]])</f>
        <v>14504.07</v>
      </c>
      <c r="M150">
        <f>SUMIF(Table228[[#All],[Asset]],Table228[[#This Row],[Asset]],Table228[[#All],[Sold Number]])</f>
        <v>12705.240000000002</v>
      </c>
      <c r="N150" s="15">
        <f>SUMIF(Table228[[#All],[Asset]],Table228[[#This Row],[Asset]],Table228[[#All],[Bought amount]])</f>
        <v>14005.02</v>
      </c>
      <c r="O150" s="15">
        <f>SUMIF(Table228[[#All],[Asset]],Table228[[#This Row],[Asset]],Table228[[#All],[Sold amount]])</f>
        <v>12705.240000000002</v>
      </c>
      <c r="P150" s="75">
        <f>Table228[[#This Row],[Total bought Amount]]/Table228[[#This Row],[Total bought Number]]</f>
        <v>0.96559241647344507</v>
      </c>
      <c r="Q150" s="75">
        <f>IFERROR(Table228[[#This Row],[Total Sold Amount]]/Table228[[#This Row],[Total Sold Number]],0)</f>
        <v>1</v>
      </c>
      <c r="R150" s="21">
        <f>Table228[[#This Row],[Total bought Number]]-Table228[[#This Row],[Total Sold Number]]</f>
        <v>1798.8299999999981</v>
      </c>
      <c r="S150" s="59">
        <f>(Table228[[#This Row],[Ave exit price]]-Table228[[#This Row],[Ave Entry price]])*Table228[[#This Row],[Total Sold Number]]</f>
        <v>437.15660652492681</v>
      </c>
      <c r="T150" s="15">
        <f>(Table228[[#This Row],[Current Price]]-Table228[[#This Row],[Ave Entry price]])*Table228[[#This Row],[How many tokens now]]</f>
        <v>61.893393475072742</v>
      </c>
      <c r="U150" s="76">
        <f>VLOOKUP(Table228[[#This Row],[Asset]],Table26[#All],10,FALSE)</f>
        <v>1</v>
      </c>
    </row>
    <row r="151" spans="1:21">
      <c r="A151" t="s">
        <v>209</v>
      </c>
      <c r="B151" s="68">
        <v>45518</v>
      </c>
      <c r="C151" s="82" t="s">
        <v>351</v>
      </c>
      <c r="D151" t="s">
        <v>174</v>
      </c>
      <c r="E151" t="s">
        <v>285</v>
      </c>
      <c r="F151" s="17">
        <v>0</v>
      </c>
      <c r="G151" s="73">
        <v>16.29</v>
      </c>
      <c r="H151" s="61">
        <f t="shared" si="40"/>
        <v>16.29</v>
      </c>
      <c r="I151" s="67">
        <f t="shared" si="41"/>
        <v>0</v>
      </c>
      <c r="J151" s="15">
        <f t="shared" si="42"/>
        <v>0</v>
      </c>
      <c r="K151" s="15">
        <f t="shared" si="43"/>
        <v>0</v>
      </c>
      <c r="L151">
        <f>SUMIF(Table228[[#All],[Asset]],Table228[[#This Row],[Asset]],Table228[[#All],[Bought number]])</f>
        <v>14504.07</v>
      </c>
      <c r="M151">
        <f>SUMIF(Table228[[#All],[Asset]],Table228[[#This Row],[Asset]],Table228[[#All],[Sold Number]])</f>
        <v>12705.240000000002</v>
      </c>
      <c r="N151" s="15">
        <f>SUMIF(Table228[[#All],[Asset]],Table228[[#This Row],[Asset]],Table228[[#All],[Bought amount]])</f>
        <v>14005.02</v>
      </c>
      <c r="O151" s="15">
        <f>SUMIF(Table228[[#All],[Asset]],Table228[[#This Row],[Asset]],Table228[[#All],[Sold amount]])</f>
        <v>12705.240000000002</v>
      </c>
      <c r="P151" s="75">
        <f>Table228[[#This Row],[Total bought Amount]]/Table228[[#This Row],[Total bought Number]]</f>
        <v>0.96559241647344507</v>
      </c>
      <c r="Q151" s="75">
        <f>IFERROR(Table228[[#This Row],[Total Sold Amount]]/Table228[[#This Row],[Total Sold Number]],0)</f>
        <v>1</v>
      </c>
      <c r="R151" s="21">
        <f>Table228[[#This Row],[Total bought Number]]-Table228[[#This Row],[Total Sold Number]]</f>
        <v>1798.8299999999981</v>
      </c>
      <c r="S151" s="59">
        <f>(Table228[[#This Row],[Ave exit price]]-Table228[[#This Row],[Ave Entry price]])*Table228[[#This Row],[Total Sold Number]]</f>
        <v>437.15660652492681</v>
      </c>
      <c r="T151" s="15">
        <f>(Table228[[#This Row],[Current Price]]-Table228[[#This Row],[Ave Entry price]])*Table228[[#This Row],[How many tokens now]]</f>
        <v>61.893393475072742</v>
      </c>
      <c r="U151" s="76">
        <f>VLOOKUP(Table228[[#This Row],[Asset]],Table26[#All],10,FALSE)</f>
        <v>1</v>
      </c>
    </row>
    <row r="152" spans="1:21">
      <c r="A152" t="s">
        <v>328</v>
      </c>
      <c r="B152" s="68">
        <v>45524</v>
      </c>
      <c r="C152" s="3" t="s">
        <v>175</v>
      </c>
      <c r="D152" t="s">
        <v>7</v>
      </c>
      <c r="E152" t="s">
        <v>330</v>
      </c>
      <c r="F152" s="17">
        <v>250</v>
      </c>
      <c r="G152" s="73">
        <v>-1</v>
      </c>
      <c r="H152" s="61">
        <f t="shared" si="40"/>
        <v>0</v>
      </c>
      <c r="I152" s="67">
        <f t="shared" si="41"/>
        <v>1</v>
      </c>
      <c r="J152" s="15">
        <f t="shared" si="42"/>
        <v>0</v>
      </c>
      <c r="K152" s="15">
        <f t="shared" si="43"/>
        <v>250</v>
      </c>
      <c r="L152">
        <f>SUMIF(Table228[[#All],[Asset]],Table228[[#This Row],[Asset]],Table228[[#All],[Bought number]])</f>
        <v>1</v>
      </c>
      <c r="M152">
        <f>SUMIF(Table228[[#All],[Asset]],Table228[[#This Row],[Asset]],Table228[[#All],[Sold Number]])</f>
        <v>1</v>
      </c>
      <c r="N152" s="15">
        <f>SUMIF(Table228[[#All],[Asset]],Table228[[#This Row],[Asset]],Table228[[#All],[Bought amount]])</f>
        <v>228</v>
      </c>
      <c r="O152" s="15">
        <f>SUMIF(Table228[[#All],[Asset]],Table228[[#This Row],[Asset]],Table228[[#All],[Sold amount]])</f>
        <v>250</v>
      </c>
      <c r="P152" s="75">
        <f>Table228[[#This Row],[Total bought Amount]]/Table228[[#This Row],[Total bought Number]]</f>
        <v>228</v>
      </c>
      <c r="Q152" s="75">
        <f>IFERROR(Table228[[#This Row],[Total Sold Amount]]/Table228[[#This Row],[Total Sold Number]],0)</f>
        <v>250</v>
      </c>
      <c r="R152" s="21">
        <f>Table228[[#This Row],[Total bought Number]]-Table228[[#This Row],[Total Sold Number]]</f>
        <v>0</v>
      </c>
      <c r="S152" s="59">
        <f>(Table228[[#This Row],[Ave exit price]]-Table228[[#This Row],[Ave Entry price]])*Table228[[#This Row],[Total Sold Number]]</f>
        <v>22</v>
      </c>
      <c r="T152" s="15">
        <f>(Table228[[#This Row],[Current Price]]-Table228[[#This Row],[Ave Entry price]])*Table228[[#This Row],[How many tokens now]]</f>
        <v>0</v>
      </c>
      <c r="U152" s="76">
        <f>VLOOKUP(Table228[[#This Row],[Asset]],Table26[#All],10,FALSE)</f>
        <v>228</v>
      </c>
    </row>
    <row r="153" spans="1:21">
      <c r="A153" t="s">
        <v>209</v>
      </c>
      <c r="B153" s="68">
        <v>45541</v>
      </c>
      <c r="C153" s="82" t="s">
        <v>180</v>
      </c>
      <c r="D153" t="s">
        <v>71</v>
      </c>
      <c r="E153" t="s">
        <v>285</v>
      </c>
      <c r="F153" s="17">
        <v>1</v>
      </c>
      <c r="G153" s="73">
        <v>1704</v>
      </c>
      <c r="H153" s="61">
        <f t="shared" si="40"/>
        <v>1704</v>
      </c>
      <c r="I153" s="67">
        <f t="shared" si="41"/>
        <v>0</v>
      </c>
      <c r="J153" s="15">
        <f t="shared" si="42"/>
        <v>1704</v>
      </c>
      <c r="K153" s="15">
        <f t="shared" si="43"/>
        <v>0</v>
      </c>
      <c r="L153">
        <f>SUMIF(Table228[[#All],[Asset]],Table228[[#This Row],[Asset]],Table228[[#All],[Bought number]])</f>
        <v>14504.07</v>
      </c>
      <c r="M153">
        <f>SUMIF(Table228[[#All],[Asset]],Table228[[#This Row],[Asset]],Table228[[#All],[Sold Number]])</f>
        <v>12705.240000000002</v>
      </c>
      <c r="N153" s="15">
        <f>SUMIF(Table228[[#All],[Asset]],Table228[[#This Row],[Asset]],Table228[[#All],[Bought amount]])</f>
        <v>14005.02</v>
      </c>
      <c r="O153" s="15">
        <f>SUMIF(Table228[[#All],[Asset]],Table228[[#This Row],[Asset]],Table228[[#All],[Sold amount]])</f>
        <v>12705.240000000002</v>
      </c>
      <c r="P153" s="75">
        <f>Table228[[#This Row],[Total bought Amount]]/Table228[[#This Row],[Total bought Number]]</f>
        <v>0.96559241647344507</v>
      </c>
      <c r="Q153" s="75">
        <f>IFERROR(Table228[[#This Row],[Total Sold Amount]]/Table228[[#This Row],[Total Sold Number]],0)</f>
        <v>1</v>
      </c>
      <c r="R153" s="21">
        <f>Table228[[#This Row],[Total bought Number]]-Table228[[#This Row],[Total Sold Number]]</f>
        <v>1798.8299999999981</v>
      </c>
      <c r="S153" s="59">
        <f>(Table228[[#This Row],[Ave exit price]]-Table228[[#This Row],[Ave Entry price]])*Table228[[#This Row],[Total Sold Number]]</f>
        <v>437.15660652492681</v>
      </c>
      <c r="T153" s="15">
        <f>(Table228[[#This Row],[Current Price]]-Table228[[#This Row],[Ave Entry price]])*Table228[[#This Row],[How many tokens now]]</f>
        <v>61.893393475072742</v>
      </c>
      <c r="U153" s="76">
        <f>VLOOKUP(Table228[[#This Row],[Asset]],Table26[#All],10,FALSE)</f>
        <v>1</v>
      </c>
    </row>
    <row r="154" spans="1:21">
      <c r="A154" t="s">
        <v>226</v>
      </c>
      <c r="B154" s="68">
        <v>45542</v>
      </c>
      <c r="C154" s="82" t="s">
        <v>176</v>
      </c>
      <c r="D154" t="s">
        <v>68</v>
      </c>
      <c r="E154" t="s">
        <v>189</v>
      </c>
      <c r="F154" s="17">
        <v>3.6239E-2</v>
      </c>
      <c r="G154" s="73">
        <v>10225</v>
      </c>
      <c r="H154" s="61">
        <f t="shared" si="40"/>
        <v>10225</v>
      </c>
      <c r="I154" s="67">
        <f t="shared" si="41"/>
        <v>0</v>
      </c>
      <c r="J154" s="15">
        <f t="shared" si="42"/>
        <v>370.54377499999998</v>
      </c>
      <c r="K154" s="15">
        <f t="shared" si="43"/>
        <v>0</v>
      </c>
      <c r="L154">
        <f>SUMIF(Table228[[#All],[Asset]],Table228[[#This Row],[Asset]],Table228[[#All],[Bought number]])</f>
        <v>323932.72954500001</v>
      </c>
      <c r="M154">
        <f>SUMIF(Table228[[#All],[Asset]],Table228[[#This Row],[Asset]],Table228[[#All],[Sold Number]])</f>
        <v>323932.73009199998</v>
      </c>
      <c r="N154" s="15">
        <f>SUMIF(Table228[[#All],[Asset]],Table228[[#This Row],[Asset]],Table228[[#All],[Bought amount]])</f>
        <v>15730.280778400003</v>
      </c>
      <c r="O154" s="15">
        <f>SUMIF(Table228[[#All],[Asset]],Table228[[#This Row],[Asset]],Table228[[#All],[Sold amount]])</f>
        <v>14916.766213074001</v>
      </c>
      <c r="P154" s="75">
        <f>Table228[[#This Row],[Total bought Amount]]/Table228[[#This Row],[Total bought Number]]</f>
        <v>4.8560331648163348E-2</v>
      </c>
      <c r="Q154" s="75">
        <f>IFERROR(Table228[[#This Row],[Total Sold Amount]]/Table228[[#This Row],[Total Sold Number]],0)</f>
        <v>4.6048962723950426E-2</v>
      </c>
      <c r="R154" s="21">
        <f>Table228[[#This Row],[Total bought Number]]-Table228[[#This Row],[Total Sold Number]]</f>
        <v>-5.4699997417628765E-4</v>
      </c>
      <c r="S154" s="59">
        <f>(Table228[[#This Row],[Ave exit price]]-Table228[[#This Row],[Ave Entry price]])*Table228[[#This Row],[Total Sold Number]]</f>
        <v>-813.5145918885006</v>
      </c>
      <c r="T154" s="15">
        <f>(Table228[[#This Row],[Current Price]]-Table228[[#This Row],[Ave Entry price]])*Table228[[#This Row],[How many tokens now]]</f>
        <v>-2.3737984763883032E-6</v>
      </c>
      <c r="U154" s="76">
        <f>VLOOKUP(Table228[[#This Row],[Asset]],Table26[#All],10,FALSE)</f>
        <v>5.2900000000000003E-2</v>
      </c>
    </row>
    <row r="155" spans="1:21">
      <c r="A155" t="s">
        <v>426</v>
      </c>
      <c r="B155" s="68">
        <v>45542</v>
      </c>
      <c r="C155" s="82" t="s">
        <v>180</v>
      </c>
      <c r="D155" t="s">
        <v>76</v>
      </c>
      <c r="E155" t="s">
        <v>189</v>
      </c>
      <c r="F155" s="17">
        <v>4.2812999999999997E-2</v>
      </c>
      <c r="G155" s="73">
        <v>10919.792600000001</v>
      </c>
      <c r="H155" s="61">
        <f t="shared" si="40"/>
        <v>10919.792600000001</v>
      </c>
      <c r="I155" s="67">
        <f t="shared" si="41"/>
        <v>0</v>
      </c>
      <c r="J155" s="15">
        <f t="shared" si="42"/>
        <v>467.50908058379997</v>
      </c>
      <c r="K155" s="15">
        <f t="shared" si="43"/>
        <v>0</v>
      </c>
      <c r="L155">
        <f>SUMIF(Table228[[#All],[Asset]],Table228[[#This Row],[Asset]],Table228[[#All],[Bought number]])</f>
        <v>238626.003494</v>
      </c>
      <c r="M155">
        <f>SUMIF(Table228[[#All],[Asset]],Table228[[#This Row],[Asset]],Table228[[#All],[Sold Number]])</f>
        <v>258703.52244</v>
      </c>
      <c r="N155" s="15">
        <f>SUMIF(Table228[[#All],[Asset]],Table228[[#This Row],[Asset]],Table228[[#All],[Bought amount]])</f>
        <v>15455.410858853724</v>
      </c>
      <c r="O155" s="15">
        <f>SUMIF(Table228[[#All],[Asset]],Table228[[#This Row],[Asset]],Table228[[#All],[Sold amount]])</f>
        <v>12956.454272287921</v>
      </c>
      <c r="P155" s="75">
        <f>Table228[[#This Row],[Total bought Amount]]/Table228[[#This Row],[Total bought Number]]</f>
        <v>6.4768343066359632E-2</v>
      </c>
      <c r="Q155" s="75">
        <f>IFERROR(Table228[[#This Row],[Total Sold Amount]]/Table228[[#This Row],[Total Sold Number]],0)</f>
        <v>5.0082249171125436E-2</v>
      </c>
      <c r="R155" s="21">
        <f>Table228[[#This Row],[Total bought Number]]-Table228[[#This Row],[Total Sold Number]]</f>
        <v>-20077.518945999997</v>
      </c>
      <c r="S155" s="59">
        <f>(Table228[[#This Row],[Ave exit price]]-Table228[[#This Row],[Ave Entry price]])*Table228[[#This Row],[Total Sold Number]]</f>
        <v>-3799.3442215816672</v>
      </c>
      <c r="T155" s="15">
        <f>(Table228[[#This Row],[Current Price]]-Table228[[#This Row],[Ave Entry price]])*Table228[[#This Row],[How many tokens now]]</f>
        <v>440.80881638076522</v>
      </c>
      <c r="U155" s="76">
        <f>VLOOKUP(Table228[[#This Row],[Asset]],Table26[#All],10,FALSE)</f>
        <v>4.2812999999999997E-2</v>
      </c>
    </row>
    <row r="156" spans="1:21">
      <c r="A156" t="s">
        <v>291</v>
      </c>
      <c r="B156" s="68">
        <v>45542</v>
      </c>
      <c r="C156" s="82" t="s">
        <v>180</v>
      </c>
      <c r="D156" t="s">
        <v>69</v>
      </c>
      <c r="E156" t="s">
        <v>285</v>
      </c>
      <c r="F156" s="17">
        <v>7.6679999999999998E-2</v>
      </c>
      <c r="G156" s="73">
        <v>882</v>
      </c>
      <c r="H156" s="61">
        <f t="shared" si="40"/>
        <v>882</v>
      </c>
      <c r="I156" s="67">
        <f t="shared" si="41"/>
        <v>0</v>
      </c>
      <c r="J156" s="15">
        <f t="shared" si="42"/>
        <v>67.63176</v>
      </c>
      <c r="K156" s="15">
        <f t="shared" si="43"/>
        <v>0</v>
      </c>
      <c r="L156">
        <f>SUMIF(Table228[[#All],[Asset]],Table228[[#This Row],[Asset]],Table228[[#All],[Bought number]])</f>
        <v>56191.636100000003</v>
      </c>
      <c r="M156">
        <f>SUMIF(Table228[[#All],[Asset]],Table228[[#This Row],[Asset]],Table228[[#All],[Sold Number]])</f>
        <v>56191</v>
      </c>
      <c r="N156" s="15">
        <f>SUMIF(Table228[[#All],[Asset]],Table228[[#This Row],[Asset]],Table228[[#All],[Bought amount]])</f>
        <v>5356.8114137100001</v>
      </c>
      <c r="O156" s="15">
        <f>SUMIF(Table228[[#All],[Asset]],Table228[[#This Row],[Asset]],Table228[[#All],[Sold amount]])</f>
        <v>1466.328</v>
      </c>
      <c r="P156" s="75">
        <f>Table228[[#This Row],[Total bought Amount]]/Table228[[#This Row],[Total bought Number]]</f>
        <v>9.5331116612744432E-2</v>
      </c>
      <c r="Q156" s="75">
        <f>IFERROR(Table228[[#This Row],[Total Sold Amount]]/Table228[[#This Row],[Total Sold Number]],0)</f>
        <v>2.6095424534178072E-2</v>
      </c>
      <c r="R156" s="21">
        <f>Table228[[#This Row],[Total bought Number]]-Table228[[#This Row],[Total Sold Number]]</f>
        <v>0.63610000000335276</v>
      </c>
      <c r="S156" s="59">
        <f>(Table228[[#This Row],[Ave exit price]]-Table228[[#This Row],[Ave Entry price]])*Table228[[#This Row],[Total Sold Number]]</f>
        <v>-3890.4227735867225</v>
      </c>
      <c r="T156" s="15">
        <f>(Table228[[#This Row],[Current Price]]-Table228[[#This Row],[Ave Entry price]])*Table228[[#This Row],[How many tokens now]]</f>
        <v>-4.4737623277602542E-2</v>
      </c>
      <c r="U156" s="76">
        <f>VLOOKUP(Table228[[#This Row],[Asset]],Table26[#All],10,FALSE)</f>
        <v>2.5000000000000001E-2</v>
      </c>
    </row>
    <row r="157" spans="1:21">
      <c r="A157" t="s">
        <v>322</v>
      </c>
      <c r="B157" s="68">
        <v>45519</v>
      </c>
      <c r="C157" s="3" t="s">
        <v>176</v>
      </c>
      <c r="D157" t="s">
        <v>71</v>
      </c>
      <c r="E157" t="s">
        <v>285</v>
      </c>
      <c r="F157" s="17">
        <v>0.16</v>
      </c>
      <c r="G157" s="73">
        <v>-3969</v>
      </c>
      <c r="H157" s="61">
        <f t="shared" ref="H157:H165" si="44">IF(G157&gt;0,G157,0)</f>
        <v>0</v>
      </c>
      <c r="I157" s="67">
        <f t="shared" ref="I157:I165" si="45">IF(G157&lt;0,ABS(G157),0)</f>
        <v>3969</v>
      </c>
      <c r="J157" s="15">
        <f t="shared" ref="J157:J165" si="46">H157*F157</f>
        <v>0</v>
      </c>
      <c r="K157" s="15">
        <f t="shared" ref="K157:K165" si="47">I157*F157</f>
        <v>635.04</v>
      </c>
      <c r="L157">
        <f>SUMIF(Table228[[#All],[Asset]],Table228[[#This Row],[Asset]],Table228[[#All],[Bought number]])</f>
        <v>8758</v>
      </c>
      <c r="M157">
        <f>SUMIF(Table228[[#All],[Asset]],Table228[[#This Row],[Asset]],Table228[[#All],[Sold Number]])</f>
        <v>8758</v>
      </c>
      <c r="N157" s="15">
        <f>SUMIF(Table228[[#All],[Asset]],Table228[[#This Row],[Asset]],Table228[[#All],[Bought amount]])</f>
        <v>1202.96</v>
      </c>
      <c r="O157" s="15">
        <f>SUMIF(Table228[[#All],[Asset]],Table228[[#This Row],[Asset]],Table228[[#All],[Sold amount]])</f>
        <v>1829.5123799999999</v>
      </c>
      <c r="P157" s="75">
        <f>Table228[[#This Row],[Total bought Amount]]/Table228[[#This Row],[Total bought Number]]</f>
        <v>0.1373555606302809</v>
      </c>
      <c r="Q157" s="75">
        <f>IFERROR(Table228[[#This Row],[Total Sold Amount]]/Table228[[#This Row],[Total Sold Number]],0)</f>
        <v>0.20889613838775975</v>
      </c>
      <c r="R157" s="21">
        <f>Table228[[#This Row],[Total bought Number]]-Table228[[#This Row],[Total Sold Number]]</f>
        <v>0</v>
      </c>
      <c r="S157" s="59">
        <f>(Table228[[#This Row],[Ave exit price]]-Table228[[#This Row],[Ave Entry price]])*Table228[[#This Row],[Total Sold Number]]</f>
        <v>626.55237999999974</v>
      </c>
      <c r="T157" s="15">
        <f>(Table228[[#This Row],[Current Price]]-Table228[[#This Row],[Ave Entry price]])*Table228[[#This Row],[How many tokens now]]</f>
        <v>0</v>
      </c>
      <c r="U157" s="76">
        <f>VLOOKUP(Table228[[#This Row],[Asset]],Table26[#All],10,FALSE)</f>
        <v>0.13089000000000001</v>
      </c>
    </row>
    <row r="158" spans="1:21">
      <c r="A158" t="s">
        <v>290</v>
      </c>
      <c r="B158" s="68">
        <v>45550</v>
      </c>
      <c r="C158" s="82" t="s">
        <v>180</v>
      </c>
      <c r="D158" t="s">
        <v>174</v>
      </c>
      <c r="E158" t="s">
        <v>285</v>
      </c>
      <c r="F158" s="17">
        <v>9.4700000000000006</v>
      </c>
      <c r="G158" s="73">
        <v>-241</v>
      </c>
      <c r="H158" s="61">
        <f t="shared" si="44"/>
        <v>0</v>
      </c>
      <c r="I158" s="67">
        <f t="shared" si="45"/>
        <v>241</v>
      </c>
      <c r="J158" s="15">
        <f t="shared" si="46"/>
        <v>0</v>
      </c>
      <c r="K158" s="15">
        <f t="shared" si="47"/>
        <v>2282.27</v>
      </c>
      <c r="L158">
        <f>SUMIF(Table228[[#All],[Asset]],Table228[[#This Row],[Asset]],Table228[[#All],[Bought number]])</f>
        <v>241</v>
      </c>
      <c r="M158">
        <f>SUMIF(Table228[[#All],[Asset]],Table228[[#This Row],[Asset]],Table228[[#All],[Sold Number]])</f>
        <v>241</v>
      </c>
      <c r="N158" s="15">
        <f>SUMIF(Table228[[#All],[Asset]],Table228[[#This Row],[Asset]],Table228[[#All],[Bought amount]])</f>
        <v>723</v>
      </c>
      <c r="O158" s="15">
        <f>SUMIF(Table228[[#All],[Asset]],Table228[[#This Row],[Asset]],Table228[[#All],[Sold amount]])</f>
        <v>2282.27</v>
      </c>
      <c r="P158" s="75">
        <f>Table228[[#This Row],[Total bought Amount]]/Table228[[#This Row],[Total bought Number]]</f>
        <v>3</v>
      </c>
      <c r="Q158" s="75">
        <f>IFERROR(Table228[[#This Row],[Total Sold Amount]]/Table228[[#This Row],[Total Sold Number]],0)</f>
        <v>9.4700000000000006</v>
      </c>
      <c r="R158" s="21">
        <f>Table228[[#This Row],[Total bought Number]]-Table228[[#This Row],[Total Sold Number]]</f>
        <v>0</v>
      </c>
      <c r="S158" s="59">
        <f>(Table228[[#This Row],[Ave exit price]]-Table228[[#This Row],[Ave Entry price]])*Table228[[#This Row],[Total Sold Number]]</f>
        <v>1559.2700000000002</v>
      </c>
      <c r="T158" s="15">
        <f>(Table228[[#This Row],[Current Price]]-Table228[[#This Row],[Ave Entry price]])*Table228[[#This Row],[How many tokens now]]</f>
        <v>0</v>
      </c>
      <c r="U158" s="76">
        <f>VLOOKUP(Table228[[#This Row],[Asset]],Table26[#All],10,FALSE)</f>
        <v>9.61</v>
      </c>
    </row>
    <row r="159" spans="1:21">
      <c r="A159" t="s">
        <v>435</v>
      </c>
      <c r="B159" s="68">
        <v>45550</v>
      </c>
      <c r="C159" s="82" t="s">
        <v>437</v>
      </c>
      <c r="D159" t="s">
        <v>436</v>
      </c>
      <c r="E159" t="s">
        <v>285</v>
      </c>
      <c r="F159" s="17">
        <v>0</v>
      </c>
      <c r="G159" s="73">
        <v>700</v>
      </c>
      <c r="H159" s="61">
        <f t="shared" si="44"/>
        <v>700</v>
      </c>
      <c r="I159" s="67">
        <f t="shared" si="45"/>
        <v>0</v>
      </c>
      <c r="J159" s="15">
        <f t="shared" si="46"/>
        <v>0</v>
      </c>
      <c r="K159" s="15">
        <f t="shared" si="47"/>
        <v>0</v>
      </c>
      <c r="L159">
        <f>SUMIF(Table228[[#All],[Asset]],Table228[[#This Row],[Asset]],Table228[[#All],[Bought number]])</f>
        <v>700</v>
      </c>
      <c r="M159">
        <f>SUMIF(Table228[[#All],[Asset]],Table228[[#This Row],[Asset]],Table228[[#All],[Sold Number]])</f>
        <v>700</v>
      </c>
      <c r="N159" s="15">
        <f>SUMIF(Table228[[#All],[Asset]],Table228[[#This Row],[Asset]],Table228[[#All],[Bought amount]])</f>
        <v>0</v>
      </c>
      <c r="O159" s="15">
        <f>SUMIF(Table228[[#All],[Asset]],Table228[[#This Row],[Asset]],Table228[[#All],[Sold amount]])</f>
        <v>92.4</v>
      </c>
      <c r="P159" s="75">
        <f>Table228[[#This Row],[Total bought Amount]]/Table228[[#This Row],[Total bought Number]]</f>
        <v>0</v>
      </c>
      <c r="Q159" s="75">
        <f>IFERROR(Table228[[#This Row],[Total Sold Amount]]/Table228[[#This Row],[Total Sold Number]],0)</f>
        <v>0.13200000000000001</v>
      </c>
      <c r="R159" s="21">
        <f>Table228[[#This Row],[Total bought Number]]-Table228[[#This Row],[Total Sold Number]]</f>
        <v>0</v>
      </c>
      <c r="S159" s="59">
        <f>(Table228[[#This Row],[Ave exit price]]-Table228[[#This Row],[Ave Entry price]])*Table228[[#This Row],[Total Sold Number]]</f>
        <v>92.4</v>
      </c>
      <c r="T159" s="15">
        <f>(Table228[[#This Row],[Current Price]]-Table228[[#This Row],[Ave Entry price]])*Table228[[#This Row],[How many tokens now]]</f>
        <v>0</v>
      </c>
      <c r="U159" s="76">
        <f>VLOOKUP(Table228[[#This Row],[Asset]],Table26[#All],10,FALSE)</f>
        <v>0.12719</v>
      </c>
    </row>
    <row r="160" spans="1:21">
      <c r="A160" t="s">
        <v>435</v>
      </c>
      <c r="B160" s="68">
        <v>45550</v>
      </c>
      <c r="C160" s="82" t="s">
        <v>437</v>
      </c>
      <c r="D160" t="s">
        <v>436</v>
      </c>
      <c r="E160" t="s">
        <v>285</v>
      </c>
      <c r="F160" s="17">
        <v>0.13200000000000001</v>
      </c>
      <c r="G160" s="73">
        <v>-700</v>
      </c>
      <c r="H160" s="61">
        <f t="shared" si="44"/>
        <v>0</v>
      </c>
      <c r="I160" s="67">
        <f t="shared" si="45"/>
        <v>700</v>
      </c>
      <c r="J160" s="15">
        <f t="shared" si="46"/>
        <v>0</v>
      </c>
      <c r="K160" s="15">
        <f t="shared" si="47"/>
        <v>92.4</v>
      </c>
      <c r="L160">
        <f>SUMIF(Table228[[#All],[Asset]],Table228[[#This Row],[Asset]],Table228[[#All],[Bought number]])</f>
        <v>700</v>
      </c>
      <c r="M160">
        <f>SUMIF(Table228[[#All],[Asset]],Table228[[#This Row],[Asset]],Table228[[#All],[Sold Number]])</f>
        <v>700</v>
      </c>
      <c r="N160" s="15">
        <f>SUMIF(Table228[[#All],[Asset]],Table228[[#This Row],[Asset]],Table228[[#All],[Bought amount]])</f>
        <v>0</v>
      </c>
      <c r="O160" s="15">
        <f>SUMIF(Table228[[#All],[Asset]],Table228[[#This Row],[Asset]],Table228[[#All],[Sold amount]])</f>
        <v>92.4</v>
      </c>
      <c r="P160" s="75">
        <f>Table228[[#This Row],[Total bought Amount]]/Table228[[#This Row],[Total bought Number]]</f>
        <v>0</v>
      </c>
      <c r="Q160" s="75">
        <f>IFERROR(Table228[[#This Row],[Total Sold Amount]]/Table228[[#This Row],[Total Sold Number]],0)</f>
        <v>0.13200000000000001</v>
      </c>
      <c r="R160" s="21">
        <f>Table228[[#This Row],[Total bought Number]]-Table228[[#This Row],[Total Sold Number]]</f>
        <v>0</v>
      </c>
      <c r="S160" s="59">
        <f>(Table228[[#This Row],[Ave exit price]]-Table228[[#This Row],[Ave Entry price]])*Table228[[#This Row],[Total Sold Number]]</f>
        <v>92.4</v>
      </c>
      <c r="T160" s="15">
        <f>(Table228[[#This Row],[Current Price]]-Table228[[#This Row],[Ave Entry price]])*Table228[[#This Row],[How many tokens now]]</f>
        <v>0</v>
      </c>
      <c r="U160" s="76">
        <f>VLOOKUP(Table228[[#This Row],[Asset]],Table26[#All],10,FALSE)</f>
        <v>0.12719</v>
      </c>
    </row>
    <row r="161" spans="1:21">
      <c r="A161" t="s">
        <v>249</v>
      </c>
      <c r="B161" s="68">
        <v>45550</v>
      </c>
      <c r="C161" s="82" t="s">
        <v>176</v>
      </c>
      <c r="D161" t="s">
        <v>438</v>
      </c>
      <c r="E161" t="s">
        <v>285</v>
      </c>
      <c r="F161" s="17">
        <v>0.16841</v>
      </c>
      <c r="G161" s="73">
        <v>540</v>
      </c>
      <c r="H161" s="61">
        <f t="shared" si="44"/>
        <v>540</v>
      </c>
      <c r="I161" s="67">
        <f t="shared" si="45"/>
        <v>0</v>
      </c>
      <c r="J161" s="15">
        <f t="shared" si="46"/>
        <v>90.941400000000002</v>
      </c>
      <c r="K161" s="15">
        <f t="shared" si="47"/>
        <v>0</v>
      </c>
      <c r="L161">
        <f>SUMIF(Table228[[#All],[Asset]],Table228[[#This Row],[Asset]],Table228[[#All],[Bought number]])</f>
        <v>12514.3696</v>
      </c>
      <c r="M161">
        <f>SUMIF(Table228[[#All],[Asset]],Table228[[#This Row],[Asset]],Table228[[#All],[Sold Number]])</f>
        <v>12514.3696</v>
      </c>
      <c r="N161" s="15">
        <f>SUMIF(Table228[[#All],[Asset]],Table228[[#This Row],[Asset]],Table228[[#All],[Bought amount]])</f>
        <v>3683.2522800000002</v>
      </c>
      <c r="O161" s="15">
        <f>SUMIF(Table228[[#All],[Asset]],Table228[[#This Row],[Asset]],Table228[[#All],[Sold amount]])</f>
        <v>2365.2158543999999</v>
      </c>
      <c r="P161" s="75">
        <f>Table228[[#This Row],[Total bought Amount]]/Table228[[#This Row],[Total bought Number]]</f>
        <v>0.29432183943168821</v>
      </c>
      <c r="Q161" s="75">
        <f>IFERROR(Table228[[#This Row],[Total Sold Amount]]/Table228[[#This Row],[Total Sold Number]],0)</f>
        <v>0.189</v>
      </c>
      <c r="R161" s="21">
        <f>Table228[[#This Row],[Total bought Number]]-Table228[[#This Row],[Total Sold Number]]</f>
        <v>0</v>
      </c>
      <c r="S161" s="59">
        <f>(Table228[[#This Row],[Ave exit price]]-Table228[[#This Row],[Ave Entry price]])*Table228[[#This Row],[Total Sold Number]]</f>
        <v>-1318.0364256000003</v>
      </c>
      <c r="T161" s="15">
        <f>(Table228[[#This Row],[Current Price]]-Table228[[#This Row],[Ave Entry price]])*Table228[[#This Row],[How many tokens now]]</f>
        <v>0</v>
      </c>
      <c r="U161" s="76">
        <f>VLOOKUP(Table228[[#This Row],[Asset]],Table26[#All],10,FALSE)</f>
        <v>0.1925</v>
      </c>
    </row>
    <row r="162" spans="1:21">
      <c r="A162" t="s">
        <v>12</v>
      </c>
      <c r="B162" s="68">
        <v>45550</v>
      </c>
      <c r="C162" s="82" t="s">
        <v>321</v>
      </c>
      <c r="D162" t="s">
        <v>41</v>
      </c>
      <c r="E162" t="s">
        <v>285</v>
      </c>
      <c r="F162" s="17">
        <v>1.3517999999999999</v>
      </c>
      <c r="G162" s="73">
        <v>-667</v>
      </c>
      <c r="H162" s="61">
        <f t="shared" si="44"/>
        <v>0</v>
      </c>
      <c r="I162" s="67">
        <f t="shared" si="45"/>
        <v>667</v>
      </c>
      <c r="J162" s="15">
        <f t="shared" si="46"/>
        <v>0</v>
      </c>
      <c r="K162" s="15">
        <f t="shared" si="47"/>
        <v>901.65059999999994</v>
      </c>
      <c r="L162">
        <f>SUMIF(Table228[[#All],[Asset]],Table228[[#This Row],[Asset]],Table228[[#All],[Bought number]])</f>
        <v>1115.7602999999999</v>
      </c>
      <c r="M162">
        <f>SUMIF(Table228[[#All],[Asset]],Table228[[#This Row],[Asset]],Table228[[#All],[Sold Number]])</f>
        <v>667</v>
      </c>
      <c r="N162" s="15">
        <f>SUMIF(Table228[[#All],[Asset]],Table228[[#This Row],[Asset]],Table228[[#All],[Bought amount]])</f>
        <v>1952.5805249999999</v>
      </c>
      <c r="O162" s="15">
        <f>SUMIF(Table228[[#All],[Asset]],Table228[[#This Row],[Asset]],Table228[[#All],[Sold amount]])</f>
        <v>901.65059999999994</v>
      </c>
      <c r="P162" s="75">
        <f>Table228[[#This Row],[Total bought Amount]]/Table228[[#This Row],[Total bought Number]]</f>
        <v>1.75</v>
      </c>
      <c r="Q162" s="75">
        <f>IFERROR(Table228[[#This Row],[Total Sold Amount]]/Table228[[#This Row],[Total Sold Number]],0)</f>
        <v>1.3517999999999999</v>
      </c>
      <c r="R162" s="21">
        <f>Table228[[#This Row],[Total bought Number]]-Table228[[#This Row],[Total Sold Number]]</f>
        <v>448.76029999999992</v>
      </c>
      <c r="S162" s="59">
        <f>(Table228[[#This Row],[Ave exit price]]-Table228[[#This Row],[Ave Entry price]])*Table228[[#This Row],[Total Sold Number]]</f>
        <v>-265.59940000000006</v>
      </c>
      <c r="T162" s="15">
        <f>(Table228[[#This Row],[Current Price]]-Table228[[#This Row],[Ave Entry price]])*Table228[[#This Row],[How many tokens now]]</f>
        <v>58.338838999999943</v>
      </c>
      <c r="U162" s="76">
        <f>VLOOKUP(Table228[[#This Row],[Asset]],Table26[#All],10,FALSE)</f>
        <v>1.88</v>
      </c>
    </row>
    <row r="163" spans="1:21">
      <c r="A163" t="s">
        <v>226</v>
      </c>
      <c r="B163" s="68">
        <v>45550</v>
      </c>
      <c r="C163" s="82" t="s">
        <v>176</v>
      </c>
      <c r="D163" t="s">
        <v>68</v>
      </c>
      <c r="E163" t="s">
        <v>189</v>
      </c>
      <c r="F163" s="17">
        <v>5.2400000000000002E-2</v>
      </c>
      <c r="G163" s="73">
        <v>-10225</v>
      </c>
      <c r="H163" s="61">
        <f t="shared" si="44"/>
        <v>0</v>
      </c>
      <c r="I163" s="67">
        <f t="shared" si="45"/>
        <v>10225</v>
      </c>
      <c r="J163" s="15">
        <f t="shared" si="46"/>
        <v>0</v>
      </c>
      <c r="K163" s="15">
        <f t="shared" si="47"/>
        <v>535.79000000000008</v>
      </c>
      <c r="L163">
        <f>SUMIF(Table228[[#All],[Asset]],Table228[[#This Row],[Asset]],Table228[[#All],[Bought number]])</f>
        <v>323932.72954500001</v>
      </c>
      <c r="M163">
        <f>SUMIF(Table228[[#All],[Asset]],Table228[[#This Row],[Asset]],Table228[[#All],[Sold Number]])</f>
        <v>323932.73009199998</v>
      </c>
      <c r="N163" s="15">
        <f>SUMIF(Table228[[#All],[Asset]],Table228[[#This Row],[Asset]],Table228[[#All],[Bought amount]])</f>
        <v>15730.280778400003</v>
      </c>
      <c r="O163" s="15">
        <f>SUMIF(Table228[[#All],[Asset]],Table228[[#This Row],[Asset]],Table228[[#All],[Sold amount]])</f>
        <v>14916.766213074001</v>
      </c>
      <c r="P163" s="75">
        <f>Table228[[#This Row],[Total bought Amount]]/Table228[[#This Row],[Total bought Number]]</f>
        <v>4.8560331648163348E-2</v>
      </c>
      <c r="Q163" s="75">
        <f>IFERROR(Table228[[#This Row],[Total Sold Amount]]/Table228[[#This Row],[Total Sold Number]],0)</f>
        <v>4.6048962723950426E-2</v>
      </c>
      <c r="R163" s="21">
        <f>Table228[[#This Row],[Total bought Number]]-Table228[[#This Row],[Total Sold Number]]</f>
        <v>-5.4699997417628765E-4</v>
      </c>
      <c r="S163" s="59">
        <f>(Table228[[#This Row],[Ave exit price]]-Table228[[#This Row],[Ave Entry price]])*Table228[[#This Row],[Total Sold Number]]</f>
        <v>-813.5145918885006</v>
      </c>
      <c r="T163" s="15">
        <f>(Table228[[#This Row],[Current Price]]-Table228[[#This Row],[Ave Entry price]])*Table228[[#This Row],[How many tokens now]]</f>
        <v>-2.3737984763883032E-6</v>
      </c>
      <c r="U163" s="76">
        <f>VLOOKUP(Table228[[#This Row],[Asset]],Table26[#All],10,FALSE)</f>
        <v>5.2900000000000003E-2</v>
      </c>
    </row>
    <row r="164" spans="1:21">
      <c r="A164" t="s">
        <v>439</v>
      </c>
      <c r="B164" s="68">
        <v>45413</v>
      </c>
      <c r="C164" s="82" t="s">
        <v>176</v>
      </c>
      <c r="D164" t="s">
        <v>440</v>
      </c>
      <c r="E164" t="s">
        <v>441</v>
      </c>
      <c r="F164" s="17">
        <v>700</v>
      </c>
      <c r="G164" s="73">
        <v>2</v>
      </c>
      <c r="H164" s="61">
        <f t="shared" si="44"/>
        <v>2</v>
      </c>
      <c r="I164" s="67">
        <f t="shared" si="45"/>
        <v>0</v>
      </c>
      <c r="J164" s="15">
        <f t="shared" si="46"/>
        <v>1400</v>
      </c>
      <c r="K164" s="15">
        <f t="shared" si="47"/>
        <v>0</v>
      </c>
      <c r="L164">
        <f>SUMIF(Table228[[#All],[Asset]],Table228[[#This Row],[Asset]],Table228[[#All],[Bought number]])</f>
        <v>2</v>
      </c>
      <c r="M164">
        <f>SUMIF(Table228[[#All],[Asset]],Table228[[#This Row],[Asset]],Table228[[#All],[Sold Number]])</f>
        <v>0</v>
      </c>
      <c r="N164" s="15">
        <f>SUMIF(Table228[[#All],[Asset]],Table228[[#This Row],[Asset]],Table228[[#All],[Bought amount]])</f>
        <v>1400</v>
      </c>
      <c r="O164" s="15">
        <f>SUMIF(Table228[[#All],[Asset]],Table228[[#This Row],[Asset]],Table228[[#All],[Sold amount]])</f>
        <v>0</v>
      </c>
      <c r="P164" s="75">
        <f>Table228[[#This Row],[Total bought Amount]]/Table228[[#This Row],[Total bought Number]]</f>
        <v>700</v>
      </c>
      <c r="Q164" s="75">
        <f>IFERROR(Table228[[#This Row],[Total Sold Amount]]/Table228[[#This Row],[Total Sold Number]],0)</f>
        <v>0</v>
      </c>
      <c r="R164" s="21">
        <f>Table228[[#This Row],[Total bought Number]]-Table228[[#This Row],[Total Sold Number]]</f>
        <v>2</v>
      </c>
      <c r="S164" s="59">
        <f>(Table228[[#This Row],[Ave exit price]]-Table228[[#This Row],[Ave Entry price]])*Table228[[#This Row],[Total Sold Number]]</f>
        <v>0</v>
      </c>
      <c r="T164" s="15">
        <f>(Table228[[#This Row],[Current Price]]-Table228[[#This Row],[Ave Entry price]])*Table228[[#This Row],[How many tokens now]]</f>
        <v>-888</v>
      </c>
      <c r="U164" s="76">
        <f>VLOOKUP(Table228[[#This Row],[Asset]],Table26[#All],10,FALSE)</f>
        <v>256</v>
      </c>
    </row>
    <row r="165" spans="1:21">
      <c r="A165" t="s">
        <v>62</v>
      </c>
      <c r="B165" s="68">
        <v>45200</v>
      </c>
      <c r="C165" s="82" t="s">
        <v>180</v>
      </c>
      <c r="D165" t="s">
        <v>62</v>
      </c>
      <c r="E165" t="s">
        <v>285</v>
      </c>
      <c r="F165" s="17">
        <v>6.8</v>
      </c>
      <c r="G165" s="73">
        <v>133</v>
      </c>
      <c r="H165" s="61">
        <f t="shared" si="44"/>
        <v>133</v>
      </c>
      <c r="I165" s="67">
        <f t="shared" si="45"/>
        <v>0</v>
      </c>
      <c r="J165" s="15">
        <f t="shared" si="46"/>
        <v>904.4</v>
      </c>
      <c r="K165" s="15">
        <f t="shared" si="47"/>
        <v>0</v>
      </c>
      <c r="L165">
        <f>SUMIF(Table228[[#All],[Asset]],Table228[[#This Row],[Asset]],Table228[[#All],[Bought number]])</f>
        <v>133</v>
      </c>
      <c r="M165">
        <f>SUMIF(Table228[[#All],[Asset]],Table228[[#This Row],[Asset]],Table228[[#All],[Sold Number]])</f>
        <v>0</v>
      </c>
      <c r="N165" s="15">
        <f>SUMIF(Table228[[#All],[Asset]],Table228[[#This Row],[Asset]],Table228[[#All],[Bought amount]])</f>
        <v>904.4</v>
      </c>
      <c r="O165" s="15">
        <f>SUMIF(Table228[[#All],[Asset]],Table228[[#This Row],[Asset]],Table228[[#All],[Sold amount]])</f>
        <v>0</v>
      </c>
      <c r="P165" s="75">
        <f>Table228[[#This Row],[Total bought Amount]]/Table228[[#This Row],[Total bought Number]]</f>
        <v>6.8</v>
      </c>
      <c r="Q165" s="75">
        <f>IFERROR(Table228[[#This Row],[Total Sold Amount]]/Table228[[#This Row],[Total Sold Number]],0)</f>
        <v>0</v>
      </c>
      <c r="R165" s="21">
        <f>Table228[[#This Row],[Total bought Number]]-Table228[[#This Row],[Total Sold Number]]</f>
        <v>133</v>
      </c>
      <c r="S165" s="59">
        <f>(Table228[[#This Row],[Ave exit price]]-Table228[[#This Row],[Ave Entry price]])*Table228[[#This Row],[Total Sold Number]]</f>
        <v>0</v>
      </c>
      <c r="T165" s="15">
        <f>(Table228[[#This Row],[Current Price]]-Table228[[#This Row],[Ave Entry price]])*Table228[[#This Row],[How many tokens now]]</f>
        <v>-726.18</v>
      </c>
      <c r="U165" s="76">
        <f>VLOOKUP(Table228[[#This Row],[Asset]],Table26[#All],10,FALSE)</f>
        <v>1.34</v>
      </c>
    </row>
    <row r="166" spans="1:21">
      <c r="A166" t="s">
        <v>444</v>
      </c>
      <c r="B166" s="68">
        <v>45556</v>
      </c>
      <c r="C166" s="82" t="s">
        <v>180</v>
      </c>
      <c r="D166" t="s">
        <v>262</v>
      </c>
      <c r="E166" t="s">
        <v>263</v>
      </c>
      <c r="F166" s="17">
        <v>1250</v>
      </c>
      <c r="G166" s="73">
        <v>1</v>
      </c>
      <c r="H166" s="61">
        <f t="shared" ref="H166:H175" si="48">IF(G166&gt;0,G166,0)</f>
        <v>1</v>
      </c>
      <c r="I166" s="67">
        <f t="shared" ref="I166:I175" si="49">IF(G166&lt;0,ABS(G166),0)</f>
        <v>0</v>
      </c>
      <c r="J166" s="15">
        <f t="shared" ref="J166:J175" si="50">H166*F166</f>
        <v>1250</v>
      </c>
      <c r="K166" s="15">
        <f t="shared" ref="K166:K175" si="51">I166*F166</f>
        <v>0</v>
      </c>
      <c r="L166">
        <f>SUMIF(Table228[[#All],[Asset]],Table228[[#This Row],[Asset]],Table228[[#All],[Bought number]])</f>
        <v>1</v>
      </c>
      <c r="M166">
        <f>SUMIF(Table228[[#All],[Asset]],Table228[[#This Row],[Asset]],Table228[[#All],[Sold Number]])</f>
        <v>0</v>
      </c>
      <c r="N166" s="15">
        <f>SUMIF(Table228[[#All],[Asset]],Table228[[#This Row],[Asset]],Table228[[#All],[Bought amount]])</f>
        <v>1250</v>
      </c>
      <c r="O166" s="15">
        <f>SUMIF(Table228[[#All],[Asset]],Table228[[#This Row],[Asset]],Table228[[#All],[Sold amount]])</f>
        <v>0</v>
      </c>
      <c r="P166" s="75">
        <f>Table228[[#This Row],[Total bought Amount]]/Table228[[#This Row],[Total bought Number]]</f>
        <v>1250</v>
      </c>
      <c r="Q166" s="75">
        <f>IFERROR(Table228[[#This Row],[Total Sold Amount]]/Table228[[#This Row],[Total Sold Number]],0)</f>
        <v>0</v>
      </c>
      <c r="R166" s="21">
        <f>Table228[[#This Row],[Total bought Number]]-Table228[[#This Row],[Total Sold Number]]</f>
        <v>1</v>
      </c>
      <c r="S166" s="59">
        <f>(Table228[[#This Row],[Ave exit price]]-Table228[[#This Row],[Ave Entry price]])*Table228[[#This Row],[Total Sold Number]]</f>
        <v>0</v>
      </c>
      <c r="T166" s="15">
        <f>(Table228[[#This Row],[Current Price]]-Table228[[#This Row],[Ave Entry price]])*Table228[[#This Row],[How many tokens now]]</f>
        <v>0</v>
      </c>
      <c r="U166" s="76">
        <f>VLOOKUP(Table228[[#This Row],[Asset]],Table26[#All],10,FALSE)</f>
        <v>1250</v>
      </c>
    </row>
    <row r="167" spans="1:21">
      <c r="A167" t="s">
        <v>223</v>
      </c>
      <c r="B167" s="68">
        <v>45558</v>
      </c>
      <c r="C167" s="82" t="s">
        <v>176</v>
      </c>
      <c r="D167" t="s">
        <v>68</v>
      </c>
      <c r="E167" t="s">
        <v>270</v>
      </c>
      <c r="F167" s="17">
        <v>0.45</v>
      </c>
      <c r="G167" s="73">
        <v>-12289</v>
      </c>
      <c r="H167" s="61">
        <f t="shared" si="48"/>
        <v>0</v>
      </c>
      <c r="I167" s="67">
        <f t="shared" si="49"/>
        <v>12289</v>
      </c>
      <c r="J167" s="15">
        <f t="shared" si="50"/>
        <v>0</v>
      </c>
      <c r="K167" s="15">
        <f t="shared" si="51"/>
        <v>5530.05</v>
      </c>
      <c r="L167">
        <f>SUMIF(Table228[[#All],[Asset]],Table228[[#This Row],[Asset]],Table228[[#All],[Bought number]])</f>
        <v>70451.060641000004</v>
      </c>
      <c r="M167">
        <f>SUMIF(Table228[[#All],[Asset]],Table228[[#This Row],[Asset]],Table228[[#All],[Sold Number]])</f>
        <v>77094.547770000005</v>
      </c>
      <c r="N167" s="15">
        <f>SUMIF(Table228[[#All],[Asset]],Table228[[#This Row],[Asset]],Table228[[#All],[Bought amount]])</f>
        <v>20784.213577025603</v>
      </c>
      <c r="O167" s="15">
        <f>SUMIF(Table228[[#All],[Asset]],Table228[[#This Row],[Asset]],Table228[[#All],[Sold amount]])</f>
        <v>19239.062667060869</v>
      </c>
      <c r="P167" s="75">
        <f>Table228[[#This Row],[Total bought Amount]]/Table228[[#This Row],[Total bought Number]]</f>
        <v>0.29501633315268971</v>
      </c>
      <c r="Q167" s="75">
        <f>IFERROR(Table228[[#This Row],[Total Sold Amount]]/Table228[[#This Row],[Total Sold Number]],0)</f>
        <v>0.24955153410404224</v>
      </c>
      <c r="R167" s="21">
        <f>Table228[[#This Row],[Total bought Number]]-Table228[[#This Row],[Total Sold Number]]</f>
        <v>-6643.487129000001</v>
      </c>
      <c r="S167" s="59">
        <f>(Table228[[#This Row],[Ave exit price]]-Table228[[#This Row],[Ave Entry price]])*Table228[[#This Row],[Total Sold Number]]</f>
        <v>-3505.0881221094037</v>
      </c>
      <c r="T167" s="15">
        <f>(Table228[[#This Row],[Current Price]]-Table228[[#This Row],[Ave Entry price]])*Table228[[#This Row],[How many tokens now]]</f>
        <v>631.23978634467016</v>
      </c>
      <c r="U167" s="76">
        <f>VLOOKUP(Table228[[#This Row],[Asset]],Table26[#All],10,FALSE)</f>
        <v>0.2</v>
      </c>
    </row>
    <row r="168" spans="1:21">
      <c r="A168" t="s">
        <v>226</v>
      </c>
      <c r="B168" s="68">
        <v>45560</v>
      </c>
      <c r="C168" s="82" t="s">
        <v>176</v>
      </c>
      <c r="D168" t="s">
        <v>262</v>
      </c>
      <c r="E168" t="s">
        <v>263</v>
      </c>
      <c r="F168" s="17">
        <v>0.1187</v>
      </c>
      <c r="G168" s="73">
        <v>-40000</v>
      </c>
      <c r="H168" s="61">
        <f t="shared" si="48"/>
        <v>0</v>
      </c>
      <c r="I168" s="67">
        <f t="shared" si="49"/>
        <v>40000</v>
      </c>
      <c r="J168" s="15">
        <f t="shared" si="50"/>
        <v>0</v>
      </c>
      <c r="K168" s="15">
        <f t="shared" si="51"/>
        <v>4748</v>
      </c>
      <c r="L168">
        <f>SUMIF(Table228[[#All],[Asset]],Table228[[#This Row],[Asset]],Table228[[#All],[Bought number]])</f>
        <v>323932.72954500001</v>
      </c>
      <c r="M168">
        <f>SUMIF(Table228[[#All],[Asset]],Table228[[#This Row],[Asset]],Table228[[#All],[Sold Number]])</f>
        <v>323932.73009199998</v>
      </c>
      <c r="N168" s="15">
        <f>SUMIF(Table228[[#All],[Asset]],Table228[[#This Row],[Asset]],Table228[[#All],[Bought amount]])</f>
        <v>15730.280778400003</v>
      </c>
      <c r="O168" s="15">
        <f>SUMIF(Table228[[#All],[Asset]],Table228[[#This Row],[Asset]],Table228[[#All],[Sold amount]])</f>
        <v>14916.766213074001</v>
      </c>
      <c r="P168" s="75">
        <f>Table228[[#This Row],[Total bought Amount]]/Table228[[#This Row],[Total bought Number]]</f>
        <v>4.8560331648163348E-2</v>
      </c>
      <c r="Q168" s="75">
        <f>IFERROR(Table228[[#This Row],[Total Sold Amount]]/Table228[[#This Row],[Total Sold Number]],0)</f>
        <v>4.6048962723950426E-2</v>
      </c>
      <c r="R168" s="21">
        <f>Table228[[#This Row],[Total bought Number]]-Table228[[#This Row],[Total Sold Number]]</f>
        <v>-5.4699997417628765E-4</v>
      </c>
      <c r="S168" s="59">
        <f>(Table228[[#This Row],[Ave exit price]]-Table228[[#This Row],[Ave Entry price]])*Table228[[#This Row],[Total Sold Number]]</f>
        <v>-813.5145918885006</v>
      </c>
      <c r="T168" s="15">
        <f>(Table228[[#This Row],[Current Price]]-Table228[[#This Row],[Ave Entry price]])*Table228[[#This Row],[How many tokens now]]</f>
        <v>-2.3737984763883032E-6</v>
      </c>
      <c r="U168" s="76">
        <f>VLOOKUP(Table228[[#This Row],[Asset]],Table26[#All],10,FALSE)</f>
        <v>5.2900000000000003E-2</v>
      </c>
    </row>
    <row r="169" spans="1:21">
      <c r="A169" t="s">
        <v>4</v>
      </c>
      <c r="B169" s="68">
        <v>45565</v>
      </c>
      <c r="C169" s="82" t="s">
        <v>180</v>
      </c>
      <c r="D169" t="s">
        <v>7</v>
      </c>
      <c r="E169" t="s">
        <v>19</v>
      </c>
      <c r="F169" s="17">
        <v>0.4</v>
      </c>
      <c r="G169" s="73">
        <v>-1553</v>
      </c>
      <c r="H169" s="61">
        <f t="shared" si="48"/>
        <v>0</v>
      </c>
      <c r="I169" s="67">
        <f t="shared" si="49"/>
        <v>1553</v>
      </c>
      <c r="J169" s="15">
        <f t="shared" si="50"/>
        <v>0</v>
      </c>
      <c r="K169" s="15">
        <f t="shared" si="51"/>
        <v>621.20000000000005</v>
      </c>
      <c r="L169">
        <f>SUMIF(Table228[[#All],[Asset]],Table228[[#This Row],[Asset]],Table228[[#All],[Bought number]])</f>
        <v>19084</v>
      </c>
      <c r="M169">
        <f>SUMIF(Table228[[#All],[Asset]],Table228[[#This Row],[Asset]],Table228[[#All],[Sold Number]])</f>
        <v>19084</v>
      </c>
      <c r="N169" s="15">
        <f>SUMIF(Table228[[#All],[Asset]],Table228[[#This Row],[Asset]],Table228[[#All],[Bought amount]])</f>
        <v>383610</v>
      </c>
      <c r="O169" s="15">
        <f>SUMIF(Table228[[#All],[Asset]],Table228[[#This Row],[Asset]],Table228[[#All],[Sold amount]])</f>
        <v>6151.47</v>
      </c>
      <c r="P169" s="75">
        <f>Table228[[#This Row],[Total bought Amount]]/Table228[[#This Row],[Total bought Number]]</f>
        <v>20.101131838189058</v>
      </c>
      <c r="Q169" s="75">
        <f>IFERROR(Table228[[#This Row],[Total Sold Amount]]/Table228[[#This Row],[Total Sold Number]],0)</f>
        <v>0.32233651226158039</v>
      </c>
      <c r="R169" s="21">
        <f>Table228[[#This Row],[Total bought Number]]-Table228[[#This Row],[Total Sold Number]]</f>
        <v>0</v>
      </c>
      <c r="S169" s="59">
        <f>(Table228[[#This Row],[Ave exit price]]-Table228[[#This Row],[Ave Entry price]])*Table228[[#This Row],[Total Sold Number]]</f>
        <v>-377458.53</v>
      </c>
      <c r="T169" s="15">
        <f>(Table228[[#This Row],[Current Price]]-Table228[[#This Row],[Ave Entry price]])*Table228[[#This Row],[How many tokens now]]</f>
        <v>0</v>
      </c>
      <c r="U169" s="76">
        <f>VLOOKUP(Table228[[#This Row],[Asset]],Table26[#All],10,FALSE)</f>
        <v>0.2223</v>
      </c>
    </row>
    <row r="170" spans="1:21">
      <c r="A170" t="s">
        <v>253</v>
      </c>
      <c r="B170" s="68">
        <v>45565</v>
      </c>
      <c r="C170" s="82" t="s">
        <v>180</v>
      </c>
      <c r="D170" t="s">
        <v>7</v>
      </c>
      <c r="E170" t="s">
        <v>334</v>
      </c>
      <c r="F170" s="17">
        <v>4.84</v>
      </c>
      <c r="G170" s="73">
        <v>-67.900000000000006</v>
      </c>
      <c r="H170" s="61">
        <f t="shared" si="48"/>
        <v>0</v>
      </c>
      <c r="I170" s="67">
        <f t="shared" si="49"/>
        <v>67.900000000000006</v>
      </c>
      <c r="J170" s="15">
        <f t="shared" si="50"/>
        <v>0</v>
      </c>
      <c r="K170" s="15">
        <f t="shared" si="51"/>
        <v>328.63600000000002</v>
      </c>
      <c r="L170">
        <f>SUMIF(Table228[[#All],[Asset]],Table228[[#This Row],[Asset]],Table228[[#All],[Bought number]])</f>
        <v>573.20479999999998</v>
      </c>
      <c r="M170">
        <f>SUMIF(Table228[[#All],[Asset]],Table228[[#This Row],[Asset]],Table228[[#All],[Sold Number]])</f>
        <v>573.20479999999998</v>
      </c>
      <c r="N170" s="15">
        <f>SUMIF(Table228[[#All],[Asset]],Table228[[#This Row],[Asset]],Table228[[#All],[Bought amount]])</f>
        <v>6305.2528000000002</v>
      </c>
      <c r="O170" s="15">
        <f>SUMIF(Table228[[#All],[Asset]],Table228[[#This Row],[Asset]],Table228[[#All],[Sold amount]])</f>
        <v>2752.7183133888002</v>
      </c>
      <c r="P170" s="75">
        <f>Table228[[#This Row],[Total bought Amount]]/Table228[[#This Row],[Total bought Number]]</f>
        <v>11</v>
      </c>
      <c r="Q170" s="75">
        <f>IFERROR(Table228[[#This Row],[Total Sold Amount]]/Table228[[#This Row],[Total Sold Number]],0)</f>
        <v>4.8023294874516056</v>
      </c>
      <c r="R170" s="21">
        <f>Table228[[#This Row],[Total bought Number]]-Table228[[#This Row],[Total Sold Number]]</f>
        <v>0</v>
      </c>
      <c r="S170" s="59">
        <f>(Table228[[#This Row],[Ave exit price]]-Table228[[#This Row],[Ave Entry price]])*Table228[[#This Row],[Total Sold Number]]</f>
        <v>-3552.5344866111996</v>
      </c>
      <c r="T170" s="15">
        <f>(Table228[[#This Row],[Current Price]]-Table228[[#This Row],[Ave Entry price]])*Table228[[#This Row],[How many tokens now]]</f>
        <v>0</v>
      </c>
      <c r="U170" s="76">
        <f>VLOOKUP(Table228[[#This Row],[Asset]],Table26[#All],10,FALSE)</f>
        <v>5.0629999999999997</v>
      </c>
    </row>
    <row r="171" spans="1:21">
      <c r="A171" t="s">
        <v>32</v>
      </c>
      <c r="B171" s="68">
        <v>45565</v>
      </c>
      <c r="C171" s="82" t="s">
        <v>180</v>
      </c>
      <c r="D171" t="s">
        <v>7</v>
      </c>
      <c r="E171" t="s">
        <v>334</v>
      </c>
      <c r="F171" s="17">
        <v>0.05</v>
      </c>
      <c r="G171" s="73">
        <v>-1750</v>
      </c>
      <c r="H171" s="61">
        <f t="shared" si="48"/>
        <v>0</v>
      </c>
      <c r="I171" s="67">
        <f t="shared" si="49"/>
        <v>1750</v>
      </c>
      <c r="J171" s="15">
        <f t="shared" si="50"/>
        <v>0</v>
      </c>
      <c r="K171" s="15">
        <f t="shared" si="51"/>
        <v>87.5</v>
      </c>
      <c r="L171">
        <f>SUMIF(Table228[[#All],[Asset]],Table228[[#This Row],[Asset]],Table228[[#All],[Bought number]])</f>
        <v>5396.5559999999996</v>
      </c>
      <c r="M171">
        <f>SUMIF(Table228[[#All],[Asset]],Table228[[#This Row],[Asset]],Table228[[#All],[Sold Number]])</f>
        <v>4960.05447</v>
      </c>
      <c r="N171" s="15">
        <f>SUMIF(Table228[[#All],[Asset]],Table228[[#This Row],[Asset]],Table228[[#All],[Bought amount]])</f>
        <v>2050.69128</v>
      </c>
      <c r="O171" s="15">
        <f>SUMIF(Table228[[#All],[Asset]],Table228[[#This Row],[Asset]],Table228[[#All],[Sold amount]])</f>
        <v>261.98893082579002</v>
      </c>
      <c r="P171" s="75">
        <f>Table228[[#This Row],[Total bought Amount]]/Table228[[#This Row],[Total bought Number]]</f>
        <v>0.38</v>
      </c>
      <c r="Q171" s="75">
        <f>IFERROR(Table228[[#This Row],[Total Sold Amount]]/Table228[[#This Row],[Total Sold Number]],0)</f>
        <v>5.2819768897777855E-2</v>
      </c>
      <c r="R171" s="21">
        <f>Table228[[#This Row],[Total bought Number]]-Table228[[#This Row],[Total Sold Number]]</f>
        <v>436.50152999999955</v>
      </c>
      <c r="S171" s="59">
        <f>(Table228[[#This Row],[Ave exit price]]-Table228[[#This Row],[Ave Entry price]])*Table228[[#This Row],[Total Sold Number]]</f>
        <v>-1622.83176777421</v>
      </c>
      <c r="T171" s="15">
        <f>(Table228[[#This Row],[Current Price]]-Table228[[#This Row],[Ave Entry price]])*Table228[[#This Row],[How many tokens now]]</f>
        <v>-141.12094464899988</v>
      </c>
      <c r="U171" s="76">
        <f>VLOOKUP(Table228[[#This Row],[Asset]],Table26[#All],10,FALSE)</f>
        <v>5.67E-2</v>
      </c>
    </row>
    <row r="172" spans="1:21">
      <c r="A172" t="s">
        <v>332</v>
      </c>
      <c r="B172" s="68">
        <v>45565</v>
      </c>
      <c r="C172" s="82" t="s">
        <v>180</v>
      </c>
      <c r="D172" t="s">
        <v>7</v>
      </c>
      <c r="E172" t="s">
        <v>334</v>
      </c>
      <c r="F172" s="17">
        <v>0.98786499999999999</v>
      </c>
      <c r="G172" s="73">
        <v>-101</v>
      </c>
      <c r="H172" s="61">
        <f t="shared" si="48"/>
        <v>0</v>
      </c>
      <c r="I172" s="67">
        <f t="shared" si="49"/>
        <v>101</v>
      </c>
      <c r="J172" s="15">
        <f t="shared" si="50"/>
        <v>0</v>
      </c>
      <c r="K172" s="53">
        <f t="shared" si="51"/>
        <v>99.774365000000003</v>
      </c>
      <c r="L172">
        <f>SUMIF(Table228[[#All],[Asset]],Table228[[#This Row],[Asset]],Table228[[#All],[Bought number]])</f>
        <v>26.96</v>
      </c>
      <c r="M172">
        <f>SUMIF(Table228[[#All],[Asset]],Table228[[#This Row],[Asset]],Table228[[#All],[Sold Number]])</f>
        <v>101</v>
      </c>
      <c r="N172" s="15">
        <f>SUMIF(Table228[[#All],[Asset]],Table228[[#This Row],[Asset]],Table228[[#All],[Bought amount]])</f>
        <v>80.88</v>
      </c>
      <c r="O172" s="15">
        <f>SUMIF(Table228[[#All],[Asset]],Table228[[#This Row],[Asset]],Table228[[#All],[Sold amount]])</f>
        <v>99.774365000000003</v>
      </c>
      <c r="P172" s="75">
        <f>Table228[[#This Row],[Total bought Amount]]/Table228[[#This Row],[Total bought Number]]</f>
        <v>2.9999999999999996</v>
      </c>
      <c r="Q172" s="75">
        <f>IFERROR(Table228[[#This Row],[Total Sold Amount]]/Table228[[#This Row],[Total Sold Number]],0)</f>
        <v>0.98786499999999999</v>
      </c>
      <c r="R172" s="21">
        <f>Table228[[#This Row],[Total bought Number]]-Table228[[#This Row],[Total Sold Number]]</f>
        <v>-74.039999999999992</v>
      </c>
      <c r="S172" s="59">
        <f>(Table228[[#This Row],[Ave exit price]]-Table228[[#This Row],[Ave Entry price]])*Table228[[#This Row],[Total Sold Number]]</f>
        <v>-203.22563499999998</v>
      </c>
      <c r="T172" s="15">
        <f>(Table228[[#This Row],[Current Price]]-Table228[[#This Row],[Ave Entry price]])*Table228[[#This Row],[How many tokens now]]</f>
        <v>156.96479999999997</v>
      </c>
      <c r="U172" s="76">
        <f>VLOOKUP(Table228[[#This Row],[Asset]],Table26[#All],10,FALSE)</f>
        <v>0.88</v>
      </c>
    </row>
    <row r="173" spans="1:21">
      <c r="A173" t="s">
        <v>253</v>
      </c>
      <c r="B173" s="68">
        <v>45566</v>
      </c>
      <c r="C173" s="82" t="s">
        <v>180</v>
      </c>
      <c r="D173" t="s">
        <v>7</v>
      </c>
      <c r="E173" t="s">
        <v>336</v>
      </c>
      <c r="F173" s="17">
        <v>4.8678999999999997</v>
      </c>
      <c r="G173" s="73">
        <v>-278.5</v>
      </c>
      <c r="H173" s="61">
        <f t="shared" si="48"/>
        <v>0</v>
      </c>
      <c r="I173" s="67">
        <f t="shared" si="49"/>
        <v>278.5</v>
      </c>
      <c r="J173" s="15">
        <f t="shared" si="50"/>
        <v>0</v>
      </c>
      <c r="K173" s="15">
        <f t="shared" si="51"/>
        <v>1355.7101499999999</v>
      </c>
      <c r="L173">
        <f>SUMIF(Table228[[#All],[Asset]],Table228[[#This Row],[Asset]],Table228[[#All],[Bought number]])</f>
        <v>573.20479999999998</v>
      </c>
      <c r="M173">
        <f>SUMIF(Table228[[#All],[Asset]],Table228[[#This Row],[Asset]],Table228[[#All],[Sold Number]])</f>
        <v>573.20479999999998</v>
      </c>
      <c r="N173" s="15">
        <f>SUMIF(Table228[[#All],[Asset]],Table228[[#This Row],[Asset]],Table228[[#All],[Bought amount]])</f>
        <v>6305.2528000000002</v>
      </c>
      <c r="O173" s="15">
        <f>SUMIF(Table228[[#All],[Asset]],Table228[[#This Row],[Asset]],Table228[[#All],[Sold amount]])</f>
        <v>2752.7183133888002</v>
      </c>
      <c r="P173" s="75">
        <f>Table228[[#This Row],[Total bought Amount]]/Table228[[#This Row],[Total bought Number]]</f>
        <v>11</v>
      </c>
      <c r="Q173" s="75">
        <f>IFERROR(Table228[[#This Row],[Total Sold Amount]]/Table228[[#This Row],[Total Sold Number]],0)</f>
        <v>4.8023294874516056</v>
      </c>
      <c r="R173" s="21">
        <f>Table228[[#This Row],[Total bought Number]]-Table228[[#This Row],[Total Sold Number]]</f>
        <v>0</v>
      </c>
      <c r="S173" s="59">
        <f>(Table228[[#This Row],[Ave exit price]]-Table228[[#This Row],[Ave Entry price]])*Table228[[#This Row],[Total Sold Number]]</f>
        <v>-3552.5344866111996</v>
      </c>
      <c r="T173" s="15">
        <f>(Table228[[#This Row],[Current Price]]-Table228[[#This Row],[Ave Entry price]])*Table228[[#This Row],[How many tokens now]]</f>
        <v>0</v>
      </c>
      <c r="U173" s="76">
        <f>VLOOKUP(Table228[[#This Row],[Asset]],Table26[#All],10,FALSE)</f>
        <v>5.0629999999999997</v>
      </c>
    </row>
    <row r="174" spans="1:21">
      <c r="A174" t="s">
        <v>335</v>
      </c>
      <c r="B174" s="68">
        <v>45566</v>
      </c>
      <c r="C174" s="82" t="s">
        <v>180</v>
      </c>
      <c r="D174" t="s">
        <v>7</v>
      </c>
      <c r="E174" t="s">
        <v>334</v>
      </c>
      <c r="F174" s="17">
        <v>264</v>
      </c>
      <c r="G174" s="73">
        <v>-1</v>
      </c>
      <c r="H174" s="61">
        <f t="shared" si="48"/>
        <v>0</v>
      </c>
      <c r="I174" s="67">
        <f t="shared" si="49"/>
        <v>1</v>
      </c>
      <c r="J174" s="15">
        <f t="shared" si="50"/>
        <v>0</v>
      </c>
      <c r="K174" s="53">
        <f t="shared" si="51"/>
        <v>264</v>
      </c>
      <c r="L174">
        <f>SUMIF(Table228[[#All],[Asset]],Table228[[#This Row],[Asset]],Table228[[#All],[Bought number]])</f>
        <v>1</v>
      </c>
      <c r="M174">
        <f>SUMIF(Table228[[#All],[Asset]],Table228[[#This Row],[Asset]],Table228[[#All],[Sold Number]])</f>
        <v>1</v>
      </c>
      <c r="N174" s="15">
        <f>SUMIF(Table228[[#All],[Asset]],Table228[[#This Row],[Asset]],Table228[[#All],[Bought amount]])</f>
        <v>400</v>
      </c>
      <c r="O174" s="15">
        <f>SUMIF(Table228[[#All],[Asset]],Table228[[#This Row],[Asset]],Table228[[#All],[Sold amount]])</f>
        <v>264</v>
      </c>
      <c r="P174" s="75">
        <f>Table228[[#This Row],[Total bought Amount]]/Table228[[#This Row],[Total bought Number]]</f>
        <v>400</v>
      </c>
      <c r="Q174" s="75">
        <f>IFERROR(Table228[[#This Row],[Total Sold Amount]]/Table228[[#This Row],[Total Sold Number]],0)</f>
        <v>264</v>
      </c>
      <c r="R174" s="21">
        <f>Table228[[#This Row],[Total bought Number]]-Table228[[#This Row],[Total Sold Number]]</f>
        <v>0</v>
      </c>
      <c r="S174" s="59">
        <f>(Table228[[#This Row],[Ave exit price]]-Table228[[#This Row],[Ave Entry price]])*Table228[[#This Row],[Total Sold Number]]</f>
        <v>-136</v>
      </c>
      <c r="T174" s="15">
        <f>(Table228[[#This Row],[Current Price]]-Table228[[#This Row],[Ave Entry price]])*Table228[[#This Row],[How many tokens now]]</f>
        <v>0</v>
      </c>
      <c r="U174" s="76">
        <f>VLOOKUP(Table228[[#This Row],[Asset]],Table26[#All],10,FALSE)</f>
        <v>206</v>
      </c>
    </row>
    <row r="175" spans="1:21">
      <c r="A175" t="s">
        <v>253</v>
      </c>
      <c r="B175" s="68">
        <v>45566</v>
      </c>
      <c r="C175" s="82" t="s">
        <v>180</v>
      </c>
      <c r="D175" t="s">
        <v>7</v>
      </c>
      <c r="E175" t="s">
        <v>211</v>
      </c>
      <c r="F175" s="17">
        <v>4.8497000000000003</v>
      </c>
      <c r="G175" s="73">
        <v>-2.5</v>
      </c>
      <c r="H175" s="61">
        <f t="shared" si="48"/>
        <v>0</v>
      </c>
      <c r="I175" s="67">
        <f t="shared" si="49"/>
        <v>2.5</v>
      </c>
      <c r="J175" s="15">
        <f t="shared" si="50"/>
        <v>0</v>
      </c>
      <c r="K175" s="15">
        <f t="shared" si="51"/>
        <v>12.12425</v>
      </c>
      <c r="L175">
        <f>SUMIF(Table228[[#All],[Asset]],Table228[[#This Row],[Asset]],Table228[[#All],[Bought number]])</f>
        <v>573.20479999999998</v>
      </c>
      <c r="M175">
        <f>SUMIF(Table228[[#All],[Asset]],Table228[[#This Row],[Asset]],Table228[[#All],[Sold Number]])</f>
        <v>573.20479999999998</v>
      </c>
      <c r="N175" s="15">
        <f>SUMIF(Table228[[#All],[Asset]],Table228[[#This Row],[Asset]],Table228[[#All],[Bought amount]])</f>
        <v>6305.2528000000002</v>
      </c>
      <c r="O175" s="15">
        <f>SUMIF(Table228[[#All],[Asset]],Table228[[#This Row],[Asset]],Table228[[#All],[Sold amount]])</f>
        <v>2752.7183133888002</v>
      </c>
      <c r="P175" s="75">
        <f>Table228[[#This Row],[Total bought Amount]]/Table228[[#This Row],[Total bought Number]]</f>
        <v>11</v>
      </c>
      <c r="Q175" s="75">
        <f>IFERROR(Table228[[#This Row],[Total Sold Amount]]/Table228[[#This Row],[Total Sold Number]],0)</f>
        <v>4.8023294874516056</v>
      </c>
      <c r="R175" s="21">
        <f>Table228[[#This Row],[Total bought Number]]-Table228[[#This Row],[Total Sold Number]]</f>
        <v>0</v>
      </c>
      <c r="S175" s="59">
        <f>(Table228[[#This Row],[Ave exit price]]-Table228[[#This Row],[Ave Entry price]])*Table228[[#This Row],[Total Sold Number]]</f>
        <v>-3552.5344866111996</v>
      </c>
      <c r="T175" s="15">
        <f>(Table228[[#This Row],[Current Price]]-Table228[[#This Row],[Ave Entry price]])*Table228[[#This Row],[How many tokens now]]</f>
        <v>0</v>
      </c>
      <c r="U175" s="76">
        <f>VLOOKUP(Table228[[#This Row],[Asset]],Table26[#All],10,FALSE)</f>
        <v>5.0629999999999997</v>
      </c>
    </row>
    <row r="176" spans="1:21">
      <c r="A176" t="s">
        <v>212</v>
      </c>
      <c r="B176" s="68">
        <v>45568</v>
      </c>
      <c r="C176" s="82" t="s">
        <v>180</v>
      </c>
      <c r="D176" t="s">
        <v>34</v>
      </c>
      <c r="E176" t="s">
        <v>211</v>
      </c>
      <c r="F176" s="17">
        <v>1800</v>
      </c>
      <c r="G176" s="73">
        <v>-1</v>
      </c>
      <c r="H176" s="61">
        <f t="shared" ref="H176:H181" si="52">IF(G176&gt;0,G176,0)</f>
        <v>0</v>
      </c>
      <c r="I176" s="67">
        <f t="shared" ref="I176:I181" si="53">IF(G176&lt;0,ABS(G176),0)</f>
        <v>1</v>
      </c>
      <c r="J176" s="15">
        <f t="shared" ref="J176:J181" si="54">H176*F176</f>
        <v>0</v>
      </c>
      <c r="K176" s="15">
        <f t="shared" ref="K176:K181" si="55">I176*F176</f>
        <v>1800</v>
      </c>
      <c r="L176">
        <f>SUMIF(Table228[[#All],[Asset]],Table228[[#This Row],[Asset]],Table228[[#All],[Bought number]])</f>
        <v>2</v>
      </c>
      <c r="M176">
        <f>SUMIF(Table228[[#All],[Asset]],Table228[[#This Row],[Asset]],Table228[[#All],[Sold Number]])</f>
        <v>2</v>
      </c>
      <c r="N176" s="15">
        <f>SUMIF(Table228[[#All],[Asset]],Table228[[#This Row],[Asset]],Table228[[#All],[Bought amount]])</f>
        <v>4244</v>
      </c>
      <c r="O176" s="15">
        <f>SUMIF(Table228[[#All],[Asset]],Table228[[#This Row],[Asset]],Table228[[#All],[Sold amount]])</f>
        <v>4720</v>
      </c>
      <c r="P176" s="75">
        <f>Table228[[#This Row],[Total bought Amount]]/Table228[[#This Row],[Total bought Number]]</f>
        <v>2122</v>
      </c>
      <c r="Q176" s="75">
        <f>IFERROR(Table228[[#This Row],[Total Sold Amount]]/Table228[[#This Row],[Total Sold Number]],0)</f>
        <v>2360</v>
      </c>
      <c r="R176" s="21">
        <f>Table228[[#This Row],[Total bought Number]]-Table228[[#This Row],[Total Sold Number]]</f>
        <v>0</v>
      </c>
      <c r="S176" s="59">
        <f>(Table228[[#This Row],[Ave exit price]]-Table228[[#This Row],[Ave Entry price]])*Table228[[#This Row],[Total Sold Number]]</f>
        <v>476</v>
      </c>
      <c r="T176" s="15">
        <f>(Table228[[#This Row],[Current Price]]-Table228[[#This Row],[Ave Entry price]])*Table228[[#This Row],[How many tokens now]]</f>
        <v>0</v>
      </c>
      <c r="U176" s="76">
        <f>VLOOKUP(Table228[[#This Row],[Asset]],Table26[#All],10,FALSE)</f>
        <v>3500</v>
      </c>
    </row>
    <row r="177" spans="1:21">
      <c r="A177" t="s">
        <v>193</v>
      </c>
      <c r="B177" s="68">
        <v>45571</v>
      </c>
      <c r="C177" s="82" t="s">
        <v>180</v>
      </c>
      <c r="D177" t="s">
        <v>76</v>
      </c>
      <c r="E177" t="s">
        <v>189</v>
      </c>
      <c r="F177" s="17">
        <v>9770</v>
      </c>
      <c r="G177" s="73">
        <v>-1</v>
      </c>
      <c r="H177" s="61">
        <f t="shared" si="52"/>
        <v>0</v>
      </c>
      <c r="I177" s="67">
        <f t="shared" si="53"/>
        <v>1</v>
      </c>
      <c r="J177" s="15">
        <f t="shared" si="54"/>
        <v>0</v>
      </c>
      <c r="K177" s="15">
        <f t="shared" si="55"/>
        <v>9770</v>
      </c>
      <c r="L177">
        <f>SUMIF(Table228[[#All],[Asset]],Table228[[#This Row],[Asset]],Table228[[#All],[Bought number]])</f>
        <v>2</v>
      </c>
      <c r="M177">
        <f>SUMIF(Table228[[#All],[Asset]],Table228[[#This Row],[Asset]],Table228[[#All],[Sold Number]])</f>
        <v>1.5</v>
      </c>
      <c r="N177" s="15">
        <f>SUMIF(Table228[[#All],[Asset]],Table228[[#This Row],[Asset]],Table228[[#All],[Bought amount]])</f>
        <v>9600</v>
      </c>
      <c r="O177" s="15">
        <f>SUMIF(Table228[[#All],[Asset]],Table228[[#This Row],[Asset]],Table228[[#All],[Sold amount]])</f>
        <v>11750</v>
      </c>
      <c r="P177" s="75">
        <f>Table228[[#This Row],[Total bought Amount]]/Table228[[#This Row],[Total bought Number]]</f>
        <v>4800</v>
      </c>
      <c r="Q177" s="75">
        <f>IFERROR(Table228[[#This Row],[Total Sold Amount]]/Table228[[#This Row],[Total Sold Number]],0)</f>
        <v>7833.333333333333</v>
      </c>
      <c r="R177" s="21">
        <f>Table228[[#This Row],[Total bought Number]]-Table228[[#This Row],[Total Sold Number]]</f>
        <v>0.5</v>
      </c>
      <c r="S177" s="59">
        <f>(Table228[[#This Row],[Ave exit price]]-Table228[[#This Row],[Ave Entry price]])*Table228[[#This Row],[Total Sold Number]]</f>
        <v>4550</v>
      </c>
      <c r="T177" s="15">
        <f>(Table228[[#This Row],[Current Price]]-Table228[[#This Row],[Ave Entry price]])*Table228[[#This Row],[How many tokens now]]</f>
        <v>-210</v>
      </c>
      <c r="U177" s="76">
        <f>VLOOKUP(Table228[[#This Row],[Asset]],Table26[#All],10,FALSE)</f>
        <v>4380</v>
      </c>
    </row>
    <row r="178" spans="1:21">
      <c r="A178" t="s">
        <v>193</v>
      </c>
      <c r="B178" s="68">
        <v>45571</v>
      </c>
      <c r="C178" s="82" t="s">
        <v>180</v>
      </c>
      <c r="D178" t="s">
        <v>76</v>
      </c>
      <c r="E178" t="s">
        <v>189</v>
      </c>
      <c r="F178" s="17">
        <v>4920</v>
      </c>
      <c r="G178" s="73">
        <v>1</v>
      </c>
      <c r="H178" s="61">
        <f t="shared" si="52"/>
        <v>1</v>
      </c>
      <c r="I178" s="67">
        <f t="shared" si="53"/>
        <v>0</v>
      </c>
      <c r="J178" s="15">
        <f t="shared" si="54"/>
        <v>4920</v>
      </c>
      <c r="K178" s="15">
        <f t="shared" si="55"/>
        <v>0</v>
      </c>
      <c r="L178">
        <f>SUMIF(Table228[[#All],[Asset]],Table228[[#This Row],[Asset]],Table228[[#All],[Bought number]])</f>
        <v>2</v>
      </c>
      <c r="M178">
        <f>SUMIF(Table228[[#All],[Asset]],Table228[[#This Row],[Asset]],Table228[[#All],[Sold Number]])</f>
        <v>1.5</v>
      </c>
      <c r="N178" s="15">
        <f>SUMIF(Table228[[#All],[Asset]],Table228[[#This Row],[Asset]],Table228[[#All],[Bought amount]])</f>
        <v>9600</v>
      </c>
      <c r="O178" s="15">
        <f>SUMIF(Table228[[#All],[Asset]],Table228[[#This Row],[Asset]],Table228[[#All],[Sold amount]])</f>
        <v>11750</v>
      </c>
      <c r="P178" s="75">
        <f>Table228[[#This Row],[Total bought Amount]]/Table228[[#This Row],[Total bought Number]]</f>
        <v>4800</v>
      </c>
      <c r="Q178" s="75">
        <f>IFERROR(Table228[[#This Row],[Total Sold Amount]]/Table228[[#This Row],[Total Sold Number]],0)</f>
        <v>7833.333333333333</v>
      </c>
      <c r="R178" s="21">
        <f>Table228[[#This Row],[Total bought Number]]-Table228[[#This Row],[Total Sold Number]]</f>
        <v>0.5</v>
      </c>
      <c r="S178" s="59">
        <f>(Table228[[#This Row],[Ave exit price]]-Table228[[#This Row],[Ave Entry price]])*Table228[[#This Row],[Total Sold Number]]</f>
        <v>4550</v>
      </c>
      <c r="T178" s="15">
        <f>(Table228[[#This Row],[Current Price]]-Table228[[#This Row],[Ave Entry price]])*Table228[[#This Row],[How many tokens now]]</f>
        <v>-210</v>
      </c>
      <c r="U178" s="76">
        <f>VLOOKUP(Table228[[#This Row],[Asset]],Table26[#All],10,FALSE)</f>
        <v>4380</v>
      </c>
    </row>
    <row r="179" spans="1:21">
      <c r="A179" t="s">
        <v>458</v>
      </c>
      <c r="B179" s="68">
        <v>45571</v>
      </c>
      <c r="C179" s="82" t="s">
        <v>180</v>
      </c>
      <c r="D179" t="s">
        <v>76</v>
      </c>
      <c r="E179" t="s">
        <v>189</v>
      </c>
      <c r="F179" s="17">
        <v>4920</v>
      </c>
      <c r="G179" s="73">
        <v>1</v>
      </c>
      <c r="H179" s="61">
        <f t="shared" si="52"/>
        <v>1</v>
      </c>
      <c r="I179" s="67">
        <f t="shared" si="53"/>
        <v>0</v>
      </c>
      <c r="J179" s="15">
        <f t="shared" si="54"/>
        <v>4920</v>
      </c>
      <c r="K179" s="15">
        <f t="shared" si="55"/>
        <v>0</v>
      </c>
      <c r="L179">
        <f>SUMIF(Table228[[#All],[Asset]],Table228[[#This Row],[Asset]],Table228[[#All],[Bought number]])</f>
        <v>1</v>
      </c>
      <c r="M179">
        <f>SUMIF(Table228[[#All],[Asset]],Table228[[#This Row],[Asset]],Table228[[#All],[Sold Number]])</f>
        <v>0</v>
      </c>
      <c r="N179" s="15">
        <f>SUMIF(Table228[[#All],[Asset]],Table228[[#This Row],[Asset]],Table228[[#All],[Bought amount]])</f>
        <v>4920</v>
      </c>
      <c r="O179" s="15">
        <f>SUMIF(Table228[[#All],[Asset]],Table228[[#This Row],[Asset]],Table228[[#All],[Sold amount]])</f>
        <v>0</v>
      </c>
      <c r="P179" s="75">
        <f>Table228[[#This Row],[Total bought Amount]]/Table228[[#This Row],[Total bought Number]]</f>
        <v>4920</v>
      </c>
      <c r="Q179" s="75">
        <f>IFERROR(Table228[[#This Row],[Total Sold Amount]]/Table228[[#This Row],[Total Sold Number]],0)</f>
        <v>0</v>
      </c>
      <c r="R179" s="21">
        <f>Table228[[#This Row],[Total bought Number]]-Table228[[#This Row],[Total Sold Number]]</f>
        <v>1</v>
      </c>
      <c r="S179" s="59">
        <f>(Table228[[#This Row],[Ave exit price]]-Table228[[#This Row],[Ave Entry price]])*Table228[[#This Row],[Total Sold Number]]</f>
        <v>0</v>
      </c>
      <c r="T179" s="15">
        <f>(Table228[[#This Row],[Current Price]]-Table228[[#This Row],[Ave Entry price]])*Table228[[#This Row],[How many tokens now]]</f>
        <v>-630</v>
      </c>
      <c r="U179" s="76">
        <f>VLOOKUP(Table228[[#This Row],[Asset]],Table26[#All],10,FALSE)</f>
        <v>4290</v>
      </c>
    </row>
    <row r="180" spans="1:21">
      <c r="A180" t="s">
        <v>73</v>
      </c>
      <c r="B180" s="68">
        <v>45574</v>
      </c>
      <c r="C180" s="82" t="s">
        <v>180</v>
      </c>
      <c r="D180" t="s">
        <v>7</v>
      </c>
      <c r="E180" t="s">
        <v>331</v>
      </c>
      <c r="F180" s="17">
        <v>0.58350000000000002</v>
      </c>
      <c r="G180" s="73">
        <v>-932.19749999999999</v>
      </c>
      <c r="H180" s="61">
        <f t="shared" si="52"/>
        <v>0</v>
      </c>
      <c r="I180" s="67">
        <f t="shared" si="53"/>
        <v>932.19749999999999</v>
      </c>
      <c r="J180" s="15">
        <f t="shared" si="54"/>
        <v>0</v>
      </c>
      <c r="K180" s="15">
        <f t="shared" si="55"/>
        <v>543.93724125000006</v>
      </c>
      <c r="L180">
        <f>SUMIF(Table228[[#All],[Asset]],Table228[[#This Row],[Asset]],Table228[[#All],[Bought number]])</f>
        <v>932.19749999999999</v>
      </c>
      <c r="M180">
        <f>SUMIF(Table228[[#All],[Asset]],Table228[[#This Row],[Asset]],Table228[[#All],[Sold Number]])</f>
        <v>932.19749999999999</v>
      </c>
      <c r="N180" s="15">
        <f>SUMIF(Table228[[#All],[Asset]],Table228[[#This Row],[Asset]],Table228[[#All],[Bought amount]])</f>
        <v>932.19749999999999</v>
      </c>
      <c r="O180" s="15">
        <f>SUMIF(Table228[[#All],[Asset]],Table228[[#This Row],[Asset]],Table228[[#All],[Sold amount]])</f>
        <v>543.93724125000006</v>
      </c>
      <c r="P180" s="75">
        <f>Table228[[#This Row],[Total bought Amount]]/Table228[[#This Row],[Total bought Number]]</f>
        <v>1</v>
      </c>
      <c r="Q180" s="75">
        <f>IFERROR(Table228[[#This Row],[Total Sold Amount]]/Table228[[#This Row],[Total Sold Number]],0)</f>
        <v>0.58350000000000002</v>
      </c>
      <c r="R180" s="21">
        <f>Table228[[#This Row],[Total bought Number]]-Table228[[#This Row],[Total Sold Number]]</f>
        <v>0</v>
      </c>
      <c r="S180" s="59">
        <f>(Table228[[#This Row],[Ave exit price]]-Table228[[#This Row],[Ave Entry price]])*Table228[[#This Row],[Total Sold Number]]</f>
        <v>-388.26025874999999</v>
      </c>
      <c r="T180" s="15">
        <f>(Table228[[#This Row],[Current Price]]-Table228[[#This Row],[Ave Entry price]])*Table228[[#This Row],[How many tokens now]]</f>
        <v>0</v>
      </c>
      <c r="U180" s="76">
        <f>VLOOKUP(Table228[[#This Row],[Asset]],Table26[#All],10,FALSE)</f>
        <v>0.49390000000000001</v>
      </c>
    </row>
    <row r="181" spans="1:21">
      <c r="A181" t="s">
        <v>346</v>
      </c>
      <c r="B181" s="68">
        <v>45574</v>
      </c>
      <c r="C181" s="82" t="s">
        <v>176</v>
      </c>
      <c r="D181" t="s">
        <v>459</v>
      </c>
      <c r="E181" t="s">
        <v>285</v>
      </c>
      <c r="F181" s="17">
        <v>0.53400000000000003</v>
      </c>
      <c r="G181" s="73">
        <v>2661</v>
      </c>
      <c r="H181" s="61">
        <f t="shared" si="52"/>
        <v>2661</v>
      </c>
      <c r="I181" s="67">
        <f t="shared" si="53"/>
        <v>0</v>
      </c>
      <c r="J181" s="15">
        <f t="shared" si="54"/>
        <v>1420.9740000000002</v>
      </c>
      <c r="K181" s="15">
        <f t="shared" si="55"/>
        <v>0</v>
      </c>
      <c r="L181">
        <f>SUMIF(Table228[[#All],[Asset]],Table228[[#This Row],[Asset]],Table228[[#All],[Bought number]])</f>
        <v>240949.690848</v>
      </c>
      <c r="M181">
        <f>SUMIF(Table228[[#All],[Asset]],Table228[[#This Row],[Asset]],Table228[[#All],[Sold Number]])</f>
        <v>240949.69084800003</v>
      </c>
      <c r="N181" s="15">
        <f>SUMIF(Table228[[#All],[Asset]],Table228[[#This Row],[Asset]],Table228[[#All],[Bought amount]])</f>
        <v>149665.32189729257</v>
      </c>
      <c r="O181" s="15">
        <f>SUMIF(Table228[[#All],[Asset]],Table228[[#This Row],[Asset]],Table228[[#All],[Sold amount]])</f>
        <v>159408.02010878469</v>
      </c>
      <c r="P181" s="75">
        <f>Table228[[#This Row],[Total bought Amount]]/Table228[[#This Row],[Total bought Number]]</f>
        <v>0.62114759878113723</v>
      </c>
      <c r="Q181" s="75">
        <f>IFERROR(Table228[[#This Row],[Total Sold Amount]]/Table228[[#This Row],[Total Sold Number]],0)</f>
        <v>0.66158217322364266</v>
      </c>
      <c r="R181" s="21">
        <f>Table228[[#This Row],[Total bought Number]]-Table228[[#This Row],[Total Sold Number]]</f>
        <v>0</v>
      </c>
      <c r="S181" s="59">
        <f>(Table228[[#This Row],[Ave exit price]]-Table228[[#This Row],[Ave Entry price]])*Table228[[#This Row],[Total Sold Number]]</f>
        <v>9742.6982114921248</v>
      </c>
      <c r="T181" s="15">
        <f>(Table228[[#This Row],[Current Price]]-Table228[[#This Row],[Ave Entry price]])*Table228[[#This Row],[How many tokens now]]</f>
        <v>0</v>
      </c>
      <c r="U181" s="76">
        <f>VLOOKUP(Table228[[#This Row],[Asset]],Table26[#All],10,FALSE)</f>
        <v>0.99</v>
      </c>
    </row>
    <row r="182" spans="1:21">
      <c r="A182" t="s">
        <v>249</v>
      </c>
      <c r="B182" s="68">
        <v>45579</v>
      </c>
      <c r="C182" s="82" t="s">
        <v>176</v>
      </c>
      <c r="D182" t="s">
        <v>463</v>
      </c>
      <c r="E182" t="s">
        <v>285</v>
      </c>
      <c r="F182" s="17">
        <v>0.189</v>
      </c>
      <c r="G182" s="73">
        <v>-12514.3696</v>
      </c>
      <c r="H182" s="61">
        <f t="shared" ref="H182:H187" si="56">IF(G182&gt;0,G182,0)</f>
        <v>0</v>
      </c>
      <c r="I182" s="67">
        <f t="shared" ref="I182:I187" si="57">IF(G182&lt;0,ABS(G182),0)</f>
        <v>12514.3696</v>
      </c>
      <c r="J182" s="15">
        <f t="shared" ref="J182:J187" si="58">H182*F182</f>
        <v>0</v>
      </c>
      <c r="K182" s="53">
        <f t="shared" ref="K182:K187" si="59">I182*F182</f>
        <v>2365.2158543999999</v>
      </c>
      <c r="L182">
        <f>SUMIF(Table228[[#All],[Asset]],Table228[[#This Row],[Asset]],Table228[[#All],[Bought number]])</f>
        <v>12514.3696</v>
      </c>
      <c r="M182">
        <f>SUMIF(Table228[[#All],[Asset]],Table228[[#This Row],[Asset]],Table228[[#All],[Sold Number]])</f>
        <v>12514.3696</v>
      </c>
      <c r="N182" s="15">
        <f>SUMIF(Table228[[#All],[Asset]],Table228[[#This Row],[Asset]],Table228[[#All],[Bought amount]])</f>
        <v>3683.2522800000002</v>
      </c>
      <c r="O182" s="15">
        <f>SUMIF(Table228[[#All],[Asset]],Table228[[#This Row],[Asset]],Table228[[#All],[Sold amount]])</f>
        <v>2365.2158543999999</v>
      </c>
      <c r="P182" s="75">
        <f>Table228[[#This Row],[Total bought Amount]]/Table228[[#This Row],[Total bought Number]]</f>
        <v>0.29432183943168821</v>
      </c>
      <c r="Q182" s="75">
        <f>IFERROR(Table228[[#This Row],[Total Sold Amount]]/Table228[[#This Row],[Total Sold Number]],0)</f>
        <v>0.189</v>
      </c>
      <c r="R182" s="21">
        <f>Table228[[#This Row],[Total bought Number]]-Table228[[#This Row],[Total Sold Number]]</f>
        <v>0</v>
      </c>
      <c r="S182" s="59">
        <f>(Table228[[#This Row],[Ave exit price]]-Table228[[#This Row],[Ave Entry price]])*Table228[[#This Row],[Total Sold Number]]</f>
        <v>-1318.0364256000003</v>
      </c>
      <c r="T182" s="15">
        <f>(Table228[[#This Row],[Current Price]]-Table228[[#This Row],[Ave Entry price]])*Table228[[#This Row],[How many tokens now]]</f>
        <v>0</v>
      </c>
      <c r="U182" s="76">
        <f>VLOOKUP(Table228[[#This Row],[Asset]],Table26[#All],10,FALSE)</f>
        <v>0.1925</v>
      </c>
    </row>
    <row r="183" spans="1:21">
      <c r="A183" t="s">
        <v>286</v>
      </c>
      <c r="B183" s="68">
        <v>45579</v>
      </c>
      <c r="C183" s="82" t="s">
        <v>176</v>
      </c>
      <c r="D183" t="s">
        <v>463</v>
      </c>
      <c r="E183" t="s">
        <v>285</v>
      </c>
      <c r="F183" s="17">
        <v>0.13600000000000001</v>
      </c>
      <c r="G183" s="73">
        <v>-2975</v>
      </c>
      <c r="H183" s="61">
        <f t="shared" si="56"/>
        <v>0</v>
      </c>
      <c r="I183" s="67">
        <f t="shared" si="57"/>
        <v>2975</v>
      </c>
      <c r="J183" s="15">
        <f t="shared" si="58"/>
        <v>0</v>
      </c>
      <c r="K183" s="15">
        <f t="shared" si="59"/>
        <v>404.6</v>
      </c>
      <c r="L183">
        <f>SUMIF(Table228[[#All],[Asset]],Table228[[#This Row],[Asset]],Table228[[#All],[Bought number]])</f>
        <v>2975</v>
      </c>
      <c r="M183">
        <f>SUMIF(Table228[[#All],[Asset]],Table228[[#This Row],[Asset]],Table228[[#All],[Sold Number]])</f>
        <v>2975</v>
      </c>
      <c r="N183" s="15">
        <f>SUMIF(Table228[[#All],[Asset]],Table228[[#This Row],[Asset]],Table228[[#All],[Bought amount]])</f>
        <v>0</v>
      </c>
      <c r="O183" s="15">
        <f>SUMIF(Table228[[#All],[Asset]],Table228[[#This Row],[Asset]],Table228[[#All],[Sold amount]])</f>
        <v>404.6</v>
      </c>
      <c r="P183" s="75">
        <f>Table228[[#This Row],[Total bought Amount]]/Table228[[#This Row],[Total bought Number]]</f>
        <v>0</v>
      </c>
      <c r="Q183" s="75">
        <f>IFERROR(Table228[[#This Row],[Total Sold Amount]]/Table228[[#This Row],[Total Sold Number]],0)</f>
        <v>0.13600000000000001</v>
      </c>
      <c r="R183" s="21">
        <f>Table228[[#This Row],[Total bought Number]]-Table228[[#This Row],[Total Sold Number]]</f>
        <v>0</v>
      </c>
      <c r="S183" s="59">
        <f>(Table228[[#This Row],[Ave exit price]]-Table228[[#This Row],[Ave Entry price]])*Table228[[#This Row],[Total Sold Number]]</f>
        <v>404.6</v>
      </c>
      <c r="T183" s="15">
        <f>(Table228[[#This Row],[Current Price]]-Table228[[#This Row],[Ave Entry price]])*Table228[[#This Row],[How many tokens now]]</f>
        <v>0</v>
      </c>
      <c r="U183" s="76">
        <f>VLOOKUP(Table228[[#This Row],[Asset]],Table26[#All],10,FALSE)</f>
        <v>0.17</v>
      </c>
    </row>
    <row r="184" spans="1:21">
      <c r="A184" t="s">
        <v>250</v>
      </c>
      <c r="B184" s="68">
        <v>45584</v>
      </c>
      <c r="C184" s="82" t="s">
        <v>180</v>
      </c>
      <c r="D184" t="s">
        <v>7</v>
      </c>
      <c r="E184" t="s">
        <v>331</v>
      </c>
      <c r="F184" s="17">
        <v>7.1869999999999998E-3</v>
      </c>
      <c r="G184" s="73">
        <v>-82570</v>
      </c>
      <c r="H184" s="61">
        <f t="shared" si="56"/>
        <v>0</v>
      </c>
      <c r="I184" s="67">
        <f t="shared" si="57"/>
        <v>82570</v>
      </c>
      <c r="J184" s="15">
        <f t="shared" si="58"/>
        <v>0</v>
      </c>
      <c r="K184" s="15">
        <f t="shared" si="59"/>
        <v>593.43058999999994</v>
      </c>
      <c r="L184">
        <f>SUMIF(Table228[[#All],[Asset]],Table228[[#This Row],[Asset]],Table228[[#All],[Bought number]])</f>
        <v>89428</v>
      </c>
      <c r="M184">
        <f>SUMIF(Table228[[#All],[Asset]],Table228[[#This Row],[Asset]],Table228[[#All],[Sold Number]])</f>
        <v>89428</v>
      </c>
      <c r="N184" s="15">
        <f>SUMIF(Table228[[#All],[Asset]],Table228[[#This Row],[Asset]],Table228[[#All],[Bought amount]])</f>
        <v>1788.56</v>
      </c>
      <c r="O184" s="15">
        <f>SUMIF(Table228[[#All],[Asset]],Table228[[#This Row],[Asset]],Table228[[#All],[Sold amount]])</f>
        <v>644.93416999999999</v>
      </c>
      <c r="P184" s="75">
        <f>Table228[[#This Row],[Total bought Amount]]/Table228[[#This Row],[Total bought Number]]</f>
        <v>0.02</v>
      </c>
      <c r="Q184" s="75">
        <f>IFERROR(Table228[[#This Row],[Total Sold Amount]]/Table228[[#This Row],[Total Sold Number]],0)</f>
        <v>7.2117700272845194E-3</v>
      </c>
      <c r="R184" s="21">
        <f>Table228[[#This Row],[Total bought Number]]-Table228[[#This Row],[Total Sold Number]]</f>
        <v>0</v>
      </c>
      <c r="S184" s="59">
        <f>(Table228[[#This Row],[Ave exit price]]-Table228[[#This Row],[Ave Entry price]])*Table228[[#This Row],[Total Sold Number]]</f>
        <v>-1143.62583</v>
      </c>
      <c r="T184" s="15">
        <f>(Table228[[#This Row],[Current Price]]-Table228[[#This Row],[Ave Entry price]])*Table228[[#This Row],[How many tokens now]]</f>
        <v>0</v>
      </c>
      <c r="U184" s="76">
        <f>VLOOKUP(Table228[[#This Row],[Asset]],Table26[#All],10,FALSE)</f>
        <v>7.0000000000000001E-3</v>
      </c>
    </row>
    <row r="185" spans="1:21">
      <c r="A185" t="s">
        <v>346</v>
      </c>
      <c r="B185" s="68">
        <v>45584</v>
      </c>
      <c r="C185" s="82" t="s">
        <v>176</v>
      </c>
      <c r="D185" t="s">
        <v>465</v>
      </c>
      <c r="E185" t="s">
        <v>331</v>
      </c>
      <c r="F185" s="17">
        <v>0.60199999999999998</v>
      </c>
      <c r="G185" s="73">
        <v>3470</v>
      </c>
      <c r="H185" s="61">
        <f t="shared" si="56"/>
        <v>3470</v>
      </c>
      <c r="I185" s="67">
        <f t="shared" si="57"/>
        <v>0</v>
      </c>
      <c r="J185" s="15">
        <f t="shared" si="58"/>
        <v>2088.94</v>
      </c>
      <c r="K185" s="15">
        <f t="shared" si="59"/>
        <v>0</v>
      </c>
      <c r="L185">
        <f>SUMIF(Table228[[#All],[Asset]],Table228[[#This Row],[Asset]],Table228[[#All],[Bought number]])</f>
        <v>240949.690848</v>
      </c>
      <c r="M185">
        <f>SUMIF(Table228[[#All],[Asset]],Table228[[#This Row],[Asset]],Table228[[#All],[Sold Number]])</f>
        <v>240949.69084800003</v>
      </c>
      <c r="N185" s="15">
        <f>SUMIF(Table228[[#All],[Asset]],Table228[[#This Row],[Asset]],Table228[[#All],[Bought amount]])</f>
        <v>149665.32189729257</v>
      </c>
      <c r="O185" s="15">
        <f>SUMIF(Table228[[#All],[Asset]],Table228[[#This Row],[Asset]],Table228[[#All],[Sold amount]])</f>
        <v>159408.02010878469</v>
      </c>
      <c r="P185" s="75">
        <f>Table228[[#This Row],[Total bought Amount]]/Table228[[#This Row],[Total bought Number]]</f>
        <v>0.62114759878113723</v>
      </c>
      <c r="Q185" s="75">
        <f>IFERROR(Table228[[#This Row],[Total Sold Amount]]/Table228[[#This Row],[Total Sold Number]],0)</f>
        <v>0.66158217322364266</v>
      </c>
      <c r="R185" s="21">
        <f>Table228[[#This Row],[Total bought Number]]-Table228[[#This Row],[Total Sold Number]]</f>
        <v>0</v>
      </c>
      <c r="S185" s="59">
        <f>(Table228[[#This Row],[Ave exit price]]-Table228[[#This Row],[Ave Entry price]])*Table228[[#This Row],[Total Sold Number]]</f>
        <v>9742.6982114921248</v>
      </c>
      <c r="T185" s="15">
        <f>(Table228[[#This Row],[Current Price]]-Table228[[#This Row],[Ave Entry price]])*Table228[[#This Row],[How many tokens now]]</f>
        <v>0</v>
      </c>
      <c r="U185" s="76">
        <f>VLOOKUP(Table228[[#This Row],[Asset]],Table26[#All],10,FALSE)</f>
        <v>0.99</v>
      </c>
    </row>
    <row r="186" spans="1:21">
      <c r="A186" t="s">
        <v>252</v>
      </c>
      <c r="B186" s="68">
        <v>45584</v>
      </c>
      <c r="C186" s="82" t="s">
        <v>180</v>
      </c>
      <c r="D186" t="s">
        <v>7</v>
      </c>
      <c r="E186" t="s">
        <v>331</v>
      </c>
      <c r="F186" s="17">
        <v>0.52651300000000001</v>
      </c>
      <c r="G186" s="73">
        <v>-3700</v>
      </c>
      <c r="H186" s="61">
        <f t="shared" si="56"/>
        <v>0</v>
      </c>
      <c r="I186" s="67">
        <f t="shared" si="57"/>
        <v>3700</v>
      </c>
      <c r="J186" s="15">
        <f t="shared" si="58"/>
        <v>0</v>
      </c>
      <c r="K186" s="15">
        <f t="shared" si="59"/>
        <v>1948.0980999999999</v>
      </c>
      <c r="L186">
        <f>SUMIF(Table228[[#All],[Asset]],Table228[[#This Row],[Asset]],Table228[[#All],[Bought number]])</f>
        <v>15683.837200000002</v>
      </c>
      <c r="M186">
        <f>SUMIF(Table228[[#All],[Asset]],Table228[[#This Row],[Asset]],Table228[[#All],[Sold Number]])</f>
        <v>15260.380000000001</v>
      </c>
      <c r="N186" s="15">
        <f>SUMIF(Table228[[#All],[Asset]],Table228[[#This Row],[Asset]],Table228[[#All],[Bought amount]])</f>
        <v>11762.877899999999</v>
      </c>
      <c r="O186" s="15">
        <f>SUMIF(Table228[[#All],[Asset]],Table228[[#This Row],[Asset]],Table228[[#All],[Sold amount]])</f>
        <v>5579.440247999999</v>
      </c>
      <c r="P186" s="75">
        <f>Table228[[#This Row],[Total bought Amount]]/Table228[[#This Row],[Total bought Number]]</f>
        <v>0.74999999999999989</v>
      </c>
      <c r="Q186" s="75">
        <f>IFERROR(Table228[[#This Row],[Total Sold Amount]]/Table228[[#This Row],[Total Sold Number]],0)</f>
        <v>0.36561607561541709</v>
      </c>
      <c r="R186" s="21">
        <f>Table228[[#This Row],[Total bought Number]]-Table228[[#This Row],[Total Sold Number]]</f>
        <v>423.45720000000074</v>
      </c>
      <c r="S186" s="59">
        <f>(Table228[[#This Row],[Ave exit price]]-Table228[[#This Row],[Ave Entry price]])*Table228[[#This Row],[Total Sold Number]]</f>
        <v>-5865.844752</v>
      </c>
      <c r="T186" s="15">
        <f>(Table228[[#This Row],[Current Price]]-Table228[[#This Row],[Ave Entry price]])*Table228[[#This Row],[How many tokens now]]</f>
        <v>-155.83224960000021</v>
      </c>
      <c r="U186" s="76">
        <f>VLOOKUP(Table228[[#This Row],[Asset]],Table26[#All],10,FALSE)</f>
        <v>0.38200000000000001</v>
      </c>
    </row>
    <row r="187" spans="1:21">
      <c r="A187" t="s">
        <v>346</v>
      </c>
      <c r="B187" s="68">
        <v>45585</v>
      </c>
      <c r="C187" s="82" t="s">
        <v>176</v>
      </c>
      <c r="D187" t="s">
        <v>465</v>
      </c>
      <c r="E187" t="s">
        <v>331</v>
      </c>
      <c r="F187" s="17">
        <v>0.61</v>
      </c>
      <c r="G187" s="73">
        <v>6000</v>
      </c>
      <c r="H187" s="61">
        <f t="shared" si="56"/>
        <v>6000</v>
      </c>
      <c r="I187" s="67">
        <f t="shared" si="57"/>
        <v>0</v>
      </c>
      <c r="J187" s="15">
        <f t="shared" si="58"/>
        <v>3660</v>
      </c>
      <c r="K187" s="15">
        <f t="shared" si="59"/>
        <v>0</v>
      </c>
      <c r="L187">
        <f>SUMIF(Table228[[#All],[Asset]],Table228[[#This Row],[Asset]],Table228[[#All],[Bought number]])</f>
        <v>240949.690848</v>
      </c>
      <c r="M187">
        <f>SUMIF(Table228[[#All],[Asset]],Table228[[#This Row],[Asset]],Table228[[#All],[Sold Number]])</f>
        <v>240949.69084800003</v>
      </c>
      <c r="N187" s="15">
        <f>SUMIF(Table228[[#All],[Asset]],Table228[[#This Row],[Asset]],Table228[[#All],[Bought amount]])</f>
        <v>149665.32189729257</v>
      </c>
      <c r="O187" s="15">
        <f>SUMIF(Table228[[#All],[Asset]],Table228[[#This Row],[Asset]],Table228[[#All],[Sold amount]])</f>
        <v>159408.02010878469</v>
      </c>
      <c r="P187" s="75">
        <f>Table228[[#This Row],[Total bought Amount]]/Table228[[#This Row],[Total bought Number]]</f>
        <v>0.62114759878113723</v>
      </c>
      <c r="Q187" s="75">
        <f>IFERROR(Table228[[#This Row],[Total Sold Amount]]/Table228[[#This Row],[Total Sold Number]],0)</f>
        <v>0.66158217322364266</v>
      </c>
      <c r="R187" s="21">
        <f>Table228[[#This Row],[Total bought Number]]-Table228[[#This Row],[Total Sold Number]]</f>
        <v>0</v>
      </c>
      <c r="S187" s="59">
        <f>(Table228[[#This Row],[Ave exit price]]-Table228[[#This Row],[Ave Entry price]])*Table228[[#This Row],[Total Sold Number]]</f>
        <v>9742.6982114921248</v>
      </c>
      <c r="T187" s="15">
        <f>(Table228[[#This Row],[Current Price]]-Table228[[#This Row],[Ave Entry price]])*Table228[[#This Row],[How many tokens now]]</f>
        <v>0</v>
      </c>
      <c r="U187" s="76">
        <f>VLOOKUP(Table228[[#This Row],[Asset]],Table26[#All],10,FALSE)</f>
        <v>0.99</v>
      </c>
    </row>
    <row r="188" spans="1:21">
      <c r="A188" t="s">
        <v>4</v>
      </c>
      <c r="B188" s="68">
        <v>45587</v>
      </c>
      <c r="C188" s="82" t="s">
        <v>180</v>
      </c>
      <c r="D188" t="s">
        <v>7</v>
      </c>
      <c r="E188" t="s">
        <v>19</v>
      </c>
      <c r="F188" s="17">
        <v>0.37</v>
      </c>
      <c r="G188" s="73">
        <v>-12750</v>
      </c>
      <c r="H188" s="61">
        <f t="shared" ref="H188:H196" si="60">IF(G188&gt;0,G188,0)</f>
        <v>0</v>
      </c>
      <c r="I188" s="67">
        <f t="shared" ref="I188:I196" si="61">IF(G188&lt;0,ABS(G188),0)</f>
        <v>12750</v>
      </c>
      <c r="J188" s="15">
        <f t="shared" ref="J188:J196" si="62">H188*F188</f>
        <v>0</v>
      </c>
      <c r="K188" s="15">
        <f t="shared" ref="K188:K196" si="63">I188*F188</f>
        <v>4717.5</v>
      </c>
      <c r="L188">
        <f>SUMIF(Table228[[#All],[Asset]],Table228[[#This Row],[Asset]],Table228[[#All],[Bought number]])</f>
        <v>19084</v>
      </c>
      <c r="M188">
        <f>SUMIF(Table228[[#All],[Asset]],Table228[[#This Row],[Asset]],Table228[[#All],[Sold Number]])</f>
        <v>19084</v>
      </c>
      <c r="N188" s="15">
        <f>SUMIF(Table228[[#All],[Asset]],Table228[[#This Row],[Asset]],Table228[[#All],[Bought amount]])</f>
        <v>383610</v>
      </c>
      <c r="O188" s="15">
        <f>SUMIF(Table228[[#All],[Asset]],Table228[[#This Row],[Asset]],Table228[[#All],[Sold amount]])</f>
        <v>6151.47</v>
      </c>
      <c r="P188" s="75">
        <f>Table228[[#This Row],[Total bought Amount]]/Table228[[#This Row],[Total bought Number]]</f>
        <v>20.101131838189058</v>
      </c>
      <c r="Q188" s="75">
        <f>IFERROR(Table228[[#This Row],[Total Sold Amount]]/Table228[[#This Row],[Total Sold Number]],0)</f>
        <v>0.32233651226158039</v>
      </c>
      <c r="R188" s="21">
        <f>Table228[[#This Row],[Total bought Number]]-Table228[[#This Row],[Total Sold Number]]</f>
        <v>0</v>
      </c>
      <c r="S188" s="59">
        <f>(Table228[[#This Row],[Ave exit price]]-Table228[[#This Row],[Ave Entry price]])*Table228[[#This Row],[Total Sold Number]]</f>
        <v>-377458.53</v>
      </c>
      <c r="T188" s="15">
        <f>(Table228[[#This Row],[Current Price]]-Table228[[#This Row],[Ave Entry price]])*Table228[[#This Row],[How many tokens now]]</f>
        <v>0</v>
      </c>
      <c r="U188" s="76">
        <f>VLOOKUP(Table228[[#This Row],[Asset]],Table26[#All],10,FALSE)</f>
        <v>0.2223</v>
      </c>
    </row>
    <row r="189" spans="1:21">
      <c r="A189" t="s">
        <v>253</v>
      </c>
      <c r="B189" s="68">
        <v>45587</v>
      </c>
      <c r="C189" s="82" t="s">
        <v>180</v>
      </c>
      <c r="D189" t="s">
        <v>7</v>
      </c>
      <c r="E189" t="s">
        <v>331</v>
      </c>
      <c r="F189" s="17">
        <v>4.78</v>
      </c>
      <c r="G189" s="73">
        <v>-195</v>
      </c>
      <c r="H189" s="61">
        <f t="shared" si="60"/>
        <v>0</v>
      </c>
      <c r="I189" s="67">
        <f t="shared" si="61"/>
        <v>195</v>
      </c>
      <c r="J189" s="15">
        <f t="shared" si="62"/>
        <v>0</v>
      </c>
      <c r="K189" s="15">
        <f t="shared" si="63"/>
        <v>932.1</v>
      </c>
      <c r="L189">
        <f>SUMIF(Table228[[#All],[Asset]],Table228[[#This Row],[Asset]],Table228[[#All],[Bought number]])</f>
        <v>573.20479999999998</v>
      </c>
      <c r="M189">
        <f>SUMIF(Table228[[#All],[Asset]],Table228[[#This Row],[Asset]],Table228[[#All],[Sold Number]])</f>
        <v>573.20479999999998</v>
      </c>
      <c r="N189" s="15">
        <f>SUMIF(Table228[[#All],[Asset]],Table228[[#This Row],[Asset]],Table228[[#All],[Bought amount]])</f>
        <v>6305.2528000000002</v>
      </c>
      <c r="O189" s="15">
        <f>SUMIF(Table228[[#All],[Asset]],Table228[[#This Row],[Asset]],Table228[[#All],[Sold amount]])</f>
        <v>2752.7183133888002</v>
      </c>
      <c r="P189" s="75">
        <f>Table228[[#This Row],[Total bought Amount]]/Table228[[#This Row],[Total bought Number]]</f>
        <v>11</v>
      </c>
      <c r="Q189" s="75">
        <f>IFERROR(Table228[[#This Row],[Total Sold Amount]]/Table228[[#This Row],[Total Sold Number]],0)</f>
        <v>4.8023294874516056</v>
      </c>
      <c r="R189" s="21">
        <f>Table228[[#This Row],[Total bought Number]]-Table228[[#This Row],[Total Sold Number]]</f>
        <v>0</v>
      </c>
      <c r="S189" s="59">
        <f>(Table228[[#This Row],[Ave exit price]]-Table228[[#This Row],[Ave Entry price]])*Table228[[#This Row],[Total Sold Number]]</f>
        <v>-3552.5344866111996</v>
      </c>
      <c r="T189" s="15">
        <f>(Table228[[#This Row],[Current Price]]-Table228[[#This Row],[Ave Entry price]])*Table228[[#This Row],[How many tokens now]]</f>
        <v>0</v>
      </c>
      <c r="U189" s="76">
        <f>VLOOKUP(Table228[[#This Row],[Asset]],Table26[#All],10,FALSE)</f>
        <v>5.0629999999999997</v>
      </c>
    </row>
    <row r="190" spans="1:21">
      <c r="A190" t="s">
        <v>346</v>
      </c>
      <c r="B190" s="68">
        <v>45587</v>
      </c>
      <c r="C190" s="82" t="s">
        <v>176</v>
      </c>
      <c r="D190" t="s">
        <v>465</v>
      </c>
      <c r="E190" t="s">
        <v>334</v>
      </c>
      <c r="F190" s="17">
        <v>0.65300000000000002</v>
      </c>
      <c r="G190" s="73">
        <v>2712</v>
      </c>
      <c r="H190" s="61">
        <f t="shared" si="60"/>
        <v>2712</v>
      </c>
      <c r="I190" s="67">
        <f t="shared" si="61"/>
        <v>0</v>
      </c>
      <c r="J190" s="15">
        <f t="shared" si="62"/>
        <v>1770.9360000000001</v>
      </c>
      <c r="K190" s="15">
        <f t="shared" si="63"/>
        <v>0</v>
      </c>
      <c r="L190">
        <f>SUMIF(Table228[[#All],[Asset]],Table228[[#This Row],[Asset]],Table228[[#All],[Bought number]])</f>
        <v>240949.690848</v>
      </c>
      <c r="M190">
        <f>SUMIF(Table228[[#All],[Asset]],Table228[[#This Row],[Asset]],Table228[[#All],[Sold Number]])</f>
        <v>240949.69084800003</v>
      </c>
      <c r="N190" s="15">
        <f>SUMIF(Table228[[#All],[Asset]],Table228[[#This Row],[Asset]],Table228[[#All],[Bought amount]])</f>
        <v>149665.32189729257</v>
      </c>
      <c r="O190" s="15">
        <f>SUMIF(Table228[[#All],[Asset]],Table228[[#This Row],[Asset]],Table228[[#All],[Sold amount]])</f>
        <v>159408.02010878469</v>
      </c>
      <c r="P190" s="75">
        <f>Table228[[#This Row],[Total bought Amount]]/Table228[[#This Row],[Total bought Number]]</f>
        <v>0.62114759878113723</v>
      </c>
      <c r="Q190" s="75">
        <f>IFERROR(Table228[[#This Row],[Total Sold Amount]]/Table228[[#This Row],[Total Sold Number]],0)</f>
        <v>0.66158217322364266</v>
      </c>
      <c r="R190" s="21">
        <f>Table228[[#This Row],[Total bought Number]]-Table228[[#This Row],[Total Sold Number]]</f>
        <v>0</v>
      </c>
      <c r="S190" s="59">
        <f>(Table228[[#This Row],[Ave exit price]]-Table228[[#This Row],[Ave Entry price]])*Table228[[#This Row],[Total Sold Number]]</f>
        <v>9742.6982114921248</v>
      </c>
      <c r="T190" s="15">
        <f>(Table228[[#This Row],[Current Price]]-Table228[[#This Row],[Ave Entry price]])*Table228[[#This Row],[How many tokens now]]</f>
        <v>0</v>
      </c>
      <c r="U190" s="76">
        <f>VLOOKUP(Table228[[#This Row],[Asset]],Table26[#All],10,FALSE)</f>
        <v>0.99</v>
      </c>
    </row>
    <row r="191" spans="1:21">
      <c r="A191" t="s">
        <v>346</v>
      </c>
      <c r="B191" s="68">
        <v>45587</v>
      </c>
      <c r="C191" s="82" t="s">
        <v>176</v>
      </c>
      <c r="D191" t="s">
        <v>465</v>
      </c>
      <c r="E191" t="s">
        <v>331</v>
      </c>
      <c r="F191" s="17">
        <v>0.65100000000000002</v>
      </c>
      <c r="G191" s="73">
        <v>5250</v>
      </c>
      <c r="H191" s="61">
        <f t="shared" si="60"/>
        <v>5250</v>
      </c>
      <c r="I191" s="67">
        <f t="shared" si="61"/>
        <v>0</v>
      </c>
      <c r="J191" s="15">
        <f t="shared" si="62"/>
        <v>3417.75</v>
      </c>
      <c r="K191" s="15">
        <f t="shared" si="63"/>
        <v>0</v>
      </c>
      <c r="L191">
        <f>SUMIF(Table228[[#All],[Asset]],Table228[[#This Row],[Asset]],Table228[[#All],[Bought number]])</f>
        <v>240949.690848</v>
      </c>
      <c r="M191">
        <f>SUMIF(Table228[[#All],[Asset]],Table228[[#This Row],[Asset]],Table228[[#All],[Sold Number]])</f>
        <v>240949.69084800003</v>
      </c>
      <c r="N191" s="15">
        <f>SUMIF(Table228[[#All],[Asset]],Table228[[#This Row],[Asset]],Table228[[#All],[Bought amount]])</f>
        <v>149665.32189729257</v>
      </c>
      <c r="O191" s="15">
        <f>SUMIF(Table228[[#All],[Asset]],Table228[[#This Row],[Asset]],Table228[[#All],[Sold amount]])</f>
        <v>159408.02010878469</v>
      </c>
      <c r="P191" s="75">
        <f>Table228[[#This Row],[Total bought Amount]]/Table228[[#This Row],[Total bought Number]]</f>
        <v>0.62114759878113723</v>
      </c>
      <c r="Q191" s="75">
        <f>IFERROR(Table228[[#This Row],[Total Sold Amount]]/Table228[[#This Row],[Total Sold Number]],0)</f>
        <v>0.66158217322364266</v>
      </c>
      <c r="R191" s="21">
        <f>Table228[[#This Row],[Total bought Number]]-Table228[[#This Row],[Total Sold Number]]</f>
        <v>0</v>
      </c>
      <c r="S191" s="59">
        <f>(Table228[[#This Row],[Ave exit price]]-Table228[[#This Row],[Ave Entry price]])*Table228[[#This Row],[Total Sold Number]]</f>
        <v>9742.6982114921248</v>
      </c>
      <c r="T191" s="15">
        <f>(Table228[[#This Row],[Current Price]]-Table228[[#This Row],[Ave Entry price]])*Table228[[#This Row],[How many tokens now]]</f>
        <v>0</v>
      </c>
      <c r="U191" s="76">
        <f>VLOOKUP(Table228[[#This Row],[Asset]],Table26[#All],10,FALSE)</f>
        <v>0.99</v>
      </c>
    </row>
    <row r="192" spans="1:21">
      <c r="A192" t="s">
        <v>250</v>
      </c>
      <c r="B192" s="68">
        <v>45587</v>
      </c>
      <c r="C192" s="82" t="s">
        <v>176</v>
      </c>
      <c r="D192" t="s">
        <v>7</v>
      </c>
      <c r="E192" t="s">
        <v>331</v>
      </c>
      <c r="F192" s="17">
        <v>7.5100000000000002E-3</v>
      </c>
      <c r="G192" s="73">
        <v>-6858</v>
      </c>
      <c r="H192" s="61">
        <f t="shared" si="60"/>
        <v>0</v>
      </c>
      <c r="I192" s="67">
        <f t="shared" si="61"/>
        <v>6858</v>
      </c>
      <c r="J192" s="15">
        <f t="shared" si="62"/>
        <v>0</v>
      </c>
      <c r="K192" s="15">
        <f t="shared" si="63"/>
        <v>51.503579999999999</v>
      </c>
      <c r="L192">
        <f>SUMIF(Table228[[#All],[Asset]],Table228[[#This Row],[Asset]],Table228[[#All],[Bought number]])</f>
        <v>89428</v>
      </c>
      <c r="M192">
        <f>SUMIF(Table228[[#All],[Asset]],Table228[[#This Row],[Asset]],Table228[[#All],[Sold Number]])</f>
        <v>89428</v>
      </c>
      <c r="N192" s="15">
        <f>SUMIF(Table228[[#All],[Asset]],Table228[[#This Row],[Asset]],Table228[[#All],[Bought amount]])</f>
        <v>1788.56</v>
      </c>
      <c r="O192" s="15">
        <f>SUMIF(Table228[[#All],[Asset]],Table228[[#This Row],[Asset]],Table228[[#All],[Sold amount]])</f>
        <v>644.93416999999999</v>
      </c>
      <c r="P192" s="75">
        <f>Table228[[#This Row],[Total bought Amount]]/Table228[[#This Row],[Total bought Number]]</f>
        <v>0.02</v>
      </c>
      <c r="Q192" s="75">
        <f>IFERROR(Table228[[#This Row],[Total Sold Amount]]/Table228[[#This Row],[Total Sold Number]],0)</f>
        <v>7.2117700272845194E-3</v>
      </c>
      <c r="R192" s="21">
        <f>Table228[[#This Row],[Total bought Number]]-Table228[[#This Row],[Total Sold Number]]</f>
        <v>0</v>
      </c>
      <c r="S192" s="59">
        <f>(Table228[[#This Row],[Ave exit price]]-Table228[[#This Row],[Ave Entry price]])*Table228[[#This Row],[Total Sold Number]]</f>
        <v>-1143.62583</v>
      </c>
      <c r="T192" s="15">
        <f>(Table228[[#This Row],[Current Price]]-Table228[[#This Row],[Ave Entry price]])*Table228[[#This Row],[How many tokens now]]</f>
        <v>0</v>
      </c>
      <c r="U192" s="76">
        <f>VLOOKUP(Table228[[#This Row],[Asset]],Table26[#All],10,FALSE)</f>
        <v>7.0000000000000001E-3</v>
      </c>
    </row>
    <row r="193" spans="1:21">
      <c r="A193" t="s">
        <v>346</v>
      </c>
      <c r="B193" s="68">
        <v>45587</v>
      </c>
      <c r="C193" s="82" t="s">
        <v>176</v>
      </c>
      <c r="D193" t="s">
        <v>465</v>
      </c>
      <c r="E193" t="s">
        <v>331</v>
      </c>
      <c r="F193" s="17">
        <v>0.64600000000000002</v>
      </c>
      <c r="G193" s="73">
        <v>2952</v>
      </c>
      <c r="H193" s="61">
        <f t="shared" si="60"/>
        <v>2952</v>
      </c>
      <c r="I193" s="67">
        <f t="shared" si="61"/>
        <v>0</v>
      </c>
      <c r="J193" s="15">
        <f t="shared" si="62"/>
        <v>1906.992</v>
      </c>
      <c r="K193" s="15">
        <f t="shared" si="63"/>
        <v>0</v>
      </c>
      <c r="L193">
        <f>SUMIF(Table228[[#All],[Asset]],Table228[[#This Row],[Asset]],Table228[[#All],[Bought number]])</f>
        <v>240949.690848</v>
      </c>
      <c r="M193">
        <f>SUMIF(Table228[[#All],[Asset]],Table228[[#This Row],[Asset]],Table228[[#All],[Sold Number]])</f>
        <v>240949.69084800003</v>
      </c>
      <c r="N193" s="15">
        <f>SUMIF(Table228[[#All],[Asset]],Table228[[#This Row],[Asset]],Table228[[#All],[Bought amount]])</f>
        <v>149665.32189729257</v>
      </c>
      <c r="O193" s="15">
        <f>SUMIF(Table228[[#All],[Asset]],Table228[[#This Row],[Asset]],Table228[[#All],[Sold amount]])</f>
        <v>159408.02010878469</v>
      </c>
      <c r="P193" s="75">
        <f>Table228[[#This Row],[Total bought Amount]]/Table228[[#This Row],[Total bought Number]]</f>
        <v>0.62114759878113723</v>
      </c>
      <c r="Q193" s="75">
        <f>IFERROR(Table228[[#This Row],[Total Sold Amount]]/Table228[[#This Row],[Total Sold Number]],0)</f>
        <v>0.66158217322364266</v>
      </c>
      <c r="R193" s="21">
        <f>Table228[[#This Row],[Total bought Number]]-Table228[[#This Row],[Total Sold Number]]</f>
        <v>0</v>
      </c>
      <c r="S193" s="59">
        <f>(Table228[[#This Row],[Ave exit price]]-Table228[[#This Row],[Ave Entry price]])*Table228[[#This Row],[Total Sold Number]]</f>
        <v>9742.6982114921248</v>
      </c>
      <c r="T193" s="15">
        <f>(Table228[[#This Row],[Current Price]]-Table228[[#This Row],[Ave Entry price]])*Table228[[#This Row],[How many tokens now]]</f>
        <v>0</v>
      </c>
      <c r="U193" s="76">
        <f>VLOOKUP(Table228[[#This Row],[Asset]],Table26[#All],10,FALSE)</f>
        <v>0.99</v>
      </c>
    </row>
    <row r="194" spans="1:21">
      <c r="A194" t="s">
        <v>32</v>
      </c>
      <c r="B194" s="68">
        <v>45587</v>
      </c>
      <c r="C194" s="82" t="s">
        <v>176</v>
      </c>
      <c r="D194" t="s">
        <v>7</v>
      </c>
      <c r="E194" t="s">
        <v>331</v>
      </c>
      <c r="F194" s="17">
        <v>5.4357000000000003E-2</v>
      </c>
      <c r="G194" s="73">
        <v>-3210.05447</v>
      </c>
      <c r="H194" s="61">
        <f t="shared" si="60"/>
        <v>0</v>
      </c>
      <c r="I194" s="67">
        <f t="shared" si="61"/>
        <v>3210.05447</v>
      </c>
      <c r="J194" s="15">
        <f t="shared" si="62"/>
        <v>0</v>
      </c>
      <c r="K194" s="15">
        <f t="shared" si="63"/>
        <v>174.48893082579002</v>
      </c>
      <c r="L194">
        <f>SUMIF(Table228[[#All],[Asset]],Table228[[#This Row],[Asset]],Table228[[#All],[Bought number]])</f>
        <v>5396.5559999999996</v>
      </c>
      <c r="M194">
        <f>SUMIF(Table228[[#All],[Asset]],Table228[[#This Row],[Asset]],Table228[[#All],[Sold Number]])</f>
        <v>4960.05447</v>
      </c>
      <c r="N194" s="15">
        <f>SUMIF(Table228[[#All],[Asset]],Table228[[#This Row],[Asset]],Table228[[#All],[Bought amount]])</f>
        <v>2050.69128</v>
      </c>
      <c r="O194" s="15">
        <f>SUMIF(Table228[[#All],[Asset]],Table228[[#This Row],[Asset]],Table228[[#All],[Sold amount]])</f>
        <v>261.98893082579002</v>
      </c>
      <c r="P194" s="75">
        <f>Table228[[#This Row],[Total bought Amount]]/Table228[[#This Row],[Total bought Number]]</f>
        <v>0.38</v>
      </c>
      <c r="Q194" s="75">
        <f>IFERROR(Table228[[#This Row],[Total Sold Amount]]/Table228[[#This Row],[Total Sold Number]],0)</f>
        <v>5.2819768897777855E-2</v>
      </c>
      <c r="R194" s="21">
        <f>Table228[[#This Row],[Total bought Number]]-Table228[[#This Row],[Total Sold Number]]</f>
        <v>436.50152999999955</v>
      </c>
      <c r="S194" s="59">
        <f>(Table228[[#This Row],[Ave exit price]]-Table228[[#This Row],[Ave Entry price]])*Table228[[#This Row],[Total Sold Number]]</f>
        <v>-1622.83176777421</v>
      </c>
      <c r="T194" s="15">
        <f>(Table228[[#This Row],[Current Price]]-Table228[[#This Row],[Ave Entry price]])*Table228[[#This Row],[How many tokens now]]</f>
        <v>-141.12094464899988</v>
      </c>
      <c r="U194" s="76">
        <f>VLOOKUP(Table228[[#This Row],[Asset]],Table26[#All],10,FALSE)</f>
        <v>5.67E-2</v>
      </c>
    </row>
    <row r="195" spans="1:21">
      <c r="A195" t="s">
        <v>346</v>
      </c>
      <c r="B195" s="68">
        <v>45590</v>
      </c>
      <c r="C195" s="82" t="s">
        <v>176</v>
      </c>
      <c r="D195" t="s">
        <v>468</v>
      </c>
      <c r="E195" t="s">
        <v>285</v>
      </c>
      <c r="F195" s="17">
        <v>0.63770000000000004</v>
      </c>
      <c r="G195" s="73">
        <v>5261</v>
      </c>
      <c r="H195" s="61">
        <f t="shared" si="60"/>
        <v>5261</v>
      </c>
      <c r="I195" s="67">
        <f t="shared" si="61"/>
        <v>0</v>
      </c>
      <c r="J195" s="15">
        <f t="shared" si="62"/>
        <v>3354.9397000000004</v>
      </c>
      <c r="K195" s="15">
        <f t="shared" si="63"/>
        <v>0</v>
      </c>
      <c r="L195">
        <f>SUMIF(Table228[[#All],[Asset]],Table228[[#This Row],[Asset]],Table228[[#All],[Bought number]])</f>
        <v>240949.690848</v>
      </c>
      <c r="M195">
        <f>SUMIF(Table228[[#All],[Asset]],Table228[[#This Row],[Asset]],Table228[[#All],[Sold Number]])</f>
        <v>240949.69084800003</v>
      </c>
      <c r="N195" s="15">
        <f>SUMIF(Table228[[#All],[Asset]],Table228[[#This Row],[Asset]],Table228[[#All],[Bought amount]])</f>
        <v>149665.32189729257</v>
      </c>
      <c r="O195" s="15">
        <f>SUMIF(Table228[[#All],[Asset]],Table228[[#This Row],[Asset]],Table228[[#All],[Sold amount]])</f>
        <v>159408.02010878469</v>
      </c>
      <c r="P195" s="75">
        <f>Table228[[#This Row],[Total bought Amount]]/Table228[[#This Row],[Total bought Number]]</f>
        <v>0.62114759878113723</v>
      </c>
      <c r="Q195" s="75">
        <f>IFERROR(Table228[[#This Row],[Total Sold Amount]]/Table228[[#This Row],[Total Sold Number]],0)</f>
        <v>0.66158217322364266</v>
      </c>
      <c r="R195" s="21">
        <f>Table228[[#This Row],[Total bought Number]]-Table228[[#This Row],[Total Sold Number]]</f>
        <v>0</v>
      </c>
      <c r="S195" s="59">
        <f>(Table228[[#This Row],[Ave exit price]]-Table228[[#This Row],[Ave Entry price]])*Table228[[#This Row],[Total Sold Number]]</f>
        <v>9742.6982114921248</v>
      </c>
      <c r="T195" s="15">
        <f>(Table228[[#This Row],[Current Price]]-Table228[[#This Row],[Ave Entry price]])*Table228[[#This Row],[How many tokens now]]</f>
        <v>0</v>
      </c>
      <c r="U195" s="76">
        <f>VLOOKUP(Table228[[#This Row],[Asset]],Table26[#All],10,FALSE)</f>
        <v>0.99</v>
      </c>
    </row>
    <row r="196" spans="1:21">
      <c r="A196" t="s">
        <v>346</v>
      </c>
      <c r="B196" s="68">
        <v>45591</v>
      </c>
      <c r="C196" s="82" t="s">
        <v>176</v>
      </c>
      <c r="D196" t="s">
        <v>468</v>
      </c>
      <c r="E196" t="s">
        <v>285</v>
      </c>
      <c r="F196" s="17">
        <v>0.64080000000000004</v>
      </c>
      <c r="G196" s="73">
        <v>2694.912609</v>
      </c>
      <c r="H196" s="61">
        <f t="shared" si="60"/>
        <v>2694.912609</v>
      </c>
      <c r="I196" s="67">
        <f t="shared" si="61"/>
        <v>0</v>
      </c>
      <c r="J196" s="15">
        <f t="shared" si="62"/>
        <v>1726.8999998472</v>
      </c>
      <c r="K196" s="15">
        <f t="shared" si="63"/>
        <v>0</v>
      </c>
      <c r="L196">
        <f>SUMIF(Table228[[#All],[Asset]],Table228[[#This Row],[Asset]],Table228[[#All],[Bought number]])</f>
        <v>240949.690848</v>
      </c>
      <c r="M196">
        <f>SUMIF(Table228[[#All],[Asset]],Table228[[#This Row],[Asset]],Table228[[#All],[Sold Number]])</f>
        <v>240949.69084800003</v>
      </c>
      <c r="N196" s="15">
        <f>SUMIF(Table228[[#All],[Asset]],Table228[[#This Row],[Asset]],Table228[[#All],[Bought amount]])</f>
        <v>149665.32189729257</v>
      </c>
      <c r="O196" s="15">
        <f>SUMIF(Table228[[#All],[Asset]],Table228[[#This Row],[Asset]],Table228[[#All],[Sold amount]])</f>
        <v>159408.02010878469</v>
      </c>
      <c r="P196" s="75">
        <f>Table228[[#This Row],[Total bought Amount]]/Table228[[#This Row],[Total bought Number]]</f>
        <v>0.62114759878113723</v>
      </c>
      <c r="Q196" s="75">
        <f>IFERROR(Table228[[#This Row],[Total Sold Amount]]/Table228[[#This Row],[Total Sold Number]],0)</f>
        <v>0.66158217322364266</v>
      </c>
      <c r="R196" s="21">
        <f>Table228[[#This Row],[Total bought Number]]-Table228[[#This Row],[Total Sold Number]]</f>
        <v>0</v>
      </c>
      <c r="S196" s="59">
        <f>(Table228[[#This Row],[Ave exit price]]-Table228[[#This Row],[Ave Entry price]])*Table228[[#This Row],[Total Sold Number]]</f>
        <v>9742.6982114921248</v>
      </c>
      <c r="T196" s="15">
        <f>(Table228[[#This Row],[Current Price]]-Table228[[#This Row],[Ave Entry price]])*Table228[[#This Row],[How many tokens now]]</f>
        <v>0</v>
      </c>
      <c r="U196" s="76">
        <f>VLOOKUP(Table228[[#This Row],[Asset]],Table26[#All],10,FALSE)</f>
        <v>0.99</v>
      </c>
    </row>
    <row r="197" spans="1:21">
      <c r="A197" t="s">
        <v>346</v>
      </c>
      <c r="B197" s="68">
        <v>45592</v>
      </c>
      <c r="C197" s="82" t="s">
        <v>176</v>
      </c>
      <c r="D197" t="s">
        <v>468</v>
      </c>
      <c r="E197" t="s">
        <v>285</v>
      </c>
      <c r="F197" s="17">
        <v>0.66279999999999994</v>
      </c>
      <c r="G197" s="73">
        <v>5918.6783340000002</v>
      </c>
      <c r="H197" s="61">
        <f t="shared" ref="H197:H210" si="64">IF(G197&gt;0,G197,0)</f>
        <v>5918.6783340000002</v>
      </c>
      <c r="I197" s="67">
        <f t="shared" ref="I197:I210" si="65">IF(G197&lt;0,ABS(G197),0)</f>
        <v>0</v>
      </c>
      <c r="J197" s="15">
        <f t="shared" ref="J197:J210" si="66">H197*F197</f>
        <v>3922.8999997751998</v>
      </c>
      <c r="K197" s="15">
        <f t="shared" ref="K197:K210" si="67">I197*F197</f>
        <v>0</v>
      </c>
      <c r="L197">
        <f>SUMIF(Table228[[#All],[Asset]],Table228[[#This Row],[Asset]],Table228[[#All],[Bought number]])</f>
        <v>240949.690848</v>
      </c>
      <c r="M197">
        <f>SUMIF(Table228[[#All],[Asset]],Table228[[#This Row],[Asset]],Table228[[#All],[Sold Number]])</f>
        <v>240949.69084800003</v>
      </c>
      <c r="N197" s="15">
        <f>SUMIF(Table228[[#All],[Asset]],Table228[[#This Row],[Asset]],Table228[[#All],[Bought amount]])</f>
        <v>149665.32189729257</v>
      </c>
      <c r="O197" s="15">
        <f>SUMIF(Table228[[#All],[Asset]],Table228[[#This Row],[Asset]],Table228[[#All],[Sold amount]])</f>
        <v>159408.02010878469</v>
      </c>
      <c r="P197" s="75">
        <f>Table228[[#This Row],[Total bought Amount]]/Table228[[#This Row],[Total bought Number]]</f>
        <v>0.62114759878113723</v>
      </c>
      <c r="Q197" s="75">
        <f>IFERROR(Table228[[#This Row],[Total Sold Amount]]/Table228[[#This Row],[Total Sold Number]],0)</f>
        <v>0.66158217322364266</v>
      </c>
      <c r="R197" s="21">
        <f>Table228[[#This Row],[Total bought Number]]-Table228[[#This Row],[Total Sold Number]]</f>
        <v>0</v>
      </c>
      <c r="S197" s="59">
        <f>(Table228[[#This Row],[Ave exit price]]-Table228[[#This Row],[Ave Entry price]])*Table228[[#This Row],[Total Sold Number]]</f>
        <v>9742.6982114921248</v>
      </c>
      <c r="T197" s="15">
        <f>(Table228[[#This Row],[Current Price]]-Table228[[#This Row],[Ave Entry price]])*Table228[[#This Row],[How many tokens now]]</f>
        <v>0</v>
      </c>
      <c r="U197" s="76">
        <f>VLOOKUP(Table228[[#This Row],[Asset]],Table26[#All],10,FALSE)</f>
        <v>0.99</v>
      </c>
    </row>
    <row r="198" spans="1:21">
      <c r="A198" t="s">
        <v>346</v>
      </c>
      <c r="B198" s="68">
        <v>45594</v>
      </c>
      <c r="C198" s="82" t="s">
        <v>176</v>
      </c>
      <c r="D198" t="s">
        <v>468</v>
      </c>
      <c r="E198" t="s">
        <v>285</v>
      </c>
      <c r="F198" s="17">
        <v>0.66779999999999995</v>
      </c>
      <c r="G198" s="73">
        <v>8133.7226710000004</v>
      </c>
      <c r="H198" s="61">
        <f t="shared" si="64"/>
        <v>8133.7226710000004</v>
      </c>
      <c r="I198" s="67">
        <f t="shared" si="65"/>
        <v>0</v>
      </c>
      <c r="J198" s="15">
        <f t="shared" si="66"/>
        <v>5431.6999996938002</v>
      </c>
      <c r="K198" s="15">
        <f t="shared" si="67"/>
        <v>0</v>
      </c>
      <c r="L198">
        <f>SUMIF(Table228[[#All],[Asset]],Table228[[#This Row],[Asset]],Table228[[#All],[Bought number]])</f>
        <v>240949.690848</v>
      </c>
      <c r="M198">
        <f>SUMIF(Table228[[#All],[Asset]],Table228[[#This Row],[Asset]],Table228[[#All],[Sold Number]])</f>
        <v>240949.69084800003</v>
      </c>
      <c r="N198" s="15">
        <f>SUMIF(Table228[[#All],[Asset]],Table228[[#This Row],[Asset]],Table228[[#All],[Bought amount]])</f>
        <v>149665.32189729257</v>
      </c>
      <c r="O198" s="15">
        <f>SUMIF(Table228[[#All],[Asset]],Table228[[#This Row],[Asset]],Table228[[#All],[Sold amount]])</f>
        <v>159408.02010878469</v>
      </c>
      <c r="P198" s="75">
        <f>Table228[[#This Row],[Total bought Amount]]/Table228[[#This Row],[Total bought Number]]</f>
        <v>0.62114759878113723</v>
      </c>
      <c r="Q198" s="75">
        <f>IFERROR(Table228[[#This Row],[Total Sold Amount]]/Table228[[#This Row],[Total Sold Number]],0)</f>
        <v>0.66158217322364266</v>
      </c>
      <c r="R198" s="21">
        <f>Table228[[#This Row],[Total bought Number]]-Table228[[#This Row],[Total Sold Number]]</f>
        <v>0</v>
      </c>
      <c r="S198" s="59">
        <f>(Table228[[#This Row],[Ave exit price]]-Table228[[#This Row],[Ave Entry price]])*Table228[[#This Row],[Total Sold Number]]</f>
        <v>9742.6982114921248</v>
      </c>
      <c r="T198" s="15">
        <f>(Table228[[#This Row],[Current Price]]-Table228[[#This Row],[Ave Entry price]])*Table228[[#This Row],[How many tokens now]]</f>
        <v>0</v>
      </c>
      <c r="U198" s="76">
        <f>VLOOKUP(Table228[[#This Row],[Asset]],Table26[#All],10,FALSE)</f>
        <v>0.99</v>
      </c>
    </row>
    <row r="199" spans="1:21">
      <c r="A199" t="s">
        <v>346</v>
      </c>
      <c r="B199" s="68">
        <v>45595</v>
      </c>
      <c r="C199" s="82" t="s">
        <v>176</v>
      </c>
      <c r="D199" t="s">
        <v>465</v>
      </c>
      <c r="E199" t="s">
        <v>336</v>
      </c>
      <c r="F199" s="17">
        <v>0.67700000000000005</v>
      </c>
      <c r="G199" s="73">
        <v>-5250</v>
      </c>
      <c r="H199" s="61">
        <f t="shared" si="64"/>
        <v>0</v>
      </c>
      <c r="I199" s="67">
        <f t="shared" si="65"/>
        <v>5250</v>
      </c>
      <c r="J199" s="15">
        <f t="shared" si="66"/>
        <v>0</v>
      </c>
      <c r="K199" s="15">
        <f t="shared" si="67"/>
        <v>3554.2500000000005</v>
      </c>
      <c r="L199">
        <f>SUMIF(Table228[[#All],[Asset]],Table228[[#This Row],[Asset]],Table228[[#All],[Bought number]])</f>
        <v>240949.690848</v>
      </c>
      <c r="M199">
        <f>SUMIF(Table228[[#All],[Asset]],Table228[[#This Row],[Asset]],Table228[[#All],[Sold Number]])</f>
        <v>240949.69084800003</v>
      </c>
      <c r="N199" s="15">
        <f>SUMIF(Table228[[#All],[Asset]],Table228[[#This Row],[Asset]],Table228[[#All],[Bought amount]])</f>
        <v>149665.32189729257</v>
      </c>
      <c r="O199" s="15">
        <f>SUMIF(Table228[[#All],[Asset]],Table228[[#This Row],[Asset]],Table228[[#All],[Sold amount]])</f>
        <v>159408.02010878469</v>
      </c>
      <c r="P199" s="75">
        <f>Table228[[#This Row],[Total bought Amount]]/Table228[[#This Row],[Total bought Number]]</f>
        <v>0.62114759878113723</v>
      </c>
      <c r="Q199" s="75">
        <f>IFERROR(Table228[[#This Row],[Total Sold Amount]]/Table228[[#This Row],[Total Sold Number]],0)</f>
        <v>0.66158217322364266</v>
      </c>
      <c r="R199" s="21">
        <f>Table228[[#This Row],[Total bought Number]]-Table228[[#This Row],[Total Sold Number]]</f>
        <v>0</v>
      </c>
      <c r="S199" s="59">
        <f>(Table228[[#This Row],[Ave exit price]]-Table228[[#This Row],[Ave Entry price]])*Table228[[#This Row],[Total Sold Number]]</f>
        <v>9742.6982114921248</v>
      </c>
      <c r="T199" s="15">
        <f>(Table228[[#This Row],[Current Price]]-Table228[[#This Row],[Ave Entry price]])*Table228[[#This Row],[How many tokens now]]</f>
        <v>0</v>
      </c>
      <c r="U199" s="76">
        <f>VLOOKUP(Table228[[#This Row],[Asset]],Table26[#All],10,FALSE)</f>
        <v>0.99</v>
      </c>
    </row>
    <row r="200" spans="1:21">
      <c r="A200" t="s">
        <v>346</v>
      </c>
      <c r="B200" s="68">
        <v>45595</v>
      </c>
      <c r="C200" s="82" t="s">
        <v>176</v>
      </c>
      <c r="D200" t="s">
        <v>465</v>
      </c>
      <c r="E200" t="s">
        <v>334</v>
      </c>
      <c r="F200" s="17">
        <v>0.66900000000000004</v>
      </c>
      <c r="G200" s="73">
        <v>-2712</v>
      </c>
      <c r="H200" s="61">
        <f t="shared" si="64"/>
        <v>0</v>
      </c>
      <c r="I200" s="67">
        <f t="shared" si="65"/>
        <v>2712</v>
      </c>
      <c r="J200" s="15">
        <f t="shared" si="66"/>
        <v>0</v>
      </c>
      <c r="K200" s="15">
        <f t="shared" si="67"/>
        <v>1814.3280000000002</v>
      </c>
      <c r="L200">
        <f>SUMIF(Table228[[#All],[Asset]],Table228[[#This Row],[Asset]],Table228[[#All],[Bought number]])</f>
        <v>240949.690848</v>
      </c>
      <c r="M200">
        <f>SUMIF(Table228[[#All],[Asset]],Table228[[#This Row],[Asset]],Table228[[#All],[Sold Number]])</f>
        <v>240949.69084800003</v>
      </c>
      <c r="N200" s="15">
        <f>SUMIF(Table228[[#All],[Asset]],Table228[[#This Row],[Asset]],Table228[[#All],[Bought amount]])</f>
        <v>149665.32189729257</v>
      </c>
      <c r="O200" s="15">
        <f>SUMIF(Table228[[#All],[Asset]],Table228[[#This Row],[Asset]],Table228[[#All],[Sold amount]])</f>
        <v>159408.02010878469</v>
      </c>
      <c r="P200" s="75">
        <f>Table228[[#This Row],[Total bought Amount]]/Table228[[#This Row],[Total bought Number]]</f>
        <v>0.62114759878113723</v>
      </c>
      <c r="Q200" s="75">
        <f>IFERROR(Table228[[#This Row],[Total Sold Amount]]/Table228[[#This Row],[Total Sold Number]],0)</f>
        <v>0.66158217322364266</v>
      </c>
      <c r="R200" s="21">
        <f>Table228[[#This Row],[Total bought Number]]-Table228[[#This Row],[Total Sold Number]]</f>
        <v>0</v>
      </c>
      <c r="S200" s="59">
        <f>(Table228[[#This Row],[Ave exit price]]-Table228[[#This Row],[Ave Entry price]])*Table228[[#This Row],[Total Sold Number]]</f>
        <v>9742.6982114921248</v>
      </c>
      <c r="T200" s="15">
        <f>(Table228[[#This Row],[Current Price]]-Table228[[#This Row],[Ave Entry price]])*Table228[[#This Row],[How many tokens now]]</f>
        <v>0</v>
      </c>
      <c r="U200" s="76">
        <f>VLOOKUP(Table228[[#This Row],[Asset]],Table26[#All],10,FALSE)</f>
        <v>0.99</v>
      </c>
    </row>
    <row r="201" spans="1:21">
      <c r="A201" t="s">
        <v>346</v>
      </c>
      <c r="B201" s="68">
        <v>45595</v>
      </c>
      <c r="C201" s="82" t="s">
        <v>176</v>
      </c>
      <c r="D201" t="s">
        <v>465</v>
      </c>
      <c r="E201" t="s">
        <v>331</v>
      </c>
      <c r="F201" s="17">
        <v>0.66900000000000004</v>
      </c>
      <c r="G201" s="73">
        <v>-12555</v>
      </c>
      <c r="H201" s="61">
        <f t="shared" si="64"/>
        <v>0</v>
      </c>
      <c r="I201" s="67">
        <f t="shared" si="65"/>
        <v>12555</v>
      </c>
      <c r="J201" s="15">
        <f t="shared" si="66"/>
        <v>0</v>
      </c>
      <c r="K201" s="15">
        <f t="shared" si="67"/>
        <v>8399.2950000000001</v>
      </c>
      <c r="L201">
        <f>SUMIF(Table228[[#All],[Asset]],Table228[[#This Row],[Asset]],Table228[[#All],[Bought number]])</f>
        <v>240949.690848</v>
      </c>
      <c r="M201">
        <f>SUMIF(Table228[[#All],[Asset]],Table228[[#This Row],[Asset]],Table228[[#All],[Sold Number]])</f>
        <v>240949.69084800003</v>
      </c>
      <c r="N201" s="15">
        <f>SUMIF(Table228[[#All],[Asset]],Table228[[#This Row],[Asset]],Table228[[#All],[Bought amount]])</f>
        <v>149665.32189729257</v>
      </c>
      <c r="O201" s="15">
        <f>SUMIF(Table228[[#All],[Asset]],Table228[[#This Row],[Asset]],Table228[[#All],[Sold amount]])</f>
        <v>159408.02010878469</v>
      </c>
      <c r="P201" s="75">
        <f>Table228[[#This Row],[Total bought Amount]]/Table228[[#This Row],[Total bought Number]]</f>
        <v>0.62114759878113723</v>
      </c>
      <c r="Q201" s="75">
        <f>IFERROR(Table228[[#This Row],[Total Sold Amount]]/Table228[[#This Row],[Total Sold Number]],0)</f>
        <v>0.66158217322364266</v>
      </c>
      <c r="R201" s="21">
        <f>Table228[[#This Row],[Total bought Number]]-Table228[[#This Row],[Total Sold Number]]</f>
        <v>0</v>
      </c>
      <c r="S201" s="59">
        <f>(Table228[[#This Row],[Ave exit price]]-Table228[[#This Row],[Ave Entry price]])*Table228[[#This Row],[Total Sold Number]]</f>
        <v>9742.6982114921248</v>
      </c>
      <c r="T201" s="15">
        <f>(Table228[[#This Row],[Current Price]]-Table228[[#This Row],[Ave Entry price]])*Table228[[#This Row],[How many tokens now]]</f>
        <v>0</v>
      </c>
      <c r="U201" s="76">
        <f>VLOOKUP(Table228[[#This Row],[Asset]],Table26[#All],10,FALSE)</f>
        <v>0.99</v>
      </c>
    </row>
    <row r="202" spans="1:21">
      <c r="A202" t="s">
        <v>346</v>
      </c>
      <c r="B202" s="68">
        <v>45595</v>
      </c>
      <c r="C202" s="82" t="s">
        <v>176</v>
      </c>
      <c r="D202" t="s">
        <v>468</v>
      </c>
      <c r="E202" t="s">
        <v>285</v>
      </c>
      <c r="F202" s="17">
        <v>0.6754</v>
      </c>
      <c r="G202" s="73">
        <v>48487</v>
      </c>
      <c r="H202" s="61">
        <f t="shared" si="64"/>
        <v>48487</v>
      </c>
      <c r="I202" s="67">
        <f t="shared" si="65"/>
        <v>0</v>
      </c>
      <c r="J202" s="15">
        <f t="shared" si="66"/>
        <v>32748.1198</v>
      </c>
      <c r="K202" s="15">
        <f t="shared" si="67"/>
        <v>0</v>
      </c>
      <c r="L202">
        <f>SUMIF(Table228[[#All],[Asset]],Table228[[#This Row],[Asset]],Table228[[#All],[Bought number]])</f>
        <v>240949.690848</v>
      </c>
      <c r="M202">
        <f>SUMIF(Table228[[#All],[Asset]],Table228[[#This Row],[Asset]],Table228[[#All],[Sold Number]])</f>
        <v>240949.69084800003</v>
      </c>
      <c r="N202" s="15">
        <f>SUMIF(Table228[[#All],[Asset]],Table228[[#This Row],[Asset]],Table228[[#All],[Bought amount]])</f>
        <v>149665.32189729257</v>
      </c>
      <c r="O202" s="15">
        <f>SUMIF(Table228[[#All],[Asset]],Table228[[#This Row],[Asset]],Table228[[#All],[Sold amount]])</f>
        <v>159408.02010878469</v>
      </c>
      <c r="P202" s="75">
        <f>Table228[[#This Row],[Total bought Amount]]/Table228[[#This Row],[Total bought Number]]</f>
        <v>0.62114759878113723</v>
      </c>
      <c r="Q202" s="75">
        <f>IFERROR(Table228[[#This Row],[Total Sold Amount]]/Table228[[#This Row],[Total Sold Number]],0)</f>
        <v>0.66158217322364266</v>
      </c>
      <c r="R202" s="21">
        <f>Table228[[#This Row],[Total bought Number]]-Table228[[#This Row],[Total Sold Number]]</f>
        <v>0</v>
      </c>
      <c r="S202" s="59">
        <f>(Table228[[#This Row],[Ave exit price]]-Table228[[#This Row],[Ave Entry price]])*Table228[[#This Row],[Total Sold Number]]</f>
        <v>9742.6982114921248</v>
      </c>
      <c r="T202" s="15">
        <f>(Table228[[#This Row],[Current Price]]-Table228[[#This Row],[Ave Entry price]])*Table228[[#This Row],[How many tokens now]]</f>
        <v>0</v>
      </c>
      <c r="U202" s="76">
        <f>VLOOKUP(Table228[[#This Row],[Asset]],Table26[#All],10,FALSE)</f>
        <v>0.99</v>
      </c>
    </row>
    <row r="203" spans="1:21">
      <c r="A203" t="s">
        <v>346</v>
      </c>
      <c r="B203" s="68">
        <v>45595</v>
      </c>
      <c r="C203" s="82" t="s">
        <v>176</v>
      </c>
      <c r="D203" t="s">
        <v>468</v>
      </c>
      <c r="E203" t="s">
        <v>285</v>
      </c>
      <c r="F203" s="17">
        <v>0.63</v>
      </c>
      <c r="G203" s="73">
        <v>9093.65</v>
      </c>
      <c r="H203" s="61">
        <f t="shared" si="64"/>
        <v>9093.65</v>
      </c>
      <c r="I203" s="67">
        <f t="shared" si="65"/>
        <v>0</v>
      </c>
      <c r="J203" s="15">
        <f t="shared" si="66"/>
        <v>5728.9994999999999</v>
      </c>
      <c r="K203" s="15">
        <f t="shared" si="67"/>
        <v>0</v>
      </c>
      <c r="L203">
        <f>SUMIF(Table228[[#All],[Asset]],Table228[[#This Row],[Asset]],Table228[[#All],[Bought number]])</f>
        <v>240949.690848</v>
      </c>
      <c r="M203">
        <f>SUMIF(Table228[[#All],[Asset]],Table228[[#This Row],[Asset]],Table228[[#All],[Sold Number]])</f>
        <v>240949.69084800003</v>
      </c>
      <c r="N203" s="15">
        <f>SUMIF(Table228[[#All],[Asset]],Table228[[#This Row],[Asset]],Table228[[#All],[Bought amount]])</f>
        <v>149665.32189729257</v>
      </c>
      <c r="O203" s="15">
        <f>SUMIF(Table228[[#All],[Asset]],Table228[[#This Row],[Asset]],Table228[[#All],[Sold amount]])</f>
        <v>159408.02010878469</v>
      </c>
      <c r="P203" s="75">
        <f>Table228[[#This Row],[Total bought Amount]]/Table228[[#This Row],[Total bought Number]]</f>
        <v>0.62114759878113723</v>
      </c>
      <c r="Q203" s="75">
        <f>IFERROR(Table228[[#This Row],[Total Sold Amount]]/Table228[[#This Row],[Total Sold Number]],0)</f>
        <v>0.66158217322364266</v>
      </c>
      <c r="R203" s="21">
        <f>Table228[[#This Row],[Total bought Number]]-Table228[[#This Row],[Total Sold Number]]</f>
        <v>0</v>
      </c>
      <c r="S203" s="59">
        <f>(Table228[[#This Row],[Ave exit price]]-Table228[[#This Row],[Ave Entry price]])*Table228[[#This Row],[Total Sold Number]]</f>
        <v>9742.6982114921248</v>
      </c>
      <c r="T203" s="15">
        <f>(Table228[[#This Row],[Current Price]]-Table228[[#This Row],[Ave Entry price]])*Table228[[#This Row],[How many tokens now]]</f>
        <v>0</v>
      </c>
      <c r="U203" s="76">
        <f>VLOOKUP(Table228[[#This Row],[Asset]],Table26[#All],10,FALSE)</f>
        <v>0.99</v>
      </c>
    </row>
    <row r="204" spans="1:21">
      <c r="A204" t="s">
        <v>346</v>
      </c>
      <c r="B204" s="68">
        <v>45595</v>
      </c>
      <c r="C204" s="82" t="s">
        <v>176</v>
      </c>
      <c r="D204" t="s">
        <v>468</v>
      </c>
      <c r="E204" t="s">
        <v>285</v>
      </c>
      <c r="F204" s="17">
        <v>0.63</v>
      </c>
      <c r="G204" s="73">
        <v>34202.857150000003</v>
      </c>
      <c r="H204" s="61">
        <f t="shared" si="64"/>
        <v>34202.857150000003</v>
      </c>
      <c r="I204" s="67">
        <f t="shared" si="65"/>
        <v>0</v>
      </c>
      <c r="J204" s="15">
        <f t="shared" si="66"/>
        <v>21547.800004500001</v>
      </c>
      <c r="K204" s="15">
        <f t="shared" si="67"/>
        <v>0</v>
      </c>
      <c r="L204">
        <f>SUMIF(Table228[[#All],[Asset]],Table228[[#This Row],[Asset]],Table228[[#All],[Bought number]])</f>
        <v>240949.690848</v>
      </c>
      <c r="M204">
        <f>SUMIF(Table228[[#All],[Asset]],Table228[[#This Row],[Asset]],Table228[[#All],[Sold Number]])</f>
        <v>240949.69084800003</v>
      </c>
      <c r="N204" s="15">
        <f>SUMIF(Table228[[#All],[Asset]],Table228[[#This Row],[Asset]],Table228[[#All],[Bought amount]])</f>
        <v>149665.32189729257</v>
      </c>
      <c r="O204" s="15">
        <f>SUMIF(Table228[[#All],[Asset]],Table228[[#This Row],[Asset]],Table228[[#All],[Sold amount]])</f>
        <v>159408.02010878469</v>
      </c>
      <c r="P204" s="75">
        <f>Table228[[#This Row],[Total bought Amount]]/Table228[[#This Row],[Total bought Number]]</f>
        <v>0.62114759878113723</v>
      </c>
      <c r="Q204" s="75">
        <f>IFERROR(Table228[[#This Row],[Total Sold Amount]]/Table228[[#This Row],[Total Sold Number]],0)</f>
        <v>0.66158217322364266</v>
      </c>
      <c r="R204" s="21">
        <f>Table228[[#This Row],[Total bought Number]]-Table228[[#This Row],[Total Sold Number]]</f>
        <v>0</v>
      </c>
      <c r="S204" s="59">
        <f>(Table228[[#This Row],[Ave exit price]]-Table228[[#This Row],[Ave Entry price]])*Table228[[#This Row],[Total Sold Number]]</f>
        <v>9742.6982114921248</v>
      </c>
      <c r="T204" s="15">
        <f>(Table228[[#This Row],[Current Price]]-Table228[[#This Row],[Ave Entry price]])*Table228[[#This Row],[How many tokens now]]</f>
        <v>0</v>
      </c>
      <c r="U204" s="76">
        <f>VLOOKUP(Table228[[#This Row],[Asset]],Table26[#All],10,FALSE)</f>
        <v>0.99</v>
      </c>
    </row>
    <row r="205" spans="1:21">
      <c r="A205" t="s">
        <v>346</v>
      </c>
      <c r="B205" s="68">
        <v>45595</v>
      </c>
      <c r="C205" s="82" t="s">
        <v>176</v>
      </c>
      <c r="D205" t="s">
        <v>468</v>
      </c>
      <c r="E205" t="s">
        <v>285</v>
      </c>
      <c r="F205" s="17">
        <v>0.62780000000000002</v>
      </c>
      <c r="G205" s="73">
        <v>-5918.68</v>
      </c>
      <c r="H205" s="61">
        <f t="shared" si="64"/>
        <v>0</v>
      </c>
      <c r="I205" s="67">
        <f t="shared" si="65"/>
        <v>5918.68</v>
      </c>
      <c r="J205" s="15">
        <f t="shared" si="66"/>
        <v>0</v>
      </c>
      <c r="K205" s="15">
        <f t="shared" si="67"/>
        <v>3715.7473040000004</v>
      </c>
      <c r="L205">
        <f>SUMIF(Table228[[#All],[Asset]],Table228[[#This Row],[Asset]],Table228[[#All],[Bought number]])</f>
        <v>240949.690848</v>
      </c>
      <c r="M205">
        <f>SUMIF(Table228[[#All],[Asset]],Table228[[#This Row],[Asset]],Table228[[#All],[Sold Number]])</f>
        <v>240949.69084800003</v>
      </c>
      <c r="N205" s="15">
        <f>SUMIF(Table228[[#All],[Asset]],Table228[[#This Row],[Asset]],Table228[[#All],[Bought amount]])</f>
        <v>149665.32189729257</v>
      </c>
      <c r="O205" s="15">
        <f>SUMIF(Table228[[#All],[Asset]],Table228[[#This Row],[Asset]],Table228[[#All],[Sold amount]])</f>
        <v>159408.02010878469</v>
      </c>
      <c r="P205" s="75">
        <f>Table228[[#This Row],[Total bought Amount]]/Table228[[#This Row],[Total bought Number]]</f>
        <v>0.62114759878113723</v>
      </c>
      <c r="Q205" s="75">
        <f>IFERROR(Table228[[#This Row],[Total Sold Amount]]/Table228[[#This Row],[Total Sold Number]],0)</f>
        <v>0.66158217322364266</v>
      </c>
      <c r="R205" s="21">
        <f>Table228[[#This Row],[Total bought Number]]-Table228[[#This Row],[Total Sold Number]]</f>
        <v>0</v>
      </c>
      <c r="S205" s="59">
        <f>(Table228[[#This Row],[Ave exit price]]-Table228[[#This Row],[Ave Entry price]])*Table228[[#This Row],[Total Sold Number]]</f>
        <v>9742.6982114921248</v>
      </c>
      <c r="T205" s="15">
        <f>(Table228[[#This Row],[Current Price]]-Table228[[#This Row],[Ave Entry price]])*Table228[[#This Row],[How many tokens now]]</f>
        <v>0</v>
      </c>
      <c r="U205" s="76">
        <f>VLOOKUP(Table228[[#This Row],[Asset]],Table26[#All],10,FALSE)</f>
        <v>0.99</v>
      </c>
    </row>
    <row r="206" spans="1:21">
      <c r="A206" t="s">
        <v>346</v>
      </c>
      <c r="B206" s="68">
        <v>45596</v>
      </c>
      <c r="C206" s="82" t="s">
        <v>176</v>
      </c>
      <c r="D206" t="s">
        <v>468</v>
      </c>
      <c r="E206" t="s">
        <v>285</v>
      </c>
      <c r="F206" s="17">
        <v>0.61229999999999996</v>
      </c>
      <c r="G206" s="73">
        <v>-48487</v>
      </c>
      <c r="H206" s="61">
        <f t="shared" si="64"/>
        <v>0</v>
      </c>
      <c r="I206" s="67">
        <f t="shared" si="65"/>
        <v>48487</v>
      </c>
      <c r="J206" s="15">
        <f t="shared" si="66"/>
        <v>0</v>
      </c>
      <c r="K206" s="15">
        <f t="shared" si="67"/>
        <v>29688.590099999998</v>
      </c>
      <c r="L206">
        <f>SUMIF(Table228[[#All],[Asset]],Table228[[#This Row],[Asset]],Table228[[#All],[Bought number]])</f>
        <v>240949.690848</v>
      </c>
      <c r="M206">
        <f>SUMIF(Table228[[#All],[Asset]],Table228[[#This Row],[Asset]],Table228[[#All],[Sold Number]])</f>
        <v>240949.69084800003</v>
      </c>
      <c r="N206" s="15">
        <f>SUMIF(Table228[[#All],[Asset]],Table228[[#This Row],[Asset]],Table228[[#All],[Bought amount]])</f>
        <v>149665.32189729257</v>
      </c>
      <c r="O206" s="15">
        <f>SUMIF(Table228[[#All],[Asset]],Table228[[#This Row],[Asset]],Table228[[#All],[Sold amount]])</f>
        <v>159408.02010878469</v>
      </c>
      <c r="P206" s="75">
        <f>Table228[[#This Row],[Total bought Amount]]/Table228[[#This Row],[Total bought Number]]</f>
        <v>0.62114759878113723</v>
      </c>
      <c r="Q206" s="75">
        <f>IFERROR(Table228[[#This Row],[Total Sold Amount]]/Table228[[#This Row],[Total Sold Number]],0)</f>
        <v>0.66158217322364266</v>
      </c>
      <c r="R206" s="21">
        <f>Table228[[#This Row],[Total bought Number]]-Table228[[#This Row],[Total Sold Number]]</f>
        <v>0</v>
      </c>
      <c r="S206" s="59">
        <f>(Table228[[#This Row],[Ave exit price]]-Table228[[#This Row],[Ave Entry price]])*Table228[[#This Row],[Total Sold Number]]</f>
        <v>9742.6982114921248</v>
      </c>
      <c r="T206" s="15">
        <f>(Table228[[#This Row],[Current Price]]-Table228[[#This Row],[Ave Entry price]])*Table228[[#This Row],[How many tokens now]]</f>
        <v>0</v>
      </c>
      <c r="U206" s="76">
        <f>VLOOKUP(Table228[[#This Row],[Asset]],Table26[#All],10,FALSE)</f>
        <v>0.99</v>
      </c>
    </row>
    <row r="207" spans="1:21">
      <c r="A207" t="s">
        <v>346</v>
      </c>
      <c r="B207" s="68">
        <v>45596</v>
      </c>
      <c r="C207" s="82" t="s">
        <v>176</v>
      </c>
      <c r="D207" t="s">
        <v>468</v>
      </c>
      <c r="E207" t="s">
        <v>285</v>
      </c>
      <c r="F207" s="17">
        <v>0.60840000000000005</v>
      </c>
      <c r="G207" s="73">
        <v>-8133.72</v>
      </c>
      <c r="H207" s="61">
        <f t="shared" si="64"/>
        <v>0</v>
      </c>
      <c r="I207" s="67">
        <f t="shared" si="65"/>
        <v>8133.72</v>
      </c>
      <c r="J207" s="15">
        <f t="shared" si="66"/>
        <v>0</v>
      </c>
      <c r="K207" s="15">
        <f t="shared" si="67"/>
        <v>4948.5552480000006</v>
      </c>
      <c r="L207">
        <f>SUMIF(Table228[[#All],[Asset]],Table228[[#This Row],[Asset]],Table228[[#All],[Bought number]])</f>
        <v>240949.690848</v>
      </c>
      <c r="M207">
        <f>SUMIF(Table228[[#All],[Asset]],Table228[[#This Row],[Asset]],Table228[[#All],[Sold Number]])</f>
        <v>240949.69084800003</v>
      </c>
      <c r="N207" s="15">
        <f>SUMIF(Table228[[#All],[Asset]],Table228[[#This Row],[Asset]],Table228[[#All],[Bought amount]])</f>
        <v>149665.32189729257</v>
      </c>
      <c r="O207" s="15">
        <f>SUMIF(Table228[[#All],[Asset]],Table228[[#This Row],[Asset]],Table228[[#All],[Sold amount]])</f>
        <v>159408.02010878469</v>
      </c>
      <c r="P207" s="75">
        <f>Table228[[#This Row],[Total bought Amount]]/Table228[[#This Row],[Total bought Number]]</f>
        <v>0.62114759878113723</v>
      </c>
      <c r="Q207" s="75">
        <f>IFERROR(Table228[[#This Row],[Total Sold Amount]]/Table228[[#This Row],[Total Sold Number]],0)</f>
        <v>0.66158217322364266</v>
      </c>
      <c r="R207" s="21">
        <f>Table228[[#This Row],[Total bought Number]]-Table228[[#This Row],[Total Sold Number]]</f>
        <v>0</v>
      </c>
      <c r="S207" s="59">
        <f>(Table228[[#This Row],[Ave exit price]]-Table228[[#This Row],[Ave Entry price]])*Table228[[#This Row],[Total Sold Number]]</f>
        <v>9742.6982114921248</v>
      </c>
      <c r="T207" s="15">
        <f>(Table228[[#This Row],[Current Price]]-Table228[[#This Row],[Ave Entry price]])*Table228[[#This Row],[How many tokens now]]</f>
        <v>0</v>
      </c>
      <c r="U207" s="76">
        <f>VLOOKUP(Table228[[#This Row],[Asset]],Table26[#All],10,FALSE)</f>
        <v>0.99</v>
      </c>
    </row>
    <row r="208" spans="1:21">
      <c r="A208" t="s">
        <v>346</v>
      </c>
      <c r="B208" s="68">
        <v>45596</v>
      </c>
      <c r="C208" s="82" t="s">
        <v>176</v>
      </c>
      <c r="D208" t="s">
        <v>468</v>
      </c>
      <c r="E208" t="s">
        <v>285</v>
      </c>
      <c r="F208" s="17">
        <v>0.62</v>
      </c>
      <c r="G208" s="73">
        <v>17591.77419</v>
      </c>
      <c r="H208" s="61">
        <f t="shared" si="64"/>
        <v>17591.77419</v>
      </c>
      <c r="I208" s="67">
        <f t="shared" si="65"/>
        <v>0</v>
      </c>
      <c r="J208" s="15">
        <f t="shared" si="66"/>
        <v>10906.899997799999</v>
      </c>
      <c r="K208" s="15">
        <f t="shared" si="67"/>
        <v>0</v>
      </c>
      <c r="L208">
        <f>SUMIF(Table228[[#All],[Asset]],Table228[[#This Row],[Asset]],Table228[[#All],[Bought number]])</f>
        <v>240949.690848</v>
      </c>
      <c r="M208">
        <f>SUMIF(Table228[[#All],[Asset]],Table228[[#This Row],[Asset]],Table228[[#All],[Sold Number]])</f>
        <v>240949.69084800003</v>
      </c>
      <c r="N208" s="15">
        <f>SUMIF(Table228[[#All],[Asset]],Table228[[#This Row],[Asset]],Table228[[#All],[Bought amount]])</f>
        <v>149665.32189729257</v>
      </c>
      <c r="O208" s="15">
        <f>SUMIF(Table228[[#All],[Asset]],Table228[[#This Row],[Asset]],Table228[[#All],[Sold amount]])</f>
        <v>159408.02010878469</v>
      </c>
      <c r="P208" s="75">
        <f>Table228[[#This Row],[Total bought Amount]]/Table228[[#This Row],[Total bought Number]]</f>
        <v>0.62114759878113723</v>
      </c>
      <c r="Q208" s="75">
        <f>IFERROR(Table228[[#This Row],[Total Sold Amount]]/Table228[[#This Row],[Total Sold Number]],0)</f>
        <v>0.66158217322364266</v>
      </c>
      <c r="R208" s="21">
        <f>Table228[[#This Row],[Total bought Number]]-Table228[[#This Row],[Total Sold Number]]</f>
        <v>0</v>
      </c>
      <c r="S208" s="59">
        <f>(Table228[[#This Row],[Ave exit price]]-Table228[[#This Row],[Ave Entry price]])*Table228[[#This Row],[Total Sold Number]]</f>
        <v>9742.6982114921248</v>
      </c>
      <c r="T208" s="15">
        <f>(Table228[[#This Row],[Current Price]]-Table228[[#This Row],[Ave Entry price]])*Table228[[#This Row],[How many tokens now]]</f>
        <v>0</v>
      </c>
      <c r="U208" s="76">
        <f>VLOOKUP(Table228[[#This Row],[Asset]],Table26[#All],10,FALSE)</f>
        <v>0.99</v>
      </c>
    </row>
    <row r="209" spans="1:21">
      <c r="A209" t="s">
        <v>346</v>
      </c>
      <c r="B209" s="68">
        <v>45596</v>
      </c>
      <c r="C209" s="82" t="s">
        <v>176</v>
      </c>
      <c r="D209" t="s">
        <v>468</v>
      </c>
      <c r="E209" t="s">
        <v>285</v>
      </c>
      <c r="F209" s="17">
        <v>0.63</v>
      </c>
      <c r="G209" s="73">
        <v>3802.2220000000002</v>
      </c>
      <c r="H209" s="61">
        <f t="shared" si="64"/>
        <v>3802.2220000000002</v>
      </c>
      <c r="I209" s="67">
        <f t="shared" si="65"/>
        <v>0</v>
      </c>
      <c r="J209" s="15">
        <f t="shared" si="66"/>
        <v>2395.39986</v>
      </c>
      <c r="K209" s="15">
        <f t="shared" si="67"/>
        <v>0</v>
      </c>
      <c r="L209">
        <f>SUMIF(Table228[[#All],[Asset]],Table228[[#This Row],[Asset]],Table228[[#All],[Bought number]])</f>
        <v>240949.690848</v>
      </c>
      <c r="M209">
        <f>SUMIF(Table228[[#All],[Asset]],Table228[[#This Row],[Asset]],Table228[[#All],[Sold Number]])</f>
        <v>240949.69084800003</v>
      </c>
      <c r="N209" s="15">
        <f>SUMIF(Table228[[#All],[Asset]],Table228[[#This Row],[Asset]],Table228[[#All],[Bought amount]])</f>
        <v>149665.32189729257</v>
      </c>
      <c r="O209" s="15">
        <f>SUMIF(Table228[[#All],[Asset]],Table228[[#This Row],[Asset]],Table228[[#All],[Sold amount]])</f>
        <v>159408.02010878469</v>
      </c>
      <c r="P209" s="75">
        <f>Table228[[#This Row],[Total bought Amount]]/Table228[[#This Row],[Total bought Number]]</f>
        <v>0.62114759878113723</v>
      </c>
      <c r="Q209" s="75">
        <f>IFERROR(Table228[[#This Row],[Total Sold Amount]]/Table228[[#This Row],[Total Sold Number]],0)</f>
        <v>0.66158217322364266</v>
      </c>
      <c r="R209" s="21">
        <f>Table228[[#This Row],[Total bought Number]]-Table228[[#This Row],[Total Sold Number]]</f>
        <v>0</v>
      </c>
      <c r="S209" s="59">
        <f>(Table228[[#This Row],[Ave exit price]]-Table228[[#This Row],[Ave Entry price]])*Table228[[#This Row],[Total Sold Number]]</f>
        <v>9742.6982114921248</v>
      </c>
      <c r="T209" s="15">
        <f>(Table228[[#This Row],[Current Price]]-Table228[[#This Row],[Ave Entry price]])*Table228[[#This Row],[How many tokens now]]</f>
        <v>0</v>
      </c>
      <c r="U209" s="76">
        <f>VLOOKUP(Table228[[#This Row],[Asset]],Table26[#All],10,FALSE)</f>
        <v>0.99</v>
      </c>
    </row>
    <row r="210" spans="1:21">
      <c r="A210" t="s">
        <v>346</v>
      </c>
      <c r="B210" s="68">
        <v>45597</v>
      </c>
      <c r="C210" s="82" t="s">
        <v>176</v>
      </c>
      <c r="D210" t="s">
        <v>468</v>
      </c>
      <c r="E210" t="s">
        <v>285</v>
      </c>
      <c r="F210" s="17">
        <v>0.59809999999999997</v>
      </c>
      <c r="G210" s="73">
        <v>-9204</v>
      </c>
      <c r="H210" s="61">
        <f t="shared" si="64"/>
        <v>0</v>
      </c>
      <c r="I210" s="67">
        <f t="shared" si="65"/>
        <v>9204</v>
      </c>
      <c r="J210" s="15">
        <f t="shared" si="66"/>
        <v>0</v>
      </c>
      <c r="K210" s="15">
        <f t="shared" si="67"/>
        <v>5504.9123999999993</v>
      </c>
      <c r="L210">
        <f>SUMIF(Table228[[#All],[Asset]],Table228[[#This Row],[Asset]],Table228[[#All],[Bought number]])</f>
        <v>240949.690848</v>
      </c>
      <c r="M210">
        <f>SUMIF(Table228[[#All],[Asset]],Table228[[#This Row],[Asset]],Table228[[#All],[Sold Number]])</f>
        <v>240949.69084800003</v>
      </c>
      <c r="N210" s="15">
        <f>SUMIF(Table228[[#All],[Asset]],Table228[[#This Row],[Asset]],Table228[[#All],[Bought amount]])</f>
        <v>149665.32189729257</v>
      </c>
      <c r="O210" s="15">
        <f>SUMIF(Table228[[#All],[Asset]],Table228[[#This Row],[Asset]],Table228[[#All],[Sold amount]])</f>
        <v>159408.02010878469</v>
      </c>
      <c r="P210" s="75">
        <f>Table228[[#This Row],[Total bought Amount]]/Table228[[#This Row],[Total bought Number]]</f>
        <v>0.62114759878113723</v>
      </c>
      <c r="Q210" s="75">
        <f>IFERROR(Table228[[#This Row],[Total Sold Amount]]/Table228[[#This Row],[Total Sold Number]],0)</f>
        <v>0.66158217322364266</v>
      </c>
      <c r="R210" s="21">
        <f>Table228[[#This Row],[Total bought Number]]-Table228[[#This Row],[Total Sold Number]]</f>
        <v>0</v>
      </c>
      <c r="S210" s="59">
        <f>(Table228[[#This Row],[Ave exit price]]-Table228[[#This Row],[Ave Entry price]])*Table228[[#This Row],[Total Sold Number]]</f>
        <v>9742.6982114921248</v>
      </c>
      <c r="T210" s="15">
        <f>(Table228[[#This Row],[Current Price]]-Table228[[#This Row],[Ave Entry price]])*Table228[[#This Row],[How many tokens now]]</f>
        <v>0</v>
      </c>
      <c r="U210" s="76">
        <f>VLOOKUP(Table228[[#This Row],[Asset]],Table26[#All],10,FALSE)</f>
        <v>0.99</v>
      </c>
    </row>
    <row r="211" spans="1:21">
      <c r="A211" t="s">
        <v>252</v>
      </c>
      <c r="B211" s="68">
        <v>45597</v>
      </c>
      <c r="C211" s="82" t="s">
        <v>180</v>
      </c>
      <c r="D211" t="s">
        <v>7</v>
      </c>
      <c r="E211" t="s">
        <v>336</v>
      </c>
      <c r="F211" s="17">
        <v>0.40332200000000001</v>
      </c>
      <c r="G211" s="73">
        <v>-1600</v>
      </c>
      <c r="H211" s="61">
        <f>IF(G211&gt;0,G211,0)</f>
        <v>0</v>
      </c>
      <c r="I211" s="67">
        <f>IF(G211&lt;0,ABS(G211),0)</f>
        <v>1600</v>
      </c>
      <c r="J211" s="15">
        <f>H211*F211</f>
        <v>0</v>
      </c>
      <c r="K211" s="53">
        <f>I211*F211</f>
        <v>645.3152</v>
      </c>
      <c r="L211">
        <f>SUMIF(Table228[[#All],[Asset]],Table228[[#This Row],[Asset]],Table228[[#All],[Bought number]])</f>
        <v>15683.837200000002</v>
      </c>
      <c r="M211">
        <f>SUMIF(Table228[[#All],[Asset]],Table228[[#This Row],[Asset]],Table228[[#All],[Sold Number]])</f>
        <v>15260.380000000001</v>
      </c>
      <c r="N211" s="15">
        <f>SUMIF(Table228[[#All],[Asset]],Table228[[#This Row],[Asset]],Table228[[#All],[Bought amount]])</f>
        <v>11762.877899999999</v>
      </c>
      <c r="O211" s="15">
        <f>SUMIF(Table228[[#All],[Asset]],Table228[[#This Row],[Asset]],Table228[[#All],[Sold amount]])</f>
        <v>5579.440247999999</v>
      </c>
      <c r="P211" s="75">
        <f>Table228[[#This Row],[Total bought Amount]]/Table228[[#This Row],[Total bought Number]]</f>
        <v>0.74999999999999989</v>
      </c>
      <c r="Q211" s="75">
        <f>IFERROR(Table228[[#This Row],[Total Sold Amount]]/Table228[[#This Row],[Total Sold Number]],0)</f>
        <v>0.36561607561541709</v>
      </c>
      <c r="R211" s="21">
        <f>Table228[[#This Row],[Total bought Number]]-Table228[[#This Row],[Total Sold Number]]</f>
        <v>423.45720000000074</v>
      </c>
      <c r="S211" s="59">
        <f>(Table228[[#This Row],[Ave exit price]]-Table228[[#This Row],[Ave Entry price]])*Table228[[#This Row],[Total Sold Number]]</f>
        <v>-5865.844752</v>
      </c>
      <c r="T211" s="15">
        <f>(Table228[[#This Row],[Current Price]]-Table228[[#This Row],[Ave Entry price]])*Table228[[#This Row],[How many tokens now]]</f>
        <v>-155.83224960000021</v>
      </c>
      <c r="U211" s="76">
        <f>VLOOKUP(Table228[[#This Row],[Asset]],Table26[#All],10,FALSE)</f>
        <v>0.38200000000000001</v>
      </c>
    </row>
    <row r="212" spans="1:21">
      <c r="A212" t="s">
        <v>346</v>
      </c>
      <c r="B212" s="68">
        <v>45597</v>
      </c>
      <c r="C212" s="82" t="s">
        <v>176</v>
      </c>
      <c r="D212" t="s">
        <v>468</v>
      </c>
      <c r="E212" t="s">
        <v>285</v>
      </c>
      <c r="F212" s="17">
        <v>0.58479999999999999</v>
      </c>
      <c r="G212" s="73">
        <v>-2700.0683990000002</v>
      </c>
      <c r="H212" s="61">
        <f>IF(G212&gt;0,G212,0)</f>
        <v>0</v>
      </c>
      <c r="I212" s="67">
        <f>IF(G212&lt;0,ABS(G212),0)</f>
        <v>2700.0683990000002</v>
      </c>
      <c r="J212" s="15">
        <f>H212*F212</f>
        <v>0</v>
      </c>
      <c r="K212" s="15">
        <f>I212*F212</f>
        <v>1578.9999997352002</v>
      </c>
      <c r="L212">
        <f>SUMIF(Table228[[#All],[Asset]],Table228[[#This Row],[Asset]],Table228[[#All],[Bought number]])</f>
        <v>240949.690848</v>
      </c>
      <c r="M212">
        <f>SUMIF(Table228[[#All],[Asset]],Table228[[#This Row],[Asset]],Table228[[#All],[Sold Number]])</f>
        <v>240949.69084800003</v>
      </c>
      <c r="N212" s="15">
        <f>SUMIF(Table228[[#All],[Asset]],Table228[[#This Row],[Asset]],Table228[[#All],[Bought amount]])</f>
        <v>149665.32189729257</v>
      </c>
      <c r="O212" s="15">
        <f>SUMIF(Table228[[#All],[Asset]],Table228[[#This Row],[Asset]],Table228[[#All],[Sold amount]])</f>
        <v>159408.02010878469</v>
      </c>
      <c r="P212" s="75">
        <f>Table228[[#This Row],[Total bought Amount]]/Table228[[#This Row],[Total bought Number]]</f>
        <v>0.62114759878113723</v>
      </c>
      <c r="Q212" s="75">
        <f>IFERROR(Table228[[#This Row],[Total Sold Amount]]/Table228[[#This Row],[Total Sold Number]],0)</f>
        <v>0.66158217322364266</v>
      </c>
      <c r="R212" s="21">
        <f>Table228[[#This Row],[Total bought Number]]-Table228[[#This Row],[Total Sold Number]]</f>
        <v>0</v>
      </c>
      <c r="S212" s="59">
        <f>(Table228[[#This Row],[Ave exit price]]-Table228[[#This Row],[Ave Entry price]])*Table228[[#This Row],[Total Sold Number]]</f>
        <v>9742.6982114921248</v>
      </c>
      <c r="T212" s="15">
        <f>(Table228[[#This Row],[Current Price]]-Table228[[#This Row],[Ave Entry price]])*Table228[[#This Row],[How many tokens now]]</f>
        <v>0</v>
      </c>
      <c r="U212" s="76">
        <f>VLOOKUP(Table228[[#This Row],[Asset]],Table26[#All],10,FALSE)</f>
        <v>0.99</v>
      </c>
    </row>
    <row r="213" spans="1:21">
      <c r="A213" t="s">
        <v>346</v>
      </c>
      <c r="B213" s="68">
        <v>45597</v>
      </c>
      <c r="C213" s="82" t="s">
        <v>176</v>
      </c>
      <c r="D213" t="s">
        <v>468</v>
      </c>
      <c r="E213" t="s">
        <v>285</v>
      </c>
      <c r="F213" s="17">
        <v>0.59</v>
      </c>
      <c r="G213" s="73">
        <v>14417.796609999999</v>
      </c>
      <c r="H213" s="61">
        <f t="shared" ref="H213:H214" si="68">IF(G213&gt;0,G213,0)</f>
        <v>14417.796609999999</v>
      </c>
      <c r="I213" s="67">
        <f t="shared" ref="I213:I214" si="69">IF(G213&lt;0,ABS(G213),0)</f>
        <v>0</v>
      </c>
      <c r="J213" s="15">
        <f t="shared" ref="J213:J214" si="70">H213*F213</f>
        <v>8506.4999998999992</v>
      </c>
      <c r="K213" s="15">
        <f t="shared" ref="K213:K214" si="71">I213*F213</f>
        <v>0</v>
      </c>
      <c r="L213">
        <f>SUMIF(Table228[[#All],[Asset]],Table228[[#This Row],[Asset]],Table228[[#All],[Bought number]])</f>
        <v>240949.690848</v>
      </c>
      <c r="M213">
        <f>SUMIF(Table228[[#All],[Asset]],Table228[[#This Row],[Asset]],Table228[[#All],[Sold Number]])</f>
        <v>240949.69084800003</v>
      </c>
      <c r="N213" s="15">
        <f>SUMIF(Table228[[#All],[Asset]],Table228[[#This Row],[Asset]],Table228[[#All],[Bought amount]])</f>
        <v>149665.32189729257</v>
      </c>
      <c r="O213" s="15">
        <f>SUMIF(Table228[[#All],[Asset]],Table228[[#This Row],[Asset]],Table228[[#All],[Sold amount]])</f>
        <v>159408.02010878469</v>
      </c>
      <c r="P213" s="75">
        <f>Table228[[#This Row],[Total bought Amount]]/Table228[[#This Row],[Total bought Number]]</f>
        <v>0.62114759878113723</v>
      </c>
      <c r="Q213" s="75">
        <f>IFERROR(Table228[[#This Row],[Total Sold Amount]]/Table228[[#This Row],[Total Sold Number]],0)</f>
        <v>0.66158217322364266</v>
      </c>
      <c r="R213" s="21">
        <f>Table228[[#This Row],[Total bought Number]]-Table228[[#This Row],[Total Sold Number]]</f>
        <v>0</v>
      </c>
      <c r="S213" s="59">
        <f>(Table228[[#This Row],[Ave exit price]]-Table228[[#This Row],[Ave Entry price]])*Table228[[#This Row],[Total Sold Number]]</f>
        <v>9742.6982114921248</v>
      </c>
      <c r="T213" s="15">
        <f>(Table228[[#This Row],[Current Price]]-Table228[[#This Row],[Ave Entry price]])*Table228[[#This Row],[How many tokens now]]</f>
        <v>0</v>
      </c>
      <c r="U213" s="76">
        <f>VLOOKUP(Table228[[#This Row],[Asset]],Table26[#All],10,FALSE)</f>
        <v>0.99</v>
      </c>
    </row>
    <row r="214" spans="1:21">
      <c r="A214" t="s">
        <v>346</v>
      </c>
      <c r="B214" s="68">
        <v>45597</v>
      </c>
      <c r="C214" s="82" t="s">
        <v>176</v>
      </c>
      <c r="D214" t="s">
        <v>468</v>
      </c>
      <c r="E214" t="s">
        <v>285</v>
      </c>
      <c r="F214" s="17">
        <v>0.58120000000000005</v>
      </c>
      <c r="G214" s="73">
        <v>-5271.34</v>
      </c>
      <c r="H214" s="61">
        <f t="shared" si="68"/>
        <v>0</v>
      </c>
      <c r="I214" s="67">
        <f t="shared" si="69"/>
        <v>5271.34</v>
      </c>
      <c r="J214" s="15">
        <f t="shared" si="70"/>
        <v>0</v>
      </c>
      <c r="K214" s="53">
        <f t="shared" si="71"/>
        <v>3063.7028080000005</v>
      </c>
      <c r="L214">
        <f>SUMIF(Table228[[#All],[Asset]],Table228[[#This Row],[Asset]],Table228[[#All],[Bought number]])</f>
        <v>240949.690848</v>
      </c>
      <c r="M214">
        <f>SUMIF(Table228[[#All],[Asset]],Table228[[#This Row],[Asset]],Table228[[#All],[Sold Number]])</f>
        <v>240949.69084800003</v>
      </c>
      <c r="N214" s="15">
        <f>SUMIF(Table228[[#All],[Asset]],Table228[[#This Row],[Asset]],Table228[[#All],[Bought amount]])</f>
        <v>149665.32189729257</v>
      </c>
      <c r="O214" s="15">
        <f>SUMIF(Table228[[#All],[Asset]],Table228[[#This Row],[Asset]],Table228[[#All],[Sold amount]])</f>
        <v>159408.02010878469</v>
      </c>
      <c r="P214" s="75">
        <f>Table228[[#This Row],[Total bought Amount]]/Table228[[#This Row],[Total bought Number]]</f>
        <v>0.62114759878113723</v>
      </c>
      <c r="Q214" s="75">
        <f>IFERROR(Table228[[#This Row],[Total Sold Amount]]/Table228[[#This Row],[Total Sold Number]],0)</f>
        <v>0.66158217322364266</v>
      </c>
      <c r="R214" s="21">
        <f>Table228[[#This Row],[Total bought Number]]-Table228[[#This Row],[Total Sold Number]]</f>
        <v>0</v>
      </c>
      <c r="S214" s="59">
        <f>(Table228[[#This Row],[Ave exit price]]-Table228[[#This Row],[Ave Entry price]])*Table228[[#This Row],[Total Sold Number]]</f>
        <v>9742.6982114921248</v>
      </c>
      <c r="T214" s="15">
        <f>(Table228[[#This Row],[Current Price]]-Table228[[#This Row],[Ave Entry price]])*Table228[[#This Row],[How many tokens now]]</f>
        <v>0</v>
      </c>
      <c r="U214" s="76">
        <f>VLOOKUP(Table228[[#This Row],[Asset]],Table26[#All],10,FALSE)</f>
        <v>0.99</v>
      </c>
    </row>
    <row r="215" spans="1:21">
      <c r="A215" t="s">
        <v>346</v>
      </c>
      <c r="B215" s="68">
        <v>45597</v>
      </c>
      <c r="C215" s="82" t="s">
        <v>176</v>
      </c>
      <c r="D215" t="s">
        <v>468</v>
      </c>
      <c r="E215" t="s">
        <v>285</v>
      </c>
      <c r="F215" s="17">
        <v>0.5726</v>
      </c>
      <c r="G215" s="73">
        <v>-34612.120000000003</v>
      </c>
      <c r="H215" s="61">
        <f t="shared" ref="H215:H216" si="72">IF(G215&gt;0,G215,0)</f>
        <v>0</v>
      </c>
      <c r="I215" s="67">
        <f t="shared" ref="I215:I216" si="73">IF(G215&lt;0,ABS(G215),0)</f>
        <v>34612.120000000003</v>
      </c>
      <c r="J215" s="15">
        <f t="shared" ref="J215:J216" si="74">H215*F215</f>
        <v>0</v>
      </c>
      <c r="K215" s="15">
        <f t="shared" ref="K215:K216" si="75">I215*F215</f>
        <v>19818.899912000001</v>
      </c>
      <c r="L215">
        <f>SUMIF(Table228[[#All],[Asset]],Table228[[#This Row],[Asset]],Table228[[#All],[Bought number]])</f>
        <v>240949.690848</v>
      </c>
      <c r="M215">
        <f>SUMIF(Table228[[#All],[Asset]],Table228[[#This Row],[Asset]],Table228[[#All],[Sold Number]])</f>
        <v>240949.69084800003</v>
      </c>
      <c r="N215" s="15">
        <f>SUMIF(Table228[[#All],[Asset]],Table228[[#This Row],[Asset]],Table228[[#All],[Bought amount]])</f>
        <v>149665.32189729257</v>
      </c>
      <c r="O215" s="15">
        <f>SUMIF(Table228[[#All],[Asset]],Table228[[#This Row],[Asset]],Table228[[#All],[Sold amount]])</f>
        <v>159408.02010878469</v>
      </c>
      <c r="P215" s="75">
        <f>Table228[[#This Row],[Total bought Amount]]/Table228[[#This Row],[Total bought Number]]</f>
        <v>0.62114759878113723</v>
      </c>
      <c r="Q215" s="75">
        <f>IFERROR(Table228[[#This Row],[Total Sold Amount]]/Table228[[#This Row],[Total Sold Number]],0)</f>
        <v>0.66158217322364266</v>
      </c>
      <c r="R215" s="21">
        <f>Table228[[#This Row],[Total bought Number]]-Table228[[#This Row],[Total Sold Number]]</f>
        <v>0</v>
      </c>
      <c r="S215" s="59">
        <f>(Table228[[#This Row],[Ave exit price]]-Table228[[#This Row],[Ave Entry price]])*Table228[[#This Row],[Total Sold Number]]</f>
        <v>9742.6982114921248</v>
      </c>
      <c r="T215" s="15">
        <f>(Table228[[#This Row],[Current Price]]-Table228[[#This Row],[Ave Entry price]])*Table228[[#This Row],[How many tokens now]]</f>
        <v>0</v>
      </c>
      <c r="U215" s="76">
        <f>VLOOKUP(Table228[[#This Row],[Asset]],Table26[#All],10,FALSE)</f>
        <v>0.99</v>
      </c>
    </row>
    <row r="216" spans="1:21">
      <c r="A216" t="s">
        <v>346</v>
      </c>
      <c r="B216" s="68">
        <v>45597</v>
      </c>
      <c r="C216" s="82" t="s">
        <v>176</v>
      </c>
      <c r="D216" t="s">
        <v>468</v>
      </c>
      <c r="E216" t="s">
        <v>285</v>
      </c>
      <c r="F216" s="17">
        <v>0.57420000000000004</v>
      </c>
      <c r="G216" s="73">
        <v>-3801.9852999999998</v>
      </c>
      <c r="H216" s="61">
        <f t="shared" si="72"/>
        <v>0</v>
      </c>
      <c r="I216" s="67">
        <f t="shared" si="73"/>
        <v>3801.9852999999998</v>
      </c>
      <c r="J216" s="15">
        <f t="shared" si="74"/>
        <v>0</v>
      </c>
      <c r="K216" s="15">
        <f t="shared" si="75"/>
        <v>2183.0999592600001</v>
      </c>
      <c r="L216">
        <f>SUMIF(Table228[[#All],[Asset]],Table228[[#This Row],[Asset]],Table228[[#All],[Bought number]])</f>
        <v>240949.690848</v>
      </c>
      <c r="M216">
        <f>SUMIF(Table228[[#All],[Asset]],Table228[[#This Row],[Asset]],Table228[[#All],[Sold Number]])</f>
        <v>240949.69084800003</v>
      </c>
      <c r="N216" s="15">
        <f>SUMIF(Table228[[#All],[Asset]],Table228[[#This Row],[Asset]],Table228[[#All],[Bought amount]])</f>
        <v>149665.32189729257</v>
      </c>
      <c r="O216" s="15">
        <f>SUMIF(Table228[[#All],[Asset]],Table228[[#This Row],[Asset]],Table228[[#All],[Sold amount]])</f>
        <v>159408.02010878469</v>
      </c>
      <c r="P216" s="75">
        <f>Table228[[#This Row],[Total bought Amount]]/Table228[[#This Row],[Total bought Number]]</f>
        <v>0.62114759878113723</v>
      </c>
      <c r="Q216" s="75">
        <f>IFERROR(Table228[[#This Row],[Total Sold Amount]]/Table228[[#This Row],[Total Sold Number]],0)</f>
        <v>0.66158217322364266</v>
      </c>
      <c r="R216" s="21">
        <f>Table228[[#This Row],[Total bought Number]]-Table228[[#This Row],[Total Sold Number]]</f>
        <v>0</v>
      </c>
      <c r="S216" s="59">
        <f>(Table228[[#This Row],[Ave exit price]]-Table228[[#This Row],[Ave Entry price]])*Table228[[#This Row],[Total Sold Number]]</f>
        <v>9742.6982114921248</v>
      </c>
      <c r="T216" s="15">
        <f>(Table228[[#This Row],[Current Price]]-Table228[[#This Row],[Ave Entry price]])*Table228[[#This Row],[How many tokens now]]</f>
        <v>0</v>
      </c>
      <c r="U216" s="76">
        <f>VLOOKUP(Table228[[#This Row],[Asset]],Table26[#All],10,FALSE)</f>
        <v>0.99</v>
      </c>
    </row>
    <row r="217" spans="1:21">
      <c r="A217" t="s">
        <v>346</v>
      </c>
      <c r="B217" s="68">
        <v>45598</v>
      </c>
      <c r="C217" s="82" t="s">
        <v>176</v>
      </c>
      <c r="D217" t="s">
        <v>468</v>
      </c>
      <c r="E217" t="s">
        <v>285</v>
      </c>
      <c r="F217" s="17">
        <v>0.56999999999999995</v>
      </c>
      <c r="G217" s="73">
        <v>15284.56</v>
      </c>
      <c r="H217" s="61">
        <f t="shared" ref="H217:H227" si="76">IF(G217&gt;0,G217,0)</f>
        <v>15284.56</v>
      </c>
      <c r="I217" s="67">
        <f t="shared" ref="I217:I227" si="77">IF(G217&lt;0,ABS(G217),0)</f>
        <v>0</v>
      </c>
      <c r="J217" s="15">
        <f t="shared" ref="J217:J227" si="78">H217*F217</f>
        <v>8712.1991999999991</v>
      </c>
      <c r="K217" s="15">
        <f t="shared" ref="K217:K227" si="79">I217*F217</f>
        <v>0</v>
      </c>
      <c r="L217">
        <f>SUMIF(Table228[[#All],[Asset]],Table228[[#This Row],[Asset]],Table228[[#All],[Bought number]])</f>
        <v>240949.690848</v>
      </c>
      <c r="M217">
        <f>SUMIF(Table228[[#All],[Asset]],Table228[[#This Row],[Asset]],Table228[[#All],[Sold Number]])</f>
        <v>240949.69084800003</v>
      </c>
      <c r="N217" s="15">
        <f>SUMIF(Table228[[#All],[Asset]],Table228[[#This Row],[Asset]],Table228[[#All],[Bought amount]])</f>
        <v>149665.32189729257</v>
      </c>
      <c r="O217" s="15">
        <f>SUMIF(Table228[[#All],[Asset]],Table228[[#This Row],[Asset]],Table228[[#All],[Sold amount]])</f>
        <v>159408.02010878469</v>
      </c>
      <c r="P217" s="75">
        <f>Table228[[#This Row],[Total bought Amount]]/Table228[[#This Row],[Total bought Number]]</f>
        <v>0.62114759878113723</v>
      </c>
      <c r="Q217" s="75">
        <f>IFERROR(Table228[[#This Row],[Total Sold Amount]]/Table228[[#This Row],[Total Sold Number]],0)</f>
        <v>0.66158217322364266</v>
      </c>
      <c r="R217" s="21">
        <f>Table228[[#This Row],[Total bought Number]]-Table228[[#This Row],[Total Sold Number]]</f>
        <v>0</v>
      </c>
      <c r="S217" s="59">
        <f>(Table228[[#This Row],[Ave exit price]]-Table228[[#This Row],[Ave Entry price]])*Table228[[#This Row],[Total Sold Number]]</f>
        <v>9742.6982114921248</v>
      </c>
      <c r="T217" s="15">
        <f>(Table228[[#This Row],[Current Price]]-Table228[[#This Row],[Ave Entry price]])*Table228[[#This Row],[How many tokens now]]</f>
        <v>0</v>
      </c>
      <c r="U217" s="76">
        <f>VLOOKUP(Table228[[#This Row],[Asset]],Table26[#All],10,FALSE)</f>
        <v>0.99</v>
      </c>
    </row>
    <row r="218" spans="1:21">
      <c r="A218" t="s">
        <v>346</v>
      </c>
      <c r="B218" s="68">
        <v>45598</v>
      </c>
      <c r="C218" s="82" t="s">
        <v>176</v>
      </c>
      <c r="D218" t="s">
        <v>468</v>
      </c>
      <c r="E218" t="s">
        <v>285</v>
      </c>
      <c r="F218" s="17">
        <v>0.58860000000000001</v>
      </c>
      <c r="G218" s="73">
        <v>9155.9633030000005</v>
      </c>
      <c r="H218" s="61">
        <f t="shared" si="76"/>
        <v>9155.9633030000005</v>
      </c>
      <c r="I218" s="67">
        <f t="shared" si="77"/>
        <v>0</v>
      </c>
      <c r="J218" s="15">
        <f t="shared" si="78"/>
        <v>5389.2000001458</v>
      </c>
      <c r="K218" s="15">
        <f t="shared" si="79"/>
        <v>0</v>
      </c>
      <c r="L218">
        <f>SUMIF(Table228[[#All],[Asset]],Table228[[#This Row],[Asset]],Table228[[#All],[Bought number]])</f>
        <v>240949.690848</v>
      </c>
      <c r="M218">
        <f>SUMIF(Table228[[#All],[Asset]],Table228[[#This Row],[Asset]],Table228[[#All],[Sold Number]])</f>
        <v>240949.69084800003</v>
      </c>
      <c r="N218" s="15">
        <f>SUMIF(Table228[[#All],[Asset]],Table228[[#This Row],[Asset]],Table228[[#All],[Bought amount]])</f>
        <v>149665.32189729257</v>
      </c>
      <c r="O218" s="15">
        <f>SUMIF(Table228[[#All],[Asset]],Table228[[#This Row],[Asset]],Table228[[#All],[Sold amount]])</f>
        <v>159408.02010878469</v>
      </c>
      <c r="P218" s="75">
        <f>Table228[[#This Row],[Total bought Amount]]/Table228[[#This Row],[Total bought Number]]</f>
        <v>0.62114759878113723</v>
      </c>
      <c r="Q218" s="75">
        <f>IFERROR(Table228[[#This Row],[Total Sold Amount]]/Table228[[#This Row],[Total Sold Number]],0)</f>
        <v>0.66158217322364266</v>
      </c>
      <c r="R218" s="21">
        <f>Table228[[#This Row],[Total bought Number]]-Table228[[#This Row],[Total Sold Number]]</f>
        <v>0</v>
      </c>
      <c r="S218" s="59">
        <f>(Table228[[#This Row],[Ave exit price]]-Table228[[#This Row],[Ave Entry price]])*Table228[[#This Row],[Total Sold Number]]</f>
        <v>9742.6982114921248</v>
      </c>
      <c r="T218" s="15">
        <f>(Table228[[#This Row],[Current Price]]-Table228[[#This Row],[Ave Entry price]])*Table228[[#This Row],[How many tokens now]]</f>
        <v>0</v>
      </c>
      <c r="U218" s="76">
        <f>VLOOKUP(Table228[[#This Row],[Asset]],Table26[#All],10,FALSE)</f>
        <v>0.99</v>
      </c>
    </row>
    <row r="219" spans="1:21">
      <c r="A219" t="s">
        <v>346</v>
      </c>
      <c r="B219" s="68">
        <v>45598</v>
      </c>
      <c r="C219" s="82" t="s">
        <v>176</v>
      </c>
      <c r="D219" t="s">
        <v>468</v>
      </c>
      <c r="E219" t="s">
        <v>285</v>
      </c>
      <c r="F219" s="17">
        <v>0.5645</v>
      </c>
      <c r="G219" s="73">
        <v>-17593.268380000001</v>
      </c>
      <c r="H219" s="61">
        <f t="shared" si="76"/>
        <v>0</v>
      </c>
      <c r="I219" s="67">
        <f t="shared" si="77"/>
        <v>17593.268380000001</v>
      </c>
      <c r="J219" s="15">
        <f t="shared" si="78"/>
        <v>0</v>
      </c>
      <c r="K219" s="15">
        <f t="shared" si="79"/>
        <v>9931.4000005100006</v>
      </c>
      <c r="L219">
        <f>SUMIF(Table228[[#All],[Asset]],Table228[[#This Row],[Asset]],Table228[[#All],[Bought number]])</f>
        <v>240949.690848</v>
      </c>
      <c r="M219">
        <f>SUMIF(Table228[[#All],[Asset]],Table228[[#This Row],[Asset]],Table228[[#All],[Sold Number]])</f>
        <v>240949.69084800003</v>
      </c>
      <c r="N219" s="15">
        <f>SUMIF(Table228[[#All],[Asset]],Table228[[#This Row],[Asset]],Table228[[#All],[Bought amount]])</f>
        <v>149665.32189729257</v>
      </c>
      <c r="O219" s="15">
        <f>SUMIF(Table228[[#All],[Asset]],Table228[[#This Row],[Asset]],Table228[[#All],[Sold amount]])</f>
        <v>159408.02010878469</v>
      </c>
      <c r="P219" s="75">
        <f>Table228[[#This Row],[Total bought Amount]]/Table228[[#This Row],[Total bought Number]]</f>
        <v>0.62114759878113723</v>
      </c>
      <c r="Q219" s="75">
        <f>IFERROR(Table228[[#This Row],[Total Sold Amount]]/Table228[[#This Row],[Total Sold Number]],0)</f>
        <v>0.66158217322364266</v>
      </c>
      <c r="R219" s="21">
        <f>Table228[[#This Row],[Total bought Number]]-Table228[[#This Row],[Total Sold Number]]</f>
        <v>0</v>
      </c>
      <c r="S219" s="59">
        <f>(Table228[[#This Row],[Ave exit price]]-Table228[[#This Row],[Ave Entry price]])*Table228[[#This Row],[Total Sold Number]]</f>
        <v>9742.6982114921248</v>
      </c>
      <c r="T219" s="15">
        <f>(Table228[[#This Row],[Current Price]]-Table228[[#This Row],[Ave Entry price]])*Table228[[#This Row],[How many tokens now]]</f>
        <v>0</v>
      </c>
      <c r="U219" s="76">
        <f>VLOOKUP(Table228[[#This Row],[Asset]],Table26[#All],10,FALSE)</f>
        <v>0.99</v>
      </c>
    </row>
    <row r="220" spans="1:21">
      <c r="A220" t="s">
        <v>346</v>
      </c>
      <c r="B220" s="68">
        <v>45598</v>
      </c>
      <c r="C220" s="82" t="s">
        <v>176</v>
      </c>
      <c r="D220" t="s">
        <v>468</v>
      </c>
      <c r="E220" t="s">
        <v>285</v>
      </c>
      <c r="F220" s="17">
        <v>0.55000000000000004</v>
      </c>
      <c r="G220" s="73">
        <v>9414</v>
      </c>
      <c r="H220" s="61">
        <f t="shared" si="76"/>
        <v>9414</v>
      </c>
      <c r="I220" s="67">
        <f t="shared" si="77"/>
        <v>0</v>
      </c>
      <c r="J220" s="15">
        <f t="shared" si="78"/>
        <v>5177.7000000000007</v>
      </c>
      <c r="K220" s="15">
        <f t="shared" si="79"/>
        <v>0</v>
      </c>
      <c r="L220">
        <f>SUMIF(Table228[[#All],[Asset]],Table228[[#This Row],[Asset]],Table228[[#All],[Bought number]])</f>
        <v>240949.690848</v>
      </c>
      <c r="M220">
        <f>SUMIF(Table228[[#All],[Asset]],Table228[[#This Row],[Asset]],Table228[[#All],[Sold Number]])</f>
        <v>240949.69084800003</v>
      </c>
      <c r="N220" s="15">
        <f>SUMIF(Table228[[#All],[Asset]],Table228[[#This Row],[Asset]],Table228[[#All],[Bought amount]])</f>
        <v>149665.32189729257</v>
      </c>
      <c r="O220" s="15">
        <f>SUMIF(Table228[[#All],[Asset]],Table228[[#This Row],[Asset]],Table228[[#All],[Sold amount]])</f>
        <v>159408.02010878469</v>
      </c>
      <c r="P220" s="75">
        <f>Table228[[#This Row],[Total bought Amount]]/Table228[[#This Row],[Total bought Number]]</f>
        <v>0.62114759878113723</v>
      </c>
      <c r="Q220" s="75">
        <f>IFERROR(Table228[[#This Row],[Total Sold Amount]]/Table228[[#This Row],[Total Sold Number]],0)</f>
        <v>0.66158217322364266</v>
      </c>
      <c r="R220" s="21">
        <f>Table228[[#This Row],[Total bought Number]]-Table228[[#This Row],[Total Sold Number]]</f>
        <v>0</v>
      </c>
      <c r="S220" s="59">
        <f>(Table228[[#This Row],[Ave exit price]]-Table228[[#This Row],[Ave Entry price]])*Table228[[#This Row],[Total Sold Number]]</f>
        <v>9742.6982114921248</v>
      </c>
      <c r="T220" s="15">
        <f>(Table228[[#This Row],[Current Price]]-Table228[[#This Row],[Ave Entry price]])*Table228[[#This Row],[How many tokens now]]</f>
        <v>0</v>
      </c>
      <c r="U220" s="76">
        <f>VLOOKUP(Table228[[#This Row],[Asset]],Table26[#All],10,FALSE)</f>
        <v>0.99</v>
      </c>
    </row>
    <row r="221" spans="1:21">
      <c r="A221" t="s">
        <v>346</v>
      </c>
      <c r="B221" s="68">
        <v>45598</v>
      </c>
      <c r="C221" s="82" t="s">
        <v>176</v>
      </c>
      <c r="D221" t="s">
        <v>468</v>
      </c>
      <c r="E221" t="s">
        <v>285</v>
      </c>
      <c r="F221" s="17">
        <v>0.53769999999999996</v>
      </c>
      <c r="G221" s="73">
        <v>-14416.96113</v>
      </c>
      <c r="H221" s="61">
        <f t="shared" si="76"/>
        <v>0</v>
      </c>
      <c r="I221" s="67">
        <f t="shared" si="77"/>
        <v>14416.96113</v>
      </c>
      <c r="J221" s="15">
        <f t="shared" si="78"/>
        <v>0</v>
      </c>
      <c r="K221" s="15">
        <f t="shared" si="79"/>
        <v>7751.9999996009992</v>
      </c>
      <c r="L221">
        <f>SUMIF(Table228[[#All],[Asset]],Table228[[#This Row],[Asset]],Table228[[#All],[Bought number]])</f>
        <v>240949.690848</v>
      </c>
      <c r="M221">
        <f>SUMIF(Table228[[#All],[Asset]],Table228[[#This Row],[Asset]],Table228[[#All],[Sold Number]])</f>
        <v>240949.69084800003</v>
      </c>
      <c r="N221" s="15">
        <f>SUMIF(Table228[[#All],[Asset]],Table228[[#This Row],[Asset]],Table228[[#All],[Bought amount]])</f>
        <v>149665.32189729257</v>
      </c>
      <c r="O221" s="15">
        <f>SUMIF(Table228[[#All],[Asset]],Table228[[#This Row],[Asset]],Table228[[#All],[Sold amount]])</f>
        <v>159408.02010878469</v>
      </c>
      <c r="P221" s="75">
        <f>Table228[[#This Row],[Total bought Amount]]/Table228[[#This Row],[Total bought Number]]</f>
        <v>0.62114759878113723</v>
      </c>
      <c r="Q221" s="75">
        <f>IFERROR(Table228[[#This Row],[Total Sold Amount]]/Table228[[#This Row],[Total Sold Number]],0)</f>
        <v>0.66158217322364266</v>
      </c>
      <c r="R221" s="21">
        <f>Table228[[#This Row],[Total bought Number]]-Table228[[#This Row],[Total Sold Number]]</f>
        <v>0</v>
      </c>
      <c r="S221" s="59">
        <f>(Table228[[#This Row],[Ave exit price]]-Table228[[#This Row],[Ave Entry price]])*Table228[[#This Row],[Total Sold Number]]</f>
        <v>9742.6982114921248</v>
      </c>
      <c r="T221" s="15">
        <f>(Table228[[#This Row],[Current Price]]-Table228[[#This Row],[Ave Entry price]])*Table228[[#This Row],[How many tokens now]]</f>
        <v>0</v>
      </c>
      <c r="U221" s="76">
        <f>VLOOKUP(Table228[[#This Row],[Asset]],Table26[#All],10,FALSE)</f>
        <v>0.99</v>
      </c>
    </row>
    <row r="222" spans="1:21">
      <c r="A222" t="s">
        <v>346</v>
      </c>
      <c r="B222" s="68">
        <v>45598</v>
      </c>
      <c r="C222" s="82" t="s">
        <v>176</v>
      </c>
      <c r="D222" t="s">
        <v>468</v>
      </c>
      <c r="E222" t="s">
        <v>285</v>
      </c>
      <c r="F222" s="17">
        <v>0.5363</v>
      </c>
      <c r="G222" s="73">
        <v>-9156.6286999999993</v>
      </c>
      <c r="H222" s="61">
        <f t="shared" si="76"/>
        <v>0</v>
      </c>
      <c r="I222" s="67">
        <f t="shared" si="77"/>
        <v>9156.6286999999993</v>
      </c>
      <c r="J222" s="15">
        <f t="shared" si="78"/>
        <v>0</v>
      </c>
      <c r="K222" s="15">
        <f t="shared" si="79"/>
        <v>4910.6999718099996</v>
      </c>
      <c r="L222">
        <f>SUMIF(Table228[[#All],[Asset]],Table228[[#This Row],[Asset]],Table228[[#All],[Bought number]])</f>
        <v>240949.690848</v>
      </c>
      <c r="M222">
        <f>SUMIF(Table228[[#All],[Asset]],Table228[[#This Row],[Asset]],Table228[[#All],[Sold Number]])</f>
        <v>240949.69084800003</v>
      </c>
      <c r="N222" s="15">
        <f>SUMIF(Table228[[#All],[Asset]],Table228[[#This Row],[Asset]],Table228[[#All],[Bought amount]])</f>
        <v>149665.32189729257</v>
      </c>
      <c r="O222" s="15">
        <f>SUMIF(Table228[[#All],[Asset]],Table228[[#This Row],[Asset]],Table228[[#All],[Sold amount]])</f>
        <v>159408.02010878469</v>
      </c>
      <c r="P222" s="75">
        <f>Table228[[#This Row],[Total bought Amount]]/Table228[[#This Row],[Total bought Number]]</f>
        <v>0.62114759878113723</v>
      </c>
      <c r="Q222" s="75">
        <f>IFERROR(Table228[[#This Row],[Total Sold Amount]]/Table228[[#This Row],[Total Sold Number]],0)</f>
        <v>0.66158217322364266</v>
      </c>
      <c r="R222" s="21">
        <f>Table228[[#This Row],[Total bought Number]]-Table228[[#This Row],[Total Sold Number]]</f>
        <v>0</v>
      </c>
      <c r="S222" s="59">
        <f>(Table228[[#This Row],[Ave exit price]]-Table228[[#This Row],[Ave Entry price]])*Table228[[#This Row],[Total Sold Number]]</f>
        <v>9742.6982114921248</v>
      </c>
      <c r="T222" s="15">
        <f>(Table228[[#This Row],[Current Price]]-Table228[[#This Row],[Ave Entry price]])*Table228[[#This Row],[How many tokens now]]</f>
        <v>0</v>
      </c>
      <c r="U222" s="76">
        <f>VLOOKUP(Table228[[#This Row],[Asset]],Table26[#All],10,FALSE)</f>
        <v>0.99</v>
      </c>
    </row>
    <row r="223" spans="1:21">
      <c r="A223" t="s">
        <v>251</v>
      </c>
      <c r="B223" s="68">
        <v>45599</v>
      </c>
      <c r="C223" s="82" t="s">
        <v>180</v>
      </c>
      <c r="D223" t="s">
        <v>7</v>
      </c>
      <c r="E223" t="s">
        <v>331</v>
      </c>
      <c r="F223" s="17">
        <v>0.89314000000000004</v>
      </c>
      <c r="G223" s="73">
        <v>-644.70000000000005</v>
      </c>
      <c r="H223" s="61">
        <f t="shared" si="76"/>
        <v>0</v>
      </c>
      <c r="I223" s="67">
        <f t="shared" si="77"/>
        <v>644.70000000000005</v>
      </c>
      <c r="J223" s="15">
        <f t="shared" si="78"/>
        <v>0</v>
      </c>
      <c r="K223" s="15">
        <f t="shared" si="79"/>
        <v>575.80735800000002</v>
      </c>
      <c r="L223">
        <f>SUMIF(Table228[[#All],[Asset]],Table228[[#This Row],[Asset]],Table228[[#All],[Bought number]])</f>
        <v>1039.4598999999998</v>
      </c>
      <c r="M223">
        <f>SUMIF(Table228[[#All],[Asset]],Table228[[#This Row],[Asset]],Table228[[#All],[Sold Number]])</f>
        <v>1037.7</v>
      </c>
      <c r="N223" s="15">
        <f>SUMIF(Table228[[#All],[Asset]],Table228[[#This Row],[Asset]],Table228[[#All],[Bought amount]])</f>
        <v>2898.2997</v>
      </c>
      <c r="O223" s="15">
        <f>SUMIF(Table228[[#All],[Asset]],Table228[[#This Row],[Asset]],Table228[[#All],[Sold amount]])</f>
        <v>1031.2943580000001</v>
      </c>
      <c r="P223" s="75">
        <f>Table228[[#This Row],[Total bought Amount]]/Table228[[#This Row],[Total bought Number]]</f>
        <v>2.7882746607156279</v>
      </c>
      <c r="Q223" s="75">
        <f>IFERROR(Table228[[#This Row],[Total Sold Amount]]/Table228[[#This Row],[Total Sold Number]],0)</f>
        <v>0.99382707718993935</v>
      </c>
      <c r="R223" s="21">
        <f>Table228[[#This Row],[Total bought Number]]-Table228[[#This Row],[Total Sold Number]]</f>
        <v>1.7598999999997886</v>
      </c>
      <c r="S223" s="59">
        <f>(Table228[[#This Row],[Ave exit price]]-Table228[[#This Row],[Ave Entry price]])*Table228[[#This Row],[Total Sold Number]]</f>
        <v>-1862.098257424607</v>
      </c>
      <c r="T223" s="15">
        <f>(Table228[[#This Row],[Current Price]]-Table228[[#This Row],[Ave Entry price]])*Table228[[#This Row],[How many tokens now]]</f>
        <v>-2.9887935753930743</v>
      </c>
      <c r="U223" s="76">
        <f>VLOOKUP(Table228[[#This Row],[Asset]],Table26[#All],10,FALSE)</f>
        <v>1.0900000000000001</v>
      </c>
    </row>
    <row r="224" spans="1:21">
      <c r="A224" t="s">
        <v>346</v>
      </c>
      <c r="B224" s="68">
        <v>45599</v>
      </c>
      <c r="C224" s="82" t="s">
        <v>176</v>
      </c>
      <c r="D224" t="s">
        <v>468</v>
      </c>
      <c r="E224" t="s">
        <v>285</v>
      </c>
      <c r="F224" s="17">
        <v>0.54800000000000004</v>
      </c>
      <c r="G224" s="73">
        <v>1977.351598</v>
      </c>
      <c r="H224" s="61">
        <f t="shared" si="76"/>
        <v>1977.351598</v>
      </c>
      <c r="I224" s="67">
        <f t="shared" si="77"/>
        <v>0</v>
      </c>
      <c r="J224" s="15">
        <f t="shared" si="78"/>
        <v>1083.588675704</v>
      </c>
      <c r="K224" s="15">
        <f t="shared" si="79"/>
        <v>0</v>
      </c>
      <c r="L224">
        <f>SUMIF(Table228[[#All],[Asset]],Table228[[#This Row],[Asset]],Table228[[#All],[Bought number]])</f>
        <v>240949.690848</v>
      </c>
      <c r="M224">
        <f>SUMIF(Table228[[#All],[Asset]],Table228[[#This Row],[Asset]],Table228[[#All],[Sold Number]])</f>
        <v>240949.69084800003</v>
      </c>
      <c r="N224" s="15">
        <f>SUMIF(Table228[[#All],[Asset]],Table228[[#This Row],[Asset]],Table228[[#All],[Bought amount]])</f>
        <v>149665.32189729257</v>
      </c>
      <c r="O224" s="15">
        <f>SUMIF(Table228[[#All],[Asset]],Table228[[#This Row],[Asset]],Table228[[#All],[Sold amount]])</f>
        <v>159408.02010878469</v>
      </c>
      <c r="P224" s="75">
        <f>Table228[[#This Row],[Total bought Amount]]/Table228[[#This Row],[Total bought Number]]</f>
        <v>0.62114759878113723</v>
      </c>
      <c r="Q224" s="75">
        <f>IFERROR(Table228[[#This Row],[Total Sold Amount]]/Table228[[#This Row],[Total Sold Number]],0)</f>
        <v>0.66158217322364266</v>
      </c>
      <c r="R224" s="21">
        <f>Table228[[#This Row],[Total bought Number]]-Table228[[#This Row],[Total Sold Number]]</f>
        <v>0</v>
      </c>
      <c r="S224" s="59">
        <f>(Table228[[#This Row],[Ave exit price]]-Table228[[#This Row],[Ave Entry price]])*Table228[[#This Row],[Total Sold Number]]</f>
        <v>9742.6982114921248</v>
      </c>
      <c r="T224" s="15">
        <f>(Table228[[#This Row],[Current Price]]-Table228[[#This Row],[Ave Entry price]])*Table228[[#This Row],[How many tokens now]]</f>
        <v>0</v>
      </c>
      <c r="U224" s="76">
        <f>VLOOKUP(Table228[[#This Row],[Asset]],Table26[#All],10,FALSE)</f>
        <v>0.99</v>
      </c>
    </row>
    <row r="225" spans="1:21">
      <c r="A225" t="s">
        <v>346</v>
      </c>
      <c r="B225" s="68">
        <v>45599</v>
      </c>
      <c r="C225" s="82" t="s">
        <v>176</v>
      </c>
      <c r="D225" t="s">
        <v>468</v>
      </c>
      <c r="E225" t="s">
        <v>285</v>
      </c>
      <c r="F225" s="17">
        <v>0.54800000000000004</v>
      </c>
      <c r="G225" s="73">
        <v>7919.52</v>
      </c>
      <c r="H225" s="61">
        <f t="shared" si="76"/>
        <v>7919.52</v>
      </c>
      <c r="I225" s="67">
        <f t="shared" si="77"/>
        <v>0</v>
      </c>
      <c r="J225" s="15">
        <f t="shared" si="78"/>
        <v>4339.8969600000009</v>
      </c>
      <c r="K225" s="15">
        <f t="shared" si="79"/>
        <v>0</v>
      </c>
      <c r="L225">
        <f>SUMIF(Table228[[#All],[Asset]],Table228[[#This Row],[Asset]],Table228[[#All],[Bought number]])</f>
        <v>240949.690848</v>
      </c>
      <c r="M225">
        <f>SUMIF(Table228[[#All],[Asset]],Table228[[#This Row],[Asset]],Table228[[#All],[Sold Number]])</f>
        <v>240949.69084800003</v>
      </c>
      <c r="N225" s="15">
        <f>SUMIF(Table228[[#All],[Asset]],Table228[[#This Row],[Asset]],Table228[[#All],[Bought amount]])</f>
        <v>149665.32189729257</v>
      </c>
      <c r="O225" s="15">
        <f>SUMIF(Table228[[#All],[Asset]],Table228[[#This Row],[Asset]],Table228[[#All],[Sold amount]])</f>
        <v>159408.02010878469</v>
      </c>
      <c r="P225" s="75">
        <f>Table228[[#This Row],[Total bought Amount]]/Table228[[#This Row],[Total bought Number]]</f>
        <v>0.62114759878113723</v>
      </c>
      <c r="Q225" s="75">
        <f>IFERROR(Table228[[#This Row],[Total Sold Amount]]/Table228[[#This Row],[Total Sold Number]],0)</f>
        <v>0.66158217322364266</v>
      </c>
      <c r="R225" s="21">
        <f>Table228[[#This Row],[Total bought Number]]-Table228[[#This Row],[Total Sold Number]]</f>
        <v>0</v>
      </c>
      <c r="S225" s="59">
        <f>(Table228[[#This Row],[Ave exit price]]-Table228[[#This Row],[Ave Entry price]])*Table228[[#This Row],[Total Sold Number]]</f>
        <v>9742.6982114921248</v>
      </c>
      <c r="T225" s="15">
        <f>(Table228[[#This Row],[Current Price]]-Table228[[#This Row],[Ave Entry price]])*Table228[[#This Row],[How many tokens now]]</f>
        <v>0</v>
      </c>
      <c r="U225" s="76">
        <f>VLOOKUP(Table228[[#This Row],[Asset]],Table26[#All],10,FALSE)</f>
        <v>0.99</v>
      </c>
    </row>
    <row r="226" spans="1:21">
      <c r="A226" t="s">
        <v>346</v>
      </c>
      <c r="B226" s="68">
        <v>45599</v>
      </c>
      <c r="C226" s="82" t="s">
        <v>176</v>
      </c>
      <c r="D226" t="s">
        <v>468</v>
      </c>
      <c r="E226" t="s">
        <v>285</v>
      </c>
      <c r="F226" s="17">
        <v>0.54549999999999998</v>
      </c>
      <c r="G226" s="73">
        <v>9971.4023830000006</v>
      </c>
      <c r="H226" s="61">
        <f t="shared" si="76"/>
        <v>9971.4023830000006</v>
      </c>
      <c r="I226" s="67">
        <f t="shared" si="77"/>
        <v>0</v>
      </c>
      <c r="J226" s="15">
        <f t="shared" si="78"/>
        <v>5439.3999999264997</v>
      </c>
      <c r="K226" s="15">
        <f t="shared" si="79"/>
        <v>0</v>
      </c>
      <c r="L226">
        <f>SUMIF(Table228[[#All],[Asset]],Table228[[#This Row],[Asset]],Table228[[#All],[Bought number]])</f>
        <v>240949.690848</v>
      </c>
      <c r="M226">
        <f>SUMIF(Table228[[#All],[Asset]],Table228[[#This Row],[Asset]],Table228[[#All],[Sold Number]])</f>
        <v>240949.69084800003</v>
      </c>
      <c r="N226" s="15">
        <f>SUMIF(Table228[[#All],[Asset]],Table228[[#This Row],[Asset]],Table228[[#All],[Bought amount]])</f>
        <v>149665.32189729257</v>
      </c>
      <c r="O226" s="15">
        <f>SUMIF(Table228[[#All],[Asset]],Table228[[#This Row],[Asset]],Table228[[#All],[Sold amount]])</f>
        <v>159408.02010878469</v>
      </c>
      <c r="P226" s="75">
        <f>Table228[[#This Row],[Total bought Amount]]/Table228[[#This Row],[Total bought Number]]</f>
        <v>0.62114759878113723</v>
      </c>
      <c r="Q226" s="75">
        <f>IFERROR(Table228[[#This Row],[Total Sold Amount]]/Table228[[#This Row],[Total Sold Number]],0)</f>
        <v>0.66158217322364266</v>
      </c>
      <c r="R226" s="21">
        <f>Table228[[#This Row],[Total bought Number]]-Table228[[#This Row],[Total Sold Number]]</f>
        <v>0</v>
      </c>
      <c r="S226" s="59">
        <f>(Table228[[#This Row],[Ave exit price]]-Table228[[#This Row],[Ave Entry price]])*Table228[[#This Row],[Total Sold Number]]</f>
        <v>9742.6982114921248</v>
      </c>
      <c r="T226" s="15">
        <f>(Table228[[#This Row],[Current Price]]-Table228[[#This Row],[Ave Entry price]])*Table228[[#This Row],[How many tokens now]]</f>
        <v>0</v>
      </c>
      <c r="U226" s="76">
        <f>VLOOKUP(Table228[[#This Row],[Asset]],Table26[#All],10,FALSE)</f>
        <v>0.99</v>
      </c>
    </row>
    <row r="227" spans="1:21">
      <c r="A227" t="s">
        <v>346</v>
      </c>
      <c r="B227" s="68">
        <v>45601</v>
      </c>
      <c r="C227" s="82" t="s">
        <v>176</v>
      </c>
      <c r="D227" t="s">
        <v>459</v>
      </c>
      <c r="E227" t="s">
        <v>285</v>
      </c>
      <c r="F227" s="17">
        <v>0.59</v>
      </c>
      <c r="G227" s="73">
        <v>1665</v>
      </c>
      <c r="H227" s="61">
        <f t="shared" si="76"/>
        <v>1665</v>
      </c>
      <c r="I227" s="67">
        <f t="shared" si="77"/>
        <v>0</v>
      </c>
      <c r="J227" s="15">
        <f t="shared" si="78"/>
        <v>982.34999999999991</v>
      </c>
      <c r="K227" s="15">
        <f t="shared" si="79"/>
        <v>0</v>
      </c>
      <c r="L227">
        <f>SUMIF(Table228[[#All],[Asset]],Table228[[#This Row],[Asset]],Table228[[#All],[Bought number]])</f>
        <v>240949.690848</v>
      </c>
      <c r="M227">
        <f>SUMIF(Table228[[#All],[Asset]],Table228[[#This Row],[Asset]],Table228[[#All],[Sold Number]])</f>
        <v>240949.69084800003</v>
      </c>
      <c r="N227" s="15">
        <f>SUMIF(Table228[[#All],[Asset]],Table228[[#This Row],[Asset]],Table228[[#All],[Bought amount]])</f>
        <v>149665.32189729257</v>
      </c>
      <c r="O227" s="15">
        <f>SUMIF(Table228[[#All],[Asset]],Table228[[#This Row],[Asset]],Table228[[#All],[Sold amount]])</f>
        <v>159408.02010878469</v>
      </c>
      <c r="P227" s="75">
        <f>Table228[[#This Row],[Total bought Amount]]/Table228[[#This Row],[Total bought Number]]</f>
        <v>0.62114759878113723</v>
      </c>
      <c r="Q227" s="75">
        <f>IFERROR(Table228[[#This Row],[Total Sold Amount]]/Table228[[#This Row],[Total Sold Number]],0)</f>
        <v>0.66158217322364266</v>
      </c>
      <c r="R227" s="21">
        <f>Table228[[#This Row],[Total bought Number]]-Table228[[#This Row],[Total Sold Number]]</f>
        <v>0</v>
      </c>
      <c r="S227" s="59">
        <f>(Table228[[#This Row],[Ave exit price]]-Table228[[#This Row],[Ave Entry price]])*Table228[[#This Row],[Total Sold Number]]</f>
        <v>9742.6982114921248</v>
      </c>
      <c r="T227" s="15">
        <f>(Table228[[#This Row],[Current Price]]-Table228[[#This Row],[Ave Entry price]])*Table228[[#This Row],[How many tokens now]]</f>
        <v>0</v>
      </c>
      <c r="U227" s="76">
        <f>VLOOKUP(Table228[[#This Row],[Asset]],Table26[#All],10,FALSE)</f>
        <v>0.99</v>
      </c>
    </row>
    <row r="228" spans="1:21">
      <c r="A228" t="s">
        <v>346</v>
      </c>
      <c r="B228" s="68">
        <v>45601</v>
      </c>
      <c r="C228" s="82" t="s">
        <v>176</v>
      </c>
      <c r="D228" t="s">
        <v>468</v>
      </c>
      <c r="E228" t="s">
        <v>285</v>
      </c>
      <c r="F228" s="17">
        <v>0.81710000000000005</v>
      </c>
      <c r="G228" s="73">
        <v>-9971.8516710000004</v>
      </c>
      <c r="H228" s="61">
        <f t="shared" ref="H228:H234" si="80">IF(G228&gt;0,G228,0)</f>
        <v>0</v>
      </c>
      <c r="I228" s="67">
        <f t="shared" ref="I228:I234" si="81">IF(G228&lt;0,ABS(G228),0)</f>
        <v>9971.8516710000004</v>
      </c>
      <c r="J228" s="15">
        <f t="shared" ref="J228:J234" si="82">H228*F228</f>
        <v>0</v>
      </c>
      <c r="K228" s="15">
        <f t="shared" ref="K228:K234" si="83">I228*F228</f>
        <v>8148.0000003741006</v>
      </c>
      <c r="L228">
        <f>SUMIF(Table228[[#All],[Asset]],Table228[[#This Row],[Asset]],Table228[[#All],[Bought number]])</f>
        <v>240949.690848</v>
      </c>
      <c r="M228">
        <f>SUMIF(Table228[[#All],[Asset]],Table228[[#This Row],[Asset]],Table228[[#All],[Sold Number]])</f>
        <v>240949.69084800003</v>
      </c>
      <c r="N228" s="15">
        <f>SUMIF(Table228[[#All],[Asset]],Table228[[#This Row],[Asset]],Table228[[#All],[Bought amount]])</f>
        <v>149665.32189729257</v>
      </c>
      <c r="O228" s="15">
        <f>SUMIF(Table228[[#All],[Asset]],Table228[[#This Row],[Asset]],Table228[[#All],[Sold amount]])</f>
        <v>159408.02010878469</v>
      </c>
      <c r="P228" s="75">
        <f>Table228[[#This Row],[Total bought Amount]]/Table228[[#This Row],[Total bought Number]]</f>
        <v>0.62114759878113723</v>
      </c>
      <c r="Q228" s="75">
        <f>IFERROR(Table228[[#This Row],[Total Sold Amount]]/Table228[[#This Row],[Total Sold Number]],0)</f>
        <v>0.66158217322364266</v>
      </c>
      <c r="R228" s="21">
        <f>Table228[[#This Row],[Total bought Number]]-Table228[[#This Row],[Total Sold Number]]</f>
        <v>0</v>
      </c>
      <c r="S228" s="59">
        <f>(Table228[[#This Row],[Ave exit price]]-Table228[[#This Row],[Ave Entry price]])*Table228[[#This Row],[Total Sold Number]]</f>
        <v>9742.6982114921248</v>
      </c>
      <c r="T228" s="15">
        <f>(Table228[[#This Row],[Current Price]]-Table228[[#This Row],[Ave Entry price]])*Table228[[#This Row],[How many tokens now]]</f>
        <v>0</v>
      </c>
      <c r="U228" s="76">
        <f>VLOOKUP(Table228[[#This Row],[Asset]],Table26[#All],10,FALSE)</f>
        <v>0.99</v>
      </c>
    </row>
    <row r="229" spans="1:21">
      <c r="A229" t="s">
        <v>346</v>
      </c>
      <c r="B229" s="68">
        <v>45601</v>
      </c>
      <c r="C229" s="82" t="s">
        <v>176</v>
      </c>
      <c r="D229" t="s">
        <v>468</v>
      </c>
      <c r="E229" t="s">
        <v>285</v>
      </c>
      <c r="F229" s="17">
        <v>0.82120000000000004</v>
      </c>
      <c r="G229" s="73">
        <v>-1982.4646</v>
      </c>
      <c r="H229" s="61">
        <f t="shared" si="80"/>
        <v>0</v>
      </c>
      <c r="I229" s="67">
        <f t="shared" si="81"/>
        <v>1982.4646</v>
      </c>
      <c r="J229" s="15">
        <f t="shared" si="82"/>
        <v>0</v>
      </c>
      <c r="K229" s="15">
        <f t="shared" si="83"/>
        <v>1627.99992952</v>
      </c>
      <c r="L229">
        <f>SUMIF(Table228[[#All],[Asset]],Table228[[#This Row],[Asset]],Table228[[#All],[Bought number]])</f>
        <v>240949.690848</v>
      </c>
      <c r="M229">
        <f>SUMIF(Table228[[#All],[Asset]],Table228[[#This Row],[Asset]],Table228[[#All],[Sold Number]])</f>
        <v>240949.69084800003</v>
      </c>
      <c r="N229" s="15">
        <f>SUMIF(Table228[[#All],[Asset]],Table228[[#This Row],[Asset]],Table228[[#All],[Bought amount]])</f>
        <v>149665.32189729257</v>
      </c>
      <c r="O229" s="15">
        <f>SUMIF(Table228[[#All],[Asset]],Table228[[#This Row],[Asset]],Table228[[#All],[Sold amount]])</f>
        <v>159408.02010878469</v>
      </c>
      <c r="P229" s="75">
        <f>Table228[[#This Row],[Total bought Amount]]/Table228[[#This Row],[Total bought Number]]</f>
        <v>0.62114759878113723</v>
      </c>
      <c r="Q229" s="75">
        <f>IFERROR(Table228[[#This Row],[Total Sold Amount]]/Table228[[#This Row],[Total Sold Number]],0)</f>
        <v>0.66158217322364266</v>
      </c>
      <c r="R229" s="21">
        <f>Table228[[#This Row],[Total bought Number]]-Table228[[#This Row],[Total Sold Number]]</f>
        <v>0</v>
      </c>
      <c r="S229" s="59">
        <f>(Table228[[#This Row],[Ave exit price]]-Table228[[#This Row],[Ave Entry price]])*Table228[[#This Row],[Total Sold Number]]</f>
        <v>9742.6982114921248</v>
      </c>
      <c r="T229" s="15">
        <f>(Table228[[#This Row],[Current Price]]-Table228[[#This Row],[Ave Entry price]])*Table228[[#This Row],[How many tokens now]]</f>
        <v>0</v>
      </c>
      <c r="U229" s="76">
        <f>VLOOKUP(Table228[[#This Row],[Asset]],Table26[#All],10,FALSE)</f>
        <v>0.99</v>
      </c>
    </row>
    <row r="230" spans="1:21">
      <c r="A230" t="s">
        <v>346</v>
      </c>
      <c r="B230" s="68">
        <v>45601</v>
      </c>
      <c r="C230" s="82" t="s">
        <v>176</v>
      </c>
      <c r="D230" t="s">
        <v>468</v>
      </c>
      <c r="E230" t="s">
        <v>285</v>
      </c>
      <c r="F230" s="17">
        <v>0.82099999999999995</v>
      </c>
      <c r="G230" s="73">
        <v>-7955.4201999999996</v>
      </c>
      <c r="H230" s="61">
        <f t="shared" si="80"/>
        <v>0</v>
      </c>
      <c r="I230" s="67">
        <f t="shared" si="81"/>
        <v>7955.4201999999996</v>
      </c>
      <c r="J230" s="15">
        <f t="shared" si="82"/>
        <v>0</v>
      </c>
      <c r="K230" s="15">
        <f t="shared" si="83"/>
        <v>6531.3999841999994</v>
      </c>
      <c r="L230">
        <f>SUMIF(Table228[[#All],[Asset]],Table228[[#This Row],[Asset]],Table228[[#All],[Bought number]])</f>
        <v>240949.690848</v>
      </c>
      <c r="M230">
        <f>SUMIF(Table228[[#All],[Asset]],Table228[[#This Row],[Asset]],Table228[[#All],[Sold Number]])</f>
        <v>240949.69084800003</v>
      </c>
      <c r="N230" s="15">
        <f>SUMIF(Table228[[#All],[Asset]],Table228[[#This Row],[Asset]],Table228[[#All],[Bought amount]])</f>
        <v>149665.32189729257</v>
      </c>
      <c r="O230" s="15">
        <f>SUMIF(Table228[[#All],[Asset]],Table228[[#This Row],[Asset]],Table228[[#All],[Sold amount]])</f>
        <v>159408.02010878469</v>
      </c>
      <c r="P230" s="75">
        <f>Table228[[#This Row],[Total bought Amount]]/Table228[[#This Row],[Total bought Number]]</f>
        <v>0.62114759878113723</v>
      </c>
      <c r="Q230" s="75">
        <f>IFERROR(Table228[[#This Row],[Total Sold Amount]]/Table228[[#This Row],[Total Sold Number]],0)</f>
        <v>0.66158217322364266</v>
      </c>
      <c r="R230" s="21">
        <f>Table228[[#This Row],[Total bought Number]]-Table228[[#This Row],[Total Sold Number]]</f>
        <v>0</v>
      </c>
      <c r="S230" s="59">
        <f>(Table228[[#This Row],[Ave exit price]]-Table228[[#This Row],[Ave Entry price]])*Table228[[#This Row],[Total Sold Number]]</f>
        <v>9742.6982114921248</v>
      </c>
      <c r="T230" s="15">
        <f>(Table228[[#This Row],[Current Price]]-Table228[[#This Row],[Ave Entry price]])*Table228[[#This Row],[How many tokens now]]</f>
        <v>0</v>
      </c>
      <c r="U230" s="76">
        <f>VLOOKUP(Table228[[#This Row],[Asset]],Table26[#All],10,FALSE)</f>
        <v>0.99</v>
      </c>
    </row>
    <row r="231" spans="1:21">
      <c r="A231" t="s">
        <v>346</v>
      </c>
      <c r="B231" s="68">
        <v>45601</v>
      </c>
      <c r="C231" s="82" t="s">
        <v>176</v>
      </c>
      <c r="D231" t="s">
        <v>468</v>
      </c>
      <c r="E231" t="s">
        <v>285</v>
      </c>
      <c r="F231" s="17">
        <v>0.82399999999999995</v>
      </c>
      <c r="G231" s="73">
        <v>-9414.1990000000005</v>
      </c>
      <c r="H231" s="61">
        <f t="shared" si="80"/>
        <v>0</v>
      </c>
      <c r="I231" s="67">
        <f t="shared" si="81"/>
        <v>9414.1990000000005</v>
      </c>
      <c r="J231" s="15">
        <f t="shared" si="82"/>
        <v>0</v>
      </c>
      <c r="K231" s="15">
        <f t="shared" si="83"/>
        <v>7757.2999760000002</v>
      </c>
      <c r="L231">
        <f>SUMIF(Table228[[#All],[Asset]],Table228[[#This Row],[Asset]],Table228[[#All],[Bought number]])</f>
        <v>240949.690848</v>
      </c>
      <c r="M231">
        <f>SUMIF(Table228[[#All],[Asset]],Table228[[#This Row],[Asset]],Table228[[#All],[Sold Number]])</f>
        <v>240949.69084800003</v>
      </c>
      <c r="N231" s="15">
        <f>SUMIF(Table228[[#All],[Asset]],Table228[[#This Row],[Asset]],Table228[[#All],[Bought amount]])</f>
        <v>149665.32189729257</v>
      </c>
      <c r="O231" s="15">
        <f>SUMIF(Table228[[#All],[Asset]],Table228[[#This Row],[Asset]],Table228[[#All],[Sold amount]])</f>
        <v>159408.02010878469</v>
      </c>
      <c r="P231" s="75">
        <f>Table228[[#This Row],[Total bought Amount]]/Table228[[#This Row],[Total bought Number]]</f>
        <v>0.62114759878113723</v>
      </c>
      <c r="Q231" s="75">
        <f>IFERROR(Table228[[#This Row],[Total Sold Amount]]/Table228[[#This Row],[Total Sold Number]],0)</f>
        <v>0.66158217322364266</v>
      </c>
      <c r="R231" s="21">
        <f>Table228[[#This Row],[Total bought Number]]-Table228[[#This Row],[Total Sold Number]]</f>
        <v>0</v>
      </c>
      <c r="S231" s="59">
        <f>(Table228[[#This Row],[Ave exit price]]-Table228[[#This Row],[Ave Entry price]])*Table228[[#This Row],[Total Sold Number]]</f>
        <v>9742.6982114921248</v>
      </c>
      <c r="T231" s="15">
        <f>(Table228[[#This Row],[Current Price]]-Table228[[#This Row],[Ave Entry price]])*Table228[[#This Row],[How many tokens now]]</f>
        <v>0</v>
      </c>
      <c r="U231" s="76">
        <f>VLOOKUP(Table228[[#This Row],[Asset]],Table26[#All],10,FALSE)</f>
        <v>0.99</v>
      </c>
    </row>
    <row r="232" spans="1:21">
      <c r="A232" t="s">
        <v>346</v>
      </c>
      <c r="B232" s="68">
        <v>45601</v>
      </c>
      <c r="C232" s="82" t="s">
        <v>176</v>
      </c>
      <c r="D232" t="s">
        <v>468</v>
      </c>
      <c r="E232" t="s">
        <v>285</v>
      </c>
      <c r="F232" s="17">
        <v>0.85319999999999996</v>
      </c>
      <c r="G232" s="73">
        <v>-15284.69292</v>
      </c>
      <c r="H232" s="61">
        <f t="shared" si="80"/>
        <v>0</v>
      </c>
      <c r="I232" s="67">
        <f t="shared" si="81"/>
        <v>15284.69292</v>
      </c>
      <c r="J232" s="15">
        <f t="shared" si="82"/>
        <v>0</v>
      </c>
      <c r="K232" s="15">
        <f t="shared" si="83"/>
        <v>13040.899999343999</v>
      </c>
      <c r="L232">
        <f>SUMIF(Table228[[#All],[Asset]],Table228[[#This Row],[Asset]],Table228[[#All],[Bought number]])</f>
        <v>240949.690848</v>
      </c>
      <c r="M232">
        <f>SUMIF(Table228[[#All],[Asset]],Table228[[#This Row],[Asset]],Table228[[#All],[Sold Number]])</f>
        <v>240949.69084800003</v>
      </c>
      <c r="N232" s="15">
        <f>SUMIF(Table228[[#All],[Asset]],Table228[[#This Row],[Asset]],Table228[[#All],[Bought amount]])</f>
        <v>149665.32189729257</v>
      </c>
      <c r="O232" s="15">
        <f>SUMIF(Table228[[#All],[Asset]],Table228[[#This Row],[Asset]],Table228[[#All],[Sold amount]])</f>
        <v>159408.02010878469</v>
      </c>
      <c r="P232" s="75">
        <f>Table228[[#This Row],[Total bought Amount]]/Table228[[#This Row],[Total bought Number]]</f>
        <v>0.62114759878113723</v>
      </c>
      <c r="Q232" s="75">
        <f>IFERROR(Table228[[#This Row],[Total Sold Amount]]/Table228[[#This Row],[Total Sold Number]],0)</f>
        <v>0.66158217322364266</v>
      </c>
      <c r="R232" s="21">
        <f>Table228[[#This Row],[Total bought Number]]-Table228[[#This Row],[Total Sold Number]]</f>
        <v>0</v>
      </c>
      <c r="S232" s="59">
        <f>(Table228[[#This Row],[Ave exit price]]-Table228[[#This Row],[Ave Entry price]])*Table228[[#This Row],[Total Sold Number]]</f>
        <v>9742.6982114921248</v>
      </c>
      <c r="T232" s="15">
        <f>(Table228[[#This Row],[Current Price]]-Table228[[#This Row],[Ave Entry price]])*Table228[[#This Row],[How many tokens now]]</f>
        <v>0</v>
      </c>
      <c r="U232" s="76">
        <f>VLOOKUP(Table228[[#This Row],[Asset]],Table26[#All],10,FALSE)</f>
        <v>0.99</v>
      </c>
    </row>
    <row r="233" spans="1:21">
      <c r="A233" t="s">
        <v>346</v>
      </c>
      <c r="B233" s="68">
        <v>45601</v>
      </c>
      <c r="C233" s="82" t="s">
        <v>176</v>
      </c>
      <c r="D233" t="s">
        <v>468</v>
      </c>
      <c r="E233" t="s">
        <v>285</v>
      </c>
      <c r="F233" s="17">
        <v>0.88219999999999998</v>
      </c>
      <c r="G233" s="73">
        <v>-9255.9510320000009</v>
      </c>
      <c r="H233" s="61">
        <f t="shared" si="80"/>
        <v>0</v>
      </c>
      <c r="I233" s="67">
        <f t="shared" si="81"/>
        <v>9255.9510320000009</v>
      </c>
      <c r="J233" s="15">
        <f t="shared" si="82"/>
        <v>0</v>
      </c>
      <c r="K233" s="15">
        <f t="shared" si="83"/>
        <v>8165.6000004304005</v>
      </c>
      <c r="L233">
        <f>SUMIF(Table228[[#All],[Asset]],Table228[[#This Row],[Asset]],Table228[[#All],[Bought number]])</f>
        <v>240949.690848</v>
      </c>
      <c r="M233">
        <f>SUMIF(Table228[[#All],[Asset]],Table228[[#This Row],[Asset]],Table228[[#All],[Sold Number]])</f>
        <v>240949.69084800003</v>
      </c>
      <c r="N233" s="15">
        <f>SUMIF(Table228[[#All],[Asset]],Table228[[#This Row],[Asset]],Table228[[#All],[Bought amount]])</f>
        <v>149665.32189729257</v>
      </c>
      <c r="O233" s="15">
        <f>SUMIF(Table228[[#All],[Asset]],Table228[[#This Row],[Asset]],Table228[[#All],[Sold amount]])</f>
        <v>159408.02010878469</v>
      </c>
      <c r="P233" s="75">
        <f>Table228[[#This Row],[Total bought Amount]]/Table228[[#This Row],[Total bought Number]]</f>
        <v>0.62114759878113723</v>
      </c>
      <c r="Q233" s="75">
        <f>IFERROR(Table228[[#This Row],[Total Sold Amount]]/Table228[[#This Row],[Total Sold Number]],0)</f>
        <v>0.66158217322364266</v>
      </c>
      <c r="R233" s="21">
        <f>Table228[[#This Row],[Total bought Number]]-Table228[[#This Row],[Total Sold Number]]</f>
        <v>0</v>
      </c>
      <c r="S233" s="59">
        <f>(Table228[[#This Row],[Ave exit price]]-Table228[[#This Row],[Ave Entry price]])*Table228[[#This Row],[Total Sold Number]]</f>
        <v>9742.6982114921248</v>
      </c>
      <c r="T233" s="15">
        <f>(Table228[[#This Row],[Current Price]]-Table228[[#This Row],[Ave Entry price]])*Table228[[#This Row],[How many tokens now]]</f>
        <v>0</v>
      </c>
      <c r="U233" s="76">
        <f>VLOOKUP(Table228[[#This Row],[Asset]],Table26[#All],10,FALSE)</f>
        <v>0.99</v>
      </c>
    </row>
    <row r="234" spans="1:21">
      <c r="A234" t="s">
        <v>346</v>
      </c>
      <c r="B234" s="68">
        <v>45601</v>
      </c>
      <c r="C234" s="82" t="s">
        <v>176</v>
      </c>
      <c r="D234" t="s">
        <v>468</v>
      </c>
      <c r="E234" t="s">
        <v>285</v>
      </c>
      <c r="F234" s="17">
        <v>0.67</v>
      </c>
      <c r="G234" s="73">
        <v>9833.94</v>
      </c>
      <c r="H234" s="61">
        <f t="shared" si="80"/>
        <v>9833.94</v>
      </c>
      <c r="I234" s="67">
        <f t="shared" si="81"/>
        <v>0</v>
      </c>
      <c r="J234" s="15">
        <f t="shared" si="82"/>
        <v>6588.7398000000003</v>
      </c>
      <c r="K234" s="15">
        <f t="shared" si="83"/>
        <v>0</v>
      </c>
      <c r="L234">
        <f>SUMIF(Table228[[#All],[Asset]],Table228[[#This Row],[Asset]],Table228[[#All],[Bought number]])</f>
        <v>240949.690848</v>
      </c>
      <c r="M234">
        <f>SUMIF(Table228[[#All],[Asset]],Table228[[#This Row],[Asset]],Table228[[#All],[Sold Number]])</f>
        <v>240949.69084800003</v>
      </c>
      <c r="N234" s="15">
        <f>SUMIF(Table228[[#All],[Asset]],Table228[[#This Row],[Asset]],Table228[[#All],[Bought amount]])</f>
        <v>149665.32189729257</v>
      </c>
      <c r="O234" s="15">
        <f>SUMIF(Table228[[#All],[Asset]],Table228[[#This Row],[Asset]],Table228[[#All],[Sold amount]])</f>
        <v>159408.02010878469</v>
      </c>
      <c r="P234" s="75">
        <f>Table228[[#This Row],[Total bought Amount]]/Table228[[#This Row],[Total bought Number]]</f>
        <v>0.62114759878113723</v>
      </c>
      <c r="Q234" s="75">
        <f>IFERROR(Table228[[#This Row],[Total Sold Amount]]/Table228[[#This Row],[Total Sold Number]],0)</f>
        <v>0.66158217322364266</v>
      </c>
      <c r="R234" s="21">
        <f>Table228[[#This Row],[Total bought Number]]-Table228[[#This Row],[Total Sold Number]]</f>
        <v>0</v>
      </c>
      <c r="S234" s="59">
        <f>(Table228[[#This Row],[Ave exit price]]-Table228[[#This Row],[Ave Entry price]])*Table228[[#This Row],[Total Sold Number]]</f>
        <v>9742.6982114921248</v>
      </c>
      <c r="T234" s="15">
        <f>(Table228[[#This Row],[Current Price]]-Table228[[#This Row],[Ave Entry price]])*Table228[[#This Row],[How many tokens now]]</f>
        <v>0</v>
      </c>
      <c r="U234" s="76">
        <f>VLOOKUP(Table228[[#This Row],[Asset]],Table26[#All],10,FALSE)</f>
        <v>0.99</v>
      </c>
    </row>
    <row r="235" spans="1:21">
      <c r="A235" t="s">
        <v>226</v>
      </c>
      <c r="B235" s="68">
        <v>45608</v>
      </c>
      <c r="C235" s="82" t="s">
        <v>176</v>
      </c>
      <c r="D235" t="s">
        <v>68</v>
      </c>
      <c r="E235" t="s">
        <v>248</v>
      </c>
      <c r="F235" s="17">
        <v>5.9478000000000003E-2</v>
      </c>
      <c r="G235" s="73">
        <v>5094</v>
      </c>
      <c r="H235" s="61">
        <f t="shared" ref="H235:H241" si="84">IF(G235&gt;0,G235,0)</f>
        <v>5094</v>
      </c>
      <c r="I235" s="67">
        <f t="shared" ref="I235:I241" si="85">IF(G235&lt;0,ABS(G235),0)</f>
        <v>0</v>
      </c>
      <c r="J235" s="15">
        <f t="shared" ref="J235:J241" si="86">H235*F235</f>
        <v>302.980932</v>
      </c>
      <c r="K235" s="15">
        <f t="shared" ref="K235:K241" si="87">I235*F235</f>
        <v>0</v>
      </c>
      <c r="L235">
        <f>SUMIF(Table228[[#All],[Asset]],Table228[[#This Row],[Asset]],Table228[[#All],[Bought number]])</f>
        <v>323932.72954500001</v>
      </c>
      <c r="M235">
        <f>SUMIF(Table228[[#All],[Asset]],Table228[[#This Row],[Asset]],Table228[[#All],[Sold Number]])</f>
        <v>323932.73009199998</v>
      </c>
      <c r="N235" s="15">
        <f>SUMIF(Table228[[#All],[Asset]],Table228[[#This Row],[Asset]],Table228[[#All],[Bought amount]])</f>
        <v>15730.280778400003</v>
      </c>
      <c r="O235" s="15">
        <f>SUMIF(Table228[[#All],[Asset]],Table228[[#This Row],[Asset]],Table228[[#All],[Sold amount]])</f>
        <v>14916.766213074001</v>
      </c>
      <c r="P235" s="75">
        <f>Table228[[#This Row],[Total bought Amount]]/Table228[[#This Row],[Total bought Number]]</f>
        <v>4.8560331648163348E-2</v>
      </c>
      <c r="Q235" s="75">
        <f>IFERROR(Table228[[#This Row],[Total Sold Amount]]/Table228[[#This Row],[Total Sold Number]],0)</f>
        <v>4.6048962723950426E-2</v>
      </c>
      <c r="R235" s="21">
        <f>Table228[[#This Row],[Total bought Number]]-Table228[[#This Row],[Total Sold Number]]</f>
        <v>-5.4699997417628765E-4</v>
      </c>
      <c r="S235" s="59">
        <f>(Table228[[#This Row],[Ave exit price]]-Table228[[#This Row],[Ave Entry price]])*Table228[[#This Row],[Total Sold Number]]</f>
        <v>-813.5145918885006</v>
      </c>
      <c r="T235" s="15">
        <f>(Table228[[#This Row],[Current Price]]-Table228[[#This Row],[Ave Entry price]])*Table228[[#This Row],[How many tokens now]]</f>
        <v>-2.3737984763883032E-6</v>
      </c>
      <c r="U235" s="76">
        <f>VLOOKUP(Table228[[#This Row],[Asset]],Table26[#All],10,FALSE)</f>
        <v>5.2900000000000003E-2</v>
      </c>
    </row>
    <row r="236" spans="1:21">
      <c r="A236" t="s">
        <v>226</v>
      </c>
      <c r="B236" s="68">
        <v>45610</v>
      </c>
      <c r="C236" s="82" t="s">
        <v>176</v>
      </c>
      <c r="D236" t="s">
        <v>68</v>
      </c>
      <c r="E236" t="s">
        <v>270</v>
      </c>
      <c r="F236" s="17">
        <v>7.2599999999999998E-2</v>
      </c>
      <c r="G236" s="73">
        <v>18983.688600000001</v>
      </c>
      <c r="H236" s="61">
        <f t="shared" si="84"/>
        <v>18983.688600000001</v>
      </c>
      <c r="I236" s="67">
        <f t="shared" si="85"/>
        <v>0</v>
      </c>
      <c r="J236" s="15">
        <f t="shared" si="86"/>
        <v>1378.21579236</v>
      </c>
      <c r="K236" s="15">
        <f t="shared" si="87"/>
        <v>0</v>
      </c>
      <c r="L236">
        <f>SUMIF(Table228[[#All],[Asset]],Table228[[#This Row],[Asset]],Table228[[#All],[Bought number]])</f>
        <v>323932.72954500001</v>
      </c>
      <c r="M236">
        <f>SUMIF(Table228[[#All],[Asset]],Table228[[#This Row],[Asset]],Table228[[#All],[Sold Number]])</f>
        <v>323932.73009199998</v>
      </c>
      <c r="N236" s="15">
        <f>SUMIF(Table228[[#All],[Asset]],Table228[[#This Row],[Asset]],Table228[[#All],[Bought amount]])</f>
        <v>15730.280778400003</v>
      </c>
      <c r="O236" s="15">
        <f>SUMIF(Table228[[#All],[Asset]],Table228[[#This Row],[Asset]],Table228[[#All],[Sold amount]])</f>
        <v>14916.766213074001</v>
      </c>
      <c r="P236" s="75">
        <f>Table228[[#This Row],[Total bought Amount]]/Table228[[#This Row],[Total bought Number]]</f>
        <v>4.8560331648163348E-2</v>
      </c>
      <c r="Q236" s="75">
        <f>IFERROR(Table228[[#This Row],[Total Sold Amount]]/Table228[[#This Row],[Total Sold Number]],0)</f>
        <v>4.6048962723950426E-2</v>
      </c>
      <c r="R236" s="21">
        <f>Table228[[#This Row],[Total bought Number]]-Table228[[#This Row],[Total Sold Number]]</f>
        <v>-5.4699997417628765E-4</v>
      </c>
      <c r="S236" s="59">
        <f>(Table228[[#This Row],[Ave exit price]]-Table228[[#This Row],[Ave Entry price]])*Table228[[#This Row],[Total Sold Number]]</f>
        <v>-813.5145918885006</v>
      </c>
      <c r="T236" s="15">
        <f>(Table228[[#This Row],[Current Price]]-Table228[[#This Row],[Ave Entry price]])*Table228[[#This Row],[How many tokens now]]</f>
        <v>-2.3737984763883032E-6</v>
      </c>
      <c r="U236" s="76">
        <f>VLOOKUP(Table228[[#This Row],[Asset]],Table26[#All],10,FALSE)</f>
        <v>5.2900000000000003E-2</v>
      </c>
    </row>
    <row r="237" spans="1:21">
      <c r="A237" t="s">
        <v>291</v>
      </c>
      <c r="B237" s="68">
        <v>45618</v>
      </c>
      <c r="C237" s="82" t="s">
        <v>180</v>
      </c>
      <c r="D237" t="s">
        <v>69</v>
      </c>
      <c r="E237" t="s">
        <v>285</v>
      </c>
      <c r="F237" s="17">
        <v>7.3999999999999996E-2</v>
      </c>
      <c r="G237" s="73">
        <v>13500</v>
      </c>
      <c r="H237" s="61">
        <f t="shared" si="84"/>
        <v>13500</v>
      </c>
      <c r="I237" s="67">
        <f t="shared" si="85"/>
        <v>0</v>
      </c>
      <c r="J237" s="15">
        <f t="shared" si="86"/>
        <v>999</v>
      </c>
      <c r="K237" s="15">
        <f t="shared" si="87"/>
        <v>0</v>
      </c>
      <c r="L237">
        <f>SUMIF(Table228[[#All],[Asset]],Table228[[#This Row],[Asset]],Table228[[#All],[Bought number]])</f>
        <v>56191.636100000003</v>
      </c>
      <c r="M237">
        <f>SUMIF(Table228[[#All],[Asset]],Table228[[#This Row],[Asset]],Table228[[#All],[Sold Number]])</f>
        <v>56191</v>
      </c>
      <c r="N237" s="15">
        <f>SUMIF(Table228[[#All],[Asset]],Table228[[#This Row],[Asset]],Table228[[#All],[Bought amount]])</f>
        <v>5356.8114137100001</v>
      </c>
      <c r="O237" s="15">
        <f>SUMIF(Table228[[#All],[Asset]],Table228[[#This Row],[Asset]],Table228[[#All],[Sold amount]])</f>
        <v>1466.328</v>
      </c>
      <c r="P237" s="75">
        <f>Table228[[#This Row],[Total bought Amount]]/Table228[[#This Row],[Total bought Number]]</f>
        <v>9.5331116612744432E-2</v>
      </c>
      <c r="Q237" s="75">
        <f>IFERROR(Table228[[#This Row],[Total Sold Amount]]/Table228[[#This Row],[Total Sold Number]],0)</f>
        <v>2.6095424534178072E-2</v>
      </c>
      <c r="R237" s="21">
        <f>Table228[[#This Row],[Total bought Number]]-Table228[[#This Row],[Total Sold Number]]</f>
        <v>0.63610000000335276</v>
      </c>
      <c r="S237" s="59">
        <f>(Table228[[#This Row],[Ave exit price]]-Table228[[#This Row],[Ave Entry price]])*Table228[[#This Row],[Total Sold Number]]</f>
        <v>-3890.4227735867225</v>
      </c>
      <c r="T237" s="15">
        <f>(Table228[[#This Row],[Current Price]]-Table228[[#This Row],[Ave Entry price]])*Table228[[#This Row],[How many tokens now]]</f>
        <v>-4.4737623277602542E-2</v>
      </c>
      <c r="U237" s="76">
        <f>VLOOKUP(Table228[[#This Row],[Asset]],Table26[#All],10,FALSE)</f>
        <v>2.5000000000000001E-2</v>
      </c>
    </row>
    <row r="238" spans="1:21">
      <c r="A238" t="s">
        <v>340</v>
      </c>
      <c r="B238" s="68">
        <v>45622</v>
      </c>
      <c r="C238" s="82" t="s">
        <v>175</v>
      </c>
      <c r="D238" t="s">
        <v>76</v>
      </c>
      <c r="E238" t="s">
        <v>189</v>
      </c>
      <c r="F238" s="17">
        <v>1800</v>
      </c>
      <c r="G238" s="73">
        <v>-1</v>
      </c>
      <c r="H238" s="61">
        <f t="shared" si="84"/>
        <v>0</v>
      </c>
      <c r="I238" s="67">
        <f t="shared" si="85"/>
        <v>1</v>
      </c>
      <c r="J238" s="15">
        <f t="shared" si="86"/>
        <v>0</v>
      </c>
      <c r="K238" s="15">
        <f t="shared" si="87"/>
        <v>1800</v>
      </c>
      <c r="L238">
        <f>SUMIF(Table228[[#All],[Asset]],Table228[[#This Row],[Asset]],Table228[[#All],[Bought number]])</f>
        <v>1</v>
      </c>
      <c r="M238">
        <f>SUMIF(Table228[[#All],[Asset]],Table228[[#This Row],[Asset]],Table228[[#All],[Sold Number]])</f>
        <v>1</v>
      </c>
      <c r="N238" s="15">
        <f>SUMIF(Table228[[#All],[Asset]],Table228[[#This Row],[Asset]],Table228[[#All],[Bought amount]])</f>
        <v>1430</v>
      </c>
      <c r="O238" s="15">
        <f>SUMIF(Table228[[#All],[Asset]],Table228[[#This Row],[Asset]],Table228[[#All],[Sold amount]])</f>
        <v>1800</v>
      </c>
      <c r="P238" s="75">
        <f>Table228[[#This Row],[Total bought Amount]]/Table228[[#This Row],[Total bought Number]]</f>
        <v>1430</v>
      </c>
      <c r="Q238" s="75">
        <f>IFERROR(Table228[[#This Row],[Total Sold Amount]]/Table228[[#This Row],[Total Sold Number]],0)</f>
        <v>1800</v>
      </c>
      <c r="R238" s="21">
        <f>Table228[[#This Row],[Total bought Number]]-Table228[[#This Row],[Total Sold Number]]</f>
        <v>0</v>
      </c>
      <c r="S238" s="59">
        <f>(Table228[[#This Row],[Ave exit price]]-Table228[[#This Row],[Ave Entry price]])*Table228[[#This Row],[Total Sold Number]]</f>
        <v>370</v>
      </c>
      <c r="T238" s="15">
        <f>(Table228[[#This Row],[Current Price]]-Table228[[#This Row],[Ave Entry price]])*Table228[[#This Row],[How many tokens now]]</f>
        <v>0</v>
      </c>
      <c r="U238" s="76">
        <f>VLOOKUP(Table228[[#This Row],[Asset]],Table26[#All],10,FALSE)</f>
        <v>1430</v>
      </c>
    </row>
    <row r="239" spans="1:21">
      <c r="A239" t="s">
        <v>474</v>
      </c>
      <c r="B239" s="68">
        <v>45623</v>
      </c>
      <c r="C239" s="82" t="s">
        <v>175</v>
      </c>
      <c r="D239" t="s">
        <v>76</v>
      </c>
      <c r="E239" t="s">
        <v>189</v>
      </c>
      <c r="F239" s="17">
        <v>1790</v>
      </c>
      <c r="G239" s="73">
        <v>1</v>
      </c>
      <c r="H239" s="61">
        <f t="shared" si="84"/>
        <v>1</v>
      </c>
      <c r="I239" s="67">
        <f t="shared" si="85"/>
        <v>0</v>
      </c>
      <c r="J239" s="15">
        <f t="shared" si="86"/>
        <v>1790</v>
      </c>
      <c r="K239" s="15">
        <f t="shared" si="87"/>
        <v>0</v>
      </c>
      <c r="L239">
        <f>SUMIF(Table228[[#All],[Asset]],Table228[[#This Row],[Asset]],Table228[[#All],[Bought number]])</f>
        <v>1</v>
      </c>
      <c r="M239">
        <f>SUMIF(Table228[[#All],[Asset]],Table228[[#This Row],[Asset]],Table228[[#All],[Sold Number]])</f>
        <v>1</v>
      </c>
      <c r="N239" s="15">
        <f>SUMIF(Table228[[#All],[Asset]],Table228[[#This Row],[Asset]],Table228[[#All],[Bought amount]])</f>
        <v>1790</v>
      </c>
      <c r="O239" s="15">
        <f>SUMIF(Table228[[#All],[Asset]],Table228[[#This Row],[Asset]],Table228[[#All],[Sold amount]])</f>
        <v>1670</v>
      </c>
      <c r="P239" s="75">
        <f>Table228[[#This Row],[Total bought Amount]]/Table228[[#This Row],[Total bought Number]]</f>
        <v>1790</v>
      </c>
      <c r="Q239" s="75">
        <f>IFERROR(Table228[[#This Row],[Total Sold Amount]]/Table228[[#This Row],[Total Sold Number]],0)</f>
        <v>1670</v>
      </c>
      <c r="R239" s="21">
        <f>Table228[[#This Row],[Total bought Number]]-Table228[[#This Row],[Total Sold Number]]</f>
        <v>0</v>
      </c>
      <c r="S239" s="59">
        <f>(Table228[[#This Row],[Ave exit price]]-Table228[[#This Row],[Ave Entry price]])*Table228[[#This Row],[Total Sold Number]]</f>
        <v>-120</v>
      </c>
      <c r="T239" s="15">
        <f>(Table228[[#This Row],[Current Price]]-Table228[[#This Row],[Ave Entry price]])*Table228[[#This Row],[How many tokens now]]</f>
        <v>0</v>
      </c>
      <c r="U239" s="76">
        <f>VLOOKUP(Table228[[#This Row],[Asset]],Table26[#All],10,FALSE)</f>
        <v>1790</v>
      </c>
    </row>
    <row r="240" spans="1:21">
      <c r="A240" t="s">
        <v>322</v>
      </c>
      <c r="B240" s="68">
        <v>45625</v>
      </c>
      <c r="C240" s="82" t="s">
        <v>176</v>
      </c>
      <c r="D240" t="s">
        <v>71</v>
      </c>
      <c r="E240" t="s">
        <v>285</v>
      </c>
      <c r="F240" s="17">
        <v>0.24942</v>
      </c>
      <c r="G240" s="73">
        <v>-4789</v>
      </c>
      <c r="H240" s="61">
        <f t="shared" si="84"/>
        <v>0</v>
      </c>
      <c r="I240" s="67">
        <f t="shared" si="85"/>
        <v>4789</v>
      </c>
      <c r="J240" s="15">
        <f t="shared" si="86"/>
        <v>0</v>
      </c>
      <c r="K240" s="15">
        <f t="shared" si="87"/>
        <v>1194.4723799999999</v>
      </c>
      <c r="L240">
        <f>SUMIF(Table228[[#All],[Asset]],Table228[[#This Row],[Asset]],Table228[[#All],[Bought number]])</f>
        <v>8758</v>
      </c>
      <c r="M240">
        <f>SUMIF(Table228[[#All],[Asset]],Table228[[#This Row],[Asset]],Table228[[#All],[Sold Number]])</f>
        <v>8758</v>
      </c>
      <c r="N240" s="15">
        <f>SUMIF(Table228[[#All],[Asset]],Table228[[#This Row],[Asset]],Table228[[#All],[Bought amount]])</f>
        <v>1202.96</v>
      </c>
      <c r="O240" s="15">
        <f>SUMIF(Table228[[#All],[Asset]],Table228[[#This Row],[Asset]],Table228[[#All],[Sold amount]])</f>
        <v>1829.5123799999999</v>
      </c>
      <c r="P240" s="75">
        <f>Table228[[#This Row],[Total bought Amount]]/Table228[[#This Row],[Total bought Number]]</f>
        <v>0.1373555606302809</v>
      </c>
      <c r="Q240" s="75">
        <f>IFERROR(Table228[[#This Row],[Total Sold Amount]]/Table228[[#This Row],[Total Sold Number]],0)</f>
        <v>0.20889613838775975</v>
      </c>
      <c r="R240" s="21">
        <f>Table228[[#This Row],[Total bought Number]]-Table228[[#This Row],[Total Sold Number]]</f>
        <v>0</v>
      </c>
      <c r="S240" s="59">
        <f>(Table228[[#This Row],[Ave exit price]]-Table228[[#This Row],[Ave Entry price]])*Table228[[#This Row],[Total Sold Number]]</f>
        <v>626.55237999999974</v>
      </c>
      <c r="T240" s="15">
        <f>(Table228[[#This Row],[Current Price]]-Table228[[#This Row],[Ave Entry price]])*Table228[[#This Row],[How many tokens now]]</f>
        <v>0</v>
      </c>
      <c r="U240" s="76">
        <f>VLOOKUP(Table228[[#This Row],[Asset]],Table26[#All],10,FALSE)</f>
        <v>0.13089000000000001</v>
      </c>
    </row>
    <row r="241" spans="1:21">
      <c r="A241" t="s">
        <v>291</v>
      </c>
      <c r="B241" s="68">
        <v>45625</v>
      </c>
      <c r="C241" s="82" t="s">
        <v>180</v>
      </c>
      <c r="D241" t="s">
        <v>69</v>
      </c>
      <c r="E241" t="s">
        <v>285</v>
      </c>
      <c r="F241" s="17">
        <v>8.3500000000000005E-2</v>
      </c>
      <c r="G241" s="73">
        <v>10500</v>
      </c>
      <c r="H241" s="61">
        <f t="shared" si="84"/>
        <v>10500</v>
      </c>
      <c r="I241" s="67">
        <f t="shared" si="85"/>
        <v>0</v>
      </c>
      <c r="J241" s="15">
        <f t="shared" si="86"/>
        <v>876.75</v>
      </c>
      <c r="K241" s="15">
        <f t="shared" si="87"/>
        <v>0</v>
      </c>
      <c r="L241">
        <f>SUMIF(Table228[[#All],[Asset]],Table228[[#This Row],[Asset]],Table228[[#All],[Bought number]])</f>
        <v>56191.636100000003</v>
      </c>
      <c r="M241">
        <f>SUMIF(Table228[[#All],[Asset]],Table228[[#This Row],[Asset]],Table228[[#All],[Sold Number]])</f>
        <v>56191</v>
      </c>
      <c r="N241" s="15">
        <f>SUMIF(Table228[[#All],[Asset]],Table228[[#This Row],[Asset]],Table228[[#All],[Bought amount]])</f>
        <v>5356.8114137100001</v>
      </c>
      <c r="O241" s="15">
        <f>SUMIF(Table228[[#All],[Asset]],Table228[[#This Row],[Asset]],Table228[[#All],[Sold amount]])</f>
        <v>1466.328</v>
      </c>
      <c r="P241" s="75">
        <f>Table228[[#This Row],[Total bought Amount]]/Table228[[#This Row],[Total bought Number]]</f>
        <v>9.5331116612744432E-2</v>
      </c>
      <c r="Q241" s="75">
        <f>IFERROR(Table228[[#This Row],[Total Sold Amount]]/Table228[[#This Row],[Total Sold Number]],0)</f>
        <v>2.6095424534178072E-2</v>
      </c>
      <c r="R241" s="21">
        <f>Table228[[#This Row],[Total bought Number]]-Table228[[#This Row],[Total Sold Number]]</f>
        <v>0.63610000000335276</v>
      </c>
      <c r="S241" s="59">
        <f>(Table228[[#This Row],[Ave exit price]]-Table228[[#This Row],[Ave Entry price]])*Table228[[#This Row],[Total Sold Number]]</f>
        <v>-3890.4227735867225</v>
      </c>
      <c r="T241" s="15">
        <f>(Table228[[#This Row],[Current Price]]-Table228[[#This Row],[Ave Entry price]])*Table228[[#This Row],[How many tokens now]]</f>
        <v>-4.4737623277602542E-2</v>
      </c>
      <c r="U241" s="76">
        <f>VLOOKUP(Table228[[#This Row],[Asset]],Table26[#All],10,FALSE)</f>
        <v>2.5000000000000001E-2</v>
      </c>
    </row>
    <row r="242" spans="1:21">
      <c r="A242" t="s">
        <v>217</v>
      </c>
      <c r="B242" s="68">
        <v>45626</v>
      </c>
      <c r="C242" s="82" t="s">
        <v>175</v>
      </c>
      <c r="D242" t="s">
        <v>177</v>
      </c>
      <c r="E242" t="s">
        <v>189</v>
      </c>
      <c r="F242" s="17">
        <v>924.12</v>
      </c>
      <c r="G242" s="73">
        <v>-1</v>
      </c>
      <c r="H242" s="61">
        <f t="shared" ref="H242:H251" si="88">IF(G242&gt;0,G242,0)</f>
        <v>0</v>
      </c>
      <c r="I242" s="67">
        <f t="shared" ref="I242:I251" si="89">IF(G242&lt;0,ABS(G242),0)</f>
        <v>1</v>
      </c>
      <c r="J242" s="15">
        <f t="shared" ref="J242:J251" si="90">H242*F242</f>
        <v>0</v>
      </c>
      <c r="K242" s="15">
        <f t="shared" ref="K242:K251" si="91">I242*F242</f>
        <v>924.12</v>
      </c>
      <c r="L242">
        <f>SUMIF(Table228[[#All],[Asset]],Table228[[#This Row],[Asset]],Table228[[#All],[Bought number]])</f>
        <v>1</v>
      </c>
      <c r="M242">
        <f>SUMIF(Table228[[#All],[Asset]],Table228[[#This Row],[Asset]],Table228[[#All],[Sold Number]])</f>
        <v>1</v>
      </c>
      <c r="N242" s="15">
        <f>SUMIF(Table228[[#All],[Asset]],Table228[[#This Row],[Asset]],Table228[[#All],[Bought amount]])</f>
        <v>520.35</v>
      </c>
      <c r="O242" s="15">
        <f>SUMIF(Table228[[#All],[Asset]],Table228[[#This Row],[Asset]],Table228[[#All],[Sold amount]])</f>
        <v>924.12</v>
      </c>
      <c r="P242" s="75">
        <f>Table228[[#This Row],[Total bought Amount]]/Table228[[#This Row],[Total bought Number]]</f>
        <v>520.35</v>
      </c>
      <c r="Q242" s="75">
        <f>IFERROR(Table228[[#This Row],[Total Sold Amount]]/Table228[[#This Row],[Total Sold Number]],0)</f>
        <v>924.12</v>
      </c>
      <c r="R242" s="21">
        <f>Table228[[#This Row],[Total bought Number]]-Table228[[#This Row],[Total Sold Number]]</f>
        <v>0</v>
      </c>
      <c r="S242" s="59">
        <f>(Table228[[#This Row],[Ave exit price]]-Table228[[#This Row],[Ave Entry price]])*Table228[[#This Row],[Total Sold Number]]</f>
        <v>403.77</v>
      </c>
      <c r="T242" s="15">
        <f>(Table228[[#This Row],[Current Price]]-Table228[[#This Row],[Ave Entry price]])*Table228[[#This Row],[How many tokens now]]</f>
        <v>0</v>
      </c>
      <c r="U242" s="76">
        <f>VLOOKUP(Table228[[#This Row],[Asset]],Table26[#All],10,FALSE)</f>
        <v>520.35</v>
      </c>
    </row>
    <row r="243" spans="1:21">
      <c r="A243" t="s">
        <v>226</v>
      </c>
      <c r="B243" s="68">
        <v>45626</v>
      </c>
      <c r="C243" s="82" t="s">
        <v>176</v>
      </c>
      <c r="D243" t="s">
        <v>68</v>
      </c>
      <c r="E243" t="s">
        <v>189</v>
      </c>
      <c r="F243" s="17">
        <v>5.0317000000000001E-2</v>
      </c>
      <c r="G243" s="73">
        <v>4180</v>
      </c>
      <c r="H243" s="61">
        <f t="shared" si="88"/>
        <v>4180</v>
      </c>
      <c r="I243" s="67">
        <f t="shared" si="89"/>
        <v>0</v>
      </c>
      <c r="J243" s="15">
        <f t="shared" si="90"/>
        <v>210.32506000000001</v>
      </c>
      <c r="K243" s="15">
        <f t="shared" si="91"/>
        <v>0</v>
      </c>
      <c r="L243">
        <f>SUMIF(Table228[[#All],[Asset]],Table228[[#This Row],[Asset]],Table228[[#All],[Bought number]])</f>
        <v>323932.72954500001</v>
      </c>
      <c r="M243">
        <f>SUMIF(Table228[[#All],[Asset]],Table228[[#This Row],[Asset]],Table228[[#All],[Sold Number]])</f>
        <v>323932.73009199998</v>
      </c>
      <c r="N243" s="15">
        <f>SUMIF(Table228[[#All],[Asset]],Table228[[#This Row],[Asset]],Table228[[#All],[Bought amount]])</f>
        <v>15730.280778400003</v>
      </c>
      <c r="O243" s="15">
        <f>SUMIF(Table228[[#All],[Asset]],Table228[[#This Row],[Asset]],Table228[[#All],[Sold amount]])</f>
        <v>14916.766213074001</v>
      </c>
      <c r="P243" s="75">
        <f>Table228[[#This Row],[Total bought Amount]]/Table228[[#This Row],[Total bought Number]]</f>
        <v>4.8560331648163348E-2</v>
      </c>
      <c r="Q243" s="75">
        <f>IFERROR(Table228[[#This Row],[Total Sold Amount]]/Table228[[#This Row],[Total Sold Number]],0)</f>
        <v>4.6048962723950426E-2</v>
      </c>
      <c r="R243" s="21">
        <f>Table228[[#This Row],[Total bought Number]]-Table228[[#This Row],[Total Sold Number]]</f>
        <v>-5.4699997417628765E-4</v>
      </c>
      <c r="S243" s="59">
        <f>(Table228[[#This Row],[Ave exit price]]-Table228[[#This Row],[Ave Entry price]])*Table228[[#This Row],[Total Sold Number]]</f>
        <v>-813.5145918885006</v>
      </c>
      <c r="T243" s="15">
        <f>(Table228[[#This Row],[Current Price]]-Table228[[#This Row],[Ave Entry price]])*Table228[[#This Row],[How many tokens now]]</f>
        <v>-2.3737984763883032E-6</v>
      </c>
      <c r="U243" s="76">
        <f>VLOOKUP(Table228[[#This Row],[Asset]],Table26[#All],10,FALSE)</f>
        <v>5.2900000000000003E-2</v>
      </c>
    </row>
    <row r="244" spans="1:21">
      <c r="A244" t="s">
        <v>226</v>
      </c>
      <c r="B244" s="68">
        <v>45626</v>
      </c>
      <c r="C244" s="82" t="s">
        <v>176</v>
      </c>
      <c r="D244" t="s">
        <v>68</v>
      </c>
      <c r="E244" t="s">
        <v>189</v>
      </c>
      <c r="F244" s="17">
        <v>5.0317000000000001E-2</v>
      </c>
      <c r="G244" s="73">
        <v>3010</v>
      </c>
      <c r="H244" s="61">
        <f t="shared" si="88"/>
        <v>3010</v>
      </c>
      <c r="I244" s="67">
        <f t="shared" si="89"/>
        <v>0</v>
      </c>
      <c r="J244" s="15">
        <f t="shared" si="90"/>
        <v>151.45417</v>
      </c>
      <c r="K244" s="15">
        <f t="shared" si="91"/>
        <v>0</v>
      </c>
      <c r="L244">
        <f>SUMIF(Table228[[#All],[Asset]],Table228[[#This Row],[Asset]],Table228[[#All],[Bought number]])</f>
        <v>323932.72954500001</v>
      </c>
      <c r="M244">
        <f>SUMIF(Table228[[#All],[Asset]],Table228[[#This Row],[Asset]],Table228[[#All],[Sold Number]])</f>
        <v>323932.73009199998</v>
      </c>
      <c r="N244" s="15">
        <f>SUMIF(Table228[[#All],[Asset]],Table228[[#This Row],[Asset]],Table228[[#All],[Bought amount]])</f>
        <v>15730.280778400003</v>
      </c>
      <c r="O244" s="15">
        <f>SUMIF(Table228[[#All],[Asset]],Table228[[#This Row],[Asset]],Table228[[#All],[Sold amount]])</f>
        <v>14916.766213074001</v>
      </c>
      <c r="P244" s="75">
        <f>Table228[[#This Row],[Total bought Amount]]/Table228[[#This Row],[Total bought Number]]</f>
        <v>4.8560331648163348E-2</v>
      </c>
      <c r="Q244" s="75">
        <f>IFERROR(Table228[[#This Row],[Total Sold Amount]]/Table228[[#This Row],[Total Sold Number]],0)</f>
        <v>4.6048962723950426E-2</v>
      </c>
      <c r="R244" s="21">
        <f>Table228[[#This Row],[Total bought Number]]-Table228[[#This Row],[Total Sold Number]]</f>
        <v>-5.4699997417628765E-4</v>
      </c>
      <c r="S244" s="59">
        <f>(Table228[[#This Row],[Ave exit price]]-Table228[[#This Row],[Ave Entry price]])*Table228[[#This Row],[Total Sold Number]]</f>
        <v>-813.5145918885006</v>
      </c>
      <c r="T244" s="15">
        <f>(Table228[[#This Row],[Current Price]]-Table228[[#This Row],[Ave Entry price]])*Table228[[#This Row],[How many tokens now]]</f>
        <v>-2.3737984763883032E-6</v>
      </c>
      <c r="U244" s="76">
        <f>VLOOKUP(Table228[[#This Row],[Asset]],Table26[#All],10,FALSE)</f>
        <v>5.2900000000000003E-2</v>
      </c>
    </row>
    <row r="245" spans="1:21">
      <c r="A245" t="s">
        <v>226</v>
      </c>
      <c r="B245" s="68">
        <v>45626</v>
      </c>
      <c r="C245" s="82" t="s">
        <v>176</v>
      </c>
      <c r="D245" t="s">
        <v>68</v>
      </c>
      <c r="E245" t="s">
        <v>189</v>
      </c>
      <c r="F245" s="17">
        <v>5.0317000000000001E-2</v>
      </c>
      <c r="G245" s="73">
        <v>1527</v>
      </c>
      <c r="H245" s="61">
        <f t="shared" si="88"/>
        <v>1527</v>
      </c>
      <c r="I245" s="67">
        <f t="shared" si="89"/>
        <v>0</v>
      </c>
      <c r="J245" s="15">
        <f t="shared" si="90"/>
        <v>76.834058999999996</v>
      </c>
      <c r="K245" s="15">
        <f t="shared" si="91"/>
        <v>0</v>
      </c>
      <c r="L245">
        <f>SUMIF(Table228[[#All],[Asset]],Table228[[#This Row],[Asset]],Table228[[#All],[Bought number]])</f>
        <v>323932.72954500001</v>
      </c>
      <c r="M245">
        <f>SUMIF(Table228[[#All],[Asset]],Table228[[#This Row],[Asset]],Table228[[#All],[Sold Number]])</f>
        <v>323932.73009199998</v>
      </c>
      <c r="N245" s="15">
        <f>SUMIF(Table228[[#All],[Asset]],Table228[[#This Row],[Asset]],Table228[[#All],[Bought amount]])</f>
        <v>15730.280778400003</v>
      </c>
      <c r="O245" s="15">
        <f>SUMIF(Table228[[#All],[Asset]],Table228[[#This Row],[Asset]],Table228[[#All],[Sold amount]])</f>
        <v>14916.766213074001</v>
      </c>
      <c r="P245" s="75">
        <f>Table228[[#This Row],[Total bought Amount]]/Table228[[#This Row],[Total bought Number]]</f>
        <v>4.8560331648163348E-2</v>
      </c>
      <c r="Q245" s="75">
        <f>IFERROR(Table228[[#This Row],[Total Sold Amount]]/Table228[[#This Row],[Total Sold Number]],0)</f>
        <v>4.6048962723950426E-2</v>
      </c>
      <c r="R245" s="21">
        <f>Table228[[#This Row],[Total bought Number]]-Table228[[#This Row],[Total Sold Number]]</f>
        <v>-5.4699997417628765E-4</v>
      </c>
      <c r="S245" s="59">
        <f>(Table228[[#This Row],[Ave exit price]]-Table228[[#This Row],[Ave Entry price]])*Table228[[#This Row],[Total Sold Number]]</f>
        <v>-813.5145918885006</v>
      </c>
      <c r="T245" s="15">
        <f>(Table228[[#This Row],[Current Price]]-Table228[[#This Row],[Ave Entry price]])*Table228[[#This Row],[How many tokens now]]</f>
        <v>-2.3737984763883032E-6</v>
      </c>
      <c r="U245" s="76">
        <f>VLOOKUP(Table228[[#This Row],[Asset]],Table26[#All],10,FALSE)</f>
        <v>5.2900000000000003E-2</v>
      </c>
    </row>
    <row r="246" spans="1:21">
      <c r="A246" t="s">
        <v>226</v>
      </c>
      <c r="B246" s="68">
        <v>45626</v>
      </c>
      <c r="C246" s="82" t="s">
        <v>176</v>
      </c>
      <c r="D246" t="s">
        <v>68</v>
      </c>
      <c r="E246" t="s">
        <v>189</v>
      </c>
      <c r="F246" s="17">
        <v>5.0317000000000001E-2</v>
      </c>
      <c r="G246" s="73">
        <v>1354.5</v>
      </c>
      <c r="H246" s="61">
        <f t="shared" si="88"/>
        <v>1354.5</v>
      </c>
      <c r="I246" s="67">
        <f t="shared" si="89"/>
        <v>0</v>
      </c>
      <c r="J246" s="15">
        <f t="shared" si="90"/>
        <v>68.154376499999998</v>
      </c>
      <c r="K246" s="15">
        <f t="shared" si="91"/>
        <v>0</v>
      </c>
      <c r="L246">
        <f>SUMIF(Table228[[#All],[Asset]],Table228[[#This Row],[Asset]],Table228[[#All],[Bought number]])</f>
        <v>323932.72954500001</v>
      </c>
      <c r="M246">
        <f>SUMIF(Table228[[#All],[Asset]],Table228[[#This Row],[Asset]],Table228[[#All],[Sold Number]])</f>
        <v>323932.73009199998</v>
      </c>
      <c r="N246" s="15">
        <f>SUMIF(Table228[[#All],[Asset]],Table228[[#This Row],[Asset]],Table228[[#All],[Bought amount]])</f>
        <v>15730.280778400003</v>
      </c>
      <c r="O246" s="15">
        <f>SUMIF(Table228[[#All],[Asset]],Table228[[#This Row],[Asset]],Table228[[#All],[Sold amount]])</f>
        <v>14916.766213074001</v>
      </c>
      <c r="P246" s="75">
        <f>Table228[[#This Row],[Total bought Amount]]/Table228[[#This Row],[Total bought Number]]</f>
        <v>4.8560331648163348E-2</v>
      </c>
      <c r="Q246" s="75">
        <f>IFERROR(Table228[[#This Row],[Total Sold Amount]]/Table228[[#This Row],[Total Sold Number]],0)</f>
        <v>4.6048962723950426E-2</v>
      </c>
      <c r="R246" s="21">
        <f>Table228[[#This Row],[Total bought Number]]-Table228[[#This Row],[Total Sold Number]]</f>
        <v>-5.4699997417628765E-4</v>
      </c>
      <c r="S246" s="59">
        <f>(Table228[[#This Row],[Ave exit price]]-Table228[[#This Row],[Ave Entry price]])*Table228[[#This Row],[Total Sold Number]]</f>
        <v>-813.5145918885006</v>
      </c>
      <c r="T246" s="15">
        <f>(Table228[[#This Row],[Current Price]]-Table228[[#This Row],[Ave Entry price]])*Table228[[#This Row],[How many tokens now]]</f>
        <v>-2.3737984763883032E-6</v>
      </c>
      <c r="U246" s="76">
        <f>VLOOKUP(Table228[[#This Row],[Asset]],Table26[#All],10,FALSE)</f>
        <v>5.2900000000000003E-2</v>
      </c>
    </row>
    <row r="247" spans="1:21">
      <c r="A247" t="s">
        <v>226</v>
      </c>
      <c r="B247" s="68">
        <v>45626</v>
      </c>
      <c r="C247" s="82" t="s">
        <v>176</v>
      </c>
      <c r="D247" t="s">
        <v>68</v>
      </c>
      <c r="E247" t="s">
        <v>189</v>
      </c>
      <c r="F247" s="17">
        <v>5.0317000000000001E-2</v>
      </c>
      <c r="G247" s="73">
        <v>55679.67</v>
      </c>
      <c r="H247" s="61">
        <f t="shared" si="88"/>
        <v>55679.67</v>
      </c>
      <c r="I247" s="67">
        <f t="shared" si="89"/>
        <v>0</v>
      </c>
      <c r="J247" s="15">
        <f t="shared" si="90"/>
        <v>2801.6339553899998</v>
      </c>
      <c r="K247" s="15">
        <f t="shared" si="91"/>
        <v>0</v>
      </c>
      <c r="L247">
        <f>SUMIF(Table228[[#All],[Asset]],Table228[[#This Row],[Asset]],Table228[[#All],[Bought number]])</f>
        <v>323932.72954500001</v>
      </c>
      <c r="M247">
        <f>SUMIF(Table228[[#All],[Asset]],Table228[[#This Row],[Asset]],Table228[[#All],[Sold Number]])</f>
        <v>323932.73009199998</v>
      </c>
      <c r="N247" s="15">
        <f>SUMIF(Table228[[#All],[Asset]],Table228[[#This Row],[Asset]],Table228[[#All],[Bought amount]])</f>
        <v>15730.280778400003</v>
      </c>
      <c r="O247" s="15">
        <f>SUMIF(Table228[[#All],[Asset]],Table228[[#This Row],[Asset]],Table228[[#All],[Sold amount]])</f>
        <v>14916.766213074001</v>
      </c>
      <c r="P247" s="75">
        <f>Table228[[#This Row],[Total bought Amount]]/Table228[[#This Row],[Total bought Number]]</f>
        <v>4.8560331648163348E-2</v>
      </c>
      <c r="Q247" s="75">
        <f>IFERROR(Table228[[#This Row],[Total Sold Amount]]/Table228[[#This Row],[Total Sold Number]],0)</f>
        <v>4.6048962723950426E-2</v>
      </c>
      <c r="R247" s="21">
        <f>Table228[[#This Row],[Total bought Number]]-Table228[[#This Row],[Total Sold Number]]</f>
        <v>-5.4699997417628765E-4</v>
      </c>
      <c r="S247" s="59">
        <f>(Table228[[#This Row],[Ave exit price]]-Table228[[#This Row],[Ave Entry price]])*Table228[[#This Row],[Total Sold Number]]</f>
        <v>-813.5145918885006</v>
      </c>
      <c r="T247" s="15">
        <f>(Table228[[#This Row],[Current Price]]-Table228[[#This Row],[Ave Entry price]])*Table228[[#This Row],[How many tokens now]]</f>
        <v>-2.3737984763883032E-6</v>
      </c>
      <c r="U247" s="76">
        <f>VLOOKUP(Table228[[#This Row],[Asset]],Table26[#All],10,FALSE)</f>
        <v>5.2900000000000003E-2</v>
      </c>
    </row>
    <row r="248" spans="1:21">
      <c r="A248" t="s">
        <v>44</v>
      </c>
      <c r="B248" s="68">
        <v>45629</v>
      </c>
      <c r="C248" s="82" t="s">
        <v>176</v>
      </c>
      <c r="D248" t="s">
        <v>476</v>
      </c>
      <c r="E248" t="s">
        <v>285</v>
      </c>
      <c r="F248" s="17">
        <v>1.0841000000000001</v>
      </c>
      <c r="G248" s="73">
        <v>1442.7687000000001</v>
      </c>
      <c r="H248" s="61">
        <f t="shared" si="88"/>
        <v>1442.7687000000001</v>
      </c>
      <c r="I248" s="67">
        <f t="shared" si="89"/>
        <v>0</v>
      </c>
      <c r="J248" s="15">
        <f t="shared" si="90"/>
        <v>1564.1055476700001</v>
      </c>
      <c r="K248" s="15">
        <f t="shared" si="91"/>
        <v>0</v>
      </c>
      <c r="L248">
        <f>SUMIF(Table228[[#All],[Asset]],Table228[[#This Row],[Asset]],Table228[[#All],[Bought number]])</f>
        <v>9919.2763999999988</v>
      </c>
      <c r="M248">
        <f>SUMIF(Table228[[#All],[Asset]],Table228[[#This Row],[Asset]],Table228[[#All],[Sold Number]])</f>
        <v>5692.6409999999996</v>
      </c>
      <c r="N248" s="15">
        <f>SUMIF(Table228[[#All],[Asset]],Table228[[#This Row],[Asset]],Table228[[#All],[Bought amount]])</f>
        <v>4616.6576801299998</v>
      </c>
      <c r="O248" s="15">
        <f>SUMIF(Table228[[#All],[Asset]],Table228[[#This Row],[Asset]],Table228[[#All],[Sold amount]])</f>
        <v>2237.4323399999998</v>
      </c>
      <c r="P248" s="75">
        <f>Table228[[#This Row],[Total bought Amount]]/Table228[[#This Row],[Total bought Number]]</f>
        <v>0.46542282863798418</v>
      </c>
      <c r="Q248" s="75">
        <f>IFERROR(Table228[[#This Row],[Total Sold Amount]]/Table228[[#This Row],[Total Sold Number]],0)</f>
        <v>0.39303942405642656</v>
      </c>
      <c r="R248" s="21">
        <f>Table228[[#This Row],[Total bought Number]]-Table228[[#This Row],[Total Sold Number]]</f>
        <v>4226.6353999999992</v>
      </c>
      <c r="S248" s="59">
        <f>(Table228[[#This Row],[Ave exit price]]-Table228[[#This Row],[Ave Entry price]])*Table228[[#This Row],[Total Sold Number]]</f>
        <v>-412.05273664056273</v>
      </c>
      <c r="T248" s="15">
        <f>(Table228[[#This Row],[Current Price]]-Table228[[#This Row],[Ave Entry price]])*Table228[[#This Row],[How many tokens now]]</f>
        <v>1202.8039465105621</v>
      </c>
      <c r="U248" s="76">
        <f>VLOOKUP(Table228[[#This Row],[Asset]],Table26[#All],10,FALSE)</f>
        <v>0.75</v>
      </c>
    </row>
    <row r="249" spans="1:21">
      <c r="A249" t="s">
        <v>477</v>
      </c>
      <c r="B249" s="68">
        <v>45629</v>
      </c>
      <c r="C249" s="82" t="s">
        <v>176</v>
      </c>
      <c r="D249" t="s">
        <v>478</v>
      </c>
      <c r="E249" t="s">
        <v>478</v>
      </c>
      <c r="F249" s="17">
        <v>4.5599999999999996</v>
      </c>
      <c r="G249" s="73">
        <v>98.563999999999993</v>
      </c>
      <c r="H249" s="61">
        <f t="shared" si="88"/>
        <v>98.563999999999993</v>
      </c>
      <c r="I249" s="67">
        <f t="shared" si="89"/>
        <v>0</v>
      </c>
      <c r="J249" s="15">
        <f t="shared" si="90"/>
        <v>449.45183999999995</v>
      </c>
      <c r="K249" s="15">
        <f t="shared" si="91"/>
        <v>0</v>
      </c>
      <c r="L249">
        <f>SUMIF(Table228[[#All],[Asset]],Table228[[#This Row],[Asset]],Table228[[#All],[Bought number]])</f>
        <v>98.563999999999993</v>
      </c>
      <c r="M249">
        <f>SUMIF(Table228[[#All],[Asset]],Table228[[#This Row],[Asset]],Table228[[#All],[Sold Number]])</f>
        <v>98.563999999999993</v>
      </c>
      <c r="N249" s="15">
        <f>SUMIF(Table228[[#All],[Asset]],Table228[[#This Row],[Asset]],Table228[[#All],[Bought amount]])</f>
        <v>449.45183999999995</v>
      </c>
      <c r="O249" s="15">
        <f>SUMIF(Table228[[#All],[Asset]],Table228[[#This Row],[Asset]],Table228[[#All],[Sold amount]])</f>
        <v>277.71392639999999</v>
      </c>
      <c r="P249" s="75">
        <f>Table228[[#This Row],[Total bought Amount]]/Table228[[#This Row],[Total bought Number]]</f>
        <v>4.5599999999999996</v>
      </c>
      <c r="Q249" s="75">
        <f>IFERROR(Table228[[#This Row],[Total Sold Amount]]/Table228[[#This Row],[Total Sold Number]],0)</f>
        <v>2.8176000000000001</v>
      </c>
      <c r="R249" s="21">
        <f>Table228[[#This Row],[Total bought Number]]-Table228[[#This Row],[Total Sold Number]]</f>
        <v>0</v>
      </c>
      <c r="S249" s="59">
        <f>(Table228[[#This Row],[Ave exit price]]-Table228[[#This Row],[Ave Entry price]])*Table228[[#This Row],[Total Sold Number]]</f>
        <v>-171.73791359999993</v>
      </c>
      <c r="T249" s="15">
        <f>(Table228[[#This Row],[Current Price]]-Table228[[#This Row],[Ave Entry price]])*Table228[[#This Row],[How many tokens now]]</f>
        <v>0</v>
      </c>
      <c r="U249" s="76">
        <f>VLOOKUP(Table228[[#This Row],[Asset]],Table26[#All],10,FALSE)</f>
        <v>4.5599999999999996</v>
      </c>
    </row>
    <row r="250" spans="1:21">
      <c r="A250" t="s">
        <v>479</v>
      </c>
      <c r="B250" s="68">
        <v>45631</v>
      </c>
      <c r="C250" s="82" t="s">
        <v>176</v>
      </c>
      <c r="D250" t="s">
        <v>476</v>
      </c>
      <c r="E250" t="s">
        <v>285</v>
      </c>
      <c r="F250" s="17">
        <v>0.13800000000000001</v>
      </c>
      <c r="G250" s="73">
        <v>3523.7548999999999</v>
      </c>
      <c r="H250" s="61">
        <f t="shared" si="88"/>
        <v>3523.7548999999999</v>
      </c>
      <c r="I250" s="67">
        <f t="shared" si="89"/>
        <v>0</v>
      </c>
      <c r="J250" s="15">
        <f t="shared" si="90"/>
        <v>486.27817620000002</v>
      </c>
      <c r="K250" s="53">
        <f t="shared" si="91"/>
        <v>0</v>
      </c>
      <c r="L250">
        <f>SUMIF(Table228[[#All],[Asset]],Table228[[#This Row],[Asset]],Table228[[#All],[Bought number]])</f>
        <v>6364.1349</v>
      </c>
      <c r="M250">
        <f>SUMIF(Table228[[#All],[Asset]],Table228[[#This Row],[Asset]],Table228[[#All],[Sold Number]])</f>
        <v>6364.1349</v>
      </c>
      <c r="N250" s="15">
        <f>SUMIF(Table228[[#All],[Asset]],Table228[[#This Row],[Asset]],Table228[[#All],[Bought amount]])</f>
        <v>881.94311020000009</v>
      </c>
      <c r="O250" s="15">
        <f>SUMIF(Table228[[#All],[Asset]],Table228[[#This Row],[Asset]],Table228[[#All],[Sold amount]])</f>
        <v>633.00231369359994</v>
      </c>
      <c r="P250" s="75">
        <f>Table228[[#This Row],[Total bought Amount]]/Table228[[#This Row],[Total bought Number]]</f>
        <v>0.13858020360316373</v>
      </c>
      <c r="Q250" s="75">
        <f>IFERROR(Table228[[#This Row],[Total Sold Amount]]/Table228[[#This Row],[Total Sold Number]],0)</f>
        <v>9.9463999999999997E-2</v>
      </c>
      <c r="R250" s="21">
        <f>Table228[[#This Row],[Total bought Number]]-Table228[[#This Row],[Total Sold Number]]</f>
        <v>0</v>
      </c>
      <c r="S250" s="59">
        <f>(Table228[[#This Row],[Ave exit price]]-Table228[[#This Row],[Ave Entry price]])*Table228[[#This Row],[Total Sold Number]]</f>
        <v>-248.94079650640003</v>
      </c>
      <c r="T250" s="15">
        <f>(Table228[[#This Row],[Current Price]]-Table228[[#This Row],[Ave Entry price]])*Table228[[#This Row],[How many tokens now]]</f>
        <v>0</v>
      </c>
      <c r="U250" s="76">
        <f>VLOOKUP(Table228[[#This Row],[Asset]],Table26[#All],10,FALSE)</f>
        <v>0.1391</v>
      </c>
    </row>
    <row r="251" spans="1:21">
      <c r="A251" t="s">
        <v>479</v>
      </c>
      <c r="B251" s="68">
        <v>45631</v>
      </c>
      <c r="C251" s="82" t="s">
        <v>176</v>
      </c>
      <c r="D251" t="s">
        <v>476</v>
      </c>
      <c r="E251" t="s">
        <v>285</v>
      </c>
      <c r="F251" s="17">
        <v>0.13930000000000001</v>
      </c>
      <c r="G251" s="73">
        <v>2840.38</v>
      </c>
      <c r="H251" s="61">
        <f t="shared" si="88"/>
        <v>2840.38</v>
      </c>
      <c r="I251" s="67">
        <f t="shared" si="89"/>
        <v>0</v>
      </c>
      <c r="J251" s="15">
        <f t="shared" si="90"/>
        <v>395.66493400000002</v>
      </c>
      <c r="K251" s="15">
        <f t="shared" si="91"/>
        <v>0</v>
      </c>
      <c r="L251">
        <f>SUMIF(Table228[[#All],[Asset]],Table228[[#This Row],[Asset]],Table228[[#All],[Bought number]])</f>
        <v>6364.1349</v>
      </c>
      <c r="M251">
        <f>SUMIF(Table228[[#All],[Asset]],Table228[[#This Row],[Asset]],Table228[[#All],[Sold Number]])</f>
        <v>6364.1349</v>
      </c>
      <c r="N251" s="15">
        <f>SUMIF(Table228[[#All],[Asset]],Table228[[#This Row],[Asset]],Table228[[#All],[Bought amount]])</f>
        <v>881.94311020000009</v>
      </c>
      <c r="O251" s="15">
        <f>SUMIF(Table228[[#All],[Asset]],Table228[[#This Row],[Asset]],Table228[[#All],[Sold amount]])</f>
        <v>633.00231369359994</v>
      </c>
      <c r="P251" s="75">
        <f>Table228[[#This Row],[Total bought Amount]]/Table228[[#This Row],[Total bought Number]]</f>
        <v>0.13858020360316373</v>
      </c>
      <c r="Q251" s="75">
        <f>IFERROR(Table228[[#This Row],[Total Sold Amount]]/Table228[[#This Row],[Total Sold Number]],0)</f>
        <v>9.9463999999999997E-2</v>
      </c>
      <c r="R251" s="21">
        <f>Table228[[#This Row],[Total bought Number]]-Table228[[#This Row],[Total Sold Number]]</f>
        <v>0</v>
      </c>
      <c r="S251" s="59">
        <f>(Table228[[#This Row],[Ave exit price]]-Table228[[#This Row],[Ave Entry price]])*Table228[[#This Row],[Total Sold Number]]</f>
        <v>-248.94079650640003</v>
      </c>
      <c r="T251" s="15">
        <f>(Table228[[#This Row],[Current Price]]-Table228[[#This Row],[Ave Entry price]])*Table228[[#This Row],[How many tokens now]]</f>
        <v>0</v>
      </c>
      <c r="U251" s="76">
        <f>VLOOKUP(Table228[[#This Row],[Asset]],Table26[#All],10,FALSE)</f>
        <v>0.1391</v>
      </c>
    </row>
    <row r="252" spans="1:21">
      <c r="A252" t="s">
        <v>209</v>
      </c>
      <c r="B252" s="68">
        <v>45635</v>
      </c>
      <c r="C252" s="3" t="s">
        <v>180</v>
      </c>
      <c r="D252" t="s">
        <v>220</v>
      </c>
      <c r="E252" t="s">
        <v>189</v>
      </c>
      <c r="F252" s="17">
        <v>1</v>
      </c>
      <c r="G252" s="73">
        <v>-2575.02</v>
      </c>
      <c r="H252" s="61">
        <f t="shared" ref="H252:H283" si="92">IF(G252&gt;0,G252,0)</f>
        <v>0</v>
      </c>
      <c r="I252" s="67">
        <f t="shared" ref="I252:I283" si="93">IF(G252&lt;0,ABS(G252),0)</f>
        <v>2575.02</v>
      </c>
      <c r="J252" s="15">
        <f t="shared" ref="J252:J283" si="94">H252*F252</f>
        <v>0</v>
      </c>
      <c r="K252" s="15">
        <f t="shared" ref="K252:K283" si="95">I252*F252</f>
        <v>2575.02</v>
      </c>
      <c r="L252">
        <f>SUMIF(Table228[[#All],[Asset]],Table228[[#This Row],[Asset]],Table228[[#All],[Bought number]])</f>
        <v>14504.07</v>
      </c>
      <c r="M252">
        <f>SUMIF(Table228[[#All],[Asset]],Table228[[#This Row],[Asset]],Table228[[#All],[Sold Number]])</f>
        <v>12705.240000000002</v>
      </c>
      <c r="N252" s="15">
        <f>SUMIF(Table228[[#All],[Asset]],Table228[[#This Row],[Asset]],Table228[[#All],[Bought amount]])</f>
        <v>14005.02</v>
      </c>
      <c r="O252" s="15">
        <f>SUMIF(Table228[[#All],[Asset]],Table228[[#This Row],[Asset]],Table228[[#All],[Sold amount]])</f>
        <v>12705.240000000002</v>
      </c>
      <c r="P252" s="75">
        <f>Table228[[#This Row],[Total bought Amount]]/Table228[[#This Row],[Total bought Number]]</f>
        <v>0.96559241647344507</v>
      </c>
      <c r="Q252" s="75">
        <f>IFERROR(Table228[[#This Row],[Total Sold Amount]]/Table228[[#This Row],[Total Sold Number]],0)</f>
        <v>1</v>
      </c>
      <c r="R252" s="21">
        <f>Table228[[#This Row],[Total bought Number]]-Table228[[#This Row],[Total Sold Number]]</f>
        <v>1798.8299999999981</v>
      </c>
      <c r="S252" s="59">
        <f>(Table228[[#This Row],[Ave exit price]]-Table228[[#This Row],[Ave Entry price]])*Table228[[#This Row],[Total Sold Number]]</f>
        <v>437.15660652492681</v>
      </c>
      <c r="T252" s="15">
        <f>(Table228[[#This Row],[Current Price]]-Table228[[#This Row],[Ave Entry price]])*Table228[[#This Row],[How many tokens now]]</f>
        <v>61.893393475072742</v>
      </c>
      <c r="U252" s="76">
        <f>VLOOKUP(Table228[[#This Row],[Asset]],Table26[#All],10,FALSE)</f>
        <v>1</v>
      </c>
    </row>
    <row r="253" spans="1:21">
      <c r="A253" t="s">
        <v>480</v>
      </c>
      <c r="B253" s="68">
        <v>45636</v>
      </c>
      <c r="C253" s="82" t="s">
        <v>176</v>
      </c>
      <c r="D253" t="s">
        <v>68</v>
      </c>
      <c r="E253" t="s">
        <v>189</v>
      </c>
      <c r="F253" s="17">
        <v>1.75E-3</v>
      </c>
      <c r="G253" s="73">
        <v>1147347.87498867</v>
      </c>
      <c r="H253" s="61">
        <f t="shared" si="92"/>
        <v>1147347.87498867</v>
      </c>
      <c r="I253" s="67">
        <f t="shared" si="93"/>
        <v>0</v>
      </c>
      <c r="J253" s="15">
        <f t="shared" si="94"/>
        <v>2007.8587812301726</v>
      </c>
      <c r="K253" s="15">
        <f t="shared" si="95"/>
        <v>0</v>
      </c>
      <c r="L253">
        <f>SUMIF(Table228[[#All],[Asset]],Table228[[#This Row],[Asset]],Table228[[#All],[Bought number]])</f>
        <v>2144769.87498867</v>
      </c>
      <c r="M253">
        <f>SUMIF(Table228[[#All],[Asset]],Table228[[#This Row],[Asset]],Table228[[#All],[Sold Number]])</f>
        <v>2209870.0199000002</v>
      </c>
      <c r="N253" s="15">
        <f>SUMIF(Table228[[#All],[Asset]],Table228[[#This Row],[Asset]],Table228[[#All],[Bought amount]])</f>
        <v>4762.1959512301728</v>
      </c>
      <c r="O253" s="15">
        <f>SUMIF(Table228[[#All],[Asset]],Table228[[#This Row],[Asset]],Table228[[#All],[Sold amount]])</f>
        <v>6978.8960604900003</v>
      </c>
      <c r="P253" s="75">
        <f>Table228[[#This Row],[Total bought Amount]]/Table228[[#This Row],[Total bought Number]]</f>
        <v>2.2203761843005787E-3</v>
      </c>
      <c r="Q253" s="75">
        <f>IFERROR(Table228[[#This Row],[Total Sold Amount]]/Table228[[#This Row],[Total Sold Number]],0)</f>
        <v>3.1580572602210358E-3</v>
      </c>
      <c r="R253" s="21">
        <f>Table228[[#This Row],[Total bought Number]]-Table228[[#This Row],[Total Sold Number]]</f>
        <v>-65100.144911330193</v>
      </c>
      <c r="S253" s="59">
        <f>(Table228[[#This Row],[Ave exit price]]-Table228[[#This Row],[Ave Entry price]])*Table228[[#This Row],[Total Sold Number]]</f>
        <v>2072.153297904194</v>
      </c>
      <c r="T253" s="15">
        <f>(Table228[[#This Row],[Current Price]]-Table228[[#This Row],[Ave Entry price]])*Table228[[#This Row],[How many tokens now]]</f>
        <v>28.017551964353032</v>
      </c>
      <c r="U253" s="76">
        <f>VLOOKUP(Table228[[#This Row],[Asset]],Table26[#All],10,FALSE)</f>
        <v>1.7899999999999999E-3</v>
      </c>
    </row>
    <row r="254" spans="1:21">
      <c r="A254" t="s">
        <v>67</v>
      </c>
      <c r="B254" s="68">
        <v>45636</v>
      </c>
      <c r="C254" s="82" t="s">
        <v>176</v>
      </c>
      <c r="D254" t="s">
        <v>240</v>
      </c>
      <c r="E254" t="s">
        <v>276</v>
      </c>
      <c r="F254" s="17">
        <v>0.41</v>
      </c>
      <c r="G254" s="73">
        <v>2846</v>
      </c>
      <c r="H254" s="61">
        <f t="shared" si="92"/>
        <v>2846</v>
      </c>
      <c r="I254" s="67">
        <f t="shared" si="93"/>
        <v>0</v>
      </c>
      <c r="J254" s="15">
        <f t="shared" si="94"/>
        <v>1166.8599999999999</v>
      </c>
      <c r="K254" s="15">
        <f t="shared" si="95"/>
        <v>0</v>
      </c>
      <c r="L254">
        <f>SUMIF(Table228[[#All],[Asset]],Table228[[#This Row],[Asset]],Table228[[#All],[Bought number]])</f>
        <v>34194.467916000001</v>
      </c>
      <c r="M254">
        <f>SUMIF(Table228[[#All],[Asset]],Table228[[#This Row],[Asset]],Table228[[#All],[Sold Number]])</f>
        <v>34195.061103</v>
      </c>
      <c r="N254" s="15">
        <f>SUMIF(Table228[[#All],[Asset]],Table228[[#This Row],[Asset]],Table228[[#All],[Bought amount]])</f>
        <v>8337.2121048291392</v>
      </c>
      <c r="O254" s="15">
        <f>SUMIF(Table228[[#All],[Asset]],Table228[[#This Row],[Asset]],Table228[[#All],[Sold amount]])</f>
        <v>4877.1257709650927</v>
      </c>
      <c r="P254" s="75">
        <f>Table228[[#This Row],[Total bought Amount]]/Table228[[#This Row],[Total bought Number]]</f>
        <v>0.24381757088046566</v>
      </c>
      <c r="Q254" s="75">
        <f>IFERROR(Table228[[#This Row],[Total Sold Amount]]/Table228[[#This Row],[Total Sold Number]],0)</f>
        <v>0.14262661371695029</v>
      </c>
      <c r="R254" s="21">
        <f>Table228[[#This Row],[Total bought Number]]-Table228[[#This Row],[Total Sold Number]]</f>
        <v>-0.59318699999857927</v>
      </c>
      <c r="S254" s="59">
        <f>(Table228[[#This Row],[Ave exit price]]-Table228[[#This Row],[Ave Entry price]])*Table228[[#This Row],[Total Sold Number]]</f>
        <v>-3460.2309632774636</v>
      </c>
      <c r="T254" s="15">
        <f>(Table228[[#This Row],[Current Price]]-Table228[[#This Row],[Ave Entry price]])*Table228[[#This Row],[How many tokens now]]</f>
        <v>3.7855753417780115E-2</v>
      </c>
      <c r="U254" s="76">
        <f>VLOOKUP(Table228[[#This Row],[Asset]],Table26[#All],10,FALSE)</f>
        <v>0.18</v>
      </c>
    </row>
    <row r="255" spans="1:21">
      <c r="A255" t="s">
        <v>481</v>
      </c>
      <c r="B255" s="68">
        <v>45636</v>
      </c>
      <c r="C255" s="82" t="s">
        <v>180</v>
      </c>
      <c r="D255" t="s">
        <v>240</v>
      </c>
      <c r="E255" t="s">
        <v>276</v>
      </c>
      <c r="F255" s="17">
        <v>0</v>
      </c>
      <c r="G255" s="73">
        <v>414</v>
      </c>
      <c r="H255" s="61">
        <f t="shared" si="92"/>
        <v>414</v>
      </c>
      <c r="I255" s="67">
        <f t="shared" si="93"/>
        <v>0</v>
      </c>
      <c r="J255" s="15">
        <f t="shared" si="94"/>
        <v>0</v>
      </c>
      <c r="K255" s="15">
        <f t="shared" si="95"/>
        <v>0</v>
      </c>
      <c r="L255">
        <f>SUMIF(Table228[[#All],[Asset]],Table228[[#This Row],[Asset]],Table228[[#All],[Bought number]])</f>
        <v>414</v>
      </c>
      <c r="M255">
        <f>SUMIF(Table228[[#All],[Asset]],Table228[[#This Row],[Asset]],Table228[[#All],[Sold Number]])</f>
        <v>641.46</v>
      </c>
      <c r="N255" s="15">
        <f>SUMIF(Table228[[#All],[Asset]],Table228[[#This Row],[Asset]],Table228[[#All],[Bought amount]])</f>
        <v>0</v>
      </c>
      <c r="O255" s="15">
        <f>SUMIF(Table228[[#All],[Asset]],Table228[[#This Row],[Asset]],Table228[[#All],[Sold amount]])</f>
        <v>2048.6905000000002</v>
      </c>
      <c r="P255" s="75">
        <f>Table228[[#This Row],[Total bought Amount]]/Table228[[#This Row],[Total bought Number]]</f>
        <v>0</v>
      </c>
      <c r="Q255" s="75">
        <f>IFERROR(Table228[[#This Row],[Total Sold Amount]]/Table228[[#This Row],[Total Sold Number]],0)</f>
        <v>3.1937930658186016</v>
      </c>
      <c r="R255" s="21">
        <f>Table228[[#This Row],[Total bought Number]]-Table228[[#This Row],[Total Sold Number]]</f>
        <v>-227.46000000000004</v>
      </c>
      <c r="S255" s="59">
        <f>(Table228[[#This Row],[Ave exit price]]-Table228[[#This Row],[Ave Entry price]])*Table228[[#This Row],[Total Sold Number]]</f>
        <v>2048.6905000000002</v>
      </c>
      <c r="T255" s="15">
        <f>(Table228[[#This Row],[Current Price]]-Table228[[#This Row],[Ave Entry price]])*Table228[[#This Row],[How many tokens now]]</f>
        <v>-1294.2474000000002</v>
      </c>
      <c r="U255" s="76">
        <f>VLOOKUP(Table228[[#This Row],[Asset]],Table26[#All],10,FALSE)</f>
        <v>5.69</v>
      </c>
    </row>
    <row r="256" spans="1:21">
      <c r="A256" t="s">
        <v>481</v>
      </c>
      <c r="B256" s="68">
        <v>45636</v>
      </c>
      <c r="C256" s="82" t="s">
        <v>176</v>
      </c>
      <c r="D256" t="s">
        <v>240</v>
      </c>
      <c r="E256" t="s">
        <v>276</v>
      </c>
      <c r="F256" s="17">
        <v>5.69</v>
      </c>
      <c r="G256" s="73">
        <v>-207</v>
      </c>
      <c r="H256" s="61">
        <f t="shared" si="92"/>
        <v>0</v>
      </c>
      <c r="I256" s="67">
        <f t="shared" si="93"/>
        <v>207</v>
      </c>
      <c r="J256" s="15">
        <f t="shared" si="94"/>
        <v>0</v>
      </c>
      <c r="K256" s="53">
        <f t="shared" si="95"/>
        <v>1177.8300000000002</v>
      </c>
      <c r="L256">
        <f>SUMIF(Table228[[#All],[Asset]],Table228[[#This Row],[Asset]],Table228[[#All],[Bought number]])</f>
        <v>414</v>
      </c>
      <c r="M256">
        <f>SUMIF(Table228[[#All],[Asset]],Table228[[#This Row],[Asset]],Table228[[#All],[Sold Number]])</f>
        <v>641.46</v>
      </c>
      <c r="N256" s="15">
        <f>SUMIF(Table228[[#All],[Asset]],Table228[[#This Row],[Asset]],Table228[[#All],[Bought amount]])</f>
        <v>0</v>
      </c>
      <c r="O256" s="15">
        <f>SUMIF(Table228[[#All],[Asset]],Table228[[#This Row],[Asset]],Table228[[#All],[Sold amount]])</f>
        <v>2048.6905000000002</v>
      </c>
      <c r="P256" s="75">
        <f>Table228[[#This Row],[Total bought Amount]]/Table228[[#This Row],[Total bought Number]]</f>
        <v>0</v>
      </c>
      <c r="Q256" s="75">
        <f>IFERROR(Table228[[#This Row],[Total Sold Amount]]/Table228[[#This Row],[Total Sold Number]],0)</f>
        <v>3.1937930658186016</v>
      </c>
      <c r="R256" s="21">
        <f>Table228[[#This Row],[Total bought Number]]-Table228[[#This Row],[Total Sold Number]]</f>
        <v>-227.46000000000004</v>
      </c>
      <c r="S256" s="59">
        <f>(Table228[[#This Row],[Ave exit price]]-Table228[[#This Row],[Ave Entry price]])*Table228[[#This Row],[Total Sold Number]]</f>
        <v>2048.6905000000002</v>
      </c>
      <c r="T256" s="15">
        <f>(Table228[[#This Row],[Current Price]]-Table228[[#This Row],[Ave Entry price]])*Table228[[#This Row],[How many tokens now]]</f>
        <v>-1294.2474000000002</v>
      </c>
      <c r="U256" s="76">
        <f>VLOOKUP(Table228[[#This Row],[Asset]],Table26[#All],10,FALSE)</f>
        <v>5.69</v>
      </c>
    </row>
    <row r="257" spans="1:21">
      <c r="A257" t="s">
        <v>225</v>
      </c>
      <c r="B257" s="68">
        <v>45639</v>
      </c>
      <c r="C257" s="82" t="s">
        <v>176</v>
      </c>
      <c r="D257" t="s">
        <v>68</v>
      </c>
      <c r="E257" t="s">
        <v>270</v>
      </c>
      <c r="F257" s="17">
        <v>1.74</v>
      </c>
      <c r="G257" s="73">
        <v>-154.37855999999999</v>
      </c>
      <c r="H257" s="61">
        <f t="shared" si="92"/>
        <v>0</v>
      </c>
      <c r="I257" s="67">
        <f t="shared" si="93"/>
        <v>154.37855999999999</v>
      </c>
      <c r="J257" s="15">
        <f t="shared" si="94"/>
        <v>0</v>
      </c>
      <c r="K257" s="15">
        <f t="shared" si="95"/>
        <v>268.61869439999998</v>
      </c>
      <c r="L257">
        <f>SUMIF(Table228[[#All],[Asset]],Table228[[#This Row],[Asset]],Table228[[#All],[Bought number]])</f>
        <v>251.69107600000001</v>
      </c>
      <c r="M257">
        <f>SUMIF(Table228[[#All],[Asset]],Table228[[#This Row],[Asset]],Table228[[#All],[Sold Number]])</f>
        <v>251.68856</v>
      </c>
      <c r="N257" s="15">
        <f>SUMIF(Table228[[#All],[Asset]],Table228[[#This Row],[Asset]],Table228[[#All],[Bought amount]])</f>
        <v>1941.31279804</v>
      </c>
      <c r="O257" s="15">
        <f>SUMIF(Table228[[#All],[Asset]],Table228[[#This Row],[Asset]],Table228[[#All],[Sold amount]])</f>
        <v>1363.3561943999998</v>
      </c>
      <c r="P257" s="75">
        <f>Table228[[#This Row],[Total bought Amount]]/Table228[[#This Row],[Total bought Number]]</f>
        <v>7.713077590561852</v>
      </c>
      <c r="Q257" s="75">
        <f>IFERROR(Table228[[#This Row],[Total Sold Amount]]/Table228[[#This Row],[Total Sold Number]],0)</f>
        <v>5.4168381526756715</v>
      </c>
      <c r="R257" s="21">
        <f>Table228[[#This Row],[Total bought Number]]-Table228[[#This Row],[Total Sold Number]]</f>
        <v>2.5160000000141736E-3</v>
      </c>
      <c r="S257" s="59">
        <f>(Table228[[#This Row],[Ave exit price]]-Table228[[#This Row],[Ave Entry price]])*Table228[[#This Row],[Total Sold Number]]</f>
        <v>-577.93719753678226</v>
      </c>
      <c r="T257" s="15">
        <f>(Table228[[#This Row],[Current Price]]-Table228[[#This Row],[Ave Entry price]])*Table228[[#This Row],[How many tokens now]]</f>
        <v>-1.4374103217934595E-2</v>
      </c>
      <c r="U257" s="76">
        <f>VLOOKUP(Table228[[#This Row],[Asset]],Table26[#All],10,FALSE)</f>
        <v>2</v>
      </c>
    </row>
    <row r="258" spans="1:21">
      <c r="A258" t="s">
        <v>35</v>
      </c>
      <c r="B258" s="68">
        <v>45639</v>
      </c>
      <c r="C258" s="82" t="s">
        <v>214</v>
      </c>
      <c r="D258" t="s">
        <v>68</v>
      </c>
      <c r="E258" t="s">
        <v>270</v>
      </c>
      <c r="F258" s="17">
        <v>224.635921</v>
      </c>
      <c r="G258" s="73">
        <v>-4.2</v>
      </c>
      <c r="H258" s="61">
        <f t="shared" si="92"/>
        <v>0</v>
      </c>
      <c r="I258" s="67">
        <f t="shared" si="93"/>
        <v>4.2</v>
      </c>
      <c r="J258" s="15">
        <f t="shared" si="94"/>
        <v>0</v>
      </c>
      <c r="K258" s="15">
        <f t="shared" si="95"/>
        <v>943.47086820000004</v>
      </c>
      <c r="L258">
        <f>SUMIF(Table228[[#All],[Asset]],Table228[[#This Row],[Asset]],Table228[[#All],[Bought number]])</f>
        <v>154.92660000000001</v>
      </c>
      <c r="M258">
        <f>SUMIF(Table228[[#All],[Asset]],Table228[[#This Row],[Asset]],Table228[[#All],[Sold Number]])</f>
        <v>79.674999999999997</v>
      </c>
      <c r="N258" s="15">
        <f>SUMIF(Table228[[#All],[Asset]],Table228[[#This Row],[Asset]],Table228[[#All],[Bought amount]])</f>
        <v>22897.17</v>
      </c>
      <c r="O258" s="15">
        <f>SUMIF(Table228[[#All],[Asset]],Table228[[#This Row],[Asset]],Table228[[#All],[Sold amount]])</f>
        <v>11736.940868199999</v>
      </c>
      <c r="P258" s="75">
        <f>Table228[[#This Row],[Total bought Amount]]/Table228[[#This Row],[Total bought Number]]</f>
        <v>147.79366487097758</v>
      </c>
      <c r="Q258" s="75">
        <f>IFERROR(Table228[[#This Row],[Total Sold Amount]]/Table228[[#This Row],[Total Sold Number]],0)</f>
        <v>147.31020857483526</v>
      </c>
      <c r="R258" s="21">
        <f>Table228[[#This Row],[Total bought Number]]-Table228[[#This Row],[Total Sold Number]]</f>
        <v>75.25160000000001</v>
      </c>
      <c r="S258" s="59">
        <f>(Table228[[#This Row],[Ave exit price]]-Table228[[#This Row],[Ave Entry price]])*Table228[[#This Row],[Total Sold Number]]</f>
        <v>-38.519380395139478</v>
      </c>
      <c r="T258" s="15">
        <f>(Table228[[#This Row],[Current Price]]-Table228[[#This Row],[Ave Entry price]])*Table228[[#This Row],[How many tokens now]]</f>
        <v>1671.0622485951437</v>
      </c>
      <c r="U258" s="76">
        <f>VLOOKUP(Table228[[#This Row],[Asset]],Table26[#All],10,FALSE)</f>
        <v>170</v>
      </c>
    </row>
    <row r="259" spans="1:21">
      <c r="A259" t="s">
        <v>482</v>
      </c>
      <c r="B259" s="68">
        <v>45639</v>
      </c>
      <c r="C259" s="82" t="s">
        <v>176</v>
      </c>
      <c r="D259" t="s">
        <v>478</v>
      </c>
      <c r="E259" t="s">
        <v>483</v>
      </c>
      <c r="F259" s="17">
        <v>23.024999999999999</v>
      </c>
      <c r="G259" s="73">
        <v>81.5167</v>
      </c>
      <c r="H259" s="61">
        <f t="shared" si="92"/>
        <v>81.5167</v>
      </c>
      <c r="I259" s="67">
        <f t="shared" si="93"/>
        <v>0</v>
      </c>
      <c r="J259" s="15">
        <f t="shared" si="94"/>
        <v>1876.9220174999998</v>
      </c>
      <c r="K259" s="15">
        <f t="shared" si="95"/>
        <v>0</v>
      </c>
      <c r="L259">
        <f>SUMIF(Table228[[#All],[Asset]],Table228[[#This Row],[Asset]],Table228[[#All],[Bought number]])</f>
        <v>81.5167</v>
      </c>
      <c r="M259">
        <f>SUMIF(Table228[[#All],[Asset]],Table228[[#This Row],[Asset]],Table228[[#All],[Sold Number]])</f>
        <v>0</v>
      </c>
      <c r="N259" s="15">
        <f>SUMIF(Table228[[#All],[Asset]],Table228[[#This Row],[Asset]],Table228[[#All],[Bought amount]])</f>
        <v>1876.9220174999998</v>
      </c>
      <c r="O259" s="15">
        <f>SUMIF(Table228[[#All],[Asset]],Table228[[#This Row],[Asset]],Table228[[#All],[Sold amount]])</f>
        <v>0</v>
      </c>
      <c r="P259" s="75">
        <f>Table228[[#This Row],[Total bought Amount]]/Table228[[#This Row],[Total bought Number]]</f>
        <v>23.024999999999999</v>
      </c>
      <c r="Q259" s="75">
        <f>IFERROR(Table228[[#This Row],[Total Sold Amount]]/Table228[[#This Row],[Total Sold Number]],0)</f>
        <v>0</v>
      </c>
      <c r="R259" s="21">
        <f>Table228[[#This Row],[Total bought Number]]-Table228[[#This Row],[Total Sold Number]]</f>
        <v>81.5167</v>
      </c>
      <c r="S259" s="59">
        <f>(Table228[[#This Row],[Ave exit price]]-Table228[[#This Row],[Ave Entry price]])*Table228[[#This Row],[Total Sold Number]]</f>
        <v>0</v>
      </c>
      <c r="T259" s="15">
        <f>(Table228[[#This Row],[Current Price]]-Table228[[#This Row],[Ave Entry price]])*Table228[[#This Row],[How many tokens now]]</f>
        <v>-1436.7318375</v>
      </c>
      <c r="U259" s="76">
        <f>VLOOKUP(Table228[[#This Row],[Asset]],Table26[#All],10,FALSE)</f>
        <v>5.4</v>
      </c>
    </row>
    <row r="260" spans="1:21">
      <c r="A260" t="s">
        <v>224</v>
      </c>
      <c r="B260" s="68">
        <v>45640</v>
      </c>
      <c r="C260" s="82" t="s">
        <v>484</v>
      </c>
      <c r="D260" t="s">
        <v>76</v>
      </c>
      <c r="E260" t="s">
        <v>189</v>
      </c>
      <c r="F260" s="17">
        <v>4.2442719999999996</v>
      </c>
      <c r="G260" s="73">
        <v>162.303009</v>
      </c>
      <c r="H260" s="61">
        <f t="shared" si="92"/>
        <v>162.303009</v>
      </c>
      <c r="I260" s="67">
        <f t="shared" si="93"/>
        <v>0</v>
      </c>
      <c r="J260" s="15">
        <f t="shared" si="94"/>
        <v>688.85811661444791</v>
      </c>
      <c r="K260" s="15">
        <f t="shared" si="95"/>
        <v>0</v>
      </c>
      <c r="L260">
        <f>SUMIF(Table228[[#All],[Asset]],Table228[[#This Row],[Asset]],Table228[[#All],[Bought number]])</f>
        <v>2402.9751590000001</v>
      </c>
      <c r="M260">
        <f>SUMIF(Table228[[#All],[Asset]],Table228[[#This Row],[Asset]],Table228[[#All],[Sold Number]])</f>
        <v>2835</v>
      </c>
      <c r="N260" s="15">
        <f>SUMIF(Table228[[#All],[Asset]],Table228[[#This Row],[Asset]],Table228[[#All],[Bought amount]])</f>
        <v>5880.0437616144482</v>
      </c>
      <c r="O260" s="15">
        <f>SUMIF(Table228[[#All],[Asset]],Table228[[#This Row],[Asset]],Table228[[#All],[Sold amount]])</f>
        <v>11475.592000000001</v>
      </c>
      <c r="P260" s="75">
        <f>Table228[[#This Row],[Total bought Amount]]/Table228[[#This Row],[Total bought Number]]</f>
        <v>2.4469848302807393</v>
      </c>
      <c r="Q260" s="75">
        <f>IFERROR(Table228[[#This Row],[Total Sold Amount]]/Table228[[#This Row],[Total Sold Number]],0)</f>
        <v>4.0478278659611995</v>
      </c>
      <c r="R260" s="21">
        <f>Table228[[#This Row],[Total bought Number]]-Table228[[#This Row],[Total Sold Number]]</f>
        <v>-432.02484099999992</v>
      </c>
      <c r="S260" s="59">
        <f>(Table228[[#This Row],[Ave exit price]]-Table228[[#This Row],[Ave Entry price]])*Table228[[#This Row],[Total Sold Number]]</f>
        <v>4538.3900061541044</v>
      </c>
      <c r="T260" s="15">
        <f>(Table228[[#This Row],[Current Price]]-Table228[[#This Row],[Ave Entry price]])*Table228[[#This Row],[How many tokens now]]</f>
        <v>-403.08573034855146</v>
      </c>
      <c r="U260" s="76">
        <f>VLOOKUP(Table228[[#This Row],[Asset]],Table26[#All],10,FALSE)</f>
        <v>3.38</v>
      </c>
    </row>
    <row r="261" spans="1:21">
      <c r="A261" t="s">
        <v>160</v>
      </c>
      <c r="B261" s="68">
        <v>45640</v>
      </c>
      <c r="C261" s="82" t="s">
        <v>180</v>
      </c>
      <c r="D261" t="s">
        <v>68</v>
      </c>
      <c r="E261" t="s">
        <v>189</v>
      </c>
      <c r="F261" s="17">
        <v>9.0499999999999997E-2</v>
      </c>
      <c r="G261" s="73">
        <v>-5602.22</v>
      </c>
      <c r="H261" s="61">
        <f t="shared" si="92"/>
        <v>0</v>
      </c>
      <c r="I261" s="67">
        <f t="shared" si="93"/>
        <v>5602.22</v>
      </c>
      <c r="J261" s="15">
        <f t="shared" si="94"/>
        <v>0</v>
      </c>
      <c r="K261" s="15">
        <f t="shared" si="95"/>
        <v>507.00091000000003</v>
      </c>
      <c r="L261">
        <f>SUMIF(Table228[[#All],[Asset]],Table228[[#This Row],[Asset]],Table228[[#All],[Bought number]])</f>
        <v>7624</v>
      </c>
      <c r="M261">
        <f>SUMIF(Table228[[#All],[Asset]],Table228[[#This Row],[Asset]],Table228[[#All],[Sold Number]])</f>
        <v>5602.22</v>
      </c>
      <c r="N261" s="15">
        <f>SUMIF(Table228[[#All],[Asset]],Table228[[#This Row],[Asset]],Table228[[#All],[Bought amount]])</f>
        <v>686.16</v>
      </c>
      <c r="O261" s="15">
        <f>SUMIF(Table228[[#All],[Asset]],Table228[[#This Row],[Asset]],Table228[[#All],[Sold amount]])</f>
        <v>507.00091000000003</v>
      </c>
      <c r="P261" s="75">
        <f>Table228[[#This Row],[Total bought Amount]]/Table228[[#This Row],[Total bought Number]]</f>
        <v>0.09</v>
      </c>
      <c r="Q261" s="75">
        <f>IFERROR(Table228[[#This Row],[Total Sold Amount]]/Table228[[#This Row],[Total Sold Number]],0)</f>
        <v>9.0499999999999997E-2</v>
      </c>
      <c r="R261" s="21">
        <f>Table228[[#This Row],[Total bought Number]]-Table228[[#This Row],[Total Sold Number]]</f>
        <v>2021.7799999999997</v>
      </c>
      <c r="S261" s="59">
        <f>(Table228[[#This Row],[Ave exit price]]-Table228[[#This Row],[Ave Entry price]])*Table228[[#This Row],[Total Sold Number]]</f>
        <v>2.8011100000000027</v>
      </c>
      <c r="T261" s="15">
        <f>(Table228[[#This Row],[Current Price]]-Table228[[#This Row],[Ave Entry price]])*Table228[[#This Row],[How many tokens now]]</f>
        <v>-66.718739999999983</v>
      </c>
      <c r="U261" s="76">
        <f>VLOOKUP(Table228[[#This Row],[Asset]],Table26[#All],10,FALSE)</f>
        <v>5.7000000000000002E-2</v>
      </c>
    </row>
    <row r="262" spans="1:21">
      <c r="A262" t="s">
        <v>481</v>
      </c>
      <c r="B262" s="68">
        <v>45640</v>
      </c>
      <c r="C262" s="82" t="s">
        <v>176</v>
      </c>
      <c r="D262" t="s">
        <v>240</v>
      </c>
      <c r="E262" t="s">
        <v>276</v>
      </c>
      <c r="F262" s="17">
        <v>4.25</v>
      </c>
      <c r="G262" s="73">
        <v>-103.75</v>
      </c>
      <c r="H262" s="61">
        <f t="shared" si="92"/>
        <v>0</v>
      </c>
      <c r="I262" s="67">
        <f t="shared" si="93"/>
        <v>103.75</v>
      </c>
      <c r="J262" s="15">
        <f t="shared" si="94"/>
        <v>0</v>
      </c>
      <c r="K262" s="15">
        <f t="shared" si="95"/>
        <v>440.9375</v>
      </c>
      <c r="L262">
        <f>SUMIF(Table228[[#All],[Asset]],Table228[[#This Row],[Asset]],Table228[[#All],[Bought number]])</f>
        <v>414</v>
      </c>
      <c r="M262">
        <f>SUMIF(Table228[[#All],[Asset]],Table228[[#This Row],[Asset]],Table228[[#All],[Sold Number]])</f>
        <v>641.46</v>
      </c>
      <c r="N262" s="15">
        <f>SUMIF(Table228[[#All],[Asset]],Table228[[#This Row],[Asset]],Table228[[#All],[Bought amount]])</f>
        <v>0</v>
      </c>
      <c r="O262" s="15">
        <f>SUMIF(Table228[[#All],[Asset]],Table228[[#This Row],[Asset]],Table228[[#All],[Sold amount]])</f>
        <v>2048.6905000000002</v>
      </c>
      <c r="P262" s="75">
        <f>Table228[[#This Row],[Total bought Amount]]/Table228[[#This Row],[Total bought Number]]</f>
        <v>0</v>
      </c>
      <c r="Q262" s="75">
        <f>IFERROR(Table228[[#This Row],[Total Sold Amount]]/Table228[[#This Row],[Total Sold Number]],0)</f>
        <v>3.1937930658186016</v>
      </c>
      <c r="R262" s="21">
        <f>Table228[[#This Row],[Total bought Number]]-Table228[[#This Row],[Total Sold Number]]</f>
        <v>-227.46000000000004</v>
      </c>
      <c r="S262" s="59">
        <f>(Table228[[#This Row],[Ave exit price]]-Table228[[#This Row],[Ave Entry price]])*Table228[[#This Row],[Total Sold Number]]</f>
        <v>2048.6905000000002</v>
      </c>
      <c r="T262" s="15">
        <f>(Table228[[#This Row],[Current Price]]-Table228[[#This Row],[Ave Entry price]])*Table228[[#This Row],[How many tokens now]]</f>
        <v>-1294.2474000000002</v>
      </c>
      <c r="U262" s="76">
        <f>VLOOKUP(Table228[[#This Row],[Asset]],Table26[#All],10,FALSE)</f>
        <v>5.69</v>
      </c>
    </row>
    <row r="263" spans="1:21">
      <c r="A263" t="s">
        <v>67</v>
      </c>
      <c r="B263" s="68">
        <v>45640</v>
      </c>
      <c r="C263" s="82" t="s">
        <v>176</v>
      </c>
      <c r="D263" t="s">
        <v>240</v>
      </c>
      <c r="E263" t="s">
        <v>276</v>
      </c>
      <c r="F263" s="17">
        <v>0.45027400000000001</v>
      </c>
      <c r="G263" s="73">
        <v>963.94361000000004</v>
      </c>
      <c r="H263" s="61">
        <f t="shared" si="92"/>
        <v>963.94361000000004</v>
      </c>
      <c r="I263" s="67">
        <f t="shared" si="93"/>
        <v>0</v>
      </c>
      <c r="J263" s="15">
        <f t="shared" si="94"/>
        <v>434.03874504914</v>
      </c>
      <c r="K263" s="15">
        <f t="shared" si="95"/>
        <v>0</v>
      </c>
      <c r="L263">
        <f>SUMIF(Table228[[#All],[Asset]],Table228[[#This Row],[Asset]],Table228[[#All],[Bought number]])</f>
        <v>34194.467916000001</v>
      </c>
      <c r="M263">
        <f>SUMIF(Table228[[#All],[Asset]],Table228[[#This Row],[Asset]],Table228[[#All],[Sold Number]])</f>
        <v>34195.061103</v>
      </c>
      <c r="N263" s="15">
        <f>SUMIF(Table228[[#All],[Asset]],Table228[[#This Row],[Asset]],Table228[[#All],[Bought amount]])</f>
        <v>8337.2121048291392</v>
      </c>
      <c r="O263" s="15">
        <f>SUMIF(Table228[[#All],[Asset]],Table228[[#This Row],[Asset]],Table228[[#All],[Sold amount]])</f>
        <v>4877.1257709650927</v>
      </c>
      <c r="P263" s="75">
        <f>Table228[[#This Row],[Total bought Amount]]/Table228[[#This Row],[Total bought Number]]</f>
        <v>0.24381757088046566</v>
      </c>
      <c r="Q263" s="75">
        <f>IFERROR(Table228[[#This Row],[Total Sold Amount]]/Table228[[#This Row],[Total Sold Number]],0)</f>
        <v>0.14262661371695029</v>
      </c>
      <c r="R263" s="21">
        <f>Table228[[#This Row],[Total bought Number]]-Table228[[#This Row],[Total Sold Number]]</f>
        <v>-0.59318699999857927</v>
      </c>
      <c r="S263" s="59">
        <f>(Table228[[#This Row],[Ave exit price]]-Table228[[#This Row],[Ave Entry price]])*Table228[[#This Row],[Total Sold Number]]</f>
        <v>-3460.2309632774636</v>
      </c>
      <c r="T263" s="15">
        <f>(Table228[[#This Row],[Current Price]]-Table228[[#This Row],[Ave Entry price]])*Table228[[#This Row],[How many tokens now]]</f>
        <v>3.7855753417780115E-2</v>
      </c>
      <c r="U263" s="76">
        <f>VLOOKUP(Table228[[#This Row],[Asset]],Table26[#All],10,FALSE)</f>
        <v>0.18</v>
      </c>
    </row>
    <row r="264" spans="1:21">
      <c r="A264" t="s">
        <v>480</v>
      </c>
      <c r="B264" s="68">
        <v>45642</v>
      </c>
      <c r="C264" s="82" t="s">
        <v>176</v>
      </c>
      <c r="D264" t="s">
        <v>68</v>
      </c>
      <c r="E264" t="s">
        <v>189</v>
      </c>
      <c r="F264" s="17">
        <v>7.3000000000000001E-3</v>
      </c>
      <c r="G264" s="73">
        <v>-573673.93740000005</v>
      </c>
      <c r="H264" s="61">
        <f t="shared" si="92"/>
        <v>0</v>
      </c>
      <c r="I264" s="67">
        <f t="shared" si="93"/>
        <v>573673.93740000005</v>
      </c>
      <c r="J264" s="15">
        <f t="shared" si="94"/>
        <v>0</v>
      </c>
      <c r="K264" s="15">
        <f t="shared" si="95"/>
        <v>4187.8197430200007</v>
      </c>
      <c r="L264">
        <f>SUMIF(Table228[[#All],[Asset]],Table228[[#This Row],[Asset]],Table228[[#All],[Bought number]])</f>
        <v>2144769.87498867</v>
      </c>
      <c r="M264">
        <f>SUMIF(Table228[[#All],[Asset]],Table228[[#This Row],[Asset]],Table228[[#All],[Sold Number]])</f>
        <v>2209870.0199000002</v>
      </c>
      <c r="N264" s="15">
        <f>SUMIF(Table228[[#All],[Asset]],Table228[[#This Row],[Asset]],Table228[[#All],[Bought amount]])</f>
        <v>4762.1959512301728</v>
      </c>
      <c r="O264" s="15">
        <f>SUMIF(Table228[[#All],[Asset]],Table228[[#This Row],[Asset]],Table228[[#All],[Sold amount]])</f>
        <v>6978.8960604900003</v>
      </c>
      <c r="P264" s="75">
        <f>Table228[[#This Row],[Total bought Amount]]/Table228[[#This Row],[Total bought Number]]</f>
        <v>2.2203761843005787E-3</v>
      </c>
      <c r="Q264" s="75">
        <f>IFERROR(Table228[[#This Row],[Total Sold Amount]]/Table228[[#This Row],[Total Sold Number]],0)</f>
        <v>3.1580572602210358E-3</v>
      </c>
      <c r="R264" s="21">
        <f>Table228[[#This Row],[Total bought Number]]-Table228[[#This Row],[Total Sold Number]]</f>
        <v>-65100.144911330193</v>
      </c>
      <c r="S264" s="59">
        <f>(Table228[[#This Row],[Ave exit price]]-Table228[[#This Row],[Ave Entry price]])*Table228[[#This Row],[Total Sold Number]]</f>
        <v>2072.153297904194</v>
      </c>
      <c r="T264" s="15">
        <f>(Table228[[#This Row],[Current Price]]-Table228[[#This Row],[Ave Entry price]])*Table228[[#This Row],[How many tokens now]]</f>
        <v>28.017551964353032</v>
      </c>
      <c r="U264" s="76">
        <f>VLOOKUP(Table228[[#This Row],[Asset]],Table26[#All],10,FALSE)</f>
        <v>1.7899999999999999E-3</v>
      </c>
    </row>
    <row r="265" spans="1:21">
      <c r="A265" t="s">
        <v>226</v>
      </c>
      <c r="B265" s="68">
        <v>45642</v>
      </c>
      <c r="C265" s="82" t="s">
        <v>176</v>
      </c>
      <c r="D265" t="s">
        <v>68</v>
      </c>
      <c r="E265" t="s">
        <v>189</v>
      </c>
      <c r="F265" s="17">
        <v>5.2999999999999999E-2</v>
      </c>
      <c r="G265" s="73">
        <v>77570</v>
      </c>
      <c r="H265" s="61">
        <f t="shared" si="92"/>
        <v>77570</v>
      </c>
      <c r="I265" s="67">
        <f t="shared" si="93"/>
        <v>0</v>
      </c>
      <c r="J265" s="15">
        <f t="shared" si="94"/>
        <v>4111.21</v>
      </c>
      <c r="K265" s="15">
        <f t="shared" si="95"/>
        <v>0</v>
      </c>
      <c r="L265">
        <f>SUMIF(Table228[[#All],[Asset]],Table228[[#This Row],[Asset]],Table228[[#All],[Bought number]])</f>
        <v>323932.72954500001</v>
      </c>
      <c r="M265">
        <f>SUMIF(Table228[[#All],[Asset]],Table228[[#This Row],[Asset]],Table228[[#All],[Sold Number]])</f>
        <v>323932.73009199998</v>
      </c>
      <c r="N265" s="15">
        <f>SUMIF(Table228[[#All],[Asset]],Table228[[#This Row],[Asset]],Table228[[#All],[Bought amount]])</f>
        <v>15730.280778400003</v>
      </c>
      <c r="O265" s="15">
        <f>SUMIF(Table228[[#All],[Asset]],Table228[[#This Row],[Asset]],Table228[[#All],[Sold amount]])</f>
        <v>14916.766213074001</v>
      </c>
      <c r="P265" s="75">
        <f>Table228[[#This Row],[Total bought Amount]]/Table228[[#This Row],[Total bought Number]]</f>
        <v>4.8560331648163348E-2</v>
      </c>
      <c r="Q265" s="75">
        <f>IFERROR(Table228[[#This Row],[Total Sold Amount]]/Table228[[#This Row],[Total Sold Number]],0)</f>
        <v>4.6048962723950426E-2</v>
      </c>
      <c r="R265" s="21">
        <f>Table228[[#This Row],[Total bought Number]]-Table228[[#This Row],[Total Sold Number]]</f>
        <v>-5.4699997417628765E-4</v>
      </c>
      <c r="S265" s="59">
        <f>(Table228[[#This Row],[Ave exit price]]-Table228[[#This Row],[Ave Entry price]])*Table228[[#This Row],[Total Sold Number]]</f>
        <v>-813.5145918885006</v>
      </c>
      <c r="T265" s="15">
        <f>(Table228[[#This Row],[Current Price]]-Table228[[#This Row],[Ave Entry price]])*Table228[[#This Row],[How many tokens now]]</f>
        <v>-2.3737984763883032E-6</v>
      </c>
      <c r="U265" s="76">
        <f>VLOOKUP(Table228[[#This Row],[Asset]],Table26[#All],10,FALSE)</f>
        <v>5.2900000000000003E-2</v>
      </c>
    </row>
    <row r="266" spans="1:21">
      <c r="A266" t="s">
        <v>226</v>
      </c>
      <c r="B266" s="68">
        <v>45645</v>
      </c>
      <c r="C266" s="82" t="s">
        <v>176</v>
      </c>
      <c r="D266" t="s">
        <v>68</v>
      </c>
      <c r="E266" t="s">
        <v>189</v>
      </c>
      <c r="F266" s="17">
        <v>0.05</v>
      </c>
      <c r="G266" s="73">
        <v>-38737.418645999998</v>
      </c>
      <c r="H266" s="61">
        <f t="shared" si="92"/>
        <v>0</v>
      </c>
      <c r="I266" s="67">
        <f t="shared" si="93"/>
        <v>38737.418645999998</v>
      </c>
      <c r="J266" s="15">
        <f t="shared" si="94"/>
        <v>0</v>
      </c>
      <c r="K266" s="15">
        <f t="shared" si="95"/>
        <v>1936.8709323</v>
      </c>
      <c r="L266">
        <f>SUMIF(Table228[[#All],[Asset]],Table228[[#This Row],[Asset]],Table228[[#All],[Bought number]])</f>
        <v>323932.72954500001</v>
      </c>
      <c r="M266">
        <f>SUMIF(Table228[[#All],[Asset]],Table228[[#This Row],[Asset]],Table228[[#All],[Sold Number]])</f>
        <v>323932.73009199998</v>
      </c>
      <c r="N266" s="15">
        <f>SUMIF(Table228[[#All],[Asset]],Table228[[#This Row],[Asset]],Table228[[#All],[Bought amount]])</f>
        <v>15730.280778400003</v>
      </c>
      <c r="O266" s="15">
        <f>SUMIF(Table228[[#All],[Asset]],Table228[[#This Row],[Asset]],Table228[[#All],[Sold amount]])</f>
        <v>14916.766213074001</v>
      </c>
      <c r="P266" s="75">
        <f>Table228[[#This Row],[Total bought Amount]]/Table228[[#This Row],[Total bought Number]]</f>
        <v>4.8560331648163348E-2</v>
      </c>
      <c r="Q266" s="75">
        <f>IFERROR(Table228[[#This Row],[Total Sold Amount]]/Table228[[#This Row],[Total Sold Number]],0)</f>
        <v>4.6048962723950426E-2</v>
      </c>
      <c r="R266" s="21">
        <f>Table228[[#This Row],[Total bought Number]]-Table228[[#This Row],[Total Sold Number]]</f>
        <v>-5.4699997417628765E-4</v>
      </c>
      <c r="S266" s="59">
        <f>(Table228[[#This Row],[Ave exit price]]-Table228[[#This Row],[Ave Entry price]])*Table228[[#This Row],[Total Sold Number]]</f>
        <v>-813.5145918885006</v>
      </c>
      <c r="T266" s="15">
        <f>(Table228[[#This Row],[Current Price]]-Table228[[#This Row],[Ave Entry price]])*Table228[[#This Row],[How many tokens now]]</f>
        <v>-2.3737984763883032E-6</v>
      </c>
      <c r="U266" s="76">
        <f>VLOOKUP(Table228[[#This Row],[Asset]],Table26[#All],10,FALSE)</f>
        <v>5.2900000000000003E-2</v>
      </c>
    </row>
    <row r="267" spans="1:21">
      <c r="A267" t="s">
        <v>223</v>
      </c>
      <c r="B267" s="68">
        <v>45645</v>
      </c>
      <c r="C267" s="82" t="s">
        <v>176</v>
      </c>
      <c r="D267" t="s">
        <v>68</v>
      </c>
      <c r="E267" t="s">
        <v>189</v>
      </c>
      <c r="F267" s="17">
        <v>0.24779999999999999</v>
      </c>
      <c r="G267" s="73">
        <v>8578.2043639999993</v>
      </c>
      <c r="H267" s="61">
        <f t="shared" si="92"/>
        <v>8578.2043639999993</v>
      </c>
      <c r="I267" s="67">
        <f t="shared" si="93"/>
        <v>0</v>
      </c>
      <c r="J267" s="15">
        <f t="shared" si="94"/>
        <v>2125.6790413991998</v>
      </c>
      <c r="K267" s="15">
        <f t="shared" si="95"/>
        <v>0</v>
      </c>
      <c r="L267">
        <f>SUMIF(Table228[[#All],[Asset]],Table228[[#This Row],[Asset]],Table228[[#All],[Bought number]])</f>
        <v>70451.060641000004</v>
      </c>
      <c r="M267">
        <f>SUMIF(Table228[[#All],[Asset]],Table228[[#This Row],[Asset]],Table228[[#All],[Sold Number]])</f>
        <v>77094.547770000005</v>
      </c>
      <c r="N267" s="15">
        <f>SUMIF(Table228[[#All],[Asset]],Table228[[#This Row],[Asset]],Table228[[#All],[Bought amount]])</f>
        <v>20784.213577025603</v>
      </c>
      <c r="O267" s="15">
        <f>SUMIF(Table228[[#All],[Asset]],Table228[[#This Row],[Asset]],Table228[[#All],[Sold amount]])</f>
        <v>19239.062667060869</v>
      </c>
      <c r="P267" s="75">
        <f>Table228[[#This Row],[Total bought Amount]]/Table228[[#This Row],[Total bought Number]]</f>
        <v>0.29501633315268971</v>
      </c>
      <c r="Q267" s="75">
        <f>IFERROR(Table228[[#This Row],[Total Sold Amount]]/Table228[[#This Row],[Total Sold Number]],0)</f>
        <v>0.24955153410404224</v>
      </c>
      <c r="R267" s="21">
        <f>Table228[[#This Row],[Total bought Number]]-Table228[[#This Row],[Total Sold Number]]</f>
        <v>-6643.487129000001</v>
      </c>
      <c r="S267" s="59">
        <f>(Table228[[#This Row],[Ave exit price]]-Table228[[#This Row],[Ave Entry price]])*Table228[[#This Row],[Total Sold Number]]</f>
        <v>-3505.0881221094037</v>
      </c>
      <c r="T267" s="15">
        <f>(Table228[[#This Row],[Current Price]]-Table228[[#This Row],[Ave Entry price]])*Table228[[#This Row],[How many tokens now]]</f>
        <v>631.23978634467016</v>
      </c>
      <c r="U267" s="76">
        <f>VLOOKUP(Table228[[#This Row],[Asset]],Table26[#All],10,FALSE)</f>
        <v>0.2</v>
      </c>
    </row>
    <row r="268" spans="1:21">
      <c r="A268" t="s">
        <v>226</v>
      </c>
      <c r="B268" s="68">
        <v>45645</v>
      </c>
      <c r="C268" s="82" t="s">
        <v>176</v>
      </c>
      <c r="D268" t="s">
        <v>68</v>
      </c>
      <c r="E268" t="s">
        <v>189</v>
      </c>
      <c r="F268" s="17">
        <v>4.4999999999999998E-2</v>
      </c>
      <c r="G268" s="73">
        <v>-38737.418645999998</v>
      </c>
      <c r="H268" s="61">
        <f t="shared" si="92"/>
        <v>0</v>
      </c>
      <c r="I268" s="67">
        <f t="shared" si="93"/>
        <v>38737.418645999998</v>
      </c>
      <c r="J268" s="15">
        <f t="shared" si="94"/>
        <v>0</v>
      </c>
      <c r="K268" s="15">
        <f t="shared" si="95"/>
        <v>1743.1838390699997</v>
      </c>
      <c r="L268">
        <f>SUMIF(Table228[[#All],[Asset]],Table228[[#This Row],[Asset]],Table228[[#All],[Bought number]])</f>
        <v>323932.72954500001</v>
      </c>
      <c r="M268">
        <f>SUMIF(Table228[[#All],[Asset]],Table228[[#This Row],[Asset]],Table228[[#All],[Sold Number]])</f>
        <v>323932.73009199998</v>
      </c>
      <c r="N268" s="15">
        <f>SUMIF(Table228[[#All],[Asset]],Table228[[#This Row],[Asset]],Table228[[#All],[Bought amount]])</f>
        <v>15730.280778400003</v>
      </c>
      <c r="O268" s="15">
        <f>SUMIF(Table228[[#All],[Asset]],Table228[[#This Row],[Asset]],Table228[[#All],[Sold amount]])</f>
        <v>14916.766213074001</v>
      </c>
      <c r="P268" s="75">
        <f>Table228[[#This Row],[Total bought Amount]]/Table228[[#This Row],[Total bought Number]]</f>
        <v>4.8560331648163348E-2</v>
      </c>
      <c r="Q268" s="75">
        <f>IFERROR(Table228[[#This Row],[Total Sold Amount]]/Table228[[#This Row],[Total Sold Number]],0)</f>
        <v>4.6048962723950426E-2</v>
      </c>
      <c r="R268" s="21">
        <f>Table228[[#This Row],[Total bought Number]]-Table228[[#This Row],[Total Sold Number]]</f>
        <v>-5.4699997417628765E-4</v>
      </c>
      <c r="S268" s="59">
        <f>(Table228[[#This Row],[Ave exit price]]-Table228[[#This Row],[Ave Entry price]])*Table228[[#This Row],[Total Sold Number]]</f>
        <v>-813.5145918885006</v>
      </c>
      <c r="T268" s="15">
        <f>(Table228[[#This Row],[Current Price]]-Table228[[#This Row],[Ave Entry price]])*Table228[[#This Row],[How many tokens now]]</f>
        <v>-2.3737984763883032E-6</v>
      </c>
      <c r="U268" s="76">
        <f>VLOOKUP(Table228[[#This Row],[Asset]],Table26[#All],10,FALSE)</f>
        <v>5.2900000000000003E-2</v>
      </c>
    </row>
    <row r="269" spans="1:21">
      <c r="A269" t="s">
        <v>223</v>
      </c>
      <c r="B269" s="68">
        <v>45645</v>
      </c>
      <c r="C269" s="82" t="s">
        <v>176</v>
      </c>
      <c r="D269" t="s">
        <v>68</v>
      </c>
      <c r="E269" t="s">
        <v>189</v>
      </c>
      <c r="F269" s="17">
        <v>0.25</v>
      </c>
      <c r="G269" s="73">
        <v>7037</v>
      </c>
      <c r="H269" s="61">
        <f t="shared" si="92"/>
        <v>7037</v>
      </c>
      <c r="I269" s="67">
        <f t="shared" si="93"/>
        <v>0</v>
      </c>
      <c r="J269" s="15">
        <f t="shared" si="94"/>
        <v>1759.25</v>
      </c>
      <c r="K269" s="15">
        <f t="shared" si="95"/>
        <v>0</v>
      </c>
      <c r="L269">
        <f>SUMIF(Table228[[#All],[Asset]],Table228[[#This Row],[Asset]],Table228[[#All],[Bought number]])</f>
        <v>70451.060641000004</v>
      </c>
      <c r="M269">
        <f>SUMIF(Table228[[#All],[Asset]],Table228[[#This Row],[Asset]],Table228[[#All],[Sold Number]])</f>
        <v>77094.547770000005</v>
      </c>
      <c r="N269" s="15">
        <f>SUMIF(Table228[[#All],[Asset]],Table228[[#This Row],[Asset]],Table228[[#All],[Bought amount]])</f>
        <v>20784.213577025603</v>
      </c>
      <c r="O269" s="15">
        <f>SUMIF(Table228[[#All],[Asset]],Table228[[#This Row],[Asset]],Table228[[#All],[Sold amount]])</f>
        <v>19239.062667060869</v>
      </c>
      <c r="P269" s="75">
        <f>Table228[[#This Row],[Total bought Amount]]/Table228[[#This Row],[Total bought Number]]</f>
        <v>0.29501633315268971</v>
      </c>
      <c r="Q269" s="75">
        <f>IFERROR(Table228[[#This Row],[Total Sold Amount]]/Table228[[#This Row],[Total Sold Number]],0)</f>
        <v>0.24955153410404224</v>
      </c>
      <c r="R269" s="21">
        <f>Table228[[#This Row],[Total bought Number]]-Table228[[#This Row],[Total Sold Number]]</f>
        <v>-6643.487129000001</v>
      </c>
      <c r="S269" s="59">
        <f>(Table228[[#This Row],[Ave exit price]]-Table228[[#This Row],[Ave Entry price]])*Table228[[#This Row],[Total Sold Number]]</f>
        <v>-3505.0881221094037</v>
      </c>
      <c r="T269" s="15">
        <f>(Table228[[#This Row],[Current Price]]-Table228[[#This Row],[Ave Entry price]])*Table228[[#This Row],[How many tokens now]]</f>
        <v>631.23978634467016</v>
      </c>
      <c r="U269" s="76">
        <f>VLOOKUP(Table228[[#This Row],[Asset]],Table26[#All],10,FALSE)</f>
        <v>0.2</v>
      </c>
    </row>
    <row r="270" spans="1:21">
      <c r="A270" t="s">
        <v>226</v>
      </c>
      <c r="B270" s="68">
        <v>45645</v>
      </c>
      <c r="C270" s="82" t="s">
        <v>176</v>
      </c>
      <c r="D270" t="s">
        <v>68</v>
      </c>
      <c r="E270" t="s">
        <v>189</v>
      </c>
      <c r="F270" s="17">
        <v>4.4999999999999998E-2</v>
      </c>
      <c r="G270" s="73">
        <v>-5098</v>
      </c>
      <c r="H270" s="61">
        <f t="shared" si="92"/>
        <v>0</v>
      </c>
      <c r="I270" s="67">
        <f t="shared" si="93"/>
        <v>5098</v>
      </c>
      <c r="J270" s="15">
        <f t="shared" si="94"/>
        <v>0</v>
      </c>
      <c r="K270" s="15">
        <f t="shared" si="95"/>
        <v>229.41</v>
      </c>
      <c r="L270">
        <f>SUMIF(Table228[[#All],[Asset]],Table228[[#This Row],[Asset]],Table228[[#All],[Bought number]])</f>
        <v>323932.72954500001</v>
      </c>
      <c r="M270">
        <f>SUMIF(Table228[[#All],[Asset]],Table228[[#This Row],[Asset]],Table228[[#All],[Sold Number]])</f>
        <v>323932.73009199998</v>
      </c>
      <c r="N270" s="15">
        <f>SUMIF(Table228[[#All],[Asset]],Table228[[#This Row],[Asset]],Table228[[#All],[Bought amount]])</f>
        <v>15730.280778400003</v>
      </c>
      <c r="O270" s="15">
        <f>SUMIF(Table228[[#All],[Asset]],Table228[[#This Row],[Asset]],Table228[[#All],[Sold amount]])</f>
        <v>14916.766213074001</v>
      </c>
      <c r="P270" s="75">
        <f>Table228[[#This Row],[Total bought Amount]]/Table228[[#This Row],[Total bought Number]]</f>
        <v>4.8560331648163348E-2</v>
      </c>
      <c r="Q270" s="75">
        <f>IFERROR(Table228[[#This Row],[Total Sold Amount]]/Table228[[#This Row],[Total Sold Number]],0)</f>
        <v>4.6048962723950426E-2</v>
      </c>
      <c r="R270" s="21">
        <f>Table228[[#This Row],[Total bought Number]]-Table228[[#This Row],[Total Sold Number]]</f>
        <v>-5.4699997417628765E-4</v>
      </c>
      <c r="S270" s="59">
        <f>(Table228[[#This Row],[Ave exit price]]-Table228[[#This Row],[Ave Entry price]])*Table228[[#This Row],[Total Sold Number]]</f>
        <v>-813.5145918885006</v>
      </c>
      <c r="T270" s="15">
        <f>(Table228[[#This Row],[Current Price]]-Table228[[#This Row],[Ave Entry price]])*Table228[[#This Row],[How many tokens now]]</f>
        <v>-2.3737984763883032E-6</v>
      </c>
      <c r="U270" s="76">
        <f>VLOOKUP(Table228[[#This Row],[Asset]],Table26[#All],10,FALSE)</f>
        <v>5.2900000000000003E-2</v>
      </c>
    </row>
    <row r="271" spans="1:21">
      <c r="A271" t="s">
        <v>223</v>
      </c>
      <c r="B271" s="68">
        <v>45645</v>
      </c>
      <c r="C271" s="82" t="s">
        <v>176</v>
      </c>
      <c r="D271" t="s">
        <v>68</v>
      </c>
      <c r="E271" t="s">
        <v>189</v>
      </c>
      <c r="F271" s="17">
        <v>0.2472</v>
      </c>
      <c r="G271" s="73">
        <v>195</v>
      </c>
      <c r="H271" s="61">
        <f t="shared" si="92"/>
        <v>195</v>
      </c>
      <c r="I271" s="67">
        <f t="shared" si="93"/>
        <v>0</v>
      </c>
      <c r="J271" s="15">
        <f t="shared" si="94"/>
        <v>48.204000000000001</v>
      </c>
      <c r="K271" s="15">
        <f t="shared" si="95"/>
        <v>0</v>
      </c>
      <c r="L271">
        <f>SUMIF(Table228[[#All],[Asset]],Table228[[#This Row],[Asset]],Table228[[#All],[Bought number]])</f>
        <v>70451.060641000004</v>
      </c>
      <c r="M271">
        <f>SUMIF(Table228[[#All],[Asset]],Table228[[#This Row],[Asset]],Table228[[#All],[Sold Number]])</f>
        <v>77094.547770000005</v>
      </c>
      <c r="N271" s="15">
        <f>SUMIF(Table228[[#All],[Asset]],Table228[[#This Row],[Asset]],Table228[[#All],[Bought amount]])</f>
        <v>20784.213577025603</v>
      </c>
      <c r="O271" s="15">
        <f>SUMIF(Table228[[#All],[Asset]],Table228[[#This Row],[Asset]],Table228[[#All],[Sold amount]])</f>
        <v>19239.062667060869</v>
      </c>
      <c r="P271" s="75">
        <f>Table228[[#This Row],[Total bought Amount]]/Table228[[#This Row],[Total bought Number]]</f>
        <v>0.29501633315268971</v>
      </c>
      <c r="Q271" s="75">
        <f>IFERROR(Table228[[#This Row],[Total Sold Amount]]/Table228[[#This Row],[Total Sold Number]],0)</f>
        <v>0.24955153410404224</v>
      </c>
      <c r="R271" s="21">
        <f>Table228[[#This Row],[Total bought Number]]-Table228[[#This Row],[Total Sold Number]]</f>
        <v>-6643.487129000001</v>
      </c>
      <c r="S271" s="59">
        <f>(Table228[[#This Row],[Ave exit price]]-Table228[[#This Row],[Ave Entry price]])*Table228[[#This Row],[Total Sold Number]]</f>
        <v>-3505.0881221094037</v>
      </c>
      <c r="T271" s="15">
        <f>(Table228[[#This Row],[Current Price]]-Table228[[#This Row],[Ave Entry price]])*Table228[[#This Row],[How many tokens now]]</f>
        <v>631.23978634467016</v>
      </c>
      <c r="U271" s="76">
        <f>VLOOKUP(Table228[[#This Row],[Asset]],Table26[#All],10,FALSE)</f>
        <v>0.2</v>
      </c>
    </row>
    <row r="272" spans="1:21">
      <c r="A272" t="s">
        <v>223</v>
      </c>
      <c r="B272" s="68">
        <v>45645</v>
      </c>
      <c r="C272" s="82" t="s">
        <v>176</v>
      </c>
      <c r="D272" t="s">
        <v>68</v>
      </c>
      <c r="E272" t="s">
        <v>189</v>
      </c>
      <c r="F272" s="17">
        <v>0.2472</v>
      </c>
      <c r="G272" s="73">
        <v>915.07868699999995</v>
      </c>
      <c r="H272" s="61">
        <f t="shared" si="92"/>
        <v>915.07868699999995</v>
      </c>
      <c r="I272" s="67">
        <f t="shared" si="93"/>
        <v>0</v>
      </c>
      <c r="J272" s="15">
        <f t="shared" si="94"/>
        <v>226.20745142639998</v>
      </c>
      <c r="K272" s="15">
        <f t="shared" si="95"/>
        <v>0</v>
      </c>
      <c r="L272">
        <f>SUMIF(Table228[[#All],[Asset]],Table228[[#This Row],[Asset]],Table228[[#All],[Bought number]])</f>
        <v>70451.060641000004</v>
      </c>
      <c r="M272">
        <f>SUMIF(Table228[[#All],[Asset]],Table228[[#This Row],[Asset]],Table228[[#All],[Sold Number]])</f>
        <v>77094.547770000005</v>
      </c>
      <c r="N272" s="15">
        <f>SUMIF(Table228[[#All],[Asset]],Table228[[#This Row],[Asset]],Table228[[#All],[Bought amount]])</f>
        <v>20784.213577025603</v>
      </c>
      <c r="O272" s="15">
        <f>SUMIF(Table228[[#All],[Asset]],Table228[[#This Row],[Asset]],Table228[[#All],[Sold amount]])</f>
        <v>19239.062667060869</v>
      </c>
      <c r="P272" s="75">
        <f>Table228[[#This Row],[Total bought Amount]]/Table228[[#This Row],[Total bought Number]]</f>
        <v>0.29501633315268971</v>
      </c>
      <c r="Q272" s="75">
        <f>IFERROR(Table228[[#This Row],[Total Sold Amount]]/Table228[[#This Row],[Total Sold Number]],0)</f>
        <v>0.24955153410404224</v>
      </c>
      <c r="R272" s="21">
        <f>Table228[[#This Row],[Total bought Number]]-Table228[[#This Row],[Total Sold Number]]</f>
        <v>-6643.487129000001</v>
      </c>
      <c r="S272" s="59">
        <f>(Table228[[#This Row],[Ave exit price]]-Table228[[#This Row],[Ave Entry price]])*Table228[[#This Row],[Total Sold Number]]</f>
        <v>-3505.0881221094037</v>
      </c>
      <c r="T272" s="15">
        <f>(Table228[[#This Row],[Current Price]]-Table228[[#This Row],[Ave Entry price]])*Table228[[#This Row],[How many tokens now]]</f>
        <v>631.23978634467016</v>
      </c>
      <c r="U272" s="76">
        <f>VLOOKUP(Table228[[#This Row],[Asset]],Table26[#All],10,FALSE)</f>
        <v>0.2</v>
      </c>
    </row>
    <row r="273" spans="1:21">
      <c r="A273" t="s">
        <v>226</v>
      </c>
      <c r="B273" s="68">
        <v>45645</v>
      </c>
      <c r="C273" s="82" t="s">
        <v>176</v>
      </c>
      <c r="D273" t="s">
        <v>68</v>
      </c>
      <c r="E273" t="s">
        <v>276</v>
      </c>
      <c r="F273" s="17">
        <v>4.4999999999999998E-2</v>
      </c>
      <c r="G273" s="73">
        <v>-20499.8</v>
      </c>
      <c r="H273" s="61">
        <f t="shared" si="92"/>
        <v>0</v>
      </c>
      <c r="I273" s="67">
        <f t="shared" si="93"/>
        <v>20499.8</v>
      </c>
      <c r="J273" s="15">
        <f t="shared" si="94"/>
        <v>0</v>
      </c>
      <c r="K273" s="15">
        <f t="shared" si="95"/>
        <v>922.49099999999999</v>
      </c>
      <c r="L273">
        <f>SUMIF(Table228[[#All],[Asset]],Table228[[#This Row],[Asset]],Table228[[#All],[Bought number]])</f>
        <v>323932.72954500001</v>
      </c>
      <c r="M273">
        <f>SUMIF(Table228[[#All],[Asset]],Table228[[#This Row],[Asset]],Table228[[#All],[Sold Number]])</f>
        <v>323932.73009199998</v>
      </c>
      <c r="N273" s="15">
        <f>SUMIF(Table228[[#All],[Asset]],Table228[[#This Row],[Asset]],Table228[[#All],[Bought amount]])</f>
        <v>15730.280778400003</v>
      </c>
      <c r="O273" s="15">
        <f>SUMIF(Table228[[#All],[Asset]],Table228[[#This Row],[Asset]],Table228[[#All],[Sold amount]])</f>
        <v>14916.766213074001</v>
      </c>
      <c r="P273" s="75">
        <f>Table228[[#This Row],[Total bought Amount]]/Table228[[#This Row],[Total bought Number]]</f>
        <v>4.8560331648163348E-2</v>
      </c>
      <c r="Q273" s="75">
        <f>IFERROR(Table228[[#This Row],[Total Sold Amount]]/Table228[[#This Row],[Total Sold Number]],0)</f>
        <v>4.6048962723950426E-2</v>
      </c>
      <c r="R273" s="21">
        <f>Table228[[#This Row],[Total bought Number]]-Table228[[#This Row],[Total Sold Number]]</f>
        <v>-5.4699997417628765E-4</v>
      </c>
      <c r="S273" s="59">
        <f>(Table228[[#This Row],[Ave exit price]]-Table228[[#This Row],[Ave Entry price]])*Table228[[#This Row],[Total Sold Number]]</f>
        <v>-813.5145918885006</v>
      </c>
      <c r="T273" s="15">
        <f>(Table228[[#This Row],[Current Price]]-Table228[[#This Row],[Ave Entry price]])*Table228[[#This Row],[How many tokens now]]</f>
        <v>-2.3737984763883032E-6</v>
      </c>
      <c r="U273" s="76">
        <f>VLOOKUP(Table228[[#This Row],[Asset]],Table26[#All],10,FALSE)</f>
        <v>5.2900000000000003E-2</v>
      </c>
    </row>
    <row r="274" spans="1:21">
      <c r="A274" t="s">
        <v>67</v>
      </c>
      <c r="B274" s="68">
        <v>45645</v>
      </c>
      <c r="C274" s="82" t="s">
        <v>176</v>
      </c>
      <c r="D274" t="s">
        <v>68</v>
      </c>
      <c r="E274" t="s">
        <v>276</v>
      </c>
      <c r="F274" s="17">
        <v>0.36230000000000001</v>
      </c>
      <c r="G274" s="73">
        <v>2524</v>
      </c>
      <c r="H274" s="61">
        <f t="shared" si="92"/>
        <v>2524</v>
      </c>
      <c r="I274" s="67">
        <f t="shared" si="93"/>
        <v>0</v>
      </c>
      <c r="J274" s="15">
        <f t="shared" si="94"/>
        <v>914.4452</v>
      </c>
      <c r="K274" s="15">
        <f t="shared" si="95"/>
        <v>0</v>
      </c>
      <c r="L274">
        <f>SUMIF(Table228[[#All],[Asset]],Table228[[#This Row],[Asset]],Table228[[#All],[Bought number]])</f>
        <v>34194.467916000001</v>
      </c>
      <c r="M274">
        <f>SUMIF(Table228[[#All],[Asset]],Table228[[#This Row],[Asset]],Table228[[#All],[Sold Number]])</f>
        <v>34195.061103</v>
      </c>
      <c r="N274" s="15">
        <f>SUMIF(Table228[[#All],[Asset]],Table228[[#This Row],[Asset]],Table228[[#All],[Bought amount]])</f>
        <v>8337.2121048291392</v>
      </c>
      <c r="O274" s="15">
        <f>SUMIF(Table228[[#All],[Asset]],Table228[[#This Row],[Asset]],Table228[[#All],[Sold amount]])</f>
        <v>4877.1257709650927</v>
      </c>
      <c r="P274" s="75">
        <f>Table228[[#This Row],[Total bought Amount]]/Table228[[#This Row],[Total bought Number]]</f>
        <v>0.24381757088046566</v>
      </c>
      <c r="Q274" s="75">
        <f>IFERROR(Table228[[#This Row],[Total Sold Amount]]/Table228[[#This Row],[Total Sold Number]],0)</f>
        <v>0.14262661371695029</v>
      </c>
      <c r="R274" s="21">
        <f>Table228[[#This Row],[Total bought Number]]-Table228[[#This Row],[Total Sold Number]]</f>
        <v>-0.59318699999857927</v>
      </c>
      <c r="S274" s="59">
        <f>(Table228[[#This Row],[Ave exit price]]-Table228[[#This Row],[Ave Entry price]])*Table228[[#This Row],[Total Sold Number]]</f>
        <v>-3460.2309632774636</v>
      </c>
      <c r="T274" s="15">
        <f>(Table228[[#This Row],[Current Price]]-Table228[[#This Row],[Ave Entry price]])*Table228[[#This Row],[How many tokens now]]</f>
        <v>3.7855753417780115E-2</v>
      </c>
      <c r="U274" s="76">
        <f>VLOOKUP(Table228[[#This Row],[Asset]],Table26[#All],10,FALSE)</f>
        <v>0.18</v>
      </c>
    </row>
    <row r="275" spans="1:21">
      <c r="A275" t="s">
        <v>474</v>
      </c>
      <c r="B275" s="68">
        <v>45645</v>
      </c>
      <c r="C275" s="82" t="s">
        <v>175</v>
      </c>
      <c r="D275" t="s">
        <v>76</v>
      </c>
      <c r="E275" t="s">
        <v>189</v>
      </c>
      <c r="F275" s="17">
        <v>1670</v>
      </c>
      <c r="G275" s="73">
        <v>-1</v>
      </c>
      <c r="H275" s="61">
        <f t="shared" si="92"/>
        <v>0</v>
      </c>
      <c r="I275" s="67">
        <f t="shared" si="93"/>
        <v>1</v>
      </c>
      <c r="J275" s="15">
        <f t="shared" si="94"/>
        <v>0</v>
      </c>
      <c r="K275" s="15">
        <f t="shared" si="95"/>
        <v>1670</v>
      </c>
      <c r="L275">
        <f>SUMIF(Table228[[#All],[Asset]],Table228[[#This Row],[Asset]],Table228[[#All],[Bought number]])</f>
        <v>1</v>
      </c>
      <c r="M275">
        <f>SUMIF(Table228[[#All],[Asset]],Table228[[#This Row],[Asset]],Table228[[#All],[Sold Number]])</f>
        <v>1</v>
      </c>
      <c r="N275" s="15">
        <f>SUMIF(Table228[[#All],[Asset]],Table228[[#This Row],[Asset]],Table228[[#All],[Bought amount]])</f>
        <v>1790</v>
      </c>
      <c r="O275" s="15">
        <f>SUMIF(Table228[[#All],[Asset]],Table228[[#This Row],[Asset]],Table228[[#All],[Sold amount]])</f>
        <v>1670</v>
      </c>
      <c r="P275" s="75">
        <f>Table228[[#This Row],[Total bought Amount]]/Table228[[#This Row],[Total bought Number]]</f>
        <v>1790</v>
      </c>
      <c r="Q275" s="75">
        <f>IFERROR(Table228[[#This Row],[Total Sold Amount]]/Table228[[#This Row],[Total Sold Number]],0)</f>
        <v>1670</v>
      </c>
      <c r="R275" s="21">
        <f>Table228[[#This Row],[Total bought Number]]-Table228[[#This Row],[Total Sold Number]]</f>
        <v>0</v>
      </c>
      <c r="S275" s="59">
        <f>(Table228[[#This Row],[Ave exit price]]-Table228[[#This Row],[Ave Entry price]])*Table228[[#This Row],[Total Sold Number]]</f>
        <v>-120</v>
      </c>
      <c r="T275" s="15">
        <f>(Table228[[#This Row],[Current Price]]-Table228[[#This Row],[Ave Entry price]])*Table228[[#This Row],[How many tokens now]]</f>
        <v>0</v>
      </c>
      <c r="U275" s="76">
        <f>VLOOKUP(Table228[[#This Row],[Asset]],Table26[#All],10,FALSE)</f>
        <v>1790</v>
      </c>
    </row>
    <row r="276" spans="1:21">
      <c r="A276" t="s">
        <v>480</v>
      </c>
      <c r="B276" s="68">
        <v>45645</v>
      </c>
      <c r="C276" s="82" t="s">
        <v>176</v>
      </c>
      <c r="D276" t="s">
        <v>68</v>
      </c>
      <c r="E276" t="s">
        <v>189</v>
      </c>
      <c r="F276" s="17">
        <v>2.7499999999999998E-3</v>
      </c>
      <c r="G276" s="73">
        <v>273944</v>
      </c>
      <c r="H276" s="61">
        <f t="shared" si="92"/>
        <v>273944</v>
      </c>
      <c r="I276" s="67">
        <f t="shared" si="93"/>
        <v>0</v>
      </c>
      <c r="J276" s="15">
        <f t="shared" si="94"/>
        <v>753.346</v>
      </c>
      <c r="K276" s="15">
        <f t="shared" si="95"/>
        <v>0</v>
      </c>
      <c r="L276">
        <f>SUMIF(Table228[[#All],[Asset]],Table228[[#This Row],[Asset]],Table228[[#All],[Bought number]])</f>
        <v>2144769.87498867</v>
      </c>
      <c r="M276">
        <f>SUMIF(Table228[[#All],[Asset]],Table228[[#This Row],[Asset]],Table228[[#All],[Sold Number]])</f>
        <v>2209870.0199000002</v>
      </c>
      <c r="N276" s="15">
        <f>SUMIF(Table228[[#All],[Asset]],Table228[[#This Row],[Asset]],Table228[[#All],[Bought amount]])</f>
        <v>4762.1959512301728</v>
      </c>
      <c r="O276" s="15">
        <f>SUMIF(Table228[[#All],[Asset]],Table228[[#This Row],[Asset]],Table228[[#All],[Sold amount]])</f>
        <v>6978.8960604900003</v>
      </c>
      <c r="P276" s="75">
        <f>Table228[[#This Row],[Total bought Amount]]/Table228[[#This Row],[Total bought Number]]</f>
        <v>2.2203761843005787E-3</v>
      </c>
      <c r="Q276" s="75">
        <f>IFERROR(Table228[[#This Row],[Total Sold Amount]]/Table228[[#This Row],[Total Sold Number]],0)</f>
        <v>3.1580572602210358E-3</v>
      </c>
      <c r="R276" s="21">
        <f>Table228[[#This Row],[Total bought Number]]-Table228[[#This Row],[Total Sold Number]]</f>
        <v>-65100.144911330193</v>
      </c>
      <c r="S276" s="59">
        <f>(Table228[[#This Row],[Ave exit price]]-Table228[[#This Row],[Ave Entry price]])*Table228[[#This Row],[Total Sold Number]]</f>
        <v>2072.153297904194</v>
      </c>
      <c r="T276" s="15">
        <f>(Table228[[#This Row],[Current Price]]-Table228[[#This Row],[Ave Entry price]])*Table228[[#This Row],[How many tokens now]]</f>
        <v>28.017551964353032</v>
      </c>
      <c r="U276" s="76">
        <f>VLOOKUP(Table228[[#This Row],[Asset]],Table26[#All],10,FALSE)</f>
        <v>1.7899999999999999E-3</v>
      </c>
    </row>
    <row r="277" spans="1:21">
      <c r="A277" t="s">
        <v>480</v>
      </c>
      <c r="B277" s="68">
        <v>45645</v>
      </c>
      <c r="C277" s="82" t="s">
        <v>176</v>
      </c>
      <c r="D277" t="s">
        <v>68</v>
      </c>
      <c r="E277" t="s">
        <v>189</v>
      </c>
      <c r="F277" s="17">
        <v>2.7499999999999998E-3</v>
      </c>
      <c r="G277" s="73">
        <v>342589</v>
      </c>
      <c r="H277" s="61">
        <f t="shared" si="92"/>
        <v>342589</v>
      </c>
      <c r="I277" s="67">
        <f t="shared" si="93"/>
        <v>0</v>
      </c>
      <c r="J277" s="15">
        <f t="shared" si="94"/>
        <v>942.11974999999995</v>
      </c>
      <c r="K277" s="15">
        <f t="shared" si="95"/>
        <v>0</v>
      </c>
      <c r="L277">
        <f>SUMIF(Table228[[#All],[Asset]],Table228[[#This Row],[Asset]],Table228[[#All],[Bought number]])</f>
        <v>2144769.87498867</v>
      </c>
      <c r="M277">
        <f>SUMIF(Table228[[#All],[Asset]],Table228[[#This Row],[Asset]],Table228[[#All],[Sold Number]])</f>
        <v>2209870.0199000002</v>
      </c>
      <c r="N277" s="15">
        <f>SUMIF(Table228[[#All],[Asset]],Table228[[#This Row],[Asset]],Table228[[#All],[Bought amount]])</f>
        <v>4762.1959512301728</v>
      </c>
      <c r="O277" s="15">
        <f>SUMIF(Table228[[#All],[Asset]],Table228[[#This Row],[Asset]],Table228[[#All],[Sold amount]])</f>
        <v>6978.8960604900003</v>
      </c>
      <c r="P277" s="75">
        <f>Table228[[#This Row],[Total bought Amount]]/Table228[[#This Row],[Total bought Number]]</f>
        <v>2.2203761843005787E-3</v>
      </c>
      <c r="Q277" s="75">
        <f>IFERROR(Table228[[#This Row],[Total Sold Amount]]/Table228[[#This Row],[Total Sold Number]],0)</f>
        <v>3.1580572602210358E-3</v>
      </c>
      <c r="R277" s="21">
        <f>Table228[[#This Row],[Total bought Number]]-Table228[[#This Row],[Total Sold Number]]</f>
        <v>-65100.144911330193</v>
      </c>
      <c r="S277" s="59">
        <f>(Table228[[#This Row],[Ave exit price]]-Table228[[#This Row],[Ave Entry price]])*Table228[[#This Row],[Total Sold Number]]</f>
        <v>2072.153297904194</v>
      </c>
      <c r="T277" s="15">
        <f>(Table228[[#This Row],[Current Price]]-Table228[[#This Row],[Ave Entry price]])*Table228[[#This Row],[How many tokens now]]</f>
        <v>28.017551964353032</v>
      </c>
      <c r="U277" s="76">
        <f>VLOOKUP(Table228[[#This Row],[Asset]],Table26[#All],10,FALSE)</f>
        <v>1.7899999999999999E-3</v>
      </c>
    </row>
    <row r="278" spans="1:21">
      <c r="A278" t="s">
        <v>242</v>
      </c>
      <c r="B278" s="68">
        <v>45646</v>
      </c>
      <c r="C278" s="3" t="s">
        <v>176</v>
      </c>
      <c r="D278" t="s">
        <v>68</v>
      </c>
      <c r="E278" t="s">
        <v>270</v>
      </c>
      <c r="F278" s="17">
        <v>3.9419999999999997E-2</v>
      </c>
      <c r="G278" s="73">
        <v>-7247.3421200000003</v>
      </c>
      <c r="H278" s="61">
        <f t="shared" si="92"/>
        <v>0</v>
      </c>
      <c r="I278" s="67">
        <f t="shared" si="93"/>
        <v>7247.3421200000003</v>
      </c>
      <c r="J278" s="15">
        <f t="shared" si="94"/>
        <v>0</v>
      </c>
      <c r="K278" s="15">
        <f t="shared" si="95"/>
        <v>285.69022637040001</v>
      </c>
      <c r="L278">
        <f>SUMIF(Table228[[#All],[Asset]],Table228[[#This Row],[Asset]],Table228[[#All],[Bought number]])</f>
        <v>12696.341211999999</v>
      </c>
      <c r="M278">
        <f>SUMIF(Table228[[#All],[Asset]],Table228[[#This Row],[Asset]],Table228[[#All],[Sold Number]])</f>
        <v>7247.3421200000003</v>
      </c>
      <c r="N278" s="15">
        <f>SUMIF(Table228[[#All],[Asset]],Table228[[#This Row],[Asset]],Table228[[#All],[Bought amount]])</f>
        <v>761.78047272000003</v>
      </c>
      <c r="O278" s="15">
        <f>SUMIF(Table228[[#All],[Asset]],Table228[[#This Row],[Asset]],Table228[[#All],[Sold amount]])</f>
        <v>285.69022637040001</v>
      </c>
      <c r="P278" s="75">
        <f>Table228[[#This Row],[Total bought Amount]]/Table228[[#This Row],[Total bought Number]]</f>
        <v>6.0000000000000005E-2</v>
      </c>
      <c r="Q278" s="75">
        <f>IFERROR(Table228[[#This Row],[Total Sold Amount]]/Table228[[#This Row],[Total Sold Number]],0)</f>
        <v>3.9420000000000004E-2</v>
      </c>
      <c r="R278" s="21">
        <f>Table228[[#This Row],[Total bought Number]]-Table228[[#This Row],[Total Sold Number]]</f>
        <v>5448.9990919999991</v>
      </c>
      <c r="S278" s="59">
        <f>(Table228[[#This Row],[Ave exit price]]-Table228[[#This Row],[Ave Entry price]])*Table228[[#This Row],[Total Sold Number]]</f>
        <v>-149.15030082960001</v>
      </c>
      <c r="T278" s="15">
        <f>(Table228[[#This Row],[Current Price]]-Table228[[#This Row],[Ave Entry price]])*Table228[[#This Row],[How many tokens now]]</f>
        <v>-185.70188905536</v>
      </c>
      <c r="U278" s="76">
        <f>VLOOKUP(Table228[[#This Row],[Asset]],Table26[#All],10,FALSE)</f>
        <v>2.5919999999999999E-2</v>
      </c>
    </row>
    <row r="279" spans="1:21">
      <c r="A279" t="s">
        <v>223</v>
      </c>
      <c r="B279" s="68">
        <v>45646</v>
      </c>
      <c r="C279" s="3" t="s">
        <v>176</v>
      </c>
      <c r="D279" t="s">
        <v>68</v>
      </c>
      <c r="E279" t="s">
        <v>270</v>
      </c>
      <c r="F279" s="17">
        <v>0.2366</v>
      </c>
      <c r="G279" s="73">
        <v>1180</v>
      </c>
      <c r="H279" s="61">
        <f t="shared" si="92"/>
        <v>1180</v>
      </c>
      <c r="I279" s="67">
        <f t="shared" si="93"/>
        <v>0</v>
      </c>
      <c r="J279" s="15">
        <f t="shared" si="94"/>
        <v>279.18799999999999</v>
      </c>
      <c r="K279" s="15">
        <f t="shared" si="95"/>
        <v>0</v>
      </c>
      <c r="L279">
        <f>SUMIF(Table228[[#All],[Asset]],Table228[[#This Row],[Asset]],Table228[[#All],[Bought number]])</f>
        <v>70451.060641000004</v>
      </c>
      <c r="M279">
        <f>SUMIF(Table228[[#All],[Asset]],Table228[[#This Row],[Asset]],Table228[[#All],[Sold Number]])</f>
        <v>77094.547770000005</v>
      </c>
      <c r="N279" s="15">
        <f>SUMIF(Table228[[#All],[Asset]],Table228[[#This Row],[Asset]],Table228[[#All],[Bought amount]])</f>
        <v>20784.213577025603</v>
      </c>
      <c r="O279" s="15">
        <f>SUMIF(Table228[[#All],[Asset]],Table228[[#This Row],[Asset]],Table228[[#All],[Sold amount]])</f>
        <v>19239.062667060869</v>
      </c>
      <c r="P279" s="75">
        <f>Table228[[#This Row],[Total bought Amount]]/Table228[[#This Row],[Total bought Number]]</f>
        <v>0.29501633315268971</v>
      </c>
      <c r="Q279" s="75">
        <f>IFERROR(Table228[[#This Row],[Total Sold Amount]]/Table228[[#This Row],[Total Sold Number]],0)</f>
        <v>0.24955153410404224</v>
      </c>
      <c r="R279" s="21">
        <f>Table228[[#This Row],[Total bought Number]]-Table228[[#This Row],[Total Sold Number]]</f>
        <v>-6643.487129000001</v>
      </c>
      <c r="S279" s="59">
        <f>(Table228[[#This Row],[Ave exit price]]-Table228[[#This Row],[Ave Entry price]])*Table228[[#This Row],[Total Sold Number]]</f>
        <v>-3505.0881221094037</v>
      </c>
      <c r="T279" s="15">
        <f>(Table228[[#This Row],[Current Price]]-Table228[[#This Row],[Ave Entry price]])*Table228[[#This Row],[How many tokens now]]</f>
        <v>631.23978634467016</v>
      </c>
      <c r="U279" s="76">
        <f>VLOOKUP(Table228[[#This Row],[Asset]],Table26[#All],10,FALSE)</f>
        <v>0.2</v>
      </c>
    </row>
    <row r="280" spans="1:21">
      <c r="A280" t="s">
        <v>226</v>
      </c>
      <c r="B280" s="68">
        <v>45646</v>
      </c>
      <c r="C280" s="3" t="s">
        <v>176</v>
      </c>
      <c r="D280" t="s">
        <v>68</v>
      </c>
      <c r="E280" t="s">
        <v>270</v>
      </c>
      <c r="F280" s="17">
        <v>4.3999999999999997E-2</v>
      </c>
      <c r="G280" s="73">
        <v>-19732.072800000002</v>
      </c>
      <c r="H280" s="61">
        <f t="shared" si="92"/>
        <v>0</v>
      </c>
      <c r="I280" s="67">
        <f t="shared" si="93"/>
        <v>19732.072800000002</v>
      </c>
      <c r="J280" s="15">
        <f t="shared" si="94"/>
        <v>0</v>
      </c>
      <c r="K280" s="15">
        <f t="shared" si="95"/>
        <v>868.2112032</v>
      </c>
      <c r="L280">
        <f>SUMIF(Table228[[#All],[Asset]],Table228[[#This Row],[Asset]],Table228[[#All],[Bought number]])</f>
        <v>323932.72954500001</v>
      </c>
      <c r="M280">
        <f>SUMIF(Table228[[#All],[Asset]],Table228[[#This Row],[Asset]],Table228[[#All],[Sold Number]])</f>
        <v>323932.73009199998</v>
      </c>
      <c r="N280" s="15">
        <f>SUMIF(Table228[[#All],[Asset]],Table228[[#This Row],[Asset]],Table228[[#All],[Bought amount]])</f>
        <v>15730.280778400003</v>
      </c>
      <c r="O280" s="15">
        <f>SUMIF(Table228[[#All],[Asset]],Table228[[#This Row],[Asset]],Table228[[#All],[Sold amount]])</f>
        <v>14916.766213074001</v>
      </c>
      <c r="P280" s="75">
        <f>Table228[[#This Row],[Total bought Amount]]/Table228[[#This Row],[Total bought Number]]</f>
        <v>4.8560331648163348E-2</v>
      </c>
      <c r="Q280" s="75">
        <f>IFERROR(Table228[[#This Row],[Total Sold Amount]]/Table228[[#This Row],[Total Sold Number]],0)</f>
        <v>4.6048962723950426E-2</v>
      </c>
      <c r="R280" s="21">
        <f>Table228[[#This Row],[Total bought Number]]-Table228[[#This Row],[Total Sold Number]]</f>
        <v>-5.4699997417628765E-4</v>
      </c>
      <c r="S280" s="59">
        <f>(Table228[[#This Row],[Ave exit price]]-Table228[[#This Row],[Ave Entry price]])*Table228[[#This Row],[Total Sold Number]]</f>
        <v>-813.5145918885006</v>
      </c>
      <c r="T280" s="15">
        <f>(Table228[[#This Row],[Current Price]]-Table228[[#This Row],[Ave Entry price]])*Table228[[#This Row],[How many tokens now]]</f>
        <v>-2.3737984763883032E-6</v>
      </c>
      <c r="U280" s="76">
        <f>VLOOKUP(Table228[[#This Row],[Asset]],Table26[#All],10,FALSE)</f>
        <v>5.2900000000000003E-2</v>
      </c>
    </row>
    <row r="281" spans="1:21">
      <c r="A281" t="s">
        <v>223</v>
      </c>
      <c r="B281" s="68">
        <v>45646</v>
      </c>
      <c r="C281" s="3" t="s">
        <v>176</v>
      </c>
      <c r="D281" t="s">
        <v>68</v>
      </c>
      <c r="E281" t="s">
        <v>270</v>
      </c>
      <c r="F281" s="17">
        <v>0.2366</v>
      </c>
      <c r="G281" s="73">
        <v>3723</v>
      </c>
      <c r="H281" s="61">
        <f t="shared" si="92"/>
        <v>3723</v>
      </c>
      <c r="I281" s="67">
        <f t="shared" si="93"/>
        <v>0</v>
      </c>
      <c r="J281" s="15">
        <f t="shared" si="94"/>
        <v>880.86180000000002</v>
      </c>
      <c r="K281" s="15">
        <f t="shared" si="95"/>
        <v>0</v>
      </c>
      <c r="L281">
        <f>SUMIF(Table228[[#All],[Asset]],Table228[[#This Row],[Asset]],Table228[[#All],[Bought number]])</f>
        <v>70451.060641000004</v>
      </c>
      <c r="M281">
        <f>SUMIF(Table228[[#All],[Asset]],Table228[[#This Row],[Asset]],Table228[[#All],[Sold Number]])</f>
        <v>77094.547770000005</v>
      </c>
      <c r="N281" s="15">
        <f>SUMIF(Table228[[#All],[Asset]],Table228[[#This Row],[Asset]],Table228[[#All],[Bought amount]])</f>
        <v>20784.213577025603</v>
      </c>
      <c r="O281" s="15">
        <f>SUMIF(Table228[[#All],[Asset]],Table228[[#This Row],[Asset]],Table228[[#All],[Sold amount]])</f>
        <v>19239.062667060869</v>
      </c>
      <c r="P281" s="75">
        <f>Table228[[#This Row],[Total bought Amount]]/Table228[[#This Row],[Total bought Number]]</f>
        <v>0.29501633315268971</v>
      </c>
      <c r="Q281" s="75">
        <f>IFERROR(Table228[[#This Row],[Total Sold Amount]]/Table228[[#This Row],[Total Sold Number]],0)</f>
        <v>0.24955153410404224</v>
      </c>
      <c r="R281" s="21">
        <f>Table228[[#This Row],[Total bought Number]]-Table228[[#This Row],[Total Sold Number]]</f>
        <v>-6643.487129000001</v>
      </c>
      <c r="S281" s="59">
        <f>(Table228[[#This Row],[Ave exit price]]-Table228[[#This Row],[Ave Entry price]])*Table228[[#This Row],[Total Sold Number]]</f>
        <v>-3505.0881221094037</v>
      </c>
      <c r="T281" s="15">
        <f>(Table228[[#This Row],[Current Price]]-Table228[[#This Row],[Ave Entry price]])*Table228[[#This Row],[How many tokens now]]</f>
        <v>631.23978634467016</v>
      </c>
      <c r="U281" s="76">
        <f>VLOOKUP(Table228[[#This Row],[Asset]],Table26[#All],10,FALSE)</f>
        <v>0.2</v>
      </c>
    </row>
    <row r="282" spans="1:21">
      <c r="A282" s="56" t="s">
        <v>224</v>
      </c>
      <c r="B282" s="68">
        <v>45646</v>
      </c>
      <c r="C282" s="3" t="s">
        <v>176</v>
      </c>
      <c r="D282" t="s">
        <v>68</v>
      </c>
      <c r="E282" t="s">
        <v>270</v>
      </c>
      <c r="F282" s="17">
        <v>4.1779999999999999</v>
      </c>
      <c r="G282" s="73">
        <v>-1229</v>
      </c>
      <c r="H282" s="61">
        <f t="shared" si="92"/>
        <v>0</v>
      </c>
      <c r="I282" s="67">
        <f t="shared" si="93"/>
        <v>1229</v>
      </c>
      <c r="J282" s="15">
        <f t="shared" si="94"/>
        <v>0</v>
      </c>
      <c r="K282" s="15">
        <f t="shared" si="95"/>
        <v>5134.7619999999997</v>
      </c>
      <c r="L282">
        <f>SUMIF(Table228[[#All],[Asset]],Table228[[#This Row],[Asset]],Table228[[#All],[Bought number]])</f>
        <v>2402.9751590000001</v>
      </c>
      <c r="M282">
        <f>SUMIF(Table228[[#All],[Asset]],Table228[[#This Row],[Asset]],Table228[[#All],[Sold Number]])</f>
        <v>2835</v>
      </c>
      <c r="N282" s="15">
        <f>SUMIF(Table228[[#All],[Asset]],Table228[[#This Row],[Asset]],Table228[[#All],[Bought amount]])</f>
        <v>5880.0437616144482</v>
      </c>
      <c r="O282" s="15">
        <f>SUMIF(Table228[[#All],[Asset]],Table228[[#This Row],[Asset]],Table228[[#All],[Sold amount]])</f>
        <v>11475.592000000001</v>
      </c>
      <c r="P282" s="75">
        <f>Table228[[#This Row],[Total bought Amount]]/Table228[[#This Row],[Total bought Number]]</f>
        <v>2.4469848302807393</v>
      </c>
      <c r="Q282" s="75">
        <f>IFERROR(Table228[[#This Row],[Total Sold Amount]]/Table228[[#This Row],[Total Sold Number]],0)</f>
        <v>4.0478278659611995</v>
      </c>
      <c r="R282" s="21">
        <f>Table228[[#This Row],[Total bought Number]]-Table228[[#This Row],[Total Sold Number]]</f>
        <v>-432.02484099999992</v>
      </c>
      <c r="S282" s="59">
        <f>(Table228[[#This Row],[Ave exit price]]-Table228[[#This Row],[Ave Entry price]])*Table228[[#This Row],[Total Sold Number]]</f>
        <v>4538.3900061541044</v>
      </c>
      <c r="T282" s="15">
        <f>(Table228[[#This Row],[Current Price]]-Table228[[#This Row],[Ave Entry price]])*Table228[[#This Row],[How many tokens now]]</f>
        <v>-403.08573034855146</v>
      </c>
      <c r="U282" s="76">
        <f>VLOOKUP(Table228[[#This Row],[Asset]],Table26[#All],10,FALSE)</f>
        <v>3.38</v>
      </c>
    </row>
    <row r="283" spans="1:21">
      <c r="A283" s="56" t="s">
        <v>223</v>
      </c>
      <c r="B283" s="68">
        <v>45646</v>
      </c>
      <c r="C283" s="3" t="s">
        <v>176</v>
      </c>
      <c r="D283" t="s">
        <v>68</v>
      </c>
      <c r="E283" t="s">
        <v>270</v>
      </c>
      <c r="F283" s="17">
        <v>0.2366</v>
      </c>
      <c r="G283" s="73">
        <v>21533</v>
      </c>
      <c r="H283" s="61">
        <f t="shared" si="92"/>
        <v>21533</v>
      </c>
      <c r="I283" s="67">
        <f t="shared" si="93"/>
        <v>0</v>
      </c>
      <c r="J283" s="15">
        <f t="shared" si="94"/>
        <v>5094.7078000000001</v>
      </c>
      <c r="K283" s="15">
        <f t="shared" si="95"/>
        <v>0</v>
      </c>
      <c r="L283">
        <f>SUMIF(Table228[[#All],[Asset]],Table228[[#This Row],[Asset]],Table228[[#All],[Bought number]])</f>
        <v>70451.060641000004</v>
      </c>
      <c r="M283">
        <f>SUMIF(Table228[[#All],[Asset]],Table228[[#This Row],[Asset]],Table228[[#All],[Sold Number]])</f>
        <v>77094.547770000005</v>
      </c>
      <c r="N283" s="15">
        <f>SUMIF(Table228[[#All],[Asset]],Table228[[#This Row],[Asset]],Table228[[#All],[Bought amount]])</f>
        <v>20784.213577025603</v>
      </c>
      <c r="O283" s="15">
        <f>SUMIF(Table228[[#All],[Asset]],Table228[[#This Row],[Asset]],Table228[[#All],[Sold amount]])</f>
        <v>19239.062667060869</v>
      </c>
      <c r="P283" s="75">
        <f>Table228[[#This Row],[Total bought Amount]]/Table228[[#This Row],[Total bought Number]]</f>
        <v>0.29501633315268971</v>
      </c>
      <c r="Q283" s="75">
        <f>IFERROR(Table228[[#This Row],[Total Sold Amount]]/Table228[[#This Row],[Total Sold Number]],0)</f>
        <v>0.24955153410404224</v>
      </c>
      <c r="R283" s="21">
        <f>Table228[[#This Row],[Total bought Number]]-Table228[[#This Row],[Total Sold Number]]</f>
        <v>-6643.487129000001</v>
      </c>
      <c r="S283" s="59">
        <f>(Table228[[#This Row],[Ave exit price]]-Table228[[#This Row],[Ave Entry price]])*Table228[[#This Row],[Total Sold Number]]</f>
        <v>-3505.0881221094037</v>
      </c>
      <c r="T283" s="15">
        <f>(Table228[[#This Row],[Current Price]]-Table228[[#This Row],[Ave Entry price]])*Table228[[#This Row],[How many tokens now]]</f>
        <v>631.23978634467016</v>
      </c>
      <c r="U283" s="76">
        <f>VLOOKUP(Table228[[#This Row],[Asset]],Table26[#All],10,FALSE)</f>
        <v>0.2</v>
      </c>
    </row>
    <row r="284" spans="1:21">
      <c r="A284" s="56" t="s">
        <v>44</v>
      </c>
      <c r="B284" s="68">
        <v>45646</v>
      </c>
      <c r="C284" s="3" t="s">
        <v>176</v>
      </c>
      <c r="D284" t="s">
        <v>476</v>
      </c>
      <c r="E284" t="s">
        <v>285</v>
      </c>
      <c r="F284" s="17">
        <v>0.79749999999999999</v>
      </c>
      <c r="G284" s="73">
        <v>345</v>
      </c>
      <c r="H284" s="61">
        <f t="shared" ref="H284:H308" si="96">IF(G284&gt;0,G284,0)</f>
        <v>345</v>
      </c>
      <c r="I284" s="67">
        <f t="shared" ref="I284:I308" si="97">IF(G284&lt;0,ABS(G284),0)</f>
        <v>0</v>
      </c>
      <c r="J284" s="15">
        <f t="shared" ref="J284:J308" si="98">H284*F284</f>
        <v>275.13749999999999</v>
      </c>
      <c r="K284" s="15">
        <f t="shared" ref="K284:K308" si="99">I284*F284</f>
        <v>0</v>
      </c>
      <c r="L284">
        <f>SUMIF(Table228[[#All],[Asset]],Table228[[#This Row],[Asset]],Table228[[#All],[Bought number]])</f>
        <v>9919.2763999999988</v>
      </c>
      <c r="M284">
        <f>SUMIF(Table228[[#All],[Asset]],Table228[[#This Row],[Asset]],Table228[[#All],[Sold Number]])</f>
        <v>5692.6409999999996</v>
      </c>
      <c r="N284" s="15">
        <f>SUMIF(Table228[[#All],[Asset]],Table228[[#This Row],[Asset]],Table228[[#All],[Bought amount]])</f>
        <v>4616.6576801299998</v>
      </c>
      <c r="O284" s="15">
        <f>SUMIF(Table228[[#All],[Asset]],Table228[[#This Row],[Asset]],Table228[[#All],[Sold amount]])</f>
        <v>2237.4323399999998</v>
      </c>
      <c r="P284" s="75">
        <f>Table228[[#This Row],[Total bought Amount]]/Table228[[#This Row],[Total bought Number]]</f>
        <v>0.46542282863798418</v>
      </c>
      <c r="Q284" s="75">
        <f>IFERROR(Table228[[#This Row],[Total Sold Amount]]/Table228[[#This Row],[Total Sold Number]],0)</f>
        <v>0.39303942405642656</v>
      </c>
      <c r="R284" s="21">
        <f>Table228[[#This Row],[Total bought Number]]-Table228[[#This Row],[Total Sold Number]]</f>
        <v>4226.6353999999992</v>
      </c>
      <c r="S284" s="59">
        <f>(Table228[[#This Row],[Ave exit price]]-Table228[[#This Row],[Ave Entry price]])*Table228[[#This Row],[Total Sold Number]]</f>
        <v>-412.05273664056273</v>
      </c>
      <c r="T284" s="15">
        <f>(Table228[[#This Row],[Current Price]]-Table228[[#This Row],[Ave Entry price]])*Table228[[#This Row],[How many tokens now]]</f>
        <v>1202.8039465105621</v>
      </c>
      <c r="U284" s="76">
        <f>VLOOKUP(Table228[[#This Row],[Asset]],Table26[#All],10,FALSE)</f>
        <v>0.75</v>
      </c>
    </row>
    <row r="285" spans="1:21">
      <c r="A285" s="56" t="s">
        <v>221</v>
      </c>
      <c r="B285" s="68">
        <v>45646</v>
      </c>
      <c r="C285" s="3" t="s">
        <v>180</v>
      </c>
      <c r="D285" t="s">
        <v>178</v>
      </c>
      <c r="E285" t="s">
        <v>189</v>
      </c>
      <c r="F285" s="17">
        <v>1.0609</v>
      </c>
      <c r="G285" s="73">
        <v>-3377.8567870000002</v>
      </c>
      <c r="H285" s="61">
        <f t="shared" si="96"/>
        <v>0</v>
      </c>
      <c r="I285" s="67">
        <f t="shared" si="97"/>
        <v>3377.8567870000002</v>
      </c>
      <c r="J285" s="15">
        <f t="shared" si="98"/>
        <v>0</v>
      </c>
      <c r="K285" s="15">
        <f t="shared" si="99"/>
        <v>3583.5682653283002</v>
      </c>
      <c r="L285">
        <f>SUMIF(Table228[[#All],[Asset]],Table228[[#This Row],[Asset]],Table228[[#All],[Bought number]])</f>
        <v>3846.05</v>
      </c>
      <c r="M285">
        <f>SUMIF(Table228[[#All],[Asset]],Table228[[#This Row],[Asset]],Table228[[#All],[Sold Number]])</f>
        <v>3726.05</v>
      </c>
      <c r="N285" s="15">
        <f>SUMIF(Table228[[#All],[Asset]],Table228[[#This Row],[Asset]],Table228[[#All],[Bought amount]])</f>
        <v>3550.4901629999999</v>
      </c>
      <c r="O285" s="15">
        <f>SUMIF(Table228[[#All],[Asset]],Table228[[#This Row],[Asset]],Table228[[#All],[Sold amount]])</f>
        <v>3828.3503711953003</v>
      </c>
      <c r="P285" s="75">
        <f>Table228[[#This Row],[Total bought Amount]]/Table228[[#This Row],[Total bought Number]]</f>
        <v>0.92315236749392227</v>
      </c>
      <c r="Q285" s="75">
        <f>IFERROR(Table228[[#This Row],[Total Sold Amount]]/Table228[[#This Row],[Total Sold Number]],0)</f>
        <v>1.0274554477785591</v>
      </c>
      <c r="R285" s="21">
        <f>Table228[[#This Row],[Total bought Number]]-Table228[[#This Row],[Total Sold Number]]</f>
        <v>120</v>
      </c>
      <c r="S285" s="59">
        <f>(Table228[[#This Row],[Ave exit price]]-Table228[[#This Row],[Ave Entry price]])*Table228[[#This Row],[Total Sold Number]]</f>
        <v>388.63849229457122</v>
      </c>
      <c r="T285" s="15">
        <f>(Table228[[#This Row],[Current Price]]-Table228[[#This Row],[Ave Entry price]])*Table228[[#This Row],[How many tokens now]]</f>
        <v>-2.7782840992706692</v>
      </c>
      <c r="U285" s="76">
        <f>VLOOKUP(Table228[[#This Row],[Asset]],Table26[#All],10,FALSE)</f>
        <v>0.9</v>
      </c>
    </row>
    <row r="286" spans="1:21">
      <c r="A286" s="56" t="s">
        <v>486</v>
      </c>
      <c r="B286" s="68">
        <v>45646</v>
      </c>
      <c r="C286" s="3" t="s">
        <v>176</v>
      </c>
      <c r="D286" t="s">
        <v>240</v>
      </c>
      <c r="E286" t="s">
        <v>189</v>
      </c>
      <c r="F286" s="17">
        <v>1422.0998</v>
      </c>
      <c r="G286" s="73">
        <v>1</v>
      </c>
      <c r="H286" s="61">
        <f t="shared" si="96"/>
        <v>1</v>
      </c>
      <c r="I286" s="67">
        <f t="shared" si="97"/>
        <v>0</v>
      </c>
      <c r="J286" s="15">
        <f t="shared" si="98"/>
        <v>1422.0998</v>
      </c>
      <c r="K286" s="15">
        <f t="shared" si="99"/>
        <v>0</v>
      </c>
      <c r="L286">
        <f>SUMIF(Table228[[#All],[Asset]],Table228[[#This Row],[Asset]],Table228[[#All],[Bought number]])</f>
        <v>1</v>
      </c>
      <c r="M286">
        <f>SUMIF(Table228[[#All],[Asset]],Table228[[#This Row],[Asset]],Table228[[#All],[Sold Number]])</f>
        <v>1</v>
      </c>
      <c r="N286" s="15">
        <f>SUMIF(Table228[[#All],[Asset]],Table228[[#This Row],[Asset]],Table228[[#All],[Bought amount]])</f>
        <v>1422.0998</v>
      </c>
      <c r="O286" s="15">
        <f>SUMIF(Table228[[#All],[Asset]],Table228[[#This Row],[Asset]],Table228[[#All],[Sold amount]])</f>
        <v>504</v>
      </c>
      <c r="P286" s="75">
        <f>Table228[[#This Row],[Total bought Amount]]/Table228[[#This Row],[Total bought Number]]</f>
        <v>1422.0998</v>
      </c>
      <c r="Q286" s="75">
        <f>IFERROR(Table228[[#This Row],[Total Sold Amount]]/Table228[[#This Row],[Total Sold Number]],0)</f>
        <v>504</v>
      </c>
      <c r="R286" s="21">
        <f>Table228[[#This Row],[Total bought Number]]-Table228[[#This Row],[Total Sold Number]]</f>
        <v>0</v>
      </c>
      <c r="S286" s="59">
        <f>(Table228[[#This Row],[Ave exit price]]-Table228[[#This Row],[Ave Entry price]])*Table228[[#This Row],[Total Sold Number]]</f>
        <v>-918.09979999999996</v>
      </c>
      <c r="T286" s="15">
        <f>(Table228[[#This Row],[Current Price]]-Table228[[#This Row],[Ave Entry price]])*Table228[[#This Row],[How many tokens now]]</f>
        <v>0</v>
      </c>
      <c r="U286" s="76">
        <f>VLOOKUP(Table228[[#This Row],[Asset]],Table26[#All],10,FALSE)</f>
        <v>1422</v>
      </c>
    </row>
    <row r="287" spans="1:21">
      <c r="A287" s="56" t="s">
        <v>480</v>
      </c>
      <c r="B287" s="68">
        <v>45646</v>
      </c>
      <c r="C287" s="3" t="s">
        <v>176</v>
      </c>
      <c r="D287" t="s">
        <v>68</v>
      </c>
      <c r="E287" t="s">
        <v>248</v>
      </c>
      <c r="F287" s="17">
        <v>2.7799999999999999E-3</v>
      </c>
      <c r="G287" s="73">
        <v>380889</v>
      </c>
      <c r="H287" s="61">
        <f t="shared" si="96"/>
        <v>380889</v>
      </c>
      <c r="I287" s="67">
        <f t="shared" si="97"/>
        <v>0</v>
      </c>
      <c r="J287" s="15">
        <f t="shared" si="98"/>
        <v>1058.8714199999999</v>
      </c>
      <c r="K287" s="15">
        <f t="shared" si="99"/>
        <v>0</v>
      </c>
      <c r="L287">
        <f>SUMIF(Table228[[#All],[Asset]],Table228[[#This Row],[Asset]],Table228[[#All],[Bought number]])</f>
        <v>2144769.87498867</v>
      </c>
      <c r="M287">
        <f>SUMIF(Table228[[#All],[Asset]],Table228[[#This Row],[Asset]],Table228[[#All],[Sold Number]])</f>
        <v>2209870.0199000002</v>
      </c>
      <c r="N287" s="15">
        <f>SUMIF(Table228[[#All],[Asset]],Table228[[#This Row],[Asset]],Table228[[#All],[Bought amount]])</f>
        <v>4762.1959512301728</v>
      </c>
      <c r="O287" s="15">
        <f>SUMIF(Table228[[#All],[Asset]],Table228[[#This Row],[Asset]],Table228[[#All],[Sold amount]])</f>
        <v>6978.8960604900003</v>
      </c>
      <c r="P287" s="75">
        <f>Table228[[#This Row],[Total bought Amount]]/Table228[[#This Row],[Total bought Number]]</f>
        <v>2.2203761843005787E-3</v>
      </c>
      <c r="Q287" s="75">
        <f>IFERROR(Table228[[#This Row],[Total Sold Amount]]/Table228[[#This Row],[Total Sold Number]],0)</f>
        <v>3.1580572602210358E-3</v>
      </c>
      <c r="R287" s="21">
        <f>Table228[[#This Row],[Total bought Number]]-Table228[[#This Row],[Total Sold Number]]</f>
        <v>-65100.144911330193</v>
      </c>
      <c r="S287" s="59">
        <f>(Table228[[#This Row],[Ave exit price]]-Table228[[#This Row],[Ave Entry price]])*Table228[[#This Row],[Total Sold Number]]</f>
        <v>2072.153297904194</v>
      </c>
      <c r="T287" s="15">
        <f>(Table228[[#This Row],[Current Price]]-Table228[[#This Row],[Ave Entry price]])*Table228[[#This Row],[How many tokens now]]</f>
        <v>28.017551964353032</v>
      </c>
      <c r="U287" s="76">
        <f>VLOOKUP(Table228[[#This Row],[Asset]],Table26[#All],10,FALSE)</f>
        <v>1.7899999999999999E-3</v>
      </c>
    </row>
    <row r="288" spans="1:21">
      <c r="A288" s="56" t="s">
        <v>273</v>
      </c>
      <c r="B288" s="68">
        <v>45648</v>
      </c>
      <c r="C288" s="3" t="s">
        <v>176</v>
      </c>
      <c r="D288" t="s">
        <v>68</v>
      </c>
      <c r="E288" t="s">
        <v>189</v>
      </c>
      <c r="F288" s="17">
        <v>7.8520000000000006E-2</v>
      </c>
      <c r="G288" s="73">
        <v>12026.379353</v>
      </c>
      <c r="H288" s="61">
        <f t="shared" si="96"/>
        <v>12026.379353</v>
      </c>
      <c r="I288" s="67">
        <f t="shared" si="97"/>
        <v>0</v>
      </c>
      <c r="J288" s="15">
        <f t="shared" si="98"/>
        <v>944.31130679756006</v>
      </c>
      <c r="K288" s="15">
        <f t="shared" si="99"/>
        <v>0</v>
      </c>
      <c r="L288">
        <f>SUMIF(Table228[[#All],[Asset]],Table228[[#This Row],[Asset]],Table228[[#All],[Bought number]])</f>
        <v>798337.86606299994</v>
      </c>
      <c r="M288">
        <f>SUMIF(Table228[[#All],[Asset]],Table228[[#This Row],[Asset]],Table228[[#All],[Sold Number]])</f>
        <v>798338.03632399999</v>
      </c>
      <c r="N288" s="15">
        <f>SUMIF(Table228[[#All],[Asset]],Table228[[#This Row],[Asset]],Table228[[#All],[Bought amount]])</f>
        <v>24349.581039704975</v>
      </c>
      <c r="O288" s="15">
        <f>SUMIF(Table228[[#All],[Asset]],Table228[[#This Row],[Asset]],Table228[[#All],[Sold amount]])</f>
        <v>12344.863481975535</v>
      </c>
      <c r="P288" s="75">
        <f>Table228[[#This Row],[Total bought Amount]]/Table228[[#This Row],[Total bought Number]]</f>
        <v>3.0500345874591717E-2</v>
      </c>
      <c r="Q288" s="75">
        <f>IFERROR(Table228[[#This Row],[Total Sold Amount]]/Table228[[#This Row],[Total Sold Number]],0)</f>
        <v>1.5463203455541554E-2</v>
      </c>
      <c r="R288" s="21">
        <f>Table228[[#This Row],[Total bought Number]]-Table228[[#This Row],[Total Sold Number]]</f>
        <v>-0.17026100005023181</v>
      </c>
      <c r="S288" s="59">
        <f>(Table228[[#This Row],[Ave exit price]]-Table228[[#This Row],[Ave Entry price]])*Table228[[#This Row],[Total Sold Number]]</f>
        <v>-12004.72275074883</v>
      </c>
      <c r="T288" s="15">
        <f>(Table228[[#This Row],[Current Price]]-Table228[[#This Row],[Ave Entry price]])*Table228[[#This Row],[How many tokens now]]</f>
        <v>3.3201483899333983E-3</v>
      </c>
      <c r="U288" s="76">
        <f>VLOOKUP(Table228[[#This Row],[Asset]],Table26[#All],10,FALSE)</f>
        <v>1.0999999999999999E-2</v>
      </c>
    </row>
    <row r="289" spans="1:21">
      <c r="A289" t="s">
        <v>193</v>
      </c>
      <c r="B289" s="68">
        <v>45648</v>
      </c>
      <c r="C289" s="3" t="s">
        <v>180</v>
      </c>
      <c r="D289" t="s">
        <v>76</v>
      </c>
      <c r="E289" t="s">
        <v>189</v>
      </c>
      <c r="F289" s="17">
        <v>3960</v>
      </c>
      <c r="G289" s="73">
        <v>-0.5</v>
      </c>
      <c r="H289" s="61">
        <f t="shared" si="96"/>
        <v>0</v>
      </c>
      <c r="I289" s="67">
        <f t="shared" si="97"/>
        <v>0.5</v>
      </c>
      <c r="J289" s="15">
        <f t="shared" si="98"/>
        <v>0</v>
      </c>
      <c r="K289" s="15">
        <f t="shared" si="99"/>
        <v>1980</v>
      </c>
      <c r="L289">
        <f>SUMIF(Table228[[#All],[Asset]],Table228[[#This Row],[Asset]],Table228[[#All],[Bought number]])</f>
        <v>2</v>
      </c>
      <c r="M289">
        <f>SUMIF(Table228[[#All],[Asset]],Table228[[#This Row],[Asset]],Table228[[#All],[Sold Number]])</f>
        <v>1.5</v>
      </c>
      <c r="N289" s="15">
        <f>SUMIF(Table228[[#All],[Asset]],Table228[[#This Row],[Asset]],Table228[[#All],[Bought amount]])</f>
        <v>9600</v>
      </c>
      <c r="O289" s="15">
        <f>SUMIF(Table228[[#All],[Asset]],Table228[[#This Row],[Asset]],Table228[[#All],[Sold amount]])</f>
        <v>11750</v>
      </c>
      <c r="P289" s="75">
        <f>Table228[[#This Row],[Total bought Amount]]/Table228[[#This Row],[Total bought Number]]</f>
        <v>4800</v>
      </c>
      <c r="Q289" s="75">
        <f>IFERROR(Table228[[#This Row],[Total Sold Amount]]/Table228[[#This Row],[Total Sold Number]],0)</f>
        <v>7833.333333333333</v>
      </c>
      <c r="R289" s="21">
        <f>Table228[[#This Row],[Total bought Number]]-Table228[[#This Row],[Total Sold Number]]</f>
        <v>0.5</v>
      </c>
      <c r="S289" s="59">
        <f>(Table228[[#This Row],[Ave exit price]]-Table228[[#This Row],[Ave Entry price]])*Table228[[#This Row],[Total Sold Number]]</f>
        <v>4550</v>
      </c>
      <c r="T289" s="15">
        <f>(Table228[[#This Row],[Current Price]]-Table228[[#This Row],[Ave Entry price]])*Table228[[#This Row],[How many tokens now]]</f>
        <v>-210</v>
      </c>
      <c r="U289" s="76">
        <f>VLOOKUP(Table228[[#This Row],[Asset]],Table26[#All],10,FALSE)</f>
        <v>4380</v>
      </c>
    </row>
    <row r="290" spans="1:21">
      <c r="A290" t="s">
        <v>273</v>
      </c>
      <c r="B290" s="68">
        <v>45648</v>
      </c>
      <c r="C290" s="3" t="s">
        <v>176</v>
      </c>
      <c r="D290" t="s">
        <v>68</v>
      </c>
      <c r="E290" t="s">
        <v>189</v>
      </c>
      <c r="F290" s="17">
        <v>7.8520000000000006E-2</v>
      </c>
      <c r="G290" s="73">
        <v>19293.153083000001</v>
      </c>
      <c r="H290" s="61">
        <f t="shared" si="96"/>
        <v>19293.153083000001</v>
      </c>
      <c r="I290" s="67">
        <f t="shared" si="97"/>
        <v>0</v>
      </c>
      <c r="J290" s="15">
        <f t="shared" si="98"/>
        <v>1514.8983800771603</v>
      </c>
      <c r="K290" s="15">
        <f t="shared" si="99"/>
        <v>0</v>
      </c>
      <c r="L290">
        <f>SUMIF(Table228[[#All],[Asset]],Table228[[#This Row],[Asset]],Table228[[#All],[Bought number]])</f>
        <v>798337.86606299994</v>
      </c>
      <c r="M290">
        <f>SUMIF(Table228[[#All],[Asset]],Table228[[#This Row],[Asset]],Table228[[#All],[Sold Number]])</f>
        <v>798338.03632399999</v>
      </c>
      <c r="N290" s="15">
        <f>SUMIF(Table228[[#All],[Asset]],Table228[[#This Row],[Asset]],Table228[[#All],[Bought amount]])</f>
        <v>24349.581039704975</v>
      </c>
      <c r="O290" s="15">
        <f>SUMIF(Table228[[#All],[Asset]],Table228[[#This Row],[Asset]],Table228[[#All],[Sold amount]])</f>
        <v>12344.863481975535</v>
      </c>
      <c r="P290" s="75">
        <f>Table228[[#This Row],[Total bought Amount]]/Table228[[#This Row],[Total bought Number]]</f>
        <v>3.0500345874591717E-2</v>
      </c>
      <c r="Q290" s="75">
        <f>IFERROR(Table228[[#This Row],[Total Sold Amount]]/Table228[[#This Row],[Total Sold Number]],0)</f>
        <v>1.5463203455541554E-2</v>
      </c>
      <c r="R290" s="21">
        <f>Table228[[#This Row],[Total bought Number]]-Table228[[#This Row],[Total Sold Number]]</f>
        <v>-0.17026100005023181</v>
      </c>
      <c r="S290" s="59">
        <f>(Table228[[#This Row],[Ave exit price]]-Table228[[#This Row],[Ave Entry price]])*Table228[[#This Row],[Total Sold Number]]</f>
        <v>-12004.72275074883</v>
      </c>
      <c r="T290" s="15">
        <f>(Table228[[#This Row],[Current Price]]-Table228[[#This Row],[Ave Entry price]])*Table228[[#This Row],[How many tokens now]]</f>
        <v>3.3201483899333983E-3</v>
      </c>
      <c r="U290" s="76">
        <f>VLOOKUP(Table228[[#This Row],[Asset]],Table26[#All],10,FALSE)</f>
        <v>1.0999999999999999E-2</v>
      </c>
    </row>
    <row r="291" spans="1:21">
      <c r="A291" t="s">
        <v>273</v>
      </c>
      <c r="B291" s="68">
        <v>45648</v>
      </c>
      <c r="C291" s="3" t="s">
        <v>176</v>
      </c>
      <c r="D291" t="s">
        <v>68</v>
      </c>
      <c r="E291" t="s">
        <v>189</v>
      </c>
      <c r="F291" s="17">
        <v>7.8520000000000006E-2</v>
      </c>
      <c r="G291" s="73">
        <v>30644.41</v>
      </c>
      <c r="H291" s="61">
        <f t="shared" si="96"/>
        <v>30644.41</v>
      </c>
      <c r="I291" s="67">
        <f t="shared" si="97"/>
        <v>0</v>
      </c>
      <c r="J291" s="15">
        <f t="shared" si="98"/>
        <v>2406.1990732000004</v>
      </c>
      <c r="K291" s="15">
        <f t="shared" si="99"/>
        <v>0</v>
      </c>
      <c r="L291">
        <f>SUMIF(Table228[[#All],[Asset]],Table228[[#This Row],[Asset]],Table228[[#All],[Bought number]])</f>
        <v>798337.86606299994</v>
      </c>
      <c r="M291">
        <f>SUMIF(Table228[[#All],[Asset]],Table228[[#This Row],[Asset]],Table228[[#All],[Sold Number]])</f>
        <v>798338.03632399999</v>
      </c>
      <c r="N291" s="15">
        <f>SUMIF(Table228[[#All],[Asset]],Table228[[#This Row],[Asset]],Table228[[#All],[Bought amount]])</f>
        <v>24349.581039704975</v>
      </c>
      <c r="O291" s="15">
        <f>SUMIF(Table228[[#All],[Asset]],Table228[[#This Row],[Asset]],Table228[[#All],[Sold amount]])</f>
        <v>12344.863481975535</v>
      </c>
      <c r="P291" s="75">
        <f>Table228[[#This Row],[Total bought Amount]]/Table228[[#This Row],[Total bought Number]]</f>
        <v>3.0500345874591717E-2</v>
      </c>
      <c r="Q291" s="75">
        <f>IFERROR(Table228[[#This Row],[Total Sold Amount]]/Table228[[#This Row],[Total Sold Number]],0)</f>
        <v>1.5463203455541554E-2</v>
      </c>
      <c r="R291" s="21">
        <f>Table228[[#This Row],[Total bought Number]]-Table228[[#This Row],[Total Sold Number]]</f>
        <v>-0.17026100005023181</v>
      </c>
      <c r="S291" s="59">
        <f>(Table228[[#This Row],[Ave exit price]]-Table228[[#This Row],[Ave Entry price]])*Table228[[#This Row],[Total Sold Number]]</f>
        <v>-12004.72275074883</v>
      </c>
      <c r="T291" s="15">
        <f>(Table228[[#This Row],[Current Price]]-Table228[[#This Row],[Ave Entry price]])*Table228[[#This Row],[How many tokens now]]</f>
        <v>3.3201483899333983E-3</v>
      </c>
      <c r="U291" s="76">
        <f>VLOOKUP(Table228[[#This Row],[Asset]],Table26[#All],10,FALSE)</f>
        <v>1.0999999999999999E-2</v>
      </c>
    </row>
    <row r="292" spans="1:21">
      <c r="A292" t="s">
        <v>17</v>
      </c>
      <c r="B292" s="68">
        <v>45648</v>
      </c>
      <c r="C292" s="3" t="s">
        <v>180</v>
      </c>
      <c r="D292" t="s">
        <v>487</v>
      </c>
      <c r="E292" t="s">
        <v>211</v>
      </c>
      <c r="F292" s="17">
        <v>0.94</v>
      </c>
      <c r="G292" s="73">
        <v>-5000</v>
      </c>
      <c r="H292" s="61">
        <f t="shared" si="96"/>
        <v>0</v>
      </c>
      <c r="I292" s="67">
        <f t="shared" si="97"/>
        <v>5000</v>
      </c>
      <c r="J292" s="15">
        <f t="shared" si="98"/>
        <v>0</v>
      </c>
      <c r="K292" s="15">
        <f t="shared" si="99"/>
        <v>4700</v>
      </c>
      <c r="L292">
        <f>SUMIF(Table228[[#All],[Asset]],Table228[[#This Row],[Asset]],Table228[[#All],[Bought number]])</f>
        <v>10000</v>
      </c>
      <c r="M292">
        <f>SUMIF(Table228[[#All],[Asset]],Table228[[#This Row],[Asset]],Table228[[#All],[Sold Number]])</f>
        <v>10000</v>
      </c>
      <c r="N292" s="15">
        <f>SUMIF(Table228[[#All],[Asset]],Table228[[#This Row],[Asset]],Table228[[#All],[Bought amount]])</f>
        <v>4100</v>
      </c>
      <c r="O292" s="15">
        <f>SUMIF(Table228[[#All],[Asset]],Table228[[#This Row],[Asset]],Table228[[#All],[Sold amount]])</f>
        <v>7989.99</v>
      </c>
      <c r="P292" s="75">
        <f>Table228[[#This Row],[Total bought Amount]]/Table228[[#This Row],[Total bought Number]]</f>
        <v>0.41</v>
      </c>
      <c r="Q292" s="75">
        <f>IFERROR(Table228[[#This Row],[Total Sold Amount]]/Table228[[#This Row],[Total Sold Number]],0)</f>
        <v>0.79899900000000001</v>
      </c>
      <c r="R292" s="21">
        <f>Table228[[#This Row],[Total bought Number]]-Table228[[#This Row],[Total Sold Number]]</f>
        <v>0</v>
      </c>
      <c r="S292" s="59">
        <f>(Table228[[#This Row],[Ave exit price]]-Table228[[#This Row],[Ave Entry price]])*Table228[[#This Row],[Total Sold Number]]</f>
        <v>3889.9900000000002</v>
      </c>
      <c r="T292" s="15">
        <f>(Table228[[#This Row],[Current Price]]-Table228[[#This Row],[Ave Entry price]])*Table228[[#This Row],[How many tokens now]]</f>
        <v>0</v>
      </c>
      <c r="U292" s="76">
        <f>VLOOKUP(Table228[[#This Row],[Asset]],Table26[#All],10,FALSE)</f>
        <v>0.41</v>
      </c>
    </row>
    <row r="293" spans="1:21">
      <c r="A293" t="s">
        <v>291</v>
      </c>
      <c r="B293" s="68">
        <v>45648</v>
      </c>
      <c r="C293" s="3" t="s">
        <v>180</v>
      </c>
      <c r="D293" t="s">
        <v>69</v>
      </c>
      <c r="E293" t="s">
        <v>211</v>
      </c>
      <c r="F293" s="17">
        <v>9.8900000000000002E-2</v>
      </c>
      <c r="G293" s="73">
        <v>23800</v>
      </c>
      <c r="H293" s="61">
        <f t="shared" si="96"/>
        <v>23800</v>
      </c>
      <c r="I293" s="67">
        <f t="shared" si="97"/>
        <v>0</v>
      </c>
      <c r="J293" s="15">
        <f t="shared" si="98"/>
        <v>2353.8200000000002</v>
      </c>
      <c r="K293" s="15">
        <f t="shared" si="99"/>
        <v>0</v>
      </c>
      <c r="L293">
        <f>SUMIF(Table228[[#All],[Asset]],Table228[[#This Row],[Asset]],Table228[[#All],[Bought number]])</f>
        <v>56191.636100000003</v>
      </c>
      <c r="M293">
        <f>SUMIF(Table228[[#All],[Asset]],Table228[[#This Row],[Asset]],Table228[[#All],[Sold Number]])</f>
        <v>56191</v>
      </c>
      <c r="N293" s="15">
        <f>SUMIF(Table228[[#All],[Asset]],Table228[[#This Row],[Asset]],Table228[[#All],[Bought amount]])</f>
        <v>5356.8114137100001</v>
      </c>
      <c r="O293" s="15">
        <f>SUMIF(Table228[[#All],[Asset]],Table228[[#This Row],[Asset]],Table228[[#All],[Sold amount]])</f>
        <v>1466.328</v>
      </c>
      <c r="P293" s="75">
        <f>Table228[[#This Row],[Total bought Amount]]/Table228[[#This Row],[Total bought Number]]</f>
        <v>9.5331116612744432E-2</v>
      </c>
      <c r="Q293" s="75">
        <f>IFERROR(Table228[[#This Row],[Total Sold Amount]]/Table228[[#This Row],[Total Sold Number]],0)</f>
        <v>2.6095424534178072E-2</v>
      </c>
      <c r="R293" s="21">
        <f>Table228[[#This Row],[Total bought Number]]-Table228[[#This Row],[Total Sold Number]]</f>
        <v>0.63610000000335276</v>
      </c>
      <c r="S293" s="59">
        <f>(Table228[[#This Row],[Ave exit price]]-Table228[[#This Row],[Ave Entry price]])*Table228[[#This Row],[Total Sold Number]]</f>
        <v>-3890.4227735867225</v>
      </c>
      <c r="T293" s="15">
        <f>(Table228[[#This Row],[Current Price]]-Table228[[#This Row],[Ave Entry price]])*Table228[[#This Row],[How many tokens now]]</f>
        <v>-4.4737623277602542E-2</v>
      </c>
      <c r="U293" s="76">
        <f>VLOOKUP(Table228[[#This Row],[Asset]],Table26[#All],10,FALSE)</f>
        <v>2.5000000000000001E-2</v>
      </c>
    </row>
    <row r="294" spans="1:21">
      <c r="A294" t="s">
        <v>226</v>
      </c>
      <c r="B294" s="68">
        <v>45649</v>
      </c>
      <c r="C294" s="3" t="s">
        <v>176</v>
      </c>
      <c r="D294" t="s">
        <v>68</v>
      </c>
      <c r="E294" t="s">
        <v>263</v>
      </c>
      <c r="F294" s="17">
        <v>3.6200000000000003E-2</v>
      </c>
      <c r="G294" s="73">
        <v>-100000</v>
      </c>
      <c r="H294" s="61">
        <f t="shared" si="96"/>
        <v>0</v>
      </c>
      <c r="I294" s="67">
        <f t="shared" si="97"/>
        <v>100000</v>
      </c>
      <c r="J294" s="15">
        <f t="shared" si="98"/>
        <v>0</v>
      </c>
      <c r="K294" s="15">
        <f t="shared" si="99"/>
        <v>3620.0000000000005</v>
      </c>
      <c r="L294">
        <f>SUMIF(Table228[[#All],[Asset]],Table228[[#This Row],[Asset]],Table228[[#All],[Bought number]])</f>
        <v>323932.72954500001</v>
      </c>
      <c r="M294">
        <f>SUMIF(Table228[[#All],[Asset]],Table228[[#This Row],[Asset]],Table228[[#All],[Sold Number]])</f>
        <v>323932.73009199998</v>
      </c>
      <c r="N294" s="15">
        <f>SUMIF(Table228[[#All],[Asset]],Table228[[#This Row],[Asset]],Table228[[#All],[Bought amount]])</f>
        <v>15730.280778400003</v>
      </c>
      <c r="O294" s="15">
        <f>SUMIF(Table228[[#All],[Asset]],Table228[[#This Row],[Asset]],Table228[[#All],[Sold amount]])</f>
        <v>14916.766213074001</v>
      </c>
      <c r="P294" s="75">
        <f>Table228[[#This Row],[Total bought Amount]]/Table228[[#This Row],[Total bought Number]]</f>
        <v>4.8560331648163348E-2</v>
      </c>
      <c r="Q294" s="75">
        <f>IFERROR(Table228[[#This Row],[Total Sold Amount]]/Table228[[#This Row],[Total Sold Number]],0)</f>
        <v>4.6048962723950426E-2</v>
      </c>
      <c r="R294" s="21">
        <f>Table228[[#This Row],[Total bought Number]]-Table228[[#This Row],[Total Sold Number]]</f>
        <v>-5.4699997417628765E-4</v>
      </c>
      <c r="S294" s="59">
        <f>(Table228[[#This Row],[Ave exit price]]-Table228[[#This Row],[Ave Entry price]])*Table228[[#This Row],[Total Sold Number]]</f>
        <v>-813.5145918885006</v>
      </c>
      <c r="T294" s="15">
        <f>(Table228[[#This Row],[Current Price]]-Table228[[#This Row],[Ave Entry price]])*Table228[[#This Row],[How many tokens now]]</f>
        <v>-2.3737984763883032E-6</v>
      </c>
      <c r="U294" s="76">
        <f>VLOOKUP(Table228[[#This Row],[Asset]],Table26[#All],10,FALSE)</f>
        <v>5.2900000000000003E-2</v>
      </c>
    </row>
    <row r="295" spans="1:21">
      <c r="A295" t="s">
        <v>489</v>
      </c>
      <c r="B295" s="68">
        <v>45649</v>
      </c>
      <c r="C295" s="3" t="s">
        <v>176</v>
      </c>
      <c r="D295" t="s">
        <v>68</v>
      </c>
      <c r="E295" t="s">
        <v>241</v>
      </c>
      <c r="F295" s="17">
        <v>0.32219999999999999</v>
      </c>
      <c r="G295" s="73">
        <v>4523.3402420000002</v>
      </c>
      <c r="H295" s="61">
        <f t="shared" si="96"/>
        <v>4523.3402420000002</v>
      </c>
      <c r="I295" s="67">
        <f t="shared" si="97"/>
        <v>0</v>
      </c>
      <c r="J295" s="15">
        <f t="shared" si="98"/>
        <v>1457.4202259724</v>
      </c>
      <c r="K295" s="15">
        <f t="shared" si="99"/>
        <v>0</v>
      </c>
      <c r="L295">
        <f>SUMIF(Table228[[#All],[Asset]],Table228[[#This Row],[Asset]],Table228[[#All],[Bought number]])</f>
        <v>4523.3402420000002</v>
      </c>
      <c r="M295">
        <f>SUMIF(Table228[[#All],[Asset]],Table228[[#This Row],[Asset]],Table228[[#All],[Sold Number]])</f>
        <v>4523.34</v>
      </c>
      <c r="N295" s="15">
        <f>SUMIF(Table228[[#All],[Asset]],Table228[[#This Row],[Asset]],Table228[[#All],[Bought amount]])</f>
        <v>1457.4202259724</v>
      </c>
      <c r="O295" s="15">
        <f>SUMIF(Table228[[#All],[Asset]],Table228[[#This Row],[Asset]],Table228[[#All],[Sold amount]])</f>
        <v>2038.895505</v>
      </c>
      <c r="P295" s="75">
        <f>Table228[[#This Row],[Total bought Amount]]/Table228[[#This Row],[Total bought Number]]</f>
        <v>0.32219999999999999</v>
      </c>
      <c r="Q295" s="75">
        <f>IFERROR(Table228[[#This Row],[Total Sold Amount]]/Table228[[#This Row],[Total Sold Number]],0)</f>
        <v>0.45074999999999998</v>
      </c>
      <c r="R295" s="21">
        <f>Table228[[#This Row],[Total bought Number]]-Table228[[#This Row],[Total Sold Number]]</f>
        <v>2.4200000007112976E-4</v>
      </c>
      <c r="S295" s="59">
        <f>(Table228[[#This Row],[Ave exit price]]-Table228[[#This Row],[Ave Entry price]])*Table228[[#This Row],[Total Sold Number]]</f>
        <v>581.47535700000003</v>
      </c>
      <c r="T295" s="15">
        <f>(Table228[[#This Row],[Current Price]]-Table228[[#This Row],[Ave Entry price]])*Table228[[#This Row],[How many tokens now]]</f>
        <v>-6.7760000019915585E-7</v>
      </c>
      <c r="U295" s="76">
        <f>VLOOKUP(Table228[[#This Row],[Asset]],Table26[#All],10,FALSE)</f>
        <v>0.31940000000000002</v>
      </c>
    </row>
    <row r="296" spans="1:21">
      <c r="A296" t="s">
        <v>490</v>
      </c>
      <c r="B296" s="68">
        <v>45649</v>
      </c>
      <c r="C296" s="3" t="s">
        <v>176</v>
      </c>
      <c r="D296" t="s">
        <v>68</v>
      </c>
      <c r="E296" t="s">
        <v>241</v>
      </c>
      <c r="F296" s="17">
        <v>0.20599999999999999</v>
      </c>
      <c r="G296" s="73">
        <v>5260.8087999999998</v>
      </c>
      <c r="H296" s="61">
        <f t="shared" si="96"/>
        <v>5260.8087999999998</v>
      </c>
      <c r="I296" s="67">
        <f t="shared" si="97"/>
        <v>0</v>
      </c>
      <c r="J296" s="15">
        <f t="shared" si="98"/>
        <v>1083.7266127999999</v>
      </c>
      <c r="K296" s="15">
        <f t="shared" si="99"/>
        <v>0</v>
      </c>
      <c r="L296">
        <f>SUMIF(Table228[[#All],[Asset]],Table228[[#This Row],[Asset]],Table228[[#All],[Bought number]])</f>
        <v>5260.8087999999998</v>
      </c>
      <c r="M296">
        <f>SUMIF(Table228[[#All],[Asset]],Table228[[#This Row],[Asset]],Table228[[#All],[Sold Number]])</f>
        <v>5260.8087999999998</v>
      </c>
      <c r="N296" s="15">
        <f>SUMIF(Table228[[#All],[Asset]],Table228[[#This Row],[Asset]],Table228[[#All],[Bought amount]])</f>
        <v>1083.7266127999999</v>
      </c>
      <c r="O296" s="15">
        <f>SUMIF(Table228[[#All],[Asset]],Table228[[#This Row],[Asset]],Table228[[#All],[Sold amount]])</f>
        <v>1988.5857263999999</v>
      </c>
      <c r="P296" s="75">
        <f>Table228[[#This Row],[Total bought Amount]]/Table228[[#This Row],[Total bought Number]]</f>
        <v>0.20599999999999999</v>
      </c>
      <c r="Q296" s="75">
        <f>IFERROR(Table228[[#This Row],[Total Sold Amount]]/Table228[[#This Row],[Total Sold Number]],0)</f>
        <v>0.378</v>
      </c>
      <c r="R296" s="21">
        <f>Table228[[#This Row],[Total bought Number]]-Table228[[#This Row],[Total Sold Number]]</f>
        <v>0</v>
      </c>
      <c r="S296" s="59">
        <f>(Table228[[#This Row],[Ave exit price]]-Table228[[#This Row],[Ave Entry price]])*Table228[[#This Row],[Total Sold Number]]</f>
        <v>904.8591136</v>
      </c>
      <c r="T296" s="15">
        <f>(Table228[[#This Row],[Current Price]]-Table228[[#This Row],[Ave Entry price]])*Table228[[#This Row],[How many tokens now]]</f>
        <v>0</v>
      </c>
      <c r="U296" s="76">
        <f>VLOOKUP(Table228[[#This Row],[Asset]],Table26[#All],10,FALSE)</f>
        <v>0.2051</v>
      </c>
    </row>
    <row r="297" spans="1:21">
      <c r="A297" t="s">
        <v>488</v>
      </c>
      <c r="B297" s="68">
        <v>45649</v>
      </c>
      <c r="C297" s="3" t="s">
        <v>176</v>
      </c>
      <c r="D297" t="s">
        <v>68</v>
      </c>
      <c r="E297" t="s">
        <v>241</v>
      </c>
      <c r="F297" s="17">
        <v>0.64270000000000005</v>
      </c>
      <c r="G297" s="73">
        <v>1697.1462180000001</v>
      </c>
      <c r="H297" s="61">
        <f t="shared" si="96"/>
        <v>1697.1462180000001</v>
      </c>
      <c r="I297" s="67">
        <f t="shared" si="97"/>
        <v>0</v>
      </c>
      <c r="J297" s="15">
        <f t="shared" si="98"/>
        <v>1090.7558743086001</v>
      </c>
      <c r="K297" s="15">
        <f t="shared" si="99"/>
        <v>0</v>
      </c>
      <c r="L297">
        <f>SUMIF(Table228[[#All],[Asset]],Table228[[#This Row],[Asset]],Table228[[#All],[Bought number]])</f>
        <v>10732.516218000001</v>
      </c>
      <c r="M297">
        <f>SUMIF(Table228[[#All],[Asset]],Table228[[#This Row],[Asset]],Table228[[#All],[Sold Number]])</f>
        <v>10733.14</v>
      </c>
      <c r="N297" s="15">
        <f>SUMIF(Table228[[#All],[Asset]],Table228[[#This Row],[Asset]],Table228[[#All],[Bought amount]])</f>
        <v>2421.5213093886</v>
      </c>
      <c r="O297" s="15">
        <f>SUMIF(Table228[[#All],[Asset]],Table228[[#This Row],[Asset]],Table228[[#All],[Sold amount]])</f>
        <v>3936.9138400000002</v>
      </c>
      <c r="P297" s="75">
        <f>Table228[[#This Row],[Total bought Amount]]/Table228[[#This Row],[Total bought Number]]</f>
        <v>0.22562475194096182</v>
      </c>
      <c r="Q297" s="75">
        <f>IFERROR(Table228[[#This Row],[Total Sold Amount]]/Table228[[#This Row],[Total Sold Number]],0)</f>
        <v>0.36679982186014537</v>
      </c>
      <c r="R297" s="21">
        <f>Table228[[#This Row],[Total bought Number]]-Table228[[#This Row],[Total Sold Number]]</f>
        <v>-0.62378199999875505</v>
      </c>
      <c r="S297" s="59">
        <f>(Table228[[#This Row],[Ave exit price]]-Table228[[#This Row],[Ave Entry price]])*Table228[[#This Row],[Total Sold Number]]</f>
        <v>1515.2517899523857</v>
      </c>
      <c r="T297" s="15">
        <f>(Table228[[#This Row],[Current Price]]-Table228[[#This Row],[Ave Entry price]])*Table228[[#This Row],[How many tokens now]]</f>
        <v>-6.5107400984633024E-2</v>
      </c>
      <c r="U297" s="76">
        <f>VLOOKUP(Table228[[#This Row],[Asset]],Table26[#All],10,FALSE)</f>
        <v>0.33</v>
      </c>
    </row>
    <row r="298" spans="1:21">
      <c r="A298" t="s">
        <v>224</v>
      </c>
      <c r="B298" s="68">
        <v>45652</v>
      </c>
      <c r="C298" s="3" t="s">
        <v>176</v>
      </c>
      <c r="D298" t="s">
        <v>68</v>
      </c>
      <c r="E298" t="s">
        <v>270</v>
      </c>
      <c r="F298" s="17">
        <v>4.1900000000000004</v>
      </c>
      <c r="G298" s="73">
        <v>-614.5</v>
      </c>
      <c r="H298" s="61">
        <f t="shared" si="96"/>
        <v>0</v>
      </c>
      <c r="I298" s="67">
        <f t="shared" si="97"/>
        <v>614.5</v>
      </c>
      <c r="J298" s="15">
        <f t="shared" si="98"/>
        <v>0</v>
      </c>
      <c r="K298" s="15">
        <f t="shared" si="99"/>
        <v>2574.7550000000001</v>
      </c>
      <c r="L298">
        <f>SUMIF(Table228[[#All],[Asset]],Table228[[#This Row],[Asset]],Table228[[#All],[Bought number]])</f>
        <v>2402.9751590000001</v>
      </c>
      <c r="M298">
        <f>SUMIF(Table228[[#All],[Asset]],Table228[[#This Row],[Asset]],Table228[[#All],[Sold Number]])</f>
        <v>2835</v>
      </c>
      <c r="N298" s="15">
        <f>SUMIF(Table228[[#All],[Asset]],Table228[[#This Row],[Asset]],Table228[[#All],[Bought amount]])</f>
        <v>5880.0437616144482</v>
      </c>
      <c r="O298" s="15">
        <f>SUMIF(Table228[[#All],[Asset]],Table228[[#This Row],[Asset]],Table228[[#All],[Sold amount]])</f>
        <v>11475.592000000001</v>
      </c>
      <c r="P298" s="75">
        <f>Table228[[#This Row],[Total bought Amount]]/Table228[[#This Row],[Total bought Number]]</f>
        <v>2.4469848302807393</v>
      </c>
      <c r="Q298" s="75">
        <f>IFERROR(Table228[[#This Row],[Total Sold Amount]]/Table228[[#This Row],[Total Sold Number]],0)</f>
        <v>4.0478278659611995</v>
      </c>
      <c r="R298" s="21">
        <f>Table228[[#This Row],[Total bought Number]]-Table228[[#This Row],[Total Sold Number]]</f>
        <v>-432.02484099999992</v>
      </c>
      <c r="S298" s="59">
        <f>(Table228[[#This Row],[Ave exit price]]-Table228[[#This Row],[Ave Entry price]])*Table228[[#This Row],[Total Sold Number]]</f>
        <v>4538.3900061541044</v>
      </c>
      <c r="T298" s="15">
        <f>(Table228[[#This Row],[Current Price]]-Table228[[#This Row],[Ave Entry price]])*Table228[[#This Row],[How many tokens now]]</f>
        <v>-403.08573034855146</v>
      </c>
      <c r="U298" s="76">
        <f>VLOOKUP(Table228[[#This Row],[Asset]],Table26[#All],10,FALSE)</f>
        <v>3.38</v>
      </c>
    </row>
    <row r="299" spans="1:21">
      <c r="A299" t="s">
        <v>273</v>
      </c>
      <c r="B299" s="68">
        <v>45652</v>
      </c>
      <c r="C299" s="3" t="s">
        <v>176</v>
      </c>
      <c r="D299" t="s">
        <v>68</v>
      </c>
      <c r="E299" t="s">
        <v>270</v>
      </c>
      <c r="F299" s="17">
        <v>5.8099999999999999E-2</v>
      </c>
      <c r="G299" s="73">
        <v>43949.131848999998</v>
      </c>
      <c r="H299" s="61">
        <f t="shared" si="96"/>
        <v>43949.131848999998</v>
      </c>
      <c r="I299" s="67">
        <f t="shared" si="97"/>
        <v>0</v>
      </c>
      <c r="J299" s="15">
        <f t="shared" si="98"/>
        <v>2553.4445604268999</v>
      </c>
      <c r="K299" s="15">
        <f t="shared" si="99"/>
        <v>0</v>
      </c>
      <c r="L299">
        <f>SUMIF(Table228[[#All],[Asset]],Table228[[#This Row],[Asset]],Table228[[#All],[Bought number]])</f>
        <v>798337.86606299994</v>
      </c>
      <c r="M299">
        <f>SUMIF(Table228[[#All],[Asset]],Table228[[#This Row],[Asset]],Table228[[#All],[Sold Number]])</f>
        <v>798338.03632399999</v>
      </c>
      <c r="N299" s="15">
        <f>SUMIF(Table228[[#All],[Asset]],Table228[[#This Row],[Asset]],Table228[[#All],[Bought amount]])</f>
        <v>24349.581039704975</v>
      </c>
      <c r="O299" s="15">
        <f>SUMIF(Table228[[#All],[Asset]],Table228[[#This Row],[Asset]],Table228[[#All],[Sold amount]])</f>
        <v>12344.863481975535</v>
      </c>
      <c r="P299" s="75">
        <f>Table228[[#This Row],[Total bought Amount]]/Table228[[#This Row],[Total bought Number]]</f>
        <v>3.0500345874591717E-2</v>
      </c>
      <c r="Q299" s="75">
        <f>IFERROR(Table228[[#This Row],[Total Sold Amount]]/Table228[[#This Row],[Total Sold Number]],0)</f>
        <v>1.5463203455541554E-2</v>
      </c>
      <c r="R299" s="21">
        <f>Table228[[#This Row],[Total bought Number]]-Table228[[#This Row],[Total Sold Number]]</f>
        <v>-0.17026100005023181</v>
      </c>
      <c r="S299" s="59">
        <f>(Table228[[#This Row],[Ave exit price]]-Table228[[#This Row],[Ave Entry price]])*Table228[[#This Row],[Total Sold Number]]</f>
        <v>-12004.72275074883</v>
      </c>
      <c r="T299" s="15">
        <f>(Table228[[#This Row],[Current Price]]-Table228[[#This Row],[Ave Entry price]])*Table228[[#This Row],[How many tokens now]]</f>
        <v>3.3201483899333983E-3</v>
      </c>
      <c r="U299" s="76">
        <f>VLOOKUP(Table228[[#This Row],[Asset]],Table26[#All],10,FALSE)</f>
        <v>1.0999999999999999E-2</v>
      </c>
    </row>
    <row r="300" spans="1:21">
      <c r="A300" t="s">
        <v>224</v>
      </c>
      <c r="B300" s="68">
        <v>45652</v>
      </c>
      <c r="C300" s="3" t="s">
        <v>176</v>
      </c>
      <c r="D300" t="s">
        <v>68</v>
      </c>
      <c r="E300" t="s">
        <v>270</v>
      </c>
      <c r="F300" s="17">
        <v>4.1900000000000004</v>
      </c>
      <c r="G300" s="73">
        <v>-614.5</v>
      </c>
      <c r="H300" s="61">
        <f t="shared" si="96"/>
        <v>0</v>
      </c>
      <c r="I300" s="67">
        <f t="shared" si="97"/>
        <v>614.5</v>
      </c>
      <c r="J300" s="15">
        <f t="shared" si="98"/>
        <v>0</v>
      </c>
      <c r="K300" s="15">
        <f t="shared" si="99"/>
        <v>2574.7550000000001</v>
      </c>
      <c r="L300">
        <f>SUMIF(Table228[[#All],[Asset]],Table228[[#This Row],[Asset]],Table228[[#All],[Bought number]])</f>
        <v>2402.9751590000001</v>
      </c>
      <c r="M300">
        <f>SUMIF(Table228[[#All],[Asset]],Table228[[#This Row],[Asset]],Table228[[#All],[Sold Number]])</f>
        <v>2835</v>
      </c>
      <c r="N300" s="15">
        <f>SUMIF(Table228[[#All],[Asset]],Table228[[#This Row],[Asset]],Table228[[#All],[Bought amount]])</f>
        <v>5880.0437616144482</v>
      </c>
      <c r="O300" s="15">
        <f>SUMIF(Table228[[#All],[Asset]],Table228[[#This Row],[Asset]],Table228[[#All],[Sold amount]])</f>
        <v>11475.592000000001</v>
      </c>
      <c r="P300" s="75">
        <f>Table228[[#This Row],[Total bought Amount]]/Table228[[#This Row],[Total bought Number]]</f>
        <v>2.4469848302807393</v>
      </c>
      <c r="Q300" s="75">
        <f>IFERROR(Table228[[#This Row],[Total Sold Amount]]/Table228[[#This Row],[Total Sold Number]],0)</f>
        <v>4.0478278659611995</v>
      </c>
      <c r="R300" s="21">
        <f>Table228[[#This Row],[Total bought Number]]-Table228[[#This Row],[Total Sold Number]]</f>
        <v>-432.02484099999992</v>
      </c>
      <c r="S300" s="59">
        <f>(Table228[[#This Row],[Ave exit price]]-Table228[[#This Row],[Ave Entry price]])*Table228[[#This Row],[Total Sold Number]]</f>
        <v>4538.3900061541044</v>
      </c>
      <c r="T300" s="15">
        <f>(Table228[[#This Row],[Current Price]]-Table228[[#This Row],[Ave Entry price]])*Table228[[#This Row],[How many tokens now]]</f>
        <v>-403.08573034855146</v>
      </c>
      <c r="U300" s="76">
        <f>VLOOKUP(Table228[[#This Row],[Asset]],Table26[#All],10,FALSE)</f>
        <v>3.38</v>
      </c>
    </row>
    <row r="301" spans="1:21">
      <c r="A301" t="s">
        <v>490</v>
      </c>
      <c r="B301" s="68">
        <v>45657</v>
      </c>
      <c r="C301" s="3" t="s">
        <v>176</v>
      </c>
      <c r="D301" t="s">
        <v>68</v>
      </c>
      <c r="E301" t="s">
        <v>241</v>
      </c>
      <c r="F301" s="17">
        <v>0.378</v>
      </c>
      <c r="G301" s="73">
        <v>-5260.8087999999998</v>
      </c>
      <c r="H301" s="61">
        <f t="shared" si="96"/>
        <v>0</v>
      </c>
      <c r="I301" s="67">
        <f t="shared" si="97"/>
        <v>5260.8087999999998</v>
      </c>
      <c r="J301" s="15">
        <f t="shared" si="98"/>
        <v>0</v>
      </c>
      <c r="K301" s="15">
        <f t="shared" si="99"/>
        <v>1988.5857263999999</v>
      </c>
      <c r="L301">
        <f>SUMIF(Table228[[#All],[Asset]],Table228[[#This Row],[Asset]],Table228[[#All],[Bought number]])</f>
        <v>5260.8087999999998</v>
      </c>
      <c r="M301">
        <f>SUMIF(Table228[[#All],[Asset]],Table228[[#This Row],[Asset]],Table228[[#All],[Sold Number]])</f>
        <v>5260.8087999999998</v>
      </c>
      <c r="N301" s="15">
        <f>SUMIF(Table228[[#All],[Asset]],Table228[[#This Row],[Asset]],Table228[[#All],[Bought amount]])</f>
        <v>1083.7266127999999</v>
      </c>
      <c r="O301" s="15">
        <f>SUMIF(Table228[[#All],[Asset]],Table228[[#This Row],[Asset]],Table228[[#All],[Sold amount]])</f>
        <v>1988.5857263999999</v>
      </c>
      <c r="P301" s="75">
        <f>Table228[[#This Row],[Total bought Amount]]/Table228[[#This Row],[Total bought Number]]</f>
        <v>0.20599999999999999</v>
      </c>
      <c r="Q301" s="75">
        <f>IFERROR(Table228[[#This Row],[Total Sold Amount]]/Table228[[#This Row],[Total Sold Number]],0)</f>
        <v>0.378</v>
      </c>
      <c r="R301" s="21">
        <f>Table228[[#This Row],[Total bought Number]]-Table228[[#This Row],[Total Sold Number]]</f>
        <v>0</v>
      </c>
      <c r="S301" s="59">
        <f>(Table228[[#This Row],[Ave exit price]]-Table228[[#This Row],[Ave Entry price]])*Table228[[#This Row],[Total Sold Number]]</f>
        <v>904.8591136</v>
      </c>
      <c r="T301" s="15">
        <f>(Table228[[#This Row],[Current Price]]-Table228[[#This Row],[Ave Entry price]])*Table228[[#This Row],[How many tokens now]]</f>
        <v>0</v>
      </c>
      <c r="U301" s="76">
        <f>VLOOKUP(Table228[[#This Row],[Asset]],Table26[#All],10,FALSE)</f>
        <v>0.2051</v>
      </c>
    </row>
    <row r="302" spans="1:21">
      <c r="A302" t="s">
        <v>480</v>
      </c>
      <c r="B302" s="68">
        <v>45657</v>
      </c>
      <c r="C302" s="3" t="s">
        <v>176</v>
      </c>
      <c r="D302" t="s">
        <v>68</v>
      </c>
      <c r="E302" t="s">
        <v>248</v>
      </c>
      <c r="F302" s="17">
        <v>1.6999999999999999E-3</v>
      </c>
      <c r="G302" s="73">
        <v>-1000000</v>
      </c>
      <c r="H302" s="61">
        <f t="shared" si="96"/>
        <v>0</v>
      </c>
      <c r="I302" s="67">
        <f t="shared" si="97"/>
        <v>1000000</v>
      </c>
      <c r="J302" s="15">
        <f t="shared" si="98"/>
        <v>0</v>
      </c>
      <c r="K302" s="15">
        <f t="shared" si="99"/>
        <v>1700</v>
      </c>
      <c r="L302">
        <f>SUMIF(Table228[[#All],[Asset]],Table228[[#This Row],[Asset]],Table228[[#All],[Bought number]])</f>
        <v>2144769.87498867</v>
      </c>
      <c r="M302">
        <f>SUMIF(Table228[[#All],[Asset]],Table228[[#This Row],[Asset]],Table228[[#All],[Sold Number]])</f>
        <v>2209870.0199000002</v>
      </c>
      <c r="N302" s="15">
        <f>SUMIF(Table228[[#All],[Asset]],Table228[[#This Row],[Asset]],Table228[[#All],[Bought amount]])</f>
        <v>4762.1959512301728</v>
      </c>
      <c r="O302" s="15">
        <f>SUMIF(Table228[[#All],[Asset]],Table228[[#This Row],[Asset]],Table228[[#All],[Sold amount]])</f>
        <v>6978.8960604900003</v>
      </c>
      <c r="P302" s="75">
        <f>Table228[[#This Row],[Total bought Amount]]/Table228[[#This Row],[Total bought Number]]</f>
        <v>2.2203761843005787E-3</v>
      </c>
      <c r="Q302" s="75">
        <f>IFERROR(Table228[[#This Row],[Total Sold Amount]]/Table228[[#This Row],[Total Sold Number]],0)</f>
        <v>3.1580572602210358E-3</v>
      </c>
      <c r="R302" s="21">
        <f>Table228[[#This Row],[Total bought Number]]-Table228[[#This Row],[Total Sold Number]]</f>
        <v>-65100.144911330193</v>
      </c>
      <c r="S302" s="59">
        <f>(Table228[[#This Row],[Ave exit price]]-Table228[[#This Row],[Ave Entry price]])*Table228[[#This Row],[Total Sold Number]]</f>
        <v>2072.153297904194</v>
      </c>
      <c r="T302" s="15">
        <f>(Table228[[#This Row],[Current Price]]-Table228[[#This Row],[Ave Entry price]])*Table228[[#This Row],[How many tokens now]]</f>
        <v>28.017551964353032</v>
      </c>
      <c r="U302" s="76">
        <f>VLOOKUP(Table228[[#This Row],[Asset]],Table26[#All],10,FALSE)</f>
        <v>1.7899999999999999E-3</v>
      </c>
    </row>
    <row r="303" spans="1:21">
      <c r="A303" t="s">
        <v>489</v>
      </c>
      <c r="B303" s="68">
        <v>45657</v>
      </c>
      <c r="C303" s="3" t="s">
        <v>176</v>
      </c>
      <c r="D303" t="s">
        <v>68</v>
      </c>
      <c r="E303" t="s">
        <v>241</v>
      </c>
      <c r="F303" s="17">
        <v>0.68720000000000003</v>
      </c>
      <c r="G303" s="73">
        <v>-2261.67</v>
      </c>
      <c r="H303" s="61">
        <f t="shared" si="96"/>
        <v>0</v>
      </c>
      <c r="I303" s="67">
        <f t="shared" si="97"/>
        <v>2261.67</v>
      </c>
      <c r="J303" s="15">
        <f t="shared" si="98"/>
        <v>0</v>
      </c>
      <c r="K303" s="15">
        <f t="shared" si="99"/>
        <v>1554.2196240000001</v>
      </c>
      <c r="L303">
        <f>SUMIF(Table228[[#All],[Asset]],Table228[[#This Row],[Asset]],Table228[[#All],[Bought number]])</f>
        <v>4523.3402420000002</v>
      </c>
      <c r="M303">
        <f>SUMIF(Table228[[#All],[Asset]],Table228[[#This Row],[Asset]],Table228[[#All],[Sold Number]])</f>
        <v>4523.34</v>
      </c>
      <c r="N303" s="15">
        <f>SUMIF(Table228[[#All],[Asset]],Table228[[#This Row],[Asset]],Table228[[#All],[Bought amount]])</f>
        <v>1457.4202259724</v>
      </c>
      <c r="O303" s="15">
        <f>SUMIF(Table228[[#All],[Asset]],Table228[[#This Row],[Asset]],Table228[[#All],[Sold amount]])</f>
        <v>2038.895505</v>
      </c>
      <c r="P303" s="75">
        <f>Table228[[#This Row],[Total bought Amount]]/Table228[[#This Row],[Total bought Number]]</f>
        <v>0.32219999999999999</v>
      </c>
      <c r="Q303" s="75">
        <f>IFERROR(Table228[[#This Row],[Total Sold Amount]]/Table228[[#This Row],[Total Sold Number]],0)</f>
        <v>0.45074999999999998</v>
      </c>
      <c r="R303" s="21">
        <f>Table228[[#This Row],[Total bought Number]]-Table228[[#This Row],[Total Sold Number]]</f>
        <v>2.4200000007112976E-4</v>
      </c>
      <c r="S303" s="59">
        <f>(Table228[[#This Row],[Ave exit price]]-Table228[[#This Row],[Ave Entry price]])*Table228[[#This Row],[Total Sold Number]]</f>
        <v>581.47535700000003</v>
      </c>
      <c r="T303" s="15">
        <f>(Table228[[#This Row],[Current Price]]-Table228[[#This Row],[Ave Entry price]])*Table228[[#This Row],[How many tokens now]]</f>
        <v>-6.7760000019915585E-7</v>
      </c>
      <c r="U303" s="76">
        <f>VLOOKUP(Table228[[#This Row],[Asset]],Table26[#All],10,FALSE)</f>
        <v>0.31940000000000002</v>
      </c>
    </row>
    <row r="304" spans="1:21">
      <c r="A304" t="s">
        <v>273</v>
      </c>
      <c r="B304" s="68">
        <v>45657</v>
      </c>
      <c r="C304" s="3" t="s">
        <v>176</v>
      </c>
      <c r="D304" t="s">
        <v>68</v>
      </c>
      <c r="E304" t="s">
        <v>241</v>
      </c>
      <c r="F304" s="17">
        <v>7.0099999999999996E-2</v>
      </c>
      <c r="G304" s="73">
        <v>50447.2981</v>
      </c>
      <c r="H304" s="61">
        <f t="shared" si="96"/>
        <v>50447.2981</v>
      </c>
      <c r="I304" s="67">
        <f t="shared" si="97"/>
        <v>0</v>
      </c>
      <c r="J304" s="15">
        <f t="shared" si="98"/>
        <v>3536.35559681</v>
      </c>
      <c r="K304" s="15">
        <f t="shared" si="99"/>
        <v>0</v>
      </c>
      <c r="L304">
        <f>SUMIF(Table228[[#All],[Asset]],Table228[[#This Row],[Asset]],Table228[[#All],[Bought number]])</f>
        <v>798337.86606299994</v>
      </c>
      <c r="M304">
        <f>SUMIF(Table228[[#All],[Asset]],Table228[[#This Row],[Asset]],Table228[[#All],[Sold Number]])</f>
        <v>798338.03632399999</v>
      </c>
      <c r="N304" s="15">
        <f>SUMIF(Table228[[#All],[Asset]],Table228[[#This Row],[Asset]],Table228[[#All],[Bought amount]])</f>
        <v>24349.581039704975</v>
      </c>
      <c r="O304" s="15">
        <f>SUMIF(Table228[[#All],[Asset]],Table228[[#This Row],[Asset]],Table228[[#All],[Sold amount]])</f>
        <v>12344.863481975535</v>
      </c>
      <c r="P304" s="75">
        <f>Table228[[#This Row],[Total bought Amount]]/Table228[[#This Row],[Total bought Number]]</f>
        <v>3.0500345874591717E-2</v>
      </c>
      <c r="Q304" s="75">
        <f>IFERROR(Table228[[#This Row],[Total Sold Amount]]/Table228[[#This Row],[Total Sold Number]],0)</f>
        <v>1.5463203455541554E-2</v>
      </c>
      <c r="R304" s="21">
        <f>Table228[[#This Row],[Total bought Number]]-Table228[[#This Row],[Total Sold Number]]</f>
        <v>-0.17026100005023181</v>
      </c>
      <c r="S304" s="59">
        <f>(Table228[[#This Row],[Ave exit price]]-Table228[[#This Row],[Ave Entry price]])*Table228[[#This Row],[Total Sold Number]]</f>
        <v>-12004.72275074883</v>
      </c>
      <c r="T304" s="15">
        <f>(Table228[[#This Row],[Current Price]]-Table228[[#This Row],[Ave Entry price]])*Table228[[#This Row],[How many tokens now]]</f>
        <v>3.3201483899333983E-3</v>
      </c>
      <c r="U304" s="76">
        <f>VLOOKUP(Table228[[#This Row],[Asset]],Table26[#All],10,FALSE)</f>
        <v>1.0999999999999999E-2</v>
      </c>
    </row>
    <row r="305" spans="1:21">
      <c r="A305" t="s">
        <v>64</v>
      </c>
      <c r="B305" s="68">
        <v>45657</v>
      </c>
      <c r="C305" s="3" t="s">
        <v>176</v>
      </c>
      <c r="D305" t="s">
        <v>68</v>
      </c>
      <c r="E305" t="s">
        <v>248</v>
      </c>
      <c r="F305" s="17">
        <v>6.14</v>
      </c>
      <c r="G305" s="73">
        <v>-36.558329999999998</v>
      </c>
      <c r="H305" s="61">
        <f t="shared" si="96"/>
        <v>0</v>
      </c>
      <c r="I305" s="67">
        <f t="shared" si="97"/>
        <v>36.558329999999998</v>
      </c>
      <c r="J305" s="15">
        <f t="shared" si="98"/>
        <v>0</v>
      </c>
      <c r="K305" s="15">
        <f t="shared" si="99"/>
        <v>224.46814619999998</v>
      </c>
      <c r="L305">
        <f>SUMIF(Table228[[#All],[Asset]],Table228[[#This Row],[Asset]],Table228[[#All],[Bought number]])</f>
        <v>36.54</v>
      </c>
      <c r="M305">
        <f>SUMIF(Table228[[#All],[Asset]],Table228[[#This Row],[Asset]],Table228[[#All],[Sold Number]])</f>
        <v>36.558329999999998</v>
      </c>
      <c r="N305" s="15">
        <f>SUMIF(Table228[[#All],[Asset]],Table228[[#This Row],[Asset]],Table228[[#All],[Bought amount]])</f>
        <v>249.93359999999998</v>
      </c>
      <c r="O305" s="15">
        <f>SUMIF(Table228[[#All],[Asset]],Table228[[#This Row],[Asset]],Table228[[#All],[Sold amount]])</f>
        <v>224.46814619999998</v>
      </c>
      <c r="P305" s="75">
        <f>Table228[[#This Row],[Total bought Amount]]/Table228[[#This Row],[Total bought Number]]</f>
        <v>6.84</v>
      </c>
      <c r="Q305" s="75">
        <f>IFERROR(Table228[[#This Row],[Total Sold Amount]]/Table228[[#This Row],[Total Sold Number]],0)</f>
        <v>6.14</v>
      </c>
      <c r="R305" s="21">
        <f>Table228[[#This Row],[Total bought Number]]-Table228[[#This Row],[Total Sold Number]]</f>
        <v>-1.8329999999998847E-2</v>
      </c>
      <c r="S305" s="59">
        <f>(Table228[[#This Row],[Ave exit price]]-Table228[[#This Row],[Ave Entry price]])*Table228[[#This Row],[Total Sold Number]]</f>
        <v>-25.590831000000005</v>
      </c>
      <c r="T305" s="15">
        <f>(Table228[[#This Row],[Current Price]]-Table228[[#This Row],[Ave Entry price]])*Table228[[#This Row],[How many tokens now]]</f>
        <v>2.1812699999998585E-3</v>
      </c>
      <c r="U305" s="76">
        <f>VLOOKUP(Table228[[#This Row],[Asset]],Table26[#All],10,FALSE)</f>
        <v>6.7210000000000001</v>
      </c>
    </row>
    <row r="306" spans="1:21">
      <c r="A306" t="s">
        <v>480</v>
      </c>
      <c r="B306" s="68">
        <v>45657</v>
      </c>
      <c r="C306" s="3" t="s">
        <v>176</v>
      </c>
      <c r="D306" t="s">
        <v>68</v>
      </c>
      <c r="E306" t="s">
        <v>248</v>
      </c>
      <c r="F306" s="17">
        <v>1.6999999999999999E-3</v>
      </c>
      <c r="G306" s="73">
        <v>-500000</v>
      </c>
      <c r="H306" s="61">
        <f t="shared" si="96"/>
        <v>0</v>
      </c>
      <c r="I306" s="67">
        <f t="shared" si="97"/>
        <v>500000</v>
      </c>
      <c r="J306" s="15">
        <f t="shared" si="98"/>
        <v>0</v>
      </c>
      <c r="K306" s="15">
        <f t="shared" si="99"/>
        <v>850</v>
      </c>
      <c r="L306">
        <f>SUMIF(Table228[[#All],[Asset]],Table228[[#This Row],[Asset]],Table228[[#All],[Bought number]])</f>
        <v>2144769.87498867</v>
      </c>
      <c r="M306">
        <f>SUMIF(Table228[[#All],[Asset]],Table228[[#This Row],[Asset]],Table228[[#All],[Sold Number]])</f>
        <v>2209870.0199000002</v>
      </c>
      <c r="N306" s="15">
        <f>SUMIF(Table228[[#All],[Asset]],Table228[[#This Row],[Asset]],Table228[[#All],[Bought amount]])</f>
        <v>4762.1959512301728</v>
      </c>
      <c r="O306" s="15">
        <f>SUMIF(Table228[[#All],[Asset]],Table228[[#This Row],[Asset]],Table228[[#All],[Sold amount]])</f>
        <v>6978.8960604900003</v>
      </c>
      <c r="P306" s="75">
        <f>Table228[[#This Row],[Total bought Amount]]/Table228[[#This Row],[Total bought Number]]</f>
        <v>2.2203761843005787E-3</v>
      </c>
      <c r="Q306" s="75">
        <f>IFERROR(Table228[[#This Row],[Total Sold Amount]]/Table228[[#This Row],[Total Sold Number]],0)</f>
        <v>3.1580572602210358E-3</v>
      </c>
      <c r="R306" s="21">
        <f>Table228[[#This Row],[Total bought Number]]-Table228[[#This Row],[Total Sold Number]]</f>
        <v>-65100.144911330193</v>
      </c>
      <c r="S306" s="59">
        <f>(Table228[[#This Row],[Ave exit price]]-Table228[[#This Row],[Ave Entry price]])*Table228[[#This Row],[Total Sold Number]]</f>
        <v>2072.153297904194</v>
      </c>
      <c r="T306" s="15">
        <f>(Table228[[#This Row],[Current Price]]-Table228[[#This Row],[Ave Entry price]])*Table228[[#This Row],[How many tokens now]]</f>
        <v>28.017551964353032</v>
      </c>
      <c r="U306" s="76">
        <f>VLOOKUP(Table228[[#This Row],[Asset]],Table26[#All],10,FALSE)</f>
        <v>1.7899999999999999E-3</v>
      </c>
    </row>
    <row r="307" spans="1:21">
      <c r="A307" t="s">
        <v>273</v>
      </c>
      <c r="B307" s="68">
        <v>45657</v>
      </c>
      <c r="C307" s="3" t="s">
        <v>176</v>
      </c>
      <c r="D307" t="s">
        <v>68</v>
      </c>
      <c r="E307" t="s">
        <v>248</v>
      </c>
      <c r="F307" s="17">
        <v>7.0099999999999996E-2</v>
      </c>
      <c r="G307" s="73">
        <v>14200</v>
      </c>
      <c r="H307" s="61">
        <f t="shared" si="96"/>
        <v>14200</v>
      </c>
      <c r="I307" s="67">
        <f t="shared" si="97"/>
        <v>0</v>
      </c>
      <c r="J307" s="15">
        <f t="shared" si="98"/>
        <v>995.42</v>
      </c>
      <c r="K307" s="15">
        <f t="shared" si="99"/>
        <v>0</v>
      </c>
      <c r="L307">
        <f>SUMIF(Table228[[#All],[Asset]],Table228[[#This Row],[Asset]],Table228[[#All],[Bought number]])</f>
        <v>798337.86606299994</v>
      </c>
      <c r="M307">
        <f>SUMIF(Table228[[#All],[Asset]],Table228[[#This Row],[Asset]],Table228[[#All],[Sold Number]])</f>
        <v>798338.03632399999</v>
      </c>
      <c r="N307" s="15">
        <f>SUMIF(Table228[[#All],[Asset]],Table228[[#This Row],[Asset]],Table228[[#All],[Bought amount]])</f>
        <v>24349.581039704975</v>
      </c>
      <c r="O307" s="15">
        <f>SUMIF(Table228[[#All],[Asset]],Table228[[#This Row],[Asset]],Table228[[#All],[Sold amount]])</f>
        <v>12344.863481975535</v>
      </c>
      <c r="P307" s="75">
        <f>Table228[[#This Row],[Total bought Amount]]/Table228[[#This Row],[Total bought Number]]</f>
        <v>3.0500345874591717E-2</v>
      </c>
      <c r="Q307" s="75">
        <f>IFERROR(Table228[[#This Row],[Total Sold Amount]]/Table228[[#This Row],[Total Sold Number]],0)</f>
        <v>1.5463203455541554E-2</v>
      </c>
      <c r="R307" s="21">
        <f>Table228[[#This Row],[Total bought Number]]-Table228[[#This Row],[Total Sold Number]]</f>
        <v>-0.17026100005023181</v>
      </c>
      <c r="S307" s="59">
        <f>(Table228[[#This Row],[Ave exit price]]-Table228[[#This Row],[Ave Entry price]])*Table228[[#This Row],[Total Sold Number]]</f>
        <v>-12004.72275074883</v>
      </c>
      <c r="T307" s="15">
        <f>(Table228[[#This Row],[Current Price]]-Table228[[#This Row],[Ave Entry price]])*Table228[[#This Row],[How many tokens now]]</f>
        <v>3.3201483899333983E-3</v>
      </c>
      <c r="U307" s="76">
        <f>VLOOKUP(Table228[[#This Row],[Asset]],Table26[#All],10,FALSE)</f>
        <v>1.0999999999999999E-2</v>
      </c>
    </row>
    <row r="308" spans="1:21">
      <c r="A308" t="s">
        <v>493</v>
      </c>
      <c r="B308" s="68">
        <v>45657</v>
      </c>
      <c r="C308" s="3" t="s">
        <v>180</v>
      </c>
      <c r="D308" t="s">
        <v>494</v>
      </c>
      <c r="E308" t="s">
        <v>285</v>
      </c>
      <c r="F308" s="17">
        <v>3.1642000000000001</v>
      </c>
      <c r="G308" s="73">
        <v>189.15</v>
      </c>
      <c r="H308" s="61">
        <f t="shared" si="96"/>
        <v>189.15</v>
      </c>
      <c r="I308" s="67">
        <f t="shared" si="97"/>
        <v>0</v>
      </c>
      <c r="J308" s="15">
        <f t="shared" si="98"/>
        <v>598.50843000000009</v>
      </c>
      <c r="K308" s="15">
        <f t="shared" si="99"/>
        <v>0</v>
      </c>
      <c r="L308">
        <f>SUMIF(Table228[[#All],[Asset]],Table228[[#This Row],[Asset]],Table228[[#All],[Bought number]])</f>
        <v>579.33000000000004</v>
      </c>
      <c r="M308">
        <f>SUMIF(Table228[[#All],[Asset]],Table228[[#This Row],[Asset]],Table228[[#All],[Sold Number]])</f>
        <v>579.33000000000004</v>
      </c>
      <c r="N308" s="15">
        <f>SUMIF(Table228[[#All],[Asset]],Table228[[#This Row],[Asset]],Table228[[#All],[Bought amount]])</f>
        <v>2065.5852300000001</v>
      </c>
      <c r="O308" s="15">
        <f>SUMIF(Table228[[#All],[Asset]],Table228[[#This Row],[Asset]],Table228[[#All],[Sold amount]])</f>
        <v>660.43619999999999</v>
      </c>
      <c r="P308" s="75">
        <f>Table228[[#This Row],[Total bought Amount]]/Table228[[#This Row],[Total bought Number]]</f>
        <v>3.5654725803945939</v>
      </c>
      <c r="Q308" s="75">
        <f>IFERROR(Table228[[#This Row],[Total Sold Amount]]/Table228[[#This Row],[Total Sold Number]],0)</f>
        <v>1.1399999999999999</v>
      </c>
      <c r="R308" s="21">
        <f>Table228[[#This Row],[Total bought Number]]-Table228[[#This Row],[Total Sold Number]]</f>
        <v>0</v>
      </c>
      <c r="S308" s="59">
        <f>(Table228[[#This Row],[Ave exit price]]-Table228[[#This Row],[Ave Entry price]])*Table228[[#This Row],[Total Sold Number]]</f>
        <v>-1405.14903</v>
      </c>
      <c r="T308" s="15">
        <f>(Table228[[#This Row],[Current Price]]-Table228[[#This Row],[Ave Entry price]])*Table228[[#This Row],[How many tokens now]]</f>
        <v>0</v>
      </c>
      <c r="U308" s="76">
        <f>VLOOKUP(Table228[[#This Row],[Asset]],Table26[#All],10,FALSE)</f>
        <v>3.14</v>
      </c>
    </row>
    <row r="309" spans="1:21">
      <c r="A309" t="s">
        <v>196</v>
      </c>
      <c r="B309" s="68">
        <v>45661</v>
      </c>
      <c r="C309" s="3" t="s">
        <v>175</v>
      </c>
      <c r="D309" t="s">
        <v>76</v>
      </c>
      <c r="E309" t="s">
        <v>241</v>
      </c>
      <c r="F309" s="17">
        <v>2110</v>
      </c>
      <c r="G309" s="73">
        <v>-1</v>
      </c>
      <c r="H309" s="61">
        <f t="shared" ref="H309:H324" si="100">IF(G309&gt;0,G309,0)</f>
        <v>0</v>
      </c>
      <c r="I309" s="67">
        <f t="shared" ref="I309:I324" si="101">IF(G309&lt;0,ABS(G309),0)</f>
        <v>1</v>
      </c>
      <c r="J309" s="15">
        <f t="shared" ref="J309:J324" si="102">H309*F309</f>
        <v>0</v>
      </c>
      <c r="K309" s="15">
        <f t="shared" ref="K309:K324" si="103">I309*F309</f>
        <v>2110</v>
      </c>
      <c r="L309">
        <f>SUMIF(Table228[[#All],[Asset]],Table228[[#This Row],[Asset]],Table228[[#All],[Bought number]])</f>
        <v>2</v>
      </c>
      <c r="M309">
        <f>SUMIF(Table228[[#All],[Asset]],Table228[[#This Row],[Asset]],Table228[[#All],[Sold Number]])</f>
        <v>1</v>
      </c>
      <c r="N309" s="15">
        <f>SUMIF(Table228[[#All],[Asset]],Table228[[#This Row],[Asset]],Table228[[#All],[Bought amount]])</f>
        <v>3497.62</v>
      </c>
      <c r="O309" s="15">
        <f>SUMIF(Table228[[#All],[Asset]],Table228[[#This Row],[Asset]],Table228[[#All],[Sold amount]])</f>
        <v>2110</v>
      </c>
      <c r="P309" s="75">
        <f>Table228[[#This Row],[Total bought Amount]]/Table228[[#This Row],[Total bought Number]]</f>
        <v>1748.81</v>
      </c>
      <c r="Q309" s="75">
        <f>IFERROR(Table228[[#This Row],[Total Sold Amount]]/Table228[[#This Row],[Total Sold Number]],0)</f>
        <v>2110</v>
      </c>
      <c r="R309" s="21">
        <f>Table228[[#This Row],[Total bought Number]]-Table228[[#This Row],[Total Sold Number]]</f>
        <v>1</v>
      </c>
      <c r="S309" s="59">
        <f>(Table228[[#This Row],[Ave exit price]]-Table228[[#This Row],[Ave Entry price]])*Table228[[#This Row],[Total Sold Number]]</f>
        <v>361.19000000000005</v>
      </c>
      <c r="T309" s="15">
        <f>(Table228[[#This Row],[Current Price]]-Table228[[#This Row],[Ave Entry price]])*Table228[[#This Row],[How many tokens now]]</f>
        <v>51.190000000000055</v>
      </c>
      <c r="U309" s="76">
        <f>VLOOKUP(Table228[[#This Row],[Asset]],Table26[#All],10,FALSE)</f>
        <v>1800</v>
      </c>
    </row>
    <row r="310" spans="1:21">
      <c r="A310" t="s">
        <v>496</v>
      </c>
      <c r="B310" s="68">
        <v>45661</v>
      </c>
      <c r="C310" s="3" t="s">
        <v>176</v>
      </c>
      <c r="D310" t="s">
        <v>498</v>
      </c>
      <c r="E310" t="s">
        <v>189</v>
      </c>
      <c r="F310" s="17">
        <v>0.49152899999999999</v>
      </c>
      <c r="G310" s="73">
        <v>2034.998</v>
      </c>
      <c r="H310" s="61">
        <f t="shared" si="100"/>
        <v>2034.998</v>
      </c>
      <c r="I310" s="67">
        <f t="shared" si="101"/>
        <v>0</v>
      </c>
      <c r="J310" s="15">
        <f t="shared" si="102"/>
        <v>1000.2605319420001</v>
      </c>
      <c r="K310" s="15">
        <f t="shared" si="103"/>
        <v>0</v>
      </c>
      <c r="L310">
        <f>SUMIF(Table228[[#All],[Asset]],Table228[[#This Row],[Asset]],Table228[[#All],[Bought number]])</f>
        <v>25905.172225000002</v>
      </c>
      <c r="M310">
        <f>SUMIF(Table228[[#All],[Asset]],Table228[[#This Row],[Asset]],Table228[[#All],[Sold Number]])</f>
        <v>23901.696294000001</v>
      </c>
      <c r="N310" s="15">
        <f>SUMIF(Table228[[#All],[Asset]],Table228[[#This Row],[Asset]],Table228[[#All],[Bought amount]])</f>
        <v>7316.0232461972755</v>
      </c>
      <c r="O310" s="15">
        <f>SUMIF(Table228[[#All],[Asset]],Table228[[#This Row],[Asset]],Table228[[#All],[Sold amount]])</f>
        <v>3343.162250846</v>
      </c>
      <c r="P310" s="75">
        <f>Table228[[#This Row],[Total bought Amount]]/Table228[[#This Row],[Total bought Number]]</f>
        <v>0.282415541678464</v>
      </c>
      <c r="Q310" s="75">
        <f>IFERROR(Table228[[#This Row],[Total Sold Amount]]/Table228[[#This Row],[Total Sold Number]],0)</f>
        <v>0.13987133840727564</v>
      </c>
      <c r="R310" s="21">
        <f>Table228[[#This Row],[Total bought Number]]-Table228[[#This Row],[Total Sold Number]]</f>
        <v>2003.4759310000009</v>
      </c>
      <c r="S310" s="59">
        <f>(Table228[[#This Row],[Ave exit price]]-Table228[[#This Row],[Ave Entry price]])*Table228[[#This Row],[Total Sold Number]]</f>
        <v>-3407.0482550581455</v>
      </c>
      <c r="T310" s="15">
        <f>(Table228[[#This Row],[Current Price]]-Table228[[#This Row],[Ave Entry price]])*Table228[[#This Row],[How many tokens now]]</f>
        <v>-365.46514719313012</v>
      </c>
      <c r="U310" s="76">
        <f>VLOOKUP(Table228[[#This Row],[Asset]],Table26[#All],10,FALSE)</f>
        <v>0.1</v>
      </c>
    </row>
    <row r="311" spans="1:21">
      <c r="A311" t="s">
        <v>497</v>
      </c>
      <c r="B311" s="68">
        <v>45661</v>
      </c>
      <c r="C311" s="3" t="s">
        <v>180</v>
      </c>
      <c r="D311" t="s">
        <v>498</v>
      </c>
      <c r="E311" t="s">
        <v>189</v>
      </c>
      <c r="F311" s="17">
        <v>1497</v>
      </c>
      <c r="G311" s="73">
        <v>1</v>
      </c>
      <c r="H311" s="61">
        <f t="shared" si="100"/>
        <v>1</v>
      </c>
      <c r="I311" s="67">
        <f t="shared" si="101"/>
        <v>0</v>
      </c>
      <c r="J311" s="15">
        <f t="shared" si="102"/>
        <v>1497</v>
      </c>
      <c r="K311" s="15">
        <f t="shared" si="103"/>
        <v>0</v>
      </c>
      <c r="L311">
        <f>SUMIF(Table228[[#All],[Asset]],Table228[[#This Row],[Asset]],Table228[[#All],[Bought number]])</f>
        <v>2</v>
      </c>
      <c r="M311">
        <f>SUMIF(Table228[[#All],[Asset]],Table228[[#This Row],[Asset]],Table228[[#All],[Sold Number]])</f>
        <v>2</v>
      </c>
      <c r="N311" s="15">
        <f>SUMIF(Table228[[#All],[Asset]],Table228[[#This Row],[Asset]],Table228[[#All],[Bought amount]])</f>
        <v>2953</v>
      </c>
      <c r="O311" s="15">
        <f>SUMIF(Table228[[#All],[Asset]],Table228[[#This Row],[Asset]],Table228[[#All],[Sold amount]])</f>
        <v>403.1</v>
      </c>
      <c r="P311" s="75">
        <f>Table228[[#This Row],[Total bought Amount]]/Table228[[#This Row],[Total bought Number]]</f>
        <v>1476.5</v>
      </c>
      <c r="Q311" s="75">
        <f>IFERROR(Table228[[#This Row],[Total Sold Amount]]/Table228[[#This Row],[Total Sold Number]],0)</f>
        <v>201.55</v>
      </c>
      <c r="R311" s="21">
        <f>Table228[[#This Row],[Total bought Number]]-Table228[[#This Row],[Total Sold Number]]</f>
        <v>0</v>
      </c>
      <c r="S311" s="59">
        <f>(Table228[[#This Row],[Ave exit price]]-Table228[[#This Row],[Ave Entry price]])*Table228[[#This Row],[Total Sold Number]]</f>
        <v>-2549.9</v>
      </c>
      <c r="T311" s="15">
        <f>(Table228[[#This Row],[Current Price]]-Table228[[#This Row],[Ave Entry price]])*Table228[[#This Row],[How many tokens now]]</f>
        <v>0</v>
      </c>
      <c r="U311" s="76">
        <f>VLOOKUP(Table228[[#This Row],[Asset]],Table26[#All],10,FALSE)</f>
        <v>1431</v>
      </c>
    </row>
    <row r="312" spans="1:21">
      <c r="A312" t="s">
        <v>223</v>
      </c>
      <c r="B312" s="68">
        <v>45661</v>
      </c>
      <c r="C312" s="3" t="s">
        <v>176</v>
      </c>
      <c r="D312" t="s">
        <v>68</v>
      </c>
      <c r="E312" t="s">
        <v>189</v>
      </c>
      <c r="F312" s="17">
        <v>0.27497100000000002</v>
      </c>
      <c r="G312" s="73">
        <v>-8362.0379699999994</v>
      </c>
      <c r="H312" s="61">
        <f t="shared" si="100"/>
        <v>0</v>
      </c>
      <c r="I312" s="67">
        <f t="shared" si="101"/>
        <v>8362.0379699999994</v>
      </c>
      <c r="J312" s="15">
        <f t="shared" si="102"/>
        <v>0</v>
      </c>
      <c r="K312" s="15">
        <f t="shared" si="103"/>
        <v>2299.31794264887</v>
      </c>
      <c r="L312">
        <f>SUMIF(Table228[[#All],[Asset]],Table228[[#This Row],[Asset]],Table228[[#All],[Bought number]])</f>
        <v>70451.060641000004</v>
      </c>
      <c r="M312">
        <f>SUMIF(Table228[[#All],[Asset]],Table228[[#This Row],[Asset]],Table228[[#All],[Sold Number]])</f>
        <v>77094.547770000005</v>
      </c>
      <c r="N312" s="15">
        <f>SUMIF(Table228[[#All],[Asset]],Table228[[#This Row],[Asset]],Table228[[#All],[Bought amount]])</f>
        <v>20784.213577025603</v>
      </c>
      <c r="O312" s="15">
        <f>SUMIF(Table228[[#All],[Asset]],Table228[[#This Row],[Asset]],Table228[[#All],[Sold amount]])</f>
        <v>19239.062667060869</v>
      </c>
      <c r="P312" s="75">
        <f>Table228[[#This Row],[Total bought Amount]]/Table228[[#This Row],[Total bought Number]]</f>
        <v>0.29501633315268971</v>
      </c>
      <c r="Q312" s="75">
        <f>IFERROR(Table228[[#This Row],[Total Sold Amount]]/Table228[[#This Row],[Total Sold Number]],0)</f>
        <v>0.24955153410404224</v>
      </c>
      <c r="R312" s="21">
        <f>Table228[[#This Row],[Total bought Number]]-Table228[[#This Row],[Total Sold Number]]</f>
        <v>-6643.487129000001</v>
      </c>
      <c r="S312" s="59">
        <f>(Table228[[#This Row],[Ave exit price]]-Table228[[#This Row],[Ave Entry price]])*Table228[[#This Row],[Total Sold Number]]</f>
        <v>-3505.0881221094037</v>
      </c>
      <c r="T312" s="15">
        <f>(Table228[[#This Row],[Current Price]]-Table228[[#This Row],[Ave Entry price]])*Table228[[#This Row],[How many tokens now]]</f>
        <v>631.23978634467016</v>
      </c>
      <c r="U312" s="76">
        <f>VLOOKUP(Table228[[#This Row],[Asset]],Table26[#All],10,FALSE)</f>
        <v>0.2</v>
      </c>
    </row>
    <row r="313" spans="1:21">
      <c r="A313" t="s">
        <v>499</v>
      </c>
      <c r="B313" s="68">
        <v>45661</v>
      </c>
      <c r="C313" s="3" t="s">
        <v>176</v>
      </c>
      <c r="D313" t="s">
        <v>68</v>
      </c>
      <c r="E313" t="s">
        <v>189</v>
      </c>
      <c r="F313" s="17">
        <v>1.16405E-3</v>
      </c>
      <c r="G313" s="73">
        <v>859065</v>
      </c>
      <c r="H313" s="61">
        <f t="shared" si="100"/>
        <v>859065</v>
      </c>
      <c r="I313" s="67">
        <f t="shared" si="101"/>
        <v>0</v>
      </c>
      <c r="J313" s="15">
        <f t="shared" si="102"/>
        <v>999.99461325000004</v>
      </c>
      <c r="K313" s="15">
        <f t="shared" si="103"/>
        <v>0</v>
      </c>
      <c r="L313">
        <f>SUMIF(Table228[[#All],[Asset]],Table228[[#This Row],[Asset]],Table228[[#All],[Bought number]])</f>
        <v>859065</v>
      </c>
      <c r="M313">
        <f>SUMIF(Table228[[#All],[Asset]],Table228[[#This Row],[Asset]],Table228[[#All],[Sold Number]])</f>
        <v>859065</v>
      </c>
      <c r="N313" s="15">
        <f>SUMIF(Table228[[#All],[Asset]],Table228[[#This Row],[Asset]],Table228[[#All],[Bought amount]])</f>
        <v>999.99461325000004</v>
      </c>
      <c r="O313" s="15">
        <f>SUMIF(Table228[[#All],[Asset]],Table228[[#This Row],[Asset]],Table228[[#All],[Sold amount]])</f>
        <v>926.54438529999993</v>
      </c>
      <c r="P313" s="75">
        <f>Table228[[#This Row],[Total bought Amount]]/Table228[[#This Row],[Total bought Number]]</f>
        <v>1.16405E-3</v>
      </c>
      <c r="Q313" s="75">
        <f>IFERROR(Table228[[#This Row],[Total Sold Amount]]/Table228[[#This Row],[Total Sold Number]],0)</f>
        <v>1.0785498015866085E-3</v>
      </c>
      <c r="R313" s="21">
        <f>Table228[[#This Row],[Total bought Number]]-Table228[[#This Row],[Total Sold Number]]</f>
        <v>0</v>
      </c>
      <c r="S313" s="59">
        <f>(Table228[[#This Row],[Ave exit price]]-Table228[[#This Row],[Ave Entry price]])*Table228[[#This Row],[Total Sold Number]]</f>
        <v>-73.450227950000141</v>
      </c>
      <c r="T313" s="15">
        <f>(Table228[[#This Row],[Current Price]]-Table228[[#This Row],[Ave Entry price]])*Table228[[#This Row],[How many tokens now]]</f>
        <v>0</v>
      </c>
      <c r="U313" s="76">
        <f>VLOOKUP(Table228[[#This Row],[Asset]],Table26[#All],10,FALSE)</f>
        <v>1.1329999999999999E-3</v>
      </c>
    </row>
    <row r="314" spans="1:21">
      <c r="A314" t="s">
        <v>479</v>
      </c>
      <c r="B314" s="68">
        <v>45661</v>
      </c>
      <c r="C314" s="3" t="s">
        <v>176</v>
      </c>
      <c r="D314" t="s">
        <v>476</v>
      </c>
      <c r="E314" t="s">
        <v>285</v>
      </c>
      <c r="F314" s="17">
        <v>9.9463999999999997E-2</v>
      </c>
      <c r="G314" s="73">
        <v>-6364.1349</v>
      </c>
      <c r="H314" s="61">
        <f t="shared" si="100"/>
        <v>0</v>
      </c>
      <c r="I314" s="67">
        <f t="shared" si="101"/>
        <v>6364.1349</v>
      </c>
      <c r="J314" s="15">
        <f t="shared" si="102"/>
        <v>0</v>
      </c>
      <c r="K314" s="15">
        <f t="shared" si="103"/>
        <v>633.00231369359994</v>
      </c>
      <c r="L314">
        <f>SUMIF(Table228[[#All],[Asset]],Table228[[#This Row],[Asset]],Table228[[#All],[Bought number]])</f>
        <v>6364.1349</v>
      </c>
      <c r="M314">
        <f>SUMIF(Table228[[#All],[Asset]],Table228[[#This Row],[Asset]],Table228[[#All],[Sold Number]])</f>
        <v>6364.1349</v>
      </c>
      <c r="N314" s="15">
        <f>SUMIF(Table228[[#All],[Asset]],Table228[[#This Row],[Asset]],Table228[[#All],[Bought amount]])</f>
        <v>881.94311020000009</v>
      </c>
      <c r="O314" s="15">
        <f>SUMIF(Table228[[#All],[Asset]],Table228[[#This Row],[Asset]],Table228[[#All],[Sold amount]])</f>
        <v>633.00231369359994</v>
      </c>
      <c r="P314" s="75">
        <f>Table228[[#This Row],[Total bought Amount]]/Table228[[#This Row],[Total bought Number]]</f>
        <v>0.13858020360316373</v>
      </c>
      <c r="Q314" s="75">
        <f>IFERROR(Table228[[#This Row],[Total Sold Amount]]/Table228[[#This Row],[Total Sold Number]],0)</f>
        <v>9.9463999999999997E-2</v>
      </c>
      <c r="R314" s="21">
        <f>Table228[[#This Row],[Total bought Number]]-Table228[[#This Row],[Total Sold Number]]</f>
        <v>0</v>
      </c>
      <c r="S314" s="59">
        <f>(Table228[[#This Row],[Ave exit price]]-Table228[[#This Row],[Ave Entry price]])*Table228[[#This Row],[Total Sold Number]]</f>
        <v>-248.94079650640003</v>
      </c>
      <c r="T314" s="15">
        <f>(Table228[[#This Row],[Current Price]]-Table228[[#This Row],[Ave Entry price]])*Table228[[#This Row],[How many tokens now]]</f>
        <v>0</v>
      </c>
      <c r="U314" s="76">
        <f>VLOOKUP(Table228[[#This Row],[Asset]],Table26[#All],10,FALSE)</f>
        <v>0.1391</v>
      </c>
    </row>
    <row r="315" spans="1:21">
      <c r="A315" t="s">
        <v>44</v>
      </c>
      <c r="B315" s="68">
        <v>45661</v>
      </c>
      <c r="C315" s="3" t="s">
        <v>176</v>
      </c>
      <c r="D315" t="s">
        <v>476</v>
      </c>
      <c r="E315" t="s">
        <v>285</v>
      </c>
      <c r="F315" s="17">
        <v>0.83</v>
      </c>
      <c r="G315" s="73">
        <v>-1000</v>
      </c>
      <c r="H315" s="61">
        <f t="shared" si="100"/>
        <v>0</v>
      </c>
      <c r="I315" s="67">
        <f t="shared" si="101"/>
        <v>1000</v>
      </c>
      <c r="J315" s="15">
        <f t="shared" si="102"/>
        <v>0</v>
      </c>
      <c r="K315" s="15">
        <f t="shared" si="103"/>
        <v>830</v>
      </c>
      <c r="L315">
        <f>SUMIF(Table228[[#All],[Asset]],Table228[[#This Row],[Asset]],Table228[[#All],[Bought number]])</f>
        <v>9919.2763999999988</v>
      </c>
      <c r="M315">
        <f>SUMIF(Table228[[#All],[Asset]],Table228[[#This Row],[Asset]],Table228[[#All],[Sold Number]])</f>
        <v>5692.6409999999996</v>
      </c>
      <c r="N315" s="15">
        <f>SUMIF(Table228[[#All],[Asset]],Table228[[#This Row],[Asset]],Table228[[#All],[Bought amount]])</f>
        <v>4616.6576801299998</v>
      </c>
      <c r="O315" s="15">
        <f>SUMIF(Table228[[#All],[Asset]],Table228[[#This Row],[Asset]],Table228[[#All],[Sold amount]])</f>
        <v>2237.4323399999998</v>
      </c>
      <c r="P315" s="75">
        <f>Table228[[#This Row],[Total bought Amount]]/Table228[[#This Row],[Total bought Number]]</f>
        <v>0.46542282863798418</v>
      </c>
      <c r="Q315" s="75">
        <f>IFERROR(Table228[[#This Row],[Total Sold Amount]]/Table228[[#This Row],[Total Sold Number]],0)</f>
        <v>0.39303942405642656</v>
      </c>
      <c r="R315" s="21">
        <f>Table228[[#This Row],[Total bought Number]]-Table228[[#This Row],[Total Sold Number]]</f>
        <v>4226.6353999999992</v>
      </c>
      <c r="S315" s="59">
        <f>(Table228[[#This Row],[Ave exit price]]-Table228[[#This Row],[Ave Entry price]])*Table228[[#This Row],[Total Sold Number]]</f>
        <v>-412.05273664056273</v>
      </c>
      <c r="T315" s="15">
        <f>(Table228[[#This Row],[Current Price]]-Table228[[#This Row],[Ave Entry price]])*Table228[[#This Row],[How many tokens now]]</f>
        <v>1202.8039465105621</v>
      </c>
      <c r="U315" s="76">
        <f>VLOOKUP(Table228[[#This Row],[Asset]],Table26[#All],10,FALSE)</f>
        <v>0.75</v>
      </c>
    </row>
    <row r="316" spans="1:21">
      <c r="A316" t="s">
        <v>493</v>
      </c>
      <c r="B316" s="68">
        <v>45661</v>
      </c>
      <c r="C316" s="3" t="s">
        <v>176</v>
      </c>
      <c r="D316" t="s">
        <v>494</v>
      </c>
      <c r="E316" t="s">
        <v>285</v>
      </c>
      <c r="F316" s="17">
        <v>3.76</v>
      </c>
      <c r="G316" s="73">
        <v>390.18</v>
      </c>
      <c r="H316" s="61">
        <f t="shared" si="100"/>
        <v>390.18</v>
      </c>
      <c r="I316" s="67">
        <f t="shared" si="101"/>
        <v>0</v>
      </c>
      <c r="J316" s="15">
        <f t="shared" si="102"/>
        <v>1467.0768</v>
      </c>
      <c r="K316" s="15">
        <f t="shared" si="103"/>
        <v>0</v>
      </c>
      <c r="L316">
        <f>SUMIF(Table228[[#All],[Asset]],Table228[[#This Row],[Asset]],Table228[[#All],[Bought number]])</f>
        <v>579.33000000000004</v>
      </c>
      <c r="M316">
        <f>SUMIF(Table228[[#All],[Asset]],Table228[[#This Row],[Asset]],Table228[[#All],[Sold Number]])</f>
        <v>579.33000000000004</v>
      </c>
      <c r="N316" s="15">
        <f>SUMIF(Table228[[#All],[Asset]],Table228[[#This Row],[Asset]],Table228[[#All],[Bought amount]])</f>
        <v>2065.5852300000001</v>
      </c>
      <c r="O316" s="15">
        <f>SUMIF(Table228[[#All],[Asset]],Table228[[#This Row],[Asset]],Table228[[#All],[Sold amount]])</f>
        <v>660.43619999999999</v>
      </c>
      <c r="P316" s="75">
        <f>Table228[[#This Row],[Total bought Amount]]/Table228[[#This Row],[Total bought Number]]</f>
        <v>3.5654725803945939</v>
      </c>
      <c r="Q316" s="75">
        <f>IFERROR(Table228[[#This Row],[Total Sold Amount]]/Table228[[#This Row],[Total Sold Number]],0)</f>
        <v>1.1399999999999999</v>
      </c>
      <c r="R316" s="21">
        <f>Table228[[#This Row],[Total bought Number]]-Table228[[#This Row],[Total Sold Number]]</f>
        <v>0</v>
      </c>
      <c r="S316" s="59">
        <f>(Table228[[#This Row],[Ave exit price]]-Table228[[#This Row],[Ave Entry price]])*Table228[[#This Row],[Total Sold Number]]</f>
        <v>-1405.14903</v>
      </c>
      <c r="T316" s="15">
        <f>(Table228[[#This Row],[Current Price]]-Table228[[#This Row],[Ave Entry price]])*Table228[[#This Row],[How many tokens now]]</f>
        <v>0</v>
      </c>
      <c r="U316" s="76">
        <f>VLOOKUP(Table228[[#This Row],[Asset]],Table26[#All],10,FALSE)</f>
        <v>3.14</v>
      </c>
    </row>
    <row r="317" spans="1:21">
      <c r="A317" t="s">
        <v>492</v>
      </c>
      <c r="B317" s="68">
        <v>45661</v>
      </c>
      <c r="C317" s="3" t="s">
        <v>176</v>
      </c>
      <c r="D317" t="s">
        <v>68</v>
      </c>
      <c r="E317" t="s">
        <v>248</v>
      </c>
      <c r="F317" s="17">
        <v>1.72911E-2</v>
      </c>
      <c r="G317" s="73">
        <v>46332.224863000003</v>
      </c>
      <c r="H317" s="61">
        <f t="shared" si="100"/>
        <v>46332.224863000003</v>
      </c>
      <c r="I317" s="67">
        <f t="shared" si="101"/>
        <v>0</v>
      </c>
      <c r="J317" s="15">
        <f t="shared" si="102"/>
        <v>801.13513332861942</v>
      </c>
      <c r="K317" s="15">
        <f t="shared" si="103"/>
        <v>0</v>
      </c>
      <c r="L317">
        <f>SUMIF(Table228[[#All],[Asset]],Table228[[#This Row],[Asset]],Table228[[#All],[Bought number]])</f>
        <v>133382.22486300001</v>
      </c>
      <c r="M317">
        <f>SUMIF(Table228[[#All],[Asset]],Table228[[#This Row],[Asset]],Table228[[#All],[Sold Number]])</f>
        <v>133382.2249</v>
      </c>
      <c r="N317" s="15">
        <f>SUMIF(Table228[[#All],[Asset]],Table228[[#This Row],[Asset]],Table228[[#All],[Bought amount]])</f>
        <v>2305.5593483286193</v>
      </c>
      <c r="O317" s="15">
        <f>SUMIF(Table228[[#All],[Asset]],Table228[[#This Row],[Asset]],Table228[[#All],[Sold amount]])</f>
        <v>441.16170885675001</v>
      </c>
      <c r="P317" s="75">
        <f>Table228[[#This Row],[Total bought Amount]]/Table228[[#This Row],[Total bought Number]]</f>
        <v>1.7285356805951564E-2</v>
      </c>
      <c r="Q317" s="75">
        <f>IFERROR(Table228[[#This Row],[Total Sold Amount]]/Table228[[#This Row],[Total Sold Number]],0)</f>
        <v>3.3075000000000001E-3</v>
      </c>
      <c r="R317" s="21">
        <f>Table228[[#This Row],[Total bought Number]]-Table228[[#This Row],[Total Sold Number]]</f>
        <v>-3.6999990697950125E-5</v>
      </c>
      <c r="S317" s="59">
        <f>(Table228[[#This Row],[Ave exit price]]-Table228[[#This Row],[Ave Entry price]])*Table228[[#This Row],[Total Sold Number]]</f>
        <v>-1864.3976401114273</v>
      </c>
      <c r="T317" s="15">
        <f>(Table228[[#This Row],[Current Price]]-Table228[[#This Row],[Ave Entry price]])*Table228[[#This Row],[How many tokens now]]</f>
        <v>3.740831077731646E-7</v>
      </c>
      <c r="U317" s="76">
        <f>VLOOKUP(Table228[[#This Row],[Asset]],Table26[#All],10,FALSE)</f>
        <v>7.175E-3</v>
      </c>
    </row>
    <row r="318" spans="1:21">
      <c r="A318" t="s">
        <v>179</v>
      </c>
      <c r="B318" s="68">
        <v>45661</v>
      </c>
      <c r="C318" s="3" t="s">
        <v>176</v>
      </c>
      <c r="D318" t="s">
        <v>498</v>
      </c>
      <c r="E318" t="s">
        <v>189</v>
      </c>
      <c r="F318" s="17">
        <v>788.5684</v>
      </c>
      <c r="G318" s="73">
        <v>-1</v>
      </c>
      <c r="H318" s="61">
        <f t="shared" si="100"/>
        <v>0</v>
      </c>
      <c r="I318" s="67">
        <f t="shared" si="101"/>
        <v>1</v>
      </c>
      <c r="J318" s="15">
        <f t="shared" si="102"/>
        <v>0</v>
      </c>
      <c r="K318" s="15">
        <f t="shared" si="103"/>
        <v>788.5684</v>
      </c>
      <c r="L318">
        <f>SUMIF(Table228[[#All],[Asset]],Table228[[#This Row],[Asset]],Table228[[#All],[Bought number]])</f>
        <v>9</v>
      </c>
      <c r="M318">
        <f>SUMIF(Table228[[#All],[Asset]],Table228[[#This Row],[Asset]],Table228[[#All],[Sold Number]])</f>
        <v>9</v>
      </c>
      <c r="N318" s="15">
        <f>SUMIF(Table228[[#All],[Asset]],Table228[[#This Row],[Asset]],Table228[[#All],[Bought amount]])</f>
        <v>8351.15085</v>
      </c>
      <c r="O318" s="15">
        <f>SUMIF(Table228[[#All],[Asset]],Table228[[#This Row],[Asset]],Table228[[#All],[Sold amount]])</f>
        <v>4261.5684000000001</v>
      </c>
      <c r="P318" s="75">
        <f>Table228[[#This Row],[Total bought Amount]]/Table228[[#This Row],[Total bought Number]]</f>
        <v>927.90565000000004</v>
      </c>
      <c r="Q318" s="75">
        <f>IFERROR(Table228[[#This Row],[Total Sold Amount]]/Table228[[#This Row],[Total Sold Number]],0)</f>
        <v>473.50760000000002</v>
      </c>
      <c r="R318" s="21">
        <f>Table228[[#This Row],[Total bought Number]]-Table228[[#This Row],[Total Sold Number]]</f>
        <v>0</v>
      </c>
      <c r="S318" s="59">
        <f>(Table228[[#This Row],[Ave exit price]]-Table228[[#This Row],[Ave Entry price]])*Table228[[#This Row],[Total Sold Number]]</f>
        <v>-4089.5824499999999</v>
      </c>
      <c r="T318" s="15">
        <f>(Table228[[#This Row],[Current Price]]-Table228[[#This Row],[Ave Entry price]])*Table228[[#This Row],[How many tokens now]]</f>
        <v>0</v>
      </c>
      <c r="U318" s="76">
        <f>VLOOKUP(Table228[[#This Row],[Asset]],Table26[#All],10,FALSE)</f>
        <v>632</v>
      </c>
    </row>
    <row r="319" spans="1:21">
      <c r="A319" t="s">
        <v>497</v>
      </c>
      <c r="B319" s="68">
        <v>45661</v>
      </c>
      <c r="C319" s="3" t="s">
        <v>180</v>
      </c>
      <c r="D319" t="s">
        <v>498</v>
      </c>
      <c r="E319" t="s">
        <v>189</v>
      </c>
      <c r="F319" s="17">
        <v>1456</v>
      </c>
      <c r="G319" s="73">
        <v>1</v>
      </c>
      <c r="H319" s="61">
        <f t="shared" si="100"/>
        <v>1</v>
      </c>
      <c r="I319" s="67">
        <f t="shared" si="101"/>
        <v>0</v>
      </c>
      <c r="J319" s="15">
        <f t="shared" si="102"/>
        <v>1456</v>
      </c>
      <c r="K319" s="15">
        <f t="shared" si="103"/>
        <v>0</v>
      </c>
      <c r="L319">
        <f>SUMIF(Table228[[#All],[Asset]],Table228[[#This Row],[Asset]],Table228[[#All],[Bought number]])</f>
        <v>2</v>
      </c>
      <c r="M319">
        <f>SUMIF(Table228[[#All],[Asset]],Table228[[#This Row],[Asset]],Table228[[#All],[Sold Number]])</f>
        <v>2</v>
      </c>
      <c r="N319" s="15">
        <f>SUMIF(Table228[[#All],[Asset]],Table228[[#This Row],[Asset]],Table228[[#All],[Bought amount]])</f>
        <v>2953</v>
      </c>
      <c r="O319" s="15">
        <f>SUMIF(Table228[[#All],[Asset]],Table228[[#This Row],[Asset]],Table228[[#All],[Sold amount]])</f>
        <v>403.1</v>
      </c>
      <c r="P319" s="75">
        <f>Table228[[#This Row],[Total bought Amount]]/Table228[[#This Row],[Total bought Number]]</f>
        <v>1476.5</v>
      </c>
      <c r="Q319" s="75">
        <f>IFERROR(Table228[[#This Row],[Total Sold Amount]]/Table228[[#This Row],[Total Sold Number]],0)</f>
        <v>201.55</v>
      </c>
      <c r="R319" s="21">
        <f>Table228[[#This Row],[Total bought Number]]-Table228[[#This Row],[Total Sold Number]]</f>
        <v>0</v>
      </c>
      <c r="S319" s="59">
        <f>(Table228[[#This Row],[Ave exit price]]-Table228[[#This Row],[Ave Entry price]])*Table228[[#This Row],[Total Sold Number]]</f>
        <v>-2549.9</v>
      </c>
      <c r="T319" s="15">
        <f>(Table228[[#This Row],[Current Price]]-Table228[[#This Row],[Ave Entry price]])*Table228[[#This Row],[How many tokens now]]</f>
        <v>0</v>
      </c>
      <c r="U319" s="76">
        <f>VLOOKUP(Table228[[#This Row],[Asset]],Table26[#All],10,FALSE)</f>
        <v>1431</v>
      </c>
    </row>
    <row r="320" spans="1:21">
      <c r="A320" t="s">
        <v>499</v>
      </c>
      <c r="B320" s="68">
        <v>45661</v>
      </c>
      <c r="C320" s="3" t="s">
        <v>176</v>
      </c>
      <c r="D320" t="s">
        <v>68</v>
      </c>
      <c r="E320" t="s">
        <v>248</v>
      </c>
      <c r="F320" s="17">
        <v>1.2489999999999999E-3</v>
      </c>
      <c r="G320" s="73">
        <v>-429532</v>
      </c>
      <c r="H320" s="61">
        <f t="shared" si="100"/>
        <v>0</v>
      </c>
      <c r="I320" s="67">
        <f t="shared" si="101"/>
        <v>429532</v>
      </c>
      <c r="J320" s="15">
        <f t="shared" si="102"/>
        <v>0</v>
      </c>
      <c r="K320" s="15">
        <f t="shared" si="103"/>
        <v>536.48546799999997</v>
      </c>
      <c r="L320">
        <f>SUMIF(Table228[[#All],[Asset]],Table228[[#This Row],[Asset]],Table228[[#All],[Bought number]])</f>
        <v>859065</v>
      </c>
      <c r="M320">
        <f>SUMIF(Table228[[#All],[Asset]],Table228[[#This Row],[Asset]],Table228[[#All],[Sold Number]])</f>
        <v>859065</v>
      </c>
      <c r="N320" s="15">
        <f>SUMIF(Table228[[#All],[Asset]],Table228[[#This Row],[Asset]],Table228[[#All],[Bought amount]])</f>
        <v>999.99461325000004</v>
      </c>
      <c r="O320" s="15">
        <f>SUMIF(Table228[[#All],[Asset]],Table228[[#This Row],[Asset]],Table228[[#All],[Sold amount]])</f>
        <v>926.54438529999993</v>
      </c>
      <c r="P320" s="75">
        <f>Table228[[#This Row],[Total bought Amount]]/Table228[[#This Row],[Total bought Number]]</f>
        <v>1.16405E-3</v>
      </c>
      <c r="Q320" s="75">
        <f>IFERROR(Table228[[#This Row],[Total Sold Amount]]/Table228[[#This Row],[Total Sold Number]],0)</f>
        <v>1.0785498015866085E-3</v>
      </c>
      <c r="R320" s="21">
        <f>Table228[[#This Row],[Total bought Number]]-Table228[[#This Row],[Total Sold Number]]</f>
        <v>0</v>
      </c>
      <c r="S320" s="59">
        <f>(Table228[[#This Row],[Ave exit price]]-Table228[[#This Row],[Ave Entry price]])*Table228[[#This Row],[Total Sold Number]]</f>
        <v>-73.450227950000141</v>
      </c>
      <c r="T320" s="15">
        <f>(Table228[[#This Row],[Current Price]]-Table228[[#This Row],[Ave Entry price]])*Table228[[#This Row],[How many tokens now]]</f>
        <v>0</v>
      </c>
      <c r="U320" s="76">
        <f>VLOOKUP(Table228[[#This Row],[Asset]],Table26[#All],10,FALSE)</f>
        <v>1.1329999999999999E-3</v>
      </c>
    </row>
    <row r="321" spans="1:21">
      <c r="A321" t="s">
        <v>496</v>
      </c>
      <c r="B321" s="68">
        <v>45661</v>
      </c>
      <c r="C321" s="3" t="s">
        <v>176</v>
      </c>
      <c r="D321" t="s">
        <v>68</v>
      </c>
      <c r="E321" t="s">
        <v>248</v>
      </c>
      <c r="F321" s="17">
        <v>0.49866700000000003</v>
      </c>
      <c r="G321" s="73">
        <v>530.48582499999998</v>
      </c>
      <c r="H321" s="61">
        <f t="shared" si="100"/>
        <v>530.48582499999998</v>
      </c>
      <c r="I321" s="67">
        <f t="shared" si="101"/>
        <v>0</v>
      </c>
      <c r="J321" s="15">
        <f t="shared" si="102"/>
        <v>264.53577489527498</v>
      </c>
      <c r="K321" s="15">
        <f t="shared" si="103"/>
        <v>0</v>
      </c>
      <c r="L321">
        <f>SUMIF(Table228[[#All],[Asset]],Table228[[#This Row],[Asset]],Table228[[#All],[Bought number]])</f>
        <v>25905.172225000002</v>
      </c>
      <c r="M321">
        <f>SUMIF(Table228[[#All],[Asset]],Table228[[#This Row],[Asset]],Table228[[#All],[Sold Number]])</f>
        <v>23901.696294000001</v>
      </c>
      <c r="N321" s="15">
        <f>SUMIF(Table228[[#All],[Asset]],Table228[[#This Row],[Asset]],Table228[[#All],[Bought amount]])</f>
        <v>7316.0232461972755</v>
      </c>
      <c r="O321" s="15">
        <f>SUMIF(Table228[[#All],[Asset]],Table228[[#This Row],[Asset]],Table228[[#All],[Sold amount]])</f>
        <v>3343.162250846</v>
      </c>
      <c r="P321" s="75">
        <f>Table228[[#This Row],[Total bought Amount]]/Table228[[#This Row],[Total bought Number]]</f>
        <v>0.282415541678464</v>
      </c>
      <c r="Q321" s="75">
        <f>IFERROR(Table228[[#This Row],[Total Sold Amount]]/Table228[[#This Row],[Total Sold Number]],0)</f>
        <v>0.13987133840727564</v>
      </c>
      <c r="R321" s="21">
        <f>Table228[[#This Row],[Total bought Number]]-Table228[[#This Row],[Total Sold Number]]</f>
        <v>2003.4759310000009</v>
      </c>
      <c r="S321" s="59">
        <f>(Table228[[#This Row],[Ave exit price]]-Table228[[#This Row],[Ave Entry price]])*Table228[[#This Row],[Total Sold Number]]</f>
        <v>-3407.0482550581455</v>
      </c>
      <c r="T321" s="15">
        <f>(Table228[[#This Row],[Current Price]]-Table228[[#This Row],[Ave Entry price]])*Table228[[#This Row],[How many tokens now]]</f>
        <v>-365.46514719313012</v>
      </c>
      <c r="U321" s="76">
        <f>VLOOKUP(Table228[[#This Row],[Asset]],Table26[#All],10,FALSE)</f>
        <v>0.1</v>
      </c>
    </row>
    <row r="322" spans="1:21">
      <c r="A322" t="s">
        <v>499</v>
      </c>
      <c r="B322" s="68">
        <v>45663</v>
      </c>
      <c r="C322" s="3" t="s">
        <v>176</v>
      </c>
      <c r="D322" t="s">
        <v>68</v>
      </c>
      <c r="E322" t="s">
        <v>248</v>
      </c>
      <c r="F322" s="17">
        <v>9.0810000000000001E-4</v>
      </c>
      <c r="G322" s="73">
        <v>-429533</v>
      </c>
      <c r="H322" s="61">
        <f t="shared" si="100"/>
        <v>0</v>
      </c>
      <c r="I322" s="67">
        <f t="shared" si="101"/>
        <v>429533</v>
      </c>
      <c r="J322" s="15">
        <f t="shared" si="102"/>
        <v>0</v>
      </c>
      <c r="K322" s="15">
        <f t="shared" si="103"/>
        <v>390.05891730000002</v>
      </c>
      <c r="L322">
        <f>SUMIF(Table228[[#All],[Asset]],Table228[[#This Row],[Asset]],Table228[[#All],[Bought number]])</f>
        <v>859065</v>
      </c>
      <c r="M322">
        <f>SUMIF(Table228[[#All],[Asset]],Table228[[#This Row],[Asset]],Table228[[#All],[Sold Number]])</f>
        <v>859065</v>
      </c>
      <c r="N322" s="15">
        <f>SUMIF(Table228[[#All],[Asset]],Table228[[#This Row],[Asset]],Table228[[#All],[Bought amount]])</f>
        <v>999.99461325000004</v>
      </c>
      <c r="O322" s="15">
        <f>SUMIF(Table228[[#All],[Asset]],Table228[[#This Row],[Asset]],Table228[[#All],[Sold amount]])</f>
        <v>926.54438529999993</v>
      </c>
      <c r="P322" s="75">
        <f>Table228[[#This Row],[Total bought Amount]]/Table228[[#This Row],[Total bought Number]]</f>
        <v>1.16405E-3</v>
      </c>
      <c r="Q322" s="75">
        <f>IFERROR(Table228[[#This Row],[Total Sold Amount]]/Table228[[#This Row],[Total Sold Number]],0)</f>
        <v>1.0785498015866085E-3</v>
      </c>
      <c r="R322" s="21">
        <f>Table228[[#This Row],[Total bought Number]]-Table228[[#This Row],[Total Sold Number]]</f>
        <v>0</v>
      </c>
      <c r="S322" s="59">
        <f>(Table228[[#This Row],[Ave exit price]]-Table228[[#This Row],[Ave Entry price]])*Table228[[#This Row],[Total Sold Number]]</f>
        <v>-73.450227950000141</v>
      </c>
      <c r="T322" s="15">
        <f>(Table228[[#This Row],[Current Price]]-Table228[[#This Row],[Ave Entry price]])*Table228[[#This Row],[How many tokens now]]</f>
        <v>0</v>
      </c>
      <c r="U322" s="76">
        <f>VLOOKUP(Table228[[#This Row],[Asset]],Table26[#All],10,FALSE)</f>
        <v>1.1329999999999999E-3</v>
      </c>
    </row>
    <row r="323" spans="1:21">
      <c r="A323" t="s">
        <v>35</v>
      </c>
      <c r="B323" s="68">
        <v>45657</v>
      </c>
      <c r="C323" s="3" t="s">
        <v>176</v>
      </c>
      <c r="D323" t="s">
        <v>68</v>
      </c>
      <c r="E323" t="s">
        <v>189</v>
      </c>
      <c r="F323" s="17">
        <v>186</v>
      </c>
      <c r="G323" s="73">
        <v>-24</v>
      </c>
      <c r="H323" s="61">
        <f t="shared" si="100"/>
        <v>0</v>
      </c>
      <c r="I323" s="67">
        <f t="shared" si="101"/>
        <v>24</v>
      </c>
      <c r="J323" s="15">
        <f t="shared" si="102"/>
        <v>0</v>
      </c>
      <c r="K323" s="15">
        <f t="shared" si="103"/>
        <v>4464</v>
      </c>
      <c r="L323">
        <f>SUMIF(Table228[[#All],[Asset]],Table228[[#This Row],[Asset]],Table228[[#All],[Bought number]])</f>
        <v>154.92660000000001</v>
      </c>
      <c r="M323">
        <f>SUMIF(Table228[[#All],[Asset]],Table228[[#This Row],[Asset]],Table228[[#All],[Sold Number]])</f>
        <v>79.674999999999997</v>
      </c>
      <c r="N323" s="15">
        <f>SUMIF(Table228[[#All],[Asset]],Table228[[#This Row],[Asset]],Table228[[#All],[Bought amount]])</f>
        <v>22897.17</v>
      </c>
      <c r="O323" s="15">
        <f>SUMIF(Table228[[#All],[Asset]],Table228[[#This Row],[Asset]],Table228[[#All],[Sold amount]])</f>
        <v>11736.940868199999</v>
      </c>
      <c r="P323" s="75">
        <f>Table228[[#This Row],[Total bought Amount]]/Table228[[#This Row],[Total bought Number]]</f>
        <v>147.79366487097758</v>
      </c>
      <c r="Q323" s="75">
        <f>IFERROR(Table228[[#This Row],[Total Sold Amount]]/Table228[[#This Row],[Total Sold Number]],0)</f>
        <v>147.31020857483526</v>
      </c>
      <c r="R323" s="21">
        <f>Table228[[#This Row],[Total bought Number]]-Table228[[#This Row],[Total Sold Number]]</f>
        <v>75.25160000000001</v>
      </c>
      <c r="S323" s="59">
        <f>(Table228[[#This Row],[Ave exit price]]-Table228[[#This Row],[Ave Entry price]])*Table228[[#This Row],[Total Sold Number]]</f>
        <v>-38.519380395139478</v>
      </c>
      <c r="T323" s="15">
        <f>(Table228[[#This Row],[Current Price]]-Table228[[#This Row],[Ave Entry price]])*Table228[[#This Row],[How many tokens now]]</f>
        <v>1671.0622485951437</v>
      </c>
      <c r="U323" s="76">
        <f>VLOOKUP(Table228[[#This Row],[Asset]],Table26[#All],10,FALSE)</f>
        <v>170</v>
      </c>
    </row>
    <row r="324" spans="1:21">
      <c r="A324" t="s">
        <v>501</v>
      </c>
      <c r="B324" s="68">
        <v>45657</v>
      </c>
      <c r="C324" s="3" t="s">
        <v>176</v>
      </c>
      <c r="D324" t="s">
        <v>68</v>
      </c>
      <c r="E324" t="s">
        <v>189</v>
      </c>
      <c r="F324" s="17">
        <v>0.13469999999999999</v>
      </c>
      <c r="G324" s="73">
        <v>33133.403200000001</v>
      </c>
      <c r="H324" s="61">
        <f t="shared" si="100"/>
        <v>33133.403200000001</v>
      </c>
      <c r="I324" s="67">
        <f t="shared" si="101"/>
        <v>0</v>
      </c>
      <c r="J324" s="15">
        <f t="shared" si="102"/>
        <v>4463.06941104</v>
      </c>
      <c r="K324" s="15">
        <f t="shared" si="103"/>
        <v>0</v>
      </c>
      <c r="L324">
        <f>SUMIF(Table228[[#All],[Asset]],Table228[[#This Row],[Asset]],Table228[[#All],[Bought number]])</f>
        <v>33133.403200000001</v>
      </c>
      <c r="M324">
        <f>SUMIF(Table228[[#All],[Asset]],Table228[[#This Row],[Asset]],Table228[[#All],[Sold Number]])</f>
        <v>33133.403197302003</v>
      </c>
      <c r="N324" s="15">
        <f>SUMIF(Table228[[#All],[Asset]],Table228[[#This Row],[Asset]],Table228[[#All],[Bought amount]])</f>
        <v>4463.06941104</v>
      </c>
      <c r="O324" s="15">
        <f>SUMIF(Table228[[#All],[Asset]],Table228[[#This Row],[Asset]],Table228[[#All],[Sold amount]])</f>
        <v>2314.5727643076998</v>
      </c>
      <c r="P324" s="75">
        <f>Table228[[#This Row],[Total bought Amount]]/Table228[[#This Row],[Total bought Number]]</f>
        <v>0.13469999999999999</v>
      </c>
      <c r="Q324" s="75">
        <f>IFERROR(Table228[[#This Row],[Total Sold Amount]]/Table228[[#This Row],[Total Sold Number]],0)</f>
        <v>6.9856173557691525E-2</v>
      </c>
      <c r="R324" s="21">
        <f>Table228[[#This Row],[Total bought Number]]-Table228[[#This Row],[Total Sold Number]]</f>
        <v>2.6979978429153562E-6</v>
      </c>
      <c r="S324" s="59">
        <f>(Table228[[#This Row],[Ave exit price]]-Table228[[#This Row],[Ave Entry price]])*Table228[[#This Row],[Total Sold Number]]</f>
        <v>-2148.4966463688793</v>
      </c>
      <c r="T324" s="15">
        <f>(Table228[[#This Row],[Current Price]]-Table228[[#This Row],[Ave Entry price]])*Table228[[#This Row],[How many tokens now]]</f>
        <v>-4.3437765270937202E-8</v>
      </c>
      <c r="U324" s="76">
        <f>VLOOKUP(Table228[[#This Row],[Asset]],Table26[#All],10,FALSE)</f>
        <v>0.1186</v>
      </c>
    </row>
    <row r="325" spans="1:21">
      <c r="A325" t="s">
        <v>502</v>
      </c>
      <c r="B325" s="68">
        <v>45666</v>
      </c>
      <c r="C325" s="3" t="s">
        <v>176</v>
      </c>
      <c r="D325" t="s">
        <v>68</v>
      </c>
      <c r="E325" t="s">
        <v>189</v>
      </c>
      <c r="F325" s="17">
        <v>3.949E-4</v>
      </c>
      <c r="G325" s="73">
        <v>366208.85953000002</v>
      </c>
      <c r="H325" s="61">
        <f t="shared" ref="H325:H341" si="104">IF(G325&gt;0,G325,0)</f>
        <v>366208.85953000002</v>
      </c>
      <c r="I325" s="67">
        <f t="shared" ref="I325:I341" si="105">IF(G325&lt;0,ABS(G325),0)</f>
        <v>0</v>
      </c>
      <c r="J325" s="15">
        <f t="shared" ref="J325:J341" si="106">H325*F325</f>
        <v>144.61587862839701</v>
      </c>
      <c r="K325" s="15">
        <f t="shared" ref="K325:K341" si="107">I325*F325</f>
        <v>0</v>
      </c>
      <c r="L325">
        <f>SUMIF(Table228[[#All],[Asset]],Table228[[#This Row],[Asset]],Table228[[#All],[Bought number]])</f>
        <v>366208.85953000002</v>
      </c>
      <c r="M325">
        <f>SUMIF(Table228[[#All],[Asset]],Table228[[#This Row],[Asset]],Table228[[#All],[Sold Number]])</f>
        <v>366208.85953000002</v>
      </c>
      <c r="N325" s="15">
        <f>SUMIF(Table228[[#All],[Asset]],Table228[[#This Row],[Asset]],Table228[[#All],[Bought amount]])</f>
        <v>144.61587862839701</v>
      </c>
      <c r="O325" s="15">
        <f>SUMIF(Table228[[#All],[Asset]],Table228[[#This Row],[Asset]],Table228[[#All],[Sold amount]])</f>
        <v>59.948390305061004</v>
      </c>
      <c r="P325" s="75">
        <f>Table228[[#This Row],[Total bought Amount]]/Table228[[#This Row],[Total bought Number]]</f>
        <v>3.949E-4</v>
      </c>
      <c r="Q325" s="75">
        <f>IFERROR(Table228[[#This Row],[Total Sold Amount]]/Table228[[#This Row],[Total Sold Number]],0)</f>
        <v>1.6369999999999999E-4</v>
      </c>
      <c r="R325" s="21">
        <f>Table228[[#This Row],[Total bought Number]]-Table228[[#This Row],[Total Sold Number]]</f>
        <v>0</v>
      </c>
      <c r="S325" s="59">
        <f>(Table228[[#This Row],[Ave exit price]]-Table228[[#This Row],[Ave Entry price]])*Table228[[#This Row],[Total Sold Number]]</f>
        <v>-84.667488323336002</v>
      </c>
      <c r="T325" s="15">
        <f>(Table228[[#This Row],[Current Price]]-Table228[[#This Row],[Ave Entry price]])*Table228[[#This Row],[How many tokens now]]</f>
        <v>0</v>
      </c>
      <c r="U325" s="76">
        <f>VLOOKUP(Table228[[#This Row],[Asset]],Table26[#All],10,FALSE)</f>
        <v>3.949E-4</v>
      </c>
    </row>
    <row r="326" spans="1:21">
      <c r="A326" t="s">
        <v>179</v>
      </c>
      <c r="B326" s="68">
        <v>45661</v>
      </c>
      <c r="C326" s="3" t="s">
        <v>176</v>
      </c>
      <c r="D326" t="s">
        <v>498</v>
      </c>
      <c r="E326" t="s">
        <v>189</v>
      </c>
      <c r="F326" s="17">
        <v>673</v>
      </c>
      <c r="G326" s="73">
        <v>-1</v>
      </c>
      <c r="H326" s="61">
        <f t="shared" si="104"/>
        <v>0</v>
      </c>
      <c r="I326" s="67">
        <f t="shared" si="105"/>
        <v>1</v>
      </c>
      <c r="J326" s="15">
        <f t="shared" si="106"/>
        <v>0</v>
      </c>
      <c r="K326" s="15">
        <f t="shared" si="107"/>
        <v>673</v>
      </c>
      <c r="L326">
        <f>SUMIF(Table228[[#All],[Asset]],Table228[[#This Row],[Asset]],Table228[[#All],[Bought number]])</f>
        <v>9</v>
      </c>
      <c r="M326">
        <f>SUMIF(Table228[[#All],[Asset]],Table228[[#This Row],[Asset]],Table228[[#All],[Sold Number]])</f>
        <v>9</v>
      </c>
      <c r="N326" s="15">
        <f>SUMIF(Table228[[#All],[Asset]],Table228[[#This Row],[Asset]],Table228[[#All],[Bought amount]])</f>
        <v>8351.15085</v>
      </c>
      <c r="O326" s="15">
        <f>SUMIF(Table228[[#All],[Asset]],Table228[[#This Row],[Asset]],Table228[[#All],[Sold amount]])</f>
        <v>4261.5684000000001</v>
      </c>
      <c r="P326" s="75">
        <f>Table228[[#This Row],[Total bought Amount]]/Table228[[#This Row],[Total bought Number]]</f>
        <v>927.90565000000004</v>
      </c>
      <c r="Q326" s="75">
        <f>IFERROR(Table228[[#This Row],[Total Sold Amount]]/Table228[[#This Row],[Total Sold Number]],0)</f>
        <v>473.50760000000002</v>
      </c>
      <c r="R326" s="21">
        <f>Table228[[#This Row],[Total bought Number]]-Table228[[#This Row],[Total Sold Number]]</f>
        <v>0</v>
      </c>
      <c r="S326" s="59">
        <f>(Table228[[#This Row],[Ave exit price]]-Table228[[#This Row],[Ave Entry price]])*Table228[[#This Row],[Total Sold Number]]</f>
        <v>-4089.5824499999999</v>
      </c>
      <c r="T326" s="15">
        <f>(Table228[[#This Row],[Current Price]]-Table228[[#This Row],[Ave Entry price]])*Table228[[#This Row],[How many tokens now]]</f>
        <v>0</v>
      </c>
      <c r="U326" s="76">
        <f>VLOOKUP(Table228[[#This Row],[Asset]],Table26[#All],10,FALSE)</f>
        <v>632</v>
      </c>
    </row>
    <row r="327" spans="1:21">
      <c r="A327" t="s">
        <v>503</v>
      </c>
      <c r="B327" s="68">
        <v>45670</v>
      </c>
      <c r="C327" s="3" t="s">
        <v>176</v>
      </c>
      <c r="D327" t="s">
        <v>504</v>
      </c>
      <c r="E327" t="s">
        <v>285</v>
      </c>
      <c r="F327" s="17">
        <v>2.1700000000000001E-2</v>
      </c>
      <c r="G327" s="73">
        <v>6197.29</v>
      </c>
      <c r="H327" s="61">
        <f t="shared" si="104"/>
        <v>6197.29</v>
      </c>
      <c r="I327" s="67">
        <f t="shared" si="105"/>
        <v>0</v>
      </c>
      <c r="J327" s="15">
        <f t="shared" si="106"/>
        <v>134.48119299999999</v>
      </c>
      <c r="K327" s="15">
        <f t="shared" si="107"/>
        <v>0</v>
      </c>
      <c r="L327">
        <f>SUMIF(Table228[[#All],[Asset]],Table228[[#This Row],[Asset]],Table228[[#All],[Bought number]])</f>
        <v>13381.526400000001</v>
      </c>
      <c r="M327">
        <f>SUMIF(Table228[[#All],[Asset]],Table228[[#This Row],[Asset]],Table228[[#All],[Sold Number]])</f>
        <v>9947.2042999999994</v>
      </c>
      <c r="N327" s="15">
        <f>SUMIF(Table228[[#All],[Asset]],Table228[[#This Row],[Asset]],Table228[[#All],[Bought amount]])</f>
        <v>330.43102139999996</v>
      </c>
      <c r="O327" s="15">
        <f>SUMIF(Table228[[#All],[Asset]],Table228[[#This Row],[Asset]],Table228[[#All],[Sold amount]])</f>
        <v>95.493161279999981</v>
      </c>
      <c r="P327" s="75">
        <f>Table228[[#This Row],[Total bought Amount]]/Table228[[#This Row],[Total bought Number]]</f>
        <v>2.4693073982950103E-2</v>
      </c>
      <c r="Q327" s="75">
        <f>IFERROR(Table228[[#This Row],[Total Sold Amount]]/Table228[[#This Row],[Total Sold Number]],0)</f>
        <v>9.5999999999999992E-3</v>
      </c>
      <c r="R327" s="21">
        <f>Table228[[#This Row],[Total bought Number]]-Table228[[#This Row],[Total Sold Number]]</f>
        <v>3434.3221000000012</v>
      </c>
      <c r="S327" s="59">
        <f>(Table228[[#This Row],[Ave exit price]]-Table228[[#This Row],[Ave Entry price]])*Table228[[#This Row],[Total Sold Number]]</f>
        <v>-150.13389042341939</v>
      </c>
      <c r="T327" s="15">
        <f>(Table228[[#This Row],[Current Price]]-Table228[[#This Row],[Ave Entry price]])*Table228[[#This Row],[How many tokens now]]</f>
        <v>-4.0287139045805649</v>
      </c>
      <c r="U327" s="76">
        <f>VLOOKUP(Table228[[#This Row],[Asset]],Table26[#All],10,FALSE)</f>
        <v>2.3519999999999999E-2</v>
      </c>
    </row>
    <row r="328" spans="1:21">
      <c r="A328" t="s">
        <v>17</v>
      </c>
      <c r="B328" s="68">
        <v>45675</v>
      </c>
      <c r="C328" s="3" t="s">
        <v>176</v>
      </c>
      <c r="D328" t="s">
        <v>505</v>
      </c>
      <c r="E328" t="s">
        <v>285</v>
      </c>
      <c r="F328" s="17">
        <v>0.65799799999999997</v>
      </c>
      <c r="G328" s="73">
        <v>-5000</v>
      </c>
      <c r="H328" s="61">
        <f t="shared" si="104"/>
        <v>0</v>
      </c>
      <c r="I328" s="67">
        <f t="shared" si="105"/>
        <v>5000</v>
      </c>
      <c r="J328" s="15">
        <f t="shared" si="106"/>
        <v>0</v>
      </c>
      <c r="K328" s="15">
        <f t="shared" si="107"/>
        <v>3289.99</v>
      </c>
      <c r="L328">
        <f>SUMIF(Table228[[#All],[Asset]],Table228[[#This Row],[Asset]],Table228[[#All],[Bought number]])</f>
        <v>10000</v>
      </c>
      <c r="M328">
        <f>SUMIF(Table228[[#All],[Asset]],Table228[[#This Row],[Asset]],Table228[[#All],[Sold Number]])</f>
        <v>10000</v>
      </c>
      <c r="N328" s="15">
        <f>SUMIF(Table228[[#All],[Asset]],Table228[[#This Row],[Asset]],Table228[[#All],[Bought amount]])</f>
        <v>4100</v>
      </c>
      <c r="O328" s="15">
        <f>SUMIF(Table228[[#All],[Asset]],Table228[[#This Row],[Asset]],Table228[[#All],[Sold amount]])</f>
        <v>7989.99</v>
      </c>
      <c r="P328" s="75">
        <f>Table228[[#This Row],[Total bought Amount]]/Table228[[#This Row],[Total bought Number]]</f>
        <v>0.41</v>
      </c>
      <c r="Q328" s="75">
        <f>IFERROR(Table228[[#This Row],[Total Sold Amount]]/Table228[[#This Row],[Total Sold Number]],0)</f>
        <v>0.79899900000000001</v>
      </c>
      <c r="R328" s="21">
        <f>Table228[[#This Row],[Total bought Number]]-Table228[[#This Row],[Total Sold Number]]</f>
        <v>0</v>
      </c>
      <c r="S328" s="59">
        <f>(Table228[[#This Row],[Ave exit price]]-Table228[[#This Row],[Ave Entry price]])*Table228[[#This Row],[Total Sold Number]]</f>
        <v>3889.9900000000002</v>
      </c>
      <c r="T328" s="15">
        <f>(Table228[[#This Row],[Current Price]]-Table228[[#This Row],[Ave Entry price]])*Table228[[#This Row],[How many tokens now]]</f>
        <v>0</v>
      </c>
      <c r="U328" s="76">
        <f>VLOOKUP(Table228[[#This Row],[Asset]],Table26[#All],10,FALSE)</f>
        <v>0.41</v>
      </c>
    </row>
    <row r="329" spans="1:21">
      <c r="A329" t="s">
        <v>503</v>
      </c>
      <c r="B329" s="68">
        <v>45675</v>
      </c>
      <c r="C329" s="3" t="s">
        <v>176</v>
      </c>
      <c r="D329" t="s">
        <v>505</v>
      </c>
      <c r="E329" t="s">
        <v>285</v>
      </c>
      <c r="F329" s="17">
        <v>2.53E-2</v>
      </c>
      <c r="G329" s="73">
        <v>2609</v>
      </c>
      <c r="H329" s="61">
        <f t="shared" si="104"/>
        <v>2609</v>
      </c>
      <c r="I329" s="67">
        <f t="shared" si="105"/>
        <v>0</v>
      </c>
      <c r="J329" s="15">
        <f t="shared" si="106"/>
        <v>66.0077</v>
      </c>
      <c r="K329" s="15">
        <f t="shared" si="107"/>
        <v>0</v>
      </c>
      <c r="L329">
        <f>SUMIF(Table228[[#All],[Asset]],Table228[[#This Row],[Asset]],Table228[[#All],[Bought number]])</f>
        <v>13381.526400000001</v>
      </c>
      <c r="M329">
        <f>SUMIF(Table228[[#All],[Asset]],Table228[[#This Row],[Asset]],Table228[[#All],[Sold Number]])</f>
        <v>9947.2042999999994</v>
      </c>
      <c r="N329" s="15">
        <f>SUMIF(Table228[[#All],[Asset]],Table228[[#This Row],[Asset]],Table228[[#All],[Bought amount]])</f>
        <v>330.43102139999996</v>
      </c>
      <c r="O329" s="15">
        <f>SUMIF(Table228[[#All],[Asset]],Table228[[#This Row],[Asset]],Table228[[#All],[Sold amount]])</f>
        <v>95.493161279999981</v>
      </c>
      <c r="P329" s="75">
        <f>Table228[[#This Row],[Total bought Amount]]/Table228[[#This Row],[Total bought Number]]</f>
        <v>2.4693073982950103E-2</v>
      </c>
      <c r="Q329" s="75">
        <f>IFERROR(Table228[[#This Row],[Total Sold Amount]]/Table228[[#This Row],[Total Sold Number]],0)</f>
        <v>9.5999999999999992E-3</v>
      </c>
      <c r="R329" s="21">
        <f>Table228[[#This Row],[Total bought Number]]-Table228[[#This Row],[Total Sold Number]]</f>
        <v>3434.3221000000012</v>
      </c>
      <c r="S329" s="59">
        <f>(Table228[[#This Row],[Ave exit price]]-Table228[[#This Row],[Ave Entry price]])*Table228[[#This Row],[Total Sold Number]]</f>
        <v>-150.13389042341939</v>
      </c>
      <c r="T329" s="15">
        <f>(Table228[[#This Row],[Current Price]]-Table228[[#This Row],[Ave Entry price]])*Table228[[#This Row],[How many tokens now]]</f>
        <v>-4.0287139045805649</v>
      </c>
      <c r="U329" s="76">
        <f>VLOOKUP(Table228[[#This Row],[Asset]],Table26[#All],10,FALSE)</f>
        <v>2.3519999999999999E-2</v>
      </c>
    </row>
    <row r="330" spans="1:21">
      <c r="A330" t="s">
        <v>503</v>
      </c>
      <c r="B330" s="68">
        <v>45675</v>
      </c>
      <c r="C330" s="3" t="s">
        <v>176</v>
      </c>
      <c r="D330" t="s">
        <v>505</v>
      </c>
      <c r="E330" t="s">
        <v>285</v>
      </c>
      <c r="F330" s="17">
        <v>2.53E-2</v>
      </c>
      <c r="G330" s="73">
        <f>1162+924</f>
        <v>2086</v>
      </c>
      <c r="H330" s="61">
        <f t="shared" si="104"/>
        <v>2086</v>
      </c>
      <c r="I330" s="67">
        <f t="shared" si="105"/>
        <v>0</v>
      </c>
      <c r="J330" s="15">
        <f t="shared" si="106"/>
        <v>52.775799999999997</v>
      </c>
      <c r="K330" s="15">
        <f t="shared" si="107"/>
        <v>0</v>
      </c>
      <c r="L330">
        <f>SUMIF(Table228[[#All],[Asset]],Table228[[#This Row],[Asset]],Table228[[#All],[Bought number]])</f>
        <v>13381.526400000001</v>
      </c>
      <c r="M330">
        <f>SUMIF(Table228[[#All],[Asset]],Table228[[#This Row],[Asset]],Table228[[#All],[Sold Number]])</f>
        <v>9947.2042999999994</v>
      </c>
      <c r="N330" s="15">
        <f>SUMIF(Table228[[#All],[Asset]],Table228[[#This Row],[Asset]],Table228[[#All],[Bought amount]])</f>
        <v>330.43102139999996</v>
      </c>
      <c r="O330" s="15">
        <f>SUMIF(Table228[[#All],[Asset]],Table228[[#This Row],[Asset]],Table228[[#All],[Sold amount]])</f>
        <v>95.493161279999981</v>
      </c>
      <c r="P330" s="75">
        <f>Table228[[#This Row],[Total bought Amount]]/Table228[[#This Row],[Total bought Number]]</f>
        <v>2.4693073982950103E-2</v>
      </c>
      <c r="Q330" s="75">
        <f>IFERROR(Table228[[#This Row],[Total Sold Amount]]/Table228[[#This Row],[Total Sold Number]],0)</f>
        <v>9.5999999999999992E-3</v>
      </c>
      <c r="R330" s="21">
        <f>Table228[[#This Row],[Total bought Number]]-Table228[[#This Row],[Total Sold Number]]</f>
        <v>3434.3221000000012</v>
      </c>
      <c r="S330" s="59">
        <f>(Table228[[#This Row],[Ave exit price]]-Table228[[#This Row],[Ave Entry price]])*Table228[[#This Row],[Total Sold Number]]</f>
        <v>-150.13389042341939</v>
      </c>
      <c r="T330" s="15">
        <f>(Table228[[#This Row],[Current Price]]-Table228[[#This Row],[Ave Entry price]])*Table228[[#This Row],[How many tokens now]]</f>
        <v>-4.0287139045805649</v>
      </c>
      <c r="U330" s="76">
        <f>VLOOKUP(Table228[[#This Row],[Asset]],Table26[#All],10,FALSE)</f>
        <v>2.3519999999999999E-2</v>
      </c>
    </row>
    <row r="331" spans="1:21">
      <c r="A331" t="s">
        <v>179</v>
      </c>
      <c r="B331" s="68">
        <v>45668</v>
      </c>
      <c r="C331" s="3" t="s">
        <v>176</v>
      </c>
      <c r="D331" t="s">
        <v>498</v>
      </c>
      <c r="E331" t="s">
        <v>189</v>
      </c>
      <c r="F331" s="17">
        <v>700</v>
      </c>
      <c r="G331" s="73">
        <v>-2</v>
      </c>
      <c r="H331" s="61">
        <f t="shared" si="104"/>
        <v>0</v>
      </c>
      <c r="I331" s="67">
        <f t="shared" si="105"/>
        <v>2</v>
      </c>
      <c r="J331" s="15">
        <f t="shared" si="106"/>
        <v>0</v>
      </c>
      <c r="K331" s="15">
        <f t="shared" si="107"/>
        <v>1400</v>
      </c>
      <c r="L331">
        <f>SUMIF(Table228[[#All],[Asset]],Table228[[#This Row],[Asset]],Table228[[#All],[Bought number]])</f>
        <v>9</v>
      </c>
      <c r="M331">
        <f>SUMIF(Table228[[#All],[Asset]],Table228[[#This Row],[Asset]],Table228[[#All],[Sold Number]])</f>
        <v>9</v>
      </c>
      <c r="N331" s="15">
        <f>SUMIF(Table228[[#All],[Asset]],Table228[[#This Row],[Asset]],Table228[[#All],[Bought amount]])</f>
        <v>8351.15085</v>
      </c>
      <c r="O331" s="15">
        <f>SUMIF(Table228[[#All],[Asset]],Table228[[#This Row],[Asset]],Table228[[#All],[Sold amount]])</f>
        <v>4261.5684000000001</v>
      </c>
      <c r="P331" s="75">
        <f>Table228[[#This Row],[Total bought Amount]]/Table228[[#This Row],[Total bought Number]]</f>
        <v>927.90565000000004</v>
      </c>
      <c r="Q331" s="75">
        <f>IFERROR(Table228[[#This Row],[Total Sold Amount]]/Table228[[#This Row],[Total Sold Number]],0)</f>
        <v>473.50760000000002</v>
      </c>
      <c r="R331" s="21">
        <f>Table228[[#This Row],[Total bought Number]]-Table228[[#This Row],[Total Sold Number]]</f>
        <v>0</v>
      </c>
      <c r="S331" s="59">
        <f>(Table228[[#This Row],[Ave exit price]]-Table228[[#This Row],[Ave Entry price]])*Table228[[#This Row],[Total Sold Number]]</f>
        <v>-4089.5824499999999</v>
      </c>
      <c r="T331" s="15">
        <f>(Table228[[#This Row],[Current Price]]-Table228[[#This Row],[Ave Entry price]])*Table228[[#This Row],[How many tokens now]]</f>
        <v>0</v>
      </c>
      <c r="U331" s="76">
        <f>VLOOKUP(Table228[[#This Row],[Asset]],Table26[#All],10,FALSE)</f>
        <v>632</v>
      </c>
    </row>
    <row r="332" spans="1:21">
      <c r="A332" t="s">
        <v>506</v>
      </c>
      <c r="B332" s="68">
        <v>45309</v>
      </c>
      <c r="C332" s="3" t="s">
        <v>176</v>
      </c>
      <c r="D332" t="s">
        <v>507</v>
      </c>
      <c r="E332" t="s">
        <v>285</v>
      </c>
      <c r="F332" s="17">
        <v>1860</v>
      </c>
      <c r="G332" s="73">
        <v>1</v>
      </c>
      <c r="H332" s="61">
        <f t="shared" si="104"/>
        <v>1</v>
      </c>
      <c r="I332" s="67">
        <f t="shared" si="105"/>
        <v>0</v>
      </c>
      <c r="J332" s="15">
        <f t="shared" si="106"/>
        <v>1860</v>
      </c>
      <c r="K332" s="15">
        <f t="shared" si="107"/>
        <v>0</v>
      </c>
      <c r="L332">
        <f>SUMIF(Table228[[#All],[Asset]],Table228[[#This Row],[Asset]],Table228[[#All],[Bought number]])</f>
        <v>1</v>
      </c>
      <c r="M332">
        <f>SUMIF(Table228[[#All],[Asset]],Table228[[#This Row],[Asset]],Table228[[#All],[Sold Number]])</f>
        <v>0</v>
      </c>
      <c r="N332" s="15">
        <f>SUMIF(Table228[[#All],[Asset]],Table228[[#This Row],[Asset]],Table228[[#All],[Bought amount]])</f>
        <v>1860</v>
      </c>
      <c r="O332" s="15">
        <f>SUMIF(Table228[[#All],[Asset]],Table228[[#This Row],[Asset]],Table228[[#All],[Sold amount]])</f>
        <v>0</v>
      </c>
      <c r="P332" s="75">
        <f>Table228[[#This Row],[Total bought Amount]]/Table228[[#This Row],[Total bought Number]]</f>
        <v>1860</v>
      </c>
      <c r="Q332" s="75">
        <f>IFERROR(Table228[[#This Row],[Total Sold Amount]]/Table228[[#This Row],[Total Sold Number]],0)</f>
        <v>0</v>
      </c>
      <c r="R332" s="21">
        <f>Table228[[#This Row],[Total bought Number]]-Table228[[#This Row],[Total Sold Number]]</f>
        <v>1</v>
      </c>
      <c r="S332" s="59">
        <f>(Table228[[#This Row],[Ave exit price]]-Table228[[#This Row],[Ave Entry price]])*Table228[[#This Row],[Total Sold Number]]</f>
        <v>0</v>
      </c>
      <c r="T332" s="15">
        <f>(Table228[[#This Row],[Current Price]]-Table228[[#This Row],[Ave Entry price]])*Table228[[#This Row],[How many tokens now]]</f>
        <v>-1636</v>
      </c>
      <c r="U332" s="76">
        <f>VLOOKUP(Table228[[#This Row],[Asset]],Table26[#All],10,FALSE)</f>
        <v>224</v>
      </c>
    </row>
    <row r="333" spans="1:21">
      <c r="A333" t="s">
        <v>508</v>
      </c>
      <c r="B333" s="68">
        <v>45675</v>
      </c>
      <c r="C333" s="3" t="s">
        <v>175</v>
      </c>
      <c r="D333" t="s">
        <v>76</v>
      </c>
      <c r="E333" t="s">
        <v>189</v>
      </c>
      <c r="F333" s="17">
        <v>6080</v>
      </c>
      <c r="G333" s="73">
        <v>1</v>
      </c>
      <c r="H333" s="61">
        <f t="shared" si="104"/>
        <v>1</v>
      </c>
      <c r="I333" s="67">
        <f t="shared" si="105"/>
        <v>0</v>
      </c>
      <c r="J333" s="15">
        <f t="shared" si="106"/>
        <v>6080</v>
      </c>
      <c r="K333" s="15">
        <f t="shared" si="107"/>
        <v>0</v>
      </c>
      <c r="L333">
        <f>SUMIF(Table228[[#All],[Asset]],Table228[[#This Row],[Asset]],Table228[[#All],[Bought number]])</f>
        <v>2</v>
      </c>
      <c r="M333">
        <f>SUMIF(Table228[[#All],[Asset]],Table228[[#This Row],[Asset]],Table228[[#All],[Sold Number]])</f>
        <v>1</v>
      </c>
      <c r="N333" s="15">
        <f>SUMIF(Table228[[#All],[Asset]],Table228[[#This Row],[Asset]],Table228[[#All],[Bought amount]])</f>
        <v>6908.77</v>
      </c>
      <c r="O333" s="15">
        <f>SUMIF(Table228[[#All],[Asset]],Table228[[#This Row],[Asset]],Table228[[#All],[Sold amount]])</f>
        <v>4800</v>
      </c>
      <c r="P333" s="75">
        <f>Table228[[#This Row],[Total bought Amount]]/Table228[[#This Row],[Total bought Number]]</f>
        <v>3454.3850000000002</v>
      </c>
      <c r="Q333" s="75">
        <f>IFERROR(Table228[[#This Row],[Total Sold Amount]]/Table228[[#This Row],[Total Sold Number]],0)</f>
        <v>4800</v>
      </c>
      <c r="R333" s="21">
        <f>Table228[[#This Row],[Total bought Number]]-Table228[[#This Row],[Total Sold Number]]</f>
        <v>1</v>
      </c>
      <c r="S333" s="59">
        <f>(Table228[[#This Row],[Ave exit price]]-Table228[[#This Row],[Ave Entry price]])*Table228[[#This Row],[Total Sold Number]]</f>
        <v>1345.6149999999998</v>
      </c>
      <c r="T333" s="15">
        <f>(Table228[[#This Row],[Current Price]]-Table228[[#This Row],[Ave Entry price]])*Table228[[#This Row],[How many tokens now]]</f>
        <v>-3453.3850000000002</v>
      </c>
      <c r="U333" s="76">
        <f>VLOOKUP(Table228[[#This Row],[Asset]],Table26[#All],10,FALSE)</f>
        <v>1</v>
      </c>
    </row>
    <row r="334" spans="1:21">
      <c r="A334" t="s">
        <v>489</v>
      </c>
      <c r="B334" s="68">
        <v>45675</v>
      </c>
      <c r="C334" s="3" t="s">
        <v>176</v>
      </c>
      <c r="D334" t="s">
        <v>68</v>
      </c>
      <c r="E334" t="s">
        <v>189</v>
      </c>
      <c r="F334" s="17">
        <v>0.21429999999999999</v>
      </c>
      <c r="G334" s="73">
        <v>-2261.67</v>
      </c>
      <c r="H334" s="61">
        <f t="shared" si="104"/>
        <v>0</v>
      </c>
      <c r="I334" s="67">
        <f t="shared" si="105"/>
        <v>2261.67</v>
      </c>
      <c r="J334" s="15">
        <f t="shared" si="106"/>
        <v>0</v>
      </c>
      <c r="K334" s="15">
        <f t="shared" si="107"/>
        <v>484.675881</v>
      </c>
      <c r="L334">
        <f>SUMIF(Table228[[#All],[Asset]],Table228[[#This Row],[Asset]],Table228[[#All],[Bought number]])</f>
        <v>4523.3402420000002</v>
      </c>
      <c r="M334">
        <f>SUMIF(Table228[[#All],[Asset]],Table228[[#This Row],[Asset]],Table228[[#All],[Sold Number]])</f>
        <v>4523.34</v>
      </c>
      <c r="N334" s="15">
        <f>SUMIF(Table228[[#All],[Asset]],Table228[[#This Row],[Asset]],Table228[[#All],[Bought amount]])</f>
        <v>1457.4202259724</v>
      </c>
      <c r="O334" s="15">
        <f>SUMIF(Table228[[#All],[Asset]],Table228[[#This Row],[Asset]],Table228[[#All],[Sold amount]])</f>
        <v>2038.895505</v>
      </c>
      <c r="P334" s="75">
        <f>Table228[[#This Row],[Total bought Amount]]/Table228[[#This Row],[Total bought Number]]</f>
        <v>0.32219999999999999</v>
      </c>
      <c r="Q334" s="75">
        <f>IFERROR(Table228[[#This Row],[Total Sold Amount]]/Table228[[#This Row],[Total Sold Number]],0)</f>
        <v>0.45074999999999998</v>
      </c>
      <c r="R334" s="21">
        <f>Table228[[#This Row],[Total bought Number]]-Table228[[#This Row],[Total Sold Number]]</f>
        <v>2.4200000007112976E-4</v>
      </c>
      <c r="S334" s="59">
        <f>(Table228[[#This Row],[Ave exit price]]-Table228[[#This Row],[Ave Entry price]])*Table228[[#This Row],[Total Sold Number]]</f>
        <v>581.47535700000003</v>
      </c>
      <c r="T334" s="15">
        <f>(Table228[[#This Row],[Current Price]]-Table228[[#This Row],[Ave Entry price]])*Table228[[#This Row],[How many tokens now]]</f>
        <v>-6.7760000019915585E-7</v>
      </c>
      <c r="U334" s="76">
        <f>VLOOKUP(Table228[[#This Row],[Asset]],Table26[#All],10,FALSE)</f>
        <v>0.31940000000000002</v>
      </c>
    </row>
    <row r="335" spans="1:21">
      <c r="A335" t="s">
        <v>488</v>
      </c>
      <c r="B335" s="68">
        <v>45675</v>
      </c>
      <c r="C335" s="3" t="s">
        <v>176</v>
      </c>
      <c r="D335" t="s">
        <v>68</v>
      </c>
      <c r="E335" t="s">
        <v>189</v>
      </c>
      <c r="F335" s="17">
        <v>1.1559999999999999</v>
      </c>
      <c r="G335" s="73">
        <v>-1697.14</v>
      </c>
      <c r="H335" s="61">
        <f t="shared" si="104"/>
        <v>0</v>
      </c>
      <c r="I335" s="67">
        <f t="shared" si="105"/>
        <v>1697.14</v>
      </c>
      <c r="J335" s="15">
        <f t="shared" si="106"/>
        <v>0</v>
      </c>
      <c r="K335" s="15">
        <f t="shared" si="107"/>
        <v>1961.89384</v>
      </c>
      <c r="L335">
        <f>SUMIF(Table228[[#All],[Asset]],Table228[[#This Row],[Asset]],Table228[[#All],[Bought number]])</f>
        <v>10732.516218000001</v>
      </c>
      <c r="M335">
        <f>SUMIF(Table228[[#All],[Asset]],Table228[[#This Row],[Asset]],Table228[[#All],[Sold Number]])</f>
        <v>10733.14</v>
      </c>
      <c r="N335" s="15">
        <f>SUMIF(Table228[[#All],[Asset]],Table228[[#This Row],[Asset]],Table228[[#All],[Bought amount]])</f>
        <v>2421.5213093886</v>
      </c>
      <c r="O335" s="15">
        <f>SUMIF(Table228[[#All],[Asset]],Table228[[#This Row],[Asset]],Table228[[#All],[Sold amount]])</f>
        <v>3936.9138400000002</v>
      </c>
      <c r="P335" s="75">
        <f>Table228[[#This Row],[Total bought Amount]]/Table228[[#This Row],[Total bought Number]]</f>
        <v>0.22562475194096182</v>
      </c>
      <c r="Q335" s="75">
        <f>IFERROR(Table228[[#This Row],[Total Sold Amount]]/Table228[[#This Row],[Total Sold Number]],0)</f>
        <v>0.36679982186014537</v>
      </c>
      <c r="R335" s="21">
        <f>Table228[[#This Row],[Total bought Number]]-Table228[[#This Row],[Total Sold Number]]</f>
        <v>-0.62378199999875505</v>
      </c>
      <c r="S335" s="59">
        <f>(Table228[[#This Row],[Ave exit price]]-Table228[[#This Row],[Ave Entry price]])*Table228[[#This Row],[Total Sold Number]]</f>
        <v>1515.2517899523857</v>
      </c>
      <c r="T335" s="15">
        <f>(Table228[[#This Row],[Current Price]]-Table228[[#This Row],[Ave Entry price]])*Table228[[#This Row],[How many tokens now]]</f>
        <v>-6.5107400984633024E-2</v>
      </c>
      <c r="U335" s="76">
        <f>VLOOKUP(Table228[[#This Row],[Asset]],Table26[#All],10,FALSE)</f>
        <v>0.33</v>
      </c>
    </row>
    <row r="336" spans="1:21">
      <c r="A336" t="s">
        <v>496</v>
      </c>
      <c r="B336" s="68">
        <v>45675</v>
      </c>
      <c r="C336" s="3" t="s">
        <v>176</v>
      </c>
      <c r="D336" t="s">
        <v>68</v>
      </c>
      <c r="E336" t="s">
        <v>248</v>
      </c>
      <c r="F336" s="17">
        <v>0.4133</v>
      </c>
      <c r="G336" s="73">
        <v>116.15</v>
      </c>
      <c r="H336" s="61">
        <f t="shared" si="104"/>
        <v>116.15</v>
      </c>
      <c r="I336" s="67">
        <f t="shared" si="105"/>
        <v>0</v>
      </c>
      <c r="J336" s="15">
        <f t="shared" si="106"/>
        <v>48.004795000000001</v>
      </c>
      <c r="K336" s="15">
        <f t="shared" si="107"/>
        <v>0</v>
      </c>
      <c r="L336">
        <f>SUMIF(Table228[[#All],[Asset]],Table228[[#This Row],[Asset]],Table228[[#All],[Bought number]])</f>
        <v>25905.172225000002</v>
      </c>
      <c r="M336">
        <f>SUMIF(Table228[[#All],[Asset]],Table228[[#This Row],[Asset]],Table228[[#All],[Sold Number]])</f>
        <v>23901.696294000001</v>
      </c>
      <c r="N336" s="15">
        <f>SUMIF(Table228[[#All],[Asset]],Table228[[#This Row],[Asset]],Table228[[#All],[Bought amount]])</f>
        <v>7316.0232461972755</v>
      </c>
      <c r="O336" s="15">
        <f>SUMIF(Table228[[#All],[Asset]],Table228[[#This Row],[Asset]],Table228[[#All],[Sold amount]])</f>
        <v>3343.162250846</v>
      </c>
      <c r="P336" s="75">
        <f>Table228[[#This Row],[Total bought Amount]]/Table228[[#This Row],[Total bought Number]]</f>
        <v>0.282415541678464</v>
      </c>
      <c r="Q336" s="75">
        <f>IFERROR(Table228[[#This Row],[Total Sold Amount]]/Table228[[#This Row],[Total Sold Number]],0)</f>
        <v>0.13987133840727564</v>
      </c>
      <c r="R336" s="21">
        <f>Table228[[#This Row],[Total bought Number]]-Table228[[#This Row],[Total Sold Number]]</f>
        <v>2003.4759310000009</v>
      </c>
      <c r="S336" s="59">
        <f>(Table228[[#This Row],[Ave exit price]]-Table228[[#This Row],[Ave Entry price]])*Table228[[#This Row],[Total Sold Number]]</f>
        <v>-3407.0482550581455</v>
      </c>
      <c r="T336" s="15">
        <f>(Table228[[#This Row],[Current Price]]-Table228[[#This Row],[Ave Entry price]])*Table228[[#This Row],[How many tokens now]]</f>
        <v>-365.46514719313012</v>
      </c>
      <c r="U336" s="76">
        <f>VLOOKUP(Table228[[#This Row],[Asset]],Table26[#All],10,FALSE)</f>
        <v>0.1</v>
      </c>
    </row>
    <row r="337" spans="1:21">
      <c r="A337" t="s">
        <v>496</v>
      </c>
      <c r="B337" s="68">
        <v>45675</v>
      </c>
      <c r="C337" s="3" t="s">
        <v>176</v>
      </c>
      <c r="D337" t="s">
        <v>68</v>
      </c>
      <c r="E337" t="s">
        <v>241</v>
      </c>
      <c r="F337" s="17">
        <v>0.4133</v>
      </c>
      <c r="G337" s="73">
        <v>6120</v>
      </c>
      <c r="H337" s="61">
        <f t="shared" si="104"/>
        <v>6120</v>
      </c>
      <c r="I337" s="67">
        <f t="shared" si="105"/>
        <v>0</v>
      </c>
      <c r="J337" s="15">
        <f t="shared" si="106"/>
        <v>2529.3960000000002</v>
      </c>
      <c r="K337" s="15">
        <f t="shared" si="107"/>
        <v>0</v>
      </c>
      <c r="L337">
        <f>SUMIF(Table228[[#All],[Asset]],Table228[[#This Row],[Asset]],Table228[[#All],[Bought number]])</f>
        <v>25905.172225000002</v>
      </c>
      <c r="M337">
        <f>SUMIF(Table228[[#All],[Asset]],Table228[[#This Row],[Asset]],Table228[[#All],[Sold Number]])</f>
        <v>23901.696294000001</v>
      </c>
      <c r="N337" s="15">
        <f>SUMIF(Table228[[#All],[Asset]],Table228[[#This Row],[Asset]],Table228[[#All],[Bought amount]])</f>
        <v>7316.0232461972755</v>
      </c>
      <c r="O337" s="15">
        <f>SUMIF(Table228[[#All],[Asset]],Table228[[#This Row],[Asset]],Table228[[#All],[Sold amount]])</f>
        <v>3343.162250846</v>
      </c>
      <c r="P337" s="75">
        <f>Table228[[#This Row],[Total bought Amount]]/Table228[[#This Row],[Total bought Number]]</f>
        <v>0.282415541678464</v>
      </c>
      <c r="Q337" s="75">
        <f>IFERROR(Table228[[#This Row],[Total Sold Amount]]/Table228[[#This Row],[Total Sold Number]],0)</f>
        <v>0.13987133840727564</v>
      </c>
      <c r="R337" s="21">
        <f>Table228[[#This Row],[Total bought Number]]-Table228[[#This Row],[Total Sold Number]]</f>
        <v>2003.4759310000009</v>
      </c>
      <c r="S337" s="59">
        <f>(Table228[[#This Row],[Ave exit price]]-Table228[[#This Row],[Ave Entry price]])*Table228[[#This Row],[Total Sold Number]]</f>
        <v>-3407.0482550581455</v>
      </c>
      <c r="T337" s="15">
        <f>(Table228[[#This Row],[Current Price]]-Table228[[#This Row],[Ave Entry price]])*Table228[[#This Row],[How many tokens now]]</f>
        <v>-365.46514719313012</v>
      </c>
      <c r="U337" s="76">
        <f>VLOOKUP(Table228[[#This Row],[Asset]],Table26[#All],10,FALSE)</f>
        <v>0.1</v>
      </c>
    </row>
    <row r="338" spans="1:21">
      <c r="A338" t="s">
        <v>510</v>
      </c>
      <c r="B338" s="68">
        <v>45677</v>
      </c>
      <c r="C338" s="3" t="s">
        <v>509</v>
      </c>
      <c r="D338" t="s">
        <v>68</v>
      </c>
      <c r="E338" t="s">
        <v>189</v>
      </c>
      <c r="F338" s="17">
        <v>2.7000000000000001E-3</v>
      </c>
      <c r="G338" s="73">
        <v>1000000</v>
      </c>
      <c r="H338" s="61">
        <f t="shared" si="104"/>
        <v>1000000</v>
      </c>
      <c r="I338" s="67">
        <f t="shared" si="105"/>
        <v>0</v>
      </c>
      <c r="J338" s="15">
        <f t="shared" si="106"/>
        <v>2700</v>
      </c>
      <c r="K338" s="15">
        <f t="shared" si="107"/>
        <v>0</v>
      </c>
      <c r="L338">
        <f>SUMIF(Table228[[#All],[Asset]],Table228[[#This Row],[Asset]],Table228[[#All],[Bought number]])</f>
        <v>1000000</v>
      </c>
      <c r="M338">
        <f>SUMIF(Table228[[#All],[Asset]],Table228[[#This Row],[Asset]],Table228[[#All],[Sold Number]])</f>
        <v>1000000</v>
      </c>
      <c r="N338" s="15">
        <f>SUMIF(Table228[[#All],[Asset]],Table228[[#This Row],[Asset]],Table228[[#All],[Bought amount]])</f>
        <v>2700</v>
      </c>
      <c r="O338" s="15">
        <f>SUMIF(Table228[[#All],[Asset]],Table228[[#This Row],[Asset]],Table228[[#All],[Sold amount]])</f>
        <v>3298</v>
      </c>
      <c r="P338" s="75">
        <f>Table228[[#This Row],[Total bought Amount]]/Table228[[#This Row],[Total bought Number]]</f>
        <v>2.7000000000000001E-3</v>
      </c>
      <c r="Q338" s="75">
        <f>IFERROR(Table228[[#This Row],[Total Sold Amount]]/Table228[[#This Row],[Total Sold Number]],0)</f>
        <v>3.2980000000000002E-3</v>
      </c>
      <c r="R338" s="21">
        <f>Table228[[#This Row],[Total bought Number]]-Table228[[#This Row],[Total Sold Number]]</f>
        <v>0</v>
      </c>
      <c r="S338" s="59">
        <f>(Table228[[#This Row],[Ave exit price]]-Table228[[#This Row],[Ave Entry price]])*Table228[[#This Row],[Total Sold Number]]</f>
        <v>598</v>
      </c>
      <c r="T338" s="15">
        <f>(Table228[[#This Row],[Current Price]]-Table228[[#This Row],[Ave Entry price]])*Table228[[#This Row],[How many tokens now]]</f>
        <v>0</v>
      </c>
      <c r="U338" s="76">
        <f>VLOOKUP(Table228[[#This Row],[Asset]],Table26[#All],10,FALSE)</f>
        <v>2.5339999999999998E-3</v>
      </c>
    </row>
    <row r="339" spans="1:21">
      <c r="A339" t="s">
        <v>223</v>
      </c>
      <c r="B339" s="68">
        <v>45677</v>
      </c>
      <c r="C339" s="3" t="s">
        <v>509</v>
      </c>
      <c r="D339" t="s">
        <v>68</v>
      </c>
      <c r="E339" t="s">
        <v>189</v>
      </c>
      <c r="F339" s="17">
        <v>0.2717</v>
      </c>
      <c r="G339" s="73">
        <v>-8362</v>
      </c>
      <c r="H339" s="61">
        <f t="shared" si="104"/>
        <v>0</v>
      </c>
      <c r="I339" s="67">
        <f t="shared" si="105"/>
        <v>8362</v>
      </c>
      <c r="J339" s="15">
        <f t="shared" si="106"/>
        <v>0</v>
      </c>
      <c r="K339" s="15">
        <f t="shared" si="107"/>
        <v>2271.9553999999998</v>
      </c>
      <c r="L339">
        <f>SUMIF(Table228[[#All],[Asset]],Table228[[#This Row],[Asset]],Table228[[#All],[Bought number]])</f>
        <v>70451.060641000004</v>
      </c>
      <c r="M339">
        <f>SUMIF(Table228[[#All],[Asset]],Table228[[#This Row],[Asset]],Table228[[#All],[Sold Number]])</f>
        <v>77094.547770000005</v>
      </c>
      <c r="N339" s="15">
        <f>SUMIF(Table228[[#All],[Asset]],Table228[[#This Row],[Asset]],Table228[[#All],[Bought amount]])</f>
        <v>20784.213577025603</v>
      </c>
      <c r="O339" s="15">
        <f>SUMIF(Table228[[#All],[Asset]],Table228[[#This Row],[Asset]],Table228[[#All],[Sold amount]])</f>
        <v>19239.062667060869</v>
      </c>
      <c r="P339" s="75">
        <f>Table228[[#This Row],[Total bought Amount]]/Table228[[#This Row],[Total bought Number]]</f>
        <v>0.29501633315268971</v>
      </c>
      <c r="Q339" s="75">
        <f>IFERROR(Table228[[#This Row],[Total Sold Amount]]/Table228[[#This Row],[Total Sold Number]],0)</f>
        <v>0.24955153410404224</v>
      </c>
      <c r="R339" s="21">
        <f>Table228[[#This Row],[Total bought Number]]-Table228[[#This Row],[Total Sold Number]]</f>
        <v>-6643.487129000001</v>
      </c>
      <c r="S339" s="59">
        <f>(Table228[[#This Row],[Ave exit price]]-Table228[[#This Row],[Ave Entry price]])*Table228[[#This Row],[Total Sold Number]]</f>
        <v>-3505.0881221094037</v>
      </c>
      <c r="T339" s="15">
        <f>(Table228[[#This Row],[Current Price]]-Table228[[#This Row],[Ave Entry price]])*Table228[[#This Row],[How many tokens now]]</f>
        <v>631.23978634467016</v>
      </c>
      <c r="U339" s="76">
        <f>VLOOKUP(Table228[[#This Row],[Asset]],Table26[#All],10,FALSE)</f>
        <v>0.2</v>
      </c>
    </row>
    <row r="340" spans="1:21">
      <c r="A340" t="s">
        <v>502</v>
      </c>
      <c r="B340" s="68">
        <v>45677</v>
      </c>
      <c r="C340" s="3" t="s">
        <v>509</v>
      </c>
      <c r="D340" t="s">
        <v>68</v>
      </c>
      <c r="E340" t="s">
        <v>189</v>
      </c>
      <c r="F340" s="17">
        <v>1.6369999999999999E-4</v>
      </c>
      <c r="G340" s="73">
        <v>-366208.85953000002</v>
      </c>
      <c r="H340" s="61">
        <f t="shared" si="104"/>
        <v>0</v>
      </c>
      <c r="I340" s="67">
        <f t="shared" si="105"/>
        <v>366208.85953000002</v>
      </c>
      <c r="J340" s="15">
        <f t="shared" si="106"/>
        <v>0</v>
      </c>
      <c r="K340" s="15">
        <f t="shared" si="107"/>
        <v>59.948390305061004</v>
      </c>
      <c r="L340">
        <f>SUMIF(Table228[[#All],[Asset]],Table228[[#This Row],[Asset]],Table228[[#All],[Bought number]])</f>
        <v>366208.85953000002</v>
      </c>
      <c r="M340">
        <f>SUMIF(Table228[[#All],[Asset]],Table228[[#This Row],[Asset]],Table228[[#All],[Sold Number]])</f>
        <v>366208.85953000002</v>
      </c>
      <c r="N340" s="15">
        <f>SUMIF(Table228[[#All],[Asset]],Table228[[#This Row],[Asset]],Table228[[#All],[Bought amount]])</f>
        <v>144.61587862839701</v>
      </c>
      <c r="O340" s="15">
        <f>SUMIF(Table228[[#All],[Asset]],Table228[[#This Row],[Asset]],Table228[[#All],[Sold amount]])</f>
        <v>59.948390305061004</v>
      </c>
      <c r="P340" s="75">
        <f>Table228[[#This Row],[Total bought Amount]]/Table228[[#This Row],[Total bought Number]]</f>
        <v>3.949E-4</v>
      </c>
      <c r="Q340" s="75">
        <f>IFERROR(Table228[[#This Row],[Total Sold Amount]]/Table228[[#This Row],[Total Sold Number]],0)</f>
        <v>1.6369999999999999E-4</v>
      </c>
      <c r="R340" s="21">
        <f>Table228[[#This Row],[Total bought Number]]-Table228[[#This Row],[Total Sold Number]]</f>
        <v>0</v>
      </c>
      <c r="S340" s="59">
        <f>(Table228[[#This Row],[Ave exit price]]-Table228[[#This Row],[Ave Entry price]])*Table228[[#This Row],[Total Sold Number]]</f>
        <v>-84.667488323336002</v>
      </c>
      <c r="T340" s="15">
        <f>(Table228[[#This Row],[Current Price]]-Table228[[#This Row],[Ave Entry price]])*Table228[[#This Row],[How many tokens now]]</f>
        <v>0</v>
      </c>
      <c r="U340" s="76">
        <f>VLOOKUP(Table228[[#This Row],[Asset]],Table26[#All],10,FALSE)</f>
        <v>3.949E-4</v>
      </c>
    </row>
    <row r="341" spans="1:21">
      <c r="A341" t="s">
        <v>67</v>
      </c>
      <c r="B341" s="68">
        <v>45677</v>
      </c>
      <c r="C341" s="3" t="s">
        <v>509</v>
      </c>
      <c r="D341" t="s">
        <v>68</v>
      </c>
      <c r="E341" t="s">
        <v>276</v>
      </c>
      <c r="F341" s="17">
        <v>0.3</v>
      </c>
      <c r="G341" s="73">
        <v>-1000</v>
      </c>
      <c r="H341" s="61">
        <f t="shared" si="104"/>
        <v>0</v>
      </c>
      <c r="I341" s="67">
        <f t="shared" si="105"/>
        <v>1000</v>
      </c>
      <c r="J341" s="15">
        <f t="shared" si="106"/>
        <v>0</v>
      </c>
      <c r="K341" s="15">
        <f t="shared" si="107"/>
        <v>300</v>
      </c>
      <c r="L341">
        <f>SUMIF(Table228[[#All],[Asset]],Table228[[#This Row],[Asset]],Table228[[#All],[Bought number]])</f>
        <v>34194.467916000001</v>
      </c>
      <c r="M341">
        <f>SUMIF(Table228[[#All],[Asset]],Table228[[#This Row],[Asset]],Table228[[#All],[Sold Number]])</f>
        <v>34195.061103</v>
      </c>
      <c r="N341" s="15">
        <f>SUMIF(Table228[[#All],[Asset]],Table228[[#This Row],[Asset]],Table228[[#All],[Bought amount]])</f>
        <v>8337.2121048291392</v>
      </c>
      <c r="O341" s="15">
        <f>SUMIF(Table228[[#All],[Asset]],Table228[[#This Row],[Asset]],Table228[[#All],[Sold amount]])</f>
        <v>4877.1257709650927</v>
      </c>
      <c r="P341" s="75">
        <f>Table228[[#This Row],[Total bought Amount]]/Table228[[#This Row],[Total bought Number]]</f>
        <v>0.24381757088046566</v>
      </c>
      <c r="Q341" s="75">
        <f>IFERROR(Table228[[#This Row],[Total Sold Amount]]/Table228[[#This Row],[Total Sold Number]],0)</f>
        <v>0.14262661371695029</v>
      </c>
      <c r="R341" s="21">
        <f>Table228[[#This Row],[Total bought Number]]-Table228[[#This Row],[Total Sold Number]]</f>
        <v>-0.59318699999857927</v>
      </c>
      <c r="S341" s="59">
        <f>(Table228[[#This Row],[Ave exit price]]-Table228[[#This Row],[Ave Entry price]])*Table228[[#This Row],[Total Sold Number]]</f>
        <v>-3460.2309632774636</v>
      </c>
      <c r="T341" s="15">
        <f>(Table228[[#This Row],[Current Price]]-Table228[[#This Row],[Ave Entry price]])*Table228[[#This Row],[How many tokens now]]</f>
        <v>3.7855753417780115E-2</v>
      </c>
      <c r="U341" s="76">
        <f>VLOOKUP(Table228[[#This Row],[Asset]],Table26[#All],10,FALSE)</f>
        <v>0.18</v>
      </c>
    </row>
    <row r="342" spans="1:21">
      <c r="A342" t="s">
        <v>510</v>
      </c>
      <c r="B342" s="68">
        <v>45678</v>
      </c>
      <c r="C342" s="3" t="s">
        <v>176</v>
      </c>
      <c r="D342" t="s">
        <v>68</v>
      </c>
      <c r="E342" t="s">
        <v>511</v>
      </c>
      <c r="F342" s="17">
        <v>3.539E-3</v>
      </c>
      <c r="G342" s="73">
        <v>-500000</v>
      </c>
      <c r="H342" s="61">
        <f t="shared" ref="H342:H348" si="108">IF(G342&gt;0,G342,0)</f>
        <v>0</v>
      </c>
      <c r="I342" s="67">
        <f t="shared" ref="I342:I348" si="109">IF(G342&lt;0,ABS(G342),0)</f>
        <v>500000</v>
      </c>
      <c r="J342" s="15">
        <f t="shared" ref="J342:J348" si="110">H342*F342</f>
        <v>0</v>
      </c>
      <c r="K342" s="15">
        <f t="shared" ref="K342:K348" si="111">I342*F342</f>
        <v>1769.5</v>
      </c>
      <c r="L342">
        <f>SUMIF(Table228[[#All],[Asset]],Table228[[#This Row],[Asset]],Table228[[#All],[Bought number]])</f>
        <v>1000000</v>
      </c>
      <c r="M342">
        <f>SUMIF(Table228[[#All],[Asset]],Table228[[#This Row],[Asset]],Table228[[#All],[Sold Number]])</f>
        <v>1000000</v>
      </c>
      <c r="N342" s="15">
        <f>SUMIF(Table228[[#All],[Asset]],Table228[[#This Row],[Asset]],Table228[[#All],[Bought amount]])</f>
        <v>2700</v>
      </c>
      <c r="O342" s="15">
        <f>SUMIF(Table228[[#All],[Asset]],Table228[[#This Row],[Asset]],Table228[[#All],[Sold amount]])</f>
        <v>3298</v>
      </c>
      <c r="P342" s="75">
        <f>Table228[[#This Row],[Total bought Amount]]/Table228[[#This Row],[Total bought Number]]</f>
        <v>2.7000000000000001E-3</v>
      </c>
      <c r="Q342" s="75">
        <f>IFERROR(Table228[[#This Row],[Total Sold Amount]]/Table228[[#This Row],[Total Sold Number]],0)</f>
        <v>3.2980000000000002E-3</v>
      </c>
      <c r="R342" s="21">
        <f>Table228[[#This Row],[Total bought Number]]-Table228[[#This Row],[Total Sold Number]]</f>
        <v>0</v>
      </c>
      <c r="S342" s="59">
        <f>(Table228[[#This Row],[Ave exit price]]-Table228[[#This Row],[Ave Entry price]])*Table228[[#This Row],[Total Sold Number]]</f>
        <v>598</v>
      </c>
      <c r="T342" s="15">
        <f>(Table228[[#This Row],[Current Price]]-Table228[[#This Row],[Ave Entry price]])*Table228[[#This Row],[How many tokens now]]</f>
        <v>0</v>
      </c>
      <c r="U342" s="76">
        <f>VLOOKUP(Table228[[#This Row],[Asset]],Table26[#All],10,FALSE)</f>
        <v>2.5339999999999998E-3</v>
      </c>
    </row>
    <row r="343" spans="1:21">
      <c r="A343" t="s">
        <v>510</v>
      </c>
      <c r="B343" s="68">
        <v>45680</v>
      </c>
      <c r="C343" s="3" t="s">
        <v>176</v>
      </c>
      <c r="D343" t="s">
        <v>68</v>
      </c>
      <c r="E343" t="s">
        <v>511</v>
      </c>
      <c r="F343" s="17">
        <v>3.0569999999999998E-3</v>
      </c>
      <c r="G343" s="73">
        <v>-500000</v>
      </c>
      <c r="H343" s="61">
        <f t="shared" si="108"/>
        <v>0</v>
      </c>
      <c r="I343" s="67">
        <f t="shared" si="109"/>
        <v>500000</v>
      </c>
      <c r="J343" s="15">
        <f t="shared" si="110"/>
        <v>0</v>
      </c>
      <c r="K343" s="15">
        <f t="shared" si="111"/>
        <v>1528.5</v>
      </c>
      <c r="L343">
        <f>SUMIF(Table228[[#All],[Asset]],Table228[[#This Row],[Asset]],Table228[[#All],[Bought number]])</f>
        <v>1000000</v>
      </c>
      <c r="M343">
        <f>SUMIF(Table228[[#All],[Asset]],Table228[[#This Row],[Asset]],Table228[[#All],[Sold Number]])</f>
        <v>1000000</v>
      </c>
      <c r="N343" s="15">
        <f>SUMIF(Table228[[#All],[Asset]],Table228[[#This Row],[Asset]],Table228[[#All],[Bought amount]])</f>
        <v>2700</v>
      </c>
      <c r="O343" s="15">
        <f>SUMIF(Table228[[#All],[Asset]],Table228[[#This Row],[Asset]],Table228[[#All],[Sold amount]])</f>
        <v>3298</v>
      </c>
      <c r="P343" s="75">
        <f>Table228[[#This Row],[Total bought Amount]]/Table228[[#This Row],[Total bought Number]]</f>
        <v>2.7000000000000001E-3</v>
      </c>
      <c r="Q343" s="75">
        <f>IFERROR(Table228[[#This Row],[Total Sold Amount]]/Table228[[#This Row],[Total Sold Number]],0)</f>
        <v>3.2980000000000002E-3</v>
      </c>
      <c r="R343" s="21">
        <f>Table228[[#This Row],[Total bought Number]]-Table228[[#This Row],[Total Sold Number]]</f>
        <v>0</v>
      </c>
      <c r="S343" s="59">
        <f>(Table228[[#This Row],[Ave exit price]]-Table228[[#This Row],[Ave Entry price]])*Table228[[#This Row],[Total Sold Number]]</f>
        <v>598</v>
      </c>
      <c r="T343" s="15">
        <f>(Table228[[#This Row],[Current Price]]-Table228[[#This Row],[Ave Entry price]])*Table228[[#This Row],[How many tokens now]]</f>
        <v>0</v>
      </c>
      <c r="U343" s="76">
        <f>VLOOKUP(Table228[[#This Row],[Asset]],Table26[#All],10,FALSE)</f>
        <v>2.5339999999999998E-3</v>
      </c>
    </row>
    <row r="344" spans="1:21">
      <c r="A344" t="s">
        <v>223</v>
      </c>
      <c r="B344" s="68">
        <v>45680</v>
      </c>
      <c r="C344" s="3" t="s">
        <v>176</v>
      </c>
      <c r="D344" t="s">
        <v>68</v>
      </c>
      <c r="E344" t="s">
        <v>270</v>
      </c>
      <c r="F344" s="17">
        <v>0.29599999999999999</v>
      </c>
      <c r="G344" s="73">
        <v>-6000</v>
      </c>
      <c r="H344" s="61">
        <f t="shared" si="108"/>
        <v>0</v>
      </c>
      <c r="I344" s="67">
        <f t="shared" si="109"/>
        <v>6000</v>
      </c>
      <c r="J344" s="15">
        <f t="shared" si="110"/>
        <v>0</v>
      </c>
      <c r="K344" s="15">
        <f t="shared" si="111"/>
        <v>1776</v>
      </c>
      <c r="L344">
        <f>SUMIF(Table228[[#All],[Asset]],Table228[[#This Row],[Asset]],Table228[[#All],[Bought number]])</f>
        <v>70451.060641000004</v>
      </c>
      <c r="M344">
        <f>SUMIF(Table228[[#All],[Asset]],Table228[[#This Row],[Asset]],Table228[[#All],[Sold Number]])</f>
        <v>77094.547770000005</v>
      </c>
      <c r="N344" s="15">
        <f>SUMIF(Table228[[#All],[Asset]],Table228[[#This Row],[Asset]],Table228[[#All],[Bought amount]])</f>
        <v>20784.213577025603</v>
      </c>
      <c r="O344" s="15">
        <f>SUMIF(Table228[[#All],[Asset]],Table228[[#This Row],[Asset]],Table228[[#All],[Sold amount]])</f>
        <v>19239.062667060869</v>
      </c>
      <c r="P344" s="75">
        <f>Table228[[#This Row],[Total bought Amount]]/Table228[[#This Row],[Total bought Number]]</f>
        <v>0.29501633315268971</v>
      </c>
      <c r="Q344" s="75">
        <f>IFERROR(Table228[[#This Row],[Total Sold Amount]]/Table228[[#This Row],[Total Sold Number]],0)</f>
        <v>0.24955153410404224</v>
      </c>
      <c r="R344" s="21">
        <f>Table228[[#This Row],[Total bought Number]]-Table228[[#This Row],[Total Sold Number]]</f>
        <v>-6643.487129000001</v>
      </c>
      <c r="S344" s="59">
        <f>(Table228[[#This Row],[Ave exit price]]-Table228[[#This Row],[Ave Entry price]])*Table228[[#This Row],[Total Sold Number]]</f>
        <v>-3505.0881221094037</v>
      </c>
      <c r="T344" s="15">
        <f>(Table228[[#This Row],[Current Price]]-Table228[[#This Row],[Ave Entry price]])*Table228[[#This Row],[How many tokens now]]</f>
        <v>631.23978634467016</v>
      </c>
      <c r="U344" s="76">
        <f>VLOOKUP(Table228[[#This Row],[Asset]],Table26[#All],10,FALSE)</f>
        <v>0.2</v>
      </c>
    </row>
    <row r="345" spans="1:21">
      <c r="A345" t="s">
        <v>496</v>
      </c>
      <c r="B345" s="68">
        <v>45680</v>
      </c>
      <c r="C345" s="3" t="s">
        <v>176</v>
      </c>
      <c r="D345" t="s">
        <v>68</v>
      </c>
      <c r="E345" t="s">
        <v>270</v>
      </c>
      <c r="F345" s="17">
        <v>0.372</v>
      </c>
      <c r="G345" s="73">
        <v>4769</v>
      </c>
      <c r="H345" s="61">
        <f t="shared" si="108"/>
        <v>4769</v>
      </c>
      <c r="I345" s="67">
        <f t="shared" si="109"/>
        <v>0</v>
      </c>
      <c r="J345" s="15">
        <f t="shared" si="110"/>
        <v>1774.068</v>
      </c>
      <c r="K345" s="15">
        <f t="shared" si="111"/>
        <v>0</v>
      </c>
      <c r="L345">
        <f>SUMIF(Table228[[#All],[Asset]],Table228[[#This Row],[Asset]],Table228[[#All],[Bought number]])</f>
        <v>25905.172225000002</v>
      </c>
      <c r="M345">
        <f>SUMIF(Table228[[#All],[Asset]],Table228[[#This Row],[Asset]],Table228[[#All],[Sold Number]])</f>
        <v>23901.696294000001</v>
      </c>
      <c r="N345" s="15">
        <f>SUMIF(Table228[[#All],[Asset]],Table228[[#This Row],[Asset]],Table228[[#All],[Bought amount]])</f>
        <v>7316.0232461972755</v>
      </c>
      <c r="O345" s="15">
        <f>SUMIF(Table228[[#All],[Asset]],Table228[[#This Row],[Asset]],Table228[[#All],[Sold amount]])</f>
        <v>3343.162250846</v>
      </c>
      <c r="P345" s="75">
        <f>Table228[[#This Row],[Total bought Amount]]/Table228[[#This Row],[Total bought Number]]</f>
        <v>0.282415541678464</v>
      </c>
      <c r="Q345" s="75">
        <f>IFERROR(Table228[[#This Row],[Total Sold Amount]]/Table228[[#This Row],[Total Sold Number]],0)</f>
        <v>0.13987133840727564</v>
      </c>
      <c r="R345" s="21">
        <f>Table228[[#This Row],[Total bought Number]]-Table228[[#This Row],[Total Sold Number]]</f>
        <v>2003.4759310000009</v>
      </c>
      <c r="S345" s="59">
        <f>(Table228[[#This Row],[Ave exit price]]-Table228[[#This Row],[Ave Entry price]])*Table228[[#This Row],[Total Sold Number]]</f>
        <v>-3407.0482550581455</v>
      </c>
      <c r="T345" s="15">
        <f>(Table228[[#This Row],[Current Price]]-Table228[[#This Row],[Ave Entry price]])*Table228[[#This Row],[How many tokens now]]</f>
        <v>-365.46514719313012</v>
      </c>
      <c r="U345" s="76">
        <f>VLOOKUP(Table228[[#This Row],[Asset]],Table26[#All],10,FALSE)</f>
        <v>0.1</v>
      </c>
    </row>
    <row r="346" spans="1:21">
      <c r="A346" t="s">
        <v>508</v>
      </c>
      <c r="B346" s="68">
        <v>45684</v>
      </c>
      <c r="C346" s="3" t="s">
        <v>176</v>
      </c>
      <c r="D346" t="s">
        <v>68</v>
      </c>
      <c r="E346" t="s">
        <v>189</v>
      </c>
      <c r="F346" s="17">
        <v>4800</v>
      </c>
      <c r="G346" s="73">
        <v>-1</v>
      </c>
      <c r="H346" s="61">
        <f t="shared" si="108"/>
        <v>0</v>
      </c>
      <c r="I346" s="67">
        <f t="shared" si="109"/>
        <v>1</v>
      </c>
      <c r="J346" s="15">
        <f t="shared" si="110"/>
        <v>0</v>
      </c>
      <c r="K346" s="15">
        <f t="shared" si="111"/>
        <v>4800</v>
      </c>
      <c r="L346">
        <f>SUMIF(Table228[[#All],[Asset]],Table228[[#This Row],[Asset]],Table228[[#All],[Bought number]])</f>
        <v>2</v>
      </c>
      <c r="M346">
        <f>SUMIF(Table228[[#All],[Asset]],Table228[[#This Row],[Asset]],Table228[[#All],[Sold Number]])</f>
        <v>1</v>
      </c>
      <c r="N346" s="15">
        <f>SUMIF(Table228[[#All],[Asset]],Table228[[#This Row],[Asset]],Table228[[#All],[Bought amount]])</f>
        <v>6908.77</v>
      </c>
      <c r="O346" s="15">
        <f>SUMIF(Table228[[#All],[Asset]],Table228[[#This Row],[Asset]],Table228[[#All],[Sold amount]])</f>
        <v>4800</v>
      </c>
      <c r="P346" s="75">
        <f>Table228[[#This Row],[Total bought Amount]]/Table228[[#This Row],[Total bought Number]]</f>
        <v>3454.3850000000002</v>
      </c>
      <c r="Q346" s="75">
        <f>IFERROR(Table228[[#This Row],[Total Sold Amount]]/Table228[[#This Row],[Total Sold Number]],0)</f>
        <v>4800</v>
      </c>
      <c r="R346" s="21">
        <f>Table228[[#This Row],[Total bought Number]]-Table228[[#This Row],[Total Sold Number]]</f>
        <v>1</v>
      </c>
      <c r="S346" s="59">
        <f>(Table228[[#This Row],[Ave exit price]]-Table228[[#This Row],[Ave Entry price]])*Table228[[#This Row],[Total Sold Number]]</f>
        <v>1345.6149999999998</v>
      </c>
      <c r="T346" s="15">
        <f>(Table228[[#This Row],[Current Price]]-Table228[[#This Row],[Ave Entry price]])*Table228[[#This Row],[How many tokens now]]</f>
        <v>-3453.3850000000002</v>
      </c>
      <c r="U346" s="76">
        <f>VLOOKUP(Table228[[#This Row],[Asset]],Table26[#All],10,FALSE)</f>
        <v>1</v>
      </c>
    </row>
    <row r="347" spans="1:21">
      <c r="A347" t="s">
        <v>273</v>
      </c>
      <c r="B347" s="68">
        <v>45684</v>
      </c>
      <c r="C347" s="3" t="s">
        <v>176</v>
      </c>
      <c r="D347" t="s">
        <v>68</v>
      </c>
      <c r="E347" t="s">
        <v>189</v>
      </c>
      <c r="F347" s="17">
        <v>3.1399999999999997E-2</v>
      </c>
      <c r="G347" s="73">
        <v>155517.70525999999</v>
      </c>
      <c r="H347" s="61">
        <f t="shared" si="108"/>
        <v>155517.70525999999</v>
      </c>
      <c r="I347" s="67">
        <f t="shared" si="109"/>
        <v>0</v>
      </c>
      <c r="J347" s="15">
        <f t="shared" si="110"/>
        <v>4883.2559451639991</v>
      </c>
      <c r="K347" s="15">
        <f t="shared" si="111"/>
        <v>0</v>
      </c>
      <c r="L347">
        <f>SUMIF(Table228[[#All],[Asset]],Table228[[#This Row],[Asset]],Table228[[#All],[Bought number]])</f>
        <v>798337.86606299994</v>
      </c>
      <c r="M347">
        <f>SUMIF(Table228[[#All],[Asset]],Table228[[#This Row],[Asset]],Table228[[#All],[Sold Number]])</f>
        <v>798338.03632399999</v>
      </c>
      <c r="N347" s="15">
        <f>SUMIF(Table228[[#All],[Asset]],Table228[[#This Row],[Asset]],Table228[[#All],[Bought amount]])</f>
        <v>24349.581039704975</v>
      </c>
      <c r="O347" s="15">
        <f>SUMIF(Table228[[#All],[Asset]],Table228[[#This Row],[Asset]],Table228[[#All],[Sold amount]])</f>
        <v>12344.863481975535</v>
      </c>
      <c r="P347" s="75">
        <f>Table228[[#This Row],[Total bought Amount]]/Table228[[#This Row],[Total bought Number]]</f>
        <v>3.0500345874591717E-2</v>
      </c>
      <c r="Q347" s="75">
        <f>IFERROR(Table228[[#This Row],[Total Sold Amount]]/Table228[[#This Row],[Total Sold Number]],0)</f>
        <v>1.5463203455541554E-2</v>
      </c>
      <c r="R347" s="21">
        <f>Table228[[#This Row],[Total bought Number]]-Table228[[#This Row],[Total Sold Number]]</f>
        <v>-0.17026100005023181</v>
      </c>
      <c r="S347" s="59">
        <f>(Table228[[#This Row],[Ave exit price]]-Table228[[#This Row],[Ave Entry price]])*Table228[[#This Row],[Total Sold Number]]</f>
        <v>-12004.72275074883</v>
      </c>
      <c r="T347" s="15">
        <f>(Table228[[#This Row],[Current Price]]-Table228[[#This Row],[Ave Entry price]])*Table228[[#This Row],[How many tokens now]]</f>
        <v>3.3201483899333983E-3</v>
      </c>
      <c r="U347" s="76">
        <f>VLOOKUP(Table228[[#This Row],[Asset]],Table26[#All],10,FALSE)</f>
        <v>1.0999999999999999E-2</v>
      </c>
    </row>
    <row r="348" spans="1:21">
      <c r="A348" t="s">
        <v>273</v>
      </c>
      <c r="B348" s="68">
        <v>45684</v>
      </c>
      <c r="C348" s="3" t="s">
        <v>176</v>
      </c>
      <c r="D348" t="s">
        <v>68</v>
      </c>
      <c r="E348" t="s">
        <v>189</v>
      </c>
      <c r="F348" s="17">
        <v>3.1230000000000001E-2</v>
      </c>
      <c r="G348" s="73">
        <v>42838.26771</v>
      </c>
      <c r="H348" s="61">
        <f t="shared" si="108"/>
        <v>42838.26771</v>
      </c>
      <c r="I348" s="67">
        <f t="shared" si="109"/>
        <v>0</v>
      </c>
      <c r="J348" s="15">
        <f t="shared" si="110"/>
        <v>1337.8391005833</v>
      </c>
      <c r="K348" s="15">
        <f t="shared" si="111"/>
        <v>0</v>
      </c>
      <c r="L348">
        <f>SUMIF(Table228[[#All],[Asset]],Table228[[#This Row],[Asset]],Table228[[#All],[Bought number]])</f>
        <v>798337.86606299994</v>
      </c>
      <c r="M348">
        <f>SUMIF(Table228[[#All],[Asset]],Table228[[#This Row],[Asset]],Table228[[#All],[Sold Number]])</f>
        <v>798338.03632399999</v>
      </c>
      <c r="N348" s="15">
        <f>SUMIF(Table228[[#All],[Asset]],Table228[[#This Row],[Asset]],Table228[[#All],[Bought amount]])</f>
        <v>24349.581039704975</v>
      </c>
      <c r="O348" s="15">
        <f>SUMIF(Table228[[#All],[Asset]],Table228[[#This Row],[Asset]],Table228[[#All],[Sold amount]])</f>
        <v>12344.863481975535</v>
      </c>
      <c r="P348" s="75">
        <f>Table228[[#This Row],[Total bought Amount]]/Table228[[#This Row],[Total bought Number]]</f>
        <v>3.0500345874591717E-2</v>
      </c>
      <c r="Q348" s="75">
        <f>IFERROR(Table228[[#This Row],[Total Sold Amount]]/Table228[[#This Row],[Total Sold Number]],0)</f>
        <v>1.5463203455541554E-2</v>
      </c>
      <c r="R348" s="21">
        <f>Table228[[#This Row],[Total bought Number]]-Table228[[#This Row],[Total Sold Number]]</f>
        <v>-0.17026100005023181</v>
      </c>
      <c r="S348" s="59">
        <f>(Table228[[#This Row],[Ave exit price]]-Table228[[#This Row],[Ave Entry price]])*Table228[[#This Row],[Total Sold Number]]</f>
        <v>-12004.72275074883</v>
      </c>
      <c r="T348" s="15">
        <f>(Table228[[#This Row],[Current Price]]-Table228[[#This Row],[Ave Entry price]])*Table228[[#This Row],[How many tokens now]]</f>
        <v>3.3201483899333983E-3</v>
      </c>
      <c r="U348" s="76">
        <f>VLOOKUP(Table228[[#This Row],[Asset]],Table26[#All],10,FALSE)</f>
        <v>1.0999999999999999E-2</v>
      </c>
    </row>
    <row r="349" spans="1:21">
      <c r="A349" t="s">
        <v>508</v>
      </c>
      <c r="B349" s="68">
        <v>45686</v>
      </c>
      <c r="C349" s="3" t="s">
        <v>175</v>
      </c>
      <c r="D349" t="s">
        <v>76</v>
      </c>
      <c r="E349" t="s">
        <v>189</v>
      </c>
      <c r="F349" s="17">
        <v>828.77</v>
      </c>
      <c r="G349" s="73">
        <v>1</v>
      </c>
      <c r="H349" s="61">
        <f t="shared" ref="H349:H354" si="112">IF(G349&gt;0,G349,0)</f>
        <v>1</v>
      </c>
      <c r="I349" s="67">
        <f t="shared" ref="I349:I354" si="113">IF(G349&lt;0,ABS(G349),0)</f>
        <v>0</v>
      </c>
      <c r="J349" s="15">
        <f t="shared" ref="J349:J354" si="114">H349*F349</f>
        <v>828.77</v>
      </c>
      <c r="K349" s="15">
        <f t="shared" ref="K349:K354" si="115">I349*F349</f>
        <v>0</v>
      </c>
      <c r="L349">
        <f>SUMIF(Table228[[#All],[Asset]],Table228[[#This Row],[Asset]],Table228[[#All],[Bought number]])</f>
        <v>2</v>
      </c>
      <c r="M349">
        <f>SUMIF(Table228[[#All],[Asset]],Table228[[#This Row],[Asset]],Table228[[#All],[Sold Number]])</f>
        <v>1</v>
      </c>
      <c r="N349" s="15">
        <f>SUMIF(Table228[[#All],[Asset]],Table228[[#This Row],[Asset]],Table228[[#All],[Bought amount]])</f>
        <v>6908.77</v>
      </c>
      <c r="O349" s="15">
        <f>SUMIF(Table228[[#All],[Asset]],Table228[[#This Row],[Asset]],Table228[[#All],[Sold amount]])</f>
        <v>4800</v>
      </c>
      <c r="P349" s="75">
        <f>Table228[[#This Row],[Total bought Amount]]/Table228[[#This Row],[Total bought Number]]</f>
        <v>3454.3850000000002</v>
      </c>
      <c r="Q349" s="75">
        <f>IFERROR(Table228[[#This Row],[Total Sold Amount]]/Table228[[#This Row],[Total Sold Number]],0)</f>
        <v>4800</v>
      </c>
      <c r="R349" s="21">
        <f>Table228[[#This Row],[Total bought Number]]-Table228[[#This Row],[Total Sold Number]]</f>
        <v>1</v>
      </c>
      <c r="S349" s="59">
        <f>(Table228[[#This Row],[Ave exit price]]-Table228[[#This Row],[Ave Entry price]])*Table228[[#This Row],[Total Sold Number]]</f>
        <v>1345.6149999999998</v>
      </c>
      <c r="T349" s="15">
        <f>(Table228[[#This Row],[Current Price]]-Table228[[#This Row],[Ave Entry price]])*Table228[[#This Row],[How many tokens now]]</f>
        <v>-3453.3850000000002</v>
      </c>
      <c r="U349" s="76">
        <f>VLOOKUP(Table228[[#This Row],[Asset]],Table26[#All],10,FALSE)</f>
        <v>1</v>
      </c>
    </row>
    <row r="350" spans="1:21">
      <c r="A350" t="s">
        <v>503</v>
      </c>
      <c r="B350" s="68">
        <v>45688</v>
      </c>
      <c r="C350" s="3" t="s">
        <v>176</v>
      </c>
      <c r="D350" t="s">
        <v>505</v>
      </c>
      <c r="E350" t="s">
        <v>285</v>
      </c>
      <c r="F350" s="17">
        <v>3.1E-2</v>
      </c>
      <c r="G350" s="73">
        <v>2489.2363999999998</v>
      </c>
      <c r="H350" s="61">
        <f t="shared" si="112"/>
        <v>2489.2363999999998</v>
      </c>
      <c r="I350" s="67">
        <f t="shared" si="113"/>
        <v>0</v>
      </c>
      <c r="J350" s="15">
        <f t="shared" si="114"/>
        <v>77.166328399999998</v>
      </c>
      <c r="K350" s="15">
        <f t="shared" si="115"/>
        <v>0</v>
      </c>
      <c r="L350">
        <f>SUMIF(Table228[[#All],[Asset]],Table228[[#This Row],[Asset]],Table228[[#All],[Bought number]])</f>
        <v>13381.526400000001</v>
      </c>
      <c r="M350">
        <f>SUMIF(Table228[[#All],[Asset]],Table228[[#This Row],[Asset]],Table228[[#All],[Sold Number]])</f>
        <v>9947.2042999999994</v>
      </c>
      <c r="N350" s="15">
        <f>SUMIF(Table228[[#All],[Asset]],Table228[[#This Row],[Asset]],Table228[[#All],[Bought amount]])</f>
        <v>330.43102139999996</v>
      </c>
      <c r="O350" s="15">
        <f>SUMIF(Table228[[#All],[Asset]],Table228[[#This Row],[Asset]],Table228[[#All],[Sold amount]])</f>
        <v>95.493161279999981</v>
      </c>
      <c r="P350" s="75">
        <f>Table228[[#This Row],[Total bought Amount]]/Table228[[#This Row],[Total bought Number]]</f>
        <v>2.4693073982950103E-2</v>
      </c>
      <c r="Q350" s="75">
        <f>IFERROR(Table228[[#This Row],[Total Sold Amount]]/Table228[[#This Row],[Total Sold Number]],0)</f>
        <v>9.5999999999999992E-3</v>
      </c>
      <c r="R350" s="21">
        <f>Table228[[#This Row],[Total bought Number]]-Table228[[#This Row],[Total Sold Number]]</f>
        <v>3434.3221000000012</v>
      </c>
      <c r="S350" s="59">
        <f>(Table228[[#This Row],[Ave exit price]]-Table228[[#This Row],[Ave Entry price]])*Table228[[#This Row],[Total Sold Number]]</f>
        <v>-150.13389042341939</v>
      </c>
      <c r="T350" s="15">
        <f>(Table228[[#This Row],[Current Price]]-Table228[[#This Row],[Ave Entry price]])*Table228[[#This Row],[How many tokens now]]</f>
        <v>-4.0287139045805649</v>
      </c>
      <c r="U350" s="76">
        <f>VLOOKUP(Table228[[#This Row],[Asset]],Table26[#All],10,FALSE)</f>
        <v>2.3519999999999999E-2</v>
      </c>
    </row>
    <row r="351" spans="1:21">
      <c r="A351" t="s">
        <v>273</v>
      </c>
      <c r="B351" s="68">
        <v>45688</v>
      </c>
      <c r="C351" s="3" t="s">
        <v>176</v>
      </c>
      <c r="D351" t="s">
        <v>68</v>
      </c>
      <c r="E351" t="s">
        <v>241</v>
      </c>
      <c r="F351" s="17">
        <v>3.3939999999999998E-2</v>
      </c>
      <c r="G351" s="73">
        <v>-198355.972966</v>
      </c>
      <c r="H351" s="61">
        <f t="shared" si="112"/>
        <v>0</v>
      </c>
      <c r="I351" s="67">
        <f t="shared" si="113"/>
        <v>198355.972966</v>
      </c>
      <c r="J351" s="15">
        <f t="shared" si="114"/>
        <v>0</v>
      </c>
      <c r="K351" s="15">
        <f t="shared" si="115"/>
        <v>6732.2017224660394</v>
      </c>
      <c r="L351">
        <f>SUMIF(Table228[[#All],[Asset]],Table228[[#This Row],[Asset]],Table228[[#All],[Bought number]])</f>
        <v>798337.86606299994</v>
      </c>
      <c r="M351">
        <f>SUMIF(Table228[[#All],[Asset]],Table228[[#This Row],[Asset]],Table228[[#All],[Sold Number]])</f>
        <v>798338.03632399999</v>
      </c>
      <c r="N351" s="15">
        <f>SUMIF(Table228[[#All],[Asset]],Table228[[#This Row],[Asset]],Table228[[#All],[Bought amount]])</f>
        <v>24349.581039704975</v>
      </c>
      <c r="O351" s="15">
        <f>SUMIF(Table228[[#All],[Asset]],Table228[[#This Row],[Asset]],Table228[[#All],[Sold amount]])</f>
        <v>12344.863481975535</v>
      </c>
      <c r="P351" s="75">
        <f>Table228[[#This Row],[Total bought Amount]]/Table228[[#This Row],[Total bought Number]]</f>
        <v>3.0500345874591717E-2</v>
      </c>
      <c r="Q351" s="75">
        <f>IFERROR(Table228[[#This Row],[Total Sold Amount]]/Table228[[#This Row],[Total Sold Number]],0)</f>
        <v>1.5463203455541554E-2</v>
      </c>
      <c r="R351" s="21">
        <f>Table228[[#This Row],[Total bought Number]]-Table228[[#This Row],[Total Sold Number]]</f>
        <v>-0.17026100005023181</v>
      </c>
      <c r="S351" s="59">
        <f>(Table228[[#This Row],[Ave exit price]]-Table228[[#This Row],[Ave Entry price]])*Table228[[#This Row],[Total Sold Number]]</f>
        <v>-12004.72275074883</v>
      </c>
      <c r="T351" s="15">
        <f>(Table228[[#This Row],[Current Price]]-Table228[[#This Row],[Ave Entry price]])*Table228[[#This Row],[How many tokens now]]</f>
        <v>3.3201483899333983E-3</v>
      </c>
      <c r="U351" s="76">
        <f>VLOOKUP(Table228[[#This Row],[Asset]],Table26[#All],10,FALSE)</f>
        <v>1.0999999999999999E-2</v>
      </c>
    </row>
    <row r="352" spans="1:21">
      <c r="A352" t="s">
        <v>492</v>
      </c>
      <c r="B352" s="68">
        <v>45701</v>
      </c>
      <c r="C352" s="3" t="s">
        <v>176</v>
      </c>
      <c r="D352" t="s">
        <v>68</v>
      </c>
      <c r="E352" t="s">
        <v>248</v>
      </c>
      <c r="F352" s="17">
        <v>1.72823E-2</v>
      </c>
      <c r="G352" s="73">
        <v>87050</v>
      </c>
      <c r="H352" s="61">
        <f t="shared" si="112"/>
        <v>87050</v>
      </c>
      <c r="I352" s="67">
        <f t="shared" si="113"/>
        <v>0</v>
      </c>
      <c r="J352" s="15">
        <f t="shared" si="114"/>
        <v>1504.424215</v>
      </c>
      <c r="K352" s="15">
        <f t="shared" si="115"/>
        <v>0</v>
      </c>
      <c r="L352">
        <f>SUMIF(Table228[[#All],[Asset]],Table228[[#This Row],[Asset]],Table228[[#All],[Bought number]])</f>
        <v>133382.22486300001</v>
      </c>
      <c r="M352">
        <f>SUMIF(Table228[[#All],[Asset]],Table228[[#This Row],[Asset]],Table228[[#All],[Sold Number]])</f>
        <v>133382.2249</v>
      </c>
      <c r="N352" s="15">
        <f>SUMIF(Table228[[#All],[Asset]],Table228[[#This Row],[Asset]],Table228[[#All],[Bought amount]])</f>
        <v>2305.5593483286193</v>
      </c>
      <c r="O352" s="15">
        <f>SUMIF(Table228[[#All],[Asset]],Table228[[#This Row],[Asset]],Table228[[#All],[Sold amount]])</f>
        <v>441.16170885675001</v>
      </c>
      <c r="P352" s="75">
        <f>Table228[[#This Row],[Total bought Amount]]/Table228[[#This Row],[Total bought Number]]</f>
        <v>1.7285356805951564E-2</v>
      </c>
      <c r="Q352" s="75">
        <f>IFERROR(Table228[[#This Row],[Total Sold Amount]]/Table228[[#This Row],[Total Sold Number]],0)</f>
        <v>3.3075000000000001E-3</v>
      </c>
      <c r="R352" s="21">
        <f>Table228[[#This Row],[Total bought Number]]-Table228[[#This Row],[Total Sold Number]]</f>
        <v>-3.6999990697950125E-5</v>
      </c>
      <c r="S352" s="59">
        <f>(Table228[[#This Row],[Ave exit price]]-Table228[[#This Row],[Ave Entry price]])*Table228[[#This Row],[Total Sold Number]]</f>
        <v>-1864.3976401114273</v>
      </c>
      <c r="T352" s="15">
        <f>(Table228[[#This Row],[Current Price]]-Table228[[#This Row],[Ave Entry price]])*Table228[[#This Row],[How many tokens now]]</f>
        <v>3.740831077731646E-7</v>
      </c>
      <c r="U352" s="76">
        <f>VLOOKUP(Table228[[#This Row],[Asset]],Table26[#All],10,FALSE)</f>
        <v>7.175E-3</v>
      </c>
    </row>
    <row r="353" spans="1:21">
      <c r="A353" t="s">
        <v>481</v>
      </c>
      <c r="B353" s="68">
        <v>45715</v>
      </c>
      <c r="C353" s="3" t="s">
        <v>509</v>
      </c>
      <c r="D353" t="s">
        <v>68</v>
      </c>
      <c r="E353" t="s">
        <v>276</v>
      </c>
      <c r="F353" s="17">
        <v>1.3</v>
      </c>
      <c r="G353" s="73">
        <v>-330.71</v>
      </c>
      <c r="H353" s="61">
        <f t="shared" si="112"/>
        <v>0</v>
      </c>
      <c r="I353" s="67">
        <f t="shared" si="113"/>
        <v>330.71</v>
      </c>
      <c r="J353" s="15">
        <f t="shared" si="114"/>
        <v>0</v>
      </c>
      <c r="K353" s="15">
        <f t="shared" si="115"/>
        <v>429.923</v>
      </c>
      <c r="L353">
        <f>SUMIF(Table228[[#All],[Asset]],Table228[[#This Row],[Asset]],Table228[[#All],[Bought number]])</f>
        <v>414</v>
      </c>
      <c r="M353">
        <f>SUMIF(Table228[[#All],[Asset]],Table228[[#This Row],[Asset]],Table228[[#All],[Sold Number]])</f>
        <v>641.46</v>
      </c>
      <c r="N353" s="15">
        <f>SUMIF(Table228[[#All],[Asset]],Table228[[#This Row],[Asset]],Table228[[#All],[Bought amount]])</f>
        <v>0</v>
      </c>
      <c r="O353" s="15">
        <f>SUMIF(Table228[[#All],[Asset]],Table228[[#This Row],[Asset]],Table228[[#All],[Sold amount]])</f>
        <v>2048.6905000000002</v>
      </c>
      <c r="P353" s="75">
        <f>Table228[[#This Row],[Total bought Amount]]/Table228[[#This Row],[Total bought Number]]</f>
        <v>0</v>
      </c>
      <c r="Q353" s="75">
        <f>IFERROR(Table228[[#This Row],[Total Sold Amount]]/Table228[[#This Row],[Total Sold Number]],0)</f>
        <v>3.1937930658186016</v>
      </c>
      <c r="R353" s="21">
        <f>Table228[[#This Row],[Total bought Number]]-Table228[[#This Row],[Total Sold Number]]</f>
        <v>-227.46000000000004</v>
      </c>
      <c r="S353" s="59">
        <f>(Table228[[#This Row],[Ave exit price]]-Table228[[#This Row],[Ave Entry price]])*Table228[[#This Row],[Total Sold Number]]</f>
        <v>2048.6905000000002</v>
      </c>
      <c r="T353" s="15">
        <f>(Table228[[#This Row],[Current Price]]-Table228[[#This Row],[Ave Entry price]])*Table228[[#This Row],[How many tokens now]]</f>
        <v>-1294.2474000000002</v>
      </c>
      <c r="U353" s="76">
        <f>VLOOKUP(Table228[[#This Row],[Asset]],Table26[#All],10,FALSE)</f>
        <v>5.69</v>
      </c>
    </row>
    <row r="354" spans="1:21">
      <c r="A354" t="s">
        <v>67</v>
      </c>
      <c r="B354" s="68">
        <v>45715</v>
      </c>
      <c r="C354" s="3" t="s">
        <v>509</v>
      </c>
      <c r="D354" t="s">
        <v>68</v>
      </c>
      <c r="E354" t="s">
        <v>276</v>
      </c>
      <c r="F354" s="17">
        <v>0.2</v>
      </c>
      <c r="G354" s="73">
        <v>-5343.5367999999999</v>
      </c>
      <c r="H354" s="61">
        <f t="shared" si="112"/>
        <v>0</v>
      </c>
      <c r="I354" s="67">
        <f t="shared" si="113"/>
        <v>5343.5367999999999</v>
      </c>
      <c r="J354" s="15">
        <f t="shared" si="114"/>
        <v>0</v>
      </c>
      <c r="K354" s="15">
        <f t="shared" si="115"/>
        <v>1068.7073600000001</v>
      </c>
      <c r="L354">
        <f>SUMIF(Table228[[#All],[Asset]],Table228[[#This Row],[Asset]],Table228[[#All],[Bought number]])</f>
        <v>34194.467916000001</v>
      </c>
      <c r="M354">
        <f>SUMIF(Table228[[#All],[Asset]],Table228[[#This Row],[Asset]],Table228[[#All],[Sold Number]])</f>
        <v>34195.061103</v>
      </c>
      <c r="N354" s="15">
        <f>SUMIF(Table228[[#All],[Asset]],Table228[[#This Row],[Asset]],Table228[[#All],[Bought amount]])</f>
        <v>8337.2121048291392</v>
      </c>
      <c r="O354" s="15">
        <f>SUMIF(Table228[[#All],[Asset]],Table228[[#This Row],[Asset]],Table228[[#All],[Sold amount]])</f>
        <v>4877.1257709650927</v>
      </c>
      <c r="P354" s="75">
        <f>Table228[[#This Row],[Total bought Amount]]/Table228[[#This Row],[Total bought Number]]</f>
        <v>0.24381757088046566</v>
      </c>
      <c r="Q354" s="75">
        <f>IFERROR(Table228[[#This Row],[Total Sold Amount]]/Table228[[#This Row],[Total Sold Number]],0)</f>
        <v>0.14262661371695029</v>
      </c>
      <c r="R354" s="21">
        <f>Table228[[#This Row],[Total bought Number]]-Table228[[#This Row],[Total Sold Number]]</f>
        <v>-0.59318699999857927</v>
      </c>
      <c r="S354" s="59">
        <f>(Table228[[#This Row],[Ave exit price]]-Table228[[#This Row],[Ave Entry price]])*Table228[[#This Row],[Total Sold Number]]</f>
        <v>-3460.2309632774636</v>
      </c>
      <c r="T354" s="15">
        <f>(Table228[[#This Row],[Current Price]]-Table228[[#This Row],[Ave Entry price]])*Table228[[#This Row],[How many tokens now]]</f>
        <v>3.7855753417780115E-2</v>
      </c>
      <c r="U354" s="76">
        <f>VLOOKUP(Table228[[#This Row],[Asset]],Table26[#All],10,FALSE)</f>
        <v>0.18</v>
      </c>
    </row>
    <row r="355" spans="1:21">
      <c r="A355" t="s">
        <v>225</v>
      </c>
      <c r="B355" s="68">
        <v>45716</v>
      </c>
      <c r="C355" s="3" t="s">
        <v>176</v>
      </c>
      <c r="D355" t="s">
        <v>68</v>
      </c>
      <c r="E355" t="s">
        <v>276</v>
      </c>
      <c r="F355" s="17">
        <v>15.19</v>
      </c>
      <c r="G355" s="73">
        <v>97.312516000000002</v>
      </c>
      <c r="H355" s="61">
        <f t="shared" ref="H355:H364" si="116">IF(G355&gt;0,G355,0)</f>
        <v>97.312516000000002</v>
      </c>
      <c r="I355" s="67">
        <f t="shared" ref="I355:I364" si="117">IF(G355&lt;0,ABS(G355),0)</f>
        <v>0</v>
      </c>
      <c r="J355" s="15">
        <f t="shared" ref="J355:J364" si="118">H355*F355</f>
        <v>1478.1771180400001</v>
      </c>
      <c r="K355" s="15">
        <f t="shared" ref="K355:K364" si="119">I355*F355</f>
        <v>0</v>
      </c>
      <c r="L355">
        <f>SUMIF(Table228[[#All],[Asset]],Table228[[#This Row],[Asset]],Table228[[#All],[Bought number]])</f>
        <v>251.69107600000001</v>
      </c>
      <c r="M355">
        <f>SUMIF(Table228[[#All],[Asset]],Table228[[#This Row],[Asset]],Table228[[#All],[Sold Number]])</f>
        <v>251.68856</v>
      </c>
      <c r="N355" s="15">
        <f>SUMIF(Table228[[#All],[Asset]],Table228[[#This Row],[Asset]],Table228[[#All],[Bought amount]])</f>
        <v>1941.31279804</v>
      </c>
      <c r="O355" s="15">
        <f>SUMIF(Table228[[#All],[Asset]],Table228[[#This Row],[Asset]],Table228[[#All],[Sold amount]])</f>
        <v>1363.3561943999998</v>
      </c>
      <c r="P355" s="75">
        <f>Table228[[#This Row],[Total bought Amount]]/Table228[[#This Row],[Total bought Number]]</f>
        <v>7.713077590561852</v>
      </c>
      <c r="Q355" s="75">
        <f>IFERROR(Table228[[#This Row],[Total Sold Amount]]/Table228[[#This Row],[Total Sold Number]],0)</f>
        <v>5.4168381526756715</v>
      </c>
      <c r="R355" s="21">
        <f>Table228[[#This Row],[Total bought Number]]-Table228[[#This Row],[Total Sold Number]]</f>
        <v>2.5160000000141736E-3</v>
      </c>
      <c r="S355" s="59">
        <f>(Table228[[#This Row],[Ave exit price]]-Table228[[#This Row],[Ave Entry price]])*Table228[[#This Row],[Total Sold Number]]</f>
        <v>-577.93719753678226</v>
      </c>
      <c r="T355" s="15">
        <f>(Table228[[#This Row],[Current Price]]-Table228[[#This Row],[Ave Entry price]])*Table228[[#This Row],[How many tokens now]]</f>
        <v>-1.4374103217934595E-2</v>
      </c>
      <c r="U355" s="76">
        <f>VLOOKUP(Table228[[#This Row],[Asset]],Table26[#All],10,FALSE)</f>
        <v>2</v>
      </c>
    </row>
    <row r="356" spans="1:21">
      <c r="A356" t="s">
        <v>225</v>
      </c>
      <c r="B356" s="68">
        <v>45723</v>
      </c>
      <c r="C356" s="3" t="s">
        <v>176</v>
      </c>
      <c r="D356" t="s">
        <v>68</v>
      </c>
      <c r="E356" t="s">
        <v>276</v>
      </c>
      <c r="F356" s="17">
        <v>11.25</v>
      </c>
      <c r="G356" s="73">
        <v>-97.31</v>
      </c>
      <c r="H356" s="61">
        <f t="shared" si="116"/>
        <v>0</v>
      </c>
      <c r="I356" s="67">
        <f t="shared" si="117"/>
        <v>97.31</v>
      </c>
      <c r="J356" s="15">
        <f t="shared" si="118"/>
        <v>0</v>
      </c>
      <c r="K356" s="15">
        <f t="shared" si="119"/>
        <v>1094.7375</v>
      </c>
      <c r="L356">
        <f>SUMIF(Table228[[#All],[Asset]],Table228[[#This Row],[Asset]],Table228[[#All],[Bought number]])</f>
        <v>251.69107600000001</v>
      </c>
      <c r="M356">
        <f>SUMIF(Table228[[#All],[Asset]],Table228[[#This Row],[Asset]],Table228[[#All],[Sold Number]])</f>
        <v>251.68856</v>
      </c>
      <c r="N356" s="15">
        <f>SUMIF(Table228[[#All],[Asset]],Table228[[#This Row],[Asset]],Table228[[#All],[Bought amount]])</f>
        <v>1941.31279804</v>
      </c>
      <c r="O356" s="15">
        <f>SUMIF(Table228[[#All],[Asset]],Table228[[#This Row],[Asset]],Table228[[#All],[Sold amount]])</f>
        <v>1363.3561943999998</v>
      </c>
      <c r="P356" s="75">
        <f>Table228[[#This Row],[Total bought Amount]]/Table228[[#This Row],[Total bought Number]]</f>
        <v>7.713077590561852</v>
      </c>
      <c r="Q356" s="75">
        <f>IFERROR(Table228[[#This Row],[Total Sold Amount]]/Table228[[#This Row],[Total Sold Number]],0)</f>
        <v>5.4168381526756715</v>
      </c>
      <c r="R356" s="21">
        <f>Table228[[#This Row],[Total bought Number]]-Table228[[#This Row],[Total Sold Number]]</f>
        <v>2.5160000000141736E-3</v>
      </c>
      <c r="S356" s="59">
        <f>(Table228[[#This Row],[Ave exit price]]-Table228[[#This Row],[Ave Entry price]])*Table228[[#This Row],[Total Sold Number]]</f>
        <v>-577.93719753678226</v>
      </c>
      <c r="T356" s="15">
        <f>(Table228[[#This Row],[Current Price]]-Table228[[#This Row],[Ave Entry price]])*Table228[[#This Row],[How many tokens now]]</f>
        <v>-1.4374103217934595E-2</v>
      </c>
      <c r="U356" s="76">
        <f>VLOOKUP(Table228[[#This Row],[Asset]],Table26[#All],10,FALSE)</f>
        <v>2</v>
      </c>
    </row>
    <row r="357" spans="1:21">
      <c r="A357" t="s">
        <v>273</v>
      </c>
      <c r="B357" s="68">
        <v>45727</v>
      </c>
      <c r="C357" s="3" t="s">
        <v>176</v>
      </c>
      <c r="D357" t="s">
        <v>68</v>
      </c>
      <c r="E357" t="s">
        <v>189</v>
      </c>
      <c r="F357" s="17">
        <v>9.3699999999999999E-3</v>
      </c>
      <c r="G357" s="73">
        <v>96111</v>
      </c>
      <c r="H357" s="61">
        <f t="shared" si="116"/>
        <v>96111</v>
      </c>
      <c r="I357" s="67">
        <f t="shared" si="117"/>
        <v>0</v>
      </c>
      <c r="J357" s="15">
        <f t="shared" si="118"/>
        <v>900.56007</v>
      </c>
      <c r="K357" s="15">
        <f t="shared" si="119"/>
        <v>0</v>
      </c>
      <c r="L357">
        <f>SUMIF(Table228[[#All],[Asset]],Table228[[#This Row],[Asset]],Table228[[#All],[Bought number]])</f>
        <v>798337.86606299994</v>
      </c>
      <c r="M357">
        <f>SUMIF(Table228[[#All],[Asset]],Table228[[#This Row],[Asset]],Table228[[#All],[Sold Number]])</f>
        <v>798338.03632399999</v>
      </c>
      <c r="N357" s="15">
        <f>SUMIF(Table228[[#All],[Asset]],Table228[[#This Row],[Asset]],Table228[[#All],[Bought amount]])</f>
        <v>24349.581039704975</v>
      </c>
      <c r="O357" s="15">
        <f>SUMIF(Table228[[#All],[Asset]],Table228[[#This Row],[Asset]],Table228[[#All],[Sold amount]])</f>
        <v>12344.863481975535</v>
      </c>
      <c r="P357" s="75">
        <f>Table228[[#This Row],[Total bought Amount]]/Table228[[#This Row],[Total bought Number]]</f>
        <v>3.0500345874591717E-2</v>
      </c>
      <c r="Q357" s="75">
        <f>IFERROR(Table228[[#This Row],[Total Sold Amount]]/Table228[[#This Row],[Total Sold Number]],0)</f>
        <v>1.5463203455541554E-2</v>
      </c>
      <c r="R357" s="21">
        <f>Table228[[#This Row],[Total bought Number]]-Table228[[#This Row],[Total Sold Number]]</f>
        <v>-0.17026100005023181</v>
      </c>
      <c r="S357" s="59">
        <f>(Table228[[#This Row],[Ave exit price]]-Table228[[#This Row],[Ave Entry price]])*Table228[[#This Row],[Total Sold Number]]</f>
        <v>-12004.72275074883</v>
      </c>
      <c r="T357" s="15">
        <f>(Table228[[#This Row],[Current Price]]-Table228[[#This Row],[Ave Entry price]])*Table228[[#This Row],[How many tokens now]]</f>
        <v>3.3201483899333983E-3</v>
      </c>
      <c r="U357" s="76">
        <f>VLOOKUP(Table228[[#This Row],[Asset]],Table26[#All],10,FALSE)</f>
        <v>1.0999999999999999E-2</v>
      </c>
    </row>
    <row r="358" spans="1:21">
      <c r="A358" t="s">
        <v>273</v>
      </c>
      <c r="B358" s="68">
        <v>45740</v>
      </c>
      <c r="C358" s="3" t="s">
        <v>176</v>
      </c>
      <c r="D358" t="s">
        <v>68</v>
      </c>
      <c r="E358" t="s">
        <v>189</v>
      </c>
      <c r="F358" s="17">
        <v>1.1819E-2</v>
      </c>
      <c r="G358" s="73">
        <v>52175.726204999999</v>
      </c>
      <c r="H358" s="61">
        <f t="shared" si="116"/>
        <v>52175.726204999999</v>
      </c>
      <c r="I358" s="67">
        <f t="shared" si="117"/>
        <v>0</v>
      </c>
      <c r="J358" s="15">
        <f t="shared" si="118"/>
        <v>616.66490801689497</v>
      </c>
      <c r="K358" s="15">
        <f t="shared" si="119"/>
        <v>0</v>
      </c>
      <c r="L358">
        <f>SUMIF(Table228[[#All],[Asset]],Table228[[#This Row],[Asset]],Table228[[#All],[Bought number]])</f>
        <v>798337.86606299994</v>
      </c>
      <c r="M358">
        <f>SUMIF(Table228[[#All],[Asset]],Table228[[#This Row],[Asset]],Table228[[#All],[Sold Number]])</f>
        <v>798338.03632399999</v>
      </c>
      <c r="N358" s="15">
        <f>SUMIF(Table228[[#All],[Asset]],Table228[[#This Row],[Asset]],Table228[[#All],[Bought amount]])</f>
        <v>24349.581039704975</v>
      </c>
      <c r="O358" s="15">
        <f>SUMIF(Table228[[#All],[Asset]],Table228[[#This Row],[Asset]],Table228[[#All],[Sold amount]])</f>
        <v>12344.863481975535</v>
      </c>
      <c r="P358" s="75">
        <f>Table228[[#This Row],[Total bought Amount]]/Table228[[#This Row],[Total bought Number]]</f>
        <v>3.0500345874591717E-2</v>
      </c>
      <c r="Q358" s="75">
        <f>IFERROR(Table228[[#This Row],[Total Sold Amount]]/Table228[[#This Row],[Total Sold Number]],0)</f>
        <v>1.5463203455541554E-2</v>
      </c>
      <c r="R358" s="21">
        <f>Table228[[#This Row],[Total bought Number]]-Table228[[#This Row],[Total Sold Number]]</f>
        <v>-0.17026100005023181</v>
      </c>
      <c r="S358" s="59">
        <f>(Table228[[#This Row],[Ave exit price]]-Table228[[#This Row],[Ave Entry price]])*Table228[[#This Row],[Total Sold Number]]</f>
        <v>-12004.72275074883</v>
      </c>
      <c r="T358" s="15">
        <f>(Table228[[#This Row],[Current Price]]-Table228[[#This Row],[Ave Entry price]])*Table228[[#This Row],[How many tokens now]]</f>
        <v>3.3201483899333983E-3</v>
      </c>
      <c r="U358" s="76">
        <f>VLOOKUP(Table228[[#This Row],[Asset]],Table26[#All],10,FALSE)</f>
        <v>1.0999999999999999E-2</v>
      </c>
    </row>
    <row r="359" spans="1:21">
      <c r="A359" t="s">
        <v>291</v>
      </c>
      <c r="B359" s="68">
        <v>45747</v>
      </c>
      <c r="C359" s="3" t="s">
        <v>176</v>
      </c>
      <c r="D359" t="s">
        <v>69</v>
      </c>
      <c r="E359" t="s">
        <v>211</v>
      </c>
      <c r="F359" s="17">
        <v>4.9000000000000002E-2</v>
      </c>
      <c r="G359" s="73">
        <v>-24800</v>
      </c>
      <c r="H359" s="61">
        <f t="shared" si="116"/>
        <v>0</v>
      </c>
      <c r="I359" s="67">
        <f t="shared" si="117"/>
        <v>24800</v>
      </c>
      <c r="J359" s="15">
        <f t="shared" si="118"/>
        <v>0</v>
      </c>
      <c r="K359" s="15">
        <f t="shared" si="119"/>
        <v>1215.2</v>
      </c>
      <c r="L359">
        <f>SUMIF(Table228[[#All],[Asset]],Table228[[#This Row],[Asset]],Table228[[#All],[Bought number]])</f>
        <v>56191.636100000003</v>
      </c>
      <c r="M359">
        <f>SUMIF(Table228[[#All],[Asset]],Table228[[#This Row],[Asset]],Table228[[#All],[Sold Number]])</f>
        <v>56191</v>
      </c>
      <c r="N359" s="15">
        <f>SUMIF(Table228[[#All],[Asset]],Table228[[#This Row],[Asset]],Table228[[#All],[Bought amount]])</f>
        <v>5356.8114137100001</v>
      </c>
      <c r="O359" s="15">
        <f>SUMIF(Table228[[#All],[Asset]],Table228[[#This Row],[Asset]],Table228[[#All],[Sold amount]])</f>
        <v>1466.328</v>
      </c>
      <c r="P359" s="75">
        <f>Table228[[#This Row],[Total bought Amount]]/Table228[[#This Row],[Total bought Number]]</f>
        <v>9.5331116612744432E-2</v>
      </c>
      <c r="Q359" s="75">
        <f>IFERROR(Table228[[#This Row],[Total Sold Amount]]/Table228[[#This Row],[Total Sold Number]],0)</f>
        <v>2.6095424534178072E-2</v>
      </c>
      <c r="R359" s="21">
        <f>Table228[[#This Row],[Total bought Number]]-Table228[[#This Row],[Total Sold Number]]</f>
        <v>0.63610000000335276</v>
      </c>
      <c r="S359" s="59">
        <f>(Table228[[#This Row],[Ave exit price]]-Table228[[#This Row],[Ave Entry price]])*Table228[[#This Row],[Total Sold Number]]</f>
        <v>-3890.4227735867225</v>
      </c>
      <c r="T359" s="15">
        <f>(Table228[[#This Row],[Current Price]]-Table228[[#This Row],[Ave Entry price]])*Table228[[#This Row],[How many tokens now]]</f>
        <v>-4.4737623277602542E-2</v>
      </c>
      <c r="U359" s="76">
        <f>VLOOKUP(Table228[[#This Row],[Asset]],Table26[#All],10,FALSE)</f>
        <v>2.5000000000000001E-2</v>
      </c>
    </row>
    <row r="360" spans="1:21">
      <c r="A360" t="s">
        <v>501</v>
      </c>
      <c r="B360" s="68">
        <v>45753</v>
      </c>
      <c r="C360" s="3" t="s">
        <v>176</v>
      </c>
      <c r="D360" t="s">
        <v>68</v>
      </c>
      <c r="E360" t="s">
        <v>189</v>
      </c>
      <c r="F360" s="17">
        <v>6.5697000000000005E-2</v>
      </c>
      <c r="G360" s="73">
        <v>-17051.296247302002</v>
      </c>
      <c r="H360" s="61">
        <f t="shared" si="116"/>
        <v>0</v>
      </c>
      <c r="I360" s="67">
        <f t="shared" si="117"/>
        <v>17051.296247302002</v>
      </c>
      <c r="J360" s="15">
        <f t="shared" si="118"/>
        <v>0</v>
      </c>
      <c r="K360" s="15">
        <f t="shared" si="119"/>
        <v>1120.2190095589997</v>
      </c>
      <c r="L360">
        <f>SUMIF(Table228[[#All],[Asset]],Table228[[#This Row],[Asset]],Table228[[#All],[Bought number]])</f>
        <v>33133.403200000001</v>
      </c>
      <c r="M360">
        <f>SUMIF(Table228[[#All],[Asset]],Table228[[#This Row],[Asset]],Table228[[#All],[Sold Number]])</f>
        <v>33133.403197302003</v>
      </c>
      <c r="N360" s="15">
        <f>SUMIF(Table228[[#All],[Asset]],Table228[[#This Row],[Asset]],Table228[[#All],[Bought amount]])</f>
        <v>4463.06941104</v>
      </c>
      <c r="O360" s="15">
        <f>SUMIF(Table228[[#All],[Asset]],Table228[[#This Row],[Asset]],Table228[[#All],[Sold amount]])</f>
        <v>2314.5727643076998</v>
      </c>
      <c r="P360" s="75">
        <f>Table228[[#This Row],[Total bought Amount]]/Table228[[#This Row],[Total bought Number]]</f>
        <v>0.13469999999999999</v>
      </c>
      <c r="Q360" s="75">
        <f>IFERROR(Table228[[#This Row],[Total Sold Amount]]/Table228[[#This Row],[Total Sold Number]],0)</f>
        <v>6.9856173557691525E-2</v>
      </c>
      <c r="R360" s="21">
        <f>Table228[[#This Row],[Total bought Number]]-Table228[[#This Row],[Total Sold Number]]</f>
        <v>2.6979978429153562E-6</v>
      </c>
      <c r="S360" s="59">
        <f>(Table228[[#This Row],[Ave exit price]]-Table228[[#This Row],[Ave Entry price]])*Table228[[#This Row],[Total Sold Number]]</f>
        <v>-2148.4966463688793</v>
      </c>
      <c r="T360" s="15">
        <f>(Table228[[#This Row],[Current Price]]-Table228[[#This Row],[Ave Entry price]])*Table228[[#This Row],[How many tokens now]]</f>
        <v>-4.3437765270937202E-8</v>
      </c>
      <c r="U360" s="76">
        <f>VLOOKUP(Table228[[#This Row],[Asset]],Table26[#All],10,FALSE)</f>
        <v>0.1186</v>
      </c>
    </row>
    <row r="361" spans="1:21">
      <c r="A361" t="s">
        <v>273</v>
      </c>
      <c r="B361" s="68">
        <v>45753</v>
      </c>
      <c r="C361" s="3" t="s">
        <v>176</v>
      </c>
      <c r="D361" t="s">
        <v>68</v>
      </c>
      <c r="E361" t="s">
        <v>189</v>
      </c>
      <c r="F361" s="17">
        <v>5.8443999999999996E-3</v>
      </c>
      <c r="G361" s="73">
        <v>-150942.113358</v>
      </c>
      <c r="H361" s="61">
        <f t="shared" si="116"/>
        <v>0</v>
      </c>
      <c r="I361" s="67">
        <f t="shared" si="117"/>
        <v>150942.113358</v>
      </c>
      <c r="J361" s="15">
        <f t="shared" si="118"/>
        <v>0</v>
      </c>
      <c r="K361" s="15">
        <f t="shared" si="119"/>
        <v>882.1660873094952</v>
      </c>
      <c r="L361">
        <f>SUMIF(Table228[[#All],[Asset]],Table228[[#This Row],[Asset]],Table228[[#All],[Bought number]])</f>
        <v>798337.86606299994</v>
      </c>
      <c r="M361">
        <f>SUMIF(Table228[[#All],[Asset]],Table228[[#This Row],[Asset]],Table228[[#All],[Sold Number]])</f>
        <v>798338.03632399999</v>
      </c>
      <c r="N361" s="15">
        <f>SUMIF(Table228[[#All],[Asset]],Table228[[#This Row],[Asset]],Table228[[#All],[Bought amount]])</f>
        <v>24349.581039704975</v>
      </c>
      <c r="O361" s="15">
        <f>SUMIF(Table228[[#All],[Asset]],Table228[[#This Row],[Asset]],Table228[[#All],[Sold amount]])</f>
        <v>12344.863481975535</v>
      </c>
      <c r="P361" s="75">
        <f>Table228[[#This Row],[Total bought Amount]]/Table228[[#This Row],[Total bought Number]]</f>
        <v>3.0500345874591717E-2</v>
      </c>
      <c r="Q361" s="75">
        <f>IFERROR(Table228[[#This Row],[Total Sold Amount]]/Table228[[#This Row],[Total Sold Number]],0)</f>
        <v>1.5463203455541554E-2</v>
      </c>
      <c r="R361" s="21">
        <f>Table228[[#This Row],[Total bought Number]]-Table228[[#This Row],[Total Sold Number]]</f>
        <v>-0.17026100005023181</v>
      </c>
      <c r="S361" s="59">
        <f>(Table228[[#This Row],[Ave exit price]]-Table228[[#This Row],[Ave Entry price]])*Table228[[#This Row],[Total Sold Number]]</f>
        <v>-12004.72275074883</v>
      </c>
      <c r="T361" s="15">
        <f>(Table228[[#This Row],[Current Price]]-Table228[[#This Row],[Ave Entry price]])*Table228[[#This Row],[How many tokens now]]</f>
        <v>3.3201483899333983E-3</v>
      </c>
      <c r="U361" s="76">
        <f>VLOOKUP(Table228[[#This Row],[Asset]],Table26[#All],10,FALSE)</f>
        <v>1.0999999999999999E-2</v>
      </c>
    </row>
    <row r="362" spans="1:21">
      <c r="A362" t="s">
        <v>426</v>
      </c>
      <c r="B362" s="68">
        <v>45754</v>
      </c>
      <c r="C362" s="3" t="s">
        <v>176</v>
      </c>
      <c r="D362" t="s">
        <v>68</v>
      </c>
      <c r="E362" t="s">
        <v>189</v>
      </c>
      <c r="F362" s="17">
        <v>4.1703999999999998E-2</v>
      </c>
      <c r="G362" s="73">
        <v>47863.96</v>
      </c>
      <c r="H362" s="61">
        <f t="shared" si="116"/>
        <v>47863.96</v>
      </c>
      <c r="I362" s="67">
        <f t="shared" si="117"/>
        <v>0</v>
      </c>
      <c r="J362" s="15">
        <f t="shared" si="118"/>
        <v>1996.1185878399999</v>
      </c>
      <c r="K362" s="15">
        <f t="shared" si="119"/>
        <v>0</v>
      </c>
      <c r="L362">
        <f>SUMIF(Table228[[#All],[Asset]],Table228[[#This Row],[Asset]],Table228[[#All],[Bought number]])</f>
        <v>238626.003494</v>
      </c>
      <c r="M362">
        <f>SUMIF(Table228[[#All],[Asset]],Table228[[#This Row],[Asset]],Table228[[#All],[Sold Number]])</f>
        <v>258703.52244</v>
      </c>
      <c r="N362" s="15">
        <f>SUMIF(Table228[[#All],[Asset]],Table228[[#This Row],[Asset]],Table228[[#All],[Bought amount]])</f>
        <v>15455.410858853724</v>
      </c>
      <c r="O362" s="15">
        <f>SUMIF(Table228[[#All],[Asset]],Table228[[#This Row],[Asset]],Table228[[#All],[Sold amount]])</f>
        <v>12956.454272287921</v>
      </c>
      <c r="P362" s="75">
        <f>Table228[[#This Row],[Total bought Amount]]/Table228[[#This Row],[Total bought Number]]</f>
        <v>6.4768343066359632E-2</v>
      </c>
      <c r="Q362" s="75">
        <f>IFERROR(Table228[[#This Row],[Total Sold Amount]]/Table228[[#This Row],[Total Sold Number]],0)</f>
        <v>5.0082249171125436E-2</v>
      </c>
      <c r="R362" s="21">
        <f>Table228[[#This Row],[Total bought Number]]-Table228[[#This Row],[Total Sold Number]]</f>
        <v>-20077.518945999997</v>
      </c>
      <c r="S362" s="59">
        <f>(Table228[[#This Row],[Ave exit price]]-Table228[[#This Row],[Ave Entry price]])*Table228[[#This Row],[Total Sold Number]]</f>
        <v>-3799.3442215816672</v>
      </c>
      <c r="T362" s="15">
        <f>(Table228[[#This Row],[Current Price]]-Table228[[#This Row],[Ave Entry price]])*Table228[[#This Row],[How many tokens now]]</f>
        <v>440.80881638076522</v>
      </c>
      <c r="U362" s="76">
        <f>VLOOKUP(Table228[[#This Row],[Asset]],Table26[#All],10,FALSE)</f>
        <v>4.2812999999999997E-2</v>
      </c>
    </row>
    <row r="363" spans="1:21">
      <c r="A363" t="s">
        <v>516</v>
      </c>
      <c r="B363" s="68">
        <v>45754</v>
      </c>
      <c r="C363" s="3" t="s">
        <v>176</v>
      </c>
      <c r="D363" t="s">
        <v>68</v>
      </c>
      <c r="E363" t="s">
        <v>189</v>
      </c>
      <c r="F363" s="17">
        <v>128</v>
      </c>
      <c r="G363" s="73">
        <v>9.0500000000000007</v>
      </c>
      <c r="H363" s="61">
        <f t="shared" si="116"/>
        <v>9.0500000000000007</v>
      </c>
      <c r="I363" s="67">
        <f t="shared" si="117"/>
        <v>0</v>
      </c>
      <c r="J363" s="15">
        <f t="shared" si="118"/>
        <v>1158.4000000000001</v>
      </c>
      <c r="K363" s="15">
        <f t="shared" si="119"/>
        <v>0</v>
      </c>
      <c r="L363">
        <f>SUMIF(Table228[[#All],[Asset]],Table228[[#This Row],[Asset]],Table228[[#All],[Bought number]])</f>
        <v>9.0500000000000007</v>
      </c>
      <c r="M363">
        <f>SUMIF(Table228[[#All],[Asset]],Table228[[#This Row],[Asset]],Table228[[#All],[Sold Number]])</f>
        <v>0</v>
      </c>
      <c r="N363" s="15">
        <f>SUMIF(Table228[[#All],[Asset]],Table228[[#This Row],[Asset]],Table228[[#All],[Bought amount]])</f>
        <v>1158.4000000000001</v>
      </c>
      <c r="O363" s="15">
        <f>SUMIF(Table228[[#All],[Asset]],Table228[[#This Row],[Asset]],Table228[[#All],[Sold amount]])</f>
        <v>0</v>
      </c>
      <c r="P363" s="75">
        <f>Table228[[#This Row],[Total bought Amount]]/Table228[[#This Row],[Total bought Number]]</f>
        <v>128</v>
      </c>
      <c r="Q363" s="75">
        <f>IFERROR(Table228[[#This Row],[Total Sold Amount]]/Table228[[#This Row],[Total Sold Number]],0)</f>
        <v>0</v>
      </c>
      <c r="R363" s="21">
        <f>Table228[[#This Row],[Total bought Number]]-Table228[[#This Row],[Total Sold Number]]</f>
        <v>9.0500000000000007</v>
      </c>
      <c r="S363" s="59">
        <f>(Table228[[#This Row],[Ave exit price]]-Table228[[#This Row],[Ave Entry price]])*Table228[[#This Row],[Total Sold Number]]</f>
        <v>0</v>
      </c>
      <c r="T363" s="15">
        <f>(Table228[[#This Row],[Current Price]]-Table228[[#This Row],[Ave Entry price]])*Table228[[#This Row],[How many tokens now]]</f>
        <v>0</v>
      </c>
      <c r="U363" s="76">
        <f>VLOOKUP(Table228[[#This Row],[Asset]],Table26[#All],10,FALSE)</f>
        <v>128</v>
      </c>
    </row>
    <row r="364" spans="1:21">
      <c r="A364" t="s">
        <v>67</v>
      </c>
      <c r="B364" s="68">
        <v>45757</v>
      </c>
      <c r="C364" s="3" t="s">
        <v>509</v>
      </c>
      <c r="D364" t="s">
        <v>68</v>
      </c>
      <c r="E364" t="s">
        <v>189</v>
      </c>
      <c r="F364" s="17">
        <v>0.13</v>
      </c>
      <c r="G364" s="73">
        <v>17860.524305999999</v>
      </c>
      <c r="H364" s="61">
        <f t="shared" si="116"/>
        <v>17860.524305999999</v>
      </c>
      <c r="I364" s="67">
        <f t="shared" si="117"/>
        <v>0</v>
      </c>
      <c r="J364" s="15">
        <f t="shared" si="118"/>
        <v>2321.86815978</v>
      </c>
      <c r="K364" s="15">
        <f t="shared" si="119"/>
        <v>0</v>
      </c>
      <c r="L364">
        <f>SUMIF(Table228[[#All],[Asset]],Table228[[#This Row],[Asset]],Table228[[#All],[Bought number]])</f>
        <v>34194.467916000001</v>
      </c>
      <c r="M364">
        <f>SUMIF(Table228[[#All],[Asset]],Table228[[#This Row],[Asset]],Table228[[#All],[Sold Number]])</f>
        <v>34195.061103</v>
      </c>
      <c r="N364" s="15">
        <f>SUMIF(Table228[[#All],[Asset]],Table228[[#This Row],[Asset]],Table228[[#All],[Bought amount]])</f>
        <v>8337.2121048291392</v>
      </c>
      <c r="O364" s="15">
        <f>SUMIF(Table228[[#All],[Asset]],Table228[[#This Row],[Asset]],Table228[[#All],[Sold amount]])</f>
        <v>4877.1257709650927</v>
      </c>
      <c r="P364" s="75">
        <f>Table228[[#This Row],[Total bought Amount]]/Table228[[#This Row],[Total bought Number]]</f>
        <v>0.24381757088046566</v>
      </c>
      <c r="Q364" s="75">
        <f>IFERROR(Table228[[#This Row],[Total Sold Amount]]/Table228[[#This Row],[Total Sold Number]],0)</f>
        <v>0.14262661371695029</v>
      </c>
      <c r="R364" s="21">
        <f>Table228[[#This Row],[Total bought Number]]-Table228[[#This Row],[Total Sold Number]]</f>
        <v>-0.59318699999857927</v>
      </c>
      <c r="S364" s="59">
        <f>(Table228[[#This Row],[Ave exit price]]-Table228[[#This Row],[Ave Entry price]])*Table228[[#This Row],[Total Sold Number]]</f>
        <v>-3460.2309632774636</v>
      </c>
      <c r="T364" s="15">
        <f>(Table228[[#This Row],[Current Price]]-Table228[[#This Row],[Ave Entry price]])*Table228[[#This Row],[How many tokens now]]</f>
        <v>3.7855753417780115E-2</v>
      </c>
      <c r="U364" s="76">
        <f>VLOOKUP(Table228[[#This Row],[Asset]],Table26[#All],10,FALSE)</f>
        <v>0.18</v>
      </c>
    </row>
    <row r="365" spans="1:21">
      <c r="A365" t="s">
        <v>273</v>
      </c>
      <c r="B365" s="68">
        <v>45764</v>
      </c>
      <c r="C365" s="3" t="s">
        <v>509</v>
      </c>
      <c r="D365" t="s">
        <v>517</v>
      </c>
      <c r="E365" t="s">
        <v>189</v>
      </c>
      <c r="F365" s="17">
        <v>1.2999999999999999E-2</v>
      </c>
      <c r="G365" s="73">
        <v>47856.1</v>
      </c>
      <c r="H365" s="61">
        <f t="shared" ref="H365:H375" si="120">IF(G365&gt;0,G365,0)</f>
        <v>47856.1</v>
      </c>
      <c r="I365" s="67">
        <f t="shared" ref="I365:I375" si="121">IF(G365&lt;0,ABS(G365),0)</f>
        <v>0</v>
      </c>
      <c r="J365" s="15">
        <f t="shared" ref="J365:J375" si="122">H365*F365</f>
        <v>622.12929999999994</v>
      </c>
      <c r="K365" s="15">
        <f t="shared" ref="K365:K375" si="123">I365*F365</f>
        <v>0</v>
      </c>
      <c r="L365">
        <f>SUMIF(Table228[[#All],[Asset]],Table228[[#This Row],[Asset]],Table228[[#All],[Bought number]])</f>
        <v>798337.86606299994</v>
      </c>
      <c r="M365">
        <f>SUMIF(Table228[[#All],[Asset]],Table228[[#This Row],[Asset]],Table228[[#All],[Sold Number]])</f>
        <v>798338.03632399999</v>
      </c>
      <c r="N365" s="15">
        <f>SUMIF(Table228[[#All],[Asset]],Table228[[#This Row],[Asset]],Table228[[#All],[Bought amount]])</f>
        <v>24349.581039704975</v>
      </c>
      <c r="O365" s="15">
        <f>SUMIF(Table228[[#All],[Asset]],Table228[[#This Row],[Asset]],Table228[[#All],[Sold amount]])</f>
        <v>12344.863481975535</v>
      </c>
      <c r="P365" s="75">
        <f>Table228[[#This Row],[Total bought Amount]]/Table228[[#This Row],[Total bought Number]]</f>
        <v>3.0500345874591717E-2</v>
      </c>
      <c r="Q365" s="75">
        <f>IFERROR(Table228[[#This Row],[Total Sold Amount]]/Table228[[#This Row],[Total Sold Number]],0)</f>
        <v>1.5463203455541554E-2</v>
      </c>
      <c r="R365" s="21">
        <f>Table228[[#This Row],[Total bought Number]]-Table228[[#This Row],[Total Sold Number]]</f>
        <v>-0.17026100005023181</v>
      </c>
      <c r="S365" s="59">
        <f>(Table228[[#This Row],[Ave exit price]]-Table228[[#This Row],[Ave Entry price]])*Table228[[#This Row],[Total Sold Number]]</f>
        <v>-12004.72275074883</v>
      </c>
      <c r="T365" s="15">
        <f>(Table228[[#This Row],[Current Price]]-Table228[[#This Row],[Ave Entry price]])*Table228[[#This Row],[How many tokens now]]</f>
        <v>3.3201483899333983E-3</v>
      </c>
      <c r="U365" s="76">
        <f>VLOOKUP(Table228[[#This Row],[Asset]],Table26[#All],10,FALSE)</f>
        <v>1.0999999999999999E-2</v>
      </c>
    </row>
    <row r="366" spans="1:21">
      <c r="A366" t="s">
        <v>178</v>
      </c>
      <c r="B366" s="68">
        <v>45767</v>
      </c>
      <c r="C366" s="3" t="s">
        <v>176</v>
      </c>
      <c r="D366" t="s">
        <v>178</v>
      </c>
      <c r="E366" t="s">
        <v>189</v>
      </c>
      <c r="F366" s="17">
        <v>124</v>
      </c>
      <c r="G366" s="73">
        <v>-3</v>
      </c>
      <c r="H366" s="61">
        <f t="shared" si="120"/>
        <v>0</v>
      </c>
      <c r="I366" s="67">
        <f t="shared" si="121"/>
        <v>3</v>
      </c>
      <c r="J366" s="15">
        <f t="shared" si="122"/>
        <v>0</v>
      </c>
      <c r="K366" s="15">
        <f t="shared" si="123"/>
        <v>372</v>
      </c>
      <c r="L366">
        <f>SUMIF(Table228[[#All],[Asset]],Table228[[#This Row],[Asset]],Table228[[#All],[Bought number]])</f>
        <v>6</v>
      </c>
      <c r="M366">
        <f>SUMIF(Table228[[#All],[Asset]],Table228[[#This Row],[Asset]],Table228[[#All],[Sold Number]])</f>
        <v>6</v>
      </c>
      <c r="N366" s="15">
        <f>SUMIF(Table228[[#All],[Asset]],Table228[[#This Row],[Asset]],Table228[[#All],[Bought amount]])</f>
        <v>5550</v>
      </c>
      <c r="O366" s="15">
        <f>SUMIF(Table228[[#All],[Asset]],Table228[[#This Row],[Asset]],Table228[[#All],[Sold amount]])</f>
        <v>609</v>
      </c>
      <c r="P366" s="75">
        <f>Table228[[#This Row],[Total bought Amount]]/Table228[[#This Row],[Total bought Number]]</f>
        <v>925</v>
      </c>
      <c r="Q366" s="75">
        <f>IFERROR(Table228[[#This Row],[Total Sold Amount]]/Table228[[#This Row],[Total Sold Number]],0)</f>
        <v>101.5</v>
      </c>
      <c r="R366" s="21">
        <f>Table228[[#This Row],[Total bought Number]]-Table228[[#This Row],[Total Sold Number]]</f>
        <v>0</v>
      </c>
      <c r="S366" s="59">
        <f>(Table228[[#This Row],[Ave exit price]]-Table228[[#This Row],[Ave Entry price]])*Table228[[#This Row],[Total Sold Number]]</f>
        <v>-4941</v>
      </c>
      <c r="T366" s="15">
        <f>(Table228[[#This Row],[Current Price]]-Table228[[#This Row],[Ave Entry price]])*Table228[[#This Row],[How many tokens now]]</f>
        <v>0</v>
      </c>
      <c r="U366" s="76">
        <f>VLOOKUP(Table228[[#This Row],[Asset]],Table26[#All],10,FALSE)</f>
        <v>710</v>
      </c>
    </row>
    <row r="367" spans="1:21">
      <c r="A367" t="s">
        <v>518</v>
      </c>
      <c r="B367" s="68">
        <v>45767</v>
      </c>
      <c r="C367" s="3" t="s">
        <v>176</v>
      </c>
      <c r="D367" t="s">
        <v>178</v>
      </c>
      <c r="E367" t="s">
        <v>189</v>
      </c>
      <c r="F367" s="17">
        <v>2.722E-3</v>
      </c>
      <c r="G367" s="73">
        <v>149550</v>
      </c>
      <c r="H367" s="61">
        <f t="shared" si="120"/>
        <v>149550</v>
      </c>
      <c r="I367" s="67">
        <f t="shared" si="121"/>
        <v>0</v>
      </c>
      <c r="J367" s="15">
        <f t="shared" si="122"/>
        <v>407.07510000000002</v>
      </c>
      <c r="K367" s="15">
        <f t="shared" si="123"/>
        <v>0</v>
      </c>
      <c r="L367">
        <f>SUMIF(Table228[[#All],[Asset]],Table228[[#This Row],[Asset]],Table228[[#All],[Bought number]])</f>
        <v>582736</v>
      </c>
      <c r="M367">
        <f>SUMIF(Table228[[#All],[Asset]],Table228[[#This Row],[Asset]],Table228[[#All],[Sold Number]])</f>
        <v>0</v>
      </c>
      <c r="N367" s="15">
        <f>SUMIF(Table228[[#All],[Asset]],Table228[[#This Row],[Asset]],Table228[[#All],[Bought amount]])</f>
        <v>1658.8526841999999</v>
      </c>
      <c r="O367" s="15">
        <f>SUMIF(Table228[[#All],[Asset]],Table228[[#This Row],[Asset]],Table228[[#All],[Sold amount]])</f>
        <v>0</v>
      </c>
      <c r="P367" s="75">
        <f>Table228[[#This Row],[Total bought Amount]]/Table228[[#This Row],[Total bought Number]]</f>
        <v>2.8466624409681225E-3</v>
      </c>
      <c r="Q367" s="75">
        <f>IFERROR(Table228[[#This Row],[Total Sold Amount]]/Table228[[#This Row],[Total Sold Number]],0)</f>
        <v>0</v>
      </c>
      <c r="R367" s="21">
        <f>Table228[[#This Row],[Total bought Number]]-Table228[[#This Row],[Total Sold Number]]</f>
        <v>582736</v>
      </c>
      <c r="S367" s="59">
        <f>(Table228[[#This Row],[Ave exit price]]-Table228[[#This Row],[Ave Entry price]])*Table228[[#This Row],[Total Sold Number]]</f>
        <v>0</v>
      </c>
      <c r="T367" s="15">
        <f>(Table228[[#This Row],[Current Price]]-Table228[[#This Row],[Ave Entry price]])*Table228[[#This Row],[How many tokens now]]</f>
        <v>-72.645292199999815</v>
      </c>
      <c r="U367" s="76">
        <f>VLOOKUP(Table228[[#This Row],[Asset]],Table26[#All],10,FALSE)</f>
        <v>2.722E-3</v>
      </c>
    </row>
    <row r="368" spans="1:21">
      <c r="A368" t="s">
        <v>178</v>
      </c>
      <c r="B368" s="68">
        <v>45767</v>
      </c>
      <c r="C368" s="3" t="s">
        <v>176</v>
      </c>
      <c r="D368" t="s">
        <v>178</v>
      </c>
      <c r="E368" t="s">
        <v>189</v>
      </c>
      <c r="F368" s="17">
        <v>79</v>
      </c>
      <c r="G368" s="73">
        <v>-3</v>
      </c>
      <c r="H368" s="61">
        <f t="shared" si="120"/>
        <v>0</v>
      </c>
      <c r="I368" s="67">
        <f t="shared" si="121"/>
        <v>3</v>
      </c>
      <c r="J368" s="15">
        <f t="shared" si="122"/>
        <v>0</v>
      </c>
      <c r="K368" s="15">
        <f t="shared" si="123"/>
        <v>237</v>
      </c>
      <c r="L368">
        <f>SUMIF(Table228[[#All],[Asset]],Table228[[#This Row],[Asset]],Table228[[#All],[Bought number]])</f>
        <v>6</v>
      </c>
      <c r="M368">
        <f>SUMIF(Table228[[#All],[Asset]],Table228[[#This Row],[Asset]],Table228[[#All],[Sold Number]])</f>
        <v>6</v>
      </c>
      <c r="N368" s="15">
        <f>SUMIF(Table228[[#All],[Asset]],Table228[[#This Row],[Asset]],Table228[[#All],[Bought amount]])</f>
        <v>5550</v>
      </c>
      <c r="O368" s="15">
        <f>SUMIF(Table228[[#All],[Asset]],Table228[[#This Row],[Asset]],Table228[[#All],[Sold amount]])</f>
        <v>609</v>
      </c>
      <c r="P368" s="75">
        <f>Table228[[#This Row],[Total bought Amount]]/Table228[[#This Row],[Total bought Number]]</f>
        <v>925</v>
      </c>
      <c r="Q368" s="75">
        <f>IFERROR(Table228[[#This Row],[Total Sold Amount]]/Table228[[#This Row],[Total Sold Number]],0)</f>
        <v>101.5</v>
      </c>
      <c r="R368" s="21">
        <f>Table228[[#This Row],[Total bought Number]]-Table228[[#This Row],[Total Sold Number]]</f>
        <v>0</v>
      </c>
      <c r="S368" s="59">
        <f>(Table228[[#This Row],[Ave exit price]]-Table228[[#This Row],[Ave Entry price]])*Table228[[#This Row],[Total Sold Number]]</f>
        <v>-4941</v>
      </c>
      <c r="T368" s="15">
        <f>(Table228[[#This Row],[Current Price]]-Table228[[#This Row],[Ave Entry price]])*Table228[[#This Row],[How many tokens now]]</f>
        <v>0</v>
      </c>
      <c r="U368" s="76">
        <f>VLOOKUP(Table228[[#This Row],[Asset]],Table26[#All],10,FALSE)</f>
        <v>710</v>
      </c>
    </row>
    <row r="369" spans="1:21">
      <c r="A369" t="s">
        <v>227</v>
      </c>
      <c r="B369" s="68">
        <v>45767</v>
      </c>
      <c r="C369" s="3" t="s">
        <v>176</v>
      </c>
      <c r="D369" t="s">
        <v>240</v>
      </c>
      <c r="E369" t="s">
        <v>276</v>
      </c>
      <c r="F369" s="17">
        <v>140</v>
      </c>
      <c r="G369" s="73">
        <v>-1</v>
      </c>
      <c r="H369" s="61">
        <f t="shared" si="120"/>
        <v>0</v>
      </c>
      <c r="I369" s="67">
        <f t="shared" si="121"/>
        <v>1</v>
      </c>
      <c r="J369" s="15">
        <f t="shared" si="122"/>
        <v>0</v>
      </c>
      <c r="K369" s="15">
        <f t="shared" si="123"/>
        <v>140</v>
      </c>
      <c r="L369">
        <f>SUMIF(Table228[[#All],[Asset]],Table228[[#This Row],[Asset]],Table228[[#All],[Bought number]])</f>
        <v>4</v>
      </c>
      <c r="M369">
        <f>SUMIF(Table228[[#All],[Asset]],Table228[[#This Row],[Asset]],Table228[[#All],[Sold Number]])</f>
        <v>4</v>
      </c>
      <c r="N369" s="15">
        <f>SUMIF(Table228[[#All],[Asset]],Table228[[#This Row],[Asset]],Table228[[#All],[Bought amount]])</f>
        <v>320</v>
      </c>
      <c r="O369" s="15">
        <f>SUMIF(Table228[[#All],[Asset]],Table228[[#This Row],[Asset]],Table228[[#All],[Sold amount]])</f>
        <v>788</v>
      </c>
      <c r="P369" s="75">
        <f>Table228[[#This Row],[Total bought Amount]]/Table228[[#This Row],[Total bought Number]]</f>
        <v>80</v>
      </c>
      <c r="Q369" s="75">
        <f>IFERROR(Table228[[#This Row],[Total Sold Amount]]/Table228[[#This Row],[Total Sold Number]],0)</f>
        <v>197</v>
      </c>
      <c r="R369" s="21">
        <f>Table228[[#This Row],[Total bought Number]]-Table228[[#This Row],[Total Sold Number]]</f>
        <v>0</v>
      </c>
      <c r="S369" s="59">
        <f>(Table228[[#This Row],[Ave exit price]]-Table228[[#This Row],[Ave Entry price]])*Table228[[#This Row],[Total Sold Number]]</f>
        <v>468</v>
      </c>
      <c r="T369" s="15">
        <f>(Table228[[#This Row],[Current Price]]-Table228[[#This Row],[Ave Entry price]])*Table228[[#This Row],[How many tokens now]]</f>
        <v>0</v>
      </c>
      <c r="U369" s="76">
        <f>VLOOKUP(Table228[[#This Row],[Asset]],Table26[#All],10,FALSE)</f>
        <v>287</v>
      </c>
    </row>
    <row r="370" spans="1:21">
      <c r="A370" t="s">
        <v>222</v>
      </c>
      <c r="B370" s="68">
        <v>45767</v>
      </c>
      <c r="C370" s="3" t="s">
        <v>176</v>
      </c>
      <c r="D370" t="s">
        <v>240</v>
      </c>
      <c r="E370" t="s">
        <v>276</v>
      </c>
      <c r="F370" s="17">
        <v>14</v>
      </c>
      <c r="G370" s="73">
        <v>-10</v>
      </c>
      <c r="H370" s="61">
        <f t="shared" si="120"/>
        <v>0</v>
      </c>
      <c r="I370" s="67">
        <f t="shared" si="121"/>
        <v>10</v>
      </c>
      <c r="J370" s="15">
        <f t="shared" si="122"/>
        <v>0</v>
      </c>
      <c r="K370" s="15">
        <f t="shared" si="123"/>
        <v>140</v>
      </c>
      <c r="L370">
        <f>SUMIF(Table228[[#All],[Asset]],Table228[[#This Row],[Asset]],Table228[[#All],[Bought number]])</f>
        <v>54</v>
      </c>
      <c r="M370">
        <f>SUMIF(Table228[[#All],[Asset]],Table228[[#This Row],[Asset]],Table228[[#All],[Sold Number]])</f>
        <v>53</v>
      </c>
      <c r="N370" s="15">
        <f>SUMIF(Table228[[#All],[Asset]],Table228[[#This Row],[Asset]],Table228[[#All],[Bought amount]])</f>
        <v>9740</v>
      </c>
      <c r="O370" s="15">
        <f>SUMIF(Table228[[#All],[Asset]],Table228[[#This Row],[Asset]],Table228[[#All],[Sold amount]])</f>
        <v>3141</v>
      </c>
      <c r="P370" s="75">
        <f>Table228[[#This Row],[Total bought Amount]]/Table228[[#This Row],[Total bought Number]]</f>
        <v>180.37037037037038</v>
      </c>
      <c r="Q370" s="75">
        <f>IFERROR(Table228[[#This Row],[Total Sold Amount]]/Table228[[#This Row],[Total Sold Number]],0)</f>
        <v>59.264150943396224</v>
      </c>
      <c r="R370" s="21">
        <f>Table228[[#This Row],[Total bought Number]]-Table228[[#This Row],[Total Sold Number]]</f>
        <v>1</v>
      </c>
      <c r="S370" s="59">
        <f>(Table228[[#This Row],[Ave exit price]]-Table228[[#This Row],[Ave Entry price]])*Table228[[#This Row],[Total Sold Number]]</f>
        <v>-6418.6296296296296</v>
      </c>
      <c r="T370" s="15">
        <f>(Table228[[#This Row],[Current Price]]-Table228[[#This Row],[Ave Entry price]])*Table228[[#This Row],[How many tokens now]]</f>
        <v>-69.370370370370381</v>
      </c>
      <c r="U370" s="76">
        <f>VLOOKUP(Table228[[#This Row],[Asset]],Table26[#All],10,FALSE)</f>
        <v>111</v>
      </c>
    </row>
    <row r="371" spans="1:21">
      <c r="A371" t="s">
        <v>239</v>
      </c>
      <c r="B371" s="68">
        <v>45767</v>
      </c>
      <c r="C371" s="3" t="s">
        <v>176</v>
      </c>
      <c r="D371" t="s">
        <v>240</v>
      </c>
      <c r="E371" t="s">
        <v>276</v>
      </c>
      <c r="F371" s="17">
        <v>1</v>
      </c>
      <c r="G371" s="73">
        <v>-88</v>
      </c>
      <c r="H371" s="61">
        <f t="shared" si="120"/>
        <v>0</v>
      </c>
      <c r="I371" s="67">
        <f t="shared" si="121"/>
        <v>88</v>
      </c>
      <c r="J371" s="15">
        <f t="shared" si="122"/>
        <v>0</v>
      </c>
      <c r="K371" s="15">
        <f t="shared" si="123"/>
        <v>88</v>
      </c>
      <c r="L371">
        <f>SUMIF(Table228[[#All],[Asset]],Table228[[#This Row],[Asset]],Table228[[#All],[Bought number]])</f>
        <v>88</v>
      </c>
      <c r="M371">
        <f>SUMIF(Table228[[#All],[Asset]],Table228[[#This Row],[Asset]],Table228[[#All],[Sold Number]])</f>
        <v>88</v>
      </c>
      <c r="N371" s="15">
        <f>SUMIF(Table228[[#All],[Asset]],Table228[[#This Row],[Asset]],Table228[[#All],[Bought amount]])</f>
        <v>2640</v>
      </c>
      <c r="O371" s="15">
        <f>SUMIF(Table228[[#All],[Asset]],Table228[[#This Row],[Asset]],Table228[[#All],[Sold amount]])</f>
        <v>88</v>
      </c>
      <c r="P371" s="75">
        <f>Table228[[#This Row],[Total bought Amount]]/Table228[[#This Row],[Total bought Number]]</f>
        <v>30</v>
      </c>
      <c r="Q371" s="75">
        <f>IFERROR(Table228[[#This Row],[Total Sold Amount]]/Table228[[#This Row],[Total Sold Number]],0)</f>
        <v>1</v>
      </c>
      <c r="R371" s="21">
        <f>Table228[[#This Row],[Total bought Number]]-Table228[[#This Row],[Total Sold Number]]</f>
        <v>0</v>
      </c>
      <c r="S371" s="59">
        <f>(Table228[[#This Row],[Ave exit price]]-Table228[[#This Row],[Ave Entry price]])*Table228[[#This Row],[Total Sold Number]]</f>
        <v>-2552</v>
      </c>
      <c r="T371" s="15">
        <f>(Table228[[#This Row],[Current Price]]-Table228[[#This Row],[Ave Entry price]])*Table228[[#This Row],[How many tokens now]]</f>
        <v>0</v>
      </c>
      <c r="U371" s="76">
        <f>VLOOKUP(Table228[[#This Row],[Asset]],Table26[#All],10,FALSE)</f>
        <v>2.84</v>
      </c>
    </row>
    <row r="372" spans="1:21">
      <c r="A372" t="s">
        <v>235</v>
      </c>
      <c r="B372" s="68">
        <v>45767</v>
      </c>
      <c r="C372" s="3" t="s">
        <v>176</v>
      </c>
      <c r="D372" t="s">
        <v>240</v>
      </c>
      <c r="E372" t="s">
        <v>276</v>
      </c>
      <c r="F372" s="17">
        <v>3</v>
      </c>
      <c r="G372" s="73">
        <v>-5</v>
      </c>
      <c r="H372" s="61">
        <f t="shared" si="120"/>
        <v>0</v>
      </c>
      <c r="I372" s="67">
        <f t="shared" si="121"/>
        <v>5</v>
      </c>
      <c r="J372" s="15">
        <f t="shared" si="122"/>
        <v>0</v>
      </c>
      <c r="K372" s="15">
        <f t="shared" si="123"/>
        <v>15</v>
      </c>
      <c r="L372">
        <f>SUMIF(Table228[[#All],[Asset]],Table228[[#This Row],[Asset]],Table228[[#All],[Bought number]])</f>
        <v>5</v>
      </c>
      <c r="M372">
        <f>SUMIF(Table228[[#All],[Asset]],Table228[[#This Row],[Asset]],Table228[[#All],[Sold Number]])</f>
        <v>5</v>
      </c>
      <c r="N372" s="15">
        <f>SUMIF(Table228[[#All],[Asset]],Table228[[#This Row],[Asset]],Table228[[#All],[Bought amount]])</f>
        <v>250</v>
      </c>
      <c r="O372" s="15">
        <f>SUMIF(Table228[[#All],[Asset]],Table228[[#This Row],[Asset]],Table228[[#All],[Sold amount]])</f>
        <v>15</v>
      </c>
      <c r="P372" s="75">
        <f>Table228[[#This Row],[Total bought Amount]]/Table228[[#This Row],[Total bought Number]]</f>
        <v>50</v>
      </c>
      <c r="Q372" s="75">
        <f>IFERROR(Table228[[#This Row],[Total Sold Amount]]/Table228[[#This Row],[Total Sold Number]],0)</f>
        <v>3</v>
      </c>
      <c r="R372" s="21">
        <f>Table228[[#This Row],[Total bought Number]]-Table228[[#This Row],[Total Sold Number]]</f>
        <v>0</v>
      </c>
      <c r="S372" s="59">
        <f>(Table228[[#This Row],[Ave exit price]]-Table228[[#This Row],[Ave Entry price]])*Table228[[#This Row],[Total Sold Number]]</f>
        <v>-235</v>
      </c>
      <c r="T372" s="15">
        <f>(Table228[[#This Row],[Current Price]]-Table228[[#This Row],[Ave Entry price]])*Table228[[#This Row],[How many tokens now]]</f>
        <v>0</v>
      </c>
      <c r="U372" s="76">
        <f>VLOOKUP(Table228[[#This Row],[Asset]],Table26[#All],10,FALSE)</f>
        <v>28.4</v>
      </c>
    </row>
    <row r="373" spans="1:21">
      <c r="A373" t="s">
        <v>488</v>
      </c>
      <c r="B373" s="68">
        <v>45767</v>
      </c>
      <c r="C373" s="3" t="s">
        <v>176</v>
      </c>
      <c r="D373" t="s">
        <v>76</v>
      </c>
      <c r="E373" t="s">
        <v>189</v>
      </c>
      <c r="F373" s="17">
        <v>0.147284</v>
      </c>
      <c r="G373" s="73">
        <v>6277</v>
      </c>
      <c r="H373" s="61">
        <f t="shared" si="120"/>
        <v>6277</v>
      </c>
      <c r="I373" s="67">
        <f t="shared" si="121"/>
        <v>0</v>
      </c>
      <c r="J373" s="15">
        <f t="shared" si="122"/>
        <v>924.501668</v>
      </c>
      <c r="K373" s="15">
        <f t="shared" si="123"/>
        <v>0</v>
      </c>
      <c r="L373">
        <f>SUMIF(Table228[[#All],[Asset]],Table228[[#This Row],[Asset]],Table228[[#All],[Bought number]])</f>
        <v>10732.516218000001</v>
      </c>
      <c r="M373">
        <f>SUMIF(Table228[[#All],[Asset]],Table228[[#This Row],[Asset]],Table228[[#All],[Sold Number]])</f>
        <v>10733.14</v>
      </c>
      <c r="N373" s="15">
        <f>SUMIF(Table228[[#All],[Asset]],Table228[[#This Row],[Asset]],Table228[[#All],[Bought amount]])</f>
        <v>2421.5213093886</v>
      </c>
      <c r="O373" s="15">
        <f>SUMIF(Table228[[#All],[Asset]],Table228[[#This Row],[Asset]],Table228[[#All],[Sold amount]])</f>
        <v>3936.9138400000002</v>
      </c>
      <c r="P373" s="75">
        <f>Table228[[#This Row],[Total bought Amount]]/Table228[[#This Row],[Total bought Number]]</f>
        <v>0.22562475194096182</v>
      </c>
      <c r="Q373" s="75">
        <f>IFERROR(Table228[[#This Row],[Total Sold Amount]]/Table228[[#This Row],[Total Sold Number]],0)</f>
        <v>0.36679982186014537</v>
      </c>
      <c r="R373" s="21">
        <f>Table228[[#This Row],[Total bought Number]]-Table228[[#This Row],[Total Sold Number]]</f>
        <v>-0.62378199999875505</v>
      </c>
      <c r="S373" s="59">
        <f>(Table228[[#This Row],[Ave exit price]]-Table228[[#This Row],[Ave Entry price]])*Table228[[#This Row],[Total Sold Number]]</f>
        <v>1515.2517899523857</v>
      </c>
      <c r="T373" s="15">
        <f>(Table228[[#This Row],[Current Price]]-Table228[[#This Row],[Ave Entry price]])*Table228[[#This Row],[How many tokens now]]</f>
        <v>-6.5107400984633024E-2</v>
      </c>
      <c r="U373" s="76">
        <f>VLOOKUP(Table228[[#This Row],[Asset]],Table26[#All],10,FALSE)</f>
        <v>0.33</v>
      </c>
    </row>
    <row r="374" spans="1:21">
      <c r="A374" t="s">
        <v>497</v>
      </c>
      <c r="B374" s="68">
        <v>45767</v>
      </c>
      <c r="C374" s="3" t="s">
        <v>176</v>
      </c>
      <c r="D374" t="s">
        <v>498</v>
      </c>
      <c r="E374" t="s">
        <v>189</v>
      </c>
      <c r="F374" s="17">
        <v>201.55</v>
      </c>
      <c r="G374" s="73">
        <v>-2</v>
      </c>
      <c r="H374" s="61">
        <f t="shared" si="120"/>
        <v>0</v>
      </c>
      <c r="I374" s="67">
        <f t="shared" si="121"/>
        <v>2</v>
      </c>
      <c r="J374" s="15">
        <f t="shared" si="122"/>
        <v>0</v>
      </c>
      <c r="K374" s="15">
        <f t="shared" si="123"/>
        <v>403.1</v>
      </c>
      <c r="L374">
        <f>SUMIF(Table228[[#All],[Asset]],Table228[[#This Row],[Asset]],Table228[[#All],[Bought number]])</f>
        <v>2</v>
      </c>
      <c r="M374">
        <f>SUMIF(Table228[[#All],[Asset]],Table228[[#This Row],[Asset]],Table228[[#All],[Sold Number]])</f>
        <v>2</v>
      </c>
      <c r="N374" s="15">
        <f>SUMIF(Table228[[#All],[Asset]],Table228[[#This Row],[Asset]],Table228[[#All],[Bought amount]])</f>
        <v>2953</v>
      </c>
      <c r="O374" s="15">
        <f>SUMIF(Table228[[#All],[Asset]],Table228[[#This Row],[Asset]],Table228[[#All],[Sold amount]])</f>
        <v>403.1</v>
      </c>
      <c r="P374" s="75">
        <f>Table228[[#This Row],[Total bought Amount]]/Table228[[#This Row],[Total bought Number]]</f>
        <v>1476.5</v>
      </c>
      <c r="Q374" s="75">
        <f>IFERROR(Table228[[#This Row],[Total Sold Amount]]/Table228[[#This Row],[Total Sold Number]],0)</f>
        <v>201.55</v>
      </c>
      <c r="R374" s="21">
        <f>Table228[[#This Row],[Total bought Number]]-Table228[[#This Row],[Total Sold Number]]</f>
        <v>0</v>
      </c>
      <c r="S374" s="59">
        <f>(Table228[[#This Row],[Ave exit price]]-Table228[[#This Row],[Ave Entry price]])*Table228[[#This Row],[Total Sold Number]]</f>
        <v>-2549.9</v>
      </c>
      <c r="T374" s="15">
        <f>(Table228[[#This Row],[Current Price]]-Table228[[#This Row],[Ave Entry price]])*Table228[[#This Row],[How many tokens now]]</f>
        <v>0</v>
      </c>
      <c r="U374" s="76">
        <f>VLOOKUP(Table228[[#This Row],[Asset]],Table26[#All],10,FALSE)</f>
        <v>1431</v>
      </c>
    </row>
    <row r="375" spans="1:21">
      <c r="A375" t="s">
        <v>488</v>
      </c>
      <c r="B375" s="68">
        <v>45767</v>
      </c>
      <c r="C375" s="3" t="s">
        <v>176</v>
      </c>
      <c r="D375" t="s">
        <v>76</v>
      </c>
      <c r="E375" t="s">
        <v>189</v>
      </c>
      <c r="F375" s="17">
        <v>0.147284</v>
      </c>
      <c r="G375" s="73">
        <v>2758.37</v>
      </c>
      <c r="H375" s="61">
        <f t="shared" si="120"/>
        <v>2758.37</v>
      </c>
      <c r="I375" s="67">
        <f t="shared" si="121"/>
        <v>0</v>
      </c>
      <c r="J375" s="15">
        <f t="shared" si="122"/>
        <v>406.26376707999998</v>
      </c>
      <c r="K375" s="15">
        <f t="shared" si="123"/>
        <v>0</v>
      </c>
      <c r="L375">
        <f>SUMIF(Table228[[#All],[Asset]],Table228[[#This Row],[Asset]],Table228[[#All],[Bought number]])</f>
        <v>10732.516218000001</v>
      </c>
      <c r="M375">
        <f>SUMIF(Table228[[#All],[Asset]],Table228[[#This Row],[Asset]],Table228[[#All],[Sold Number]])</f>
        <v>10733.14</v>
      </c>
      <c r="N375" s="15">
        <f>SUMIF(Table228[[#All],[Asset]],Table228[[#This Row],[Asset]],Table228[[#All],[Bought amount]])</f>
        <v>2421.5213093886</v>
      </c>
      <c r="O375" s="15">
        <f>SUMIF(Table228[[#All],[Asset]],Table228[[#This Row],[Asset]],Table228[[#All],[Sold amount]])</f>
        <v>3936.9138400000002</v>
      </c>
      <c r="P375" s="75">
        <f>Table228[[#This Row],[Total bought Amount]]/Table228[[#This Row],[Total bought Number]]</f>
        <v>0.22562475194096182</v>
      </c>
      <c r="Q375" s="75">
        <f>IFERROR(Table228[[#This Row],[Total Sold Amount]]/Table228[[#This Row],[Total Sold Number]],0)</f>
        <v>0.36679982186014537</v>
      </c>
      <c r="R375" s="21">
        <f>Table228[[#This Row],[Total bought Number]]-Table228[[#This Row],[Total Sold Number]]</f>
        <v>-0.62378199999875505</v>
      </c>
      <c r="S375" s="59">
        <f>(Table228[[#This Row],[Ave exit price]]-Table228[[#This Row],[Ave Entry price]])*Table228[[#This Row],[Total Sold Number]]</f>
        <v>1515.2517899523857</v>
      </c>
      <c r="T375" s="15">
        <f>(Table228[[#This Row],[Current Price]]-Table228[[#This Row],[Ave Entry price]])*Table228[[#This Row],[How many tokens now]]</f>
        <v>-6.5107400984633024E-2</v>
      </c>
      <c r="U375" s="76">
        <f>VLOOKUP(Table228[[#This Row],[Asset]],Table26[#All],10,FALSE)</f>
        <v>0.33</v>
      </c>
    </row>
    <row r="376" spans="1:21">
      <c r="A376" t="s">
        <v>273</v>
      </c>
      <c r="B376" s="68">
        <v>45758</v>
      </c>
      <c r="C376" s="3" t="s">
        <v>176</v>
      </c>
      <c r="D376" t="s">
        <v>68</v>
      </c>
      <c r="E376" t="s">
        <v>511</v>
      </c>
      <c r="F376" s="17">
        <v>9.7649999999999994E-3</v>
      </c>
      <c r="G376" s="73">
        <v>81925</v>
      </c>
      <c r="H376" s="61">
        <f t="shared" ref="H376:H383" si="124">IF(G376&gt;0,G376,0)</f>
        <v>81925</v>
      </c>
      <c r="I376" s="67">
        <f t="shared" ref="I376:I383" si="125">IF(G376&lt;0,ABS(G376),0)</f>
        <v>0</v>
      </c>
      <c r="J376" s="15">
        <f t="shared" ref="J376:J383" si="126">H376*F376</f>
        <v>799.99762499999997</v>
      </c>
      <c r="K376" s="15">
        <f t="shared" ref="K376:K383" si="127">I376*F376</f>
        <v>0</v>
      </c>
      <c r="L376">
        <f>SUMIF(Table228[[#All],[Asset]],Table228[[#This Row],[Asset]],Table228[[#All],[Bought number]])</f>
        <v>798337.86606299994</v>
      </c>
      <c r="M376">
        <f>SUMIF(Table228[[#All],[Asset]],Table228[[#This Row],[Asset]],Table228[[#All],[Sold Number]])</f>
        <v>798338.03632399999</v>
      </c>
      <c r="N376" s="15">
        <f>SUMIF(Table228[[#All],[Asset]],Table228[[#This Row],[Asset]],Table228[[#All],[Bought amount]])</f>
        <v>24349.581039704975</v>
      </c>
      <c r="O376" s="15">
        <f>SUMIF(Table228[[#All],[Asset]],Table228[[#This Row],[Asset]],Table228[[#All],[Sold amount]])</f>
        <v>12344.863481975535</v>
      </c>
      <c r="P376" s="75">
        <f>Table228[[#This Row],[Total bought Amount]]/Table228[[#This Row],[Total bought Number]]</f>
        <v>3.0500345874591717E-2</v>
      </c>
      <c r="Q376" s="75">
        <f>IFERROR(Table228[[#This Row],[Total Sold Amount]]/Table228[[#This Row],[Total Sold Number]],0)</f>
        <v>1.5463203455541554E-2</v>
      </c>
      <c r="R376" s="21">
        <f>Table228[[#This Row],[Total bought Number]]-Table228[[#This Row],[Total Sold Number]]</f>
        <v>-0.17026100005023181</v>
      </c>
      <c r="S376" s="59">
        <f>(Table228[[#This Row],[Ave exit price]]-Table228[[#This Row],[Ave Entry price]])*Table228[[#This Row],[Total Sold Number]]</f>
        <v>-12004.72275074883</v>
      </c>
      <c r="T376" s="15">
        <f>(Table228[[#This Row],[Current Price]]-Table228[[#This Row],[Ave Entry price]])*Table228[[#This Row],[How many tokens now]]</f>
        <v>3.3201483899333983E-3</v>
      </c>
      <c r="U376" s="76">
        <f>VLOOKUP(Table228[[#This Row],[Asset]],Table26[#All],10,FALSE)</f>
        <v>1.0999999999999999E-2</v>
      </c>
    </row>
    <row r="377" spans="1:21">
      <c r="A377" t="s">
        <v>67</v>
      </c>
      <c r="B377" s="68">
        <v>45764</v>
      </c>
      <c r="C377" s="3" t="s">
        <v>509</v>
      </c>
      <c r="D377" t="s">
        <v>68</v>
      </c>
      <c r="E377" t="s">
        <v>189</v>
      </c>
      <c r="F377" s="17">
        <v>0.124164</v>
      </c>
      <c r="G377" s="73">
        <v>-8930.2621529999997</v>
      </c>
      <c r="H377" s="61">
        <f t="shared" si="124"/>
        <v>0</v>
      </c>
      <c r="I377" s="67">
        <f t="shared" si="125"/>
        <v>8930.2621529999997</v>
      </c>
      <c r="J377" s="15">
        <f t="shared" si="126"/>
        <v>0</v>
      </c>
      <c r="K377" s="15">
        <f t="shared" si="127"/>
        <v>1108.8170699650918</v>
      </c>
      <c r="L377">
        <f>SUMIF(Table228[[#All],[Asset]],Table228[[#This Row],[Asset]],Table228[[#All],[Bought number]])</f>
        <v>34194.467916000001</v>
      </c>
      <c r="M377">
        <f>SUMIF(Table228[[#All],[Asset]],Table228[[#This Row],[Asset]],Table228[[#All],[Sold Number]])</f>
        <v>34195.061103</v>
      </c>
      <c r="N377" s="15">
        <f>SUMIF(Table228[[#All],[Asset]],Table228[[#This Row],[Asset]],Table228[[#All],[Bought amount]])</f>
        <v>8337.2121048291392</v>
      </c>
      <c r="O377" s="15">
        <f>SUMIF(Table228[[#All],[Asset]],Table228[[#This Row],[Asset]],Table228[[#All],[Sold amount]])</f>
        <v>4877.1257709650927</v>
      </c>
      <c r="P377" s="75">
        <f>Table228[[#This Row],[Total bought Amount]]/Table228[[#This Row],[Total bought Number]]</f>
        <v>0.24381757088046566</v>
      </c>
      <c r="Q377" s="75">
        <f>IFERROR(Table228[[#This Row],[Total Sold Amount]]/Table228[[#This Row],[Total Sold Number]],0)</f>
        <v>0.14262661371695029</v>
      </c>
      <c r="R377" s="21">
        <f>Table228[[#This Row],[Total bought Number]]-Table228[[#This Row],[Total Sold Number]]</f>
        <v>-0.59318699999857927</v>
      </c>
      <c r="S377" s="59">
        <f>(Table228[[#This Row],[Ave exit price]]-Table228[[#This Row],[Ave Entry price]])*Table228[[#This Row],[Total Sold Number]]</f>
        <v>-3460.2309632774636</v>
      </c>
      <c r="T377" s="15">
        <f>(Table228[[#This Row],[Current Price]]-Table228[[#This Row],[Ave Entry price]])*Table228[[#This Row],[How many tokens now]]</f>
        <v>3.7855753417780115E-2</v>
      </c>
      <c r="U377" s="76">
        <f>VLOOKUP(Table228[[#This Row],[Asset]],Table26[#All],10,FALSE)</f>
        <v>0.18</v>
      </c>
    </row>
    <row r="378" spans="1:21">
      <c r="A378" t="s">
        <v>477</v>
      </c>
      <c r="B378" s="68">
        <v>45772</v>
      </c>
      <c r="C378" s="3" t="s">
        <v>176</v>
      </c>
      <c r="D378" t="s">
        <v>478</v>
      </c>
      <c r="E378" t="s">
        <v>478</v>
      </c>
      <c r="F378" s="17">
        <v>2.8176000000000001</v>
      </c>
      <c r="G378" s="73">
        <v>-98.563999999999993</v>
      </c>
      <c r="H378" s="61">
        <f t="shared" si="124"/>
        <v>0</v>
      </c>
      <c r="I378" s="67">
        <f t="shared" si="125"/>
        <v>98.563999999999993</v>
      </c>
      <c r="J378" s="15">
        <f t="shared" si="126"/>
        <v>0</v>
      </c>
      <c r="K378" s="15">
        <f t="shared" si="127"/>
        <v>277.71392639999999</v>
      </c>
      <c r="L378">
        <f>SUMIF(Table228[[#All],[Asset]],Table228[[#This Row],[Asset]],Table228[[#All],[Bought number]])</f>
        <v>98.563999999999993</v>
      </c>
      <c r="M378">
        <f>SUMIF(Table228[[#All],[Asset]],Table228[[#This Row],[Asset]],Table228[[#All],[Sold Number]])</f>
        <v>98.563999999999993</v>
      </c>
      <c r="N378" s="15">
        <f>SUMIF(Table228[[#All],[Asset]],Table228[[#This Row],[Asset]],Table228[[#All],[Bought amount]])</f>
        <v>449.45183999999995</v>
      </c>
      <c r="O378" s="15">
        <f>SUMIF(Table228[[#All],[Asset]],Table228[[#This Row],[Asset]],Table228[[#All],[Sold amount]])</f>
        <v>277.71392639999999</v>
      </c>
      <c r="P378" s="75">
        <f>Table228[[#This Row],[Total bought Amount]]/Table228[[#This Row],[Total bought Number]]</f>
        <v>4.5599999999999996</v>
      </c>
      <c r="Q378" s="75">
        <f>IFERROR(Table228[[#This Row],[Total Sold Amount]]/Table228[[#This Row],[Total Sold Number]],0)</f>
        <v>2.8176000000000001</v>
      </c>
      <c r="R378" s="21">
        <f>Table228[[#This Row],[Total bought Number]]-Table228[[#This Row],[Total Sold Number]]</f>
        <v>0</v>
      </c>
      <c r="S378" s="59">
        <f>(Table228[[#This Row],[Ave exit price]]-Table228[[#This Row],[Ave Entry price]])*Table228[[#This Row],[Total Sold Number]]</f>
        <v>-171.73791359999993</v>
      </c>
      <c r="T378" s="15">
        <f>(Table228[[#This Row],[Current Price]]-Table228[[#This Row],[Ave Entry price]])*Table228[[#This Row],[How many tokens now]]</f>
        <v>0</v>
      </c>
      <c r="U378" s="76">
        <f>VLOOKUP(Table228[[#This Row],[Asset]],Table26[#All],10,FALSE)</f>
        <v>4.5599999999999996</v>
      </c>
    </row>
    <row r="379" spans="1:21">
      <c r="A379" t="s">
        <v>519</v>
      </c>
      <c r="B379" s="68">
        <v>45772</v>
      </c>
      <c r="C379" s="3" t="s">
        <v>176</v>
      </c>
      <c r="D379" t="s">
        <v>478</v>
      </c>
      <c r="E379" t="s">
        <v>478</v>
      </c>
      <c r="F379" s="17">
        <v>351.76</v>
      </c>
      <c r="G379" s="73">
        <v>0.79</v>
      </c>
      <c r="H379" s="61">
        <f t="shared" si="124"/>
        <v>0.79</v>
      </c>
      <c r="I379" s="67">
        <f t="shared" si="125"/>
        <v>0</v>
      </c>
      <c r="J379" s="15">
        <f t="shared" si="126"/>
        <v>277.8904</v>
      </c>
      <c r="K379" s="15">
        <f t="shared" si="127"/>
        <v>0</v>
      </c>
      <c r="L379">
        <f>SUMIF(Table228[[#All],[Asset]],Table228[[#This Row],[Asset]],Table228[[#All],[Bought number]])</f>
        <v>6.5980999999999996</v>
      </c>
      <c r="M379">
        <f>SUMIF(Table228[[#All],[Asset]],Table228[[#This Row],[Asset]],Table228[[#All],[Sold Number]])</f>
        <v>6.5980999999999996</v>
      </c>
      <c r="N379" s="15">
        <f>SUMIF(Table228[[#All],[Asset]],Table228[[#This Row],[Asset]],Table228[[#All],[Bought amount]])</f>
        <v>2322.7481669999997</v>
      </c>
      <c r="O379" s="15">
        <f>SUMIF(Table228[[#All],[Asset]],Table228[[#This Row],[Asset]],Table228[[#All],[Sold amount]])</f>
        <v>2491.2321499999998</v>
      </c>
      <c r="P379" s="75">
        <f>Table228[[#This Row],[Total bought Amount]]/Table228[[#This Row],[Total bought Number]]</f>
        <v>352.03288325427013</v>
      </c>
      <c r="Q379" s="75">
        <f>IFERROR(Table228[[#This Row],[Total Sold Amount]]/Table228[[#This Row],[Total Sold Number]],0)</f>
        <v>377.56811051666386</v>
      </c>
      <c r="R379" s="21">
        <f>Table228[[#This Row],[Total bought Number]]-Table228[[#This Row],[Total Sold Number]]</f>
        <v>0</v>
      </c>
      <c r="S379" s="59">
        <f>(Table228[[#This Row],[Ave exit price]]-Table228[[#This Row],[Ave Entry price]])*Table228[[#This Row],[Total Sold Number]]</f>
        <v>168.48398300000008</v>
      </c>
      <c r="T379" s="15">
        <f>(Table228[[#This Row],[Current Price]]-Table228[[#This Row],[Ave Entry price]])*Table228[[#This Row],[How many tokens now]]</f>
        <v>0</v>
      </c>
      <c r="U379" s="76">
        <f>VLOOKUP(Table228[[#This Row],[Asset]],Table26[#All],10,FALSE)</f>
        <v>380</v>
      </c>
    </row>
    <row r="380" spans="1:21">
      <c r="A380" t="s">
        <v>519</v>
      </c>
      <c r="B380" s="68">
        <v>45772</v>
      </c>
      <c r="C380" s="3" t="s">
        <v>176</v>
      </c>
      <c r="D380" t="s">
        <v>478</v>
      </c>
      <c r="E380" t="s">
        <v>478</v>
      </c>
      <c r="F380" s="17">
        <v>352.07</v>
      </c>
      <c r="G380" s="73">
        <v>5.8080999999999996</v>
      </c>
      <c r="H380" s="61">
        <f t="shared" si="124"/>
        <v>5.8080999999999996</v>
      </c>
      <c r="I380" s="67">
        <f t="shared" si="125"/>
        <v>0</v>
      </c>
      <c r="J380" s="15">
        <f t="shared" si="126"/>
        <v>2044.8577669999997</v>
      </c>
      <c r="K380" s="15">
        <f t="shared" si="127"/>
        <v>0</v>
      </c>
      <c r="L380">
        <f>SUMIF(Table228[[#All],[Asset]],Table228[[#This Row],[Asset]],Table228[[#All],[Bought number]])</f>
        <v>6.5980999999999996</v>
      </c>
      <c r="M380">
        <f>SUMIF(Table228[[#All],[Asset]],Table228[[#This Row],[Asset]],Table228[[#All],[Sold Number]])</f>
        <v>6.5980999999999996</v>
      </c>
      <c r="N380" s="15">
        <f>SUMIF(Table228[[#All],[Asset]],Table228[[#This Row],[Asset]],Table228[[#All],[Bought amount]])</f>
        <v>2322.7481669999997</v>
      </c>
      <c r="O380" s="15">
        <f>SUMIF(Table228[[#All],[Asset]],Table228[[#This Row],[Asset]],Table228[[#All],[Sold amount]])</f>
        <v>2491.2321499999998</v>
      </c>
      <c r="P380" s="75">
        <f>Table228[[#This Row],[Total bought Amount]]/Table228[[#This Row],[Total bought Number]]</f>
        <v>352.03288325427013</v>
      </c>
      <c r="Q380" s="75">
        <f>IFERROR(Table228[[#This Row],[Total Sold Amount]]/Table228[[#This Row],[Total Sold Number]],0)</f>
        <v>377.56811051666386</v>
      </c>
      <c r="R380" s="21">
        <f>Table228[[#This Row],[Total bought Number]]-Table228[[#This Row],[Total Sold Number]]</f>
        <v>0</v>
      </c>
      <c r="S380" s="59">
        <f>(Table228[[#This Row],[Ave exit price]]-Table228[[#This Row],[Ave Entry price]])*Table228[[#This Row],[Total Sold Number]]</f>
        <v>168.48398300000008</v>
      </c>
      <c r="T380" s="15">
        <f>(Table228[[#This Row],[Current Price]]-Table228[[#This Row],[Ave Entry price]])*Table228[[#This Row],[How many tokens now]]</f>
        <v>0</v>
      </c>
      <c r="U380" s="76">
        <f>VLOOKUP(Table228[[#This Row],[Asset]],Table26[#All],10,FALSE)</f>
        <v>380</v>
      </c>
    </row>
    <row r="381" spans="1:21">
      <c r="A381" t="s">
        <v>486</v>
      </c>
      <c r="B381" s="68">
        <v>45780</v>
      </c>
      <c r="C381" s="3" t="s">
        <v>176</v>
      </c>
      <c r="D381" t="s">
        <v>498</v>
      </c>
      <c r="E381" t="s">
        <v>189</v>
      </c>
      <c r="F381" s="17">
        <v>504</v>
      </c>
      <c r="G381" s="73">
        <v>-1</v>
      </c>
      <c r="H381" s="61">
        <f t="shared" si="124"/>
        <v>0</v>
      </c>
      <c r="I381" s="67">
        <f t="shared" si="125"/>
        <v>1</v>
      </c>
      <c r="J381" s="15">
        <f t="shared" si="126"/>
        <v>0</v>
      </c>
      <c r="K381" s="15">
        <f t="shared" si="127"/>
        <v>504</v>
      </c>
      <c r="L381">
        <f>SUMIF(Table228[[#All],[Asset]],Table228[[#This Row],[Asset]],Table228[[#All],[Bought number]])</f>
        <v>1</v>
      </c>
      <c r="M381">
        <f>SUMIF(Table228[[#All],[Asset]],Table228[[#This Row],[Asset]],Table228[[#All],[Sold Number]])</f>
        <v>1</v>
      </c>
      <c r="N381" s="15">
        <f>SUMIF(Table228[[#All],[Asset]],Table228[[#This Row],[Asset]],Table228[[#All],[Bought amount]])</f>
        <v>1422.0998</v>
      </c>
      <c r="O381" s="15">
        <f>SUMIF(Table228[[#All],[Asset]],Table228[[#This Row],[Asset]],Table228[[#All],[Sold amount]])</f>
        <v>504</v>
      </c>
      <c r="P381" s="75">
        <f>Table228[[#This Row],[Total bought Amount]]/Table228[[#This Row],[Total bought Number]]</f>
        <v>1422.0998</v>
      </c>
      <c r="Q381" s="75">
        <f>IFERROR(Table228[[#This Row],[Total Sold Amount]]/Table228[[#This Row],[Total Sold Number]],0)</f>
        <v>504</v>
      </c>
      <c r="R381" s="21">
        <f>Table228[[#This Row],[Total bought Number]]-Table228[[#This Row],[Total Sold Number]]</f>
        <v>0</v>
      </c>
      <c r="S381" s="59">
        <f>(Table228[[#This Row],[Ave exit price]]-Table228[[#This Row],[Ave Entry price]])*Table228[[#This Row],[Total Sold Number]]</f>
        <v>-918.09979999999996</v>
      </c>
      <c r="T381" s="15">
        <f>(Table228[[#This Row],[Current Price]]-Table228[[#This Row],[Ave Entry price]])*Table228[[#This Row],[How many tokens now]]</f>
        <v>0</v>
      </c>
      <c r="U381" s="76">
        <f>VLOOKUP(Table228[[#This Row],[Asset]],Table26[#All],10,FALSE)</f>
        <v>1422</v>
      </c>
    </row>
    <row r="382" spans="1:21">
      <c r="A382" t="s">
        <v>488</v>
      </c>
      <c r="B382" s="68">
        <v>45781</v>
      </c>
      <c r="C382" s="3" t="s">
        <v>176</v>
      </c>
      <c r="D382" t="s">
        <v>68</v>
      </c>
      <c r="E382" t="s">
        <v>189</v>
      </c>
      <c r="F382" s="17">
        <v>0.25594</v>
      </c>
      <c r="G382" s="73">
        <v>-3000</v>
      </c>
      <c r="H382" s="61">
        <f t="shared" si="124"/>
        <v>0</v>
      </c>
      <c r="I382" s="67">
        <f t="shared" si="125"/>
        <v>3000</v>
      </c>
      <c r="J382" s="15">
        <f t="shared" si="126"/>
        <v>0</v>
      </c>
      <c r="K382" s="15">
        <f t="shared" si="127"/>
        <v>767.82</v>
      </c>
      <c r="L382">
        <f>SUMIF(Table228[[#All],[Asset]],Table228[[#This Row],[Asset]],Table228[[#All],[Bought number]])</f>
        <v>10732.516218000001</v>
      </c>
      <c r="M382">
        <f>SUMIF(Table228[[#All],[Asset]],Table228[[#This Row],[Asset]],Table228[[#All],[Sold Number]])</f>
        <v>10733.14</v>
      </c>
      <c r="N382" s="15">
        <f>SUMIF(Table228[[#All],[Asset]],Table228[[#This Row],[Asset]],Table228[[#All],[Bought amount]])</f>
        <v>2421.5213093886</v>
      </c>
      <c r="O382" s="15">
        <f>SUMIF(Table228[[#All],[Asset]],Table228[[#This Row],[Asset]],Table228[[#All],[Sold amount]])</f>
        <v>3936.9138400000002</v>
      </c>
      <c r="P382" s="75">
        <f>Table228[[#This Row],[Total bought Amount]]/Table228[[#This Row],[Total bought Number]]</f>
        <v>0.22562475194096182</v>
      </c>
      <c r="Q382" s="75">
        <f>IFERROR(Table228[[#This Row],[Total Sold Amount]]/Table228[[#This Row],[Total Sold Number]],0)</f>
        <v>0.36679982186014537</v>
      </c>
      <c r="R382" s="21">
        <f>Table228[[#This Row],[Total bought Number]]-Table228[[#This Row],[Total Sold Number]]</f>
        <v>-0.62378199999875505</v>
      </c>
      <c r="S382" s="59">
        <f>(Table228[[#This Row],[Ave exit price]]-Table228[[#This Row],[Ave Entry price]])*Table228[[#This Row],[Total Sold Number]]</f>
        <v>1515.2517899523857</v>
      </c>
      <c r="T382" s="15">
        <f>(Table228[[#This Row],[Current Price]]-Table228[[#This Row],[Ave Entry price]])*Table228[[#This Row],[How many tokens now]]</f>
        <v>-6.5107400984633024E-2</v>
      </c>
      <c r="U382" s="76">
        <f>VLOOKUP(Table228[[#This Row],[Asset]],Table26[#All],10,FALSE)</f>
        <v>0.33</v>
      </c>
    </row>
    <row r="383" spans="1:21">
      <c r="A383" t="s">
        <v>273</v>
      </c>
      <c r="B383" s="68">
        <v>45781</v>
      </c>
      <c r="C383" s="3" t="s">
        <v>176</v>
      </c>
      <c r="D383" t="s">
        <v>68</v>
      </c>
      <c r="E383" t="s">
        <v>189</v>
      </c>
      <c r="F383" s="17">
        <v>1.2746E-2</v>
      </c>
      <c r="G383" s="73">
        <v>-47856</v>
      </c>
      <c r="H383" s="61">
        <f t="shared" si="124"/>
        <v>0</v>
      </c>
      <c r="I383" s="67">
        <f t="shared" si="125"/>
        <v>47856</v>
      </c>
      <c r="J383" s="15">
        <f t="shared" si="126"/>
        <v>0</v>
      </c>
      <c r="K383" s="15">
        <f t="shared" si="127"/>
        <v>609.972576</v>
      </c>
      <c r="L383">
        <f>SUMIF(Table228[[#All],[Asset]],Table228[[#This Row],[Asset]],Table228[[#All],[Bought number]])</f>
        <v>798337.86606299994</v>
      </c>
      <c r="M383">
        <f>SUMIF(Table228[[#All],[Asset]],Table228[[#This Row],[Asset]],Table228[[#All],[Sold Number]])</f>
        <v>798338.03632399999</v>
      </c>
      <c r="N383" s="15">
        <f>SUMIF(Table228[[#All],[Asset]],Table228[[#This Row],[Asset]],Table228[[#All],[Bought amount]])</f>
        <v>24349.581039704975</v>
      </c>
      <c r="O383" s="15">
        <f>SUMIF(Table228[[#All],[Asset]],Table228[[#This Row],[Asset]],Table228[[#All],[Sold amount]])</f>
        <v>12344.863481975535</v>
      </c>
      <c r="P383" s="75">
        <f>Table228[[#This Row],[Total bought Amount]]/Table228[[#This Row],[Total bought Number]]</f>
        <v>3.0500345874591717E-2</v>
      </c>
      <c r="Q383" s="75">
        <f>IFERROR(Table228[[#This Row],[Total Sold Amount]]/Table228[[#This Row],[Total Sold Number]],0)</f>
        <v>1.5463203455541554E-2</v>
      </c>
      <c r="R383" s="21">
        <f>Table228[[#This Row],[Total bought Number]]-Table228[[#This Row],[Total Sold Number]]</f>
        <v>-0.17026100005023181</v>
      </c>
      <c r="S383" s="59">
        <f>(Table228[[#This Row],[Ave exit price]]-Table228[[#This Row],[Ave Entry price]])*Table228[[#This Row],[Total Sold Number]]</f>
        <v>-12004.72275074883</v>
      </c>
      <c r="T383" s="15">
        <f>(Table228[[#This Row],[Current Price]]-Table228[[#This Row],[Ave Entry price]])*Table228[[#This Row],[How many tokens now]]</f>
        <v>3.3201483899333983E-3</v>
      </c>
      <c r="U383" s="76">
        <f>VLOOKUP(Table228[[#This Row],[Asset]],Table26[#All],10,FALSE)</f>
        <v>1.0999999999999999E-2</v>
      </c>
    </row>
    <row r="384" spans="1:21">
      <c r="A384" t="s">
        <v>346</v>
      </c>
      <c r="B384" s="68"/>
      <c r="C384" s="3"/>
      <c r="F384" s="17">
        <v>1</v>
      </c>
      <c r="G384" s="73">
        <v>-7272.339516</v>
      </c>
      <c r="H384" s="61">
        <f t="shared" ref="H384:H399" si="128">IF(G384&gt;0,G384,0)</f>
        <v>0</v>
      </c>
      <c r="I384" s="67">
        <f t="shared" ref="I384:I399" si="129">IF(G384&lt;0,ABS(G384),0)</f>
        <v>7272.339516</v>
      </c>
      <c r="J384" s="15">
        <f t="shared" ref="J384:J399" si="130">H384*F384</f>
        <v>0</v>
      </c>
      <c r="K384" s="15">
        <f t="shared" ref="K384:K399" si="131">I384*F384</f>
        <v>7272.339516</v>
      </c>
      <c r="L384">
        <f>SUMIF(Table228[[#All],[Asset]],Table228[[#This Row],[Asset]],Table228[[#All],[Bought number]])</f>
        <v>240949.690848</v>
      </c>
      <c r="M384">
        <f>SUMIF(Table228[[#All],[Asset]],Table228[[#This Row],[Asset]],Table228[[#All],[Sold Number]])</f>
        <v>240949.69084800003</v>
      </c>
      <c r="N384" s="15">
        <f>SUMIF(Table228[[#All],[Asset]],Table228[[#This Row],[Asset]],Table228[[#All],[Bought amount]])</f>
        <v>149665.32189729257</v>
      </c>
      <c r="O384" s="15">
        <f>SUMIF(Table228[[#All],[Asset]],Table228[[#This Row],[Asset]],Table228[[#All],[Sold amount]])</f>
        <v>159408.02010878469</v>
      </c>
      <c r="P384" s="75">
        <f>Table228[[#This Row],[Total bought Amount]]/Table228[[#This Row],[Total bought Number]]</f>
        <v>0.62114759878113723</v>
      </c>
      <c r="Q384" s="75">
        <f>IFERROR(Table228[[#This Row],[Total Sold Amount]]/Table228[[#This Row],[Total Sold Number]],0)</f>
        <v>0.66158217322364266</v>
      </c>
      <c r="R384" s="21">
        <f>Table228[[#This Row],[Total bought Number]]-Table228[[#This Row],[Total Sold Number]]</f>
        <v>0</v>
      </c>
      <c r="S384" s="59">
        <f>(Table228[[#This Row],[Ave exit price]]-Table228[[#This Row],[Ave Entry price]])*Table228[[#This Row],[Total Sold Number]]</f>
        <v>9742.6982114921248</v>
      </c>
      <c r="T384" s="15">
        <f>(Table228[[#This Row],[Current Price]]-Table228[[#This Row],[Ave Entry price]])*Table228[[#This Row],[How many tokens now]]</f>
        <v>0</v>
      </c>
      <c r="U384" s="76">
        <f>VLOOKUP(Table228[[#This Row],[Asset]],Table26[#All],10,FALSE)</f>
        <v>0.99</v>
      </c>
    </row>
    <row r="385" spans="1:21">
      <c r="A385" t="s">
        <v>221</v>
      </c>
      <c r="B385" s="68">
        <v>45790</v>
      </c>
      <c r="C385" s="3" t="s">
        <v>180</v>
      </c>
      <c r="D385" t="s">
        <v>178</v>
      </c>
      <c r="E385" t="s">
        <v>276</v>
      </c>
      <c r="F385" s="17">
        <v>1.0529999999999999</v>
      </c>
      <c r="G385" s="73">
        <v>-232.46163899999999</v>
      </c>
      <c r="H385" s="61">
        <f t="shared" si="128"/>
        <v>0</v>
      </c>
      <c r="I385" s="67">
        <f t="shared" si="129"/>
        <v>232.46163899999999</v>
      </c>
      <c r="J385" s="15">
        <f t="shared" si="130"/>
        <v>0</v>
      </c>
      <c r="K385" s="15">
        <f t="shared" si="131"/>
        <v>244.78210586699998</v>
      </c>
      <c r="L385">
        <f>SUMIF(Table228[[#All],[Asset]],Table228[[#This Row],[Asset]],Table228[[#All],[Bought number]])</f>
        <v>3846.05</v>
      </c>
      <c r="M385">
        <f>SUMIF(Table228[[#All],[Asset]],Table228[[#This Row],[Asset]],Table228[[#All],[Sold Number]])</f>
        <v>3726.05</v>
      </c>
      <c r="N385" s="15">
        <f>SUMIF(Table228[[#All],[Asset]],Table228[[#This Row],[Asset]],Table228[[#All],[Bought amount]])</f>
        <v>3550.4901629999999</v>
      </c>
      <c r="O385" s="15">
        <f>SUMIF(Table228[[#All],[Asset]],Table228[[#This Row],[Asset]],Table228[[#All],[Sold amount]])</f>
        <v>3828.3503711953003</v>
      </c>
      <c r="P385" s="75">
        <f>Table228[[#This Row],[Total bought Amount]]/Table228[[#This Row],[Total bought Number]]</f>
        <v>0.92315236749392227</v>
      </c>
      <c r="Q385" s="75">
        <f>IFERROR(Table228[[#This Row],[Total Sold Amount]]/Table228[[#This Row],[Total Sold Number]],0)</f>
        <v>1.0274554477785591</v>
      </c>
      <c r="R385" s="21">
        <f>Table228[[#This Row],[Total bought Number]]-Table228[[#This Row],[Total Sold Number]]</f>
        <v>120</v>
      </c>
      <c r="S385" s="59">
        <f>(Table228[[#This Row],[Ave exit price]]-Table228[[#This Row],[Ave Entry price]])*Table228[[#This Row],[Total Sold Number]]</f>
        <v>388.63849229457122</v>
      </c>
      <c r="T385" s="15">
        <f>(Table228[[#This Row],[Current Price]]-Table228[[#This Row],[Ave Entry price]])*Table228[[#This Row],[How many tokens now]]</f>
        <v>-2.7782840992706692</v>
      </c>
      <c r="U385" s="76">
        <f>VLOOKUP(Table228[[#This Row],[Asset]],Table26[#All],10,FALSE)</f>
        <v>0.9</v>
      </c>
    </row>
    <row r="386" spans="1:21">
      <c r="A386" t="s">
        <v>221</v>
      </c>
      <c r="B386" s="68"/>
      <c r="C386" s="3"/>
      <c r="F386" s="17"/>
      <c r="G386" s="73">
        <v>-115.73157399999999</v>
      </c>
      <c r="H386" s="61">
        <f t="shared" si="128"/>
        <v>0</v>
      </c>
      <c r="I386" s="67">
        <f t="shared" si="129"/>
        <v>115.73157399999999</v>
      </c>
      <c r="J386" s="15">
        <f t="shared" si="130"/>
        <v>0</v>
      </c>
      <c r="K386" s="15">
        <f t="shared" si="131"/>
        <v>0</v>
      </c>
      <c r="L386">
        <f>SUMIF(Table228[[#All],[Asset]],Table228[[#This Row],[Asset]],Table228[[#All],[Bought number]])</f>
        <v>3846.05</v>
      </c>
      <c r="M386">
        <f>SUMIF(Table228[[#All],[Asset]],Table228[[#This Row],[Asset]],Table228[[#All],[Sold Number]])</f>
        <v>3726.05</v>
      </c>
      <c r="N386" s="15">
        <f>SUMIF(Table228[[#All],[Asset]],Table228[[#This Row],[Asset]],Table228[[#All],[Bought amount]])</f>
        <v>3550.4901629999999</v>
      </c>
      <c r="O386" s="15">
        <f>SUMIF(Table228[[#All],[Asset]],Table228[[#This Row],[Asset]],Table228[[#All],[Sold amount]])</f>
        <v>3828.3503711953003</v>
      </c>
      <c r="P386" s="75">
        <f>Table228[[#This Row],[Total bought Amount]]/Table228[[#This Row],[Total bought Number]]</f>
        <v>0.92315236749392227</v>
      </c>
      <c r="Q386" s="75">
        <f>IFERROR(Table228[[#This Row],[Total Sold Amount]]/Table228[[#This Row],[Total Sold Number]],0)</f>
        <v>1.0274554477785591</v>
      </c>
      <c r="R386" s="21">
        <f>Table228[[#This Row],[Total bought Number]]-Table228[[#This Row],[Total Sold Number]]</f>
        <v>120</v>
      </c>
      <c r="S386" s="59">
        <f>(Table228[[#This Row],[Ave exit price]]-Table228[[#This Row],[Ave Entry price]])*Table228[[#This Row],[Total Sold Number]]</f>
        <v>388.63849229457122</v>
      </c>
      <c r="T386" s="15">
        <f>(Table228[[#This Row],[Current Price]]-Table228[[#This Row],[Ave Entry price]])*Table228[[#This Row],[How many tokens now]]</f>
        <v>-2.7782840992706692</v>
      </c>
      <c r="U386" s="76">
        <f>VLOOKUP(Table228[[#This Row],[Asset]],Table26[#All],10,FALSE)</f>
        <v>0.9</v>
      </c>
    </row>
    <row r="387" spans="1:21">
      <c r="A387" t="s">
        <v>44</v>
      </c>
      <c r="B387" s="68">
        <v>45784</v>
      </c>
      <c r="C387" s="3" t="s">
        <v>176</v>
      </c>
      <c r="D387" t="s">
        <v>520</v>
      </c>
      <c r="E387" t="s">
        <v>520</v>
      </c>
      <c r="F387" s="17">
        <v>0.32979999999999998</v>
      </c>
      <c r="G387" s="73">
        <v>1785.71</v>
      </c>
      <c r="H387" s="61">
        <f t="shared" si="128"/>
        <v>1785.71</v>
      </c>
      <c r="I387" s="67">
        <f t="shared" si="129"/>
        <v>0</v>
      </c>
      <c r="J387" s="15">
        <f t="shared" si="130"/>
        <v>588.92715799999996</v>
      </c>
      <c r="K387" s="15">
        <f t="shared" si="131"/>
        <v>0</v>
      </c>
      <c r="L387">
        <f>SUMIF(Table228[[#All],[Asset]],Table228[[#This Row],[Asset]],Table228[[#All],[Bought number]])</f>
        <v>9919.2763999999988</v>
      </c>
      <c r="M387">
        <f>SUMIF(Table228[[#All],[Asset]],Table228[[#This Row],[Asset]],Table228[[#All],[Sold Number]])</f>
        <v>5692.6409999999996</v>
      </c>
      <c r="N387" s="15">
        <f>SUMIF(Table228[[#All],[Asset]],Table228[[#This Row],[Asset]],Table228[[#All],[Bought amount]])</f>
        <v>4616.6576801299998</v>
      </c>
      <c r="O387" s="15">
        <f>SUMIF(Table228[[#All],[Asset]],Table228[[#This Row],[Asset]],Table228[[#All],[Sold amount]])</f>
        <v>2237.4323399999998</v>
      </c>
      <c r="P387" s="75">
        <f>Table228[[#This Row],[Total bought Amount]]/Table228[[#This Row],[Total bought Number]]</f>
        <v>0.46542282863798418</v>
      </c>
      <c r="Q387" s="75">
        <f>IFERROR(Table228[[#This Row],[Total Sold Amount]]/Table228[[#This Row],[Total Sold Number]],0)</f>
        <v>0.39303942405642656</v>
      </c>
      <c r="R387" s="21">
        <f>Table228[[#This Row],[Total bought Number]]-Table228[[#This Row],[Total Sold Number]]</f>
        <v>4226.6353999999992</v>
      </c>
      <c r="S387" s="59">
        <f>(Table228[[#This Row],[Ave exit price]]-Table228[[#This Row],[Ave Entry price]])*Table228[[#This Row],[Total Sold Number]]</f>
        <v>-412.05273664056273</v>
      </c>
      <c r="T387" s="15">
        <f>(Table228[[#This Row],[Current Price]]-Table228[[#This Row],[Ave Entry price]])*Table228[[#This Row],[How many tokens now]]</f>
        <v>1202.8039465105621</v>
      </c>
      <c r="U387" s="76">
        <f>VLOOKUP(Table228[[#This Row],[Asset]],Table26[#All],10,FALSE)</f>
        <v>0.75</v>
      </c>
    </row>
    <row r="388" spans="1:21">
      <c r="A388" t="s">
        <v>44</v>
      </c>
      <c r="B388" s="68">
        <v>45786</v>
      </c>
      <c r="C388" s="3" t="s">
        <v>176</v>
      </c>
      <c r="D388" t="s">
        <v>520</v>
      </c>
      <c r="E388" t="s">
        <v>520</v>
      </c>
      <c r="F388" s="17">
        <v>0.3755</v>
      </c>
      <c r="G388" s="73">
        <v>770.64</v>
      </c>
      <c r="H388" s="61">
        <f t="shared" si="128"/>
        <v>770.64</v>
      </c>
      <c r="I388" s="67">
        <f t="shared" si="129"/>
        <v>0</v>
      </c>
      <c r="J388" s="15">
        <f t="shared" si="130"/>
        <v>289.37531999999999</v>
      </c>
      <c r="K388" s="15">
        <f t="shared" si="131"/>
        <v>0</v>
      </c>
      <c r="L388">
        <f>SUMIF(Table228[[#All],[Asset]],Table228[[#This Row],[Asset]],Table228[[#All],[Bought number]])</f>
        <v>9919.2763999999988</v>
      </c>
      <c r="M388">
        <f>SUMIF(Table228[[#All],[Asset]],Table228[[#This Row],[Asset]],Table228[[#All],[Sold Number]])</f>
        <v>5692.6409999999996</v>
      </c>
      <c r="N388" s="15">
        <f>SUMIF(Table228[[#All],[Asset]],Table228[[#This Row],[Asset]],Table228[[#All],[Bought amount]])</f>
        <v>4616.6576801299998</v>
      </c>
      <c r="O388" s="15">
        <f>SUMIF(Table228[[#All],[Asset]],Table228[[#This Row],[Asset]],Table228[[#All],[Sold amount]])</f>
        <v>2237.4323399999998</v>
      </c>
      <c r="P388" s="75">
        <f>Table228[[#This Row],[Total bought Amount]]/Table228[[#This Row],[Total bought Number]]</f>
        <v>0.46542282863798418</v>
      </c>
      <c r="Q388" s="75">
        <f>IFERROR(Table228[[#This Row],[Total Sold Amount]]/Table228[[#This Row],[Total Sold Number]],0)</f>
        <v>0.39303942405642656</v>
      </c>
      <c r="R388" s="21">
        <f>Table228[[#This Row],[Total bought Number]]-Table228[[#This Row],[Total Sold Number]]</f>
        <v>4226.6353999999992</v>
      </c>
      <c r="S388" s="59">
        <f>(Table228[[#This Row],[Ave exit price]]-Table228[[#This Row],[Ave Entry price]])*Table228[[#This Row],[Total Sold Number]]</f>
        <v>-412.05273664056273</v>
      </c>
      <c r="T388" s="15">
        <f>(Table228[[#This Row],[Current Price]]-Table228[[#This Row],[Ave Entry price]])*Table228[[#This Row],[How many tokens now]]</f>
        <v>1202.8039465105621</v>
      </c>
      <c r="U388" s="76">
        <f>VLOOKUP(Table228[[#This Row],[Asset]],Table26[#All],10,FALSE)</f>
        <v>0.75</v>
      </c>
    </row>
    <row r="389" spans="1:21">
      <c r="A389" t="s">
        <v>67</v>
      </c>
      <c r="B389" s="68">
        <v>45799</v>
      </c>
      <c r="C389" s="3" t="s">
        <v>176</v>
      </c>
      <c r="D389" t="s">
        <v>76</v>
      </c>
      <c r="E389" t="s">
        <v>189</v>
      </c>
      <c r="F389" s="17">
        <v>0.14000000000000001</v>
      </c>
      <c r="G389" s="73">
        <v>-8930.2621500000005</v>
      </c>
      <c r="H389" s="61">
        <f t="shared" si="128"/>
        <v>0</v>
      </c>
      <c r="I389" s="67">
        <f t="shared" si="129"/>
        <v>8930.2621500000005</v>
      </c>
      <c r="J389" s="15">
        <f t="shared" si="130"/>
        <v>0</v>
      </c>
      <c r="K389" s="15">
        <f t="shared" si="131"/>
        <v>1250.2367010000003</v>
      </c>
      <c r="L389">
        <f>SUMIF(Table228[[#All],[Asset]],Table228[[#This Row],[Asset]],Table228[[#All],[Bought number]])</f>
        <v>34194.467916000001</v>
      </c>
      <c r="M389">
        <f>SUMIF(Table228[[#All],[Asset]],Table228[[#This Row],[Asset]],Table228[[#All],[Sold Number]])</f>
        <v>34195.061103</v>
      </c>
      <c r="N389" s="15">
        <f>SUMIF(Table228[[#All],[Asset]],Table228[[#This Row],[Asset]],Table228[[#All],[Bought amount]])</f>
        <v>8337.2121048291392</v>
      </c>
      <c r="O389" s="15">
        <f>SUMIF(Table228[[#All],[Asset]],Table228[[#This Row],[Asset]],Table228[[#All],[Sold amount]])</f>
        <v>4877.1257709650927</v>
      </c>
      <c r="P389" s="75">
        <f>Table228[[#This Row],[Total bought Amount]]/Table228[[#This Row],[Total bought Number]]</f>
        <v>0.24381757088046566</v>
      </c>
      <c r="Q389" s="75">
        <f>IFERROR(Table228[[#This Row],[Total Sold Amount]]/Table228[[#This Row],[Total Sold Number]],0)</f>
        <v>0.14262661371695029</v>
      </c>
      <c r="R389" s="21">
        <f>Table228[[#This Row],[Total bought Number]]-Table228[[#This Row],[Total Sold Number]]</f>
        <v>-0.59318699999857927</v>
      </c>
      <c r="S389" s="59">
        <f>(Table228[[#This Row],[Ave exit price]]-Table228[[#This Row],[Ave Entry price]])*Table228[[#This Row],[Total Sold Number]]</f>
        <v>-3460.2309632774636</v>
      </c>
      <c r="T389" s="15">
        <f>(Table228[[#This Row],[Current Price]]-Table228[[#This Row],[Ave Entry price]])*Table228[[#This Row],[How many tokens now]]</f>
        <v>3.7855753417780115E-2</v>
      </c>
      <c r="U389" s="76">
        <f>VLOOKUP(Table228[[#This Row],[Asset]],Table26[#All],10,FALSE)</f>
        <v>0.18</v>
      </c>
    </row>
    <row r="390" spans="1:21">
      <c r="A390" t="s">
        <v>426</v>
      </c>
      <c r="B390" s="68">
        <v>45799</v>
      </c>
      <c r="C390" s="3" t="s">
        <v>176</v>
      </c>
      <c r="D390" t="s">
        <v>76</v>
      </c>
      <c r="E390" t="s">
        <v>189</v>
      </c>
      <c r="F390" s="17">
        <v>7.7149999999999996E-2</v>
      </c>
      <c r="G390" s="73">
        <v>16738</v>
      </c>
      <c r="H390" s="61">
        <f t="shared" si="128"/>
        <v>16738</v>
      </c>
      <c r="I390" s="67">
        <f t="shared" si="129"/>
        <v>0</v>
      </c>
      <c r="J390" s="15">
        <f t="shared" si="130"/>
        <v>1291.3366999999998</v>
      </c>
      <c r="K390" s="15">
        <f t="shared" si="131"/>
        <v>0</v>
      </c>
      <c r="L390">
        <f>SUMIF(Table228[[#All],[Asset]],Table228[[#This Row],[Asset]],Table228[[#All],[Bought number]])</f>
        <v>238626.003494</v>
      </c>
      <c r="M390">
        <f>SUMIF(Table228[[#All],[Asset]],Table228[[#This Row],[Asset]],Table228[[#All],[Sold Number]])</f>
        <v>258703.52244</v>
      </c>
      <c r="N390" s="15">
        <f>SUMIF(Table228[[#All],[Asset]],Table228[[#This Row],[Asset]],Table228[[#All],[Bought amount]])</f>
        <v>15455.410858853724</v>
      </c>
      <c r="O390" s="15">
        <f>SUMIF(Table228[[#All],[Asset]],Table228[[#This Row],[Asset]],Table228[[#All],[Sold amount]])</f>
        <v>12956.454272287921</v>
      </c>
      <c r="P390" s="75">
        <f>Table228[[#This Row],[Total bought Amount]]/Table228[[#This Row],[Total bought Number]]</f>
        <v>6.4768343066359632E-2</v>
      </c>
      <c r="Q390" s="75">
        <f>IFERROR(Table228[[#This Row],[Total Sold Amount]]/Table228[[#This Row],[Total Sold Number]],0)</f>
        <v>5.0082249171125436E-2</v>
      </c>
      <c r="R390" s="21">
        <f>Table228[[#This Row],[Total bought Number]]-Table228[[#This Row],[Total Sold Number]]</f>
        <v>-20077.518945999997</v>
      </c>
      <c r="S390" s="59">
        <f>(Table228[[#This Row],[Ave exit price]]-Table228[[#This Row],[Ave Entry price]])*Table228[[#This Row],[Total Sold Number]]</f>
        <v>-3799.3442215816672</v>
      </c>
      <c r="T390" s="15">
        <f>(Table228[[#This Row],[Current Price]]-Table228[[#This Row],[Ave Entry price]])*Table228[[#This Row],[How many tokens now]]</f>
        <v>440.80881638076522</v>
      </c>
      <c r="U390" s="76">
        <f>VLOOKUP(Table228[[#This Row],[Asset]],Table26[#All],10,FALSE)</f>
        <v>4.2812999999999997E-2</v>
      </c>
    </row>
    <row r="391" spans="1:21">
      <c r="A391" t="s">
        <v>496</v>
      </c>
      <c r="B391" s="68">
        <v>45799</v>
      </c>
      <c r="C391" s="3" t="s">
        <v>176</v>
      </c>
      <c r="D391" t="s">
        <v>68</v>
      </c>
      <c r="E391" t="s">
        <v>189</v>
      </c>
      <c r="F391" s="17">
        <v>0.17150000000000001</v>
      </c>
      <c r="G391" s="73">
        <v>-10387.866094000001</v>
      </c>
      <c r="H391" s="61">
        <f t="shared" si="128"/>
        <v>0</v>
      </c>
      <c r="I391" s="67">
        <f t="shared" si="129"/>
        <v>10387.866094000001</v>
      </c>
      <c r="J391" s="15">
        <f t="shared" si="130"/>
        <v>0</v>
      </c>
      <c r="K391" s="15">
        <f t="shared" si="131"/>
        <v>1781.5190351210003</v>
      </c>
      <c r="L391">
        <f>SUMIF(Table228[[#All],[Asset]],Table228[[#This Row],[Asset]],Table228[[#All],[Bought number]])</f>
        <v>25905.172225000002</v>
      </c>
      <c r="M391">
        <f>SUMIF(Table228[[#All],[Asset]],Table228[[#This Row],[Asset]],Table228[[#All],[Sold Number]])</f>
        <v>23901.696294000001</v>
      </c>
      <c r="N391" s="15">
        <f>SUMIF(Table228[[#All],[Asset]],Table228[[#This Row],[Asset]],Table228[[#All],[Bought amount]])</f>
        <v>7316.0232461972755</v>
      </c>
      <c r="O391" s="15">
        <f>SUMIF(Table228[[#All],[Asset]],Table228[[#This Row],[Asset]],Table228[[#All],[Sold amount]])</f>
        <v>3343.162250846</v>
      </c>
      <c r="P391" s="75">
        <f>Table228[[#This Row],[Total bought Amount]]/Table228[[#This Row],[Total bought Number]]</f>
        <v>0.282415541678464</v>
      </c>
      <c r="Q391" s="75">
        <f>IFERROR(Table228[[#This Row],[Total Sold Amount]]/Table228[[#This Row],[Total Sold Number]],0)</f>
        <v>0.13987133840727564</v>
      </c>
      <c r="R391" s="21">
        <f>Table228[[#This Row],[Total bought Number]]-Table228[[#This Row],[Total Sold Number]]</f>
        <v>2003.4759310000009</v>
      </c>
      <c r="S391" s="59">
        <f>(Table228[[#This Row],[Ave exit price]]-Table228[[#This Row],[Ave Entry price]])*Table228[[#This Row],[Total Sold Number]]</f>
        <v>-3407.0482550581455</v>
      </c>
      <c r="T391" s="15">
        <f>(Table228[[#This Row],[Current Price]]-Table228[[#This Row],[Ave Entry price]])*Table228[[#This Row],[How many tokens now]]</f>
        <v>-365.46514719313012</v>
      </c>
      <c r="U391" s="76">
        <f>VLOOKUP(Table228[[#This Row],[Asset]],Table26[#All],10,FALSE)</f>
        <v>0.1</v>
      </c>
    </row>
    <row r="392" spans="1:21">
      <c r="A392" t="s">
        <v>426</v>
      </c>
      <c r="B392" s="68">
        <v>45799</v>
      </c>
      <c r="C392" s="3" t="s">
        <v>176</v>
      </c>
      <c r="D392" t="s">
        <v>68</v>
      </c>
      <c r="E392" t="s">
        <v>189</v>
      </c>
      <c r="F392" s="17">
        <v>7.6413999999999996E-2</v>
      </c>
      <c r="G392" s="73">
        <v>23311.934885999999</v>
      </c>
      <c r="H392" s="61">
        <f t="shared" si="128"/>
        <v>23311.934885999999</v>
      </c>
      <c r="I392" s="67">
        <f t="shared" si="129"/>
        <v>0</v>
      </c>
      <c r="J392" s="15">
        <f t="shared" si="130"/>
        <v>1781.3581923788038</v>
      </c>
      <c r="K392" s="15">
        <f t="shared" si="131"/>
        <v>0</v>
      </c>
      <c r="L392">
        <f>SUMIF(Table228[[#All],[Asset]],Table228[[#This Row],[Asset]],Table228[[#All],[Bought number]])</f>
        <v>238626.003494</v>
      </c>
      <c r="M392">
        <f>SUMIF(Table228[[#All],[Asset]],Table228[[#This Row],[Asset]],Table228[[#All],[Sold Number]])</f>
        <v>258703.52244</v>
      </c>
      <c r="N392" s="15">
        <f>SUMIF(Table228[[#All],[Asset]],Table228[[#This Row],[Asset]],Table228[[#All],[Bought amount]])</f>
        <v>15455.410858853724</v>
      </c>
      <c r="O392" s="15">
        <f>SUMIF(Table228[[#All],[Asset]],Table228[[#This Row],[Asset]],Table228[[#All],[Sold amount]])</f>
        <v>12956.454272287921</v>
      </c>
      <c r="P392" s="75">
        <f>Table228[[#This Row],[Total bought Amount]]/Table228[[#This Row],[Total bought Number]]</f>
        <v>6.4768343066359632E-2</v>
      </c>
      <c r="Q392" s="75">
        <f>IFERROR(Table228[[#This Row],[Total Sold Amount]]/Table228[[#This Row],[Total Sold Number]],0)</f>
        <v>5.0082249171125436E-2</v>
      </c>
      <c r="R392" s="21">
        <f>Table228[[#This Row],[Total bought Number]]-Table228[[#This Row],[Total Sold Number]]</f>
        <v>-20077.518945999997</v>
      </c>
      <c r="S392" s="59">
        <f>(Table228[[#This Row],[Ave exit price]]-Table228[[#This Row],[Ave Entry price]])*Table228[[#This Row],[Total Sold Number]]</f>
        <v>-3799.3442215816672</v>
      </c>
      <c r="T392" s="15">
        <f>(Table228[[#This Row],[Current Price]]-Table228[[#This Row],[Ave Entry price]])*Table228[[#This Row],[How many tokens now]]</f>
        <v>440.80881638076522</v>
      </c>
      <c r="U392" s="76">
        <f>VLOOKUP(Table228[[#This Row],[Asset]],Table26[#All],10,FALSE)</f>
        <v>4.2812999999999997E-2</v>
      </c>
    </row>
    <row r="393" spans="1:21">
      <c r="A393" t="s">
        <v>426</v>
      </c>
      <c r="B393" s="68">
        <v>45799</v>
      </c>
      <c r="C393" s="3" t="s">
        <v>176</v>
      </c>
      <c r="D393" t="s">
        <v>68</v>
      </c>
      <c r="E393" t="s">
        <v>189</v>
      </c>
      <c r="F393" s="17">
        <v>7.6413999999999996E-2</v>
      </c>
      <c r="G393" s="73">
        <v>4551</v>
      </c>
      <c r="H393" s="61">
        <f t="shared" si="128"/>
        <v>4551</v>
      </c>
      <c r="I393" s="67">
        <f t="shared" si="129"/>
        <v>0</v>
      </c>
      <c r="J393" s="15">
        <f t="shared" si="130"/>
        <v>347.76011399999999</v>
      </c>
      <c r="K393" s="15">
        <f t="shared" si="131"/>
        <v>0</v>
      </c>
      <c r="L393">
        <f>SUMIF(Table228[[#All],[Asset]],Table228[[#This Row],[Asset]],Table228[[#All],[Bought number]])</f>
        <v>238626.003494</v>
      </c>
      <c r="M393">
        <f>SUMIF(Table228[[#All],[Asset]],Table228[[#This Row],[Asset]],Table228[[#All],[Sold Number]])</f>
        <v>258703.52244</v>
      </c>
      <c r="N393" s="15">
        <f>SUMIF(Table228[[#All],[Asset]],Table228[[#This Row],[Asset]],Table228[[#All],[Bought amount]])</f>
        <v>15455.410858853724</v>
      </c>
      <c r="O393" s="15">
        <f>SUMIF(Table228[[#All],[Asset]],Table228[[#This Row],[Asset]],Table228[[#All],[Sold amount]])</f>
        <v>12956.454272287921</v>
      </c>
      <c r="P393" s="75">
        <f>Table228[[#This Row],[Total bought Amount]]/Table228[[#This Row],[Total bought Number]]</f>
        <v>6.4768343066359632E-2</v>
      </c>
      <c r="Q393" s="75">
        <f>IFERROR(Table228[[#This Row],[Total Sold Amount]]/Table228[[#This Row],[Total Sold Number]],0)</f>
        <v>5.0082249171125436E-2</v>
      </c>
      <c r="R393" s="21">
        <f>Table228[[#This Row],[Total bought Number]]-Table228[[#This Row],[Total Sold Number]]</f>
        <v>-20077.518945999997</v>
      </c>
      <c r="S393" s="59">
        <f>(Table228[[#This Row],[Ave exit price]]-Table228[[#This Row],[Ave Entry price]])*Table228[[#This Row],[Total Sold Number]]</f>
        <v>-3799.3442215816672</v>
      </c>
      <c r="T393" s="15">
        <f>(Table228[[#This Row],[Current Price]]-Table228[[#This Row],[Ave Entry price]])*Table228[[#This Row],[How many tokens now]]</f>
        <v>440.80881638076522</v>
      </c>
      <c r="U393" s="76">
        <f>VLOOKUP(Table228[[#This Row],[Asset]],Table26[#All],10,FALSE)</f>
        <v>4.2812999999999997E-2</v>
      </c>
    </row>
    <row r="394" spans="1:21">
      <c r="A394" t="s">
        <v>223</v>
      </c>
      <c r="B394" s="68">
        <v>45799</v>
      </c>
      <c r="C394" s="3" t="s">
        <v>176</v>
      </c>
      <c r="D394" t="s">
        <v>76</v>
      </c>
      <c r="E394" t="s">
        <v>189</v>
      </c>
      <c r="F394" s="17">
        <v>0.17494000000000001</v>
      </c>
      <c r="G394" s="73">
        <v>-42081.5098</v>
      </c>
      <c r="H394" s="61">
        <f t="shared" si="128"/>
        <v>0</v>
      </c>
      <c r="I394" s="67">
        <f t="shared" si="129"/>
        <v>42081.5098</v>
      </c>
      <c r="J394" s="15">
        <f t="shared" si="130"/>
        <v>0</v>
      </c>
      <c r="K394" s="15">
        <f t="shared" si="131"/>
        <v>7361.7393244120003</v>
      </c>
      <c r="L394">
        <f>SUMIF(Table228[[#All],[Asset]],Table228[[#This Row],[Asset]],Table228[[#All],[Bought number]])</f>
        <v>70451.060641000004</v>
      </c>
      <c r="M394">
        <f>SUMIF(Table228[[#All],[Asset]],Table228[[#This Row],[Asset]],Table228[[#All],[Sold Number]])</f>
        <v>77094.547770000005</v>
      </c>
      <c r="N394" s="15">
        <f>SUMIF(Table228[[#All],[Asset]],Table228[[#This Row],[Asset]],Table228[[#All],[Bought amount]])</f>
        <v>20784.213577025603</v>
      </c>
      <c r="O394" s="15">
        <f>SUMIF(Table228[[#All],[Asset]],Table228[[#This Row],[Asset]],Table228[[#All],[Sold amount]])</f>
        <v>19239.062667060869</v>
      </c>
      <c r="P394" s="75">
        <f>Table228[[#This Row],[Total bought Amount]]/Table228[[#This Row],[Total bought Number]]</f>
        <v>0.29501633315268971</v>
      </c>
      <c r="Q394" s="75">
        <f>IFERROR(Table228[[#This Row],[Total Sold Amount]]/Table228[[#This Row],[Total Sold Number]],0)</f>
        <v>0.24955153410404224</v>
      </c>
      <c r="R394" s="21">
        <f>Table228[[#This Row],[Total bought Number]]-Table228[[#This Row],[Total Sold Number]]</f>
        <v>-6643.487129000001</v>
      </c>
      <c r="S394" s="59">
        <f>(Table228[[#This Row],[Ave exit price]]-Table228[[#This Row],[Ave Entry price]])*Table228[[#This Row],[Total Sold Number]]</f>
        <v>-3505.0881221094037</v>
      </c>
      <c r="T394" s="15">
        <f>(Table228[[#This Row],[Current Price]]-Table228[[#This Row],[Ave Entry price]])*Table228[[#This Row],[How many tokens now]]</f>
        <v>631.23978634467016</v>
      </c>
      <c r="U394" s="76">
        <f>VLOOKUP(Table228[[#This Row],[Asset]],Table26[#All],10,FALSE)</f>
        <v>0.2</v>
      </c>
    </row>
    <row r="395" spans="1:21">
      <c r="A395" t="s">
        <v>426</v>
      </c>
      <c r="B395" s="68">
        <v>45799</v>
      </c>
      <c r="C395" s="3" t="s">
        <v>176</v>
      </c>
      <c r="D395" t="s">
        <v>76</v>
      </c>
      <c r="E395" t="s">
        <v>189</v>
      </c>
      <c r="F395" s="17">
        <v>7.639E-2</v>
      </c>
      <c r="G395" s="73">
        <v>95839.316007999994</v>
      </c>
      <c r="H395" s="61">
        <f t="shared" si="128"/>
        <v>95839.316007999994</v>
      </c>
      <c r="I395" s="67">
        <f t="shared" si="129"/>
        <v>0</v>
      </c>
      <c r="J395" s="15">
        <f t="shared" si="130"/>
        <v>7321.1653498511196</v>
      </c>
      <c r="K395" s="15">
        <f t="shared" si="131"/>
        <v>0</v>
      </c>
      <c r="L395">
        <f>SUMIF(Table228[[#All],[Asset]],Table228[[#This Row],[Asset]],Table228[[#All],[Bought number]])</f>
        <v>238626.003494</v>
      </c>
      <c r="M395">
        <f>SUMIF(Table228[[#All],[Asset]],Table228[[#This Row],[Asset]],Table228[[#All],[Sold Number]])</f>
        <v>258703.52244</v>
      </c>
      <c r="N395" s="15">
        <f>SUMIF(Table228[[#All],[Asset]],Table228[[#This Row],[Asset]],Table228[[#All],[Bought amount]])</f>
        <v>15455.410858853724</v>
      </c>
      <c r="O395" s="15">
        <f>SUMIF(Table228[[#All],[Asset]],Table228[[#This Row],[Asset]],Table228[[#All],[Sold amount]])</f>
        <v>12956.454272287921</v>
      </c>
      <c r="P395" s="75">
        <f>Table228[[#This Row],[Total bought Amount]]/Table228[[#This Row],[Total bought Number]]</f>
        <v>6.4768343066359632E-2</v>
      </c>
      <c r="Q395" s="75">
        <f>IFERROR(Table228[[#This Row],[Total Sold Amount]]/Table228[[#This Row],[Total Sold Number]],0)</f>
        <v>5.0082249171125436E-2</v>
      </c>
      <c r="R395" s="21">
        <f>Table228[[#This Row],[Total bought Number]]-Table228[[#This Row],[Total Sold Number]]</f>
        <v>-20077.518945999997</v>
      </c>
      <c r="S395" s="59">
        <f>(Table228[[#This Row],[Ave exit price]]-Table228[[#This Row],[Ave Entry price]])*Table228[[#This Row],[Total Sold Number]]</f>
        <v>-3799.3442215816672</v>
      </c>
      <c r="T395" s="15">
        <f>(Table228[[#This Row],[Current Price]]-Table228[[#This Row],[Ave Entry price]])*Table228[[#This Row],[How many tokens now]]</f>
        <v>440.80881638076522</v>
      </c>
      <c r="U395" s="76">
        <f>VLOOKUP(Table228[[#This Row],[Asset]],Table26[#All],10,FALSE)</f>
        <v>4.2812999999999997E-2</v>
      </c>
    </row>
    <row r="396" spans="1:21">
      <c r="A396" t="s">
        <v>273</v>
      </c>
      <c r="B396" s="68">
        <v>45800</v>
      </c>
      <c r="C396" s="3" t="s">
        <v>176</v>
      </c>
      <c r="D396" t="s">
        <v>68</v>
      </c>
      <c r="E396" t="s">
        <v>189</v>
      </c>
      <c r="F396" s="17">
        <v>3.0044000000000001E-2</v>
      </c>
      <c r="G396" s="73">
        <v>17952</v>
      </c>
      <c r="H396" s="61">
        <f t="shared" si="128"/>
        <v>17952</v>
      </c>
      <c r="I396" s="67">
        <f t="shared" si="129"/>
        <v>0</v>
      </c>
      <c r="J396" s="15">
        <f t="shared" si="130"/>
        <v>539.34988800000008</v>
      </c>
      <c r="K396" s="15">
        <f t="shared" si="131"/>
        <v>0</v>
      </c>
      <c r="L396">
        <f>SUMIF(Table228[[#All],[Asset]],Table228[[#This Row],[Asset]],Table228[[#All],[Bought number]])</f>
        <v>798337.86606299994</v>
      </c>
      <c r="M396">
        <f>SUMIF(Table228[[#All],[Asset]],Table228[[#This Row],[Asset]],Table228[[#All],[Sold Number]])</f>
        <v>798338.03632399999</v>
      </c>
      <c r="N396" s="15">
        <f>SUMIF(Table228[[#All],[Asset]],Table228[[#This Row],[Asset]],Table228[[#All],[Bought amount]])</f>
        <v>24349.581039704975</v>
      </c>
      <c r="O396" s="15">
        <f>SUMIF(Table228[[#All],[Asset]],Table228[[#This Row],[Asset]],Table228[[#All],[Sold amount]])</f>
        <v>12344.863481975535</v>
      </c>
      <c r="P396" s="75">
        <f>Table228[[#This Row],[Total bought Amount]]/Table228[[#This Row],[Total bought Number]]</f>
        <v>3.0500345874591717E-2</v>
      </c>
      <c r="Q396" s="75">
        <f>IFERROR(Table228[[#This Row],[Total Sold Amount]]/Table228[[#This Row],[Total Sold Number]],0)</f>
        <v>1.5463203455541554E-2</v>
      </c>
      <c r="R396" s="21">
        <f>Table228[[#This Row],[Total bought Number]]-Table228[[#This Row],[Total Sold Number]]</f>
        <v>-0.17026100005023181</v>
      </c>
      <c r="S396" s="59">
        <f>(Table228[[#This Row],[Ave exit price]]-Table228[[#This Row],[Ave Entry price]])*Table228[[#This Row],[Total Sold Number]]</f>
        <v>-12004.72275074883</v>
      </c>
      <c r="T396" s="15">
        <f>(Table228[[#This Row],[Current Price]]-Table228[[#This Row],[Ave Entry price]])*Table228[[#This Row],[How many tokens now]]</f>
        <v>3.3201483899333983E-3</v>
      </c>
      <c r="U396" s="76">
        <f>VLOOKUP(Table228[[#This Row],[Asset]],Table26[#All],10,FALSE)</f>
        <v>1.0999999999999999E-2</v>
      </c>
    </row>
    <row r="397" spans="1:21">
      <c r="A397" t="s">
        <v>519</v>
      </c>
      <c r="B397" s="68">
        <v>45800</v>
      </c>
      <c r="C397" s="3" t="s">
        <v>176</v>
      </c>
      <c r="D397" t="s">
        <v>478</v>
      </c>
      <c r="E397" t="s">
        <v>478</v>
      </c>
      <c r="F397" s="17">
        <v>437.5</v>
      </c>
      <c r="G397" s="73">
        <v>-2</v>
      </c>
      <c r="H397" s="61">
        <f t="shared" si="128"/>
        <v>0</v>
      </c>
      <c r="I397" s="67">
        <f t="shared" si="129"/>
        <v>2</v>
      </c>
      <c r="J397" s="15">
        <f t="shared" si="130"/>
        <v>0</v>
      </c>
      <c r="K397" s="15">
        <f t="shared" si="131"/>
        <v>875</v>
      </c>
      <c r="L397">
        <f>SUMIF(Table228[[#All],[Asset]],Table228[[#This Row],[Asset]],Table228[[#All],[Bought number]])</f>
        <v>6.5980999999999996</v>
      </c>
      <c r="M397">
        <f>SUMIF(Table228[[#All],[Asset]],Table228[[#This Row],[Asset]],Table228[[#All],[Sold Number]])</f>
        <v>6.5980999999999996</v>
      </c>
      <c r="N397" s="15">
        <f>SUMIF(Table228[[#All],[Asset]],Table228[[#This Row],[Asset]],Table228[[#All],[Bought amount]])</f>
        <v>2322.7481669999997</v>
      </c>
      <c r="O397" s="15">
        <f>SUMIF(Table228[[#All],[Asset]],Table228[[#This Row],[Asset]],Table228[[#All],[Sold amount]])</f>
        <v>2491.2321499999998</v>
      </c>
      <c r="P397" s="75">
        <f>Table228[[#This Row],[Total bought Amount]]/Table228[[#This Row],[Total bought Number]]</f>
        <v>352.03288325427013</v>
      </c>
      <c r="Q397" s="75">
        <f>IFERROR(Table228[[#This Row],[Total Sold Amount]]/Table228[[#This Row],[Total Sold Number]],0)</f>
        <v>377.56811051666386</v>
      </c>
      <c r="R397" s="21">
        <f>Table228[[#This Row],[Total bought Number]]-Table228[[#This Row],[Total Sold Number]]</f>
        <v>0</v>
      </c>
      <c r="S397" s="59">
        <f>(Table228[[#This Row],[Ave exit price]]-Table228[[#This Row],[Ave Entry price]])*Table228[[#This Row],[Total Sold Number]]</f>
        <v>168.48398300000008</v>
      </c>
      <c r="T397" s="15">
        <f>(Table228[[#This Row],[Current Price]]-Table228[[#This Row],[Ave Entry price]])*Table228[[#This Row],[How many tokens now]]</f>
        <v>0</v>
      </c>
      <c r="U397" s="76">
        <f>VLOOKUP(Table228[[#This Row],[Asset]],Table26[#All],10,FALSE)</f>
        <v>380</v>
      </c>
    </row>
    <row r="398" spans="1:21">
      <c r="A398" t="s">
        <v>480</v>
      </c>
      <c r="B398" s="68">
        <v>45803</v>
      </c>
      <c r="C398" s="3" t="s">
        <v>176</v>
      </c>
      <c r="D398" t="s">
        <v>68</v>
      </c>
      <c r="E398" t="s">
        <v>511</v>
      </c>
      <c r="F398" s="17">
        <v>1.356E-3</v>
      </c>
      <c r="G398" s="73">
        <v>-71345.082500000004</v>
      </c>
      <c r="H398" s="61">
        <f t="shared" si="128"/>
        <v>0</v>
      </c>
      <c r="I398" s="67">
        <f t="shared" si="129"/>
        <v>71345.082500000004</v>
      </c>
      <c r="J398" s="15">
        <f t="shared" si="130"/>
        <v>0</v>
      </c>
      <c r="K398" s="15">
        <f t="shared" si="131"/>
        <v>96.743931870000011</v>
      </c>
      <c r="L398">
        <f>SUMIF(Table228[[#All],[Asset]],Table228[[#This Row],[Asset]],Table228[[#All],[Bought number]])</f>
        <v>2144769.87498867</v>
      </c>
      <c r="M398">
        <f>SUMIF(Table228[[#All],[Asset]],Table228[[#This Row],[Asset]],Table228[[#All],[Sold Number]])</f>
        <v>2209870.0199000002</v>
      </c>
      <c r="N398" s="15">
        <f>SUMIF(Table228[[#All],[Asset]],Table228[[#This Row],[Asset]],Table228[[#All],[Bought amount]])</f>
        <v>4762.1959512301728</v>
      </c>
      <c r="O398" s="15">
        <f>SUMIF(Table228[[#All],[Asset]],Table228[[#This Row],[Asset]],Table228[[#All],[Sold amount]])</f>
        <v>6978.8960604900003</v>
      </c>
      <c r="P398" s="75">
        <f>Table228[[#This Row],[Total bought Amount]]/Table228[[#This Row],[Total bought Number]]</f>
        <v>2.2203761843005787E-3</v>
      </c>
      <c r="Q398" s="75">
        <f>IFERROR(Table228[[#This Row],[Total Sold Amount]]/Table228[[#This Row],[Total Sold Number]],0)</f>
        <v>3.1580572602210358E-3</v>
      </c>
      <c r="R398" s="21">
        <f>Table228[[#This Row],[Total bought Number]]-Table228[[#This Row],[Total Sold Number]]</f>
        <v>-65100.144911330193</v>
      </c>
      <c r="S398" s="59">
        <f>(Table228[[#This Row],[Ave exit price]]-Table228[[#This Row],[Ave Entry price]])*Table228[[#This Row],[Total Sold Number]]</f>
        <v>2072.153297904194</v>
      </c>
      <c r="T398" s="15">
        <f>(Table228[[#This Row],[Current Price]]-Table228[[#This Row],[Ave Entry price]])*Table228[[#This Row],[How many tokens now]]</f>
        <v>28.017551964353032</v>
      </c>
      <c r="U398" s="76">
        <f>VLOOKUP(Table228[[#This Row],[Asset]],Table26[#All],10,FALSE)</f>
        <v>1.7899999999999999E-3</v>
      </c>
    </row>
    <row r="399" spans="1:21">
      <c r="A399" t="s">
        <v>273</v>
      </c>
      <c r="B399" s="68">
        <v>45803</v>
      </c>
      <c r="C399" s="3" t="s">
        <v>176</v>
      </c>
      <c r="D399" t="s">
        <v>68</v>
      </c>
      <c r="E399" t="s">
        <v>511</v>
      </c>
      <c r="F399" s="17">
        <v>2.6950000000000002E-2</v>
      </c>
      <c r="G399" s="73">
        <v>-4537</v>
      </c>
      <c r="H399" s="61">
        <f t="shared" si="128"/>
        <v>0</v>
      </c>
      <c r="I399" s="67">
        <f t="shared" si="129"/>
        <v>4537</v>
      </c>
      <c r="J399" s="15">
        <f t="shared" si="130"/>
        <v>0</v>
      </c>
      <c r="K399" s="15">
        <f t="shared" si="131"/>
        <v>122.27215000000001</v>
      </c>
      <c r="L399">
        <f>SUMIF(Table228[[#All],[Asset]],Table228[[#This Row],[Asset]],Table228[[#All],[Bought number]])</f>
        <v>798337.86606299994</v>
      </c>
      <c r="M399">
        <f>SUMIF(Table228[[#All],[Asset]],Table228[[#This Row],[Asset]],Table228[[#All],[Sold Number]])</f>
        <v>798338.03632399999</v>
      </c>
      <c r="N399" s="15">
        <f>SUMIF(Table228[[#All],[Asset]],Table228[[#This Row],[Asset]],Table228[[#All],[Bought amount]])</f>
        <v>24349.581039704975</v>
      </c>
      <c r="O399" s="15">
        <f>SUMIF(Table228[[#All],[Asset]],Table228[[#This Row],[Asset]],Table228[[#All],[Sold amount]])</f>
        <v>12344.863481975535</v>
      </c>
      <c r="P399" s="75">
        <f>Table228[[#This Row],[Total bought Amount]]/Table228[[#This Row],[Total bought Number]]</f>
        <v>3.0500345874591717E-2</v>
      </c>
      <c r="Q399" s="75">
        <f>IFERROR(Table228[[#This Row],[Total Sold Amount]]/Table228[[#This Row],[Total Sold Number]],0)</f>
        <v>1.5463203455541554E-2</v>
      </c>
      <c r="R399" s="21">
        <f>Table228[[#This Row],[Total bought Number]]-Table228[[#This Row],[Total Sold Number]]</f>
        <v>-0.17026100005023181</v>
      </c>
      <c r="S399" s="59">
        <f>(Table228[[#This Row],[Ave exit price]]-Table228[[#This Row],[Ave Entry price]])*Table228[[#This Row],[Total Sold Number]]</f>
        <v>-12004.72275074883</v>
      </c>
      <c r="T399" s="15">
        <f>(Table228[[#This Row],[Current Price]]-Table228[[#This Row],[Ave Entry price]])*Table228[[#This Row],[How many tokens now]]</f>
        <v>3.3201483899333983E-3</v>
      </c>
      <c r="U399" s="76">
        <f>VLOOKUP(Table228[[#This Row],[Asset]],Table26[#All],10,FALSE)</f>
        <v>1.0999999999999999E-2</v>
      </c>
    </row>
    <row r="400" spans="1:21">
      <c r="A400" t="s">
        <v>488</v>
      </c>
      <c r="B400" s="68">
        <v>45807</v>
      </c>
      <c r="C400" s="3" t="s">
        <v>176</v>
      </c>
      <c r="D400" t="s">
        <v>68</v>
      </c>
      <c r="E400" t="s">
        <v>189</v>
      </c>
      <c r="F400" s="17">
        <v>0.2</v>
      </c>
      <c r="G400" s="73">
        <v>-6036</v>
      </c>
      <c r="H400" s="61">
        <f t="shared" ref="H400:H408" si="132">IF(G400&gt;0,G400,0)</f>
        <v>0</v>
      </c>
      <c r="I400" s="67">
        <f t="shared" ref="I400:I408" si="133">IF(G400&lt;0,ABS(G400),0)</f>
        <v>6036</v>
      </c>
      <c r="J400" s="15">
        <f t="shared" ref="J400:J408" si="134">H400*F400</f>
        <v>0</v>
      </c>
      <c r="K400" s="15">
        <f t="shared" ref="K400:K408" si="135">I400*F400</f>
        <v>1207.2</v>
      </c>
      <c r="L400">
        <f>SUMIF(Table228[[#All],[Asset]],Table228[[#This Row],[Asset]],Table228[[#All],[Bought number]])</f>
        <v>10732.516218000001</v>
      </c>
      <c r="M400">
        <f>SUMIF(Table228[[#All],[Asset]],Table228[[#This Row],[Asset]],Table228[[#All],[Sold Number]])</f>
        <v>10733.14</v>
      </c>
      <c r="N400" s="15">
        <f>SUMIF(Table228[[#All],[Asset]],Table228[[#This Row],[Asset]],Table228[[#All],[Bought amount]])</f>
        <v>2421.5213093886</v>
      </c>
      <c r="O400" s="15">
        <f>SUMIF(Table228[[#All],[Asset]],Table228[[#This Row],[Asset]],Table228[[#All],[Sold amount]])</f>
        <v>3936.9138400000002</v>
      </c>
      <c r="P400" s="75">
        <f>Table228[[#This Row],[Total bought Amount]]/Table228[[#This Row],[Total bought Number]]</f>
        <v>0.22562475194096182</v>
      </c>
      <c r="Q400" s="75">
        <f>IFERROR(Table228[[#This Row],[Total Sold Amount]]/Table228[[#This Row],[Total Sold Number]],0)</f>
        <v>0.36679982186014537</v>
      </c>
      <c r="R400" s="21">
        <f>Table228[[#This Row],[Total bought Number]]-Table228[[#This Row],[Total Sold Number]]</f>
        <v>-0.62378199999875505</v>
      </c>
      <c r="S400" s="59">
        <f>(Table228[[#This Row],[Ave exit price]]-Table228[[#This Row],[Ave Entry price]])*Table228[[#This Row],[Total Sold Number]]</f>
        <v>1515.2517899523857</v>
      </c>
      <c r="T400" s="15">
        <f>(Table228[[#This Row],[Current Price]]-Table228[[#This Row],[Ave Entry price]])*Table228[[#This Row],[How many tokens now]]</f>
        <v>-6.5107400984633024E-2</v>
      </c>
      <c r="U400" s="76">
        <f>VLOOKUP(Table228[[#This Row],[Asset]],Table26[#All],10,FALSE)</f>
        <v>0.33</v>
      </c>
    </row>
    <row r="401" spans="1:21">
      <c r="A401" t="s">
        <v>273</v>
      </c>
      <c r="B401" s="68">
        <v>45807</v>
      </c>
      <c r="C401" s="3" t="s">
        <v>176</v>
      </c>
      <c r="D401" t="s">
        <v>68</v>
      </c>
      <c r="E401" t="s">
        <v>189</v>
      </c>
      <c r="F401" s="17">
        <v>2.3584999999999998E-2</v>
      </c>
      <c r="G401" s="73">
        <v>51225</v>
      </c>
      <c r="H401" s="61">
        <f t="shared" si="132"/>
        <v>51225</v>
      </c>
      <c r="I401" s="67">
        <f t="shared" si="133"/>
        <v>0</v>
      </c>
      <c r="J401" s="15">
        <f t="shared" si="134"/>
        <v>1208.141625</v>
      </c>
      <c r="K401" s="15">
        <f t="shared" si="135"/>
        <v>0</v>
      </c>
      <c r="L401">
        <f>SUMIF(Table228[[#All],[Asset]],Table228[[#This Row],[Asset]],Table228[[#All],[Bought number]])</f>
        <v>798337.86606299994</v>
      </c>
      <c r="M401">
        <f>SUMIF(Table228[[#All],[Asset]],Table228[[#This Row],[Asset]],Table228[[#All],[Sold Number]])</f>
        <v>798338.03632399999</v>
      </c>
      <c r="N401" s="15">
        <f>SUMIF(Table228[[#All],[Asset]],Table228[[#This Row],[Asset]],Table228[[#All],[Bought amount]])</f>
        <v>24349.581039704975</v>
      </c>
      <c r="O401" s="15">
        <f>SUMIF(Table228[[#All],[Asset]],Table228[[#This Row],[Asset]],Table228[[#All],[Sold amount]])</f>
        <v>12344.863481975535</v>
      </c>
      <c r="P401" s="75">
        <f>Table228[[#This Row],[Total bought Amount]]/Table228[[#This Row],[Total bought Number]]</f>
        <v>3.0500345874591717E-2</v>
      </c>
      <c r="Q401" s="75">
        <f>IFERROR(Table228[[#This Row],[Total Sold Amount]]/Table228[[#This Row],[Total Sold Number]],0)</f>
        <v>1.5463203455541554E-2</v>
      </c>
      <c r="R401" s="21">
        <f>Table228[[#This Row],[Total bought Number]]-Table228[[#This Row],[Total Sold Number]]</f>
        <v>-0.17026100005023181</v>
      </c>
      <c r="S401" s="59">
        <f>(Table228[[#This Row],[Ave exit price]]-Table228[[#This Row],[Ave Entry price]])*Table228[[#This Row],[Total Sold Number]]</f>
        <v>-12004.72275074883</v>
      </c>
      <c r="T401" s="15">
        <f>(Table228[[#This Row],[Current Price]]-Table228[[#This Row],[Ave Entry price]])*Table228[[#This Row],[How many tokens now]]</f>
        <v>3.3201483899333983E-3</v>
      </c>
      <c r="U401" s="76">
        <f>VLOOKUP(Table228[[#This Row],[Asset]],Table26[#All],10,FALSE)</f>
        <v>1.0999999999999999E-2</v>
      </c>
    </row>
    <row r="402" spans="1:21">
      <c r="A402" t="s">
        <v>501</v>
      </c>
      <c r="B402" s="68">
        <v>45807</v>
      </c>
      <c r="C402" s="3" t="s">
        <v>176</v>
      </c>
      <c r="D402" t="s">
        <v>68</v>
      </c>
      <c r="E402" t="s">
        <v>189</v>
      </c>
      <c r="F402" s="17">
        <v>7.4265999999999999E-2</v>
      </c>
      <c r="G402" s="73">
        <v>-16082.106949999999</v>
      </c>
      <c r="H402" s="61">
        <f t="shared" si="132"/>
        <v>0</v>
      </c>
      <c r="I402" s="67">
        <f t="shared" si="133"/>
        <v>16082.106949999999</v>
      </c>
      <c r="J402" s="15">
        <f t="shared" si="134"/>
        <v>0</v>
      </c>
      <c r="K402" s="15">
        <f t="shared" si="135"/>
        <v>1194.3537547486999</v>
      </c>
      <c r="L402">
        <f>SUMIF(Table228[[#All],[Asset]],Table228[[#This Row],[Asset]],Table228[[#All],[Bought number]])</f>
        <v>33133.403200000001</v>
      </c>
      <c r="M402">
        <f>SUMIF(Table228[[#All],[Asset]],Table228[[#This Row],[Asset]],Table228[[#All],[Sold Number]])</f>
        <v>33133.403197302003</v>
      </c>
      <c r="N402" s="15">
        <f>SUMIF(Table228[[#All],[Asset]],Table228[[#This Row],[Asset]],Table228[[#All],[Bought amount]])</f>
        <v>4463.06941104</v>
      </c>
      <c r="O402" s="15">
        <f>SUMIF(Table228[[#All],[Asset]],Table228[[#This Row],[Asset]],Table228[[#All],[Sold amount]])</f>
        <v>2314.5727643076998</v>
      </c>
      <c r="P402" s="75">
        <f>Table228[[#This Row],[Total bought Amount]]/Table228[[#This Row],[Total bought Number]]</f>
        <v>0.13469999999999999</v>
      </c>
      <c r="Q402" s="75">
        <f>IFERROR(Table228[[#This Row],[Total Sold Amount]]/Table228[[#This Row],[Total Sold Number]],0)</f>
        <v>6.9856173557691525E-2</v>
      </c>
      <c r="R402" s="21">
        <f>Table228[[#This Row],[Total bought Number]]-Table228[[#This Row],[Total Sold Number]]</f>
        <v>2.6979978429153562E-6</v>
      </c>
      <c r="S402" s="59">
        <f>(Table228[[#This Row],[Ave exit price]]-Table228[[#This Row],[Ave Entry price]])*Table228[[#This Row],[Total Sold Number]]</f>
        <v>-2148.4966463688793</v>
      </c>
      <c r="T402" s="15">
        <f>(Table228[[#This Row],[Current Price]]-Table228[[#This Row],[Ave Entry price]])*Table228[[#This Row],[How many tokens now]]</f>
        <v>-4.3437765270937202E-8</v>
      </c>
      <c r="U402" s="76">
        <f>VLOOKUP(Table228[[#This Row],[Asset]],Table26[#All],10,FALSE)</f>
        <v>0.1186</v>
      </c>
    </row>
    <row r="403" spans="1:21">
      <c r="A403" t="s">
        <v>273</v>
      </c>
      <c r="B403" s="68">
        <v>45807</v>
      </c>
      <c r="C403" s="3" t="s">
        <v>176</v>
      </c>
      <c r="D403" t="s">
        <v>68</v>
      </c>
      <c r="E403" t="s">
        <v>189</v>
      </c>
      <c r="F403" s="17">
        <v>2.3553000000000001E-2</v>
      </c>
      <c r="G403" s="73">
        <v>53751.694502999999</v>
      </c>
      <c r="H403" s="61">
        <f t="shared" si="132"/>
        <v>53751.694502999999</v>
      </c>
      <c r="I403" s="67">
        <f t="shared" si="133"/>
        <v>0</v>
      </c>
      <c r="J403" s="15">
        <f t="shared" si="134"/>
        <v>1266.0136606291589</v>
      </c>
      <c r="K403" s="15">
        <f t="shared" si="135"/>
        <v>0</v>
      </c>
      <c r="L403">
        <f>SUMIF(Table228[[#All],[Asset]],Table228[[#This Row],[Asset]],Table228[[#All],[Bought number]])</f>
        <v>798337.86606299994</v>
      </c>
      <c r="M403">
        <f>SUMIF(Table228[[#All],[Asset]],Table228[[#This Row],[Asset]],Table228[[#All],[Sold Number]])</f>
        <v>798338.03632399999</v>
      </c>
      <c r="N403" s="15">
        <f>SUMIF(Table228[[#All],[Asset]],Table228[[#This Row],[Asset]],Table228[[#All],[Bought amount]])</f>
        <v>24349.581039704975</v>
      </c>
      <c r="O403" s="15">
        <f>SUMIF(Table228[[#All],[Asset]],Table228[[#This Row],[Asset]],Table228[[#All],[Sold amount]])</f>
        <v>12344.863481975535</v>
      </c>
      <c r="P403" s="75">
        <f>Table228[[#This Row],[Total bought Amount]]/Table228[[#This Row],[Total bought Number]]</f>
        <v>3.0500345874591717E-2</v>
      </c>
      <c r="Q403" s="75">
        <f>IFERROR(Table228[[#This Row],[Total Sold Amount]]/Table228[[#This Row],[Total Sold Number]],0)</f>
        <v>1.5463203455541554E-2</v>
      </c>
      <c r="R403" s="21">
        <f>Table228[[#This Row],[Total bought Number]]-Table228[[#This Row],[Total Sold Number]]</f>
        <v>-0.17026100005023181</v>
      </c>
      <c r="S403" s="59">
        <f>(Table228[[#This Row],[Ave exit price]]-Table228[[#This Row],[Ave Entry price]])*Table228[[#This Row],[Total Sold Number]]</f>
        <v>-12004.72275074883</v>
      </c>
      <c r="T403" s="15">
        <f>(Table228[[#This Row],[Current Price]]-Table228[[#This Row],[Ave Entry price]])*Table228[[#This Row],[How many tokens now]]</f>
        <v>3.3201483899333983E-3</v>
      </c>
      <c r="U403" s="76">
        <f>VLOOKUP(Table228[[#This Row],[Asset]],Table26[#All],10,FALSE)</f>
        <v>1.0999999999999999E-2</v>
      </c>
    </row>
    <row r="404" spans="1:21">
      <c r="A404" t="s">
        <v>496</v>
      </c>
      <c r="B404" s="68">
        <v>45807</v>
      </c>
      <c r="C404" s="3" t="s">
        <v>176</v>
      </c>
      <c r="D404" t="s">
        <v>68</v>
      </c>
      <c r="E404" t="s">
        <v>189</v>
      </c>
      <c r="F404" s="17">
        <v>0.1368</v>
      </c>
      <c r="G404" s="73">
        <v>1067.9100000000001</v>
      </c>
      <c r="H404" s="61">
        <f t="shared" si="132"/>
        <v>1067.9100000000001</v>
      </c>
      <c r="I404" s="67">
        <f t="shared" si="133"/>
        <v>0</v>
      </c>
      <c r="J404" s="15">
        <f t="shared" si="134"/>
        <v>146.09008800000001</v>
      </c>
      <c r="K404" s="15">
        <f t="shared" si="135"/>
        <v>0</v>
      </c>
      <c r="L404">
        <f>SUMIF(Table228[[#All],[Asset]],Table228[[#This Row],[Asset]],Table228[[#All],[Bought number]])</f>
        <v>25905.172225000002</v>
      </c>
      <c r="M404">
        <f>SUMIF(Table228[[#All],[Asset]],Table228[[#This Row],[Asset]],Table228[[#All],[Sold Number]])</f>
        <v>23901.696294000001</v>
      </c>
      <c r="N404" s="15">
        <f>SUMIF(Table228[[#All],[Asset]],Table228[[#This Row],[Asset]],Table228[[#All],[Bought amount]])</f>
        <v>7316.0232461972755</v>
      </c>
      <c r="O404" s="15">
        <f>SUMIF(Table228[[#All],[Asset]],Table228[[#This Row],[Asset]],Table228[[#All],[Sold amount]])</f>
        <v>3343.162250846</v>
      </c>
      <c r="P404" s="75">
        <f>Table228[[#This Row],[Total bought Amount]]/Table228[[#This Row],[Total bought Number]]</f>
        <v>0.282415541678464</v>
      </c>
      <c r="Q404" s="75">
        <f>IFERROR(Table228[[#This Row],[Total Sold Amount]]/Table228[[#This Row],[Total Sold Number]],0)</f>
        <v>0.13987133840727564</v>
      </c>
      <c r="R404" s="21">
        <f>Table228[[#This Row],[Total bought Number]]-Table228[[#This Row],[Total Sold Number]]</f>
        <v>2003.4759310000009</v>
      </c>
      <c r="S404" s="59">
        <f>(Table228[[#This Row],[Ave exit price]]-Table228[[#This Row],[Ave Entry price]])*Table228[[#This Row],[Total Sold Number]]</f>
        <v>-3407.0482550581455</v>
      </c>
      <c r="T404" s="15">
        <f>(Table228[[#This Row],[Current Price]]-Table228[[#This Row],[Ave Entry price]])*Table228[[#This Row],[How many tokens now]]</f>
        <v>-365.46514719313012</v>
      </c>
      <c r="U404" s="76">
        <f>VLOOKUP(Table228[[#This Row],[Asset]],Table26[#All],10,FALSE)</f>
        <v>0.1</v>
      </c>
    </row>
    <row r="405" spans="1:21">
      <c r="A405" t="s">
        <v>4</v>
      </c>
      <c r="B405" s="68">
        <v>45811</v>
      </c>
      <c r="C405" s="3" t="s">
        <v>509</v>
      </c>
      <c r="D405" t="s">
        <v>523</v>
      </c>
      <c r="E405" t="s">
        <v>522</v>
      </c>
      <c r="F405" s="17">
        <v>0.17</v>
      </c>
      <c r="G405" s="73">
        <v>-4781</v>
      </c>
      <c r="H405" s="61">
        <f t="shared" si="132"/>
        <v>0</v>
      </c>
      <c r="I405" s="67">
        <f t="shared" si="133"/>
        <v>4781</v>
      </c>
      <c r="J405" s="15">
        <f t="shared" si="134"/>
        <v>0</v>
      </c>
      <c r="K405" s="15">
        <f t="shared" si="135"/>
        <v>812.7700000000001</v>
      </c>
      <c r="L405">
        <f>SUMIF(Table228[[#All],[Asset]],Table228[[#This Row],[Asset]],Table228[[#All],[Bought number]])</f>
        <v>19084</v>
      </c>
      <c r="M405">
        <f>SUMIF(Table228[[#All],[Asset]],Table228[[#This Row],[Asset]],Table228[[#All],[Sold Number]])</f>
        <v>19084</v>
      </c>
      <c r="N405" s="15">
        <f>SUMIF(Table228[[#All],[Asset]],Table228[[#This Row],[Asset]],Table228[[#All],[Bought amount]])</f>
        <v>383610</v>
      </c>
      <c r="O405" s="15">
        <f>SUMIF(Table228[[#All],[Asset]],Table228[[#This Row],[Asset]],Table228[[#All],[Sold amount]])</f>
        <v>6151.47</v>
      </c>
      <c r="P405" s="75">
        <f>Table228[[#This Row],[Total bought Amount]]/Table228[[#This Row],[Total bought Number]]</f>
        <v>20.101131838189058</v>
      </c>
      <c r="Q405" s="75">
        <f>IFERROR(Table228[[#This Row],[Total Sold Amount]]/Table228[[#This Row],[Total Sold Number]],0)</f>
        <v>0.32233651226158039</v>
      </c>
      <c r="R405" s="21">
        <f>Table228[[#This Row],[Total bought Number]]-Table228[[#This Row],[Total Sold Number]]</f>
        <v>0</v>
      </c>
      <c r="S405" s="59">
        <f>(Table228[[#This Row],[Ave exit price]]-Table228[[#This Row],[Ave Entry price]])*Table228[[#This Row],[Total Sold Number]]</f>
        <v>-377458.53</v>
      </c>
      <c r="T405" s="15">
        <f>(Table228[[#This Row],[Current Price]]-Table228[[#This Row],[Ave Entry price]])*Table228[[#This Row],[How many tokens now]]</f>
        <v>0</v>
      </c>
      <c r="U405" s="76">
        <f>VLOOKUP(Table228[[#This Row],[Asset]],Table26[#All],10,FALSE)</f>
        <v>0.2223</v>
      </c>
    </row>
    <row r="406" spans="1:21">
      <c r="A406" t="s">
        <v>496</v>
      </c>
      <c r="B406" s="68">
        <v>45811</v>
      </c>
      <c r="C406" s="3" t="s">
        <v>509</v>
      </c>
      <c r="D406" t="s">
        <v>76</v>
      </c>
      <c r="E406" t="s">
        <v>189</v>
      </c>
      <c r="F406" s="17">
        <v>0.13789999999999999</v>
      </c>
      <c r="G406" s="73">
        <v>11266.6284</v>
      </c>
      <c r="H406" s="61">
        <f t="shared" si="132"/>
        <v>11266.6284</v>
      </c>
      <c r="I406" s="67">
        <f t="shared" si="133"/>
        <v>0</v>
      </c>
      <c r="J406" s="15">
        <f t="shared" si="134"/>
        <v>1553.6680563599998</v>
      </c>
      <c r="K406" s="15">
        <f t="shared" si="135"/>
        <v>0</v>
      </c>
      <c r="L406">
        <f>SUMIF(Table228[[#All],[Asset]],Table228[[#This Row],[Asset]],Table228[[#All],[Bought number]])</f>
        <v>25905.172225000002</v>
      </c>
      <c r="M406">
        <f>SUMIF(Table228[[#All],[Asset]],Table228[[#This Row],[Asset]],Table228[[#All],[Sold Number]])</f>
        <v>23901.696294000001</v>
      </c>
      <c r="N406" s="15">
        <f>SUMIF(Table228[[#All],[Asset]],Table228[[#This Row],[Asset]],Table228[[#All],[Bought amount]])</f>
        <v>7316.0232461972755</v>
      </c>
      <c r="O406" s="15">
        <f>SUMIF(Table228[[#All],[Asset]],Table228[[#This Row],[Asset]],Table228[[#All],[Sold amount]])</f>
        <v>3343.162250846</v>
      </c>
      <c r="P406" s="75">
        <f>Table228[[#This Row],[Total bought Amount]]/Table228[[#This Row],[Total bought Number]]</f>
        <v>0.282415541678464</v>
      </c>
      <c r="Q406" s="75">
        <f>IFERROR(Table228[[#This Row],[Total Sold Amount]]/Table228[[#This Row],[Total Sold Number]],0)</f>
        <v>0.13987133840727564</v>
      </c>
      <c r="R406" s="21">
        <f>Table228[[#This Row],[Total bought Number]]-Table228[[#This Row],[Total Sold Number]]</f>
        <v>2003.4759310000009</v>
      </c>
      <c r="S406" s="59">
        <f>(Table228[[#This Row],[Ave exit price]]-Table228[[#This Row],[Ave Entry price]])*Table228[[#This Row],[Total Sold Number]]</f>
        <v>-3407.0482550581455</v>
      </c>
      <c r="T406" s="15">
        <f>(Table228[[#This Row],[Current Price]]-Table228[[#This Row],[Ave Entry price]])*Table228[[#This Row],[How many tokens now]]</f>
        <v>-365.46514719313012</v>
      </c>
      <c r="U406" s="76">
        <f>VLOOKUP(Table228[[#This Row],[Asset]],Table26[#All],10,FALSE)</f>
        <v>0.1</v>
      </c>
    </row>
    <row r="407" spans="1:21">
      <c r="A407" t="s">
        <v>44</v>
      </c>
      <c r="B407" s="68">
        <v>45807</v>
      </c>
      <c r="C407" s="3" t="s">
        <v>176</v>
      </c>
      <c r="D407" t="s">
        <v>520</v>
      </c>
      <c r="E407" t="s">
        <v>520</v>
      </c>
      <c r="F407" s="17">
        <v>0.35</v>
      </c>
      <c r="G407" s="73">
        <v>-2556.35</v>
      </c>
      <c r="H407" s="61">
        <f t="shared" si="132"/>
        <v>0</v>
      </c>
      <c r="I407" s="67">
        <f t="shared" si="133"/>
        <v>2556.35</v>
      </c>
      <c r="J407" s="15">
        <f t="shared" si="134"/>
        <v>0</v>
      </c>
      <c r="K407" s="15">
        <f t="shared" si="135"/>
        <v>894.72249999999997</v>
      </c>
      <c r="L407">
        <f>SUMIF(Table228[[#All],[Asset]],Table228[[#This Row],[Asset]],Table228[[#All],[Bought number]])</f>
        <v>9919.2763999999988</v>
      </c>
      <c r="M407">
        <f>SUMIF(Table228[[#All],[Asset]],Table228[[#This Row],[Asset]],Table228[[#All],[Sold Number]])</f>
        <v>5692.6409999999996</v>
      </c>
      <c r="N407" s="15">
        <f>SUMIF(Table228[[#All],[Asset]],Table228[[#This Row],[Asset]],Table228[[#All],[Bought amount]])</f>
        <v>4616.6576801299998</v>
      </c>
      <c r="O407" s="15">
        <f>SUMIF(Table228[[#All],[Asset]],Table228[[#This Row],[Asset]],Table228[[#All],[Sold amount]])</f>
        <v>2237.4323399999998</v>
      </c>
      <c r="P407" s="75">
        <f>Table228[[#This Row],[Total bought Amount]]/Table228[[#This Row],[Total bought Number]]</f>
        <v>0.46542282863798418</v>
      </c>
      <c r="Q407" s="75">
        <f>IFERROR(Table228[[#This Row],[Total Sold Amount]]/Table228[[#This Row],[Total Sold Number]],0)</f>
        <v>0.39303942405642656</v>
      </c>
      <c r="R407" s="21">
        <f>Table228[[#This Row],[Total bought Number]]-Table228[[#This Row],[Total Sold Number]]</f>
        <v>4226.6353999999992</v>
      </c>
      <c r="S407" s="59">
        <f>(Table228[[#This Row],[Ave exit price]]-Table228[[#This Row],[Ave Entry price]])*Table228[[#This Row],[Total Sold Number]]</f>
        <v>-412.05273664056273</v>
      </c>
      <c r="T407" s="15">
        <f>(Table228[[#This Row],[Current Price]]-Table228[[#This Row],[Ave Entry price]])*Table228[[#This Row],[How many tokens now]]</f>
        <v>1202.8039465105621</v>
      </c>
      <c r="U407" s="76">
        <f>VLOOKUP(Table228[[#This Row],[Asset]],Table26[#All],10,FALSE)</f>
        <v>0.75</v>
      </c>
    </row>
    <row r="408" spans="1:21">
      <c r="A408" t="s">
        <v>44</v>
      </c>
      <c r="B408" s="68">
        <v>45810</v>
      </c>
      <c r="C408" s="3" t="s">
        <v>176</v>
      </c>
      <c r="D408" t="s">
        <v>520</v>
      </c>
      <c r="E408" t="s">
        <v>520</v>
      </c>
      <c r="F408" s="17">
        <v>0.34870000000000001</v>
      </c>
      <c r="G408" s="73">
        <v>525.12</v>
      </c>
      <c r="H408" s="61">
        <f t="shared" si="132"/>
        <v>525.12</v>
      </c>
      <c r="I408" s="67">
        <f t="shared" si="133"/>
        <v>0</v>
      </c>
      <c r="J408" s="15">
        <f t="shared" si="134"/>
        <v>183.10934399999999</v>
      </c>
      <c r="K408" s="15">
        <f t="shared" si="135"/>
        <v>0</v>
      </c>
      <c r="L408">
        <f>SUMIF(Table228[[#All],[Asset]],Table228[[#This Row],[Asset]],Table228[[#All],[Bought number]])</f>
        <v>9919.2763999999988</v>
      </c>
      <c r="M408">
        <f>SUMIF(Table228[[#All],[Asset]],Table228[[#This Row],[Asset]],Table228[[#All],[Sold Number]])</f>
        <v>5692.6409999999996</v>
      </c>
      <c r="N408" s="15">
        <f>SUMIF(Table228[[#All],[Asset]],Table228[[#This Row],[Asset]],Table228[[#All],[Bought amount]])</f>
        <v>4616.6576801299998</v>
      </c>
      <c r="O408" s="15">
        <f>SUMIF(Table228[[#All],[Asset]],Table228[[#This Row],[Asset]],Table228[[#All],[Sold amount]])</f>
        <v>2237.4323399999998</v>
      </c>
      <c r="P408" s="75">
        <f>Table228[[#This Row],[Total bought Amount]]/Table228[[#This Row],[Total bought Number]]</f>
        <v>0.46542282863798418</v>
      </c>
      <c r="Q408" s="75">
        <f>IFERROR(Table228[[#This Row],[Total Sold Amount]]/Table228[[#This Row],[Total Sold Number]],0)</f>
        <v>0.39303942405642656</v>
      </c>
      <c r="R408" s="21">
        <f>Table228[[#This Row],[Total bought Number]]-Table228[[#This Row],[Total Sold Number]]</f>
        <v>4226.6353999999992</v>
      </c>
      <c r="S408" s="59">
        <f>(Table228[[#This Row],[Ave exit price]]-Table228[[#This Row],[Ave Entry price]])*Table228[[#This Row],[Total Sold Number]]</f>
        <v>-412.05273664056273</v>
      </c>
      <c r="T408" s="15">
        <f>(Table228[[#This Row],[Current Price]]-Table228[[#This Row],[Ave Entry price]])*Table228[[#This Row],[How many tokens now]]</f>
        <v>1202.8039465105621</v>
      </c>
      <c r="U408" s="76">
        <f>VLOOKUP(Table228[[#This Row],[Asset]],Table26[#All],10,FALSE)</f>
        <v>0.75</v>
      </c>
    </row>
    <row r="409" spans="1:21">
      <c r="A409" t="s">
        <v>519</v>
      </c>
      <c r="B409" s="68">
        <v>45827</v>
      </c>
      <c r="C409" s="3" t="s">
        <v>509</v>
      </c>
      <c r="D409" t="s">
        <v>478</v>
      </c>
      <c r="E409" t="s">
        <v>478</v>
      </c>
      <c r="F409" s="17">
        <v>351.5</v>
      </c>
      <c r="G409" s="73">
        <v>-4.5980999999999996</v>
      </c>
      <c r="H409" s="61">
        <f t="shared" ref="H409:H414" si="136">IF(G409&gt;0,G409,0)</f>
        <v>0</v>
      </c>
      <c r="I409" s="67">
        <f t="shared" ref="I409:I414" si="137">IF(G409&lt;0,ABS(G409),0)</f>
        <v>4.5980999999999996</v>
      </c>
      <c r="J409" s="15">
        <f t="shared" ref="J409:J414" si="138">H409*F409</f>
        <v>0</v>
      </c>
      <c r="K409" s="15">
        <f t="shared" ref="K409:K414" si="139">I409*F409</f>
        <v>1616.2321499999998</v>
      </c>
      <c r="L409">
        <f>SUMIF(Table228[[#All],[Asset]],Table228[[#This Row],[Asset]],Table228[[#All],[Bought number]])</f>
        <v>6.5980999999999996</v>
      </c>
      <c r="M409">
        <f>SUMIF(Table228[[#All],[Asset]],Table228[[#This Row],[Asset]],Table228[[#All],[Sold Number]])</f>
        <v>6.5980999999999996</v>
      </c>
      <c r="N409" s="15">
        <f>SUMIF(Table228[[#All],[Asset]],Table228[[#This Row],[Asset]],Table228[[#All],[Bought amount]])</f>
        <v>2322.7481669999997</v>
      </c>
      <c r="O409" s="15">
        <f>SUMIF(Table228[[#All],[Asset]],Table228[[#This Row],[Asset]],Table228[[#All],[Sold amount]])</f>
        <v>2491.2321499999998</v>
      </c>
      <c r="P409" s="75">
        <f>Table228[[#This Row],[Total bought Amount]]/Table228[[#This Row],[Total bought Number]]</f>
        <v>352.03288325427013</v>
      </c>
      <c r="Q409" s="75">
        <f>IFERROR(Table228[[#This Row],[Total Sold Amount]]/Table228[[#This Row],[Total Sold Number]],0)</f>
        <v>377.56811051666386</v>
      </c>
      <c r="R409" s="21">
        <f>Table228[[#This Row],[Total bought Number]]-Table228[[#This Row],[Total Sold Number]]</f>
        <v>0</v>
      </c>
      <c r="S409" s="59">
        <f>(Table228[[#This Row],[Ave exit price]]-Table228[[#This Row],[Ave Entry price]])*Table228[[#This Row],[Total Sold Number]]</f>
        <v>168.48398300000008</v>
      </c>
      <c r="T409" s="15">
        <f>(Table228[[#This Row],[Current Price]]-Table228[[#This Row],[Ave Entry price]])*Table228[[#This Row],[How many tokens now]]</f>
        <v>0</v>
      </c>
      <c r="U409" s="76">
        <f>VLOOKUP(Table228[[#This Row],[Asset]],Table26[#All],10,FALSE)</f>
        <v>380</v>
      </c>
    </row>
    <row r="410" spans="1:21">
      <c r="A410" t="s">
        <v>273</v>
      </c>
      <c r="B410" s="68">
        <v>45827</v>
      </c>
      <c r="C410" s="3" t="s">
        <v>509</v>
      </c>
      <c r="D410" t="s">
        <v>68</v>
      </c>
      <c r="E410" t="s">
        <v>189</v>
      </c>
      <c r="F410" s="17">
        <v>1.4076E-2</v>
      </c>
      <c r="G410" s="73">
        <v>-122929.95</v>
      </c>
      <c r="H410" s="61">
        <f t="shared" si="136"/>
        <v>0</v>
      </c>
      <c r="I410" s="67">
        <f t="shared" si="137"/>
        <v>122929.95</v>
      </c>
      <c r="J410" s="15">
        <f t="shared" si="138"/>
        <v>0</v>
      </c>
      <c r="K410" s="15">
        <f t="shared" si="139"/>
        <v>1730.3619761999998</v>
      </c>
      <c r="L410">
        <f>SUMIF(Table228[[#All],[Asset]],Table228[[#This Row],[Asset]],Table228[[#All],[Bought number]])</f>
        <v>798337.86606299994</v>
      </c>
      <c r="M410">
        <f>SUMIF(Table228[[#All],[Asset]],Table228[[#This Row],[Asset]],Table228[[#All],[Sold Number]])</f>
        <v>798338.03632399999</v>
      </c>
      <c r="N410" s="15">
        <f>SUMIF(Table228[[#All],[Asset]],Table228[[#This Row],[Asset]],Table228[[#All],[Bought amount]])</f>
        <v>24349.581039704975</v>
      </c>
      <c r="O410" s="15">
        <f>SUMIF(Table228[[#All],[Asset]],Table228[[#This Row],[Asset]],Table228[[#All],[Sold amount]])</f>
        <v>12344.863481975535</v>
      </c>
      <c r="P410" s="75">
        <f>Table228[[#This Row],[Total bought Amount]]/Table228[[#This Row],[Total bought Number]]</f>
        <v>3.0500345874591717E-2</v>
      </c>
      <c r="Q410" s="75">
        <f>IFERROR(Table228[[#This Row],[Total Sold Amount]]/Table228[[#This Row],[Total Sold Number]],0)</f>
        <v>1.5463203455541554E-2</v>
      </c>
      <c r="R410" s="21">
        <f>Table228[[#This Row],[Total bought Number]]-Table228[[#This Row],[Total Sold Number]]</f>
        <v>-0.17026100005023181</v>
      </c>
      <c r="S410" s="59">
        <f>(Table228[[#This Row],[Ave exit price]]-Table228[[#This Row],[Ave Entry price]])*Table228[[#This Row],[Total Sold Number]]</f>
        <v>-12004.72275074883</v>
      </c>
      <c r="T410" s="15">
        <f>(Table228[[#This Row],[Current Price]]-Table228[[#This Row],[Ave Entry price]])*Table228[[#This Row],[How many tokens now]]</f>
        <v>3.3201483899333983E-3</v>
      </c>
      <c r="U410" s="76">
        <f>VLOOKUP(Table228[[#This Row],[Asset]],Table26[#All],10,FALSE)</f>
        <v>1.0999999999999999E-2</v>
      </c>
    </row>
    <row r="411" spans="1:21">
      <c r="A411" t="s">
        <v>496</v>
      </c>
      <c r="B411" s="68">
        <v>45827</v>
      </c>
      <c r="C411" s="3" t="s">
        <v>509</v>
      </c>
      <c r="D411" t="s">
        <v>68</v>
      </c>
      <c r="E411" t="s">
        <v>189</v>
      </c>
      <c r="F411" s="17">
        <v>0.11151</v>
      </c>
      <c r="G411" s="73">
        <v>-8000</v>
      </c>
      <c r="H411" s="61">
        <f t="shared" si="136"/>
        <v>0</v>
      </c>
      <c r="I411" s="67">
        <f t="shared" si="137"/>
        <v>8000</v>
      </c>
      <c r="J411" s="15">
        <f t="shared" si="138"/>
        <v>0</v>
      </c>
      <c r="K411" s="15">
        <f t="shared" si="139"/>
        <v>892.07999999999993</v>
      </c>
      <c r="L411">
        <f>SUMIF(Table228[[#All],[Asset]],Table228[[#This Row],[Asset]],Table228[[#All],[Bought number]])</f>
        <v>25905.172225000002</v>
      </c>
      <c r="M411">
        <f>SUMIF(Table228[[#All],[Asset]],Table228[[#This Row],[Asset]],Table228[[#All],[Sold Number]])</f>
        <v>23901.696294000001</v>
      </c>
      <c r="N411" s="15">
        <f>SUMIF(Table228[[#All],[Asset]],Table228[[#This Row],[Asset]],Table228[[#All],[Bought amount]])</f>
        <v>7316.0232461972755</v>
      </c>
      <c r="O411" s="15">
        <f>SUMIF(Table228[[#All],[Asset]],Table228[[#This Row],[Asset]],Table228[[#All],[Sold amount]])</f>
        <v>3343.162250846</v>
      </c>
      <c r="P411" s="75">
        <f>Table228[[#This Row],[Total bought Amount]]/Table228[[#This Row],[Total bought Number]]</f>
        <v>0.282415541678464</v>
      </c>
      <c r="Q411" s="75">
        <f>IFERROR(Table228[[#This Row],[Total Sold Amount]]/Table228[[#This Row],[Total Sold Number]],0)</f>
        <v>0.13987133840727564</v>
      </c>
      <c r="R411" s="21">
        <f>Table228[[#This Row],[Total bought Number]]-Table228[[#This Row],[Total Sold Number]]</f>
        <v>2003.4759310000009</v>
      </c>
      <c r="S411" s="59">
        <f>(Table228[[#This Row],[Ave exit price]]-Table228[[#This Row],[Ave Entry price]])*Table228[[#This Row],[Total Sold Number]]</f>
        <v>-3407.0482550581455</v>
      </c>
      <c r="T411" s="15">
        <f>(Table228[[#This Row],[Current Price]]-Table228[[#This Row],[Ave Entry price]])*Table228[[#This Row],[How many tokens now]]</f>
        <v>-365.46514719313012</v>
      </c>
      <c r="U411" s="76">
        <f>VLOOKUP(Table228[[#This Row],[Asset]],Table26[#All],10,FALSE)</f>
        <v>0.1</v>
      </c>
    </row>
    <row r="412" spans="1:21">
      <c r="A412" t="s">
        <v>480</v>
      </c>
      <c r="B412" s="68">
        <v>45827</v>
      </c>
      <c r="C412" s="3" t="s">
        <v>509</v>
      </c>
      <c r="D412" t="s">
        <v>68</v>
      </c>
      <c r="E412" t="s">
        <v>189</v>
      </c>
      <c r="F412" s="17">
        <v>2.2255999999999999E-3</v>
      </c>
      <c r="G412" s="73">
        <v>-64851</v>
      </c>
      <c r="H412" s="61">
        <f t="shared" si="136"/>
        <v>0</v>
      </c>
      <c r="I412" s="67">
        <f t="shared" si="137"/>
        <v>64851</v>
      </c>
      <c r="J412" s="15">
        <f t="shared" si="138"/>
        <v>0</v>
      </c>
      <c r="K412" s="15">
        <f t="shared" si="139"/>
        <v>144.33238559999998</v>
      </c>
      <c r="L412">
        <f>SUMIF(Table228[[#All],[Asset]],Table228[[#This Row],[Asset]],Table228[[#All],[Bought number]])</f>
        <v>2144769.87498867</v>
      </c>
      <c r="M412">
        <f>SUMIF(Table228[[#All],[Asset]],Table228[[#This Row],[Asset]],Table228[[#All],[Sold Number]])</f>
        <v>2209870.0199000002</v>
      </c>
      <c r="N412" s="15">
        <f>SUMIF(Table228[[#All],[Asset]],Table228[[#This Row],[Asset]],Table228[[#All],[Bought amount]])</f>
        <v>4762.1959512301728</v>
      </c>
      <c r="O412" s="15">
        <f>SUMIF(Table228[[#All],[Asset]],Table228[[#This Row],[Asset]],Table228[[#All],[Sold amount]])</f>
        <v>6978.8960604900003</v>
      </c>
      <c r="P412" s="75">
        <f>Table228[[#This Row],[Total bought Amount]]/Table228[[#This Row],[Total bought Number]]</f>
        <v>2.2203761843005787E-3</v>
      </c>
      <c r="Q412" s="75">
        <f>IFERROR(Table228[[#This Row],[Total Sold Amount]]/Table228[[#This Row],[Total Sold Number]],0)</f>
        <v>3.1580572602210358E-3</v>
      </c>
      <c r="R412" s="21">
        <f>Table228[[#This Row],[Total bought Number]]-Table228[[#This Row],[Total Sold Number]]</f>
        <v>-65100.144911330193</v>
      </c>
      <c r="S412" s="59">
        <f>(Table228[[#This Row],[Ave exit price]]-Table228[[#This Row],[Ave Entry price]])*Table228[[#This Row],[Total Sold Number]]</f>
        <v>2072.153297904194</v>
      </c>
      <c r="T412" s="15">
        <f>(Table228[[#This Row],[Current Price]]-Table228[[#This Row],[Ave Entry price]])*Table228[[#This Row],[How many tokens now]]</f>
        <v>28.017551964353032</v>
      </c>
      <c r="U412" s="76">
        <f>VLOOKUP(Table228[[#This Row],[Asset]],Table26[#All],10,FALSE)</f>
        <v>1.7899999999999999E-3</v>
      </c>
    </row>
    <row r="413" spans="1:21">
      <c r="A413" t="s">
        <v>255</v>
      </c>
      <c r="B413" s="68">
        <v>45838</v>
      </c>
      <c r="C413" s="3" t="s">
        <v>509</v>
      </c>
      <c r="D413" t="s">
        <v>478</v>
      </c>
      <c r="E413" t="s">
        <v>350</v>
      </c>
      <c r="F413" s="17">
        <v>3.1E-2</v>
      </c>
      <c r="G413" s="73">
        <v>-55030</v>
      </c>
      <c r="H413" s="61">
        <f t="shared" si="136"/>
        <v>0</v>
      </c>
      <c r="I413" s="67">
        <f t="shared" si="137"/>
        <v>55030</v>
      </c>
      <c r="J413" s="15">
        <f t="shared" si="138"/>
        <v>0</v>
      </c>
      <c r="K413" s="15">
        <f t="shared" si="139"/>
        <v>1705.93</v>
      </c>
      <c r="L413">
        <f>SUMIF(Table228[[#All],[Asset]],Table228[[#This Row],[Asset]],Table228[[#All],[Bought number]])</f>
        <v>55038.489200000004</v>
      </c>
      <c r="M413">
        <f>SUMIF(Table228[[#All],[Asset]],Table228[[#This Row],[Asset]],Table228[[#All],[Sold Number]])</f>
        <v>55030</v>
      </c>
      <c r="N413" s="15">
        <f>SUMIF(Table228[[#All],[Asset]],Table228[[#This Row],[Asset]],Table228[[#All],[Bought amount]])</f>
        <v>1651.1546760000001</v>
      </c>
      <c r="O413" s="15">
        <f>SUMIF(Table228[[#All],[Asset]],Table228[[#This Row],[Asset]],Table228[[#All],[Sold amount]])</f>
        <v>1705.93</v>
      </c>
      <c r="P413" s="75">
        <f>Table228[[#This Row],[Total bought Amount]]/Table228[[#This Row],[Total bought Number]]</f>
        <v>0.03</v>
      </c>
      <c r="Q413" s="75">
        <f>IFERROR(Table228[[#This Row],[Total Sold Amount]]/Table228[[#This Row],[Total Sold Number]],0)</f>
        <v>3.1E-2</v>
      </c>
      <c r="R413" s="21">
        <f>Table228[[#This Row],[Total bought Number]]-Table228[[#This Row],[Total Sold Number]]</f>
        <v>8.4892000000036205</v>
      </c>
      <c r="S413" s="59">
        <f>(Table228[[#This Row],[Ave exit price]]-Table228[[#This Row],[Ave Entry price]])*Table228[[#This Row],[Total Sold Number]]</f>
        <v>55.030000000000051</v>
      </c>
      <c r="T413" s="15">
        <f>(Table228[[#This Row],[Current Price]]-Table228[[#This Row],[Ave Entry price]])*Table228[[#This Row],[How many tokens now]]</f>
        <v>-4.9593906400021148E-2</v>
      </c>
      <c r="U413" s="76">
        <f>VLOOKUP(Table228[[#This Row],[Asset]],Table26[#All],10,FALSE)</f>
        <v>2.4157999999999999E-2</v>
      </c>
    </row>
    <row r="414" spans="1:21">
      <c r="A414" t="s">
        <v>44</v>
      </c>
      <c r="B414" s="68">
        <v>45838</v>
      </c>
      <c r="C414" s="3" t="s">
        <v>509</v>
      </c>
      <c r="D414" t="s">
        <v>478</v>
      </c>
      <c r="E414" t="s">
        <v>478</v>
      </c>
      <c r="F414" s="17">
        <v>0.33979999999999999</v>
      </c>
      <c r="G414" s="73">
        <v>5050.0376999999999</v>
      </c>
      <c r="H414" s="61">
        <f t="shared" si="136"/>
        <v>5050.0376999999999</v>
      </c>
      <c r="I414" s="67">
        <f t="shared" si="137"/>
        <v>0</v>
      </c>
      <c r="J414" s="15">
        <f t="shared" si="138"/>
        <v>1716.0028104599999</v>
      </c>
      <c r="K414" s="15">
        <f t="shared" si="139"/>
        <v>0</v>
      </c>
      <c r="L414">
        <f>SUMIF(Table228[[#All],[Asset]],Table228[[#This Row],[Asset]],Table228[[#All],[Bought number]])</f>
        <v>9919.2763999999988</v>
      </c>
      <c r="M414">
        <f>SUMIF(Table228[[#All],[Asset]],Table228[[#This Row],[Asset]],Table228[[#All],[Sold Number]])</f>
        <v>5692.6409999999996</v>
      </c>
      <c r="N414" s="15">
        <f>SUMIF(Table228[[#All],[Asset]],Table228[[#This Row],[Asset]],Table228[[#All],[Bought amount]])</f>
        <v>4616.6576801299998</v>
      </c>
      <c r="O414" s="15">
        <f>SUMIF(Table228[[#All],[Asset]],Table228[[#This Row],[Asset]],Table228[[#All],[Sold amount]])</f>
        <v>2237.4323399999998</v>
      </c>
      <c r="P414" s="75">
        <f>Table228[[#This Row],[Total bought Amount]]/Table228[[#This Row],[Total bought Number]]</f>
        <v>0.46542282863798418</v>
      </c>
      <c r="Q414" s="75">
        <f>IFERROR(Table228[[#This Row],[Total Sold Amount]]/Table228[[#This Row],[Total Sold Number]],0)</f>
        <v>0.39303942405642656</v>
      </c>
      <c r="R414" s="21">
        <f>Table228[[#This Row],[Total bought Number]]-Table228[[#This Row],[Total Sold Number]]</f>
        <v>4226.6353999999992</v>
      </c>
      <c r="S414" s="59">
        <f>(Table228[[#This Row],[Ave exit price]]-Table228[[#This Row],[Ave Entry price]])*Table228[[#This Row],[Total Sold Number]]</f>
        <v>-412.05273664056273</v>
      </c>
      <c r="T414" s="15">
        <f>(Table228[[#This Row],[Current Price]]-Table228[[#This Row],[Ave Entry price]])*Table228[[#This Row],[How many tokens now]]</f>
        <v>1202.8039465105621</v>
      </c>
      <c r="U414" s="76">
        <f>VLOOKUP(Table228[[#This Row],[Asset]],Table26[#All],10,FALSE)</f>
        <v>0.75</v>
      </c>
    </row>
    <row r="415" spans="1:21">
      <c r="A415" t="s">
        <v>226</v>
      </c>
      <c r="B415" s="68">
        <v>45844</v>
      </c>
      <c r="C415" s="3" t="s">
        <v>509</v>
      </c>
      <c r="D415" t="s">
        <v>68</v>
      </c>
      <c r="E415" t="s">
        <v>263</v>
      </c>
      <c r="F415" s="17">
        <v>6.1452E-3</v>
      </c>
      <c r="G415" s="73">
        <v>-50903.02</v>
      </c>
      <c r="H415" s="61">
        <f t="shared" ref="H415:H421" si="140">IF(G415&gt;0,G415,0)</f>
        <v>0</v>
      </c>
      <c r="I415" s="67">
        <f t="shared" ref="I415:I421" si="141">IF(G415&lt;0,ABS(G415),0)</f>
        <v>50903.02</v>
      </c>
      <c r="J415" s="15">
        <f t="shared" ref="J415:J421" si="142">H415*F415</f>
        <v>0</v>
      </c>
      <c r="K415" s="15">
        <f t="shared" ref="K415:K421" si="143">I415*F415</f>
        <v>312.80923850400001</v>
      </c>
      <c r="L415">
        <f>SUMIF(Table228[[#All],[Asset]],Table228[[#This Row],[Asset]],Table228[[#All],[Bought number]])</f>
        <v>323932.72954500001</v>
      </c>
      <c r="M415">
        <f>SUMIF(Table228[[#All],[Asset]],Table228[[#This Row],[Asset]],Table228[[#All],[Sold Number]])</f>
        <v>323932.73009199998</v>
      </c>
      <c r="N415" s="15">
        <f>SUMIF(Table228[[#All],[Asset]],Table228[[#This Row],[Asset]],Table228[[#All],[Bought amount]])</f>
        <v>15730.280778400003</v>
      </c>
      <c r="O415" s="15">
        <f>SUMIF(Table228[[#All],[Asset]],Table228[[#This Row],[Asset]],Table228[[#All],[Sold amount]])</f>
        <v>14916.766213074001</v>
      </c>
      <c r="P415" s="75">
        <f>Table228[[#This Row],[Total bought Amount]]/Table228[[#This Row],[Total bought Number]]</f>
        <v>4.8560331648163348E-2</v>
      </c>
      <c r="Q415" s="75">
        <f>IFERROR(Table228[[#This Row],[Total Sold Amount]]/Table228[[#This Row],[Total Sold Number]],0)</f>
        <v>4.6048962723950426E-2</v>
      </c>
      <c r="R415" s="21">
        <f>Table228[[#This Row],[Total bought Number]]-Table228[[#This Row],[Total Sold Number]]</f>
        <v>-5.4699997417628765E-4</v>
      </c>
      <c r="S415" s="59">
        <f>(Table228[[#This Row],[Ave exit price]]-Table228[[#This Row],[Ave Entry price]])*Table228[[#This Row],[Total Sold Number]]</f>
        <v>-813.5145918885006</v>
      </c>
      <c r="T415" s="15">
        <f>(Table228[[#This Row],[Current Price]]-Table228[[#This Row],[Ave Entry price]])*Table228[[#This Row],[How many tokens now]]</f>
        <v>-2.3737984763883032E-6</v>
      </c>
      <c r="U415" s="76">
        <f>VLOOKUP(Table228[[#This Row],[Asset]],Table26[#All],10,FALSE)</f>
        <v>5.2900000000000003E-2</v>
      </c>
    </row>
    <row r="416" spans="1:21">
      <c r="A416" t="s">
        <v>518</v>
      </c>
      <c r="B416" s="68">
        <v>45844</v>
      </c>
      <c r="C416" s="3" t="s">
        <v>180</v>
      </c>
      <c r="D416" t="s">
        <v>178</v>
      </c>
      <c r="E416" t="s">
        <v>189</v>
      </c>
      <c r="F416" s="17">
        <v>2.8896999999999998E-3</v>
      </c>
      <c r="G416" s="73">
        <v>433186</v>
      </c>
      <c r="H416" s="61">
        <f t="shared" si="140"/>
        <v>433186</v>
      </c>
      <c r="I416" s="67">
        <f t="shared" si="141"/>
        <v>0</v>
      </c>
      <c r="J416" s="15">
        <f t="shared" si="142"/>
        <v>1251.7775841999999</v>
      </c>
      <c r="K416" s="15">
        <f t="shared" si="143"/>
        <v>0</v>
      </c>
      <c r="L416">
        <f>SUMIF(Table228[[#All],[Asset]],Table228[[#This Row],[Asset]],Table228[[#All],[Bought number]])</f>
        <v>582736</v>
      </c>
      <c r="M416">
        <f>SUMIF(Table228[[#All],[Asset]],Table228[[#This Row],[Asset]],Table228[[#All],[Sold Number]])</f>
        <v>0</v>
      </c>
      <c r="N416" s="15">
        <f>SUMIF(Table228[[#All],[Asset]],Table228[[#This Row],[Asset]],Table228[[#All],[Bought amount]])</f>
        <v>1658.8526841999999</v>
      </c>
      <c r="O416" s="15">
        <f>SUMIF(Table228[[#All],[Asset]],Table228[[#This Row],[Asset]],Table228[[#All],[Sold amount]])</f>
        <v>0</v>
      </c>
      <c r="P416" s="75">
        <f>Table228[[#This Row],[Total bought Amount]]/Table228[[#This Row],[Total bought Number]]</f>
        <v>2.8466624409681225E-3</v>
      </c>
      <c r="Q416" s="75">
        <f>IFERROR(Table228[[#This Row],[Total Sold Amount]]/Table228[[#This Row],[Total Sold Number]],0)</f>
        <v>0</v>
      </c>
      <c r="R416" s="21">
        <f>Table228[[#This Row],[Total bought Number]]-Table228[[#This Row],[Total Sold Number]]</f>
        <v>582736</v>
      </c>
      <c r="S416" s="59">
        <f>(Table228[[#This Row],[Ave exit price]]-Table228[[#This Row],[Ave Entry price]])*Table228[[#This Row],[Total Sold Number]]</f>
        <v>0</v>
      </c>
      <c r="T416" s="15">
        <f>(Table228[[#This Row],[Current Price]]-Table228[[#This Row],[Ave Entry price]])*Table228[[#This Row],[How many tokens now]]</f>
        <v>-72.645292199999815</v>
      </c>
      <c r="U416" s="76">
        <f>VLOOKUP(Table228[[#This Row],[Asset]],Table26[#All],10,FALSE)</f>
        <v>2.722E-3</v>
      </c>
    </row>
    <row r="417" spans="1:21">
      <c r="A417" t="s">
        <v>221</v>
      </c>
      <c r="B417" s="68">
        <v>45844</v>
      </c>
      <c r="C417" s="3" t="s">
        <v>180</v>
      </c>
      <c r="D417" t="s">
        <v>178</v>
      </c>
      <c r="E417" t="s">
        <v>189</v>
      </c>
      <c r="F417" s="17">
        <v>1.23</v>
      </c>
      <c r="G417" s="73">
        <v>120</v>
      </c>
      <c r="H417" s="61">
        <f t="shared" si="140"/>
        <v>120</v>
      </c>
      <c r="I417" s="67">
        <f t="shared" si="141"/>
        <v>0</v>
      </c>
      <c r="J417" s="15">
        <f t="shared" si="142"/>
        <v>147.6</v>
      </c>
      <c r="K417" s="15">
        <f t="shared" si="143"/>
        <v>0</v>
      </c>
      <c r="L417">
        <f>SUMIF(Table228[[#All],[Asset]],Table228[[#This Row],[Asset]],Table228[[#All],[Bought number]])</f>
        <v>3846.05</v>
      </c>
      <c r="M417">
        <f>SUMIF(Table228[[#All],[Asset]],Table228[[#This Row],[Asset]],Table228[[#All],[Sold Number]])</f>
        <v>3726.05</v>
      </c>
      <c r="N417" s="15">
        <f>SUMIF(Table228[[#All],[Asset]],Table228[[#This Row],[Asset]],Table228[[#All],[Bought amount]])</f>
        <v>3550.4901629999999</v>
      </c>
      <c r="O417" s="15">
        <f>SUMIF(Table228[[#All],[Asset]],Table228[[#This Row],[Asset]],Table228[[#All],[Sold amount]])</f>
        <v>3828.3503711953003</v>
      </c>
      <c r="P417" s="75">
        <f>Table228[[#This Row],[Total bought Amount]]/Table228[[#This Row],[Total bought Number]]</f>
        <v>0.92315236749392227</v>
      </c>
      <c r="Q417" s="75">
        <f>IFERROR(Table228[[#This Row],[Total Sold Amount]]/Table228[[#This Row],[Total Sold Number]],0)</f>
        <v>1.0274554477785591</v>
      </c>
      <c r="R417" s="21">
        <f>Table228[[#This Row],[Total bought Number]]-Table228[[#This Row],[Total Sold Number]]</f>
        <v>120</v>
      </c>
      <c r="S417" s="59">
        <f>(Table228[[#This Row],[Ave exit price]]-Table228[[#This Row],[Ave Entry price]])*Table228[[#This Row],[Total Sold Number]]</f>
        <v>388.63849229457122</v>
      </c>
      <c r="T417" s="15">
        <f>(Table228[[#This Row],[Current Price]]-Table228[[#This Row],[Ave Entry price]])*Table228[[#This Row],[How many tokens now]]</f>
        <v>-2.7782840992706692</v>
      </c>
      <c r="U417" s="76">
        <f>VLOOKUP(Table228[[#This Row],[Asset]],Table26[#All],10,FALSE)</f>
        <v>0.9</v>
      </c>
    </row>
    <row r="418" spans="1:21">
      <c r="A418" t="s">
        <v>426</v>
      </c>
      <c r="B418" s="68">
        <v>45844</v>
      </c>
      <c r="C418" s="3" t="s">
        <v>180</v>
      </c>
      <c r="D418" t="s">
        <v>178</v>
      </c>
      <c r="E418" t="s">
        <v>189</v>
      </c>
      <c r="F418" s="17">
        <v>5.6908E-2</v>
      </c>
      <c r="G418" s="73">
        <v>-100000</v>
      </c>
      <c r="H418" s="61">
        <f t="shared" si="140"/>
        <v>0</v>
      </c>
      <c r="I418" s="67">
        <f t="shared" si="141"/>
        <v>100000</v>
      </c>
      <c r="J418" s="15">
        <f t="shared" si="142"/>
        <v>0</v>
      </c>
      <c r="K418" s="15">
        <f t="shared" si="143"/>
        <v>5690.8</v>
      </c>
      <c r="L418">
        <f>SUMIF(Table228[[#All],[Asset]],Table228[[#This Row],[Asset]],Table228[[#All],[Bought number]])</f>
        <v>238626.003494</v>
      </c>
      <c r="M418">
        <f>SUMIF(Table228[[#All],[Asset]],Table228[[#This Row],[Asset]],Table228[[#All],[Sold Number]])</f>
        <v>258703.52244</v>
      </c>
      <c r="N418" s="15">
        <f>SUMIF(Table228[[#All],[Asset]],Table228[[#This Row],[Asset]],Table228[[#All],[Bought amount]])</f>
        <v>15455.410858853724</v>
      </c>
      <c r="O418" s="15">
        <f>SUMIF(Table228[[#All],[Asset]],Table228[[#This Row],[Asset]],Table228[[#All],[Sold amount]])</f>
        <v>12956.454272287921</v>
      </c>
      <c r="P418" s="75">
        <f>Table228[[#This Row],[Total bought Amount]]/Table228[[#This Row],[Total bought Number]]</f>
        <v>6.4768343066359632E-2</v>
      </c>
      <c r="Q418" s="75">
        <f>IFERROR(Table228[[#This Row],[Total Sold Amount]]/Table228[[#This Row],[Total Sold Number]],0)</f>
        <v>5.0082249171125436E-2</v>
      </c>
      <c r="R418" s="21">
        <f>Table228[[#This Row],[Total bought Number]]-Table228[[#This Row],[Total Sold Number]]</f>
        <v>-20077.518945999997</v>
      </c>
      <c r="S418" s="59">
        <f>(Table228[[#This Row],[Ave exit price]]-Table228[[#This Row],[Ave Entry price]])*Table228[[#This Row],[Total Sold Number]]</f>
        <v>-3799.3442215816672</v>
      </c>
      <c r="T418" s="15">
        <f>(Table228[[#This Row],[Current Price]]-Table228[[#This Row],[Ave Entry price]])*Table228[[#This Row],[How many tokens now]]</f>
        <v>440.80881638076522</v>
      </c>
      <c r="U418" s="76">
        <f>VLOOKUP(Table228[[#This Row],[Asset]],Table26[#All],10,FALSE)</f>
        <v>4.2812999999999997E-2</v>
      </c>
    </row>
    <row r="419" spans="1:21">
      <c r="A419" t="s">
        <v>291</v>
      </c>
      <c r="B419" s="68">
        <v>45846</v>
      </c>
      <c r="C419" s="3" t="s">
        <v>180</v>
      </c>
      <c r="D419" t="s">
        <v>505</v>
      </c>
      <c r="E419" t="s">
        <v>285</v>
      </c>
      <c r="F419" s="17">
        <v>8.0000000000000002E-3</v>
      </c>
      <c r="G419" s="73">
        <v>-31391</v>
      </c>
      <c r="H419" s="61">
        <f t="shared" si="140"/>
        <v>0</v>
      </c>
      <c r="I419" s="67">
        <f t="shared" si="141"/>
        <v>31391</v>
      </c>
      <c r="J419" s="15">
        <f t="shared" si="142"/>
        <v>0</v>
      </c>
      <c r="K419" s="15">
        <f t="shared" si="143"/>
        <v>251.12800000000001</v>
      </c>
      <c r="L419">
        <f>SUMIF(Table228[[#All],[Asset]],Table228[[#This Row],[Asset]],Table228[[#All],[Bought number]])</f>
        <v>56191.636100000003</v>
      </c>
      <c r="M419">
        <f>SUMIF(Table228[[#All],[Asset]],Table228[[#This Row],[Asset]],Table228[[#All],[Sold Number]])</f>
        <v>56191</v>
      </c>
      <c r="N419" s="15">
        <f>SUMIF(Table228[[#All],[Asset]],Table228[[#This Row],[Asset]],Table228[[#All],[Bought amount]])</f>
        <v>5356.8114137100001</v>
      </c>
      <c r="O419" s="15">
        <f>SUMIF(Table228[[#All],[Asset]],Table228[[#This Row],[Asset]],Table228[[#All],[Sold amount]])</f>
        <v>1466.328</v>
      </c>
      <c r="P419" s="75">
        <f>Table228[[#This Row],[Total bought Amount]]/Table228[[#This Row],[Total bought Number]]</f>
        <v>9.5331116612744432E-2</v>
      </c>
      <c r="Q419" s="75">
        <f>IFERROR(Table228[[#This Row],[Total Sold Amount]]/Table228[[#This Row],[Total Sold Number]],0)</f>
        <v>2.6095424534178072E-2</v>
      </c>
      <c r="R419" s="21">
        <f>Table228[[#This Row],[Total bought Number]]-Table228[[#This Row],[Total Sold Number]]</f>
        <v>0.63610000000335276</v>
      </c>
      <c r="S419" s="59">
        <f>(Table228[[#This Row],[Ave exit price]]-Table228[[#This Row],[Ave Entry price]])*Table228[[#This Row],[Total Sold Number]]</f>
        <v>-3890.4227735867225</v>
      </c>
      <c r="T419" s="15">
        <f>(Table228[[#This Row],[Current Price]]-Table228[[#This Row],[Ave Entry price]])*Table228[[#This Row],[How many tokens now]]</f>
        <v>-4.4737623277602542E-2</v>
      </c>
      <c r="U419" s="76">
        <f>VLOOKUP(Table228[[#This Row],[Asset]],Table26[#All],10,FALSE)</f>
        <v>2.5000000000000001E-2</v>
      </c>
    </row>
    <row r="420" spans="1:21">
      <c r="A420" t="s">
        <v>273</v>
      </c>
      <c r="B420" s="68">
        <v>45864</v>
      </c>
      <c r="C420" s="3" t="s">
        <v>176</v>
      </c>
      <c r="D420" t="s">
        <v>68</v>
      </c>
      <c r="E420" t="s">
        <v>511</v>
      </c>
      <c r="F420" s="17">
        <v>8.7840000000000001E-3</v>
      </c>
      <c r="G420" s="73">
        <v>-200000</v>
      </c>
      <c r="H420" s="61">
        <f t="shared" si="140"/>
        <v>0</v>
      </c>
      <c r="I420" s="67">
        <f t="shared" si="141"/>
        <v>200000</v>
      </c>
      <c r="J420" s="15">
        <f t="shared" si="142"/>
        <v>0</v>
      </c>
      <c r="K420" s="15">
        <f t="shared" si="143"/>
        <v>1756.8</v>
      </c>
      <c r="L420">
        <f>SUMIF(Table228[[#All],[Asset]],Table228[[#This Row],[Asset]],Table228[[#All],[Bought number]])</f>
        <v>798337.86606299994</v>
      </c>
      <c r="M420">
        <f>SUMIF(Table228[[#All],[Asset]],Table228[[#This Row],[Asset]],Table228[[#All],[Sold Number]])</f>
        <v>798338.03632399999</v>
      </c>
      <c r="N420" s="15">
        <f>SUMIF(Table228[[#All],[Asset]],Table228[[#This Row],[Asset]],Table228[[#All],[Bought amount]])</f>
        <v>24349.581039704975</v>
      </c>
      <c r="O420" s="15">
        <f>SUMIF(Table228[[#All],[Asset]],Table228[[#This Row],[Asset]],Table228[[#All],[Sold amount]])</f>
        <v>12344.863481975535</v>
      </c>
      <c r="P420" s="75">
        <f>Table228[[#This Row],[Total bought Amount]]/Table228[[#This Row],[Total bought Number]]</f>
        <v>3.0500345874591717E-2</v>
      </c>
      <c r="Q420" s="75">
        <f>IFERROR(Table228[[#This Row],[Total Sold Amount]]/Table228[[#This Row],[Total Sold Number]],0)</f>
        <v>1.5463203455541554E-2</v>
      </c>
      <c r="R420" s="21">
        <f>Table228[[#This Row],[Total bought Number]]-Table228[[#This Row],[Total Sold Number]]</f>
        <v>-0.17026100005023181</v>
      </c>
      <c r="S420" s="59">
        <f>(Table228[[#This Row],[Ave exit price]]-Table228[[#This Row],[Ave Entry price]])*Table228[[#This Row],[Total Sold Number]]</f>
        <v>-12004.72275074883</v>
      </c>
      <c r="T420" s="15">
        <f>(Table228[[#This Row],[Current Price]]-Table228[[#This Row],[Ave Entry price]])*Table228[[#This Row],[How many tokens now]]</f>
        <v>3.3201483899333983E-3</v>
      </c>
      <c r="U420" s="76">
        <f>VLOOKUP(Table228[[#This Row],[Asset]],Table26[#All],10,FALSE)</f>
        <v>1.0999999999999999E-2</v>
      </c>
    </row>
    <row r="421" spans="1:21">
      <c r="A421" t="s">
        <v>426</v>
      </c>
      <c r="B421" s="68">
        <v>45864</v>
      </c>
      <c r="C421" s="3" t="s">
        <v>176</v>
      </c>
      <c r="D421" t="s">
        <v>68</v>
      </c>
      <c r="E421" t="s">
        <v>511</v>
      </c>
      <c r="F421" s="17">
        <v>6.012924E-2</v>
      </c>
      <c r="G421" s="73">
        <v>28705</v>
      </c>
      <c r="H421" s="61">
        <f t="shared" si="140"/>
        <v>28705</v>
      </c>
      <c r="I421" s="67">
        <f t="shared" si="141"/>
        <v>0</v>
      </c>
      <c r="J421" s="15">
        <f t="shared" si="142"/>
        <v>1726.0098342000001</v>
      </c>
      <c r="K421" s="15">
        <f t="shared" si="143"/>
        <v>0</v>
      </c>
      <c r="L421">
        <f>SUMIF(Table228[[#All],[Asset]],Table228[[#This Row],[Asset]],Table228[[#All],[Bought number]])</f>
        <v>238626.003494</v>
      </c>
      <c r="M421">
        <f>SUMIF(Table228[[#All],[Asset]],Table228[[#This Row],[Asset]],Table228[[#All],[Sold Number]])</f>
        <v>258703.52244</v>
      </c>
      <c r="N421" s="15">
        <f>SUMIF(Table228[[#All],[Asset]],Table228[[#This Row],[Asset]],Table228[[#All],[Bought amount]])</f>
        <v>15455.410858853724</v>
      </c>
      <c r="O421" s="15">
        <f>SUMIF(Table228[[#All],[Asset]],Table228[[#This Row],[Asset]],Table228[[#All],[Sold amount]])</f>
        <v>12956.454272287921</v>
      </c>
      <c r="P421" s="75">
        <f>Table228[[#This Row],[Total bought Amount]]/Table228[[#This Row],[Total bought Number]]</f>
        <v>6.4768343066359632E-2</v>
      </c>
      <c r="Q421" s="75">
        <f>IFERROR(Table228[[#This Row],[Total Sold Amount]]/Table228[[#This Row],[Total Sold Number]],0)</f>
        <v>5.0082249171125436E-2</v>
      </c>
      <c r="R421" s="21">
        <f>Table228[[#This Row],[Total bought Number]]-Table228[[#This Row],[Total Sold Number]]</f>
        <v>-20077.518945999997</v>
      </c>
      <c r="S421" s="59">
        <f>(Table228[[#This Row],[Ave exit price]]-Table228[[#This Row],[Ave Entry price]])*Table228[[#This Row],[Total Sold Number]]</f>
        <v>-3799.3442215816672</v>
      </c>
      <c r="T421" s="15">
        <f>(Table228[[#This Row],[Current Price]]-Table228[[#This Row],[Ave Entry price]])*Table228[[#This Row],[How many tokens now]]</f>
        <v>440.80881638076522</v>
      </c>
      <c r="U421" s="76">
        <f>VLOOKUP(Table228[[#This Row],[Asset]],Table26[#All],10,FALSE)</f>
        <v>4.2812999999999997E-2</v>
      </c>
    </row>
    <row r="422" spans="1:21">
      <c r="A422" t="s">
        <v>492</v>
      </c>
      <c r="B422" s="68">
        <v>45871</v>
      </c>
      <c r="C422" s="3" t="s">
        <v>176</v>
      </c>
      <c r="D422" t="s">
        <v>68</v>
      </c>
      <c r="E422" t="s">
        <v>248</v>
      </c>
      <c r="F422" s="17">
        <v>3.3075000000000001E-3</v>
      </c>
      <c r="G422" s="73">
        <v>-133382.2249</v>
      </c>
      <c r="H422" s="61">
        <f t="shared" ref="H422:H431" si="144">IF(G422&gt;0,G422,0)</f>
        <v>0</v>
      </c>
      <c r="I422" s="67">
        <f t="shared" ref="I422:I431" si="145">IF(G422&lt;0,ABS(G422),0)</f>
        <v>133382.2249</v>
      </c>
      <c r="J422" s="15">
        <f t="shared" ref="J422:J431" si="146">H422*F422</f>
        <v>0</v>
      </c>
      <c r="K422" s="15">
        <f t="shared" ref="K422:K431" si="147">I422*F422</f>
        <v>441.16170885675001</v>
      </c>
      <c r="L422">
        <f>SUMIF(Table228[[#All],[Asset]],Table228[[#This Row],[Asset]],Table228[[#All],[Bought number]])</f>
        <v>133382.22486300001</v>
      </c>
      <c r="M422">
        <f>SUMIF(Table228[[#All],[Asset]],Table228[[#This Row],[Asset]],Table228[[#All],[Sold Number]])</f>
        <v>133382.2249</v>
      </c>
      <c r="N422" s="15">
        <f>SUMIF(Table228[[#All],[Asset]],Table228[[#This Row],[Asset]],Table228[[#All],[Bought amount]])</f>
        <v>2305.5593483286193</v>
      </c>
      <c r="O422" s="15">
        <f>SUMIF(Table228[[#All],[Asset]],Table228[[#This Row],[Asset]],Table228[[#All],[Sold amount]])</f>
        <v>441.16170885675001</v>
      </c>
      <c r="P422" s="75">
        <f>Table228[[#This Row],[Total bought Amount]]/Table228[[#This Row],[Total bought Number]]</f>
        <v>1.7285356805951564E-2</v>
      </c>
      <c r="Q422" s="75">
        <f>IFERROR(Table228[[#This Row],[Total Sold Amount]]/Table228[[#This Row],[Total Sold Number]],0)</f>
        <v>3.3075000000000001E-3</v>
      </c>
      <c r="R422" s="21">
        <f>Table228[[#This Row],[Total bought Number]]-Table228[[#This Row],[Total Sold Number]]</f>
        <v>-3.6999990697950125E-5</v>
      </c>
      <c r="S422" s="59">
        <f>(Table228[[#This Row],[Ave exit price]]-Table228[[#This Row],[Ave Entry price]])*Table228[[#This Row],[Total Sold Number]]</f>
        <v>-1864.3976401114273</v>
      </c>
      <c r="T422" s="15">
        <f>(Table228[[#This Row],[Current Price]]-Table228[[#This Row],[Ave Entry price]])*Table228[[#This Row],[How many tokens now]]</f>
        <v>3.740831077731646E-7</v>
      </c>
      <c r="U422" s="76">
        <f>VLOOKUP(Table228[[#This Row],[Asset]],Table26[#All],10,FALSE)</f>
        <v>7.175E-3</v>
      </c>
    </row>
    <row r="423" spans="1:21">
      <c r="A423" t="s">
        <v>496</v>
      </c>
      <c r="B423" s="68">
        <v>45871</v>
      </c>
      <c r="C423" s="3" t="s">
        <v>176</v>
      </c>
      <c r="D423" t="s">
        <v>68</v>
      </c>
      <c r="E423" t="s">
        <v>248</v>
      </c>
      <c r="F423" s="17">
        <v>0.12174</v>
      </c>
      <c r="G423" s="73">
        <v>-1179.2845</v>
      </c>
      <c r="H423" s="61">
        <f t="shared" si="144"/>
        <v>0</v>
      </c>
      <c r="I423" s="67">
        <f t="shared" si="145"/>
        <v>1179.2845</v>
      </c>
      <c r="J423" s="15">
        <f t="shared" si="146"/>
        <v>0</v>
      </c>
      <c r="K423" s="15">
        <f t="shared" si="147"/>
        <v>143.56609502999999</v>
      </c>
      <c r="L423">
        <f>SUMIF(Table228[[#All],[Asset]],Table228[[#This Row],[Asset]],Table228[[#All],[Bought number]])</f>
        <v>25905.172225000002</v>
      </c>
      <c r="M423">
        <f>SUMIF(Table228[[#All],[Asset]],Table228[[#This Row],[Asset]],Table228[[#All],[Sold Number]])</f>
        <v>23901.696294000001</v>
      </c>
      <c r="N423" s="15">
        <f>SUMIF(Table228[[#All],[Asset]],Table228[[#This Row],[Asset]],Table228[[#All],[Bought amount]])</f>
        <v>7316.0232461972755</v>
      </c>
      <c r="O423" s="15">
        <f>SUMIF(Table228[[#All],[Asset]],Table228[[#This Row],[Asset]],Table228[[#All],[Sold amount]])</f>
        <v>3343.162250846</v>
      </c>
      <c r="P423" s="75">
        <f>Table228[[#This Row],[Total bought Amount]]/Table228[[#This Row],[Total bought Number]]</f>
        <v>0.282415541678464</v>
      </c>
      <c r="Q423" s="75">
        <f>IFERROR(Table228[[#This Row],[Total Sold Amount]]/Table228[[#This Row],[Total Sold Number]],0)</f>
        <v>0.13987133840727564</v>
      </c>
      <c r="R423" s="21">
        <f>Table228[[#This Row],[Total bought Number]]-Table228[[#This Row],[Total Sold Number]]</f>
        <v>2003.4759310000009</v>
      </c>
      <c r="S423" s="59">
        <f>(Table228[[#This Row],[Ave exit price]]-Table228[[#This Row],[Ave Entry price]])*Table228[[#This Row],[Total Sold Number]]</f>
        <v>-3407.0482550581455</v>
      </c>
      <c r="T423" s="15">
        <f>(Table228[[#This Row],[Current Price]]-Table228[[#This Row],[Ave Entry price]])*Table228[[#This Row],[How many tokens now]]</f>
        <v>-365.46514719313012</v>
      </c>
      <c r="U423" s="76">
        <f>VLOOKUP(Table228[[#This Row],[Asset]],Table26[#All],10,FALSE)</f>
        <v>0.1</v>
      </c>
    </row>
    <row r="424" spans="1:21">
      <c r="A424" t="s">
        <v>496</v>
      </c>
      <c r="B424" s="68">
        <v>45871</v>
      </c>
      <c r="C424" s="3" t="s">
        <v>176</v>
      </c>
      <c r="D424" t="s">
        <v>68</v>
      </c>
      <c r="E424" t="s">
        <v>189</v>
      </c>
      <c r="F424" s="17">
        <v>0.12135</v>
      </c>
      <c r="G424" s="73">
        <v>-4334.5456999999997</v>
      </c>
      <c r="H424" s="61">
        <f t="shared" si="144"/>
        <v>0</v>
      </c>
      <c r="I424" s="67">
        <f t="shared" si="145"/>
        <v>4334.5456999999997</v>
      </c>
      <c r="J424" s="15">
        <f t="shared" si="146"/>
        <v>0</v>
      </c>
      <c r="K424" s="15">
        <f t="shared" si="147"/>
        <v>525.99712069499992</v>
      </c>
      <c r="L424">
        <f>SUMIF(Table228[[#All],[Asset]],Table228[[#This Row],[Asset]],Table228[[#All],[Bought number]])</f>
        <v>25905.172225000002</v>
      </c>
      <c r="M424">
        <f>SUMIF(Table228[[#All],[Asset]],Table228[[#This Row],[Asset]],Table228[[#All],[Sold Number]])</f>
        <v>23901.696294000001</v>
      </c>
      <c r="N424" s="15">
        <f>SUMIF(Table228[[#All],[Asset]],Table228[[#This Row],[Asset]],Table228[[#All],[Bought amount]])</f>
        <v>7316.0232461972755</v>
      </c>
      <c r="O424" s="15">
        <f>SUMIF(Table228[[#All],[Asset]],Table228[[#This Row],[Asset]],Table228[[#All],[Sold amount]])</f>
        <v>3343.162250846</v>
      </c>
      <c r="P424" s="75">
        <f>Table228[[#This Row],[Total bought Amount]]/Table228[[#This Row],[Total bought Number]]</f>
        <v>0.282415541678464</v>
      </c>
      <c r="Q424" s="75">
        <f>IFERROR(Table228[[#This Row],[Total Sold Amount]]/Table228[[#This Row],[Total Sold Number]],0)</f>
        <v>0.13987133840727564</v>
      </c>
      <c r="R424" s="21">
        <f>Table228[[#This Row],[Total bought Number]]-Table228[[#This Row],[Total Sold Number]]</f>
        <v>2003.4759310000009</v>
      </c>
      <c r="S424" s="59">
        <f>(Table228[[#This Row],[Ave exit price]]-Table228[[#This Row],[Ave Entry price]])*Table228[[#This Row],[Total Sold Number]]</f>
        <v>-3407.0482550581455</v>
      </c>
      <c r="T424" s="15">
        <f>(Table228[[#This Row],[Current Price]]-Table228[[#This Row],[Ave Entry price]])*Table228[[#This Row],[How many tokens now]]</f>
        <v>-365.46514719313012</v>
      </c>
      <c r="U424" s="76">
        <f>VLOOKUP(Table228[[#This Row],[Asset]],Table26[#All],10,FALSE)</f>
        <v>0.1</v>
      </c>
    </row>
    <row r="425" spans="1:21">
      <c r="A425" t="s">
        <v>426</v>
      </c>
      <c r="B425" s="68">
        <v>45871</v>
      </c>
      <c r="C425" s="3" t="s">
        <v>176</v>
      </c>
      <c r="D425" t="s">
        <v>68</v>
      </c>
      <c r="E425" t="s">
        <v>189</v>
      </c>
      <c r="F425" s="17">
        <v>4.9000000000000002E-2</v>
      </c>
      <c r="G425" s="73">
        <v>10697</v>
      </c>
      <c r="H425" s="61">
        <f t="shared" si="144"/>
        <v>10697</v>
      </c>
      <c r="I425" s="67">
        <f t="shared" si="145"/>
        <v>0</v>
      </c>
      <c r="J425" s="15">
        <f t="shared" si="146"/>
        <v>524.15300000000002</v>
      </c>
      <c r="K425" s="15">
        <f t="shared" si="147"/>
        <v>0</v>
      </c>
      <c r="L425">
        <f>SUMIF(Table228[[#All],[Asset]],Table228[[#This Row],[Asset]],Table228[[#All],[Bought number]])</f>
        <v>238626.003494</v>
      </c>
      <c r="M425">
        <f>SUMIF(Table228[[#All],[Asset]],Table228[[#This Row],[Asset]],Table228[[#All],[Sold Number]])</f>
        <v>258703.52244</v>
      </c>
      <c r="N425" s="15">
        <f>SUMIF(Table228[[#All],[Asset]],Table228[[#This Row],[Asset]],Table228[[#All],[Bought amount]])</f>
        <v>15455.410858853724</v>
      </c>
      <c r="O425" s="15">
        <f>SUMIF(Table228[[#All],[Asset]],Table228[[#This Row],[Asset]],Table228[[#All],[Sold amount]])</f>
        <v>12956.454272287921</v>
      </c>
      <c r="P425" s="75">
        <f>Table228[[#This Row],[Total bought Amount]]/Table228[[#This Row],[Total bought Number]]</f>
        <v>6.4768343066359632E-2</v>
      </c>
      <c r="Q425" s="75">
        <f>IFERROR(Table228[[#This Row],[Total Sold Amount]]/Table228[[#This Row],[Total Sold Number]],0)</f>
        <v>5.0082249171125436E-2</v>
      </c>
      <c r="R425" s="21">
        <f>Table228[[#This Row],[Total bought Number]]-Table228[[#This Row],[Total Sold Number]]</f>
        <v>-20077.518945999997</v>
      </c>
      <c r="S425" s="59">
        <f>(Table228[[#This Row],[Ave exit price]]-Table228[[#This Row],[Ave Entry price]])*Table228[[#This Row],[Total Sold Number]]</f>
        <v>-3799.3442215816672</v>
      </c>
      <c r="T425" s="15">
        <f>(Table228[[#This Row],[Current Price]]-Table228[[#This Row],[Ave Entry price]])*Table228[[#This Row],[How many tokens now]]</f>
        <v>440.80881638076522</v>
      </c>
      <c r="U425" s="76">
        <f>VLOOKUP(Table228[[#This Row],[Asset]],Table26[#All],10,FALSE)</f>
        <v>4.2812999999999997E-2</v>
      </c>
    </row>
    <row r="426" spans="1:21">
      <c r="A426" t="s">
        <v>72</v>
      </c>
      <c r="B426" s="68">
        <v>45871</v>
      </c>
      <c r="C426" s="3" t="s">
        <v>176</v>
      </c>
      <c r="D426" t="s">
        <v>46</v>
      </c>
      <c r="E426" t="s">
        <v>331</v>
      </c>
      <c r="F426" s="17">
        <v>0</v>
      </c>
      <c r="G426" s="73">
        <v>-402</v>
      </c>
      <c r="H426" s="61">
        <f t="shared" si="144"/>
        <v>0</v>
      </c>
      <c r="I426" s="67">
        <f t="shared" si="145"/>
        <v>402</v>
      </c>
      <c r="J426" s="15">
        <f t="shared" si="146"/>
        <v>0</v>
      </c>
      <c r="K426" s="15">
        <f t="shared" si="147"/>
        <v>0</v>
      </c>
      <c r="L426">
        <f>SUMIF(Table228[[#All],[Asset]],Table228[[#This Row],[Asset]],Table228[[#All],[Bought number]])</f>
        <v>402</v>
      </c>
      <c r="M426">
        <f>SUMIF(Table228[[#All],[Asset]],Table228[[#This Row],[Asset]],Table228[[#All],[Sold Number]])</f>
        <v>402</v>
      </c>
      <c r="N426" s="15">
        <f>SUMIF(Table228[[#All],[Asset]],Table228[[#This Row],[Asset]],Table228[[#All],[Bought amount]])</f>
        <v>120.6</v>
      </c>
      <c r="O426" s="15">
        <f>SUMIF(Table228[[#All],[Asset]],Table228[[#This Row],[Asset]],Table228[[#All],[Sold amount]])</f>
        <v>0</v>
      </c>
      <c r="P426" s="75">
        <f>Table228[[#This Row],[Total bought Amount]]/Table228[[#This Row],[Total bought Number]]</f>
        <v>0.3</v>
      </c>
      <c r="Q426" s="75">
        <f>IFERROR(Table228[[#This Row],[Total Sold Amount]]/Table228[[#This Row],[Total Sold Number]],0)</f>
        <v>0</v>
      </c>
      <c r="R426" s="21">
        <f>Table228[[#This Row],[Total bought Number]]-Table228[[#This Row],[Total Sold Number]]</f>
        <v>0</v>
      </c>
      <c r="S426" s="59">
        <f>(Table228[[#This Row],[Ave exit price]]-Table228[[#This Row],[Ave Entry price]])*Table228[[#This Row],[Total Sold Number]]</f>
        <v>-120.6</v>
      </c>
      <c r="T426" s="15">
        <f>(Table228[[#This Row],[Current Price]]-Table228[[#This Row],[Ave Entry price]])*Table228[[#This Row],[How many tokens now]]</f>
        <v>0</v>
      </c>
      <c r="U426" s="76">
        <f>VLOOKUP(Table228[[#This Row],[Asset]],Table26[#All],10,FALSE)</f>
        <v>0.24970000000000001</v>
      </c>
    </row>
    <row r="427" spans="1:21">
      <c r="A427" t="s">
        <v>253</v>
      </c>
      <c r="B427" s="68">
        <v>45871</v>
      </c>
      <c r="C427" s="3" t="s">
        <v>176</v>
      </c>
      <c r="D427" t="s">
        <v>46</v>
      </c>
      <c r="E427" t="s">
        <v>331</v>
      </c>
      <c r="F427" s="17">
        <v>4.2300000000000004</v>
      </c>
      <c r="G427" s="73">
        <v>-7</v>
      </c>
      <c r="H427" s="61">
        <f t="shared" si="144"/>
        <v>0</v>
      </c>
      <c r="I427" s="67">
        <f t="shared" si="145"/>
        <v>7</v>
      </c>
      <c r="J427" s="15">
        <f t="shared" si="146"/>
        <v>0</v>
      </c>
      <c r="K427" s="15">
        <f t="shared" si="147"/>
        <v>29.610000000000003</v>
      </c>
      <c r="L427">
        <f>SUMIF(Table228[[#All],[Asset]],Table228[[#This Row],[Asset]],Table228[[#All],[Bought number]])</f>
        <v>573.20479999999998</v>
      </c>
      <c r="M427">
        <f>SUMIF(Table228[[#All],[Asset]],Table228[[#This Row],[Asset]],Table228[[#All],[Sold Number]])</f>
        <v>573.20479999999998</v>
      </c>
      <c r="N427" s="15">
        <f>SUMIF(Table228[[#All],[Asset]],Table228[[#This Row],[Asset]],Table228[[#All],[Bought amount]])</f>
        <v>6305.2528000000002</v>
      </c>
      <c r="O427" s="15">
        <f>SUMIF(Table228[[#All],[Asset]],Table228[[#This Row],[Asset]],Table228[[#All],[Sold amount]])</f>
        <v>2752.7183133888002</v>
      </c>
      <c r="P427" s="75">
        <f>Table228[[#This Row],[Total bought Amount]]/Table228[[#This Row],[Total bought Number]]</f>
        <v>11</v>
      </c>
      <c r="Q427" s="75">
        <f>IFERROR(Table228[[#This Row],[Total Sold Amount]]/Table228[[#This Row],[Total Sold Number]],0)</f>
        <v>4.8023294874516056</v>
      </c>
      <c r="R427" s="21">
        <f>Table228[[#This Row],[Total bought Number]]-Table228[[#This Row],[Total Sold Number]]</f>
        <v>0</v>
      </c>
      <c r="S427" s="59">
        <f>(Table228[[#This Row],[Ave exit price]]-Table228[[#This Row],[Ave Entry price]])*Table228[[#This Row],[Total Sold Number]]</f>
        <v>-3552.5344866111996</v>
      </c>
      <c r="T427" s="15">
        <f>(Table228[[#This Row],[Current Price]]-Table228[[#This Row],[Ave Entry price]])*Table228[[#This Row],[How many tokens now]]</f>
        <v>0</v>
      </c>
      <c r="U427" s="76">
        <f>VLOOKUP(Table228[[#This Row],[Asset]],Table26[#All],10,FALSE)</f>
        <v>5.0629999999999997</v>
      </c>
    </row>
    <row r="428" spans="1:21">
      <c r="A428" t="s">
        <v>70</v>
      </c>
      <c r="B428" s="68">
        <v>45871</v>
      </c>
      <c r="C428" s="3" t="s">
        <v>176</v>
      </c>
      <c r="D428" t="s">
        <v>46</v>
      </c>
      <c r="E428" t="s">
        <v>331</v>
      </c>
      <c r="F428" s="17">
        <v>1.64</v>
      </c>
      <c r="G428" s="73">
        <v>-31.89</v>
      </c>
      <c r="H428" s="61">
        <f t="shared" si="144"/>
        <v>0</v>
      </c>
      <c r="I428" s="67">
        <f t="shared" si="145"/>
        <v>31.89</v>
      </c>
      <c r="J428" s="15">
        <f t="shared" si="146"/>
        <v>0</v>
      </c>
      <c r="K428" s="15">
        <f t="shared" si="147"/>
        <v>52.299599999999998</v>
      </c>
      <c r="L428">
        <f>SUMIF(Table228[[#All],[Asset]],Table228[[#This Row],[Asset]],Table228[[#All],[Bought number]])</f>
        <v>31.89</v>
      </c>
      <c r="M428">
        <f>SUMIF(Table228[[#All],[Asset]],Table228[[#This Row],[Asset]],Table228[[#All],[Sold Number]])</f>
        <v>31.89</v>
      </c>
      <c r="N428" s="15">
        <f>SUMIF(Table228[[#All],[Asset]],Table228[[#This Row],[Asset]],Table228[[#All],[Bought amount]])</f>
        <v>510.24</v>
      </c>
      <c r="O428" s="15">
        <f>SUMIF(Table228[[#All],[Asset]],Table228[[#This Row],[Asset]],Table228[[#All],[Sold amount]])</f>
        <v>52.299599999999998</v>
      </c>
      <c r="P428" s="75">
        <f>Table228[[#This Row],[Total bought Amount]]/Table228[[#This Row],[Total bought Number]]</f>
        <v>16</v>
      </c>
      <c r="Q428" s="75">
        <f>IFERROR(Table228[[#This Row],[Total Sold Amount]]/Table228[[#This Row],[Total Sold Number]],0)</f>
        <v>1.64</v>
      </c>
      <c r="R428" s="21">
        <f>Table228[[#This Row],[Total bought Number]]-Table228[[#This Row],[Total Sold Number]]</f>
        <v>0</v>
      </c>
      <c r="S428" s="59">
        <f>(Table228[[#This Row],[Ave exit price]]-Table228[[#This Row],[Ave Entry price]])*Table228[[#This Row],[Total Sold Number]]</f>
        <v>-457.94040000000001</v>
      </c>
      <c r="T428" s="15">
        <f>(Table228[[#This Row],[Current Price]]-Table228[[#This Row],[Ave Entry price]])*Table228[[#This Row],[How many tokens now]]</f>
        <v>0</v>
      </c>
      <c r="U428" s="76">
        <f>VLOOKUP(Table228[[#This Row],[Asset]],Table26[#All],10,FALSE)</f>
        <v>4.75</v>
      </c>
    </row>
    <row r="429" spans="1:21">
      <c r="A429" t="s">
        <v>252</v>
      </c>
      <c r="B429" s="68">
        <v>45872</v>
      </c>
      <c r="C429" s="3" t="s">
        <v>176</v>
      </c>
      <c r="D429" t="s">
        <v>46</v>
      </c>
      <c r="E429" t="s">
        <v>331</v>
      </c>
      <c r="F429" s="17">
        <v>0.166464</v>
      </c>
      <c r="G429" s="73">
        <v>-3455</v>
      </c>
      <c r="H429" s="61">
        <f t="shared" si="144"/>
        <v>0</v>
      </c>
      <c r="I429" s="67">
        <f t="shared" si="145"/>
        <v>3455</v>
      </c>
      <c r="J429" s="15">
        <f t="shared" si="146"/>
        <v>0</v>
      </c>
      <c r="K429" s="15">
        <f t="shared" si="147"/>
        <v>575.13311999999996</v>
      </c>
      <c r="L429">
        <f>SUMIF(Table228[[#All],[Asset]],Table228[[#This Row],[Asset]],Table228[[#All],[Bought number]])</f>
        <v>15683.837200000002</v>
      </c>
      <c r="M429">
        <f>SUMIF(Table228[[#All],[Asset]],Table228[[#This Row],[Asset]],Table228[[#All],[Sold Number]])</f>
        <v>15260.380000000001</v>
      </c>
      <c r="N429" s="15">
        <f>SUMIF(Table228[[#All],[Asset]],Table228[[#This Row],[Asset]],Table228[[#All],[Bought amount]])</f>
        <v>11762.877899999999</v>
      </c>
      <c r="O429" s="15">
        <f>SUMIF(Table228[[#All],[Asset]],Table228[[#This Row],[Asset]],Table228[[#All],[Sold amount]])</f>
        <v>5579.440247999999</v>
      </c>
      <c r="P429" s="75">
        <f>Table228[[#This Row],[Total bought Amount]]/Table228[[#This Row],[Total bought Number]]</f>
        <v>0.74999999999999989</v>
      </c>
      <c r="Q429" s="75">
        <f>IFERROR(Table228[[#This Row],[Total Sold Amount]]/Table228[[#This Row],[Total Sold Number]],0)</f>
        <v>0.36561607561541709</v>
      </c>
      <c r="R429" s="21">
        <f>Table228[[#This Row],[Total bought Number]]-Table228[[#This Row],[Total Sold Number]]</f>
        <v>423.45720000000074</v>
      </c>
      <c r="S429" s="59">
        <f>(Table228[[#This Row],[Ave exit price]]-Table228[[#This Row],[Ave Entry price]])*Table228[[#This Row],[Total Sold Number]]</f>
        <v>-5865.844752</v>
      </c>
      <c r="T429" s="15">
        <f>(Table228[[#This Row],[Current Price]]-Table228[[#This Row],[Ave Entry price]])*Table228[[#This Row],[How many tokens now]]</f>
        <v>-155.83224960000021</v>
      </c>
      <c r="U429" s="76">
        <f>VLOOKUP(Table228[[#This Row],[Asset]],Table26[#All],10,FALSE)</f>
        <v>0.38200000000000001</v>
      </c>
    </row>
    <row r="430" spans="1:21">
      <c r="A430" t="s">
        <v>253</v>
      </c>
      <c r="B430" s="68">
        <v>45872</v>
      </c>
      <c r="C430" s="3" t="s">
        <v>176</v>
      </c>
      <c r="D430" t="s">
        <v>46</v>
      </c>
      <c r="E430" t="s">
        <v>331</v>
      </c>
      <c r="F430" s="17">
        <v>4.2384560000000002</v>
      </c>
      <c r="G430" s="73">
        <v>-22.3048</v>
      </c>
      <c r="H430" s="61">
        <f t="shared" si="144"/>
        <v>0</v>
      </c>
      <c r="I430" s="67">
        <f t="shared" si="145"/>
        <v>22.3048</v>
      </c>
      <c r="J430" s="15">
        <f t="shared" si="146"/>
        <v>0</v>
      </c>
      <c r="K430" s="15">
        <f t="shared" si="147"/>
        <v>94.537913388800007</v>
      </c>
      <c r="L430">
        <f>SUMIF(Table228[[#All],[Asset]],Table228[[#This Row],[Asset]],Table228[[#All],[Bought number]])</f>
        <v>573.20479999999998</v>
      </c>
      <c r="M430">
        <f>SUMIF(Table228[[#All],[Asset]],Table228[[#This Row],[Asset]],Table228[[#All],[Sold Number]])</f>
        <v>573.20479999999998</v>
      </c>
      <c r="N430" s="15">
        <f>SUMIF(Table228[[#All],[Asset]],Table228[[#This Row],[Asset]],Table228[[#All],[Bought amount]])</f>
        <v>6305.2528000000002</v>
      </c>
      <c r="O430" s="15">
        <f>SUMIF(Table228[[#All],[Asset]],Table228[[#This Row],[Asset]],Table228[[#All],[Sold amount]])</f>
        <v>2752.7183133888002</v>
      </c>
      <c r="P430" s="75">
        <f>Table228[[#This Row],[Total bought Amount]]/Table228[[#This Row],[Total bought Number]]</f>
        <v>11</v>
      </c>
      <c r="Q430" s="75">
        <f>IFERROR(Table228[[#This Row],[Total Sold Amount]]/Table228[[#This Row],[Total Sold Number]],0)</f>
        <v>4.8023294874516056</v>
      </c>
      <c r="R430" s="21">
        <f>Table228[[#This Row],[Total bought Number]]-Table228[[#This Row],[Total Sold Number]]</f>
        <v>0</v>
      </c>
      <c r="S430" s="59">
        <f>(Table228[[#This Row],[Ave exit price]]-Table228[[#This Row],[Ave Entry price]])*Table228[[#This Row],[Total Sold Number]]</f>
        <v>-3552.5344866111996</v>
      </c>
      <c r="T430" s="15">
        <f>(Table228[[#This Row],[Current Price]]-Table228[[#This Row],[Ave Entry price]])*Table228[[#This Row],[How many tokens now]]</f>
        <v>0</v>
      </c>
      <c r="U430" s="76">
        <f>VLOOKUP(Table228[[#This Row],[Asset]],Table26[#All],10,FALSE)</f>
        <v>5.0629999999999997</v>
      </c>
    </row>
    <row r="431" spans="1:21">
      <c r="A431" t="s">
        <v>273</v>
      </c>
      <c r="B431" s="68">
        <v>45873</v>
      </c>
      <c r="C431" s="3" t="s">
        <v>509</v>
      </c>
      <c r="D431" t="s">
        <v>68</v>
      </c>
      <c r="E431" t="s">
        <v>511</v>
      </c>
      <c r="F431" s="17">
        <v>8.4311000000000004E-3</v>
      </c>
      <c r="G431" s="73">
        <v>-24000</v>
      </c>
      <c r="H431" s="61">
        <f t="shared" si="144"/>
        <v>0</v>
      </c>
      <c r="I431" s="67">
        <f t="shared" si="145"/>
        <v>24000</v>
      </c>
      <c r="J431" s="15">
        <f t="shared" si="146"/>
        <v>0</v>
      </c>
      <c r="K431" s="15">
        <f t="shared" si="147"/>
        <v>202.34640000000002</v>
      </c>
      <c r="L431">
        <f>SUMIF(Table228[[#All],[Asset]],Table228[[#This Row],[Asset]],Table228[[#All],[Bought number]])</f>
        <v>798337.86606299994</v>
      </c>
      <c r="M431">
        <f>SUMIF(Table228[[#All],[Asset]],Table228[[#This Row],[Asset]],Table228[[#All],[Sold Number]])</f>
        <v>798338.03632399999</v>
      </c>
      <c r="N431" s="15">
        <f>SUMIF(Table228[[#All],[Asset]],Table228[[#This Row],[Asset]],Table228[[#All],[Bought amount]])</f>
        <v>24349.581039704975</v>
      </c>
      <c r="O431" s="15">
        <f>SUMIF(Table228[[#All],[Asset]],Table228[[#This Row],[Asset]],Table228[[#All],[Sold amount]])</f>
        <v>12344.863481975535</v>
      </c>
      <c r="P431" s="75">
        <f>Table228[[#This Row],[Total bought Amount]]/Table228[[#This Row],[Total bought Number]]</f>
        <v>3.0500345874591717E-2</v>
      </c>
      <c r="Q431" s="75">
        <f>IFERROR(Table228[[#This Row],[Total Sold Amount]]/Table228[[#This Row],[Total Sold Number]],0)</f>
        <v>1.5463203455541554E-2</v>
      </c>
      <c r="R431" s="21">
        <f>Table228[[#This Row],[Total bought Number]]-Table228[[#This Row],[Total Sold Number]]</f>
        <v>-0.17026100005023181</v>
      </c>
      <c r="S431" s="59">
        <f>(Table228[[#This Row],[Ave exit price]]-Table228[[#This Row],[Ave Entry price]])*Table228[[#This Row],[Total Sold Number]]</f>
        <v>-12004.72275074883</v>
      </c>
      <c r="T431" s="15">
        <f>(Table228[[#This Row],[Current Price]]-Table228[[#This Row],[Ave Entry price]])*Table228[[#This Row],[How many tokens now]]</f>
        <v>3.3201483899333983E-3</v>
      </c>
      <c r="U431" s="76">
        <f>VLOOKUP(Table228[[#This Row],[Asset]],Table26[#All],10,FALSE)</f>
        <v>1.0999999999999999E-2</v>
      </c>
    </row>
    <row r="432" spans="1:21">
      <c r="A432" t="s">
        <v>426</v>
      </c>
      <c r="B432" s="68">
        <v>45894</v>
      </c>
      <c r="C432" s="3" t="s">
        <v>176</v>
      </c>
      <c r="D432" t="s">
        <v>68</v>
      </c>
      <c r="E432" t="s">
        <v>511</v>
      </c>
      <c r="F432" s="17">
        <v>5.6118000000000001E-2</v>
      </c>
      <c r="G432" s="73">
        <v>-28703.522440000001</v>
      </c>
      <c r="H432" s="61">
        <f t="shared" ref="H432:H439" si="148">IF(G432&gt;0,G432,0)</f>
        <v>0</v>
      </c>
      <c r="I432" s="67">
        <f t="shared" ref="I432:I439" si="149">IF(G432&lt;0,ABS(G432),0)</f>
        <v>28703.522440000001</v>
      </c>
      <c r="J432" s="15">
        <f t="shared" ref="J432:J439" si="150">H432*F432</f>
        <v>0</v>
      </c>
      <c r="K432" s="15">
        <f t="shared" ref="K432:K439" si="151">I432*F432</f>
        <v>1610.78427228792</v>
      </c>
      <c r="L432">
        <f>SUMIF(Table228[[#All],[Asset]],Table228[[#This Row],[Asset]],Table228[[#All],[Bought number]])</f>
        <v>238626.003494</v>
      </c>
      <c r="M432">
        <f>SUMIF(Table228[[#All],[Asset]],Table228[[#This Row],[Asset]],Table228[[#All],[Sold Number]])</f>
        <v>258703.52244</v>
      </c>
      <c r="N432" s="15">
        <f>SUMIF(Table228[[#All],[Asset]],Table228[[#This Row],[Asset]],Table228[[#All],[Bought amount]])</f>
        <v>15455.410858853724</v>
      </c>
      <c r="O432" s="15">
        <f>SUMIF(Table228[[#All],[Asset]],Table228[[#This Row],[Asset]],Table228[[#All],[Sold amount]])</f>
        <v>12956.454272287921</v>
      </c>
      <c r="P432" s="75">
        <f>Table228[[#This Row],[Total bought Amount]]/Table228[[#This Row],[Total bought Number]]</f>
        <v>6.4768343066359632E-2</v>
      </c>
      <c r="Q432" s="75">
        <f>IFERROR(Table228[[#This Row],[Total Sold Amount]]/Table228[[#This Row],[Total Sold Number]],0)</f>
        <v>5.0082249171125436E-2</v>
      </c>
      <c r="R432" s="21">
        <f>Table228[[#This Row],[Total bought Number]]-Table228[[#This Row],[Total Sold Number]]</f>
        <v>-20077.518945999997</v>
      </c>
      <c r="S432" s="59">
        <f>(Table228[[#This Row],[Ave exit price]]-Table228[[#This Row],[Ave Entry price]])*Table228[[#This Row],[Total Sold Number]]</f>
        <v>-3799.3442215816672</v>
      </c>
      <c r="T432" s="15">
        <f>(Table228[[#This Row],[Current Price]]-Table228[[#This Row],[Ave Entry price]])*Table228[[#This Row],[How many tokens now]]</f>
        <v>440.80881638076522</v>
      </c>
      <c r="U432" s="76">
        <f>VLOOKUP(Table228[[#This Row],[Asset]],Table26[#All],10,FALSE)</f>
        <v>4.2812999999999997E-2</v>
      </c>
    </row>
    <row r="433" spans="1:21">
      <c r="A433" t="s">
        <v>273</v>
      </c>
      <c r="B433" s="68">
        <v>45901</v>
      </c>
      <c r="C433" s="3" t="s">
        <v>176</v>
      </c>
      <c r="D433" t="s">
        <v>68</v>
      </c>
      <c r="E433" t="s">
        <v>511</v>
      </c>
      <c r="F433" s="17">
        <v>6.2100000000000002E-3</v>
      </c>
      <c r="G433" s="73">
        <v>-49717</v>
      </c>
      <c r="H433" s="61">
        <f t="shared" si="148"/>
        <v>0</v>
      </c>
      <c r="I433" s="67">
        <f t="shared" si="149"/>
        <v>49717</v>
      </c>
      <c r="J433" s="15">
        <f t="shared" si="150"/>
        <v>0</v>
      </c>
      <c r="K433" s="15">
        <f t="shared" si="151"/>
        <v>308.74257</v>
      </c>
      <c r="L433">
        <f>SUMIF(Table228[[#All],[Asset]],Table228[[#This Row],[Asset]],Table228[[#All],[Bought number]])</f>
        <v>798337.86606299994</v>
      </c>
      <c r="M433">
        <f>SUMIF(Table228[[#All],[Asset]],Table228[[#This Row],[Asset]],Table228[[#All],[Sold Number]])</f>
        <v>798338.03632399999</v>
      </c>
      <c r="N433" s="15">
        <f>SUMIF(Table228[[#All],[Asset]],Table228[[#This Row],[Asset]],Table228[[#All],[Bought amount]])</f>
        <v>24349.581039704975</v>
      </c>
      <c r="O433" s="15">
        <f>SUMIF(Table228[[#All],[Asset]],Table228[[#This Row],[Asset]],Table228[[#All],[Sold amount]])</f>
        <v>12344.863481975535</v>
      </c>
      <c r="P433" s="75">
        <f>Table228[[#This Row],[Total bought Amount]]/Table228[[#This Row],[Total bought Number]]</f>
        <v>3.0500345874591717E-2</v>
      </c>
      <c r="Q433" s="75">
        <f>IFERROR(Table228[[#This Row],[Total Sold Amount]]/Table228[[#This Row],[Total Sold Number]],0)</f>
        <v>1.5463203455541554E-2</v>
      </c>
      <c r="R433" s="21">
        <f>Table228[[#This Row],[Total bought Number]]-Table228[[#This Row],[Total Sold Number]]</f>
        <v>-0.17026100005023181</v>
      </c>
      <c r="S433" s="59">
        <f>(Table228[[#This Row],[Ave exit price]]-Table228[[#This Row],[Ave Entry price]])*Table228[[#This Row],[Total Sold Number]]</f>
        <v>-12004.72275074883</v>
      </c>
      <c r="T433" s="15">
        <f>(Table228[[#This Row],[Current Price]]-Table228[[#This Row],[Ave Entry price]])*Table228[[#This Row],[How many tokens now]]</f>
        <v>3.3201483899333983E-3</v>
      </c>
      <c r="U433" s="76">
        <f>VLOOKUP(Table228[[#This Row],[Asset]],Table26[#All],10,FALSE)</f>
        <v>1.0999999999999999E-2</v>
      </c>
    </row>
    <row r="434" spans="1:21">
      <c r="A434" t="s">
        <v>564</v>
      </c>
      <c r="B434" s="68">
        <v>45905</v>
      </c>
      <c r="C434" s="3" t="s">
        <v>176</v>
      </c>
      <c r="D434" t="s">
        <v>478</v>
      </c>
      <c r="E434" t="s">
        <v>478</v>
      </c>
      <c r="F434" s="17">
        <v>14.7</v>
      </c>
      <c r="G434" s="73">
        <v>33.97</v>
      </c>
      <c r="H434" s="61">
        <f t="shared" si="148"/>
        <v>33.97</v>
      </c>
      <c r="I434" s="67">
        <f t="shared" si="149"/>
        <v>0</v>
      </c>
      <c r="J434" s="15">
        <f t="shared" si="150"/>
        <v>499.35899999999998</v>
      </c>
      <c r="K434" s="15">
        <f t="shared" si="151"/>
        <v>0</v>
      </c>
      <c r="L434">
        <f>SUMIF(Table228[[#All],[Asset]],Table228[[#This Row],[Asset]],Table228[[#All],[Bought number]])</f>
        <v>276.4873</v>
      </c>
      <c r="M434">
        <f>SUMIF(Table228[[#All],[Asset]],Table228[[#This Row],[Asset]],Table228[[#All],[Sold Number]])</f>
        <v>276.5</v>
      </c>
      <c r="N434" s="15">
        <f>SUMIF(Table228[[#All],[Asset]],Table228[[#This Row],[Asset]],Table228[[#All],[Bought amount]])</f>
        <v>4179.1457490000003</v>
      </c>
      <c r="O434" s="15">
        <f>SUMIF(Table228[[#All],[Asset]],Table228[[#This Row],[Asset]],Table228[[#All],[Sold amount]])</f>
        <v>3662.2000000000003</v>
      </c>
      <c r="P434" s="75">
        <f>Table228[[#This Row],[Total bought Amount]]/Table228[[#This Row],[Total bought Number]]</f>
        <v>15.115145429826253</v>
      </c>
      <c r="Q434" s="75">
        <f>IFERROR(Table228[[#This Row],[Total Sold Amount]]/Table228[[#This Row],[Total Sold Number]],0)</f>
        <v>13.24484629294756</v>
      </c>
      <c r="R434" s="21">
        <f>Table228[[#This Row],[Total bought Number]]-Table228[[#This Row],[Total Sold Number]]</f>
        <v>-1.2699999999995271E-2</v>
      </c>
      <c r="S434" s="59">
        <f>(Table228[[#This Row],[Ave exit price]]-Table228[[#This Row],[Ave Entry price]])*Table228[[#This Row],[Total Sold Number]]</f>
        <v>-517.13771134695844</v>
      </c>
      <c r="T434" s="15">
        <f>(Table228[[#This Row],[Current Price]]-Table228[[#This Row],[Ave Entry price]])*Table228[[#This Row],[How many tokens now]]</f>
        <v>5.2723469587914566E-3</v>
      </c>
      <c r="U434" s="76">
        <f>VLOOKUP(Table228[[#This Row],[Asset]],Table26[#All],10,FALSE)</f>
        <v>14.7</v>
      </c>
    </row>
    <row r="435" spans="1:21">
      <c r="A435" t="s">
        <v>564</v>
      </c>
      <c r="B435" s="68">
        <v>45905</v>
      </c>
      <c r="C435" s="3" t="s">
        <v>176</v>
      </c>
      <c r="D435" t="s">
        <v>478</v>
      </c>
      <c r="E435" t="s">
        <v>478</v>
      </c>
      <c r="F435" s="17">
        <v>15.13</v>
      </c>
      <c r="G435" s="73">
        <v>92.517300000000006</v>
      </c>
      <c r="H435" s="61">
        <f t="shared" si="148"/>
        <v>92.517300000000006</v>
      </c>
      <c r="I435" s="67">
        <f t="shared" si="149"/>
        <v>0</v>
      </c>
      <c r="J435" s="15">
        <f t="shared" si="150"/>
        <v>1399.7867490000001</v>
      </c>
      <c r="K435" s="15">
        <f t="shared" si="151"/>
        <v>0</v>
      </c>
      <c r="L435">
        <f>SUMIF(Table228[[#All],[Asset]],Table228[[#This Row],[Asset]],Table228[[#All],[Bought number]])</f>
        <v>276.4873</v>
      </c>
      <c r="M435">
        <f>SUMIF(Table228[[#All],[Asset]],Table228[[#This Row],[Asset]],Table228[[#All],[Sold Number]])</f>
        <v>276.5</v>
      </c>
      <c r="N435" s="15">
        <f>SUMIF(Table228[[#All],[Asset]],Table228[[#This Row],[Asset]],Table228[[#All],[Bought amount]])</f>
        <v>4179.1457490000003</v>
      </c>
      <c r="O435" s="15">
        <f>SUMIF(Table228[[#All],[Asset]],Table228[[#This Row],[Asset]],Table228[[#All],[Sold amount]])</f>
        <v>3662.2000000000003</v>
      </c>
      <c r="P435" s="75">
        <f>Table228[[#This Row],[Total bought Amount]]/Table228[[#This Row],[Total bought Number]]</f>
        <v>15.115145429826253</v>
      </c>
      <c r="Q435" s="75">
        <f>IFERROR(Table228[[#This Row],[Total Sold Amount]]/Table228[[#This Row],[Total Sold Number]],0)</f>
        <v>13.24484629294756</v>
      </c>
      <c r="R435" s="21">
        <f>Table228[[#This Row],[Total bought Number]]-Table228[[#This Row],[Total Sold Number]]</f>
        <v>-1.2699999999995271E-2</v>
      </c>
      <c r="S435" s="59">
        <f>(Table228[[#This Row],[Ave exit price]]-Table228[[#This Row],[Ave Entry price]])*Table228[[#This Row],[Total Sold Number]]</f>
        <v>-517.13771134695844</v>
      </c>
      <c r="T435" s="15">
        <f>(Table228[[#This Row],[Current Price]]-Table228[[#This Row],[Ave Entry price]])*Table228[[#This Row],[How many tokens now]]</f>
        <v>5.2723469587914566E-3</v>
      </c>
      <c r="U435" s="76">
        <f>VLOOKUP(Table228[[#This Row],[Asset]],Table26[#All],10,FALSE)</f>
        <v>14.7</v>
      </c>
    </row>
    <row r="436" spans="1:21">
      <c r="A436" t="s">
        <v>564</v>
      </c>
      <c r="B436" s="68">
        <v>45905</v>
      </c>
      <c r="C436" s="3" t="s">
        <v>176</v>
      </c>
      <c r="D436" t="s">
        <v>478</v>
      </c>
      <c r="E436" t="s">
        <v>478</v>
      </c>
      <c r="F436" s="17">
        <v>15.2</v>
      </c>
      <c r="G436" s="73">
        <v>150</v>
      </c>
      <c r="H436" s="61">
        <f t="shared" si="148"/>
        <v>150</v>
      </c>
      <c r="I436" s="67">
        <f t="shared" si="149"/>
        <v>0</v>
      </c>
      <c r="J436" s="15">
        <f t="shared" si="150"/>
        <v>2280</v>
      </c>
      <c r="K436" s="15">
        <f t="shared" si="151"/>
        <v>0</v>
      </c>
      <c r="L436">
        <f>SUMIF(Table228[[#All],[Asset]],Table228[[#This Row],[Asset]],Table228[[#All],[Bought number]])</f>
        <v>276.4873</v>
      </c>
      <c r="M436">
        <f>SUMIF(Table228[[#All],[Asset]],Table228[[#This Row],[Asset]],Table228[[#All],[Sold Number]])</f>
        <v>276.5</v>
      </c>
      <c r="N436" s="15">
        <f>SUMIF(Table228[[#All],[Asset]],Table228[[#This Row],[Asset]],Table228[[#All],[Bought amount]])</f>
        <v>4179.1457490000003</v>
      </c>
      <c r="O436" s="15">
        <f>SUMIF(Table228[[#All],[Asset]],Table228[[#This Row],[Asset]],Table228[[#All],[Sold amount]])</f>
        <v>3662.2000000000003</v>
      </c>
      <c r="P436" s="75">
        <f>Table228[[#This Row],[Total bought Amount]]/Table228[[#This Row],[Total bought Number]]</f>
        <v>15.115145429826253</v>
      </c>
      <c r="Q436" s="75">
        <f>IFERROR(Table228[[#This Row],[Total Sold Amount]]/Table228[[#This Row],[Total Sold Number]],0)</f>
        <v>13.24484629294756</v>
      </c>
      <c r="R436" s="21">
        <f>Table228[[#This Row],[Total bought Number]]-Table228[[#This Row],[Total Sold Number]]</f>
        <v>-1.2699999999995271E-2</v>
      </c>
      <c r="S436" s="59">
        <f>(Table228[[#This Row],[Ave exit price]]-Table228[[#This Row],[Ave Entry price]])*Table228[[#This Row],[Total Sold Number]]</f>
        <v>-517.13771134695844</v>
      </c>
      <c r="T436" s="15">
        <f>(Table228[[#This Row],[Current Price]]-Table228[[#This Row],[Ave Entry price]])*Table228[[#This Row],[How many tokens now]]</f>
        <v>5.2723469587914566E-3</v>
      </c>
      <c r="U436" s="76">
        <f>VLOOKUP(Table228[[#This Row],[Asset]],Table26[#All],10,FALSE)</f>
        <v>14.7</v>
      </c>
    </row>
    <row r="437" spans="1:21">
      <c r="A437" t="s">
        <v>566</v>
      </c>
      <c r="B437" s="68">
        <v>45920</v>
      </c>
      <c r="C437" s="3" t="s">
        <v>176</v>
      </c>
      <c r="D437" t="s">
        <v>68</v>
      </c>
      <c r="E437" t="s">
        <v>189</v>
      </c>
      <c r="F437" s="17">
        <v>7.1190000000000003E-3</v>
      </c>
      <c r="G437" s="73">
        <v>15743</v>
      </c>
      <c r="H437" s="61">
        <f t="shared" si="148"/>
        <v>15743</v>
      </c>
      <c r="I437" s="67">
        <f t="shared" si="149"/>
        <v>0</v>
      </c>
      <c r="J437" s="15">
        <f t="shared" si="150"/>
        <v>112.07441700000001</v>
      </c>
      <c r="K437" s="15">
        <f t="shared" si="151"/>
        <v>0</v>
      </c>
      <c r="L437">
        <f>SUMIF(Table228[[#All],[Asset]],Table228[[#This Row],[Asset]],Table228[[#All],[Bought number]])</f>
        <v>324467</v>
      </c>
      <c r="M437">
        <f>SUMIF(Table228[[#All],[Asset]],Table228[[#This Row],[Asset]],Table228[[#All],[Sold Number]])</f>
        <v>168759</v>
      </c>
      <c r="N437" s="15">
        <f>SUMIF(Table228[[#All],[Asset]],Table228[[#This Row],[Asset]],Table228[[#All],[Bought amount]])</f>
        <v>1348.4866274000001</v>
      </c>
      <c r="O437" s="15">
        <f>SUMIF(Table228[[#All],[Asset]],Table228[[#This Row],[Asset]],Table228[[#All],[Sold amount]])</f>
        <v>641.28420000000006</v>
      </c>
      <c r="P437" s="75">
        <f>Table228[[#This Row],[Total bought Amount]]/Table228[[#This Row],[Total bought Number]]</f>
        <v>4.1560054717428895E-3</v>
      </c>
      <c r="Q437" s="75">
        <f>IFERROR(Table228[[#This Row],[Total Sold Amount]]/Table228[[#This Row],[Total Sold Number]],0)</f>
        <v>3.8000000000000004E-3</v>
      </c>
      <c r="R437" s="21">
        <f>Table228[[#This Row],[Total bought Number]]-Table228[[#This Row],[Total Sold Number]]</f>
        <v>155708</v>
      </c>
      <c r="S437" s="59">
        <f>(Table228[[#This Row],[Ave exit price]]-Table228[[#This Row],[Ave Entry price]])*Table228[[#This Row],[Total Sold Number]]</f>
        <v>-60.079127405858216</v>
      </c>
      <c r="T437" s="15">
        <f>(Table228[[#This Row],[Current Price]]-Table228[[#This Row],[Ave Entry price]])*Table228[[#This Row],[How many tokens now]]</f>
        <v>461.3619520058582</v>
      </c>
      <c r="U437" s="76">
        <f>VLOOKUP(Table228[[#This Row],[Asset]],Table26[#All],10,FALSE)</f>
        <v>7.1190000000000003E-3</v>
      </c>
    </row>
    <row r="438" spans="1:21">
      <c r="A438" t="s">
        <v>566</v>
      </c>
      <c r="B438" s="68">
        <v>45927</v>
      </c>
      <c r="C438" s="3" t="s">
        <v>176</v>
      </c>
      <c r="D438" t="s">
        <v>76</v>
      </c>
      <c r="E438" t="s">
        <v>189</v>
      </c>
      <c r="F438" s="17">
        <v>5.2819E-3</v>
      </c>
      <c r="G438" s="73">
        <v>133905</v>
      </c>
      <c r="H438" s="61">
        <f t="shared" si="148"/>
        <v>133905</v>
      </c>
      <c r="I438" s="67">
        <f t="shared" si="149"/>
        <v>0</v>
      </c>
      <c r="J438" s="15">
        <f t="shared" si="150"/>
        <v>707.27281949999997</v>
      </c>
      <c r="K438" s="15">
        <f t="shared" si="151"/>
        <v>0</v>
      </c>
      <c r="L438">
        <f>SUMIF(Table228[[#All],[Asset]],Table228[[#This Row],[Asset]],Table228[[#All],[Bought number]])</f>
        <v>324467</v>
      </c>
      <c r="M438">
        <f>SUMIF(Table228[[#All],[Asset]],Table228[[#This Row],[Asset]],Table228[[#All],[Sold Number]])</f>
        <v>168759</v>
      </c>
      <c r="N438" s="15">
        <f>SUMIF(Table228[[#All],[Asset]],Table228[[#This Row],[Asset]],Table228[[#All],[Bought amount]])</f>
        <v>1348.4866274000001</v>
      </c>
      <c r="O438" s="15">
        <f>SUMIF(Table228[[#All],[Asset]],Table228[[#This Row],[Asset]],Table228[[#All],[Sold amount]])</f>
        <v>641.28420000000006</v>
      </c>
      <c r="P438" s="75">
        <f>Table228[[#This Row],[Total bought Amount]]/Table228[[#This Row],[Total bought Number]]</f>
        <v>4.1560054717428895E-3</v>
      </c>
      <c r="Q438" s="75">
        <f>IFERROR(Table228[[#This Row],[Total Sold Amount]]/Table228[[#This Row],[Total Sold Number]],0)</f>
        <v>3.8000000000000004E-3</v>
      </c>
      <c r="R438" s="21">
        <f>Table228[[#This Row],[Total bought Number]]-Table228[[#This Row],[Total Sold Number]]</f>
        <v>155708</v>
      </c>
      <c r="S438" s="59">
        <f>(Table228[[#This Row],[Ave exit price]]-Table228[[#This Row],[Ave Entry price]])*Table228[[#This Row],[Total Sold Number]]</f>
        <v>-60.079127405858216</v>
      </c>
      <c r="T438" s="15">
        <f>(Table228[[#This Row],[Current Price]]-Table228[[#This Row],[Ave Entry price]])*Table228[[#This Row],[How many tokens now]]</f>
        <v>461.3619520058582</v>
      </c>
      <c r="U438" s="76">
        <f>VLOOKUP(Table228[[#This Row],[Asset]],Table26[#All],10,FALSE)</f>
        <v>7.1190000000000003E-3</v>
      </c>
    </row>
    <row r="439" spans="1:21">
      <c r="A439" t="s">
        <v>566</v>
      </c>
      <c r="B439" s="68">
        <v>45927</v>
      </c>
      <c r="C439" s="3" t="s">
        <v>176</v>
      </c>
      <c r="D439" t="s">
        <v>76</v>
      </c>
      <c r="E439" t="s">
        <v>189</v>
      </c>
      <c r="F439" s="17">
        <v>5.2819E-3</v>
      </c>
      <c r="G439" s="73">
        <v>19111</v>
      </c>
      <c r="H439" s="61">
        <f t="shared" si="148"/>
        <v>19111</v>
      </c>
      <c r="I439" s="67">
        <f t="shared" si="149"/>
        <v>0</v>
      </c>
      <c r="J439" s="15">
        <f t="shared" si="150"/>
        <v>100.94239089999999</v>
      </c>
      <c r="K439" s="15">
        <f t="shared" si="151"/>
        <v>0</v>
      </c>
      <c r="L439">
        <f>SUMIF(Table228[[#All],[Asset]],Table228[[#This Row],[Asset]],Table228[[#All],[Bought number]])</f>
        <v>324467</v>
      </c>
      <c r="M439">
        <f>SUMIF(Table228[[#All],[Asset]],Table228[[#This Row],[Asset]],Table228[[#All],[Sold Number]])</f>
        <v>168759</v>
      </c>
      <c r="N439" s="15">
        <f>SUMIF(Table228[[#All],[Asset]],Table228[[#This Row],[Asset]],Table228[[#All],[Bought amount]])</f>
        <v>1348.4866274000001</v>
      </c>
      <c r="O439" s="15">
        <f>SUMIF(Table228[[#All],[Asset]],Table228[[#This Row],[Asset]],Table228[[#All],[Sold amount]])</f>
        <v>641.28420000000006</v>
      </c>
      <c r="P439" s="75">
        <f>Table228[[#This Row],[Total bought Amount]]/Table228[[#This Row],[Total bought Number]]</f>
        <v>4.1560054717428895E-3</v>
      </c>
      <c r="Q439" s="75">
        <f>IFERROR(Table228[[#This Row],[Total Sold Amount]]/Table228[[#This Row],[Total Sold Number]],0)</f>
        <v>3.8000000000000004E-3</v>
      </c>
      <c r="R439" s="21">
        <f>Table228[[#This Row],[Total bought Number]]-Table228[[#This Row],[Total Sold Number]]</f>
        <v>155708</v>
      </c>
      <c r="S439" s="59">
        <f>(Table228[[#This Row],[Ave exit price]]-Table228[[#This Row],[Ave Entry price]])*Table228[[#This Row],[Total Sold Number]]</f>
        <v>-60.079127405858216</v>
      </c>
      <c r="T439" s="15">
        <f>(Table228[[#This Row],[Current Price]]-Table228[[#This Row],[Ave Entry price]])*Table228[[#This Row],[How many tokens now]]</f>
        <v>461.3619520058582</v>
      </c>
      <c r="U439" s="76">
        <f>VLOOKUP(Table228[[#This Row],[Asset]],Table26[#All],10,FALSE)</f>
        <v>7.1190000000000003E-3</v>
      </c>
    </row>
    <row r="440" spans="1:21">
      <c r="A440" t="s">
        <v>564</v>
      </c>
      <c r="B440" s="68">
        <v>45937</v>
      </c>
      <c r="C440" s="3" t="s">
        <v>176</v>
      </c>
      <c r="D440" t="s">
        <v>478</v>
      </c>
      <c r="E440" t="s">
        <v>478</v>
      </c>
      <c r="F440" s="17">
        <v>16.100000000000001</v>
      </c>
      <c r="G440" s="73">
        <v>-138</v>
      </c>
      <c r="H440" s="61">
        <f t="shared" ref="H440:H447" si="152">IF(G440&gt;0,G440,0)</f>
        <v>0</v>
      </c>
      <c r="I440" s="67">
        <f t="shared" ref="I440:I447" si="153">IF(G440&lt;0,ABS(G440),0)</f>
        <v>138</v>
      </c>
      <c r="J440" s="15">
        <f t="shared" ref="J440:J447" si="154">H440*F440</f>
        <v>0</v>
      </c>
      <c r="K440" s="15">
        <f t="shared" ref="K440:K447" si="155">I440*F440</f>
        <v>2221.8000000000002</v>
      </c>
      <c r="L440">
        <f>SUMIF(Table228[[#All],[Asset]],Table228[[#This Row],[Asset]],Table228[[#All],[Bought number]])</f>
        <v>276.4873</v>
      </c>
      <c r="M440">
        <f>SUMIF(Table228[[#All],[Asset]],Table228[[#This Row],[Asset]],Table228[[#All],[Sold Number]])</f>
        <v>276.5</v>
      </c>
      <c r="N440" s="15">
        <f>SUMIF(Table228[[#All],[Asset]],Table228[[#This Row],[Asset]],Table228[[#All],[Bought amount]])</f>
        <v>4179.1457490000003</v>
      </c>
      <c r="O440" s="15">
        <f>SUMIF(Table228[[#All],[Asset]],Table228[[#This Row],[Asset]],Table228[[#All],[Sold amount]])</f>
        <v>3662.2000000000003</v>
      </c>
      <c r="P440" s="75">
        <f>Table228[[#This Row],[Total bought Amount]]/Table228[[#This Row],[Total bought Number]]</f>
        <v>15.115145429826253</v>
      </c>
      <c r="Q440" s="75">
        <f>IFERROR(Table228[[#This Row],[Total Sold Amount]]/Table228[[#This Row],[Total Sold Number]],0)</f>
        <v>13.24484629294756</v>
      </c>
      <c r="R440" s="21">
        <f>Table228[[#This Row],[Total bought Number]]-Table228[[#This Row],[Total Sold Number]]</f>
        <v>-1.2699999999995271E-2</v>
      </c>
      <c r="S440" s="59">
        <f>(Table228[[#This Row],[Ave exit price]]-Table228[[#This Row],[Ave Entry price]])*Table228[[#This Row],[Total Sold Number]]</f>
        <v>-517.13771134695844</v>
      </c>
      <c r="T440" s="15">
        <f>(Table228[[#This Row],[Current Price]]-Table228[[#This Row],[Ave Entry price]])*Table228[[#This Row],[How many tokens now]]</f>
        <v>5.2723469587914566E-3</v>
      </c>
      <c r="U440" s="76">
        <f>VLOOKUP(Table228[[#This Row],[Asset]],Table26[#All],10,FALSE)</f>
        <v>14.7</v>
      </c>
    </row>
    <row r="441" spans="1:21">
      <c r="A441" t="s">
        <v>503</v>
      </c>
      <c r="B441" s="68">
        <v>45943</v>
      </c>
      <c r="C441" s="3" t="s">
        <v>176</v>
      </c>
      <c r="D441" t="s">
        <v>505</v>
      </c>
      <c r="E441" t="s">
        <v>285</v>
      </c>
      <c r="F441" s="17">
        <v>9.5999999999999992E-3</v>
      </c>
      <c r="G441" s="73">
        <v>-9947.2042999999994</v>
      </c>
      <c r="H441" s="61">
        <f t="shared" si="152"/>
        <v>0</v>
      </c>
      <c r="I441" s="67">
        <f t="shared" si="153"/>
        <v>9947.2042999999994</v>
      </c>
      <c r="J441" s="15">
        <f t="shared" si="154"/>
        <v>0</v>
      </c>
      <c r="K441" s="15">
        <f t="shared" si="155"/>
        <v>95.493161279999981</v>
      </c>
      <c r="L441">
        <f>SUMIF(Table228[[#All],[Asset]],Table228[[#This Row],[Asset]],Table228[[#All],[Bought number]])</f>
        <v>13381.526400000001</v>
      </c>
      <c r="M441">
        <f>SUMIF(Table228[[#All],[Asset]],Table228[[#This Row],[Asset]],Table228[[#All],[Sold Number]])</f>
        <v>9947.2042999999994</v>
      </c>
      <c r="N441" s="15">
        <f>SUMIF(Table228[[#All],[Asset]],Table228[[#This Row],[Asset]],Table228[[#All],[Bought amount]])</f>
        <v>330.43102139999996</v>
      </c>
      <c r="O441" s="15">
        <f>SUMIF(Table228[[#All],[Asset]],Table228[[#This Row],[Asset]],Table228[[#All],[Sold amount]])</f>
        <v>95.493161279999981</v>
      </c>
      <c r="P441" s="75">
        <f>Table228[[#This Row],[Total bought Amount]]/Table228[[#This Row],[Total bought Number]]</f>
        <v>2.4693073982950103E-2</v>
      </c>
      <c r="Q441" s="75">
        <f>IFERROR(Table228[[#This Row],[Total Sold Amount]]/Table228[[#This Row],[Total Sold Number]],0)</f>
        <v>9.5999999999999992E-3</v>
      </c>
      <c r="R441" s="21">
        <f>Table228[[#This Row],[Total bought Number]]-Table228[[#This Row],[Total Sold Number]]</f>
        <v>3434.3221000000012</v>
      </c>
      <c r="S441" s="59">
        <f>(Table228[[#This Row],[Ave exit price]]-Table228[[#This Row],[Ave Entry price]])*Table228[[#This Row],[Total Sold Number]]</f>
        <v>-150.13389042341939</v>
      </c>
      <c r="T441" s="15">
        <f>(Table228[[#This Row],[Current Price]]-Table228[[#This Row],[Ave Entry price]])*Table228[[#This Row],[How many tokens now]]</f>
        <v>-4.0287139045805649</v>
      </c>
      <c r="U441" s="76">
        <f>VLOOKUP(Table228[[#This Row],[Asset]],Table26[#All],10,FALSE)</f>
        <v>2.3519999999999999E-2</v>
      </c>
    </row>
    <row r="442" spans="1:21">
      <c r="A442" t="s">
        <v>67</v>
      </c>
      <c r="B442" s="68">
        <v>45954</v>
      </c>
      <c r="C442" s="3" t="s">
        <v>180</v>
      </c>
      <c r="D442" t="s">
        <v>76</v>
      </c>
      <c r="E442" t="s">
        <v>189</v>
      </c>
      <c r="F442" s="17">
        <v>0.11504</v>
      </c>
      <c r="G442" s="73">
        <v>-9991</v>
      </c>
      <c r="H442" s="61">
        <f t="shared" si="152"/>
        <v>0</v>
      </c>
      <c r="I442" s="67">
        <f t="shared" si="153"/>
        <v>9991</v>
      </c>
      <c r="J442" s="15">
        <f t="shared" si="154"/>
        <v>0</v>
      </c>
      <c r="K442" s="15">
        <f t="shared" si="155"/>
        <v>1149.36464</v>
      </c>
      <c r="L442">
        <f>SUMIF(Table228[[#All],[Asset]],Table228[[#This Row],[Asset]],Table228[[#All],[Bought number]])</f>
        <v>34194.467916000001</v>
      </c>
      <c r="M442">
        <f>SUMIF(Table228[[#All],[Asset]],Table228[[#This Row],[Asset]],Table228[[#All],[Sold Number]])</f>
        <v>34195.061103</v>
      </c>
      <c r="N442" s="15">
        <f>SUMIF(Table228[[#All],[Asset]],Table228[[#This Row],[Asset]],Table228[[#All],[Bought amount]])</f>
        <v>8337.2121048291392</v>
      </c>
      <c r="O442" s="15">
        <f>SUMIF(Table228[[#All],[Asset]],Table228[[#This Row],[Asset]],Table228[[#All],[Sold amount]])</f>
        <v>4877.1257709650927</v>
      </c>
      <c r="P442" s="75">
        <f>Table228[[#This Row],[Total bought Amount]]/Table228[[#This Row],[Total bought Number]]</f>
        <v>0.24381757088046566</v>
      </c>
      <c r="Q442" s="75">
        <f>IFERROR(Table228[[#This Row],[Total Sold Amount]]/Table228[[#This Row],[Total Sold Number]],0)</f>
        <v>0.14262661371695029</v>
      </c>
      <c r="R442" s="21">
        <f>Table228[[#This Row],[Total bought Number]]-Table228[[#This Row],[Total Sold Number]]</f>
        <v>-0.59318699999857927</v>
      </c>
      <c r="S442" s="59">
        <f>(Table228[[#This Row],[Ave exit price]]-Table228[[#This Row],[Ave Entry price]])*Table228[[#This Row],[Total Sold Number]]</f>
        <v>-3460.2309632774636</v>
      </c>
      <c r="T442" s="15">
        <f>(Table228[[#This Row],[Current Price]]-Table228[[#This Row],[Ave Entry price]])*Table228[[#This Row],[How many tokens now]]</f>
        <v>3.7855753417780115E-2</v>
      </c>
      <c r="U442" s="76">
        <f>VLOOKUP(Table228[[#This Row],[Asset]],Table26[#All],10,FALSE)</f>
        <v>0.18</v>
      </c>
    </row>
    <row r="443" spans="1:21">
      <c r="A443" t="s">
        <v>493</v>
      </c>
      <c r="B443" s="68">
        <v>45963</v>
      </c>
      <c r="C443" s="3" t="s">
        <v>180</v>
      </c>
      <c r="D443" t="s">
        <v>494</v>
      </c>
      <c r="E443" t="s">
        <v>285</v>
      </c>
      <c r="F443" s="17">
        <v>1.1399999999999999</v>
      </c>
      <c r="G443" s="73">
        <v>-579.33000000000004</v>
      </c>
      <c r="H443" s="61">
        <f t="shared" si="152"/>
        <v>0</v>
      </c>
      <c r="I443" s="67">
        <f t="shared" si="153"/>
        <v>579.33000000000004</v>
      </c>
      <c r="J443" s="15">
        <f t="shared" si="154"/>
        <v>0</v>
      </c>
      <c r="K443" s="15">
        <f t="shared" si="155"/>
        <v>660.43619999999999</v>
      </c>
      <c r="L443">
        <f>SUMIF(Table228[[#All],[Asset]],Table228[[#This Row],[Asset]],Table228[[#All],[Bought number]])</f>
        <v>579.33000000000004</v>
      </c>
      <c r="M443">
        <f>SUMIF(Table228[[#All],[Asset]],Table228[[#This Row],[Asset]],Table228[[#All],[Sold Number]])</f>
        <v>579.33000000000004</v>
      </c>
      <c r="N443" s="15">
        <f>SUMIF(Table228[[#All],[Asset]],Table228[[#This Row],[Asset]],Table228[[#All],[Bought amount]])</f>
        <v>2065.5852300000001</v>
      </c>
      <c r="O443" s="15">
        <f>SUMIF(Table228[[#All],[Asset]],Table228[[#This Row],[Asset]],Table228[[#All],[Sold amount]])</f>
        <v>660.43619999999999</v>
      </c>
      <c r="P443" s="75">
        <f>Table228[[#This Row],[Total bought Amount]]/Table228[[#This Row],[Total bought Number]]</f>
        <v>3.5654725803945939</v>
      </c>
      <c r="Q443" s="75">
        <f>IFERROR(Table228[[#This Row],[Total Sold Amount]]/Table228[[#This Row],[Total Sold Number]],0)</f>
        <v>1.1399999999999999</v>
      </c>
      <c r="R443" s="21">
        <f>Table228[[#This Row],[Total bought Number]]-Table228[[#This Row],[Total Sold Number]]</f>
        <v>0</v>
      </c>
      <c r="S443" s="59">
        <f>(Table228[[#This Row],[Ave exit price]]-Table228[[#This Row],[Ave Entry price]])*Table228[[#This Row],[Total Sold Number]]</f>
        <v>-1405.14903</v>
      </c>
      <c r="T443" s="15">
        <f>(Table228[[#This Row],[Current Price]]-Table228[[#This Row],[Ave Entry price]])*Table228[[#This Row],[How many tokens now]]</f>
        <v>0</v>
      </c>
      <c r="U443" s="76">
        <f>VLOOKUP(Table228[[#This Row],[Asset]],Table26[#All],10,FALSE)</f>
        <v>3.14</v>
      </c>
    </row>
    <row r="444" spans="1:21">
      <c r="A444" t="s">
        <v>566</v>
      </c>
      <c r="B444" s="68">
        <v>45965</v>
      </c>
      <c r="C444" s="3" t="s">
        <v>509</v>
      </c>
      <c r="D444" t="s">
        <v>76</v>
      </c>
      <c r="E444" t="s">
        <v>189</v>
      </c>
      <c r="F444" s="17">
        <v>3.8E-3</v>
      </c>
      <c r="G444" s="73">
        <v>-168759</v>
      </c>
      <c r="H444" s="61">
        <f t="shared" si="152"/>
        <v>0</v>
      </c>
      <c r="I444" s="67">
        <f t="shared" si="153"/>
        <v>168759</v>
      </c>
      <c r="J444" s="15">
        <f t="shared" si="154"/>
        <v>0</v>
      </c>
      <c r="K444" s="15">
        <f t="shared" si="155"/>
        <v>641.28420000000006</v>
      </c>
      <c r="L444">
        <f>SUMIF(Table228[[#All],[Asset]],Table228[[#This Row],[Asset]],Table228[[#All],[Bought number]])</f>
        <v>324467</v>
      </c>
      <c r="M444">
        <f>SUMIF(Table228[[#All],[Asset]],Table228[[#This Row],[Asset]],Table228[[#All],[Sold Number]])</f>
        <v>168759</v>
      </c>
      <c r="N444" s="15">
        <f>SUMIF(Table228[[#All],[Asset]],Table228[[#This Row],[Asset]],Table228[[#All],[Bought amount]])</f>
        <v>1348.4866274000001</v>
      </c>
      <c r="O444" s="15">
        <f>SUMIF(Table228[[#All],[Asset]],Table228[[#This Row],[Asset]],Table228[[#All],[Sold amount]])</f>
        <v>641.28420000000006</v>
      </c>
      <c r="P444" s="75">
        <f>Table228[[#This Row],[Total bought Amount]]/Table228[[#This Row],[Total bought Number]]</f>
        <v>4.1560054717428895E-3</v>
      </c>
      <c r="Q444" s="75">
        <f>IFERROR(Table228[[#This Row],[Total Sold Amount]]/Table228[[#This Row],[Total Sold Number]],0)</f>
        <v>3.8000000000000004E-3</v>
      </c>
      <c r="R444" s="21">
        <f>Table228[[#This Row],[Total bought Number]]-Table228[[#This Row],[Total Sold Number]]</f>
        <v>155708</v>
      </c>
      <c r="S444" s="59">
        <f>(Table228[[#This Row],[Ave exit price]]-Table228[[#This Row],[Ave Entry price]])*Table228[[#This Row],[Total Sold Number]]</f>
        <v>-60.079127405858216</v>
      </c>
      <c r="T444" s="15">
        <f>(Table228[[#This Row],[Current Price]]-Table228[[#This Row],[Ave Entry price]])*Table228[[#This Row],[How many tokens now]]</f>
        <v>461.3619520058582</v>
      </c>
      <c r="U444" s="76">
        <f>VLOOKUP(Table228[[#This Row],[Asset]],Table26[#All],10,FALSE)</f>
        <v>7.1190000000000003E-3</v>
      </c>
    </row>
    <row r="445" spans="1:21">
      <c r="A445" t="s">
        <v>44</v>
      </c>
      <c r="B445" s="68">
        <v>45975</v>
      </c>
      <c r="C445" s="3" t="s">
        <v>176</v>
      </c>
      <c r="D445" t="s">
        <v>505</v>
      </c>
      <c r="E445" t="s">
        <v>520</v>
      </c>
      <c r="F445" s="17">
        <v>0.24</v>
      </c>
      <c r="G445" s="73">
        <v>-2136.2910000000002</v>
      </c>
      <c r="H445" s="61">
        <f t="shared" si="152"/>
        <v>0</v>
      </c>
      <c r="I445" s="67">
        <f t="shared" si="153"/>
        <v>2136.2910000000002</v>
      </c>
      <c r="J445" s="15">
        <f t="shared" si="154"/>
        <v>0</v>
      </c>
      <c r="K445" s="15">
        <f t="shared" si="155"/>
        <v>512.70983999999999</v>
      </c>
      <c r="L445">
        <f>SUMIF(Table228[[#All],[Asset]],Table228[[#This Row],[Asset]],Table228[[#All],[Bought number]])</f>
        <v>9919.2763999999988</v>
      </c>
      <c r="M445">
        <f>SUMIF(Table228[[#All],[Asset]],Table228[[#This Row],[Asset]],Table228[[#All],[Sold Number]])</f>
        <v>5692.6409999999996</v>
      </c>
      <c r="N445" s="15">
        <f>SUMIF(Table228[[#All],[Asset]],Table228[[#This Row],[Asset]],Table228[[#All],[Bought amount]])</f>
        <v>4616.6576801299998</v>
      </c>
      <c r="O445" s="15">
        <f>SUMIF(Table228[[#All],[Asset]],Table228[[#This Row],[Asset]],Table228[[#All],[Sold amount]])</f>
        <v>2237.4323399999998</v>
      </c>
      <c r="P445" s="75">
        <f>Table228[[#This Row],[Total bought Amount]]/Table228[[#This Row],[Total bought Number]]</f>
        <v>0.46542282863798418</v>
      </c>
      <c r="Q445" s="75">
        <f>IFERROR(Table228[[#This Row],[Total Sold Amount]]/Table228[[#This Row],[Total Sold Number]],0)</f>
        <v>0.39303942405642656</v>
      </c>
      <c r="R445" s="21">
        <f>Table228[[#This Row],[Total bought Number]]-Table228[[#This Row],[Total Sold Number]]</f>
        <v>4226.6353999999992</v>
      </c>
      <c r="S445" s="59">
        <f>(Table228[[#This Row],[Ave exit price]]-Table228[[#This Row],[Ave Entry price]])*Table228[[#This Row],[Total Sold Number]]</f>
        <v>-412.05273664056273</v>
      </c>
      <c r="T445" s="15">
        <f>(Table228[[#This Row],[Current Price]]-Table228[[#This Row],[Ave Entry price]])*Table228[[#This Row],[How many tokens now]]</f>
        <v>1202.8039465105621</v>
      </c>
      <c r="U445" s="76">
        <f>VLOOKUP(Table228[[#This Row],[Asset]],Table26[#All],10,FALSE)</f>
        <v>0.75</v>
      </c>
    </row>
    <row r="446" spans="1:21">
      <c r="A446" t="s">
        <v>564</v>
      </c>
      <c r="B446" s="68">
        <v>45975</v>
      </c>
      <c r="C446" s="3" t="s">
        <v>176</v>
      </c>
      <c r="D446" t="s">
        <v>478</v>
      </c>
      <c r="E446" t="s">
        <v>478</v>
      </c>
      <c r="F446" s="17">
        <v>10.4</v>
      </c>
      <c r="G446" s="73">
        <v>-138.5</v>
      </c>
      <c r="H446" s="61">
        <f t="shared" si="152"/>
        <v>0</v>
      </c>
      <c r="I446" s="67">
        <f t="shared" si="153"/>
        <v>138.5</v>
      </c>
      <c r="J446" s="15">
        <f t="shared" si="154"/>
        <v>0</v>
      </c>
      <c r="K446" s="15">
        <f t="shared" si="155"/>
        <v>1440.4</v>
      </c>
      <c r="L446">
        <f>SUMIF(Table228[[#All],[Asset]],Table228[[#This Row],[Asset]],Table228[[#All],[Bought number]])</f>
        <v>276.4873</v>
      </c>
      <c r="M446">
        <f>SUMIF(Table228[[#All],[Asset]],Table228[[#This Row],[Asset]],Table228[[#All],[Sold Number]])</f>
        <v>276.5</v>
      </c>
      <c r="N446" s="15">
        <f>SUMIF(Table228[[#All],[Asset]],Table228[[#This Row],[Asset]],Table228[[#All],[Bought amount]])</f>
        <v>4179.1457490000003</v>
      </c>
      <c r="O446" s="15">
        <f>SUMIF(Table228[[#All],[Asset]],Table228[[#This Row],[Asset]],Table228[[#All],[Sold amount]])</f>
        <v>3662.2000000000003</v>
      </c>
      <c r="P446" s="75">
        <f>Table228[[#This Row],[Total bought Amount]]/Table228[[#This Row],[Total bought Number]]</f>
        <v>15.115145429826253</v>
      </c>
      <c r="Q446" s="75">
        <f>IFERROR(Table228[[#This Row],[Total Sold Amount]]/Table228[[#This Row],[Total Sold Number]],0)</f>
        <v>13.24484629294756</v>
      </c>
      <c r="R446" s="21">
        <f>Table228[[#This Row],[Total bought Number]]-Table228[[#This Row],[Total Sold Number]]</f>
        <v>-1.2699999999995271E-2</v>
      </c>
      <c r="S446" s="59">
        <f>(Table228[[#This Row],[Ave exit price]]-Table228[[#This Row],[Ave Entry price]])*Table228[[#This Row],[Total Sold Number]]</f>
        <v>-517.13771134695844</v>
      </c>
      <c r="T446" s="15">
        <f>(Table228[[#This Row],[Current Price]]-Table228[[#This Row],[Ave Entry price]])*Table228[[#This Row],[How many tokens now]]</f>
        <v>5.2723469587914566E-3</v>
      </c>
      <c r="U446" s="76">
        <f>VLOOKUP(Table228[[#This Row],[Asset]],Table26[#All],10,FALSE)</f>
        <v>14.7</v>
      </c>
    </row>
    <row r="447" spans="1:21">
      <c r="A447" t="s">
        <v>568</v>
      </c>
      <c r="B447" s="68">
        <v>45975</v>
      </c>
      <c r="C447" s="3" t="s">
        <v>176</v>
      </c>
      <c r="D447" t="s">
        <v>68</v>
      </c>
      <c r="E447" t="s">
        <v>189</v>
      </c>
      <c r="F447" s="17">
        <v>7.9000000000000008E-3</v>
      </c>
      <c r="G447" s="73">
        <v>117148</v>
      </c>
      <c r="H447" s="61">
        <f t="shared" si="152"/>
        <v>117148</v>
      </c>
      <c r="I447" s="67">
        <f t="shared" si="153"/>
        <v>0</v>
      </c>
      <c r="J447" s="15">
        <f t="shared" si="154"/>
        <v>925.46920000000011</v>
      </c>
      <c r="K447" s="15">
        <f t="shared" si="155"/>
        <v>0</v>
      </c>
      <c r="L447">
        <f>SUMIF(Table228[[#All],[Asset]],Table228[[#This Row],[Asset]],Table228[[#All],[Bought number]])</f>
        <v>117148</v>
      </c>
      <c r="M447">
        <f>SUMIF(Table228[[#All],[Asset]],Table228[[#This Row],[Asset]],Table228[[#All],[Sold Number]])</f>
        <v>117148</v>
      </c>
      <c r="N447" s="15">
        <f>SUMIF(Table228[[#All],[Asset]],Table228[[#This Row],[Asset]],Table228[[#All],[Bought amount]])</f>
        <v>925.46920000000011</v>
      </c>
      <c r="O447" s="15">
        <f>SUMIF(Table228[[#All],[Asset]],Table228[[#This Row],[Asset]],Table228[[#All],[Sold amount]])</f>
        <v>316.72133280000003</v>
      </c>
      <c r="P447" s="75">
        <f>Table228[[#This Row],[Total bought Amount]]/Table228[[#This Row],[Total bought Number]]</f>
        <v>7.9000000000000008E-3</v>
      </c>
      <c r="Q447" s="75">
        <f>IFERROR(Table228[[#This Row],[Total Sold Amount]]/Table228[[#This Row],[Total Sold Number]],0)</f>
        <v>2.7036000000000004E-3</v>
      </c>
      <c r="R447" s="21">
        <f>Table228[[#This Row],[Total bought Number]]-Table228[[#This Row],[Total Sold Number]]</f>
        <v>0</v>
      </c>
      <c r="S447" s="59">
        <f>(Table228[[#This Row],[Ave exit price]]-Table228[[#This Row],[Ave Entry price]])*Table228[[#This Row],[Total Sold Number]]</f>
        <v>-608.74786720000009</v>
      </c>
      <c r="T447" s="15">
        <f>(Table228[[#This Row],[Current Price]]-Table228[[#This Row],[Ave Entry price]])*Table228[[#This Row],[How many tokens now]]</f>
        <v>0</v>
      </c>
      <c r="U447" s="76">
        <f>VLOOKUP(Table228[[#This Row],[Asset]],Table26[#All],10,FALSE)</f>
        <v>7.0000000000000001E-3</v>
      </c>
    </row>
    <row r="448" spans="1:21">
      <c r="A448" t="s">
        <v>35</v>
      </c>
      <c r="B448" s="68">
        <v>45997</v>
      </c>
      <c r="C448" s="3" t="s">
        <v>176</v>
      </c>
      <c r="D448" t="s">
        <v>76</v>
      </c>
      <c r="E448" t="s">
        <v>189</v>
      </c>
      <c r="F448" s="17">
        <v>132</v>
      </c>
      <c r="G448" s="73">
        <v>-37</v>
      </c>
      <c r="H448" s="61">
        <f t="shared" ref="H448:H453" si="156">IF(G448&gt;0,G448,0)</f>
        <v>0</v>
      </c>
      <c r="I448" s="67">
        <f t="shared" ref="I448:I453" si="157">IF(G448&lt;0,ABS(G448),0)</f>
        <v>37</v>
      </c>
      <c r="J448" s="15">
        <f t="shared" ref="J448:J453" si="158">H448*F448</f>
        <v>0</v>
      </c>
      <c r="K448" s="15">
        <f t="shared" ref="K448:K453" si="159">I448*F448</f>
        <v>4884</v>
      </c>
      <c r="L448">
        <f>SUMIF(Table228[[#All],[Asset]],Table228[[#This Row],[Asset]],Table228[[#All],[Bought number]])</f>
        <v>154.92660000000001</v>
      </c>
      <c r="M448">
        <f>SUMIF(Table228[[#All],[Asset]],Table228[[#This Row],[Asset]],Table228[[#All],[Sold Number]])</f>
        <v>79.674999999999997</v>
      </c>
      <c r="N448" s="15">
        <f>SUMIF(Table228[[#All],[Asset]],Table228[[#This Row],[Asset]],Table228[[#All],[Bought amount]])</f>
        <v>22897.17</v>
      </c>
      <c r="O448" s="15">
        <f>SUMIF(Table228[[#All],[Asset]],Table228[[#This Row],[Asset]],Table228[[#All],[Sold amount]])</f>
        <v>11736.940868199999</v>
      </c>
      <c r="P448" s="75">
        <f>Table228[[#This Row],[Total bought Amount]]/Table228[[#This Row],[Total bought Number]]</f>
        <v>147.79366487097758</v>
      </c>
      <c r="Q448" s="75">
        <f>IFERROR(Table228[[#This Row],[Total Sold Amount]]/Table228[[#This Row],[Total Sold Number]],0)</f>
        <v>147.31020857483526</v>
      </c>
      <c r="R448" s="21">
        <f>Table228[[#This Row],[Total bought Number]]-Table228[[#This Row],[Total Sold Number]]</f>
        <v>75.25160000000001</v>
      </c>
      <c r="S448" s="59">
        <f>(Table228[[#This Row],[Ave exit price]]-Table228[[#This Row],[Ave Entry price]])*Table228[[#This Row],[Total Sold Number]]</f>
        <v>-38.519380395139478</v>
      </c>
      <c r="T448" s="15">
        <f>(Table228[[#This Row],[Current Price]]-Table228[[#This Row],[Ave Entry price]])*Table228[[#This Row],[How many tokens now]]</f>
        <v>1671.0622485951437</v>
      </c>
      <c r="U448" s="76">
        <f>VLOOKUP(Table228[[#This Row],[Asset]],Table26[#All],10,FALSE)</f>
        <v>170</v>
      </c>
    </row>
    <row r="449" spans="1:21">
      <c r="A449" t="s">
        <v>179</v>
      </c>
      <c r="B449" s="68">
        <v>45997</v>
      </c>
      <c r="C449" s="3" t="s">
        <v>176</v>
      </c>
      <c r="D449" t="s">
        <v>240</v>
      </c>
      <c r="E449" t="s">
        <v>189</v>
      </c>
      <c r="F449" s="17">
        <v>280</v>
      </c>
      <c r="G449" s="73">
        <v>-5</v>
      </c>
      <c r="H449" s="61">
        <f t="shared" si="156"/>
        <v>0</v>
      </c>
      <c r="I449" s="67">
        <f t="shared" si="157"/>
        <v>5</v>
      </c>
      <c r="J449" s="15">
        <f t="shared" si="158"/>
        <v>0</v>
      </c>
      <c r="K449" s="15">
        <f t="shared" si="159"/>
        <v>1400</v>
      </c>
      <c r="L449">
        <f>SUMIF(Table228[[#All],[Asset]],Table228[[#This Row],[Asset]],Table228[[#All],[Bought number]])</f>
        <v>9</v>
      </c>
      <c r="M449">
        <f>SUMIF(Table228[[#All],[Asset]],Table228[[#This Row],[Asset]],Table228[[#All],[Sold Number]])</f>
        <v>9</v>
      </c>
      <c r="N449" s="15">
        <f>SUMIF(Table228[[#All],[Asset]],Table228[[#This Row],[Asset]],Table228[[#All],[Bought amount]])</f>
        <v>8351.15085</v>
      </c>
      <c r="O449" s="15">
        <f>SUMIF(Table228[[#All],[Asset]],Table228[[#This Row],[Asset]],Table228[[#All],[Sold amount]])</f>
        <v>4261.5684000000001</v>
      </c>
      <c r="P449" s="75">
        <f>Table228[[#This Row],[Total bought Amount]]/Table228[[#This Row],[Total bought Number]]</f>
        <v>927.90565000000004</v>
      </c>
      <c r="Q449" s="75">
        <f>IFERROR(Table228[[#This Row],[Total Sold Amount]]/Table228[[#This Row],[Total Sold Number]],0)</f>
        <v>473.50760000000002</v>
      </c>
      <c r="R449" s="21">
        <f>Table228[[#This Row],[Total bought Number]]-Table228[[#This Row],[Total Sold Number]]</f>
        <v>0</v>
      </c>
      <c r="S449" s="59">
        <f>(Table228[[#This Row],[Ave exit price]]-Table228[[#This Row],[Ave Entry price]])*Table228[[#This Row],[Total Sold Number]]</f>
        <v>-4089.5824499999999</v>
      </c>
      <c r="T449" s="15">
        <f>(Table228[[#This Row],[Current Price]]-Table228[[#This Row],[Ave Entry price]])*Table228[[#This Row],[How many tokens now]]</f>
        <v>0</v>
      </c>
      <c r="U449" s="76">
        <f>VLOOKUP(Table228[[#This Row],[Asset]],Table26[#All],10,FALSE)</f>
        <v>632</v>
      </c>
    </row>
    <row r="450" spans="1:21">
      <c r="A450" t="s">
        <v>568</v>
      </c>
      <c r="B450" s="68">
        <v>46020</v>
      </c>
      <c r="C450" s="3" t="s">
        <v>176</v>
      </c>
      <c r="D450" t="s">
        <v>68</v>
      </c>
      <c r="E450" t="s">
        <v>189</v>
      </c>
      <c r="F450" s="17">
        <v>2.7036E-3</v>
      </c>
      <c r="G450" s="73">
        <v>-117148</v>
      </c>
      <c r="H450" s="61">
        <f t="shared" si="156"/>
        <v>0</v>
      </c>
      <c r="I450" s="67">
        <f t="shared" si="157"/>
        <v>117148</v>
      </c>
      <c r="J450" s="15">
        <f t="shared" si="158"/>
        <v>0</v>
      </c>
      <c r="K450" s="15">
        <f t="shared" si="159"/>
        <v>316.72133280000003</v>
      </c>
      <c r="L450">
        <f>SUMIF(Table228[[#All],[Asset]],Table228[[#This Row],[Asset]],Table228[[#All],[Bought number]])</f>
        <v>117148</v>
      </c>
      <c r="M450">
        <f>SUMIF(Table228[[#All],[Asset]],Table228[[#This Row],[Asset]],Table228[[#All],[Sold Number]])</f>
        <v>117148</v>
      </c>
      <c r="N450" s="15">
        <f>SUMIF(Table228[[#All],[Asset]],Table228[[#This Row],[Asset]],Table228[[#All],[Bought amount]])</f>
        <v>925.46920000000011</v>
      </c>
      <c r="O450" s="15">
        <f>SUMIF(Table228[[#All],[Asset]],Table228[[#This Row],[Asset]],Table228[[#All],[Sold amount]])</f>
        <v>316.72133280000003</v>
      </c>
      <c r="P450" s="75">
        <f>Table228[[#This Row],[Total bought Amount]]/Table228[[#This Row],[Total bought Number]]</f>
        <v>7.9000000000000008E-3</v>
      </c>
      <c r="Q450" s="75">
        <f>IFERROR(Table228[[#This Row],[Total Sold Amount]]/Table228[[#This Row],[Total Sold Number]],0)</f>
        <v>2.7036000000000004E-3</v>
      </c>
      <c r="R450" s="21">
        <f>Table228[[#This Row],[Total bought Number]]-Table228[[#This Row],[Total Sold Number]]</f>
        <v>0</v>
      </c>
      <c r="S450" s="59">
        <f>(Table228[[#This Row],[Ave exit price]]-Table228[[#This Row],[Ave Entry price]])*Table228[[#This Row],[Total Sold Number]]</f>
        <v>-608.74786720000009</v>
      </c>
      <c r="T450" s="15">
        <f>(Table228[[#This Row],[Current Price]]-Table228[[#This Row],[Ave Entry price]])*Table228[[#This Row],[How many tokens now]]</f>
        <v>0</v>
      </c>
      <c r="U450" s="76">
        <f>VLOOKUP(Table228[[#This Row],[Asset]],Table26[#All],10,FALSE)</f>
        <v>7.0000000000000001E-3</v>
      </c>
    </row>
    <row r="451" spans="1:21">
      <c r="A451" t="s">
        <v>36</v>
      </c>
      <c r="B451" s="68">
        <v>46037</v>
      </c>
      <c r="C451" s="3" t="s">
        <v>180</v>
      </c>
      <c r="D451" t="s">
        <v>36</v>
      </c>
      <c r="E451" t="s">
        <v>189</v>
      </c>
      <c r="F451" s="17">
        <v>0.17895</v>
      </c>
      <c r="G451" s="73">
        <v>-2307</v>
      </c>
      <c r="H451" s="61">
        <f t="shared" si="156"/>
        <v>0</v>
      </c>
      <c r="I451" s="67">
        <f t="shared" si="157"/>
        <v>2307</v>
      </c>
      <c r="J451" s="15">
        <f t="shared" si="158"/>
        <v>0</v>
      </c>
      <c r="K451" s="15">
        <f t="shared" si="159"/>
        <v>412.83765</v>
      </c>
      <c r="L451">
        <f>SUMIF(Table228[[#All],[Asset]],Table228[[#This Row],[Asset]],Table228[[#All],[Bought number]])</f>
        <v>2307</v>
      </c>
      <c r="M451">
        <f>SUMIF(Table228[[#All],[Asset]],Table228[[#This Row],[Asset]],Table228[[#All],[Sold Number]])</f>
        <v>2307</v>
      </c>
      <c r="N451" s="15">
        <f>SUMIF(Table228[[#All],[Asset]],Table228[[#This Row],[Asset]],Table228[[#All],[Bought amount]])</f>
        <v>1015.08</v>
      </c>
      <c r="O451" s="15">
        <f>SUMIF(Table228[[#All],[Asset]],Table228[[#This Row],[Asset]],Table228[[#All],[Sold amount]])</f>
        <v>412.83765</v>
      </c>
      <c r="P451" s="75">
        <f>Table228[[#This Row],[Total bought Amount]]/Table228[[#This Row],[Total bought Number]]</f>
        <v>0.44</v>
      </c>
      <c r="Q451" s="75">
        <f>IFERROR(Table228[[#This Row],[Total Sold Amount]]/Table228[[#This Row],[Total Sold Number]],0)</f>
        <v>0.17895</v>
      </c>
      <c r="R451" s="21">
        <f>Table228[[#This Row],[Total bought Number]]-Table228[[#This Row],[Total Sold Number]]</f>
        <v>0</v>
      </c>
      <c r="S451" s="59">
        <f>(Table228[[#This Row],[Ave exit price]]-Table228[[#This Row],[Ave Entry price]])*Table228[[#This Row],[Total Sold Number]]</f>
        <v>-602.24234999999999</v>
      </c>
      <c r="T451" s="15">
        <f>(Table228[[#This Row],[Current Price]]-Table228[[#This Row],[Ave Entry price]])*Table228[[#This Row],[How many tokens now]]</f>
        <v>0</v>
      </c>
      <c r="U451" s="76">
        <f>VLOOKUP(Table228[[#This Row],[Asset]],Table26[#All],10,FALSE)</f>
        <v>0.44</v>
      </c>
    </row>
    <row r="452" spans="1:21">
      <c r="A452" t="s">
        <v>566</v>
      </c>
      <c r="B452" s="68">
        <v>46037</v>
      </c>
      <c r="C452" s="3" t="s">
        <v>176</v>
      </c>
      <c r="D452" t="s">
        <v>68</v>
      </c>
      <c r="E452" t="s">
        <v>189</v>
      </c>
      <c r="F452" s="17">
        <v>2.7499999999999998E-3</v>
      </c>
      <c r="G452" s="73">
        <v>155708</v>
      </c>
      <c r="H452" s="61">
        <f t="shared" si="156"/>
        <v>155708</v>
      </c>
      <c r="I452" s="67">
        <f t="shared" si="157"/>
        <v>0</v>
      </c>
      <c r="J452" s="15">
        <f t="shared" si="158"/>
        <v>428.197</v>
      </c>
      <c r="K452" s="15">
        <f t="shared" si="159"/>
        <v>0</v>
      </c>
      <c r="L452">
        <f>SUMIF(Table228[[#All],[Asset]],Table228[[#This Row],[Asset]],Table228[[#All],[Bought number]])</f>
        <v>324467</v>
      </c>
      <c r="M452">
        <f>SUMIF(Table228[[#All],[Asset]],Table228[[#This Row],[Asset]],Table228[[#All],[Sold Number]])</f>
        <v>168759</v>
      </c>
      <c r="N452" s="15">
        <f>SUMIF(Table228[[#All],[Asset]],Table228[[#This Row],[Asset]],Table228[[#All],[Bought amount]])</f>
        <v>1348.4866274000001</v>
      </c>
      <c r="O452" s="15">
        <f>SUMIF(Table228[[#All],[Asset]],Table228[[#This Row],[Asset]],Table228[[#All],[Sold amount]])</f>
        <v>641.28420000000006</v>
      </c>
      <c r="P452" s="75">
        <f>Table228[[#This Row],[Total bought Amount]]/Table228[[#This Row],[Total bought Number]]</f>
        <v>4.1560054717428895E-3</v>
      </c>
      <c r="Q452" s="75">
        <f>IFERROR(Table228[[#This Row],[Total Sold Amount]]/Table228[[#This Row],[Total Sold Number]],0)</f>
        <v>3.8000000000000004E-3</v>
      </c>
      <c r="R452" s="21">
        <f>Table228[[#This Row],[Total bought Number]]-Table228[[#This Row],[Total Sold Number]]</f>
        <v>155708</v>
      </c>
      <c r="S452" s="59">
        <f>(Table228[[#This Row],[Ave exit price]]-Table228[[#This Row],[Ave Entry price]])*Table228[[#This Row],[Total Sold Number]]</f>
        <v>-60.079127405858216</v>
      </c>
      <c r="T452" s="15">
        <f>(Table228[[#This Row],[Current Price]]-Table228[[#This Row],[Ave Entry price]])*Table228[[#This Row],[How many tokens now]]</f>
        <v>461.3619520058582</v>
      </c>
      <c r="U452" s="76">
        <f>VLOOKUP(Table228[[#This Row],[Asset]],Table26[#All],10,FALSE)</f>
        <v>7.1190000000000003E-3</v>
      </c>
    </row>
    <row r="453" spans="1:21">
      <c r="A453" t="s">
        <v>426</v>
      </c>
      <c r="B453" s="68">
        <v>46048</v>
      </c>
      <c r="C453" s="3" t="s">
        <v>180</v>
      </c>
      <c r="D453" t="s">
        <v>76</v>
      </c>
      <c r="E453" t="s">
        <v>189</v>
      </c>
      <c r="F453" s="17">
        <v>4.3499000000000003E-2</v>
      </c>
      <c r="G453" s="73">
        <v>-130000</v>
      </c>
      <c r="H453" s="61">
        <f t="shared" si="156"/>
        <v>0</v>
      </c>
      <c r="I453" s="67">
        <f t="shared" si="157"/>
        <v>130000</v>
      </c>
      <c r="J453" s="15">
        <f t="shared" si="158"/>
        <v>0</v>
      </c>
      <c r="K453" s="15">
        <f t="shared" si="159"/>
        <v>5654.8700000000008</v>
      </c>
      <c r="L453">
        <f>SUMIF(Table228[[#All],[Asset]],Table228[[#This Row],[Asset]],Table228[[#All],[Bought number]])</f>
        <v>238626.003494</v>
      </c>
      <c r="M453">
        <f>SUMIF(Table228[[#All],[Asset]],Table228[[#This Row],[Asset]],Table228[[#All],[Sold Number]])</f>
        <v>258703.52244</v>
      </c>
      <c r="N453" s="15">
        <f>SUMIF(Table228[[#All],[Asset]],Table228[[#This Row],[Asset]],Table228[[#All],[Bought amount]])</f>
        <v>15455.410858853724</v>
      </c>
      <c r="O453" s="15">
        <f>SUMIF(Table228[[#All],[Asset]],Table228[[#This Row],[Asset]],Table228[[#All],[Sold amount]])</f>
        <v>12956.454272287921</v>
      </c>
      <c r="P453" s="75">
        <f>Table228[[#This Row],[Total bought Amount]]/Table228[[#This Row],[Total bought Number]]</f>
        <v>6.4768343066359632E-2</v>
      </c>
      <c r="Q453" s="75">
        <f>IFERROR(Table228[[#This Row],[Total Sold Amount]]/Table228[[#This Row],[Total Sold Number]],0)</f>
        <v>5.0082249171125436E-2</v>
      </c>
      <c r="R453" s="21">
        <f>Table228[[#This Row],[Total bought Number]]-Table228[[#This Row],[Total Sold Number]]</f>
        <v>-20077.518945999997</v>
      </c>
      <c r="S453" s="59">
        <f>(Table228[[#This Row],[Ave exit price]]-Table228[[#This Row],[Ave Entry price]])*Table228[[#This Row],[Total Sold Number]]</f>
        <v>-3799.3442215816672</v>
      </c>
      <c r="T453" s="15">
        <f>(Table228[[#This Row],[Current Price]]-Table228[[#This Row],[Ave Entry price]])*Table228[[#This Row],[How many tokens now]]</f>
        <v>440.80881638076522</v>
      </c>
      <c r="U453" s="76">
        <f>VLOOKUP(Table228[[#This Row],[Asset]],Table26[#All],10,FALSE)</f>
        <v>4.2812999999999997E-2</v>
      </c>
    </row>
  </sheetData>
  <dataValidations count="1">
    <dataValidation type="date" operator="greaterThan" allowBlank="1" showInputMessage="1" showErrorMessage="1" sqref="B4:B453" xr:uid="{3AA8E594-F474-BF45-AD83-F73EAC80BB74}">
      <formula1>45292</formula1>
    </dataValidation>
  </dataValidations>
  <pageMargins left="0.7" right="0.7" top="0.75" bottom="0.75" header="0.3" footer="0.3"/>
  <pageSetup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581B91B-95F0-A046-A128-3C475472C547}">
          <x14:formula1>
            <xm:f>CryptoPortfolio!$A:$A</xm:f>
          </x14:formula1>
          <xm:sqref>A1:A242 A246:A1048576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0CC8-B887-AB4B-8D29-47583413946D}">
  <dimension ref="A1:X615"/>
  <sheetViews>
    <sheetView topLeftCell="A589" zoomScaleNormal="100" workbookViewId="0">
      <pane xSplit="1" topLeftCell="B1" activePane="topRight" state="frozen"/>
      <selection activeCell="A12" sqref="A12"/>
      <selection pane="topRight" activeCell="C615" sqref="C615"/>
    </sheetView>
  </sheetViews>
  <sheetFormatPr baseColWidth="10" defaultRowHeight="16"/>
  <cols>
    <col min="1" max="1" width="56.6640625" customWidth="1"/>
    <col min="2" max="2" width="14.33203125" bestFit="1" customWidth="1"/>
    <col min="3" max="3" width="15.33203125" customWidth="1"/>
    <col min="4" max="4" width="17.83203125" customWidth="1"/>
    <col min="5" max="5" width="13.1640625" bestFit="1" customWidth="1"/>
    <col min="6" max="6" width="7.33203125" customWidth="1"/>
    <col min="7" max="7" width="11.83203125" bestFit="1" customWidth="1"/>
    <col min="8" max="8" width="9" customWidth="1"/>
    <col min="9" max="9" width="11.33203125" customWidth="1"/>
    <col min="10" max="10" width="8.6640625" customWidth="1"/>
    <col min="11" max="11" width="13.6640625" customWidth="1"/>
    <col min="12" max="12" width="11.33203125" customWidth="1"/>
    <col min="13" max="13" width="10.83203125" customWidth="1"/>
    <col min="14" max="14" width="14.6640625" bestFit="1" customWidth="1"/>
    <col min="15" max="15" width="13.1640625" customWidth="1"/>
    <col min="16" max="16" width="10.83203125" customWidth="1"/>
    <col min="17" max="17" width="12.1640625" customWidth="1"/>
    <col min="18" max="18" width="15.1640625" customWidth="1"/>
    <col min="19" max="19" width="10.5" customWidth="1"/>
    <col min="20" max="20" width="15.33203125" bestFit="1" customWidth="1"/>
    <col min="21" max="21" width="19.83203125" bestFit="1" customWidth="1"/>
    <col min="22" max="22" width="21.33203125" bestFit="1" customWidth="1"/>
  </cols>
  <sheetData>
    <row r="1" spans="1:24" ht="34">
      <c r="A1" s="20" t="s">
        <v>162</v>
      </c>
    </row>
    <row r="2" spans="1:24">
      <c r="A2" s="45" t="s">
        <v>148</v>
      </c>
      <c r="B2" s="44" t="s">
        <v>149</v>
      </c>
      <c r="C2" s="121" t="s">
        <v>325</v>
      </c>
    </row>
    <row r="3" spans="1:24">
      <c r="A3" t="e" vm="98">
        <v>#VALUE!</v>
      </c>
      <c r="B3" s="41" cm="1">
        <f t="array" aca="1" ref="B3" ca="1">_FV(A3,"Price") / 100</f>
        <v>0.25329999999999997</v>
      </c>
    </row>
    <row r="4" spans="1:24">
      <c r="A4" t="s">
        <v>85</v>
      </c>
      <c r="B4" s="42">
        <v>80000</v>
      </c>
      <c r="P4" s="5"/>
      <c r="Q4" s="5"/>
    </row>
    <row r="5" spans="1:24">
      <c r="A5" t="s">
        <v>152</v>
      </c>
      <c r="B5" s="43">
        <f ca="1">COUNTIF(Table19[[#All],[Perc of Op Exp]],"&gt;0")</f>
        <v>3</v>
      </c>
      <c r="I5" s="9"/>
      <c r="P5" s="5"/>
      <c r="Q5" s="5"/>
    </row>
    <row r="6" spans="1:24">
      <c r="A6" t="s">
        <v>150</v>
      </c>
      <c r="B6" s="42">
        <f ca="1">SUM(Table19[[#All],[Option Exposure]])</f>
        <v>27680.76241963388</v>
      </c>
      <c r="R6" s="5"/>
    </row>
    <row r="7" spans="1:24" ht="19">
      <c r="A7" t="s">
        <v>151</v>
      </c>
      <c r="B7" s="102">
        <f>SUM(Table20[[#All],[realized_profit]])</f>
        <v>25969.009999999995</v>
      </c>
    </row>
    <row r="8" spans="1:24">
      <c r="A8" t="s">
        <v>45</v>
      </c>
      <c r="B8" s="97">
        <f ca="1">SUM(Table19[[#All],[Combined Exposure]])</f>
        <v>158652.08337038776</v>
      </c>
      <c r="C8" s="5">
        <f ca="1">C9+C10</f>
        <v>158652.08337038779</v>
      </c>
      <c r="T8" s="5"/>
    </row>
    <row r="9" spans="1:24">
      <c r="A9" t="s">
        <v>156</v>
      </c>
      <c r="B9" s="97">
        <f ca="1">SUM(Table19[[#All],[Stock Exposure]])</f>
        <v>130971.3209507539</v>
      </c>
      <c r="C9" s="5">
        <f ca="1">SUM(Table19[Stock Exposure])</f>
        <v>130971.3209507539</v>
      </c>
      <c r="U9" s="5"/>
    </row>
    <row r="10" spans="1:24">
      <c r="A10" t="s">
        <v>301</v>
      </c>
      <c r="B10" s="97">
        <f ca="1">SUM(Table19[[#All],[Option Exposure]])</f>
        <v>27680.76241963388</v>
      </c>
      <c r="C10" s="5">
        <f ca="1">SUM(Table20[[#All],[delta_exposure]])</f>
        <v>27680.76241963388</v>
      </c>
    </row>
    <row r="11" spans="1:24">
      <c r="A11" t="s">
        <v>37</v>
      </c>
      <c r="B11" s="97">
        <f>SUM(Table19[[#All],[Realized Profit]])</f>
        <v>12208.967710099561</v>
      </c>
      <c r="U11" s="5"/>
    </row>
    <row r="12" spans="1:24">
      <c r="A12" t="s">
        <v>295</v>
      </c>
      <c r="B12" s="97">
        <f ca="1">SUM(Table19[Unrealized Profit])</f>
        <v>33848.733623114305</v>
      </c>
    </row>
    <row r="13" spans="1:24">
      <c r="A13" t="s">
        <v>304</v>
      </c>
      <c r="B13" s="4">
        <f ca="1">SUMIF(Table19[Option Exposure],"&gt;0",Table19[Option Exposure])</f>
        <v>27680.76241963388</v>
      </c>
    </row>
    <row r="14" spans="1:24">
      <c r="A14" t="s">
        <v>305</v>
      </c>
      <c r="B14" s="4">
        <f ca="1">SUMIF(Table19[Option Exposure],"&lt;0",Table19[Option Exposure])</f>
        <v>0</v>
      </c>
    </row>
    <row r="15" spans="1:24" ht="21">
      <c r="A15" s="27"/>
      <c r="B15" s="40"/>
      <c r="X15" s="14"/>
    </row>
    <row r="16" spans="1:24">
      <c r="A16" t="s">
        <v>78</v>
      </c>
      <c r="B16" t="s">
        <v>60</v>
      </c>
      <c r="C16" t="s">
        <v>80</v>
      </c>
      <c r="D16" t="s">
        <v>81</v>
      </c>
      <c r="E16" t="s">
        <v>79</v>
      </c>
      <c r="F16" t="s">
        <v>82</v>
      </c>
      <c r="G16" t="s">
        <v>143</v>
      </c>
      <c r="H16" t="s">
        <v>268</v>
      </c>
      <c r="I16" s="4" t="s">
        <v>206</v>
      </c>
      <c r="J16" s="14" t="s">
        <v>269</v>
      </c>
      <c r="K16" s="14" t="s">
        <v>24</v>
      </c>
      <c r="L16" t="s">
        <v>144</v>
      </c>
      <c r="M16" t="s">
        <v>320</v>
      </c>
      <c r="N16" s="4" t="s">
        <v>124</v>
      </c>
      <c r="O16" t="s">
        <v>153</v>
      </c>
      <c r="P16" s="8" t="s">
        <v>155</v>
      </c>
      <c r="Q16" s="4" t="s">
        <v>156</v>
      </c>
      <c r="R16" s="5" t="s">
        <v>157</v>
      </c>
      <c r="S16" t="s">
        <v>406</v>
      </c>
      <c r="T16" s="39" t="s">
        <v>514</v>
      </c>
    </row>
    <row r="17" spans="1:20">
      <c r="A17" t="e" vm="16">
        <v>#VALUE!</v>
      </c>
      <c r="B17" s="13" t="str" cm="1">
        <f t="array" aca="1" ref="B17" ca="1">_FV(A17,"Ticker symbol",TRUE)</f>
        <v>GOOG</v>
      </c>
      <c r="C17" s="13" t="s">
        <v>83</v>
      </c>
      <c r="D17" s="13" t="s">
        <v>29</v>
      </c>
      <c r="E17" s="19" cm="1">
        <f t="array" aca="1" ref="E17" ca="1">IFERROR(_FV(A17,"Beta"),2)</f>
        <v>1.1251</v>
      </c>
      <c r="F17" s="13" t="str" cm="1">
        <f t="array" aca="1" ref="F17" ca="1">_FV(A17,"Instrument type",TRUE)</f>
        <v>Stock</v>
      </c>
      <c r="G17" s="18" cm="1">
        <f t="array" aca="1" ref="G17" ca="1">_FV(Table19[[#This Row],[Assets]],"Price")</f>
        <v>290.39</v>
      </c>
      <c r="H17" s="36">
        <f>IFERROR(VLOOKUP(Table19[[#This Row],[Assets]],Table25[#All],15,FALSE),"")</f>
        <v>197.47291666666663</v>
      </c>
      <c r="I17" s="36">
        <f>IFERROR(VLOOKUP(Table19[[#This Row],[Assets]],Table25[#All],16,FALSE),0)</f>
        <v>31.657083333333361</v>
      </c>
      <c r="J17" s="84">
        <f ca="1">IFERROR((Table19[[#This Row],[Price]]-Table19[[#This Row],[Ave Entry]])/Table19[[#This Row],[Ave Entry]],"")</f>
        <v>0.47053076898730856</v>
      </c>
      <c r="K17" s="92">
        <f ca="1">IFERROR((Table19[[#This Row],[Price]]-Table19[[#This Row],[Ave Entry]])*Table19[[#This Row],[Num of Stocks]],0)</f>
        <v>2137.092916666667</v>
      </c>
      <c r="L17" s="38" cm="1">
        <f t="array" aca="1" ref="L17" ca="1">_FV(Table19[[#This Row],[Assets]],"Change (%)",TRUE)</f>
        <v>4.1149999999999997E-3</v>
      </c>
      <c r="M17" s="36">
        <f>SUMIF(Table20[Asset],Table19[[#This Row],[Assets]],Table20[realized_profit])</f>
        <v>4148.03</v>
      </c>
      <c r="N17" s="36">
        <f ca="1">SUMIF(Table20[[#All],[Asset]],Table19[[#This Row],[Assets]],Table20[[#All],[delta_exposure]])</f>
        <v>0</v>
      </c>
      <c r="O17" s="98">
        <f ca="1">Table19[[#This Row],[Option Exposure]]/$B$6</f>
        <v>0</v>
      </c>
      <c r="P17" s="51">
        <f>SUMIF(Table25[[#All],[Assets]],Table19[[#This Row],[Assets]],Table25[[#All],[Number of stocks]])</f>
        <v>23</v>
      </c>
      <c r="Q17" s="36">
        <f ca="1">Table19[[#This Row],[Num of Stocks]]*Table19[[#This Row],[Price]]</f>
        <v>6678.9699999999993</v>
      </c>
      <c r="R17" s="36">
        <f ca="1">Table19[[#This Row],[Stock Exposure]]+Table19[[#This Row],[Option Exposure]]</f>
        <v>6678.9699999999993</v>
      </c>
      <c r="S17" s="108">
        <f>IFERROR(Table19[[#This Row],[Num of Stocks]]*Table19[[#This Row],[Ave Entry]],"")</f>
        <v>4541.8770833333328</v>
      </c>
      <c r="T17" s="39">
        <f ca="1">Table19[[#This Row],[Combined Exposure]]/$C$8</f>
        <v>4.2098218051176382E-2</v>
      </c>
    </row>
    <row r="18" spans="1:20">
      <c r="A18" t="e" vm="176">
        <v>#VALUE!</v>
      </c>
      <c r="B18" s="13" t="str" cm="1">
        <f t="array" aca="1" ref="B18" ca="1">_FV(A18,"Ticker symbol",TRUE)</f>
        <v>HUT</v>
      </c>
      <c r="C18" s="13" t="s">
        <v>118</v>
      </c>
      <c r="D18" s="13" t="s">
        <v>83</v>
      </c>
      <c r="E18" s="19" cm="1">
        <f t="array" aca="1" ref="E18" ca="1">IFERROR(_FV(A18,"Beta"),2)</f>
        <v>4.1580000000000004</v>
      </c>
      <c r="F18" s="13" t="str" cm="1">
        <f t="array" aca="1" ref="F18" ca="1">_FV(A18,"Instrument type",TRUE)</f>
        <v>Stock</v>
      </c>
      <c r="G18" s="18" cm="1">
        <f t="array" aca="1" ref="G18" ca="1">_FV(Table19[[#This Row],[Assets]],"Price")</f>
        <v>55.875</v>
      </c>
      <c r="H18" s="36">
        <f>IFERROR(VLOOKUP(Table19[[#This Row],[Assets]],Table25[#All],15,FALSE),"")</f>
        <v>27.22696312364425</v>
      </c>
      <c r="I18" s="36">
        <f>IFERROR(VLOOKUP(Table19[[#This Row],[Assets]],Table25[#All],16,FALSE),0)</f>
        <v>-2824.9370932754873</v>
      </c>
      <c r="J18" s="84">
        <f ca="1">IFERROR((Table19[[#This Row],[Price]]-Table19[[#This Row],[Ave Entry]])/Table19[[#This Row],[Ave Entry]],"")</f>
        <v>1.0521936194741242</v>
      </c>
      <c r="K18" s="92">
        <f ca="1">IFERROR((Table19[[#This Row],[Price]]-Table19[[#This Row],[Ave Entry]])*Table19[[#This Row],[Num of Stocks]],0)</f>
        <v>3179.9320932754881</v>
      </c>
      <c r="L18" s="38" cm="1">
        <f t="array" aca="1" ref="L18" ca="1">_FV(Table19[[#This Row],[Assets]],"Change (%)",TRUE)</f>
        <v>4.9296E-2</v>
      </c>
      <c r="M18" s="36">
        <f>SUMIF(Table20[Asset],Table19[[#This Row],[Assets]],Table20[realized_profit])</f>
        <v>-390</v>
      </c>
      <c r="N18" s="36">
        <f ca="1">SUMIF(Table20[[#All],[Asset]],Table19[[#This Row],[Assets]],Table20[[#All],[delta_exposure]])</f>
        <v>0</v>
      </c>
      <c r="O18" s="38">
        <f ca="1">Table19[[#This Row],[Option Exposure]]/$B$6</f>
        <v>0</v>
      </c>
      <c r="P18" s="51">
        <f>SUMIF(Table25[[#All],[Assets]],Table19[[#This Row],[Assets]],Table25[[#All],[Number of stocks]])</f>
        <v>111</v>
      </c>
      <c r="Q18" s="36">
        <f ca="1">Table19[[#This Row],[Num of Stocks]]*Table19[[#This Row],[Price]]</f>
        <v>6202.125</v>
      </c>
      <c r="R18" s="36">
        <f ca="1">Table19[[#This Row],[Stock Exposure]]+Table19[[#This Row],[Option Exposure]]</f>
        <v>6202.125</v>
      </c>
      <c r="S18" s="108">
        <f>IFERROR(Table19[[#This Row],[Num of Stocks]]*Table19[[#This Row],[Ave Entry]],"")</f>
        <v>3022.1929067245119</v>
      </c>
      <c r="T18" s="39">
        <f ca="1">Table19[[#This Row],[Combined Exposure]]/$C$8</f>
        <v>3.9092616171453431E-2</v>
      </c>
    </row>
    <row r="19" spans="1:20">
      <c r="A19" t="e" vm="178">
        <v>#VALUE!</v>
      </c>
      <c r="B19" s="13" t="str" cm="1">
        <f t="array" aca="1" ref="B19" ca="1">_FV(A19,"Ticker symbol",TRUE)</f>
        <v>MARA</v>
      </c>
      <c r="C19" s="13" t="s">
        <v>118</v>
      </c>
      <c r="D19" s="13" t="s">
        <v>83</v>
      </c>
      <c r="E19" s="19" cm="1">
        <f t="array" aca="1" ref="E19" ca="1">IFERROR(_FV(A19,"Beta"),2)</f>
        <v>5.3174000000000001</v>
      </c>
      <c r="F19" s="13" t="str" cm="1">
        <f t="array" aca="1" ref="F19" ca="1">_FV(A19,"Instrument type",TRUE)</f>
        <v>Stock</v>
      </c>
      <c r="G19" s="18" cm="1">
        <f t="array" aca="1" ref="G19" ca="1">_FV(Table19[[#This Row],[Assets]],"Price")</f>
        <v>8.4297000000000004</v>
      </c>
      <c r="H19" s="36">
        <f>IFERROR(VLOOKUP(Table19[[#This Row],[Assets]],Table25[#All],15,FALSE),"")</f>
        <v>10.458054607508533</v>
      </c>
      <c r="I19" s="36">
        <f>IFERROR(VLOOKUP(Table19[[#This Row],[Assets]],Table25[#All],16,FALSE),0)</f>
        <v>-191.81631399317416</v>
      </c>
      <c r="J19" s="84">
        <f ca="1">IFERROR((Table19[[#This Row],[Price]]-Table19[[#This Row],[Ave Entry]])/Table19[[#This Row],[Ave Entry]],"")</f>
        <v>-0.19395142630563833</v>
      </c>
      <c r="K19" s="92">
        <f ca="1">IFERROR((Table19[[#This Row],[Price]]-Table19[[#This Row],[Ave Entry]])*Table19[[#This Row],[Num of Stocks]],0)</f>
        <v>-1028.375786006826</v>
      </c>
      <c r="L19" s="38" cm="1">
        <f t="array" aca="1" ref="L19" ca="1">_FV(Table19[[#This Row],[Assets]],"Change (%)",TRUE)</f>
        <v>2.1781999999999999E-2</v>
      </c>
      <c r="M19" s="36">
        <f>SUMIF(Table20[Asset],Table19[[#This Row],[Assets]],Table20[realized_profit])</f>
        <v>0</v>
      </c>
      <c r="N19" s="36">
        <f>SUMIF(Table20[[#All],[Asset]],Table19[[#This Row],[Assets]],Table20[[#All],[delta_exposure]])</f>
        <v>0</v>
      </c>
      <c r="O19" s="38">
        <f ca="1">Table19[[#This Row],[Option Exposure]]/$B$6</f>
        <v>0</v>
      </c>
      <c r="P19" s="51">
        <f>SUMIF(Table25[[#All],[Assets]],Table19[[#This Row],[Assets]],Table25[[#All],[Number of stocks]])</f>
        <v>507</v>
      </c>
      <c r="Q19" s="36">
        <f ca="1">Table19[[#This Row],[Num of Stocks]]*Table19[[#This Row],[Price]]</f>
        <v>4273.8579</v>
      </c>
      <c r="R19" s="36">
        <f ca="1">Table19[[#This Row],[Stock Exposure]]+Table19[[#This Row],[Option Exposure]]</f>
        <v>4273.8579</v>
      </c>
      <c r="S19" s="108">
        <f>IFERROR(Table19[[#This Row],[Num of Stocks]]*Table19[[#This Row],[Ave Entry]],"")</f>
        <v>5302.2336860068262</v>
      </c>
      <c r="T19" s="39">
        <f ca="1">Table19[[#This Row],[Combined Exposure]]/$C$8</f>
        <v>2.6938555165533427E-2</v>
      </c>
    </row>
    <row r="20" spans="1:20">
      <c r="A20" t="e" vm="12">
        <v>#VALUE!</v>
      </c>
      <c r="B20" s="13" t="str" cm="1">
        <f t="array" aca="1" ref="B20" ca="1">_FV(A20,"Ticker symbol",TRUE)</f>
        <v>TER</v>
      </c>
      <c r="C20" s="13" t="s">
        <v>521</v>
      </c>
      <c r="D20" s="13" t="s">
        <v>84</v>
      </c>
      <c r="E20" s="19" cm="1">
        <f t="array" aca="1" ref="E20" ca="1">IFERROR(_FV(A20,"Beta"),2)</f>
        <v>1.7619</v>
      </c>
      <c r="F20" s="13" t="str" cm="1">
        <f t="array" aca="1" ref="F20" ca="1">_FV(A20,"Instrument type",TRUE)</f>
        <v>Stock</v>
      </c>
      <c r="G20" s="18" cm="1">
        <f t="array" aca="1" ref="G20" ca="1">_FV(Table19[[#This Row],[Assets]],"Price")</f>
        <v>323.45999999999998</v>
      </c>
      <c r="H20" s="36">
        <f>IFERROR(VLOOKUP(Table19[[#This Row],[Assets]],Table25[#All],15,FALSE),"")</f>
        <v>110.8137837837838</v>
      </c>
      <c r="I20" s="36">
        <f>IFERROR(VLOOKUP(Table19[[#This Row],[Assets]],Table25[#All],16,FALSE),0)</f>
        <v>1080.3794594594588</v>
      </c>
      <c r="J20" s="84">
        <f ca="1">IFERROR((Table19[[#This Row],[Price]]-Table19[[#This Row],[Ave Entry]])/Table19[[#This Row],[Ave Entry]],"")</f>
        <v>1.918950954974378</v>
      </c>
      <c r="K20" s="92">
        <f ca="1">IFERROR((Table19[[#This Row],[Price]]-Table19[[#This Row],[Ave Entry]])*Table19[[#This Row],[Num of Stocks]],0)</f>
        <v>4465.5705405405397</v>
      </c>
      <c r="L20" s="38" cm="1">
        <f t="array" aca="1" ref="L20" ca="1">_FV(Table19[[#This Row],[Assets]],"Change (%)",TRUE)</f>
        <v>1.0369999999999999E-2</v>
      </c>
      <c r="M20" s="36">
        <f>SUMIF(Table20[Asset],Table19[[#This Row],[Assets]],Table20[realized_profit])</f>
        <v>3364.0000000000005</v>
      </c>
      <c r="N20" s="36">
        <f ca="1">SUMIF(Table20[[#All],[Asset]],Table19[[#This Row],[Assets]],Table20[[#All],[delta_exposure]])</f>
        <v>0</v>
      </c>
      <c r="O20" s="38">
        <f ca="1">Table19[[#This Row],[Option Exposure]]/$B$6</f>
        <v>0</v>
      </c>
      <c r="P20" s="51">
        <f>SUMIF(Table25[[#All],[Assets]],Table19[[#This Row],[Assets]],Table25[[#All],[Number of stocks]])</f>
        <v>21</v>
      </c>
      <c r="Q20" s="36">
        <f ca="1">Table19[[#This Row],[Num of Stocks]]*Table19[[#This Row],[Price]]</f>
        <v>6792.66</v>
      </c>
      <c r="R20" s="36">
        <f ca="1">Table19[[#This Row],[Stock Exposure]]+Table19[[#This Row],[Option Exposure]]</f>
        <v>6792.66</v>
      </c>
      <c r="S20" s="108">
        <f>IFERROR(Table19[[#This Row],[Num of Stocks]]*Table19[[#This Row],[Ave Entry]],"")</f>
        <v>2327.0894594594597</v>
      </c>
      <c r="T20" s="39">
        <f ca="1">Table19[[#This Row],[Combined Exposure]]/$C$8</f>
        <v>4.2814817528376944E-2</v>
      </c>
    </row>
    <row r="21" spans="1:20">
      <c r="A21" t="e" vm="179">
        <v>#VALUE!</v>
      </c>
      <c r="B21" s="13" t="str" cm="1">
        <f t="array" aca="1" ref="B21" ca="1">_FV(A21,"Ticker symbol",TRUE)</f>
        <v>ET</v>
      </c>
      <c r="C21" s="13" t="s">
        <v>31</v>
      </c>
      <c r="D21" s="13" t="s">
        <v>31</v>
      </c>
      <c r="E21" s="19" cm="1">
        <f t="array" ref="E21">IFERROR(_FV(A21,"Beta"),2)</f>
        <v>2</v>
      </c>
      <c r="F21" s="13" t="str" cm="1">
        <f t="array" aca="1" ref="F21" ca="1">_FV(A21,"Instrument type",TRUE)</f>
        <v>ETF</v>
      </c>
      <c r="G21" s="18" cm="1">
        <f t="array" aca="1" ref="G21" ca="1">_FV(Table19[[#This Row],[Assets]],"Price")</f>
        <v>19.234999999999999</v>
      </c>
      <c r="H21" s="36">
        <f>IFERROR(VLOOKUP(Table19[[#This Row],[Assets]],Table25[#All],15,FALSE),"")</f>
        <v>17.03855072463768</v>
      </c>
      <c r="I21" s="36">
        <f>IFERROR(VLOOKUP(Table19[[#This Row],[Assets]],Table25[#All],16,FALSE),0)</f>
        <v>-20.742028985507233</v>
      </c>
      <c r="J21" s="84">
        <f ca="1">IFERROR((Table19[[#This Row],[Price]]-Table19[[#This Row],[Ave Entry]])/Table19[[#This Row],[Ave Entry]],"")</f>
        <v>0.12891056938230441</v>
      </c>
      <c r="K21" s="92">
        <f ca="1">IFERROR((Table19[[#This Row],[Price]]-Table19[[#This Row],[Ave Entry]])*Table19[[#This Row],[Num of Stocks]],0)</f>
        <v>669.91702898550727</v>
      </c>
      <c r="L21" s="38" cm="1">
        <f t="array" aca="1" ref="L21" ca="1">_FV(Table19[[#This Row],[Assets]],"Change (%)",TRUE)</f>
        <v>1.3009999999999999E-3</v>
      </c>
      <c r="M21" s="36">
        <f>SUMIF(Table20[Asset],Table19[[#This Row],[Assets]],Table20[realized_profit])</f>
        <v>0</v>
      </c>
      <c r="N21" s="36">
        <f>SUMIF(Table20[[#All],[Asset]],Table19[[#This Row],[Assets]],Table20[[#All],[delta_exposure]])</f>
        <v>0</v>
      </c>
      <c r="O21" s="38">
        <f ca="1">Table19[[#This Row],[Option Exposure]]/$B$6</f>
        <v>0</v>
      </c>
      <c r="P21" s="51">
        <f>SUMIF(Table25[[#All],[Assets]],Table19[[#This Row],[Assets]],Table25[[#All],[Number of stocks]])</f>
        <v>305</v>
      </c>
      <c r="Q21" s="36">
        <f ca="1">Table19[[#This Row],[Num of Stocks]]*Table19[[#This Row],[Price]]</f>
        <v>5866.6750000000002</v>
      </c>
      <c r="R21" s="36">
        <f ca="1">Table19[[#This Row],[Stock Exposure]]+Table19[[#This Row],[Option Exposure]]</f>
        <v>5866.6750000000002</v>
      </c>
      <c r="S21" s="108">
        <f>IFERROR(Table19[[#This Row],[Num of Stocks]]*Table19[[#This Row],[Ave Entry]],"")</f>
        <v>5196.7579710144928</v>
      </c>
      <c r="T21" s="39">
        <f ca="1">Table19[[#This Row],[Combined Exposure]]/$C$8</f>
        <v>3.69782411637401E-2</v>
      </c>
    </row>
    <row r="22" spans="1:20">
      <c r="A22" t="e" vm="78">
        <v>#VALUE!</v>
      </c>
      <c r="B22" s="13" t="str" cm="1">
        <f t="array" aca="1" ref="B22" ca="1">_FV(A22,"Ticker symbol",TRUE)</f>
        <v>TOI</v>
      </c>
      <c r="C22" s="13" t="s">
        <v>53</v>
      </c>
      <c r="D22" s="13" t="s">
        <v>549</v>
      </c>
      <c r="E22" s="19" cm="1">
        <f t="array" aca="1" ref="E22" ca="1">IFERROR(_FV(A22,"Beta"),2)</f>
        <v>0.19040000000000001</v>
      </c>
      <c r="F22" s="13" t="str" cm="1">
        <f t="array" aca="1" ref="F22" ca="1">_FV(A22,"Instrument type",TRUE)</f>
        <v>Stock</v>
      </c>
      <c r="G22" s="18" cm="1">
        <f t="array" aca="1" ref="G22" ca="1">_FV(Table19[[#This Row],[Assets]],"Price")</f>
        <v>3.26</v>
      </c>
      <c r="H22" s="36">
        <f>IFERROR(VLOOKUP(Table19[[#This Row],[Assets]],Table25[#All],15,FALSE),"")</f>
        <v>1.9882547169811322</v>
      </c>
      <c r="I22" s="36">
        <f>IFERROR(VLOOKUP(Table19[[#This Row],[Assets]],Table25[#All],16,FALSE),0)</f>
        <v>975.55471698113206</v>
      </c>
      <c r="J22" s="84">
        <f ca="1">IFERROR((Table19[[#This Row],[Price]]-Table19[[#This Row],[Ave Entry]])/Table19[[#This Row],[Ave Entry]],"")</f>
        <v>0.63962895304974954</v>
      </c>
      <c r="K22" s="92">
        <f ca="1">IFERROR((Table19[[#This Row],[Price]]-Table19[[#This Row],[Ave Entry]])*Table19[[#This Row],[Num of Stocks]],0)</f>
        <v>1271.7452830188677</v>
      </c>
      <c r="L22" s="38" cm="1">
        <f t="array" aca="1" ref="L22" ca="1">_FV(Table19[[#This Row],[Assets]],"Change (%)",TRUE)</f>
        <v>4.1534000000000001E-2</v>
      </c>
      <c r="M22" s="36">
        <f>SUMIF(Table20[Asset],Table19[[#This Row],[Assets]],Table20[realized_profit])</f>
        <v>0</v>
      </c>
      <c r="N22" s="36">
        <f>SUMIF(Table20[[#All],[Asset]],Table19[[#This Row],[Assets]],Table20[[#All],[delta_exposure]])</f>
        <v>0</v>
      </c>
      <c r="O22" s="38">
        <f ca="1">Table19[[#This Row],[Option Exposure]]/$B$6</f>
        <v>0</v>
      </c>
      <c r="P22" s="51">
        <f>SUMIF(Table25[[#All],[Assets]],Table19[[#This Row],[Assets]],Table25[[#All],[Number of stocks]])</f>
        <v>1000</v>
      </c>
      <c r="Q22" s="36">
        <f ca="1">Table19[[#This Row],[Num of Stocks]]*Table19[[#This Row],[Price]]</f>
        <v>3260</v>
      </c>
      <c r="R22" s="36">
        <f ca="1">Table19[[#This Row],[Stock Exposure]]+Table19[[#This Row],[Option Exposure]]</f>
        <v>3260</v>
      </c>
      <c r="S22" s="108">
        <f>IFERROR(Table19[[#This Row],[Num of Stocks]]*Table19[[#This Row],[Ave Entry]],"")</f>
        <v>1988.2547169811321</v>
      </c>
      <c r="T22" s="39">
        <f ca="1">Table19[[#This Row],[Combined Exposure]]/$C$8</f>
        <v>2.0548107095380727E-2</v>
      </c>
    </row>
    <row r="23" spans="1:20">
      <c r="A23" t="e" vm="30">
        <v>#VALUE!</v>
      </c>
      <c r="B23" s="13" t="str" cm="1">
        <f t="array" aca="1" ref="B23" ca="1">_FV(A23,"Ticker symbol",TRUE)</f>
        <v>NBIS</v>
      </c>
      <c r="C23" s="13" t="s">
        <v>83</v>
      </c>
      <c r="D23" s="13" t="s">
        <v>83</v>
      </c>
      <c r="E23" s="19" cm="1">
        <f t="array" aca="1" ref="E23" ca="1">IFERROR(_FV(A23,"Beta"),2)</f>
        <v>-13.254</v>
      </c>
      <c r="F23" s="13" t="str" cm="1">
        <f t="array" aca="1" ref="F23" ca="1">_FV(A23,"Instrument type",TRUE)</f>
        <v>Stock</v>
      </c>
      <c r="G23" s="18" cm="1">
        <f t="array" aca="1" ref="G23" ca="1">_FV(Table19[[#This Row],[Assets]],"Price")</f>
        <v>116.395</v>
      </c>
      <c r="H23" s="36">
        <f>IFERROR(VLOOKUP(Table19[[#This Row],[Assets]],Table25[#All],15,FALSE),"")</f>
        <v>38.444285714285712</v>
      </c>
      <c r="I23" s="36">
        <f>IFERROR(VLOOKUP(Table19[[#This Row],[Assets]],Table25[#All],16,FALSE),0)</f>
        <v>2129.471428571429</v>
      </c>
      <c r="J23" s="84">
        <f ca="1">IFERROR((Table19[[#This Row],[Price]]-Table19[[#This Row],[Ave Entry]])/Table19[[#This Row],[Ave Entry]],"")</f>
        <v>2.0276281074653486</v>
      </c>
      <c r="K23" s="92">
        <f ca="1">IFERROR((Table19[[#This Row],[Price]]-Table19[[#This Row],[Ave Entry]])*Table19[[#This Row],[Num of Stocks]],0)</f>
        <v>3118.0285714285715</v>
      </c>
      <c r="L23" s="38" cm="1">
        <f t="array" aca="1" ref="L23" ca="1">_FV(Table19[[#This Row],[Assets]],"Change (%)",TRUE)</f>
        <v>1.2923E-2</v>
      </c>
      <c r="M23" s="36">
        <f>SUMIF(Table20[Asset],Table19[[#This Row],[Assets]],Table20[realized_profit])</f>
        <v>1008.9999999999998</v>
      </c>
      <c r="N23" s="36">
        <f ca="1">SUMIF(Table20[[#All],[Asset]],Table19[[#This Row],[Assets]],Table20[[#All],[delta_exposure]])</f>
        <v>0</v>
      </c>
      <c r="O23" s="38">
        <f ca="1">Table19[[#This Row],[Option Exposure]]/$B$6</f>
        <v>0</v>
      </c>
      <c r="P23" s="51">
        <f>SUMIF(Table25[[#All],[Assets]],Table19[[#This Row],[Assets]],Table25[[#All],[Number of stocks]])</f>
        <v>40</v>
      </c>
      <c r="Q23" s="36">
        <f ca="1">Table19[[#This Row],[Num of Stocks]]*Table19[[#This Row],[Price]]</f>
        <v>4655.8</v>
      </c>
      <c r="R23" s="36">
        <f ca="1">Table19[[#This Row],[Stock Exposure]]+Table19[[#This Row],[Option Exposure]]</f>
        <v>4655.8</v>
      </c>
      <c r="S23" s="108">
        <f>IFERROR(Table19[[#This Row],[Num of Stocks]]*Table19[[#This Row],[Ave Entry]],"")</f>
        <v>1537.7714285714285</v>
      </c>
      <c r="T23" s="39">
        <f ca="1">Table19[[#This Row],[Combined Exposure]]/$C$8</f>
        <v>2.9345974544378404E-2</v>
      </c>
    </row>
    <row r="24" spans="1:20">
      <c r="A24" t="e" vm="37">
        <v>#VALUE!</v>
      </c>
      <c r="B24" s="13" t="str" cm="1">
        <f t="array" aca="1" ref="B24" ca="1">_FV(A24,"Ticker symbol",TRUE)</f>
        <v>AMD</v>
      </c>
      <c r="C24" s="13" t="s">
        <v>83</v>
      </c>
      <c r="D24" s="13" t="s">
        <v>540</v>
      </c>
      <c r="E24" s="19" cm="1">
        <f t="array" aca="1" ref="E24" ca="1">IFERROR(_FV(A24,"Beta"),2)</f>
        <v>1.9661999999999999</v>
      </c>
      <c r="F24" s="13" t="str" cm="1">
        <f t="array" aca="1" ref="F24" ca="1">_FV(A24,"Instrument type",TRUE)</f>
        <v>Stock</v>
      </c>
      <c r="G24" s="18" cm="1">
        <f t="array" aca="1" ref="G24" ca="1">_FV(Table19[[#This Row],[Assets]],"Price")</f>
        <v>218.91</v>
      </c>
      <c r="H24" s="36">
        <f>IFERROR(VLOOKUP(Table19[[#This Row],[Assets]],Table25[#All],15,FALSE),"")</f>
        <v>135.43512195121949</v>
      </c>
      <c r="I24" s="36">
        <f>IFERROR(VLOOKUP(Table19[[#This Row],[Assets]],Table25[#All],16,FALSE),0)</f>
        <v>88.412195121951328</v>
      </c>
      <c r="J24" s="84">
        <f ca="1">IFERROR((Table19[[#This Row],[Price]]-Table19[[#This Row],[Ave Entry]])/Table19[[#This Row],[Ave Entry]],"")</f>
        <v>0.61634586986118844</v>
      </c>
      <c r="K24" s="92">
        <f ca="1">IFERROR((Table19[[#This Row],[Price]]-Table19[[#This Row],[Ave Entry]])*Table19[[#This Row],[Num of Stocks]],0)</f>
        <v>1502.5478048780492</v>
      </c>
      <c r="L24" s="38" cm="1">
        <f t="array" aca="1" ref="L24" ca="1">_FV(Table19[[#This Row],[Assets]],"Change (%)",TRUE)</f>
        <v>6.5930000000000002E-2</v>
      </c>
      <c r="M24" s="36">
        <f>SUMIF(Table20[Asset],Table19[[#This Row],[Assets]],Table20[realized_profit])</f>
        <v>1567</v>
      </c>
      <c r="N24" s="36">
        <f ca="1">SUMIF(Table20[[#All],[Asset]],Table19[[#This Row],[Assets]],Table20[[#All],[delta_exposure]])</f>
        <v>0</v>
      </c>
      <c r="O24" s="38">
        <f ca="1">Table19[[#This Row],[Option Exposure]]/$B$6</f>
        <v>0</v>
      </c>
      <c r="P24" s="51">
        <f>SUMIF(Table25[[#All],[Assets]],Table19[[#This Row],[Assets]],Table25[[#All],[Number of stocks]])</f>
        <v>18</v>
      </c>
      <c r="Q24" s="36">
        <f ca="1">Table19[[#This Row],[Num of Stocks]]*Table19[[#This Row],[Price]]</f>
        <v>3940.38</v>
      </c>
      <c r="R24" s="36">
        <f ca="1">Table19[[#This Row],[Stock Exposure]]+Table19[[#This Row],[Option Exposure]]</f>
        <v>3940.38</v>
      </c>
      <c r="S24" s="108">
        <f>IFERROR(Table19[[#This Row],[Num of Stocks]]*Table19[[#This Row],[Ave Entry]],"")</f>
        <v>2437.8321951219509</v>
      </c>
      <c r="T24" s="39">
        <f ca="1">Table19[[#This Row],[Combined Exposure]]/$C$8</f>
        <v>2.4836610501992734E-2</v>
      </c>
    </row>
    <row r="25" spans="1:20">
      <c r="A25" t="e" vm="180">
        <v>#VALUE!</v>
      </c>
      <c r="B25" s="13" t="str" cm="1">
        <f t="array" aca="1" ref="B25" ca="1">_FV(A25,"Ticker symbol",TRUE)</f>
        <v>VELO</v>
      </c>
      <c r="C25" s="13" t="s">
        <v>38</v>
      </c>
      <c r="D25" s="13" t="s">
        <v>56</v>
      </c>
      <c r="E25" s="19" cm="1">
        <f t="array" aca="1" ref="E25" ca="1">IFERROR(_FV(A25,"Beta"),2)</f>
        <v>1.8136000000000001</v>
      </c>
      <c r="F25" s="13" t="str" cm="1">
        <f t="array" aca="1" ref="F25" ca="1">_FV(A25,"Instrument type",TRUE)</f>
        <v>Stock</v>
      </c>
      <c r="G25" s="18" cm="1">
        <f t="array" aca="1" ref="G25" ca="1">_FV(Table19[[#This Row],[Assets]],"Price")</f>
        <v>9.94</v>
      </c>
      <c r="H25" s="36">
        <f>IFERROR(VLOOKUP(Table19[[#This Row],[Assets]],Table25[#All],15,FALSE),"")</f>
        <v>6.0069030732860522</v>
      </c>
      <c r="I25" s="36">
        <f>IFERROR(VLOOKUP(Table19[[#This Row],[Assets]],Table25[#All],16,FALSE),0)</f>
        <v>1541.1196453900707</v>
      </c>
      <c r="J25" s="84">
        <f ca="1">IFERROR((Table19[[#This Row],[Price]]-Table19[[#This Row],[Ave Entry]])/Table19[[#This Row],[Ave Entry]],"")</f>
        <v>0.65476284180533018</v>
      </c>
      <c r="K25" s="92">
        <f ca="1">IFERROR((Table19[[#This Row],[Price]]-Table19[[#This Row],[Ave Entry]])*Table19[[#This Row],[Num of Stocks]],0)</f>
        <v>825.95035460992892</v>
      </c>
      <c r="L25" s="38" cm="1">
        <f t="array" aca="1" ref="L25" ca="1">_FV(Table19[[#This Row],[Assets]],"Change (%)",TRUE)</f>
        <v>-0.264793</v>
      </c>
      <c r="M25" s="36">
        <f>SUMIF(Table20[Asset],Table19[[#This Row],[Assets]],Table20[realized_profit])</f>
        <v>0</v>
      </c>
      <c r="N25" s="36">
        <f>SUMIF(Table20[[#All],[Asset]],Table19[[#This Row],[Assets]],Table20[[#All],[delta_exposure]])</f>
        <v>0</v>
      </c>
      <c r="O25" s="38">
        <f ca="1">Table19[[#This Row],[Option Exposure]]/$B$6</f>
        <v>0</v>
      </c>
      <c r="P25" s="51">
        <f>SUMIF(Table25[[#All],[Assets]],Table19[[#This Row],[Assets]],Table25[[#All],[Number of stocks]])</f>
        <v>210</v>
      </c>
      <c r="Q25" s="36">
        <f ca="1">Table19[[#This Row],[Num of Stocks]]*Table19[[#This Row],[Price]]</f>
        <v>2087.4</v>
      </c>
      <c r="R25" s="36">
        <f ca="1">Table19[[#This Row],[Stock Exposure]]+Table19[[#This Row],[Option Exposure]]</f>
        <v>2087.4</v>
      </c>
      <c r="S25" s="108">
        <f>IFERROR(Table19[[#This Row],[Num of Stocks]]*Table19[[#This Row],[Ave Entry]],"")</f>
        <v>1261.4496453900711</v>
      </c>
      <c r="T25" s="108">
        <f ca="1">Table19[[#This Row],[Combined Exposure]]/$C$8</f>
        <v>1.3157091641379673E-2</v>
      </c>
    </row>
    <row r="26" spans="1:20">
      <c r="A26" t="e" vm="181">
        <v>#VALUE!</v>
      </c>
      <c r="B26" s="13" t="str" cm="1">
        <f t="array" aca="1" ref="B26" ca="1">_FV(A26,"Ticker symbol",TRUE)</f>
        <v>TIC</v>
      </c>
      <c r="C26" s="13" t="s">
        <v>56</v>
      </c>
      <c r="D26" s="13" t="s">
        <v>56</v>
      </c>
      <c r="E26" s="19" cm="1">
        <f t="array" aca="1" ref="E26" ca="1">IFERROR(_FV(A26,"Beta"),2)</f>
        <v>0.91200000000000003</v>
      </c>
      <c r="F26" s="13" t="str" cm="1">
        <f t="array" aca="1" ref="F26" ca="1">_FV(A26,"Instrument type",TRUE)</f>
        <v>Stock</v>
      </c>
      <c r="G26" s="18" cm="1">
        <f t="array" aca="1" ref="G26" ca="1">_FV(Table19[[#This Row],[Assets]],"Price")</f>
        <v>7.4450000000000003</v>
      </c>
      <c r="H26" s="36">
        <f>IFERROR(VLOOKUP(Table19[[#This Row],[Assets]],Table25[#All],15,FALSE),"")</f>
        <v>12.609466119096508</v>
      </c>
      <c r="I26" s="36">
        <f>IFERROR(VLOOKUP(Table19[[#This Row],[Assets]],Table25[#All],16,FALSE),0)</f>
        <v>-1006.558049281314</v>
      </c>
      <c r="J26" s="84">
        <f ca="1">IFERROR((Table19[[#This Row],[Price]]-Table19[[#This Row],[Ave Entry]])/Table19[[#This Row],[Ave Entry]],"")</f>
        <v>-0.40957056153829863</v>
      </c>
      <c r="K26" s="92">
        <f ca="1">IFERROR((Table19[[#This Row],[Price]]-Table19[[#This Row],[Ave Entry]])*Table19[[#This Row],[Num of Stocks]],0)</f>
        <v>-464.8019507186857</v>
      </c>
      <c r="L26" s="38" cm="1">
        <f t="array" aca="1" ref="L26" ca="1">_FV(Table19[[#This Row],[Assets]],"Change (%)",TRUE)</f>
        <v>1.8467999999999998E-2</v>
      </c>
      <c r="M26" s="36">
        <f>SUMIF(Table20[Asset],Table19[[#This Row],[Assets]],Table20[realized_profit])</f>
        <v>0</v>
      </c>
      <c r="N26" s="36">
        <f ca="1">SUMIF(Table20[[#All],[Asset]],Table19[[#This Row],[Assets]],Table20[[#All],[delta_exposure]])</f>
        <v>0</v>
      </c>
      <c r="O26" s="38">
        <f ca="1">Table19[[#This Row],[Option Exposure]]/$B$6</f>
        <v>0</v>
      </c>
      <c r="P26" s="51">
        <f>SUMIF(Table25[[#All],[Assets]],Table19[[#This Row],[Assets]],Table25[[#All],[Number of stocks]])</f>
        <v>90</v>
      </c>
      <c r="Q26" s="36">
        <f ca="1">Table19[[#This Row],[Num of Stocks]]*Table19[[#This Row],[Price]]</f>
        <v>670.05000000000007</v>
      </c>
      <c r="R26" s="36">
        <f ca="1">Table19[[#This Row],[Stock Exposure]]+Table19[[#This Row],[Option Exposure]]</f>
        <v>670.05000000000007</v>
      </c>
      <c r="S26" s="108">
        <f>IFERROR(Table19[[#This Row],[Num of Stocks]]*Table19[[#This Row],[Ave Entry]],"")</f>
        <v>1134.8519507186857</v>
      </c>
      <c r="T26" s="108">
        <f ca="1">Table19[[#This Row],[Combined Exposure]]/$C$8</f>
        <v>4.2233923801410604E-3</v>
      </c>
    </row>
    <row r="27" spans="1:20">
      <c r="A27" t="e" vm="182">
        <v>#VALUE!</v>
      </c>
      <c r="B27" s="13" t="str" cm="1">
        <f t="array" aca="1" ref="B27" ca="1">_FV(A27,"Ticker symbol",TRUE)</f>
        <v>PUMP</v>
      </c>
      <c r="C27" s="13" t="s">
        <v>31</v>
      </c>
      <c r="D27" s="13" t="s">
        <v>31</v>
      </c>
      <c r="E27" s="19" cm="1">
        <f t="array" aca="1" ref="E27" ca="1">IFERROR(_FV(A27,"Beta"),2)</f>
        <v>0.622</v>
      </c>
      <c r="F27" s="13" t="str" cm="1">
        <f t="array" aca="1" ref="F27" ca="1">_FV(A27,"Instrument type",TRUE)</f>
        <v>Stock</v>
      </c>
      <c r="G27" s="18" cm="1">
        <f t="array" aca="1" ref="G27" ca="1">_FV(Table19[[#This Row],[Assets]],"Price")</f>
        <v>14.55</v>
      </c>
      <c r="H27" s="36">
        <f>IFERROR(VLOOKUP(Table19[[#This Row],[Assets]],Table25[#All],15,FALSE),"")</f>
        <v>7.0323529411764705</v>
      </c>
      <c r="I27" s="36">
        <f>IFERROR(VLOOKUP(Table19[[#This Row],[Assets]],Table25[#All],16,FALSE),0)</f>
        <v>127.764705882353</v>
      </c>
      <c r="J27" s="84">
        <f ca="1">IFERROR((Table19[[#This Row],[Price]]-Table19[[#This Row],[Ave Entry]])/Table19[[#This Row],[Ave Entry]],"")</f>
        <v>1.0690087829360102</v>
      </c>
      <c r="K27" s="92">
        <f ca="1">IFERROR((Table19[[#This Row],[Price]]-Table19[[#This Row],[Ave Entry]])*Table19[[#This Row],[Num of Stocks]],0)</f>
        <v>2443.2352941176473</v>
      </c>
      <c r="L27" s="38" cm="1">
        <f t="array" aca="1" ref="L27" ca="1">_FV(Table19[[#This Row],[Assets]],"Change (%)",TRUE)</f>
        <v>-2.0202000000000001E-2</v>
      </c>
      <c r="M27" s="36">
        <f>SUMIF(Table20[Asset],Table19[[#This Row],[Assets]],Table20[realized_profit])</f>
        <v>0</v>
      </c>
      <c r="N27" s="36">
        <f>SUMIF(Table20[[#All],[Asset]],Table19[[#This Row],[Assets]],Table20[[#All],[delta_exposure]])</f>
        <v>0</v>
      </c>
      <c r="O27" s="38">
        <f ca="1">Table19[[#This Row],[Option Exposure]]/$B$6</f>
        <v>0</v>
      </c>
      <c r="P27" s="51">
        <f>SUMIF(Table25[[#All],[Assets]],Table19[[#This Row],[Assets]],Table25[[#All],[Number of stocks]])</f>
        <v>325</v>
      </c>
      <c r="Q27" s="36">
        <f ca="1">Table19[[#This Row],[Num of Stocks]]*Table19[[#This Row],[Price]]</f>
        <v>4728.75</v>
      </c>
      <c r="R27" s="36">
        <f ca="1">Table19[[#This Row],[Stock Exposure]]+Table19[[#This Row],[Option Exposure]]</f>
        <v>4728.75</v>
      </c>
      <c r="S27" s="108">
        <f>IFERROR(Table19[[#This Row],[Num of Stocks]]*Table19[[#This Row],[Ave Entry]],"")</f>
        <v>2285.5147058823527</v>
      </c>
      <c r="T27" s="39">
        <f ca="1">Table19[[#This Row],[Combined Exposure]]/$C$8</f>
        <v>2.9805785713890066E-2</v>
      </c>
    </row>
    <row r="28" spans="1:20">
      <c r="A28" t="e" vm="129">
        <v>#VALUE!</v>
      </c>
      <c r="B28" s="13" t="str" cm="1">
        <f t="array" aca="1" ref="B28" ca="1">_FV(A28,"Ticker symbol",TRUE)</f>
        <v>MRVL</v>
      </c>
      <c r="C28" s="13" t="s">
        <v>83</v>
      </c>
      <c r="D28" s="13" t="s">
        <v>258</v>
      </c>
      <c r="E28" s="19" cm="1">
        <f t="array" aca="1" ref="E28" ca="1">IFERROR(_FV(A28,"Beta"),2)</f>
        <v>1.8774999999999999</v>
      </c>
      <c r="F28" s="13" t="str" cm="1">
        <f t="array" aca="1" ref="F28" ca="1">_FV(A28,"Instrument type",TRUE)</f>
        <v>Stock</v>
      </c>
      <c r="G28" s="18" cm="1">
        <f t="array" aca="1" ref="G28" ca="1">_FV(Table19[[#This Row],[Assets]],"Price")</f>
        <v>96.84</v>
      </c>
      <c r="H28" s="36">
        <f>IFERROR(VLOOKUP(Table19[[#This Row],[Assets]],Table25[#All],15,FALSE),"")</f>
        <v>77.86304761904762</v>
      </c>
      <c r="I28" s="36">
        <f>IFERROR(VLOOKUP(Table19[[#This Row],[Assets]],Table25[#All],16,FALSE),0)</f>
        <v>283.09704761904754</v>
      </c>
      <c r="J28" s="84">
        <f ca="1">IFERROR((Table19[[#This Row],[Price]]-Table19[[#This Row],[Ave Entry]])/Table19[[#This Row],[Ave Entry]],"")</f>
        <v>0.24372218865358225</v>
      </c>
      <c r="K28" s="92">
        <f ca="1">IFERROR((Table19[[#This Row],[Price]]-Table19[[#This Row],[Ave Entry]])*Table19[[#This Row],[Num of Stocks]],0)</f>
        <v>417.49295238095243</v>
      </c>
      <c r="L28" s="38" cm="1">
        <f t="array" aca="1" ref="L28" ca="1">_FV(Table19[[#This Row],[Assets]],"Change (%)",TRUE)</f>
        <v>4.8506000000000001E-2</v>
      </c>
      <c r="M28" s="36">
        <f>SUMIF(Table20[Asset],Table19[[#This Row],[Assets]],Table20[realized_profit])</f>
        <v>-1014.0000000000001</v>
      </c>
      <c r="N28" s="36">
        <f ca="1">SUMIF(Table20[[#All],[Asset]],Table19[[#This Row],[Assets]],Table20[[#All],[delta_exposure]])</f>
        <v>0</v>
      </c>
      <c r="O28" s="98">
        <f ca="1">Table19[[#This Row],[Option Exposure]]/$B$6</f>
        <v>0</v>
      </c>
      <c r="P28" s="51">
        <f>SUMIF(Table25[[#All],[Assets]],Table19[[#This Row],[Assets]],Table25[[#All],[Number of stocks]])</f>
        <v>22</v>
      </c>
      <c r="Q28" s="36">
        <f ca="1">Table19[[#This Row],[Num of Stocks]]*Table19[[#This Row],[Price]]</f>
        <v>2130.48</v>
      </c>
      <c r="R28" s="36">
        <f ca="1">Table19[[#This Row],[Stock Exposure]]+Table19[[#This Row],[Option Exposure]]</f>
        <v>2130.48</v>
      </c>
      <c r="S28" s="108">
        <f>IFERROR(Table19[[#This Row],[Num of Stocks]]*Table19[[#This Row],[Ave Entry]],"")</f>
        <v>1712.9870476190476</v>
      </c>
      <c r="T28" s="39">
        <f ca="1">Table19[[#This Row],[Combined Exposure]]/$C$8</f>
        <v>1.3428629203854826E-2</v>
      </c>
    </row>
    <row r="29" spans="1:20">
      <c r="A29" t="e" vm="183">
        <v>#VALUE!</v>
      </c>
      <c r="B29" s="13" t="str" cm="1">
        <f t="array" aca="1" ref="B29" ca="1">_FV(A29,"Ticker symbol",TRUE)</f>
        <v>ESOA</v>
      </c>
      <c r="C29" s="13" t="s">
        <v>31</v>
      </c>
      <c r="D29" s="13" t="s">
        <v>31</v>
      </c>
      <c r="E29" s="19" cm="1">
        <f t="array" aca="1" ref="E29" ca="1">IFERROR(_FV(A29,"Beta"),2)</f>
        <v>1.3280000000000001</v>
      </c>
      <c r="F29" s="13" t="str" cm="1">
        <f t="array" aca="1" ref="F29" ca="1">_FV(A29,"Instrument type",TRUE)</f>
        <v>Stock</v>
      </c>
      <c r="G29" s="18" cm="1">
        <f t="array" aca="1" ref="G29" ca="1">_FV(Table19[[#This Row],[Assets]],"Price")</f>
        <v>14.234999999999999</v>
      </c>
      <c r="H29" s="36">
        <f>IFERROR(VLOOKUP(Table19[[#This Row],[Assets]],Table25[#All],15,FALSE),"")</f>
        <v>9.9087227074235802</v>
      </c>
      <c r="I29" s="36">
        <f>IFERROR(VLOOKUP(Table19[[#This Row],[Assets]],Table25[#All],16,FALSE),0)</f>
        <v>-868.87720524017482</v>
      </c>
      <c r="J29" s="84">
        <f ca="1">IFERROR((Table19[[#This Row],[Price]]-Table19[[#This Row],[Ave Entry]])/Table19[[#This Row],[Ave Entry]],"")</f>
        <v>0.43661301464569069</v>
      </c>
      <c r="K29" s="92">
        <f ca="1">IFERROR((Table19[[#This Row],[Price]]-Table19[[#This Row],[Ave Entry]])*Table19[[#This Row],[Num of Stocks]],0)</f>
        <v>1142.1372052401746</v>
      </c>
      <c r="L29" s="38" cm="1">
        <f t="array" aca="1" ref="L29" ca="1">_FV(Table19[[#This Row],[Assets]],"Change (%)",TRUE)</f>
        <v>-1.7597999999999999E-2</v>
      </c>
      <c r="M29" s="36">
        <f>SUMIF(Table20[Asset],Table19[[#This Row],[Assets]],Table20[realized_profit])</f>
        <v>0</v>
      </c>
      <c r="N29" s="36">
        <f>SUMIF(Table20[[#All],[Asset]],Table19[[#This Row],[Assets]],Table20[[#All],[delta_exposure]])</f>
        <v>0</v>
      </c>
      <c r="O29" s="38">
        <f ca="1">Table19[[#This Row],[Option Exposure]]/$B$6</f>
        <v>0</v>
      </c>
      <c r="P29" s="51">
        <f>SUMIF(Table25[[#All],[Assets]],Table19[[#This Row],[Assets]],Table25[[#All],[Number of stocks]])</f>
        <v>264</v>
      </c>
      <c r="Q29" s="36">
        <f ca="1">Table19[[#This Row],[Num of Stocks]]*Table19[[#This Row],[Price]]</f>
        <v>3758.04</v>
      </c>
      <c r="R29" s="36">
        <f ca="1">Table19[[#This Row],[Stock Exposure]]+Table19[[#This Row],[Option Exposure]]</f>
        <v>3758.04</v>
      </c>
      <c r="S29" s="108">
        <f>IFERROR(Table19[[#This Row],[Num of Stocks]]*Table19[[#This Row],[Ave Entry]],"")</f>
        <v>2615.9027947598252</v>
      </c>
      <c r="T29" s="39">
        <f ca="1">Table19[[#This Row],[Combined Exposure]]/$C$8</f>
        <v>2.3687303186725333E-2</v>
      </c>
    </row>
    <row r="30" spans="1:20">
      <c r="A30" t="e" vm="163">
        <v>#VALUE!</v>
      </c>
      <c r="B30" s="13" t="str" cm="1">
        <f t="array" aca="1" ref="B30" ca="1">_FV(A30,"Ticker symbol",TRUE)</f>
        <v>LLY</v>
      </c>
      <c r="C30" s="13" t="s">
        <v>53</v>
      </c>
      <c r="D30" s="13" t="s">
        <v>454</v>
      </c>
      <c r="E30" s="19" cm="1">
        <f t="array" aca="1" ref="E30" ca="1">IFERROR(_FV(A30,"Beta"),2)</f>
        <v>0.50819999999999999</v>
      </c>
      <c r="F30" s="13" t="str" cm="1">
        <f t="array" aca="1" ref="F30" ca="1">_FV(A30,"Instrument type",TRUE)</f>
        <v>Stock</v>
      </c>
      <c r="G30" s="18" cm="1">
        <f t="array" aca="1" ref="G30" ca="1">_FV(Table19[[#This Row],[Assets]],"Price")</f>
        <v>910.82500000000005</v>
      </c>
      <c r="H30" s="36">
        <f>IFERROR(VLOOKUP(Table19[[#This Row],[Assets]],Table25[#All],15,FALSE),"")</f>
        <v>670.41333333333341</v>
      </c>
      <c r="I30" s="36">
        <f>IFERROR(VLOOKUP(Table19[[#This Row],[Assets]],Table25[#All],16,FALSE),0)</f>
        <v>390.58666666666659</v>
      </c>
      <c r="J30" s="84">
        <f ca="1">IFERROR((Table19[[#This Row],[Price]]-Table19[[#This Row],[Ave Entry]])/Table19[[#This Row],[Ave Entry]],"")</f>
        <v>0.35860215588393218</v>
      </c>
      <c r="K30" s="92">
        <f ca="1">IFERROR((Table19[[#This Row],[Price]]-Table19[[#This Row],[Ave Entry]])*Table19[[#This Row],[Num of Stocks]],0)</f>
        <v>480.82333333333327</v>
      </c>
      <c r="L30" s="38" cm="1">
        <f t="array" aca="1" ref="L30" ca="1">_FV(Table19[[#This Row],[Assets]],"Change (%)",TRUE)</f>
        <v>8.6429999999999996E-3</v>
      </c>
      <c r="M30" s="36">
        <f>SUMIF(Table20[Asset],Table19[[#This Row],[Assets]],Table20[realized_profit])</f>
        <v>8506.9999999999982</v>
      </c>
      <c r="N30" s="36">
        <f ca="1">SUMIF(Table20[[#All],[Asset]],Table19[[#This Row],[Assets]],Table20[[#All],[delta_exposure]])</f>
        <v>0</v>
      </c>
      <c r="O30" s="38">
        <f ca="1">Table19[[#This Row],[Option Exposure]]/$B$6</f>
        <v>0</v>
      </c>
      <c r="P30" s="51">
        <f>SUMIF(Table25[[#All],[Assets]],Table19[[#This Row],[Assets]],Table25[[#All],[Number of stocks]])</f>
        <v>2</v>
      </c>
      <c r="Q30" s="36">
        <f ca="1">Table19[[#This Row],[Num of Stocks]]*Table19[[#This Row],[Price]]</f>
        <v>1821.65</v>
      </c>
      <c r="R30" s="36">
        <f ca="1">Table19[[#This Row],[Stock Exposure]]+Table19[[#This Row],[Option Exposure]]</f>
        <v>1821.65</v>
      </c>
      <c r="S30" s="108">
        <f>IFERROR(Table19[[#This Row],[Num of Stocks]]*Table19[[#This Row],[Ave Entry]],"")</f>
        <v>1340.8266666666668</v>
      </c>
      <c r="T30" s="39">
        <f ca="1">Table19[[#This Row],[Combined Exposure]]/$C$8</f>
        <v>1.1482042727085983E-2</v>
      </c>
    </row>
    <row r="31" spans="1:20">
      <c r="A31" t="e" vm="184">
        <v>#VALUE!</v>
      </c>
      <c r="B31" s="13" t="str" cm="1">
        <f t="array" aca="1" ref="B31" ca="1">_FV(A31,"Ticker symbol",TRUE)</f>
        <v>LPTH</v>
      </c>
      <c r="C31" s="13" t="s">
        <v>38</v>
      </c>
      <c r="D31" s="13" t="s">
        <v>513</v>
      </c>
      <c r="E31" s="19" cm="1">
        <f t="array" aca="1" ref="E31" ca="1">IFERROR(_FV(A31,"Beta"),2)</f>
        <v>0.98839999999999995</v>
      </c>
      <c r="F31" s="13" t="str" cm="1">
        <f t="array" aca="1" ref="F31" ca="1">_FV(A31,"Instrument type",TRUE)</f>
        <v>Stock</v>
      </c>
      <c r="G31" s="18" cm="1">
        <f t="array" aca="1" ref="G31" ca="1">_FV(Table19[[#This Row],[Assets]],"Price")</f>
        <v>12.654999999999999</v>
      </c>
      <c r="H31" s="36">
        <f>IFERROR(VLOOKUP(Table19[[#This Row],[Assets]],Table25[#All],15,FALSE),"")</f>
        <v>6.7432093023255808</v>
      </c>
      <c r="I31" s="36">
        <f>IFERROR(VLOOKUP(Table19[[#This Row],[Assets]],Table25[#All],16,FALSE),0)</f>
        <v>0</v>
      </c>
      <c r="J31" s="84">
        <f ca="1">IFERROR((Table19[[#This Row],[Price]]-Table19[[#This Row],[Ave Entry]])/Table19[[#This Row],[Ave Entry]],"")</f>
        <v>0.87670283282406425</v>
      </c>
      <c r="K31" s="92">
        <f ca="1">IFERROR((Table19[[#This Row],[Price]]-Table19[[#This Row],[Ave Entry]])*Table19[[#This Row],[Num of Stocks]],0)</f>
        <v>1271.0350000000001</v>
      </c>
      <c r="L31" s="38" cm="1">
        <f t="array" aca="1" ref="L31" ca="1">_FV(Table19[[#This Row],[Assets]],"Change (%)",TRUE)</f>
        <v>6.6132999999999997E-2</v>
      </c>
      <c r="M31" s="36">
        <f>SUMIF(Table20[Asset],Table19[[#This Row],[Assets]],Table20[realized_profit])</f>
        <v>0</v>
      </c>
      <c r="N31" s="36">
        <f>SUMIF(Table20[[#All],[Asset]],Table19[[#This Row],[Assets]],Table20[[#All],[delta_exposure]])</f>
        <v>0</v>
      </c>
      <c r="O31" s="38">
        <f ca="1">Table19[[#This Row],[Option Exposure]]/$B$6</f>
        <v>0</v>
      </c>
      <c r="P31" s="51">
        <f>SUMIF(Table25[[#All],[Assets]],Table19[[#This Row],[Assets]],Table25[[#All],[Number of stocks]])</f>
        <v>215</v>
      </c>
      <c r="Q31" s="36">
        <f ca="1">Table19[[#This Row],[Num of Stocks]]*Table19[[#This Row],[Price]]</f>
        <v>2720.8249999999998</v>
      </c>
      <c r="R31" s="36">
        <f ca="1">Table19[[#This Row],[Stock Exposure]]+Table19[[#This Row],[Option Exposure]]</f>
        <v>2720.8249999999998</v>
      </c>
      <c r="S31" s="108">
        <f>IFERROR(Table19[[#This Row],[Num of Stocks]]*Table19[[#This Row],[Ave Entry]],"")</f>
        <v>1449.79</v>
      </c>
      <c r="T31" s="108">
        <f ca="1">Table19[[#This Row],[Combined Exposure]]/$C$8</f>
        <v>1.7149632971714499E-2</v>
      </c>
    </row>
    <row r="32" spans="1:20">
      <c r="A32" t="e" vm="85">
        <v>#VALUE!</v>
      </c>
      <c r="B32" s="13" t="str" cm="1">
        <f t="array" aca="1" ref="B32" ca="1">_FV(A32,"Ticker symbol",TRUE)</f>
        <v>HOOD</v>
      </c>
      <c r="C32" s="13" t="s">
        <v>54</v>
      </c>
      <c r="D32" s="13" t="s">
        <v>23</v>
      </c>
      <c r="E32" s="19" cm="1">
        <f t="array" aca="1" ref="E32" ca="1">IFERROR(_FV(A32,"Beta"),2)</f>
        <v>2.4706000000000001</v>
      </c>
      <c r="F32" s="13" t="str" cm="1">
        <f t="array" aca="1" ref="F32" ca="1">_FV(A32,"Instrument type",TRUE)</f>
        <v>Stock</v>
      </c>
      <c r="G32" s="18" cm="1">
        <f t="array" aca="1" ref="G32" ca="1">_FV(Table19[[#This Row],[Assets]],"Price")</f>
        <v>73.7517</v>
      </c>
      <c r="H32" s="36">
        <f>IFERROR(VLOOKUP(Table19[[#This Row],[Assets]],Table25[#All],15,FALSE),"")</f>
        <v>38.629428571428576</v>
      </c>
      <c r="I32" s="36">
        <f>IFERROR(VLOOKUP(Table19[[#This Row],[Assets]],Table25[#All],16,FALSE),0)</f>
        <v>-834.92428571428582</v>
      </c>
      <c r="J32" s="84">
        <f ca="1">IFERROR((Table19[[#This Row],[Price]]-Table19[[#This Row],[Ave Entry]])/Table19[[#This Row],[Ave Entry]],"")</f>
        <v>0.90921022462519296</v>
      </c>
      <c r="K32" s="92">
        <f ca="1">IFERROR((Table19[[#This Row],[Price]]-Table19[[#This Row],[Ave Entry]])*Table19[[#This Row],[Num of Stocks]],0)</f>
        <v>878.05678571428552</v>
      </c>
      <c r="L32" s="38" cm="1">
        <f t="array" aca="1" ref="L32" ca="1">_FV(Table19[[#This Row],[Assets]],"Change (%)",TRUE)</f>
        <v>6.7626999999999993E-2</v>
      </c>
      <c r="M32" s="36">
        <f>SUMIF(Table20[Asset],Table19[[#This Row],[Assets]],Table20[realized_profit])</f>
        <v>-371</v>
      </c>
      <c r="N32" s="36">
        <f ca="1">SUMIF(Table20[[#All],[Asset]],Table19[[#This Row],[Assets]],Table20[[#All],[delta_exposure]])</f>
        <v>0</v>
      </c>
      <c r="O32" s="98">
        <f ca="1">Table19[[#This Row],[Option Exposure]]/$B$6</f>
        <v>0</v>
      </c>
      <c r="P32" s="51">
        <f>SUMIF(Table25[[#All],[Assets]],Table19[[#This Row],[Assets]],Table25[[#All],[Number of stocks]])</f>
        <v>25</v>
      </c>
      <c r="Q32" s="36">
        <f ca="1">Table19[[#This Row],[Num of Stocks]]*Table19[[#This Row],[Price]]</f>
        <v>1843.7925</v>
      </c>
      <c r="R32" s="36">
        <f ca="1">Table19[[#This Row],[Stock Exposure]]+Table19[[#This Row],[Option Exposure]]</f>
        <v>1843.7925</v>
      </c>
      <c r="S32" s="108">
        <f>IFERROR(Table19[[#This Row],[Num of Stocks]]*Table19[[#This Row],[Ave Entry]],"")</f>
        <v>965.73571428571438</v>
      </c>
      <c r="T32" s="39">
        <f ca="1">Table19[[#This Row],[Combined Exposure]]/$C$8</f>
        <v>1.1621609126276003E-2</v>
      </c>
    </row>
    <row r="33" spans="1:20">
      <c r="A33" t="e" vm="185">
        <v>#VALUE!</v>
      </c>
      <c r="B33" s="13" t="str" cm="1">
        <f t="array" aca="1" ref="B33" ca="1">_FV(A33,"Ticker symbol",TRUE)</f>
        <v>ALMU</v>
      </c>
      <c r="C33" s="13" t="s">
        <v>84</v>
      </c>
      <c r="D33" s="13" t="s">
        <v>84</v>
      </c>
      <c r="E33" s="19" cm="1">
        <f t="array" aca="1" ref="E33" ca="1">IFERROR(_FV(A33,"Beta"),2)</f>
        <v>3.8570000000000002</v>
      </c>
      <c r="F33" s="13" t="str" cm="1">
        <f t="array" aca="1" ref="F33" ca="1">_FV(A33,"Instrument type",TRUE)</f>
        <v>Stock</v>
      </c>
      <c r="G33" s="18" cm="1">
        <f t="array" aca="1" ref="G33" ca="1">_FV(Table19[[#This Row],[Assets]],"Price")</f>
        <v>13.48</v>
      </c>
      <c r="H33" s="36">
        <f>IFERROR(VLOOKUP(Table19[[#This Row],[Assets]],Table25[#All],15,FALSE),"")</f>
        <v>17.484771241830067</v>
      </c>
      <c r="I33" s="36">
        <f>IFERROR(VLOOKUP(Table19[[#This Row],[Assets]],Table25[#All],16,FALSE),0)</f>
        <v>0</v>
      </c>
      <c r="J33" s="84">
        <f ca="1">IFERROR((Table19[[#This Row],[Price]]-Table19[[#This Row],[Ave Entry]])/Table19[[#This Row],[Ave Entry]],"")</f>
        <v>-0.229043387896844</v>
      </c>
      <c r="K33" s="92">
        <f ca="1">IFERROR((Table19[[#This Row],[Price]]-Table19[[#This Row],[Ave Entry]])*Table19[[#This Row],[Num of Stocks]],0)</f>
        <v>-612.73000000000025</v>
      </c>
      <c r="L33" s="38" cm="1">
        <f t="array" aca="1" ref="L33" ca="1">_FV(Table19[[#This Row],[Assets]],"Change (%)",TRUE)</f>
        <v>3.8521E-2</v>
      </c>
      <c r="M33" s="36">
        <f>SUMIF(Table20[Asset],Table19[[#This Row],[Assets]],Table20[realized_profit])</f>
        <v>0</v>
      </c>
      <c r="N33" s="36">
        <f>SUMIF(Table20[[#All],[Asset]],Table19[[#This Row],[Assets]],Table20[[#All],[delta_exposure]])</f>
        <v>0</v>
      </c>
      <c r="O33" s="38">
        <f ca="1">Table19[[#This Row],[Option Exposure]]/$B$6</f>
        <v>0</v>
      </c>
      <c r="P33" s="51">
        <f>SUMIF(Table25[[#All],[Assets]],Table19[[#This Row],[Assets]],Table25[[#All],[Number of stocks]])</f>
        <v>153</v>
      </c>
      <c r="Q33" s="36">
        <f ca="1">Table19[[#This Row],[Num of Stocks]]*Table19[[#This Row],[Price]]</f>
        <v>2062.44</v>
      </c>
      <c r="R33" s="36">
        <f ca="1">Table19[[#This Row],[Stock Exposure]]+Table19[[#This Row],[Option Exposure]]</f>
        <v>2062.44</v>
      </c>
      <c r="S33" s="108">
        <f>IFERROR(Table19[[#This Row],[Num of Stocks]]*Table19[[#This Row],[Ave Entry]],"")</f>
        <v>2675.1700000000005</v>
      </c>
      <c r="T33" s="108">
        <f ca="1">Table19[[#This Row],[Combined Exposure]]/$C$8</f>
        <v>1.2999766256992954E-2</v>
      </c>
    </row>
    <row r="34" spans="1:20">
      <c r="A34" t="e" vm="19">
        <v>#VALUE!</v>
      </c>
      <c r="B34" s="13" t="str" cm="1">
        <f t="array" aca="1" ref="B34" ca="1">_FV(A34,"Ticker symbol",TRUE)</f>
        <v>OUST</v>
      </c>
      <c r="C34" s="13" t="s">
        <v>521</v>
      </c>
      <c r="D34" s="13" t="s">
        <v>521</v>
      </c>
      <c r="E34" s="19" cm="1">
        <f t="array" aca="1" ref="E34" ca="1">IFERROR(_FV(A34,"Beta"),2)</f>
        <v>2.9340000000000002</v>
      </c>
      <c r="F34" s="13" t="str" cm="1">
        <f t="array" aca="1" ref="F34" ca="1">_FV(A34,"Instrument type",TRUE)</f>
        <v>Stock</v>
      </c>
      <c r="G34" s="18" cm="1">
        <f t="array" aca="1" ref="G34" ca="1">_FV(Table19[[#This Row],[Assets]],"Price")</f>
        <v>21.2</v>
      </c>
      <c r="H34" s="36">
        <f>IFERROR(VLOOKUP(Table19[[#This Row],[Assets]],Table25[#All],15,FALSE),"")</f>
        <v>13.59212962962963</v>
      </c>
      <c r="I34" s="36">
        <f>IFERROR(VLOOKUP(Table19[[#This Row],[Assets]],Table25[#All],16,FALSE),0)</f>
        <v>2158.7932407407411</v>
      </c>
      <c r="J34" s="84">
        <f ca="1">IFERROR((Table19[[#This Row],[Price]]-Table19[[#This Row],[Ave Entry]])/Table19[[#This Row],[Ave Entry]],"")</f>
        <v>0.55972614871078707</v>
      </c>
      <c r="K34" s="92">
        <f ca="1">IFERROR((Table19[[#This Row],[Price]]-Table19[[#This Row],[Ave Entry]])*Table19[[#This Row],[Num of Stocks]],0)</f>
        <v>190.19675925925924</v>
      </c>
      <c r="L34" s="38" cm="1">
        <f t="array" aca="1" ref="L34" ca="1">_FV(Table19[[#This Row],[Assets]],"Change (%)",TRUE)</f>
        <v>3.0627000000000001E-2</v>
      </c>
      <c r="M34" s="36">
        <f>SUMIF(Table20[Asset],Table19[[#This Row],[Assets]],Table20[realized_profit])</f>
        <v>0</v>
      </c>
      <c r="N34" s="36">
        <f>SUMIF(Table20[[#All],[Asset]],Table19[[#This Row],[Assets]],Table20[[#All],[delta_exposure]])</f>
        <v>0</v>
      </c>
      <c r="O34" s="98">
        <f ca="1">Table19[[#This Row],[Option Exposure]]/$B$6</f>
        <v>0</v>
      </c>
      <c r="P34" s="51">
        <f>SUMIF(Table25[[#All],[Assets]],Table19[[#This Row],[Assets]],Table25[[#All],[Number of stocks]])</f>
        <v>25</v>
      </c>
      <c r="Q34" s="36">
        <f ca="1">Table19[[#This Row],[Num of Stocks]]*Table19[[#This Row],[Price]]</f>
        <v>530</v>
      </c>
      <c r="R34" s="36">
        <f ca="1">Table19[[#This Row],[Stock Exposure]]+Table19[[#This Row],[Option Exposure]]</f>
        <v>530</v>
      </c>
      <c r="S34" s="108">
        <f>IFERROR(Table19[[#This Row],[Num of Stocks]]*Table19[[#This Row],[Ave Entry]],"")</f>
        <v>339.80324074074076</v>
      </c>
      <c r="T34" s="39">
        <f ca="1">Table19[[#This Row],[Combined Exposure]]/$C$8</f>
        <v>3.34064317808337E-3</v>
      </c>
    </row>
    <row r="35" spans="1:20">
      <c r="A35" t="e" vm="186">
        <v>#VALUE!</v>
      </c>
      <c r="B35" s="13" t="str" cm="1">
        <f t="array" aca="1" ref="B35" ca="1">_FV(A35,"Ticker symbol",TRUE)</f>
        <v>TSEM</v>
      </c>
      <c r="C35" s="13" t="s">
        <v>84</v>
      </c>
      <c r="D35" s="13" t="s">
        <v>548</v>
      </c>
      <c r="E35" s="19" cm="1">
        <f t="array" aca="1" ref="E35" ca="1">IFERROR(_FV(A35,"Beta"),2)</f>
        <v>0.70520000000000005</v>
      </c>
      <c r="F35" s="13" t="str" cm="1">
        <f t="array" aca="1" ref="F35" ca="1">_FV(A35,"Instrument type",TRUE)</f>
        <v>Stock</v>
      </c>
      <c r="G35" s="18" cm="1">
        <f t="array" aca="1" ref="G35" ca="1">_FV(Table19[[#This Row],[Assets]],"Price")</f>
        <v>193.64</v>
      </c>
      <c r="H35" s="36">
        <f>IFERROR(VLOOKUP(Table19[[#This Row],[Assets]],Table25[#All],15,FALSE),"")</f>
        <v>69.08461538461539</v>
      </c>
      <c r="I35" s="36">
        <f>IFERROR(VLOOKUP(Table19[[#This Row],[Assets]],Table25[#All],16,FALSE),0)</f>
        <v>581.69230769230762</v>
      </c>
      <c r="J35" s="84">
        <f ca="1">IFERROR((Table19[[#This Row],[Price]]-Table19[[#This Row],[Ave Entry]])/Table19[[#This Row],[Ave Entry]],"")</f>
        <v>1.8029395390268341</v>
      </c>
      <c r="K35" s="92">
        <f ca="1">IFERROR((Table19[[#This Row],[Price]]-Table19[[#This Row],[Ave Entry]])*Table19[[#This Row],[Num of Stocks]],0)</f>
        <v>2491.1076923076921</v>
      </c>
      <c r="L35" s="38" cm="1">
        <f t="array" aca="1" ref="L35" ca="1">_FV(Table19[[#This Row],[Assets]],"Change (%)",TRUE)</f>
        <v>7.0899000000000004E-2</v>
      </c>
      <c r="M35" s="36">
        <f>SUMIF(Table20[Asset],Table19[[#This Row],[Assets]],Table20[realized_profit])</f>
        <v>0</v>
      </c>
      <c r="N35" s="36">
        <f>SUMIF(Table20[[#All],[Asset]],Table19[[#This Row],[Assets]],Table20[[#All],[delta_exposure]])</f>
        <v>0</v>
      </c>
      <c r="O35" s="38">
        <f ca="1">Table19[[#This Row],[Option Exposure]]/$B$6</f>
        <v>0</v>
      </c>
      <c r="P35" s="51">
        <f>SUMIF(Table25[[#All],[Assets]],Table19[[#This Row],[Assets]],Table25[[#All],[Number of stocks]])</f>
        <v>20</v>
      </c>
      <c r="Q35" s="36">
        <f ca="1">Table19[[#This Row],[Num of Stocks]]*Table19[[#This Row],[Price]]</f>
        <v>3872.7999999999997</v>
      </c>
      <c r="R35" s="36">
        <f ca="1">Table19[[#This Row],[Stock Exposure]]+Table19[[#This Row],[Option Exposure]]</f>
        <v>3872.7999999999997</v>
      </c>
      <c r="S35" s="108">
        <f>IFERROR(Table19[[#This Row],[Num of Stocks]]*Table19[[#This Row],[Ave Entry]],"")</f>
        <v>1381.6923076923078</v>
      </c>
      <c r="T35" s="108">
        <f ca="1">Table19[[#This Row],[Combined Exposure]]/$C$8</f>
        <v>2.4410646981285422E-2</v>
      </c>
    </row>
    <row r="36" spans="1:20">
      <c r="A36" t="e" vm="187">
        <v>#VALUE!</v>
      </c>
      <c r="B36" s="13" t="str" cm="1">
        <f t="array" aca="1" ref="B36" ca="1">_FV(A36,"Ticker symbol",TRUE)</f>
        <v>ZETA</v>
      </c>
      <c r="C36" s="13" t="s">
        <v>29</v>
      </c>
      <c r="D36" s="13" t="s">
        <v>512</v>
      </c>
      <c r="E36" s="19" cm="1">
        <f t="array" aca="1" ref="E36" ca="1">IFERROR(_FV(A36,"Beta"),2)</f>
        <v>1.2801</v>
      </c>
      <c r="F36" s="13" t="str" cm="1">
        <f t="array" aca="1" ref="F36" ca="1">_FV(A36,"Instrument type",TRUE)</f>
        <v>Stock</v>
      </c>
      <c r="G36" s="18" cm="1">
        <f t="array" aca="1" ref="G36" ca="1">_FV(Table19[[#This Row],[Assets]],"Price")</f>
        <v>16.68</v>
      </c>
      <c r="H36" s="36">
        <f>IFERROR(VLOOKUP(Table19[[#This Row],[Assets]],Table25[#All],15,FALSE),"")</f>
        <v>19.268785046728976</v>
      </c>
      <c r="I36" s="36">
        <f>IFERROR(VLOOKUP(Table19[[#This Row],[Assets]],Table25[#All],16,FALSE),0)</f>
        <v>302.11999999999938</v>
      </c>
      <c r="J36" s="84">
        <f ca="1">IFERROR((Table19[[#This Row],[Price]]-Table19[[#This Row],[Ave Entry]])/Table19[[#This Row],[Ave Entry]],"")</f>
        <v>-0.13435123389725301</v>
      </c>
      <c r="K36" s="92">
        <f ca="1">IFERROR((Table19[[#This Row],[Price]]-Table19[[#This Row],[Ave Entry]])*Table19[[#This Row],[Num of Stocks]],0)</f>
        <v>0</v>
      </c>
      <c r="L36" s="38" cm="1">
        <f t="array" aca="1" ref="L36" ca="1">_FV(Table19[[#This Row],[Assets]],"Change (%)",TRUE)</f>
        <v>3.2816999999999999E-2</v>
      </c>
      <c r="M36" s="36">
        <f>SUMIF(Table20[Asset],Table19[[#This Row],[Assets]],Table20[realized_profit])</f>
        <v>0</v>
      </c>
      <c r="N36" s="36">
        <f>SUMIF(Table20[[#All],[Asset]],Table19[[#This Row],[Assets]],Table20[[#All],[delta_exposure]])</f>
        <v>0</v>
      </c>
      <c r="O36" s="38">
        <f ca="1">Table19[[#This Row],[Option Exposure]]/$B$6</f>
        <v>0</v>
      </c>
      <c r="P36" s="51">
        <f>SUMIF(Table25[[#All],[Assets]],Table19[[#This Row],[Assets]],Table25[[#All],[Number of stocks]])</f>
        <v>0</v>
      </c>
      <c r="Q36" s="36">
        <f ca="1">Table19[[#This Row],[Num of Stocks]]*Table19[[#This Row],[Price]]</f>
        <v>0</v>
      </c>
      <c r="R36" s="36">
        <f ca="1">Table19[[#This Row],[Stock Exposure]]+Table19[[#This Row],[Option Exposure]]</f>
        <v>0</v>
      </c>
      <c r="S36" s="108">
        <f>IFERROR(Table19[[#This Row],[Num of Stocks]]*Table19[[#This Row],[Ave Entry]],"")</f>
        <v>0</v>
      </c>
      <c r="T36" s="108">
        <f ca="1">Table19[[#This Row],[Combined Exposure]]/$C$8</f>
        <v>0</v>
      </c>
    </row>
    <row r="37" spans="1:20">
      <c r="A37" t="e" vm="13">
        <v>#VALUE!</v>
      </c>
      <c r="B37" s="13" t="str" cm="1">
        <f t="array" aca="1" ref="B37" ca="1">_FV(A37,"Ticker symbol",TRUE)</f>
        <v>ON</v>
      </c>
      <c r="C37" s="13" t="s">
        <v>84</v>
      </c>
      <c r="D37" s="13" t="s">
        <v>120</v>
      </c>
      <c r="E37" s="19" cm="1">
        <f t="array" aca="1" ref="E37" ca="1">IFERROR(_FV(A37,"Beta"),2)</f>
        <v>1.5246999999999999</v>
      </c>
      <c r="F37" s="13" t="str" cm="1">
        <f t="array" aca="1" ref="F37" ca="1">_FV(A37,"Instrument type",TRUE)</f>
        <v>Stock</v>
      </c>
      <c r="G37" s="18" cm="1">
        <f t="array" aca="1" ref="G37" ca="1">_FV(Table19[[#This Row],[Assets]],"Price")</f>
        <v>63.68</v>
      </c>
      <c r="H37" s="36">
        <f>IFERROR(VLOOKUP(Table19[[#This Row],[Assets]],Table25[#All],15,FALSE),"")</f>
        <v>58.812300613496923</v>
      </c>
      <c r="I37" s="36">
        <f>IFERROR(VLOOKUP(Table19[[#This Row],[Assets]],Table25[#All],16,FALSE),0)</f>
        <v>-943.14107361962954</v>
      </c>
      <c r="J37" s="84">
        <f ca="1">IFERROR((Table19[[#This Row],[Price]]-Table19[[#This Row],[Ave Entry]])/Table19[[#This Row],[Ave Entry]],"")</f>
        <v>8.2766688868246396E-2</v>
      </c>
      <c r="K37" s="92">
        <f ca="1">IFERROR((Table19[[#This Row],[Price]]-Table19[[#This Row],[Ave Entry]])*Table19[[#This Row],[Num of Stocks]],0)</f>
        <v>209.31107361963228</v>
      </c>
      <c r="L37" s="38" cm="1">
        <f t="array" aca="1" ref="L37" ca="1">_FV(Table19[[#This Row],[Assets]],"Change (%)",TRUE)</f>
        <v>2.1495E-2</v>
      </c>
      <c r="M37" s="36">
        <f>SUMIF(Table20[Asset],Table19[[#This Row],[Assets]],Table20[realized_profit])</f>
        <v>1055.92</v>
      </c>
      <c r="N37" s="36">
        <f ca="1">SUMIF(Table20[[#All],[Asset]],Table19[[#This Row],[Assets]],Table20[[#All],[delta_exposure]])</f>
        <v>0</v>
      </c>
      <c r="O37" s="98">
        <f ca="1">Table19[[#This Row],[Option Exposure]]/$B$6</f>
        <v>0</v>
      </c>
      <c r="P37" s="51">
        <f>SUMIF(Table25[[#All],[Assets]],Table19[[#This Row],[Assets]],Table25[[#All],[Number of stocks]])</f>
        <v>43</v>
      </c>
      <c r="Q37" s="36">
        <f ca="1">Table19[[#This Row],[Num of Stocks]]*Table19[[#This Row],[Price]]</f>
        <v>2738.24</v>
      </c>
      <c r="R37" s="36">
        <f ca="1">Table19[[#This Row],[Stock Exposure]]+Table19[[#This Row],[Option Exposure]]</f>
        <v>2738.24</v>
      </c>
      <c r="S37" s="108">
        <f>IFERROR(Table19[[#This Row],[Num of Stocks]]*Table19[[#This Row],[Ave Entry]],"")</f>
        <v>2528.9289263803676</v>
      </c>
      <c r="T37" s="39">
        <f ca="1">Table19[[#This Row],[Combined Exposure]]/$C$8</f>
        <v>1.725940146406605E-2</v>
      </c>
    </row>
    <row r="38" spans="1:20">
      <c r="A38" t="e" vm="188">
        <v>#VALUE!</v>
      </c>
      <c r="B38" s="13" t="str" cm="1">
        <f t="array" aca="1" ref="B38" ca="1">_FV(A38,"Ticker symbol",TRUE)</f>
        <v>BE</v>
      </c>
      <c r="C38" s="13" t="s">
        <v>31</v>
      </c>
      <c r="D38" s="13" t="s">
        <v>31</v>
      </c>
      <c r="E38" s="19" cm="1">
        <f t="array" aca="1" ref="E38" ca="1">IFERROR(_FV(A38,"Beta"),2)</f>
        <v>3.1579000000000002</v>
      </c>
      <c r="F38" s="13" t="str" cm="1">
        <f t="array" aca="1" ref="F38" ca="1">_FV(A38,"Instrument type",TRUE)</f>
        <v>Stock</v>
      </c>
      <c r="G38" s="18" cm="1">
        <f t="array" aca="1" ref="G38" ca="1">_FV(Table19[[#This Row],[Assets]],"Price")</f>
        <v>148.83000000000001</v>
      </c>
      <c r="H38" s="36">
        <f>IFERROR(VLOOKUP(Table19[[#This Row],[Assets]],Table25[#All],15,FALSE),"")</f>
        <v>56.801000000000002</v>
      </c>
      <c r="I38" s="36">
        <f>IFERROR(VLOOKUP(Table19[[#This Row],[Assets]],Table25[#All],16,FALSE),0)</f>
        <v>-115.18500000000014</v>
      </c>
      <c r="J38" s="84">
        <f ca="1">IFERROR((Table19[[#This Row],[Price]]-Table19[[#This Row],[Ave Entry]])/Table19[[#This Row],[Ave Entry]],"")</f>
        <v>1.6202003485854124</v>
      </c>
      <c r="K38" s="92">
        <f ca="1">IFERROR((Table19[[#This Row],[Price]]-Table19[[#This Row],[Ave Entry]])*Table19[[#This Row],[Num of Stocks]],0)</f>
        <v>1380.4350000000002</v>
      </c>
      <c r="L38" s="38" cm="1">
        <f t="array" aca="1" ref="L38" ca="1">_FV(Table19[[#This Row],[Assets]],"Change (%)",TRUE)</f>
        <v>2.0222000000000004E-2</v>
      </c>
      <c r="M38" s="36">
        <f>SUMIF(Table20[Asset],Table19[[#This Row],[Assets]],Table20[realized_profit])</f>
        <v>0</v>
      </c>
      <c r="N38" s="36">
        <f>SUMIF(Table20[[#All],[Asset]],Table19[[#This Row],[Assets]],Table20[[#All],[delta_exposure]])</f>
        <v>0</v>
      </c>
      <c r="O38" s="38">
        <f ca="1">Table19[[#This Row],[Option Exposure]]/$B$6</f>
        <v>0</v>
      </c>
      <c r="P38" s="51">
        <f>SUMIF(Table25[[#All],[Assets]],Table19[[#This Row],[Assets]],Table25[[#All],[Number of stocks]])</f>
        <v>15</v>
      </c>
      <c r="Q38" s="36">
        <f ca="1">Table19[[#This Row],[Num of Stocks]]*Table19[[#This Row],[Price]]</f>
        <v>2232.4500000000003</v>
      </c>
      <c r="R38" s="36">
        <f ca="1">Table19[[#This Row],[Stock Exposure]]+Table19[[#This Row],[Option Exposure]]</f>
        <v>2232.4500000000003</v>
      </c>
      <c r="S38" s="108">
        <f>IFERROR(Table19[[#This Row],[Num of Stocks]]*Table19[[#This Row],[Ave Entry]],"")</f>
        <v>852.01499999999999</v>
      </c>
      <c r="T38" s="108">
        <f ca="1">Table19[[#This Row],[Combined Exposure]]/$C$8</f>
        <v>1.4071356345117397E-2</v>
      </c>
    </row>
    <row r="39" spans="1:20">
      <c r="A39" t="e" vm="72">
        <v>#VALUE!</v>
      </c>
      <c r="B39" s="13" t="str" cm="1">
        <f t="array" aca="1" ref="B39" ca="1">_FV(A39,"Ticker symbol",TRUE)</f>
        <v>AIRS</v>
      </c>
      <c r="C39" s="13" t="s">
        <v>53</v>
      </c>
      <c r="D39" s="13" t="s">
        <v>549</v>
      </c>
      <c r="E39" s="19" cm="1">
        <f t="array" aca="1" ref="E39" ca="1">IFERROR(_FV(A39,"Beta"),2)</f>
        <v>2.2854000000000001</v>
      </c>
      <c r="F39" s="13" t="str" cm="1">
        <f t="array" aca="1" ref="F39" ca="1">_FV(A39,"Instrument type",TRUE)</f>
        <v>Stock</v>
      </c>
      <c r="G39" s="18" cm="1">
        <f t="array" aca="1" ref="G39" ca="1">_FV(Table19[[#This Row],[Assets]],"Price")</f>
        <v>2.85</v>
      </c>
      <c r="H39" s="36">
        <f>IFERROR(VLOOKUP(Table19[[#This Row],[Assets]],Table25[#All],15,FALSE),"")</f>
        <v>4.7878859060402688</v>
      </c>
      <c r="I39" s="36">
        <f>IFERROR(VLOOKUP(Table19[[#This Row],[Assets]],Table25[#All],16,FALSE),0)</f>
        <v>-3502.8107382550338</v>
      </c>
      <c r="J39" s="84">
        <f ca="1">IFERROR((Table19[[#This Row],[Price]]-Table19[[#This Row],[Ave Entry]])/Table19[[#This Row],[Ave Entry]],"")</f>
        <v>-0.40474772040734797</v>
      </c>
      <c r="K39" s="92">
        <f ca="1">IFERROR((Table19[[#This Row],[Price]]-Table19[[#This Row],[Ave Entry]])*Table19[[#This Row],[Num of Stocks]],0)</f>
        <v>-1201.4892617449666</v>
      </c>
      <c r="L39" s="38" cm="1">
        <f t="array" aca="1" ref="L39" ca="1">_FV(Table19[[#This Row],[Assets]],"Change (%)",TRUE)</f>
        <v>1.0638000000000002E-2</v>
      </c>
      <c r="M39" s="36">
        <f>SUMIF(Table20[Asset],Table19[[#This Row],[Assets]],Table20[realized_profit])</f>
        <v>0</v>
      </c>
      <c r="N39" s="36">
        <f>SUMIF(Table20[[#All],[Asset]],Table19[[#This Row],[Assets]],Table20[[#All],[delta_exposure]])</f>
        <v>0</v>
      </c>
      <c r="O39" s="38">
        <f ca="1">Table19[[#This Row],[Option Exposure]]/$B$6</f>
        <v>0</v>
      </c>
      <c r="P39" s="51">
        <f>SUMIF(Table25[[#All],[Assets]],Table19[[#This Row],[Assets]],Table25[[#All],[Number of stocks]])</f>
        <v>620</v>
      </c>
      <c r="Q39" s="36">
        <f ca="1">Table19[[#This Row],[Num of Stocks]]*Table19[[#This Row],[Price]]</f>
        <v>1767</v>
      </c>
      <c r="R39" s="36">
        <f ca="1">Table19[[#This Row],[Stock Exposure]]+Table19[[#This Row],[Option Exposure]]</f>
        <v>1767</v>
      </c>
      <c r="S39" s="108">
        <f>IFERROR(Table19[[#This Row],[Num of Stocks]]*Table19[[#This Row],[Ave Entry]],"")</f>
        <v>2968.4892617449668</v>
      </c>
      <c r="T39" s="39">
        <f ca="1">Table19[[#This Row],[Combined Exposure]]/$C$8</f>
        <v>1.1137578293723235E-2</v>
      </c>
    </row>
    <row r="40" spans="1:20">
      <c r="A40" t="e" vm="77">
        <v>#VALUE!</v>
      </c>
      <c r="B40" s="13" t="str" cm="1">
        <f t="array" aca="1" ref="B40" ca="1">_FV(A40,"Ticker symbol",TRUE)</f>
        <v>STIM</v>
      </c>
      <c r="C40" s="13" t="s">
        <v>53</v>
      </c>
      <c r="D40" s="13" t="s">
        <v>53</v>
      </c>
      <c r="E40" s="19" cm="1">
        <f t="array" aca="1" ref="E40" ca="1">IFERROR(_FV(A40,"Beta"),2)</f>
        <v>0.87519999999999998</v>
      </c>
      <c r="F40" s="13" t="str" cm="1">
        <f t="array" aca="1" ref="F40" ca="1">_FV(A40,"Instrument type",TRUE)</f>
        <v>Stock</v>
      </c>
      <c r="G40" s="18" cm="1">
        <f t="array" aca="1" ref="G40" ca="1">_FV(Table19[[#This Row],[Assets]],"Price")</f>
        <v>1.4201999999999999</v>
      </c>
      <c r="H40" s="36">
        <f>IFERROR(VLOOKUP(Table19[[#This Row],[Assets]],Table25[#All],15,FALSE),"")</f>
        <v>2.7232851793162749</v>
      </c>
      <c r="I40" s="36">
        <f>IFERROR(VLOOKUP(Table19[[#This Row],[Assets]],Table25[#All],16,FALSE),0)</f>
        <v>1017.3748127606921</v>
      </c>
      <c r="J40" s="84">
        <f ca="1">IFERROR((Table19[[#This Row],[Price]]-Table19[[#This Row],[Ave Entry]])/Table19[[#This Row],[Ave Entry]],"")</f>
        <v>-0.47849751073203273</v>
      </c>
      <c r="K40" s="92">
        <f ca="1">IFERROR((Table19[[#This Row],[Price]]-Table19[[#This Row],[Ave Entry]])*Table19[[#This Row],[Num of Stocks]],0)</f>
        <v>-456.07981276069597</v>
      </c>
      <c r="L40" s="38" cm="1">
        <f t="array" aca="1" ref="L40" ca="1">_FV(Table19[[#This Row],[Assets]],"Change (%)",TRUE)</f>
        <v>-2.3917999999999998E-2</v>
      </c>
      <c r="M40" s="36">
        <f>SUMIF(Table20[Asset],Table19[[#This Row],[Assets]],Table20[realized_profit])</f>
        <v>0</v>
      </c>
      <c r="N40" s="36">
        <f>SUMIF(Table20[[#All],[Asset]],Table19[[#This Row],[Assets]],Table20[[#All],[delta_exposure]])</f>
        <v>0</v>
      </c>
      <c r="O40" s="38">
        <f ca="1">Table19[[#This Row],[Option Exposure]]/$B$6</f>
        <v>0</v>
      </c>
      <c r="P40" s="51">
        <f>SUMIF(Table25[[#All],[Assets]],Table19[[#This Row],[Assets]],Table25[[#All],[Number of stocks]])</f>
        <v>349.99999999999977</v>
      </c>
      <c r="Q40" s="36">
        <f ca="1">Table19[[#This Row],[Num of Stocks]]*Table19[[#This Row],[Price]]</f>
        <v>497.06999999999965</v>
      </c>
      <c r="R40" s="36">
        <f ca="1">Table19[[#This Row],[Stock Exposure]]+Table19[[#This Row],[Option Exposure]]</f>
        <v>497.06999999999965</v>
      </c>
      <c r="S40" s="108">
        <f>IFERROR(Table19[[#This Row],[Num of Stocks]]*Table19[[#This Row],[Ave Entry]],"")</f>
        <v>953.14981276069557</v>
      </c>
      <c r="T40" s="39">
        <f ca="1">Table19[[#This Row],[Combined Exposure]]/$C$8</f>
        <v>3.1330820840186784E-3</v>
      </c>
    </row>
    <row r="41" spans="1:20">
      <c r="A41" t="e" vm="39">
        <v>#VALUE!</v>
      </c>
      <c r="B41" s="13" t="str" cm="1">
        <f t="array" aca="1" ref="B41" ca="1">_FV(A41,"Ticker symbol",TRUE)</f>
        <v>AMSC</v>
      </c>
      <c r="C41" s="13" t="s">
        <v>56</v>
      </c>
      <c r="D41" s="13" t="s">
        <v>56</v>
      </c>
      <c r="E41" s="19" cm="1">
        <f t="array" aca="1" ref="E41" ca="1">IFERROR(_FV(A41,"Beta"),2)</f>
        <v>3.0122</v>
      </c>
      <c r="F41" s="13" t="str" cm="1">
        <f t="array" aca="1" ref="F41" ca="1">_FV(A41,"Instrument type",TRUE)</f>
        <v>Stock</v>
      </c>
      <c r="G41" s="18" cm="1">
        <f t="array" aca="1" ref="G41" ca="1">_FV(Table19[[#This Row],[Assets]],"Price")</f>
        <v>34.39</v>
      </c>
      <c r="H41" s="36">
        <f>IFERROR(VLOOKUP(Table19[[#This Row],[Assets]],Table25[#All],15,FALSE),"")</f>
        <v>29.722895125553915</v>
      </c>
      <c r="I41" s="36">
        <f>IFERROR(VLOOKUP(Table19[[#This Row],[Assets]],Table25[#All],16,FALSE),0)</f>
        <v>-1124.4588921713448</v>
      </c>
      <c r="J41" s="84">
        <f ca="1">IFERROR((Table19[[#This Row],[Price]]-Table19[[#This Row],[Ave Entry]])/Table19[[#This Row],[Ave Entry]],"")</f>
        <v>0.15702053432990098</v>
      </c>
      <c r="K41" s="92">
        <f ca="1">IFERROR((Table19[[#This Row],[Price]]-Table19[[#This Row],[Ave Entry]])*Table19[[#This Row],[Num of Stocks]],0)</f>
        <v>1294.654892171344</v>
      </c>
      <c r="L41" s="38" cm="1">
        <f t="array" aca="1" ref="L41" ca="1">_FV(Table19[[#This Row],[Assets]],"Change (%)",TRUE)</f>
        <v>6.7680999999999991E-2</v>
      </c>
      <c r="M41" s="36">
        <f>SUMIF(Table20[Asset],Table19[[#This Row],[Assets]],Table20[realized_profit])</f>
        <v>0</v>
      </c>
      <c r="N41" s="36">
        <f>SUMIF(Table20[[#All],[Asset]],Table19[[#This Row],[Assets]],Table20[[#All],[delta_exposure]])</f>
        <v>0</v>
      </c>
      <c r="O41" s="38">
        <f ca="1">Table19[[#This Row],[Option Exposure]]/$B$6</f>
        <v>0</v>
      </c>
      <c r="P41" s="51">
        <f>SUMIF(Table25[[#All],[Assets]],Table19[[#This Row],[Assets]],Table25[[#All],[Number of stocks]])</f>
        <v>277.39999999999998</v>
      </c>
      <c r="Q41" s="36">
        <f ca="1">Table19[[#This Row],[Num of Stocks]]*Table19[[#This Row],[Price]]</f>
        <v>9539.7860000000001</v>
      </c>
      <c r="R41" s="36">
        <f ca="1">Table19[[#This Row],[Stock Exposure]]+Table19[[#This Row],[Option Exposure]]</f>
        <v>9539.7860000000001</v>
      </c>
      <c r="S41" s="108">
        <f>IFERROR(Table19[[#This Row],[Num of Stocks]]*Table19[[#This Row],[Ave Entry]],"")</f>
        <v>8245.1311078286562</v>
      </c>
      <c r="T41" s="39">
        <f ca="1">Table19[[#This Row],[Combined Exposure]]/$C$8</f>
        <v>6.0130228342028753E-2</v>
      </c>
    </row>
    <row r="42" spans="1:20">
      <c r="A42" t="e" vm="189">
        <v>#VALUE!</v>
      </c>
      <c r="B42" s="13" t="str" cm="1">
        <f t="array" aca="1" ref="B42" ca="1">_FV(A42,"Ticker symbol",TRUE)</f>
        <v>NVO</v>
      </c>
      <c r="C42" s="13" t="s">
        <v>53</v>
      </c>
      <c r="D42" s="13" t="s">
        <v>53</v>
      </c>
      <c r="E42" s="19" cm="1">
        <f t="array" aca="1" ref="E42" ca="1">IFERROR(_FV(A42,"Beta"),2)</f>
        <v>0.74429999999999996</v>
      </c>
      <c r="F42" s="13" t="str" cm="1">
        <f t="array" aca="1" ref="F42" ca="1">_FV(A42,"Instrument type",TRUE)</f>
        <v>Stock</v>
      </c>
      <c r="G42" s="18" cm="1">
        <f t="array" aca="1" ref="G42" ca="1">_FV(Table19[[#This Row],[Assets]],"Price")</f>
        <v>37.049999999999997</v>
      </c>
      <c r="H42" s="36">
        <f>IFERROR(VLOOKUP(Table19[[#This Row],[Assets]],Table25[#All],15,FALSE),"")</f>
        <v>51.647500000000001</v>
      </c>
      <c r="I42" s="36">
        <f>IFERROR(VLOOKUP(Table19[[#This Row],[Assets]],Table25[#All],16,FALSE),0)</f>
        <v>82.5</v>
      </c>
      <c r="J42" s="84">
        <f ca="1">IFERROR((Table19[[#This Row],[Price]]-Table19[[#This Row],[Ave Entry]])/Table19[[#This Row],[Ave Entry]],"")</f>
        <v>-0.28263710731400365</v>
      </c>
      <c r="K42" s="92">
        <f ca="1">IFERROR((Table19[[#This Row],[Price]]-Table19[[#This Row],[Ave Entry]])*Table19[[#This Row],[Num of Stocks]],0)</f>
        <v>-350.34000000000009</v>
      </c>
      <c r="L42" s="38" cm="1">
        <f t="array" aca="1" ref="L42" ca="1">_FV(Table19[[#This Row],[Assets]],"Change (%)",TRUE)</f>
        <v>4.3369999999999997E-3</v>
      </c>
      <c r="M42" s="36">
        <f>SUMIF(Table20[Asset],Table19[[#This Row],[Assets]],Table20[realized_profit])</f>
        <v>0</v>
      </c>
      <c r="N42" s="36">
        <f ca="1">SUMIF(Table20[[#All],[Asset]],Table19[[#This Row],[Assets]],Table20[[#All],[delta_exposure]])</f>
        <v>0</v>
      </c>
      <c r="O42" s="38">
        <f ca="1">Table19[[#This Row],[Option Exposure]]/$B$6</f>
        <v>0</v>
      </c>
      <c r="P42" s="51">
        <f>SUMIF(Table25[[#All],[Assets]],Table19[[#This Row],[Assets]],Table25[[#All],[Number of stocks]])</f>
        <v>24</v>
      </c>
      <c r="Q42" s="36">
        <f ca="1">Table19[[#This Row],[Num of Stocks]]*Table19[[#This Row],[Price]]</f>
        <v>889.19999999999993</v>
      </c>
      <c r="R42" s="36">
        <f ca="1">Table19[[#This Row],[Stock Exposure]]+Table19[[#This Row],[Option Exposure]]</f>
        <v>889.19999999999993</v>
      </c>
      <c r="S42" s="108">
        <f>IFERROR(Table19[[#This Row],[Num of Stocks]]*Table19[[#This Row],[Ave Entry]],"")</f>
        <v>1239.54</v>
      </c>
      <c r="T42" s="108">
        <f ca="1">Table19[[#This Row],[Combined Exposure]]/$C$8</f>
        <v>5.6047168187768528E-3</v>
      </c>
    </row>
    <row r="43" spans="1:20">
      <c r="A43" t="e" vm="190">
        <v>#VALUE!</v>
      </c>
      <c r="B43" s="13" t="str" cm="1">
        <f t="array" aca="1" ref="B43" ca="1">_FV(A43,"Ticker symbol",TRUE)</f>
        <v>LASR</v>
      </c>
      <c r="C43" s="13" t="s">
        <v>38</v>
      </c>
      <c r="D43" s="13" t="s">
        <v>38</v>
      </c>
      <c r="E43" s="19" cm="1">
        <f t="array" aca="1" ref="E43" ca="1">IFERROR(_FV(A43,"Beta"),2)</f>
        <v>2.1541000000000001</v>
      </c>
      <c r="F43" s="13" t="str" cm="1">
        <f t="array" aca="1" ref="F43" ca="1">_FV(A43,"Instrument type",TRUE)</f>
        <v>Stock</v>
      </c>
      <c r="G43" s="18" cm="1">
        <f t="array" aca="1" ref="G43" ca="1">_FV(Table19[[#This Row],[Assets]],"Price")</f>
        <v>73.760000000000005</v>
      </c>
      <c r="H43" s="36">
        <f>IFERROR(VLOOKUP(Table19[[#This Row],[Assets]],Table25[#All],15,FALSE),"")</f>
        <v>38.323389830508475</v>
      </c>
      <c r="I43" s="36">
        <f>IFERROR(VLOOKUP(Table19[[#This Row],[Assets]],Table25[#All],16,FALSE),0)</f>
        <v>-60.433898305084739</v>
      </c>
      <c r="J43" s="84">
        <f ca="1">IFERROR((Table19[[#This Row],[Price]]-Table19[[#This Row],[Ave Entry]])/Table19[[#This Row],[Ave Entry]],"")</f>
        <v>0.92467316503617747</v>
      </c>
      <c r="K43" s="92">
        <f ca="1">IFERROR((Table19[[#This Row],[Price]]-Table19[[#This Row],[Ave Entry]])*Table19[[#This Row],[Num of Stocks]],0)</f>
        <v>1736.393898305085</v>
      </c>
      <c r="L43" s="38" cm="1">
        <f t="array" aca="1" ref="L43" ca="1">_FV(Table19[[#This Row],[Assets]],"Change (%)",TRUE)</f>
        <v>3.0742999999999999E-2</v>
      </c>
      <c r="M43" s="36">
        <f>SUMIF(Table20[Asset],Table19[[#This Row],[Assets]],Table20[realized_profit])</f>
        <v>0</v>
      </c>
      <c r="N43" s="36">
        <f>SUMIF(Table20[[#All],[Asset]],Table19[[#This Row],[Assets]],Table20[[#All],[delta_exposure]])</f>
        <v>0</v>
      </c>
      <c r="O43" s="38">
        <f ca="1">Table19[[#This Row],[Option Exposure]]/$B$6</f>
        <v>0</v>
      </c>
      <c r="P43" s="51">
        <f>SUMIF(Table25[[#All],[Assets]],Table19[[#This Row],[Assets]],Table25[[#All],[Number of stocks]])</f>
        <v>49</v>
      </c>
      <c r="Q43" s="36">
        <f ca="1">Table19[[#This Row],[Num of Stocks]]*Table19[[#This Row],[Price]]</f>
        <v>3614.2400000000002</v>
      </c>
      <c r="R43" s="36">
        <f ca="1">Table19[[#This Row],[Stock Exposure]]+Table19[[#This Row],[Option Exposure]]</f>
        <v>3614.2400000000002</v>
      </c>
      <c r="S43" s="108">
        <f>IFERROR(Table19[[#This Row],[Num of Stocks]]*Table19[[#This Row],[Ave Entry]],"")</f>
        <v>1877.8461016949152</v>
      </c>
      <c r="T43" s="108">
        <f ca="1">Table19[[#This Row],[Combined Exposure]]/$C$8</f>
        <v>2.2780917358407621E-2</v>
      </c>
    </row>
    <row r="44" spans="1:20">
      <c r="A44" t="e" vm="191">
        <v>#VALUE!</v>
      </c>
      <c r="B44" s="13" t="str" cm="1">
        <f t="array" aca="1" ref="B44" ca="1">_FV(A44,"Ticker symbol",TRUE)</f>
        <v>SHMD</v>
      </c>
      <c r="C44" s="13" t="s">
        <v>84</v>
      </c>
      <c r="D44" s="13" t="s">
        <v>84</v>
      </c>
      <c r="E44" s="19" cm="1">
        <f t="array" aca="1" ref="E44" ca="1">IFERROR(_FV(A44,"Beta"),2)</f>
        <v>-0.59760000000000002</v>
      </c>
      <c r="F44" s="13" t="str" cm="1">
        <f t="array" aca="1" ref="F44" ca="1">_FV(A44,"Instrument type",TRUE)</f>
        <v>Stock</v>
      </c>
      <c r="G44" s="18" cm="1">
        <f t="array" aca="1" ref="G44" ca="1">_FV(Table19[[#This Row],[Assets]],"Price")</f>
        <v>7.38</v>
      </c>
      <c r="H44" s="36">
        <f>IFERROR(VLOOKUP(Table19[[#This Row],[Assets]],Table25[#All],15,FALSE),"")</f>
        <v>6.2181123595505614</v>
      </c>
      <c r="I44" s="36">
        <f>IFERROR(VLOOKUP(Table19[[#This Row],[Assets]],Table25[#All],16,FALSE),0)</f>
        <v>0</v>
      </c>
      <c r="J44" s="84">
        <f ca="1">IFERROR((Table19[[#This Row],[Price]]-Table19[[#This Row],[Ave Entry]])/Table19[[#This Row],[Ave Entry]],"")</f>
        <v>0.18685536273156353</v>
      </c>
      <c r="K44" s="92">
        <f ca="1">IFERROR((Table19[[#This Row],[Price]]-Table19[[#This Row],[Ave Entry]])*Table19[[#This Row],[Num of Stocks]],0)</f>
        <v>517.04000000000008</v>
      </c>
      <c r="L44" s="38" cm="1">
        <f t="array" aca="1" ref="L44" ca="1">_FV(Table19[[#This Row],[Assets]],"Change (%)",TRUE)</f>
        <v>0.125</v>
      </c>
      <c r="M44" s="36">
        <f>SUMIF(Table20[Asset],Table19[[#This Row],[Assets]],Table20[realized_profit])</f>
        <v>0</v>
      </c>
      <c r="N44" s="36">
        <f>SUMIF(Table20[[#All],[Asset]],Table19[[#This Row],[Assets]],Table20[[#All],[delta_exposure]])</f>
        <v>0</v>
      </c>
      <c r="O44" s="38">
        <f ca="1">Table19[[#This Row],[Option Exposure]]/$B$6</f>
        <v>0</v>
      </c>
      <c r="P44" s="51">
        <f>SUMIF(Table25[[#All],[Assets]],Table19[[#This Row],[Assets]],Table25[[#All],[Number of stocks]])</f>
        <v>445</v>
      </c>
      <c r="Q44" s="36">
        <f ca="1">Table19[[#This Row],[Num of Stocks]]*Table19[[#This Row],[Price]]</f>
        <v>3284.1</v>
      </c>
      <c r="R44" s="36">
        <f ca="1">Table19[[#This Row],[Stock Exposure]]+Table19[[#This Row],[Option Exposure]]</f>
        <v>3284.1</v>
      </c>
      <c r="S44" s="108">
        <f>IFERROR(Table19[[#This Row],[Num of Stocks]]*Table19[[#This Row],[Ave Entry]],"")</f>
        <v>2767.06</v>
      </c>
      <c r="T44" s="108">
        <f ca="1">Table19[[#This Row],[Combined Exposure]]/$C$8</f>
        <v>2.070001181347848E-2</v>
      </c>
    </row>
    <row r="45" spans="1:20">
      <c r="A45" t="e" vm="192">
        <v>#VALUE!</v>
      </c>
      <c r="B45" s="13" t="str" cm="1">
        <f t="array" aca="1" ref="B45" ca="1">_FV(A45,"Ticker symbol",TRUE)</f>
        <v>NUTX</v>
      </c>
      <c r="C45" s="13" t="s">
        <v>53</v>
      </c>
      <c r="D45" s="13" t="s">
        <v>563</v>
      </c>
      <c r="E45" s="19" cm="1">
        <f t="array" aca="1" ref="E45" ca="1">IFERROR(_FV(A45,"Beta"),2)</f>
        <v>6.9500000000000006E-2</v>
      </c>
      <c r="F45" s="13" t="str" cm="1">
        <f t="array" aca="1" ref="F45" ca="1">_FV(A45,"Instrument type",TRUE)</f>
        <v>Stock</v>
      </c>
      <c r="G45" s="18" cm="1">
        <f t="array" aca="1" ref="G45" ca="1">_FV(Table19[[#This Row],[Assets]],"Price")</f>
        <v>100.3</v>
      </c>
      <c r="H45" s="36">
        <f>IFERROR(VLOOKUP(Table19[[#This Row],[Assets]],Table25[#All],15,FALSE),"")</f>
        <v>85.789999999999992</v>
      </c>
      <c r="I45" s="36">
        <f>IFERROR(VLOOKUP(Table19[[#This Row],[Assets]],Table25[#All],16,FALSE),0)</f>
        <v>215.65000000000015</v>
      </c>
      <c r="J45" s="84">
        <f ca="1">IFERROR((Table19[[#This Row],[Price]]-Table19[[#This Row],[Ave Entry]])/Table19[[#This Row],[Ave Entry]],"")</f>
        <v>0.16913393169367066</v>
      </c>
      <c r="K45" s="92">
        <f ca="1">IFERROR((Table19[[#This Row],[Price]]-Table19[[#This Row],[Ave Entry]])*Table19[[#This Row],[Num of Stocks]],0)</f>
        <v>101.57000000000004</v>
      </c>
      <c r="L45" s="38" cm="1">
        <f t="array" aca="1" ref="L45" ca="1">_FV(Table19[[#This Row],[Assets]],"Change (%)",TRUE)</f>
        <v>8.1419999999999999E-3</v>
      </c>
      <c r="M45" s="36">
        <f>SUMIF(Table20[Asset],Table19[[#This Row],[Assets]],Table20[realized_profit])</f>
        <v>0</v>
      </c>
      <c r="N45" s="36">
        <f>SUMIF(Table20[[#All],[Asset]],Table19[[#This Row],[Assets]],Table20[[#All],[delta_exposure]])</f>
        <v>0</v>
      </c>
      <c r="O45" s="38">
        <f ca="1">Table19[[#This Row],[Option Exposure]]/$B$6</f>
        <v>0</v>
      </c>
      <c r="P45" s="51">
        <f>SUMIF(Table25[[#All],[Assets]],Table19[[#This Row],[Assets]],Table25[[#All],[Number of stocks]])</f>
        <v>7</v>
      </c>
      <c r="Q45" s="36">
        <f ca="1">Table19[[#This Row],[Num of Stocks]]*Table19[[#This Row],[Price]]</f>
        <v>702.1</v>
      </c>
      <c r="R45" s="36">
        <f ca="1">Table19[[#This Row],[Stock Exposure]]+Table19[[#This Row],[Option Exposure]]</f>
        <v>702.1</v>
      </c>
      <c r="S45" s="108">
        <f>IFERROR(Table19[[#This Row],[Num of Stocks]]*Table19[[#This Row],[Ave Entry]],"")</f>
        <v>600.53</v>
      </c>
      <c r="T45" s="108">
        <f ca="1">Table19[[#This Row],[Combined Exposure]]/$C$8</f>
        <v>4.4254067459100644E-3</v>
      </c>
    </row>
    <row r="46" spans="1:20">
      <c r="A46" t="e" vm="193">
        <v>#VALUE!</v>
      </c>
      <c r="B46" s="13" t="str" cm="1">
        <f t="array" aca="1" ref="B46" ca="1">_FV(A46,"Ticker symbol",TRUE)</f>
        <v>UAVS</v>
      </c>
      <c r="C46" s="13" t="s">
        <v>38</v>
      </c>
      <c r="D46" s="13" t="s">
        <v>513</v>
      </c>
      <c r="E46" s="19" cm="1">
        <f t="array" aca="1" ref="E46" ca="1">IFERROR(_FV(A46,"Beta"),2)</f>
        <v>2.6046</v>
      </c>
      <c r="F46" s="13" t="str" cm="1">
        <f t="array" aca="1" ref="F46" ca="1">_FV(A46,"Instrument type",TRUE)</f>
        <v>Stock</v>
      </c>
      <c r="G46" s="18" cm="1">
        <f t="array" aca="1" ref="G46" ca="1">_FV(Table19[[#This Row],[Assets]],"Price")</f>
        <v>1.0349999999999999</v>
      </c>
      <c r="H46" s="36">
        <f>IFERROR(VLOOKUP(Table19[[#This Row],[Assets]],Table25[#All],15,FALSE),"")</f>
        <v>1.2624385135135137</v>
      </c>
      <c r="I46" s="36">
        <f>IFERROR(VLOOKUP(Table19[[#This Row],[Assets]],Table25[#All],16,FALSE),0)</f>
        <v>566.78074324324314</v>
      </c>
      <c r="J46" s="84">
        <f ca="1">IFERROR((Table19[[#This Row],[Price]]-Table19[[#This Row],[Ave Entry]])/Table19[[#This Row],[Ave Entry]],"")</f>
        <v>-0.18015809172402847</v>
      </c>
      <c r="K46" s="92">
        <f ca="1">IFERROR((Table19[[#This Row],[Price]]-Table19[[#This Row],[Ave Entry]])*Table19[[#This Row],[Num of Stocks]],0)</f>
        <v>-222.88974324324346</v>
      </c>
      <c r="L46" s="38" cm="1">
        <f t="array" aca="1" ref="L46" ca="1">_FV(Table19[[#This Row],[Assets]],"Change (%)",TRUE)</f>
        <v>1.4705999999999999E-2</v>
      </c>
      <c r="M46" s="36">
        <f>SUMIF(Table20[Asset],Table19[[#This Row],[Assets]],Table20[realized_profit])</f>
        <v>0</v>
      </c>
      <c r="N46" s="36">
        <f>SUMIF(Table20[[#All],[Asset]],Table19[[#This Row],[Assets]],Table20[[#All],[delta_exposure]])</f>
        <v>0</v>
      </c>
      <c r="O46" s="38">
        <f ca="1">Table19[[#This Row],[Option Exposure]]/$B$6</f>
        <v>0</v>
      </c>
      <c r="P46" s="51">
        <f>SUMIF(Table25[[#All],[Assets]],Table19[[#This Row],[Assets]],Table25[[#All],[Number of stocks]])</f>
        <v>980</v>
      </c>
      <c r="Q46" s="36">
        <f ca="1">Table19[[#This Row],[Num of Stocks]]*Table19[[#This Row],[Price]]</f>
        <v>1014.3</v>
      </c>
      <c r="R46" s="36">
        <f ca="1">Table19[[#This Row],[Stock Exposure]]+Table19[[#This Row],[Option Exposure]]</f>
        <v>1014.3</v>
      </c>
      <c r="S46" s="108">
        <f>IFERROR(Table19[[#This Row],[Num of Stocks]]*Table19[[#This Row],[Ave Entry]],"")</f>
        <v>1237.1897432432434</v>
      </c>
      <c r="T46" s="108">
        <f ca="1">Table19[[#This Row],[Combined Exposure]]/$C$8</f>
        <v>6.3932346708112488E-3</v>
      </c>
    </row>
    <row r="47" spans="1:20">
      <c r="A47" t="e" vm="194">
        <v>#VALUE!</v>
      </c>
      <c r="B47" s="13" t="str" cm="1">
        <f t="array" aca="1" ref="B47" ca="1">_FV(A47,"Ticker symbol",TRUE)</f>
        <v>CIFR</v>
      </c>
      <c r="C47" s="13" t="s">
        <v>83</v>
      </c>
      <c r="D47" s="13" t="s">
        <v>541</v>
      </c>
      <c r="E47" s="19" cm="1">
        <f t="array" aca="1" ref="E47" ca="1">IFERROR(_FV(A47,"Beta"),2)</f>
        <v>2.9695</v>
      </c>
      <c r="F47" s="13" t="str" cm="1">
        <f t="array" aca="1" ref="F47" ca="1">_FV(A47,"Instrument type",TRUE)</f>
        <v>Stock</v>
      </c>
      <c r="G47" s="18" cm="1">
        <f t="array" aca="1" ref="G47" ca="1">_FV(Table19[[#This Row],[Assets]],"Price")</f>
        <v>16.125</v>
      </c>
      <c r="H47" s="36">
        <f>IFERROR(VLOOKUP(Table19[[#This Row],[Assets]],Table25[#All],15,FALSE),"")</f>
        <v>16.216666666666665</v>
      </c>
      <c r="I47" s="36">
        <f>IFERROR(VLOOKUP(Table19[[#This Row],[Assets]],Table25[#All],16,FALSE),0)</f>
        <v>131.65000000000049</v>
      </c>
      <c r="J47" s="84">
        <f ca="1">IFERROR((Table19[[#This Row],[Price]]-Table19[[#This Row],[Ave Entry]])/Table19[[#This Row],[Ave Entry]],"")</f>
        <v>-5.6526207605343279E-3</v>
      </c>
      <c r="K47" s="92">
        <f ca="1">IFERROR((Table19[[#This Row],[Price]]-Table19[[#This Row],[Ave Entry]])*Table19[[#This Row],[Num of Stocks]],0)</f>
        <v>0</v>
      </c>
      <c r="L47" s="38" cm="1">
        <f t="array" aca="1" ref="L47" ca="1">_FV(Table19[[#This Row],[Assets]],"Change (%)",TRUE)</f>
        <v>8.3668999999999993E-2</v>
      </c>
      <c r="M47" s="36">
        <f>SUMIF(Table20[Asset],Table19[[#This Row],[Assets]],Table20[realized_profit])</f>
        <v>0</v>
      </c>
      <c r="N47" s="36">
        <f>SUMIF(Table20[[#All],[Asset]],Table19[[#This Row],[Assets]],Table20[[#All],[delta_exposure]])</f>
        <v>0</v>
      </c>
      <c r="O47" s="38">
        <f ca="1">Table19[[#This Row],[Option Exposure]]/$B$6</f>
        <v>0</v>
      </c>
      <c r="P47" s="51">
        <f>SUMIF(Table25[[#All],[Assets]],Table19[[#This Row],[Assets]],Table25[[#All],[Number of stocks]])</f>
        <v>0</v>
      </c>
      <c r="Q47" s="36">
        <f ca="1">Table19[[#This Row],[Num of Stocks]]*Table19[[#This Row],[Price]]</f>
        <v>0</v>
      </c>
      <c r="R47" s="36">
        <f ca="1">Table19[[#This Row],[Stock Exposure]]+Table19[[#This Row],[Option Exposure]]</f>
        <v>0</v>
      </c>
      <c r="S47" s="108">
        <f>IFERROR(Table19[[#This Row],[Num of Stocks]]*Table19[[#This Row],[Ave Entry]],"")</f>
        <v>0</v>
      </c>
      <c r="T47" s="108">
        <f ca="1">Table19[[#This Row],[Combined Exposure]]/$C$8</f>
        <v>0</v>
      </c>
    </row>
    <row r="48" spans="1:20">
      <c r="A48" t="e" vm="195">
        <v>#VALUE!</v>
      </c>
      <c r="B48" s="13" t="str" cm="1">
        <f t="array" aca="1" ref="B48" ca="1">_FV(A48,"Ticker symbol",TRUE)</f>
        <v>LBRT</v>
      </c>
      <c r="C48" s="13" t="s">
        <v>31</v>
      </c>
      <c r="D48" s="13" t="s">
        <v>31</v>
      </c>
      <c r="E48" s="19" cm="1">
        <f t="array" aca="1" ref="E48" ca="1">IFERROR(_FV(A48,"Beta"),2)</f>
        <v>0.4758</v>
      </c>
      <c r="F48" s="13" t="str" cm="1">
        <f t="array" aca="1" ref="F48" ca="1">_FV(A48,"Instrument type",TRUE)</f>
        <v>Stock</v>
      </c>
      <c r="G48" s="18" cm="1">
        <f t="array" aca="1" ref="G48" ca="1">_FV(Table19[[#This Row],[Assets]],"Price")</f>
        <v>27.62</v>
      </c>
      <c r="H48" s="36">
        <f>IFERROR(VLOOKUP(Table19[[#This Row],[Assets]],Table25[#All],15,FALSE),"")</f>
        <v>16.853153846153845</v>
      </c>
      <c r="I48" s="36">
        <f>IFERROR(VLOOKUP(Table19[[#This Row],[Assets]],Table25[#All],16,FALSE),0)</f>
        <v>-28.329230769230662</v>
      </c>
      <c r="J48" s="84">
        <f ca="1">IFERROR((Table19[[#This Row],[Price]]-Table19[[#This Row],[Ave Entry]])/Table19[[#This Row],[Ave Entry]],"")</f>
        <v>0.63886239051353111</v>
      </c>
      <c r="K48" s="92">
        <f ca="1">IFERROR((Table19[[#This Row],[Price]]-Table19[[#This Row],[Ave Entry]])*Table19[[#This Row],[Num of Stocks]],0)</f>
        <v>753.67923076923091</v>
      </c>
      <c r="L48" s="38" cm="1">
        <f t="array" aca="1" ref="L48" ca="1">_FV(Table19[[#This Row],[Assets]],"Change (%)",TRUE)</f>
        <v>-7.0033999999999999E-2</v>
      </c>
      <c r="M48" s="36">
        <f>SUMIF(Table20[Asset],Table19[[#This Row],[Assets]],Table20[realized_profit])</f>
        <v>0</v>
      </c>
      <c r="N48" s="36">
        <f>SUMIF(Table20[[#All],[Asset]],Table19[[#This Row],[Assets]],Table20[[#All],[delta_exposure]])</f>
        <v>0</v>
      </c>
      <c r="O48" s="38">
        <f ca="1">Table19[[#This Row],[Option Exposure]]/$B$6</f>
        <v>0</v>
      </c>
      <c r="P48" s="51">
        <f>SUMIF(Table25[[#All],[Assets]],Table19[[#This Row],[Assets]],Table25[[#All],[Number of stocks]])</f>
        <v>70</v>
      </c>
      <c r="Q48" s="36">
        <f ca="1">Table19[[#This Row],[Num of Stocks]]*Table19[[#This Row],[Price]]</f>
        <v>1933.4</v>
      </c>
      <c r="R48" s="36">
        <f ca="1">Table19[[#This Row],[Stock Exposure]]+Table19[[#This Row],[Option Exposure]]</f>
        <v>1933.4</v>
      </c>
      <c r="S48" s="108">
        <f>IFERROR(Table19[[#This Row],[Num of Stocks]]*Table19[[#This Row],[Ave Entry]],"")</f>
        <v>1179.7207692307691</v>
      </c>
      <c r="T48" s="39">
        <f ca="1">Table19[[#This Row],[Combined Exposure]]/$C$8</f>
        <v>1.2186414189634693E-2</v>
      </c>
    </row>
    <row r="49" spans="1:20">
      <c r="A49" t="e" vm="196">
        <v>#VALUE!</v>
      </c>
      <c r="B49" s="13" t="str" cm="1">
        <f t="array" aca="1" ref="B49" ca="1">_FV(A49,"Ticker symbol",TRUE)</f>
        <v>TTMI</v>
      </c>
      <c r="C49" s="13" t="s">
        <v>84</v>
      </c>
      <c r="D49" s="13" t="s">
        <v>84</v>
      </c>
      <c r="E49" s="19" cm="1">
        <f t="array" aca="1" ref="E49" ca="1">IFERROR(_FV(A49,"Beta"),2)</f>
        <v>1.7185999999999999</v>
      </c>
      <c r="F49" s="13" t="str" cm="1">
        <f t="array" aca="1" ref="F49" ca="1">_FV(A49,"Instrument type",TRUE)</f>
        <v>Stock</v>
      </c>
      <c r="G49" s="18" cm="1">
        <f t="array" aca="1" ref="G49" ca="1">_FV(Table19[[#This Row],[Assets]],"Price")</f>
        <v>109.495</v>
      </c>
      <c r="H49" s="36">
        <f>IFERROR(VLOOKUP(Table19[[#This Row],[Assets]],Table25[#All],15,FALSE),"")</f>
        <v>75.571428571428569</v>
      </c>
      <c r="I49" s="36">
        <f>IFERROR(VLOOKUP(Table19[[#This Row],[Assets]],Table25[#All],16,FALSE),0)</f>
        <v>0</v>
      </c>
      <c r="J49" s="84">
        <f ca="1">IFERROR((Table19[[#This Row],[Price]]-Table19[[#This Row],[Ave Entry]])/Table19[[#This Row],[Ave Entry]],"")</f>
        <v>0.44889413988657856</v>
      </c>
      <c r="K49" s="92">
        <f ca="1">IFERROR((Table19[[#This Row],[Price]]-Table19[[#This Row],[Ave Entry]])*Table19[[#This Row],[Num of Stocks]],0)</f>
        <v>474.93000000000006</v>
      </c>
      <c r="L49" s="38" cm="1">
        <f t="array" aca="1" ref="L49" ca="1">_FV(Table19[[#This Row],[Assets]],"Change (%)",TRUE)</f>
        <v>2.3413E-2</v>
      </c>
      <c r="M49" s="36">
        <f>SUMIF(Table20[Asset],Table19[[#This Row],[Assets]],Table20[realized_profit])</f>
        <v>0</v>
      </c>
      <c r="N49" s="36">
        <f>SUMIF(Table20[[#All],[Asset]],Table19[[#This Row],[Assets]],Table20[[#All],[delta_exposure]])</f>
        <v>0</v>
      </c>
      <c r="O49" s="38">
        <f ca="1">Table19[[#This Row],[Option Exposure]]/$B$6</f>
        <v>0</v>
      </c>
      <c r="P49" s="51">
        <f>SUMIF(Table25[[#All],[Assets]],Table19[[#This Row],[Assets]],Table25[[#All],[Number of stocks]])</f>
        <v>14</v>
      </c>
      <c r="Q49" s="36">
        <f ca="1">Table19[[#This Row],[Num of Stocks]]*Table19[[#This Row],[Price]]</f>
        <v>1532.93</v>
      </c>
      <c r="R49" s="36">
        <f ca="1">Table19[[#This Row],[Stock Exposure]]+Table19[[#This Row],[Option Exposure]]</f>
        <v>1532.93</v>
      </c>
      <c r="S49" s="108">
        <f>IFERROR(Table19[[#This Row],[Num of Stocks]]*Table19[[#This Row],[Ave Entry]],"")</f>
        <v>1058</v>
      </c>
      <c r="T49" s="108">
        <f ca="1">Table19[[#This Row],[Combined Exposure]]/$C$8</f>
        <v>9.6622115980742277E-3</v>
      </c>
    </row>
    <row r="50" spans="1:20">
      <c r="A50" t="e" vm="197">
        <v>#VALUE!</v>
      </c>
      <c r="B50" s="13" t="str" cm="1">
        <f t="array" aca="1" ref="B50" ca="1">_FV(A50,"Ticker symbol",TRUE)</f>
        <v>AMBA</v>
      </c>
      <c r="C50" s="13" t="s">
        <v>83</v>
      </c>
      <c r="D50" s="13" t="s">
        <v>84</v>
      </c>
      <c r="E50" s="19" cm="1">
        <f t="array" aca="1" ref="E50" ca="1">IFERROR(_FV(A50,"Beta"),2)</f>
        <v>1.9896</v>
      </c>
      <c r="F50" s="13" t="str" cm="1">
        <f t="array" aca="1" ref="F50" ca="1">_FV(A50,"Instrument type",TRUE)</f>
        <v>Stock</v>
      </c>
      <c r="G50" s="18" cm="1">
        <f t="array" aca="1" ref="G50" ca="1">_FV(Table19[[#This Row],[Assets]],"Price")</f>
        <v>54.82</v>
      </c>
      <c r="H50" s="36">
        <f>IFERROR(VLOOKUP(Table19[[#This Row],[Assets]],Table25[#All],15,FALSE),"")</f>
        <v>72.907142857142844</v>
      </c>
      <c r="I50" s="36">
        <f>IFERROR(VLOOKUP(Table19[[#This Row],[Assets]],Table25[#All],16,FALSE),0)</f>
        <v>-282.35999999999962</v>
      </c>
      <c r="J50" s="84">
        <f ca="1">IFERROR((Table19[[#This Row],[Price]]-Table19[[#This Row],[Ave Entry]])/Table19[[#This Row],[Ave Entry]],"")</f>
        <v>-0.24808464779073172</v>
      </c>
      <c r="K50" s="92">
        <f ca="1">IFERROR((Table19[[#This Row],[Price]]-Table19[[#This Row],[Ave Entry]])*Table19[[#This Row],[Num of Stocks]],0)</f>
        <v>0</v>
      </c>
      <c r="L50" s="38" cm="1">
        <f t="array" aca="1" ref="L50" ca="1">_FV(Table19[[#This Row],[Assets]],"Change (%)",TRUE)</f>
        <v>5.3180000000000007E-3</v>
      </c>
      <c r="M50" s="36">
        <f>SUMIF(Table20[Asset],Table19[[#This Row],[Assets]],Table20[realized_profit])</f>
        <v>0</v>
      </c>
      <c r="N50" s="36">
        <f>SUMIF(Table20[[#All],[Asset]],Table19[[#This Row],[Assets]],Table20[[#All],[delta_exposure]])</f>
        <v>0</v>
      </c>
      <c r="O50" s="38">
        <f ca="1">Table19[[#This Row],[Option Exposure]]/$B$6</f>
        <v>0</v>
      </c>
      <c r="P50" s="51">
        <f>SUMIF(Table25[[#All],[Assets]],Table19[[#This Row],[Assets]],Table25[[#All],[Number of stocks]])</f>
        <v>0</v>
      </c>
      <c r="Q50" s="36">
        <f ca="1">Table19[[#This Row],[Num of Stocks]]*Table19[[#This Row],[Price]]</f>
        <v>0</v>
      </c>
      <c r="R50" s="36">
        <f ca="1">Table19[[#This Row],[Stock Exposure]]+Table19[[#This Row],[Option Exposure]]</f>
        <v>0</v>
      </c>
      <c r="S50" s="108">
        <f>IFERROR(Table19[[#This Row],[Num of Stocks]]*Table19[[#This Row],[Ave Entry]],"")</f>
        <v>0</v>
      </c>
      <c r="T50" s="39">
        <f ca="1">Table19[[#This Row],[Combined Exposure]]/$C$8</f>
        <v>0</v>
      </c>
    </row>
    <row r="51" spans="1:20">
      <c r="A51" t="e" vm="32">
        <v>#VALUE!</v>
      </c>
      <c r="B51" s="13" t="str" cm="1">
        <f t="array" aca="1" ref="B51" ca="1">_FV(A51,"Ticker symbol",TRUE)</f>
        <v>MU</v>
      </c>
      <c r="C51" s="13" t="s">
        <v>83</v>
      </c>
      <c r="D51" s="13" t="s">
        <v>257</v>
      </c>
      <c r="E51" s="19" cm="1">
        <f t="array" aca="1" ref="E51" ca="1">IFERROR(_FV(A51,"Beta"),2)</f>
        <v>1.5364</v>
      </c>
      <c r="F51" s="13" t="str" cm="1">
        <f t="array" aca="1" ref="F51" ca="1">_FV(A51,"Instrument type",TRUE)</f>
        <v>Stock</v>
      </c>
      <c r="G51" s="18" cm="1">
        <f t="array" aca="1" ref="G51" ca="1">_FV(Table19[[#This Row],[Assets]],"Price")</f>
        <v>381.57</v>
      </c>
      <c r="H51" s="36">
        <f>IFERROR(VLOOKUP(Table19[[#This Row],[Assets]],Table25[#All],15,FALSE),"")</f>
        <v>118.03457627118644</v>
      </c>
      <c r="I51" s="36">
        <f>IFERROR(VLOOKUP(Table19[[#This Row],[Assets]],Table25[#All],16,FALSE),0)</f>
        <v>128.50457627118692</v>
      </c>
      <c r="J51" s="84">
        <f ca="1">IFERROR((Table19[[#This Row],[Price]]-Table19[[#This Row],[Ave Entry]])/Table19[[#This Row],[Ave Entry]],"")</f>
        <v>2.2326968254059425</v>
      </c>
      <c r="K51" s="92">
        <f ca="1">IFERROR((Table19[[#This Row],[Price]]-Table19[[#This Row],[Ave Entry]])*Table19[[#This Row],[Num of Stocks]],0)</f>
        <v>263.53542372881356</v>
      </c>
      <c r="L51" s="38" cm="1">
        <f t="array" aca="1" ref="L51" ca="1">_FV(Table19[[#This Row],[Assets]],"Change (%)",TRUE)</f>
        <v>-3.5293999999999999E-2</v>
      </c>
      <c r="M51" s="36">
        <f>SUMIF(Table20[Asset],Table19[[#This Row],[Assets]],Table20[realized_profit])</f>
        <v>-4181</v>
      </c>
      <c r="N51" s="36">
        <f ca="1">SUMIF(Table20[[#All],[Asset]],Table19[[#This Row],[Assets]],Table20[[#All],[delta_exposure]])</f>
        <v>0</v>
      </c>
      <c r="O51" s="98">
        <f ca="1">Table19[[#This Row],[Option Exposure]]/$B$6</f>
        <v>0</v>
      </c>
      <c r="P51" s="51">
        <f>SUMIF(Table25[[#All],[Assets]],Table19[[#This Row],[Assets]],Table25[[#All],[Number of stocks]])</f>
        <v>1</v>
      </c>
      <c r="Q51" s="36">
        <f ca="1">Table19[[#This Row],[Num of Stocks]]*Table19[[#This Row],[Price]]</f>
        <v>381.57</v>
      </c>
      <c r="R51" s="36">
        <f ca="1">Table19[[#This Row],[Stock Exposure]]+Table19[[#This Row],[Option Exposure]]</f>
        <v>381.57</v>
      </c>
      <c r="S51" s="108">
        <f>IFERROR(Table19[[#This Row],[Num of Stocks]]*Table19[[#This Row],[Ave Entry]],"")</f>
        <v>118.03457627118644</v>
      </c>
      <c r="T51" s="39">
        <f ca="1">Table19[[#This Row],[Combined Exposure]]/$C$8</f>
        <v>2.4050739952099459E-3</v>
      </c>
    </row>
    <row r="52" spans="1:20">
      <c r="A52" t="e" vm="40">
        <v>#VALUE!</v>
      </c>
      <c r="B52" s="13" t="str" cm="1">
        <f t="array" aca="1" ref="B52" ca="1">_FV(A52,"Ticker symbol",TRUE)</f>
        <v>ECG</v>
      </c>
      <c r="C52" s="13" t="s">
        <v>56</v>
      </c>
      <c r="D52" s="13" t="s">
        <v>56</v>
      </c>
      <c r="E52" s="19" cm="1">
        <f t="array" aca="1" ref="E52" ca="1">IFERROR(_FV(A52,"Beta"),2)</f>
        <v>1.819</v>
      </c>
      <c r="F52" s="13" t="str" cm="1">
        <f t="array" aca="1" ref="F52" ca="1">_FV(A52,"Instrument type",TRUE)</f>
        <v>Stock</v>
      </c>
      <c r="G52" s="18" cm="1">
        <f t="array" aca="1" ref="G52" ca="1">_FV(Table19[[#This Row],[Assets]],"Price")</f>
        <v>123.44499999999999</v>
      </c>
      <c r="H52" s="36">
        <f>IFERROR(VLOOKUP(Table19[[#This Row],[Assets]],Table25[#All],15,FALSE),"")</f>
        <v>44.497333333333337</v>
      </c>
      <c r="I52" s="36">
        <f>IFERROR(VLOOKUP(Table19[[#This Row],[Assets]],Table25[#All],16,FALSE),0)</f>
        <v>0</v>
      </c>
      <c r="J52" s="84">
        <f ca="1">IFERROR((Table19[[#This Row],[Price]]-Table19[[#This Row],[Ave Entry]])/Table19[[#This Row],[Ave Entry]],"")</f>
        <v>1.7742111886854641</v>
      </c>
      <c r="K52" s="92">
        <f ca="1">IFERROR((Table19[[#This Row],[Price]]-Table19[[#This Row],[Ave Entry]])*Table19[[#This Row],[Num of Stocks]],0)</f>
        <v>1184.2149999999999</v>
      </c>
      <c r="L52" s="38" cm="1">
        <f t="array" aca="1" ref="L52" ca="1">_FV(Table19[[#This Row],[Assets]],"Change (%)",TRUE)</f>
        <v>2.198E-2</v>
      </c>
      <c r="M52" s="36">
        <f>SUMIF(Table20[Asset],Table19[[#This Row],[Assets]],Table20[realized_profit])</f>
        <v>0</v>
      </c>
      <c r="N52" s="36">
        <f>SUMIF(Table20[[#All],[Asset]],Table19[[#This Row],[Assets]],Table20[[#All],[delta_exposure]])</f>
        <v>0</v>
      </c>
      <c r="O52" s="38">
        <f ca="1">Table19[[#This Row],[Option Exposure]]/$B$6</f>
        <v>0</v>
      </c>
      <c r="P52" s="51">
        <f>SUMIF(Table25[[#All],[Assets]],Table19[[#This Row],[Assets]],Table25[[#All],[Number of stocks]])</f>
        <v>15</v>
      </c>
      <c r="Q52" s="36">
        <f ca="1">Table19[[#This Row],[Num of Stocks]]*Table19[[#This Row],[Price]]</f>
        <v>1851.675</v>
      </c>
      <c r="R52" s="36">
        <f ca="1">Table19[[#This Row],[Stock Exposure]]+Table19[[#This Row],[Option Exposure]]</f>
        <v>1851.675</v>
      </c>
      <c r="S52" s="108">
        <f>IFERROR(Table19[[#This Row],[Num of Stocks]]*Table19[[#This Row],[Ave Entry]],"")</f>
        <v>667.46</v>
      </c>
      <c r="T52" s="39">
        <f ca="1">Table19[[#This Row],[Combined Exposure]]/$C$8</f>
        <v>1.1671293314674572E-2</v>
      </c>
    </row>
    <row r="53" spans="1:20">
      <c r="A53" t="e" vm="198">
        <v>#VALUE!</v>
      </c>
      <c r="B53" s="13" t="str" cm="1">
        <f t="array" aca="1" ref="B53" ca="1">_FV(A53,"Ticker symbol",TRUE)</f>
        <v>INDV</v>
      </c>
      <c r="C53" s="13" t="s">
        <v>53</v>
      </c>
      <c r="D53" s="13" t="s">
        <v>515</v>
      </c>
      <c r="E53" s="19" cm="1">
        <f t="array" aca="1" ref="E53" ca="1">IFERROR(_FV(A53,"Beta"),2)</f>
        <v>1.2322</v>
      </c>
      <c r="F53" s="13" t="str" cm="1">
        <f t="array" aca="1" ref="F53" ca="1">_FV(A53,"Instrument type",TRUE)</f>
        <v>Stock</v>
      </c>
      <c r="G53" s="18" cm="1">
        <f t="array" aca="1" ref="G53" ca="1">_FV(Table19[[#This Row],[Assets]],"Price")</f>
        <v>30.26</v>
      </c>
      <c r="H53" s="36">
        <f>IFERROR(VLOOKUP(Table19[[#This Row],[Assets]],Table25[#All],15,FALSE),"")</f>
        <v>24.72137931034483</v>
      </c>
      <c r="I53" s="36">
        <f>IFERROR(VLOOKUP(Table19[[#This Row],[Assets]],Table25[#All],16,FALSE),0)</f>
        <v>588.43999999999949</v>
      </c>
      <c r="J53" s="84">
        <f ca="1">IFERROR((Table19[[#This Row],[Price]]-Table19[[#This Row],[Ave Entry]])/Table19[[#This Row],[Ave Entry]],"")</f>
        <v>0.2240417340846956</v>
      </c>
      <c r="K53" s="92">
        <f ca="1">IFERROR((Table19[[#This Row],[Price]]-Table19[[#This Row],[Ave Entry]])*Table19[[#This Row],[Num of Stocks]],0)</f>
        <v>0</v>
      </c>
      <c r="L53" s="38" cm="1">
        <f t="array" aca="1" ref="L53" ca="1">_FV(Table19[[#This Row],[Assets]],"Change (%)",TRUE)</f>
        <v>5.1059E-2</v>
      </c>
      <c r="M53" s="36">
        <f>SUMIF(Table20[Asset],Table19[[#This Row],[Assets]],Table20[realized_profit])</f>
        <v>0</v>
      </c>
      <c r="N53" s="36">
        <f>SUMIF(Table20[[#All],[Asset]],Table19[[#This Row],[Assets]],Table20[[#All],[delta_exposure]])</f>
        <v>0</v>
      </c>
      <c r="O53" s="38">
        <f ca="1">Table19[[#This Row],[Option Exposure]]/$B$6</f>
        <v>0</v>
      </c>
      <c r="P53" s="51">
        <f>SUMIF(Table25[[#All],[Assets]],Table19[[#This Row],[Assets]],Table25[[#All],[Number of stocks]])</f>
        <v>0</v>
      </c>
      <c r="Q53" s="36">
        <f ca="1">Table19[[#This Row],[Num of Stocks]]*Table19[[#This Row],[Price]]</f>
        <v>0</v>
      </c>
      <c r="R53" s="36">
        <f ca="1">Table19[[#This Row],[Stock Exposure]]+Table19[[#This Row],[Option Exposure]]</f>
        <v>0</v>
      </c>
      <c r="S53" s="108">
        <f>IFERROR(Table19[[#This Row],[Num of Stocks]]*Table19[[#This Row],[Ave Entry]],"")</f>
        <v>0</v>
      </c>
      <c r="T53" s="39">
        <f ca="1">Table19[[#This Row],[Combined Exposure]]/$C$8</f>
        <v>0</v>
      </c>
    </row>
    <row r="54" spans="1:20">
      <c r="A54" t="e" vm="56">
        <v>#VALUE!</v>
      </c>
      <c r="B54" s="13" t="str" cm="1">
        <f t="array" aca="1" ref="B54" ca="1">_FV(A54,"Ticker symbol",TRUE)</f>
        <v>PBF</v>
      </c>
      <c r="C54" s="13" t="s">
        <v>31</v>
      </c>
      <c r="D54" s="13" t="s">
        <v>127</v>
      </c>
      <c r="E54" s="19" cm="1">
        <f t="array" aca="1" ref="E54" ca="1">IFERROR(_FV(A54,"Beta"),2)</f>
        <v>0.21129999999999999</v>
      </c>
      <c r="F54" s="13" t="str" cm="1">
        <f t="array" aca="1" ref="F54" ca="1">_FV(A54,"Instrument type",TRUE)</f>
        <v>Stock</v>
      </c>
      <c r="G54" s="18" cm="1">
        <f t="array" aca="1" ref="G54" ca="1">_FV(Table19[[#This Row],[Assets]],"Price")</f>
        <v>49.325000000000003</v>
      </c>
      <c r="H54" s="36">
        <f>IFERROR(VLOOKUP(Table19[[#This Row],[Assets]],Table25[#All],15,FALSE),"")</f>
        <v>40.897272727272728</v>
      </c>
      <c r="I54" s="36">
        <f>IFERROR(VLOOKUP(Table19[[#This Row],[Assets]],Table25[#All],16,FALSE),0)</f>
        <v>-70.309090909090912</v>
      </c>
      <c r="J54" s="84">
        <f ca="1">IFERROR((Table19[[#This Row],[Price]]-Table19[[#This Row],[Ave Entry]])/Table19[[#This Row],[Ave Entry]],"")</f>
        <v>0.20607064263009317</v>
      </c>
      <c r="K54" s="92">
        <f ca="1">IFERROR((Table19[[#This Row],[Price]]-Table19[[#This Row],[Ave Entry]])*Table19[[#This Row],[Num of Stocks]],0)</f>
        <v>337.10909090909098</v>
      </c>
      <c r="L54" s="38" cm="1">
        <f t="array" aca="1" ref="L54" ca="1">_FV(Table19[[#This Row],[Assets]],"Change (%)",TRUE)</f>
        <v>-1.5273000000000002E-2</v>
      </c>
      <c r="M54" s="36">
        <f>SUMIF(Table20[Asset],Table19[[#This Row],[Assets]],Table20[realized_profit])</f>
        <v>-790</v>
      </c>
      <c r="N54" s="36">
        <f ca="1">SUMIF(Table20[[#All],[Asset]],Table19[[#This Row],[Assets]],Table20[[#All],[delta_exposure]])</f>
        <v>0</v>
      </c>
      <c r="O54" s="98">
        <f ca="1">Table19[[#This Row],[Option Exposure]]/$B$6</f>
        <v>0</v>
      </c>
      <c r="P54" s="51">
        <f>SUMIF(Table25[[#All],[Assets]],Table19[[#This Row],[Assets]],Table25[[#All],[Number of stocks]])</f>
        <v>40</v>
      </c>
      <c r="Q54" s="36">
        <f ca="1">Table19[[#This Row],[Num of Stocks]]*Table19[[#This Row],[Price]]</f>
        <v>1973</v>
      </c>
      <c r="R54" s="36">
        <f ca="1">Table19[[#This Row],[Stock Exposure]]+Table19[[#This Row],[Option Exposure]]</f>
        <v>1973</v>
      </c>
      <c r="S54" s="108">
        <f>IFERROR(Table19[[#This Row],[Num of Stocks]]*Table19[[#This Row],[Ave Entry]],"")</f>
        <v>1635.8909090909092</v>
      </c>
      <c r="T54" s="39">
        <f ca="1">Table19[[#This Row],[Combined Exposure]]/$C$8</f>
        <v>1.2436016962940544E-2</v>
      </c>
    </row>
    <row r="55" spans="1:20">
      <c r="A55" t="e" vm="11">
        <v>#VALUE!</v>
      </c>
      <c r="B55" s="13" t="str" cm="1">
        <f t="array" aca="1" ref="B55" ca="1">_FV(A55,"Ticker symbol",TRUE)</f>
        <v>AMZN</v>
      </c>
      <c r="C55" s="13" t="s">
        <v>521</v>
      </c>
      <c r="D55" s="13" t="s">
        <v>29</v>
      </c>
      <c r="E55" s="19" cm="1">
        <f t="array" aca="1" ref="E55" ca="1">IFERROR(_FV(A55,"Beta"),2)</f>
        <v>1.3909</v>
      </c>
      <c r="F55" s="13" t="str" cm="1">
        <f t="array" aca="1" ref="F55" ca="1">_FV(A55,"Instrument type",TRUE)</f>
        <v>Stock</v>
      </c>
      <c r="G55" s="18" cm="1">
        <f t="array" aca="1" ref="G55" ca="1">_FV(Table19[[#This Row],[Assets]],"Price")</f>
        <v>212.15</v>
      </c>
      <c r="H55" s="36">
        <f>IFERROR(VLOOKUP(Table19[[#This Row],[Assets]],Table25[#All],15,FALSE),"")</f>
        <v>198.51642857142858</v>
      </c>
      <c r="I55" s="36">
        <f>IFERROR(VLOOKUP(Table19[[#This Row],[Assets]],Table25[#All],16,FALSE),0)</f>
        <v>68.16214285714284</v>
      </c>
      <c r="J55" s="84">
        <f ca="1">IFERROR((Table19[[#This Row],[Price]]-Table19[[#This Row],[Ave Entry]])/Table19[[#This Row],[Ave Entry]],"")</f>
        <v>6.8677295509907421E-2</v>
      </c>
      <c r="K55" s="92">
        <f ca="1">IFERROR((Table19[[#This Row],[Price]]-Table19[[#This Row],[Ave Entry]])*Table19[[#This Row],[Num of Stocks]],0)</f>
        <v>68.167857142857144</v>
      </c>
      <c r="L55" s="38" cm="1">
        <f t="array" aca="1" ref="L55" ca="1">_FV(Table19[[#This Row],[Assets]],"Change (%)",TRUE)</f>
        <v>2.3692000000000001E-2</v>
      </c>
      <c r="M55" s="36">
        <f>SUMIF(Table20[Asset],Table19[[#This Row],[Assets]],Table20[realized_profit])</f>
        <v>-1350</v>
      </c>
      <c r="N55" s="36">
        <f ca="1">SUMIF(Table20[[#All],[Asset]],Table19[[#This Row],[Assets]],Table20[[#All],[delta_exposure]])</f>
        <v>0</v>
      </c>
      <c r="O55" s="98">
        <f ca="1">Table19[[#This Row],[Option Exposure]]/$B$6</f>
        <v>0</v>
      </c>
      <c r="P55" s="51">
        <f>SUMIF(Table25[[#All],[Assets]],Table19[[#This Row],[Assets]],Table25[[#All],[Number of stocks]])</f>
        <v>5</v>
      </c>
      <c r="Q55" s="36">
        <f ca="1">Table19[[#This Row],[Num of Stocks]]*Table19[[#This Row],[Price]]</f>
        <v>1060.75</v>
      </c>
      <c r="R55" s="36">
        <f ca="1">Table19[[#This Row],[Stock Exposure]]+Table19[[#This Row],[Option Exposure]]</f>
        <v>1060.75</v>
      </c>
      <c r="S55" s="108">
        <f>IFERROR(Table19[[#This Row],[Num of Stocks]]*Table19[[#This Row],[Ave Entry]],"")</f>
        <v>992.58214285714291</v>
      </c>
      <c r="T55" s="39">
        <f ca="1">Table19[[#This Row],[Combined Exposure]]/$C$8</f>
        <v>6.6860136814187445E-3</v>
      </c>
    </row>
    <row r="56" spans="1:20">
      <c r="A56" t="e" vm="199">
        <v>#VALUE!</v>
      </c>
      <c r="B56" s="13" t="str" cm="1">
        <f t="array" aca="1" ref="B56" ca="1">_FV(A56,"Ticker symbol",TRUE)</f>
        <v>HROW</v>
      </c>
      <c r="C56" s="13" t="s">
        <v>53</v>
      </c>
      <c r="D56" s="13" t="s">
        <v>561</v>
      </c>
      <c r="E56" s="19" cm="1">
        <f t="array" aca="1" ref="E56" ca="1">IFERROR(_FV(A56,"Beta"),2)</f>
        <v>0.29480000000000001</v>
      </c>
      <c r="F56" s="13" t="str" cm="1">
        <f t="array" aca="1" ref="F56" ca="1">_FV(A56,"Instrument type",TRUE)</f>
        <v>Stock</v>
      </c>
      <c r="G56" s="18" cm="1">
        <f t="array" aca="1" ref="G56" ca="1">_FV(Table19[[#This Row],[Assets]],"Price")</f>
        <v>35.700000000000003</v>
      </c>
      <c r="H56" s="36">
        <f>IFERROR(VLOOKUP(Table19[[#This Row],[Assets]],Table25[#All],15,FALSE),"")</f>
        <v>36.437999999999995</v>
      </c>
      <c r="I56" s="36">
        <f>IFERROR(VLOOKUP(Table19[[#This Row],[Assets]],Table25[#All],16,FALSE),0)</f>
        <v>788.37000000000012</v>
      </c>
      <c r="J56" s="84">
        <f ca="1">IFERROR((Table19[[#This Row],[Price]]-Table19[[#This Row],[Ave Entry]])/Table19[[#This Row],[Ave Entry]],"")</f>
        <v>-2.0253581425983658E-2</v>
      </c>
      <c r="K56" s="92">
        <f ca="1">IFERROR((Table19[[#This Row],[Price]]-Table19[[#This Row],[Ave Entry]])*Table19[[#This Row],[Num of Stocks]],0)</f>
        <v>0</v>
      </c>
      <c r="L56" s="38" cm="1">
        <f t="array" aca="1" ref="L56" ca="1">_FV(Table19[[#This Row],[Assets]],"Change (%)",TRUE)</f>
        <v>1.4205000000000001E-2</v>
      </c>
      <c r="M56" s="36">
        <f>SUMIF(Table20[Asset],Table19[[#This Row],[Assets]],Table20[realized_profit])</f>
        <v>0</v>
      </c>
      <c r="N56" s="36">
        <f>SUMIF(Table20[[#All],[Asset]],Table19[[#This Row],[Assets]],Table20[[#All],[delta_exposure]])</f>
        <v>0</v>
      </c>
      <c r="O56" s="38">
        <f ca="1">Table19[[#This Row],[Option Exposure]]/$B$6</f>
        <v>0</v>
      </c>
      <c r="P56" s="51">
        <f>SUMIF(Table25[[#All],[Assets]],Table19[[#This Row],[Assets]],Table25[[#All],[Number of stocks]])</f>
        <v>0</v>
      </c>
      <c r="Q56" s="36">
        <f ca="1">Table19[[#This Row],[Num of Stocks]]*Table19[[#This Row],[Price]]</f>
        <v>0</v>
      </c>
      <c r="R56" s="36">
        <f ca="1">Table19[[#This Row],[Stock Exposure]]+Table19[[#This Row],[Option Exposure]]</f>
        <v>0</v>
      </c>
      <c r="S56" s="108">
        <f>IFERROR(Table19[[#This Row],[Num of Stocks]]*Table19[[#This Row],[Ave Entry]],"")</f>
        <v>0</v>
      </c>
      <c r="T56" s="108">
        <f ca="1">Table19[[#This Row],[Combined Exposure]]/$C$8</f>
        <v>0</v>
      </c>
    </row>
    <row r="57" spans="1:20">
      <c r="A57" t="e" vm="200">
        <v>#VALUE!</v>
      </c>
      <c r="B57" s="13" t="str" cm="1">
        <f t="array" aca="1" ref="B57" ca="1">_FV(A57,"Ticker symbol",TRUE)</f>
        <v>IMSR</v>
      </c>
      <c r="C57" s="13" t="s">
        <v>136</v>
      </c>
      <c r="D57" s="13" t="s">
        <v>136</v>
      </c>
      <c r="E57" s="19" cm="1">
        <f t="array" aca="1" ref="E57" ca="1">IFERROR(_FV(A57,"Beta"),2)</f>
        <v>6.359</v>
      </c>
      <c r="F57" s="13" t="str" cm="1">
        <f t="array" aca="1" ref="F57" ca="1">_FV(A57,"Instrument type",TRUE)</f>
        <v>Stock</v>
      </c>
      <c r="G57" s="18" cm="1">
        <f t="array" aca="1" ref="G57" ca="1">_FV(Table19[[#This Row],[Assets]],"Price")</f>
        <v>6.68</v>
      </c>
      <c r="H57" s="36">
        <f>IFERROR(VLOOKUP(Table19[[#This Row],[Assets]],Table25[#All],15,FALSE),"")</f>
        <v>11.707383419689117</v>
      </c>
      <c r="I57" s="36">
        <f>IFERROR(VLOOKUP(Table19[[#This Row],[Assets]],Table25[#All],16,FALSE),0)</f>
        <v>-171.56642487046588</v>
      </c>
      <c r="J57" s="84">
        <f ca="1">IFERROR((Table19[[#This Row],[Price]]-Table19[[#This Row],[Ave Entry]])/Table19[[#This Row],[Ave Entry]],"")</f>
        <v>-0.42941990020026327</v>
      </c>
      <c r="K57" s="92">
        <f ca="1">IFERROR((Table19[[#This Row],[Price]]-Table19[[#This Row],[Ave Entry]])*Table19[[#This Row],[Num of Stocks]],0)</f>
        <v>-492.68357512953355</v>
      </c>
      <c r="L57" s="38" cm="1">
        <f t="array" aca="1" ref="L57" ca="1">_FV(Table19[[#This Row],[Assets]],"Change (%)",TRUE)</f>
        <v>5.1969000000000001E-2</v>
      </c>
      <c r="M57" s="36">
        <f>SUMIF(Table20[Asset],Table19[[#This Row],[Assets]],Table20[realized_profit])</f>
        <v>0</v>
      </c>
      <c r="N57" s="36">
        <f>SUMIF(Table20[[#All],[Asset]],Table19[[#This Row],[Assets]],Table20[[#All],[delta_exposure]])</f>
        <v>0</v>
      </c>
      <c r="O57" s="38">
        <f ca="1">Table19[[#This Row],[Option Exposure]]/$B$6</f>
        <v>0</v>
      </c>
      <c r="P57" s="51">
        <f>SUMIF(Table25[[#All],[Assets]],Table19[[#This Row],[Assets]],Table25[[#All],[Number of stocks]])</f>
        <v>98</v>
      </c>
      <c r="Q57" s="36">
        <f ca="1">Table19[[#This Row],[Num of Stocks]]*Table19[[#This Row],[Price]]</f>
        <v>654.64</v>
      </c>
      <c r="R57" s="36">
        <f ca="1">Table19[[#This Row],[Stock Exposure]]+Table19[[#This Row],[Option Exposure]]</f>
        <v>654.64</v>
      </c>
      <c r="S57" s="108">
        <f>IFERROR(Table19[[#This Row],[Num of Stocks]]*Table19[[#This Row],[Ave Entry]],"")</f>
        <v>1147.3235751295335</v>
      </c>
      <c r="T57" s="39">
        <f ca="1">Table19[[#This Row],[Combined Exposure]]/$C$8</f>
        <v>4.1262616039632024E-3</v>
      </c>
    </row>
    <row r="58" spans="1:20">
      <c r="A58" t="e" vm="22">
        <v>#VALUE!</v>
      </c>
      <c r="B58" s="13" t="str" cm="1">
        <f t="array" aca="1" ref="B58" ca="1">_FV(A58,"Ticker symbol",TRUE)</f>
        <v>RMBS</v>
      </c>
      <c r="C58" s="13" t="s">
        <v>84</v>
      </c>
      <c r="D58" s="13" t="s">
        <v>84</v>
      </c>
      <c r="E58" s="19" cm="1">
        <f t="array" aca="1" ref="E58" ca="1">IFERROR(_FV(A58,"Beta"),2)</f>
        <v>1.5964</v>
      </c>
      <c r="F58" s="13" t="str" cm="1">
        <f t="array" aca="1" ref="F58" ca="1">_FV(A58,"Instrument type",TRUE)</f>
        <v>Stock</v>
      </c>
      <c r="G58" s="18" cm="1">
        <f t="array" aca="1" ref="G58" ca="1">_FV(Table19[[#This Row],[Assets]],"Price")</f>
        <v>93.075000000000003</v>
      </c>
      <c r="H58" s="36">
        <f>IFERROR(VLOOKUP(Table19[[#This Row],[Assets]],Table25[#All],15,FALSE),"")</f>
        <v>48.522222222222219</v>
      </c>
      <c r="I58" s="36">
        <f>IFERROR(VLOOKUP(Table19[[#This Row],[Assets]],Table25[#All],16,FALSE),0)</f>
        <v>127.04444444444451</v>
      </c>
      <c r="J58" s="84">
        <f ca="1">IFERROR((Table19[[#This Row],[Price]]-Table19[[#This Row],[Ave Entry]])/Table19[[#This Row],[Ave Entry]],"")</f>
        <v>0.9181932676894895</v>
      </c>
      <c r="K58" s="92">
        <f ca="1">IFERROR((Table19[[#This Row],[Price]]-Table19[[#This Row],[Ave Entry]])*Table19[[#This Row],[Num of Stocks]],0)</f>
        <v>490.08055555555563</v>
      </c>
      <c r="L58" s="38" cm="1">
        <f t="array" aca="1" ref="L58" ca="1">_FV(Table19[[#This Row],[Assets]],"Change (%)",TRUE)</f>
        <v>4.1539999999999997E-3</v>
      </c>
      <c r="M58" s="36">
        <f>SUMIF(Table20[Asset],Table19[[#This Row],[Assets]],Table20[realized_profit])</f>
        <v>0</v>
      </c>
      <c r="N58" s="36">
        <f>SUMIF(Table20[[#All],[Asset]],Table19[[#This Row],[Assets]],Table20[[#All],[delta_exposure]])</f>
        <v>0</v>
      </c>
      <c r="O58" s="38">
        <f ca="1">Table19[[#This Row],[Option Exposure]]/$B$6</f>
        <v>0</v>
      </c>
      <c r="P58" s="51">
        <f>SUMIF(Table25[[#All],[Assets]],Table19[[#This Row],[Assets]],Table25[[#All],[Number of stocks]])</f>
        <v>11</v>
      </c>
      <c r="Q58" s="36">
        <f ca="1">Table19[[#This Row],[Num of Stocks]]*Table19[[#This Row],[Price]]</f>
        <v>1023.825</v>
      </c>
      <c r="R58" s="36">
        <f ca="1">Table19[[#This Row],[Stock Exposure]]+Table19[[#This Row],[Option Exposure]]</f>
        <v>1023.825</v>
      </c>
      <c r="S58" s="108">
        <f>IFERROR(Table19[[#This Row],[Num of Stocks]]*Table19[[#This Row],[Ave Entry]],"")</f>
        <v>533.74444444444441</v>
      </c>
      <c r="T58" s="39">
        <f ca="1">Table19[[#This Row],[Combined Exposure]]/$C$8</f>
        <v>6.4532717015117098E-3</v>
      </c>
    </row>
    <row r="59" spans="1:20">
      <c r="A59" t="e" vm="31">
        <v>#VALUE!</v>
      </c>
      <c r="B59" s="13" t="str" cm="1">
        <f t="array" aca="1" ref="B59" ca="1">_FV(A59,"Ticker symbol",TRUE)</f>
        <v>SMCI</v>
      </c>
      <c r="C59" s="13" t="s">
        <v>83</v>
      </c>
      <c r="D59" s="13" t="s">
        <v>83</v>
      </c>
      <c r="E59" s="19" cm="1">
        <f t="array" aca="1" ref="E59" ca="1">IFERROR(_FV(A59,"Beta"),2)</f>
        <v>1.6309</v>
      </c>
      <c r="F59" s="13" t="str" cm="1">
        <f t="array" aca="1" ref="F59" ca="1">_FV(A59,"Instrument type",TRUE)</f>
        <v>Stock</v>
      </c>
      <c r="G59" s="18" cm="1">
        <f t="array" aca="1" ref="G59" ca="1">_FV(Table19[[#This Row],[Assets]],"Price")</f>
        <v>23.869900000000001</v>
      </c>
      <c r="H59" s="36">
        <f>IFERROR(VLOOKUP(Table19[[#This Row],[Assets]],Table25[#All],15,FALSE),"")</f>
        <v>31.1</v>
      </c>
      <c r="I59" s="36">
        <f>IFERROR(VLOOKUP(Table19[[#This Row],[Assets]],Table25[#All],16,FALSE),0)</f>
        <v>-320.95000000000005</v>
      </c>
      <c r="J59" s="84">
        <f ca="1">IFERROR((Table19[[#This Row],[Price]]-Table19[[#This Row],[Ave Entry]])/Table19[[#This Row],[Ave Entry]],"")</f>
        <v>-0.23247909967845659</v>
      </c>
      <c r="K59" s="92">
        <f ca="1">IFERROR((Table19[[#This Row],[Price]]-Table19[[#This Row],[Ave Entry]])*Table19[[#This Row],[Num of Stocks]],0)</f>
        <v>0</v>
      </c>
      <c r="L59" s="38" cm="1">
        <f t="array" aca="1" ref="L59" ca="1">_FV(Table19[[#This Row],[Assets]],"Change (%)",TRUE)</f>
        <v>7.3770000000000002E-2</v>
      </c>
      <c r="M59" s="36">
        <f>SUMIF(Table20[Asset],Table19[[#This Row],[Assets]],Table20[realized_profit])</f>
        <v>-303.99999999999994</v>
      </c>
      <c r="N59" s="36">
        <f ca="1">SUMIF(Table20[[#All],[Asset]],Table19[[#This Row],[Assets]],Table20[[#All],[delta_exposure]])</f>
        <v>0</v>
      </c>
      <c r="O59" s="38">
        <f ca="1">Table19[[#This Row],[Option Exposure]]/$B$6</f>
        <v>0</v>
      </c>
      <c r="P59" s="51">
        <f>SUMIF(Table25[[#All],[Assets]],Table19[[#This Row],[Assets]],Table25[[#All],[Number of stocks]])</f>
        <v>0</v>
      </c>
      <c r="Q59" s="36">
        <f ca="1">Table19[[#This Row],[Num of Stocks]]*Table19[[#This Row],[Price]]</f>
        <v>0</v>
      </c>
      <c r="R59" s="36">
        <f ca="1">Table19[[#This Row],[Stock Exposure]]+Table19[[#This Row],[Option Exposure]]</f>
        <v>0</v>
      </c>
      <c r="S59" s="108">
        <f>IFERROR(Table19[[#This Row],[Num of Stocks]]*Table19[[#This Row],[Ave Entry]],"")</f>
        <v>0</v>
      </c>
      <c r="T59" s="39">
        <f ca="1">Table19[[#This Row],[Combined Exposure]]/$C$8</f>
        <v>0</v>
      </c>
    </row>
    <row r="60" spans="1:20">
      <c r="A60" t="e" vm="122">
        <v>#VALUE!</v>
      </c>
      <c r="B60" s="13" t="str" cm="1">
        <f t="array" aca="1" ref="B60" ca="1">_FV(A60,"Ticker symbol",TRUE)</f>
        <v>AVGO</v>
      </c>
      <c r="C60" s="13" t="s">
        <v>83</v>
      </c>
      <c r="D60" s="13" t="s">
        <v>84</v>
      </c>
      <c r="E60" s="19" cm="1">
        <f t="array" aca="1" ref="E60" ca="1">IFERROR(_FV(A60,"Beta"),2)</f>
        <v>1.242</v>
      </c>
      <c r="F60" s="13" t="str" cm="1">
        <f t="array" aca="1" ref="F60" ca="1">_FV(A60,"Instrument type",TRUE)</f>
        <v>Stock</v>
      </c>
      <c r="G60" s="18" cm="1">
        <f t="array" aca="1" ref="G60" ca="1">_FV(Table19[[#This Row],[Assets]],"Price")</f>
        <v>321.02</v>
      </c>
      <c r="H60" s="36">
        <f>IFERROR(VLOOKUP(Table19[[#This Row],[Assets]],Table25[#All],15,FALSE),"")</f>
        <v>347.89333333333337</v>
      </c>
      <c r="I60" s="36">
        <f>IFERROR(VLOOKUP(Table19[[#This Row],[Assets]],Table25[#All],16,FALSE),0)</f>
        <v>0</v>
      </c>
      <c r="J60" s="84">
        <f ca="1">IFERROR((Table19[[#This Row],[Price]]-Table19[[#This Row],[Ave Entry]])/Table19[[#This Row],[Ave Entry]],"")</f>
        <v>-7.7245899126169096E-2</v>
      </c>
      <c r="K60" s="92">
        <f ca="1">IFERROR((Table19[[#This Row],[Price]]-Table19[[#This Row],[Ave Entry]])*Table19[[#This Row],[Num of Stocks]],0)</f>
        <v>-80.620000000000175</v>
      </c>
      <c r="L60" s="38" cm="1">
        <f t="array" aca="1" ref="L60" ca="1">_FV(Table19[[#This Row],[Assets]],"Change (%)",TRUE)</f>
        <v>8.5769999999999996E-3</v>
      </c>
      <c r="M60" s="36">
        <f>SUMIF(Table20[Asset],Table19[[#This Row],[Assets]],Table20[realized_profit])</f>
        <v>-87.000000000000909</v>
      </c>
      <c r="N60" s="36">
        <f ca="1">SUMIF(Table20[[#All],[Asset]],Table19[[#This Row],[Assets]],Table20[[#All],[delta_exposure]])</f>
        <v>0</v>
      </c>
      <c r="O60" s="38">
        <f ca="1">Table19[[#This Row],[Option Exposure]]/$B$6</f>
        <v>0</v>
      </c>
      <c r="P60" s="51">
        <f>SUMIF(Table25[[#All],[Assets]],Table19[[#This Row],[Assets]],Table25[[#All],[Number of stocks]])</f>
        <v>3</v>
      </c>
      <c r="Q60" s="36">
        <f ca="1">Table19[[#This Row],[Num of Stocks]]*Table19[[#This Row],[Price]]</f>
        <v>963.06</v>
      </c>
      <c r="R60" s="36">
        <f ca="1">Table19[[#This Row],[Stock Exposure]]+Table19[[#This Row],[Option Exposure]]</f>
        <v>963.06</v>
      </c>
      <c r="S60" s="108">
        <f>IFERROR(Table19[[#This Row],[Num of Stocks]]*Table19[[#This Row],[Ave Entry]],"")</f>
        <v>1043.68</v>
      </c>
      <c r="T60" s="39">
        <f ca="1">Table19[[#This Row],[Combined Exposure]]/$C$8</f>
        <v>6.0702638095942833E-3</v>
      </c>
    </row>
    <row r="61" spans="1:20">
      <c r="A61" t="e" vm="201">
        <v>#VALUE!</v>
      </c>
      <c r="B61" s="13" t="str" cm="1">
        <f t="array" aca="1" ref="B61" ca="1">_FV(A61,"Ticker symbol",TRUE)</f>
        <v>AXTI</v>
      </c>
      <c r="C61" s="13" t="s">
        <v>84</v>
      </c>
      <c r="D61" s="13" t="s">
        <v>571</v>
      </c>
      <c r="E61" s="19" cm="1">
        <f t="array" aca="1" ref="E61" ca="1">IFERROR(_FV(A61,"Beta"),2)</f>
        <v>1.3869</v>
      </c>
      <c r="F61" s="13" t="str" cm="1">
        <f t="array" aca="1" ref="F61" ca="1">_FV(A61,"Instrument type",TRUE)</f>
        <v>Stock</v>
      </c>
      <c r="G61" s="18" cm="1">
        <f t="array" aca="1" ref="G61" ca="1">_FV(Table19[[#This Row],[Assets]],"Price")</f>
        <v>70.689899999999994</v>
      </c>
      <c r="H61" s="36">
        <f>IFERROR(VLOOKUP(Table19[[#This Row],[Assets]],Table25[#All],15,FALSE),"")</f>
        <v>14.74</v>
      </c>
      <c r="I61" s="36">
        <f>IFERROR(VLOOKUP(Table19[[#This Row],[Assets]],Table25[#All],16,FALSE),0)</f>
        <v>220.8</v>
      </c>
      <c r="J61" s="84">
        <f ca="1">IFERROR((Table19[[#This Row],[Price]]-Table19[[#This Row],[Ave Entry]])/Table19[[#This Row],[Ave Entry]],"")</f>
        <v>3.7957869742198094</v>
      </c>
      <c r="K61" s="92">
        <f ca="1">IFERROR((Table19[[#This Row],[Price]]-Table19[[#This Row],[Ave Entry]])*Table19[[#This Row],[Num of Stocks]],0)</f>
        <v>1118.9979999999998</v>
      </c>
      <c r="L61" s="38" cm="1">
        <f t="array" aca="1" ref="L61" ca="1">_FV(Table19[[#This Row],[Assets]],"Change (%)",TRUE)</f>
        <v>3.2874E-2</v>
      </c>
      <c r="M61" s="36">
        <f>SUMIF(Table20[Asset],Table19[[#This Row],[Assets]],Table20[realized_profit])</f>
        <v>0</v>
      </c>
      <c r="N61" s="36">
        <f>SUMIF(Table20[[#All],[Asset]],Table19[[#This Row],[Assets]],Table20[[#All],[delta_exposure]])</f>
        <v>0</v>
      </c>
      <c r="O61" s="38">
        <f ca="1">Table19[[#This Row],[Option Exposure]]/$B$6</f>
        <v>0</v>
      </c>
      <c r="P61" s="51">
        <f>SUMIF(Table25[[#All],[Assets]],Table19[[#This Row],[Assets]],Table25[[#All],[Number of stocks]])</f>
        <v>20</v>
      </c>
      <c r="Q61" s="36">
        <f ca="1">Table19[[#This Row],[Num of Stocks]]*Table19[[#This Row],[Price]]</f>
        <v>1413.7979999999998</v>
      </c>
      <c r="R61" s="36">
        <f ca="1">Table19[[#This Row],[Stock Exposure]]+Table19[[#This Row],[Option Exposure]]</f>
        <v>1413.7979999999998</v>
      </c>
      <c r="S61" s="108">
        <f>IFERROR(Table19[[#This Row],[Num of Stocks]]*Table19[[#This Row],[Ave Entry]],"")</f>
        <v>294.8</v>
      </c>
      <c r="T61" s="108">
        <f ca="1">Table19[[#This Row],[Combined Exposure]]/$C$8</f>
        <v>8.9113106488451152E-3</v>
      </c>
    </row>
    <row r="62" spans="1:20">
      <c r="A62" t="e" vm="90">
        <v>#VALUE!</v>
      </c>
      <c r="B62" s="13" t="str" cm="1">
        <f t="array" aca="1" ref="B62" ca="1">_FV(A62,"Ticker symbol",TRUE)</f>
        <v>ASTS</v>
      </c>
      <c r="C62" s="13" t="s">
        <v>29</v>
      </c>
      <c r="D62" s="13" t="s">
        <v>495</v>
      </c>
      <c r="E62" s="19" cm="1">
        <f t="array" aca="1" ref="E62" ca="1">IFERROR(_FV(A62,"Beta"),2)</f>
        <v>2.7845</v>
      </c>
      <c r="F62" s="13" t="str" cm="1">
        <f t="array" aca="1" ref="F62" ca="1">_FV(A62,"Instrument type",TRUE)</f>
        <v>Stock</v>
      </c>
      <c r="G62" s="18" cm="1">
        <f t="array" aca="1" ref="G62" ca="1">_FV(Table19[[#This Row],[Assets]],"Price")</f>
        <v>96.92</v>
      </c>
      <c r="H62" s="36">
        <f>IFERROR(VLOOKUP(Table19[[#This Row],[Assets]],Table25[#All],15,FALSE),"")</f>
        <v>35.973404255319146</v>
      </c>
      <c r="I62" s="36">
        <f>IFERROR(VLOOKUP(Table19[[#This Row],[Assets]],Table25[#All],16,FALSE),0)</f>
        <v>1148.0640425531917</v>
      </c>
      <c r="J62" s="84">
        <f ca="1">IFERROR((Table19[[#This Row],[Price]]-Table19[[#This Row],[Ave Entry]])/Table19[[#This Row],[Ave Entry]],"")</f>
        <v>1.6942126275321605</v>
      </c>
      <c r="K62" s="92">
        <f ca="1">IFERROR((Table19[[#This Row],[Price]]-Table19[[#This Row],[Ave Entry]])*Table19[[#This Row],[Num of Stocks]],0)</f>
        <v>609.4659574468086</v>
      </c>
      <c r="L62" s="38" cm="1">
        <f t="array" aca="1" ref="L62" ca="1">_FV(Table19[[#This Row],[Assets]],"Change (%)",TRUE)</f>
        <v>0.11427899999999999</v>
      </c>
      <c r="M62" s="36">
        <f>SUMIF(Table20[Asset],Table19[[#This Row],[Assets]],Table20[realized_profit])</f>
        <v>0</v>
      </c>
      <c r="N62" s="36">
        <f>SUMIF(Table20[[#All],[Asset]],Table19[[#This Row],[Assets]],Table20[[#All],[delta_exposure]])</f>
        <v>0</v>
      </c>
      <c r="O62" s="38">
        <f ca="1">Table19[[#This Row],[Option Exposure]]/$B$6</f>
        <v>0</v>
      </c>
      <c r="P62" s="51">
        <f>SUMIF(Table25[[#All],[Assets]],Table19[[#This Row],[Assets]],Table25[[#All],[Number of stocks]])</f>
        <v>10</v>
      </c>
      <c r="Q62" s="36">
        <f ca="1">Table19[[#This Row],[Num of Stocks]]*Table19[[#This Row],[Price]]</f>
        <v>969.2</v>
      </c>
      <c r="R62" s="36">
        <f ca="1">Table19[[#This Row],[Stock Exposure]]+Table19[[#This Row],[Option Exposure]]</f>
        <v>969.2</v>
      </c>
      <c r="S62" s="108">
        <f>IFERROR(Table19[[#This Row],[Num of Stocks]]*Table19[[#This Row],[Ave Entry]],"")</f>
        <v>359.73404255319144</v>
      </c>
      <c r="T62" s="39">
        <f ca="1">Table19[[#This Row],[Combined Exposure]]/$C$8</f>
        <v>6.1089648456573624E-3</v>
      </c>
    </row>
    <row r="63" spans="1:20">
      <c r="A63" t="e" vm="91">
        <v>#VALUE!</v>
      </c>
      <c r="B63" s="13" t="str" cm="1">
        <f t="array" aca="1" ref="B63" ca="1">_FV(A63,"Ticker symbol",TRUE)</f>
        <v>RKLB</v>
      </c>
      <c r="C63" s="13" t="s">
        <v>38</v>
      </c>
      <c r="D63" s="13" t="s">
        <v>56</v>
      </c>
      <c r="E63" s="19" cm="1">
        <f t="array" aca="1" ref="E63" ca="1">IFERROR(_FV(A63,"Beta"),2)</f>
        <v>2.1968999999999999</v>
      </c>
      <c r="F63" s="13" t="str" cm="1">
        <f t="array" aca="1" ref="F63" ca="1">_FV(A63,"Instrument type",TRUE)</f>
        <v>Stock</v>
      </c>
      <c r="G63" s="18" cm="1">
        <f t="array" aca="1" ref="G63" ca="1">_FV(Table19[[#This Row],[Assets]],"Price")</f>
        <v>73.928399999999996</v>
      </c>
      <c r="H63" s="36">
        <f>IFERROR(VLOOKUP(Table19[[#This Row],[Assets]],Table25[#All],15,FALSE),"")</f>
        <v>47.50454545454545</v>
      </c>
      <c r="I63" s="36">
        <f>IFERROR(VLOOKUP(Table19[[#This Row],[Assets]],Table25[#All],16,FALSE),0)</f>
        <v>699.04454545454553</v>
      </c>
      <c r="J63" s="84">
        <f ca="1">IFERROR((Table19[[#This Row],[Price]]-Table19[[#This Row],[Ave Entry]])/Table19[[#This Row],[Ave Entry]],"")</f>
        <v>0.55623844608171469</v>
      </c>
      <c r="K63" s="92">
        <f ca="1">IFERROR((Table19[[#This Row],[Price]]-Table19[[#This Row],[Ave Entry]])*Table19[[#This Row],[Num of Stocks]],0)</f>
        <v>26.423854545454546</v>
      </c>
      <c r="L63" s="38" cm="1">
        <f t="array" aca="1" ref="L63" ca="1">_FV(Table19[[#This Row],[Assets]],"Change (%)",TRUE)</f>
        <v>0.11894100000000001</v>
      </c>
      <c r="M63" s="36">
        <f>SUMIF(Table20[Asset],Table19[[#This Row],[Assets]],Table20[realized_profit])</f>
        <v>0</v>
      </c>
      <c r="N63" s="36">
        <f>SUMIF(Table20[[#All],[Asset]],Table19[[#This Row],[Assets]],Table20[[#All],[delta_exposure]])</f>
        <v>0</v>
      </c>
      <c r="O63" s="38">
        <f ca="1">Table19[[#This Row],[Option Exposure]]/$B$6</f>
        <v>0</v>
      </c>
      <c r="P63" s="51">
        <f>SUMIF(Table25[[#All],[Assets]],Table19[[#This Row],[Assets]],Table25[[#All],[Number of stocks]])</f>
        <v>1</v>
      </c>
      <c r="Q63" s="36">
        <f ca="1">Table19[[#This Row],[Num of Stocks]]*Table19[[#This Row],[Price]]</f>
        <v>73.928399999999996</v>
      </c>
      <c r="R63" s="36">
        <f ca="1">Table19[[#This Row],[Stock Exposure]]+Table19[[#This Row],[Option Exposure]]</f>
        <v>73.928399999999996</v>
      </c>
      <c r="S63" s="108">
        <f>IFERROR(Table19[[#This Row],[Num of Stocks]]*Table19[[#This Row],[Ave Entry]],"")</f>
        <v>47.50454545454545</v>
      </c>
      <c r="T63" s="39">
        <f ca="1">Table19[[#This Row],[Combined Exposure]]/$C$8</f>
        <v>4.6597812288041242E-4</v>
      </c>
    </row>
    <row r="64" spans="1:20">
      <c r="A64" t="e" vm="202">
        <v>#VALUE!</v>
      </c>
      <c r="B64" s="13" t="str" cm="1">
        <f t="array" aca="1" ref="B64" ca="1">_FV(A64,"Ticker symbol",TRUE)</f>
        <v>ASTI</v>
      </c>
      <c r="C64" s="13" t="s">
        <v>138</v>
      </c>
      <c r="D64" s="13" t="s">
        <v>495</v>
      </c>
      <c r="E64" s="19" cm="1">
        <f t="array" aca="1" ref="E64" ca="1">IFERROR(_FV(A64,"Beta"),2)</f>
        <v>1.2307999999999999</v>
      </c>
      <c r="F64" s="13" t="str" cm="1">
        <f t="array" aca="1" ref="F64" ca="1">_FV(A64,"Instrument type",TRUE)</f>
        <v>Stock</v>
      </c>
      <c r="G64" s="18" cm="1">
        <f t="array" aca="1" ref="G64" ca="1">_FV(Table19[[#This Row],[Assets]],"Price")</f>
        <v>4.8899999999999997</v>
      </c>
      <c r="H64" s="36">
        <f>IFERROR(VLOOKUP(Table19[[#This Row],[Assets]],Table25[#All],15,FALSE),"")</f>
        <v>4.4000000000000004</v>
      </c>
      <c r="I64" s="36">
        <f>IFERROR(VLOOKUP(Table19[[#This Row],[Assets]],Table25[#All],16,FALSE),0)</f>
        <v>159</v>
      </c>
      <c r="J64" s="84">
        <f ca="1">IFERROR((Table19[[#This Row],[Price]]-Table19[[#This Row],[Ave Entry]])/Table19[[#This Row],[Ave Entry]],"")</f>
        <v>0.11136363636363621</v>
      </c>
      <c r="K64" s="92">
        <f ca="1">IFERROR((Table19[[#This Row],[Price]]-Table19[[#This Row],[Ave Entry]])*Table19[[#This Row],[Num of Stocks]],0)</f>
        <v>48.999999999999929</v>
      </c>
      <c r="L64" s="38" cm="1">
        <f t="array" aca="1" ref="L64" ca="1">_FV(Table19[[#This Row],[Assets]],"Change (%)",TRUE)</f>
        <v>7.7092999999999995E-2</v>
      </c>
      <c r="M64" s="36">
        <f>SUMIF(Table20[Asset],Table19[[#This Row],[Assets]],Table20[realized_profit])</f>
        <v>0</v>
      </c>
      <c r="N64" s="36">
        <f>SUMIF(Table20[[#All],[Asset]],Table19[[#This Row],[Assets]],Table20[[#All],[delta_exposure]])</f>
        <v>0</v>
      </c>
      <c r="O64" s="38">
        <f ca="1">Table19[[#This Row],[Option Exposure]]/$B$6</f>
        <v>0</v>
      </c>
      <c r="P64" s="51">
        <f>SUMIF(Table25[[#All],[Assets]],Table19[[#This Row],[Assets]],Table25[[#All],[Number of stocks]])</f>
        <v>100</v>
      </c>
      <c r="Q64" s="36">
        <f ca="1">Table19[[#This Row],[Num of Stocks]]*Table19[[#This Row],[Price]]</f>
        <v>488.99999999999994</v>
      </c>
      <c r="R64" s="36">
        <f ca="1">Table19[[#This Row],[Stock Exposure]]+Table19[[#This Row],[Option Exposure]]</f>
        <v>488.99999999999994</v>
      </c>
      <c r="S64" s="108">
        <f>IFERROR(Table19[[#This Row],[Num of Stocks]]*Table19[[#This Row],[Ave Entry]],"")</f>
        <v>440.00000000000006</v>
      </c>
      <c r="T64" s="108">
        <f ca="1">Table19[[#This Row],[Combined Exposure]]/$C$8</f>
        <v>3.0822160643071087E-3</v>
      </c>
    </row>
    <row r="65" spans="1:20">
      <c r="A65" t="e" vm="203">
        <v>#VALUE!</v>
      </c>
      <c r="B65" s="13" t="str" cm="1">
        <f t="array" aca="1" ref="B65" ca="1">_FV(A65,"Ticker symbol",TRUE)</f>
        <v>TWLO</v>
      </c>
      <c r="C65" s="13" t="s">
        <v>83</v>
      </c>
      <c r="D65" s="13" t="s">
        <v>121</v>
      </c>
      <c r="E65" s="19" cm="1">
        <f t="array" aca="1" ref="E65" ca="1">IFERROR(_FV(A65,"Beta"),2)</f>
        <v>1.3031999999999999</v>
      </c>
      <c r="F65" s="13" t="str" cm="1">
        <f t="array" aca="1" ref="F65" ca="1">_FV(A65,"Instrument type",TRUE)</f>
        <v>Stock</v>
      </c>
      <c r="G65" s="18" cm="1">
        <f t="array" aca="1" ref="G65" ca="1">_FV(Table19[[#This Row],[Assets]],"Price")</f>
        <v>126.65</v>
      </c>
      <c r="H65" s="36">
        <f>IFERROR(VLOOKUP(Table19[[#This Row],[Assets]],Table25[#All],15,FALSE),"")</f>
        <v>120.84203124999999</v>
      </c>
      <c r="I65" s="36">
        <f>IFERROR(VLOOKUP(Table19[[#This Row],[Assets]],Table25[#All],16,FALSE),0)</f>
        <v>-402.6299999999992</v>
      </c>
      <c r="J65" s="84">
        <f ca="1">IFERROR((Table19[[#This Row],[Price]]-Table19[[#This Row],[Ave Entry]])/Table19[[#This Row],[Ave Entry]],"")</f>
        <v>4.8062488605346204E-2</v>
      </c>
      <c r="K65" s="92">
        <f ca="1">IFERROR((Table19[[#This Row],[Price]]-Table19[[#This Row],[Ave Entry]])*Table19[[#This Row],[Num of Stocks]],0)</f>
        <v>0</v>
      </c>
      <c r="L65" s="38" cm="1">
        <f t="array" aca="1" ref="L65" ca="1">_FV(Table19[[#This Row],[Assets]],"Change (%)",TRUE)</f>
        <v>3.1435999999999999E-2</v>
      </c>
      <c r="M65" s="36">
        <f>SUMIF(Table20[Asset],Table19[[#This Row],[Assets]],Table20[realized_profit])</f>
        <v>0</v>
      </c>
      <c r="N65" s="36">
        <f>SUMIF(Table20[[#All],[Asset]],Table19[[#This Row],[Assets]],Table20[[#All],[delta_exposure]])</f>
        <v>0</v>
      </c>
      <c r="O65" s="38">
        <f ca="1">Table19[[#This Row],[Option Exposure]]/$B$6</f>
        <v>0</v>
      </c>
      <c r="P65" s="51">
        <f>SUMIF(Table25[[#All],[Assets]],Table19[[#This Row],[Assets]],Table25[[#All],[Number of stocks]])</f>
        <v>0</v>
      </c>
      <c r="Q65" s="36">
        <f ca="1">Table19[[#This Row],[Num of Stocks]]*Table19[[#This Row],[Price]]</f>
        <v>0</v>
      </c>
      <c r="R65" s="36">
        <f ca="1">Table19[[#This Row],[Stock Exposure]]+Table19[[#This Row],[Option Exposure]]</f>
        <v>0</v>
      </c>
      <c r="S65" s="108">
        <f>IFERROR(Table19[[#This Row],[Num of Stocks]]*Table19[[#This Row],[Ave Entry]],"")</f>
        <v>0</v>
      </c>
      <c r="T65" s="39">
        <f ca="1">Table19[[#This Row],[Combined Exposure]]/$C$8</f>
        <v>0</v>
      </c>
    </row>
    <row r="66" spans="1:20">
      <c r="A66" t="e" vm="54">
        <v>#VALUE!</v>
      </c>
      <c r="B66" s="13" t="str" cm="1">
        <f t="array" aca="1" ref="B66" ca="1">_FV(A66,"Ticker symbol",TRUE)</f>
        <v>AR</v>
      </c>
      <c r="C66" s="13" t="s">
        <v>31</v>
      </c>
      <c r="D66" s="13" t="s">
        <v>119</v>
      </c>
      <c r="E66" s="19" cm="1">
        <f t="array" aca="1" ref="E66" ca="1">IFERROR(_FV(A66,"Beta"),2)</f>
        <v>0.41420000000000001</v>
      </c>
      <c r="F66" s="13" t="str" cm="1">
        <f t="array" aca="1" ref="F66" ca="1">_FV(A66,"Instrument type",TRUE)</f>
        <v>Stock</v>
      </c>
      <c r="G66" s="18" cm="1">
        <f t="array" aca="1" ref="G66" ca="1">_FV(Table19[[#This Row],[Assets]],"Price")</f>
        <v>44.03</v>
      </c>
      <c r="H66" s="36">
        <f>IFERROR(VLOOKUP(Table19[[#This Row],[Assets]],Table25[#All],15,FALSE),"")</f>
        <v>32.540476190476198</v>
      </c>
      <c r="I66" s="36">
        <f>IFERROR(VLOOKUP(Table19[[#This Row],[Assets]],Table25[#All],16,FALSE),0)</f>
        <v>298.86428571428337</v>
      </c>
      <c r="J66" s="84">
        <f ca="1">IFERROR((Table19[[#This Row],[Price]]-Table19[[#This Row],[Ave Entry]])/Table19[[#This Row],[Ave Entry]],"")</f>
        <v>0.35308407112021628</v>
      </c>
      <c r="K66" s="92">
        <f ca="1">IFERROR((Table19[[#This Row],[Price]]-Table19[[#This Row],[Ave Entry]])*Table19[[#This Row],[Num of Stocks]],0)</f>
        <v>344.68571428571408</v>
      </c>
      <c r="L66" s="38" cm="1">
        <f t="array" aca="1" ref="L66" ca="1">_FV(Table19[[#This Row],[Assets]],"Change (%)",TRUE)</f>
        <v>1.5218000000000001E-2</v>
      </c>
      <c r="M66" s="36">
        <f>SUMIF(Table20[Asset],Table19[[#This Row],[Assets]],Table20[realized_profit])</f>
        <v>0</v>
      </c>
      <c r="N66" s="36">
        <f>SUMIF(Table20[[#All],[Asset]],Table19[[#This Row],[Assets]],Table20[[#All],[delta_exposure]])</f>
        <v>0</v>
      </c>
      <c r="O66" s="38">
        <f ca="1">Table19[[#This Row],[Option Exposure]]/$B$6</f>
        <v>0</v>
      </c>
      <c r="P66" s="51">
        <f>SUMIF(Table25[[#All],[Assets]],Table19[[#This Row],[Assets]],Table25[[#All],[Number of stocks]])</f>
        <v>30</v>
      </c>
      <c r="Q66" s="36">
        <f ca="1">Table19[[#This Row],[Num of Stocks]]*Table19[[#This Row],[Price]]</f>
        <v>1320.9</v>
      </c>
      <c r="R66" s="36">
        <f ca="1">Table19[[#This Row],[Stock Exposure]]+Table19[[#This Row],[Option Exposure]]</f>
        <v>1320.9</v>
      </c>
      <c r="S66" s="108">
        <f>IFERROR(Table19[[#This Row],[Num of Stocks]]*Table19[[#This Row],[Ave Entry]],"")</f>
        <v>976.21428571428601</v>
      </c>
      <c r="T66" s="39">
        <f ca="1">Table19[[#This Row],[Combined Exposure]]/$C$8</f>
        <v>8.3257652338307991E-3</v>
      </c>
    </row>
    <row r="67" spans="1:20">
      <c r="A67" t="e" vm="204">
        <v>#VALUE!</v>
      </c>
      <c r="B67" s="13" t="str" cm="1">
        <f t="array" aca="1" ref="B67" ca="1">_FV(A67,"Ticker symbol",TRUE)</f>
        <v>CRWV</v>
      </c>
      <c r="C67" s="13" t="s">
        <v>83</v>
      </c>
      <c r="D67" s="13" t="s">
        <v>541</v>
      </c>
      <c r="E67" s="19" cm="1">
        <f t="array" aca="1" ref="E67" ca="1">IFERROR(_FV(A67,"Beta"),2)</f>
        <v>2.194</v>
      </c>
      <c r="F67" s="13" t="str" cm="1">
        <f t="array" aca="1" ref="F67" ca="1">_FV(A67,"Instrument type",TRUE)</f>
        <v>Stock</v>
      </c>
      <c r="G67" s="18" cm="1">
        <f t="array" aca="1" ref="G67" ca="1">_FV(Table19[[#This Row],[Assets]],"Price")</f>
        <v>87.924999999999997</v>
      </c>
      <c r="H67" s="36">
        <f>IFERROR(VLOOKUP(Table19[[#This Row],[Assets]],Table25[#All],15,FALSE),"")</f>
        <v>97.601111111111109</v>
      </c>
      <c r="I67" s="36">
        <f>IFERROR(VLOOKUP(Table19[[#This Row],[Assets]],Table25[#All],16,FALSE),0)</f>
        <v>0</v>
      </c>
      <c r="J67" s="84">
        <f ca="1">IFERROR((Table19[[#This Row],[Price]]-Table19[[#This Row],[Ave Entry]])/Table19[[#This Row],[Ave Entry]],"")</f>
        <v>-9.9139354060176918E-2</v>
      </c>
      <c r="K67" s="92">
        <f ca="1">IFERROR((Table19[[#This Row],[Price]]-Table19[[#This Row],[Ave Entry]])*Table19[[#This Row],[Num of Stocks]],0)</f>
        <v>-348.34000000000003</v>
      </c>
      <c r="L67" s="38" cm="1">
        <f t="array" aca="1" ref="L67" ca="1">_FV(Table19[[#This Row],[Assets]],"Change (%)",TRUE)</f>
        <v>5.9081999999999996E-2</v>
      </c>
      <c r="M67" s="36">
        <f>SUMIF(Table20[Asset],Table19[[#This Row],[Assets]],Table20[realized_profit])</f>
        <v>652.99999999999989</v>
      </c>
      <c r="N67" s="36">
        <f ca="1">SUMIF(Table20[[#All],[Asset]],Table19[[#This Row],[Assets]],Table20[[#All],[delta_exposure]])</f>
        <v>0</v>
      </c>
      <c r="O67" s="38">
        <f ca="1">Table19[[#This Row],[Option Exposure]]/$B$6</f>
        <v>0</v>
      </c>
      <c r="P67" s="51">
        <f>SUMIF(Table25[[#All],[Assets]],Table19[[#This Row],[Assets]],Table25[[#All],[Number of stocks]])</f>
        <v>36</v>
      </c>
      <c r="Q67" s="36">
        <f ca="1">Table19[[#This Row],[Num of Stocks]]*Table19[[#This Row],[Price]]</f>
        <v>3165.2999999999997</v>
      </c>
      <c r="R67" s="36">
        <f ca="1">Table19[[#This Row],[Stock Exposure]]+Table19[[#This Row],[Option Exposure]]</f>
        <v>3165.2999999999997</v>
      </c>
      <c r="S67" s="108">
        <f>IFERROR(Table19[[#This Row],[Num of Stocks]]*Table19[[#This Row],[Ave Entry]],"")</f>
        <v>3513.64</v>
      </c>
      <c r="T67" s="108">
        <f ca="1">Table19[[#This Row],[Combined Exposure]]/$C$8</f>
        <v>1.9951203493560922E-2</v>
      </c>
    </row>
    <row r="68" spans="1:20">
      <c r="A68" t="e" vm="205">
        <v>#VALUE!</v>
      </c>
      <c r="B68" s="13" t="str" cm="1">
        <f t="array" aca="1" ref="B68" ca="1">_FV(A68,"Ticker symbol",TRUE)</f>
        <v>NOK</v>
      </c>
      <c r="C68" s="13" t="s">
        <v>258</v>
      </c>
      <c r="D68" s="13" t="s">
        <v>29</v>
      </c>
      <c r="E68" s="19" cm="1">
        <f t="array" aca="1" ref="E68" ca="1">IFERROR(_FV(A68,"Beta"),2)</f>
        <v>0.75570000000000004</v>
      </c>
      <c r="F68" s="13" t="str" cm="1">
        <f t="array" aca="1" ref="F68" ca="1">_FV(A68,"Instrument type",TRUE)</f>
        <v>Stock</v>
      </c>
      <c r="G68" s="18" cm="1">
        <f t="array" aca="1" ref="G68" ca="1">_FV(Table19[[#This Row],[Assets]],"Price")</f>
        <v>8.4398999999999997</v>
      </c>
      <c r="H68" s="36">
        <f>IFERROR(VLOOKUP(Table19[[#This Row],[Assets]],Table25[#All],15,FALSE),"")</f>
        <v>5.3839560439560437</v>
      </c>
      <c r="I68" s="36">
        <f>IFERROR(VLOOKUP(Table19[[#This Row],[Assets]],Table25[#All],16,FALSE),0)</f>
        <v>12.557142857143297</v>
      </c>
      <c r="J68" s="84">
        <f ca="1">IFERROR((Table19[[#This Row],[Price]]-Table19[[#This Row],[Ave Entry]])/Table19[[#This Row],[Ave Entry]],"")</f>
        <v>0.56760195125933788</v>
      </c>
      <c r="K68" s="92">
        <f ca="1">IFERROR((Table19[[#This Row],[Price]]-Table19[[#This Row],[Ave Entry]])*Table19[[#This Row],[Num of Stocks]],0)</f>
        <v>198.63635714285715</v>
      </c>
      <c r="L68" s="38" cm="1">
        <f t="array" aca="1" ref="L68" ca="1">_FV(Table19[[#This Row],[Assets]],"Change (%)",TRUE)</f>
        <v>2.3018E-2</v>
      </c>
      <c r="M68" s="36">
        <f>SUMIF(Table20[Asset],Table19[[#This Row],[Assets]],Table20[realized_profit])</f>
        <v>0</v>
      </c>
      <c r="N68" s="36">
        <f>SUMIF(Table20[[#All],[Asset]],Table19[[#This Row],[Assets]],Table20[[#All],[delta_exposure]])</f>
        <v>0</v>
      </c>
      <c r="O68" s="38">
        <f ca="1">Table19[[#This Row],[Option Exposure]]/$B$6</f>
        <v>0</v>
      </c>
      <c r="P68" s="51">
        <f>SUMIF(Table25[[#All],[Assets]],Table19[[#This Row],[Assets]],Table25[[#All],[Number of stocks]])</f>
        <v>65</v>
      </c>
      <c r="Q68" s="36">
        <f ca="1">Table19[[#This Row],[Num of Stocks]]*Table19[[#This Row],[Price]]</f>
        <v>548.59349999999995</v>
      </c>
      <c r="R68" s="36">
        <f ca="1">Table19[[#This Row],[Stock Exposure]]+Table19[[#This Row],[Option Exposure]]</f>
        <v>548.59349999999995</v>
      </c>
      <c r="S68" s="108">
        <f>IFERROR(Table19[[#This Row],[Num of Stocks]]*Table19[[#This Row],[Ave Entry]],"")</f>
        <v>349.95714285714286</v>
      </c>
      <c r="T68" s="39">
        <f ca="1">Table19[[#This Row],[Combined Exposure]]/$C$8</f>
        <v>3.4578398741809038E-3</v>
      </c>
    </row>
    <row r="69" spans="1:20">
      <c r="A69" t="e" vm="46">
        <v>#VALUE!</v>
      </c>
      <c r="B69" s="13" t="str" cm="1">
        <f t="array" aca="1" ref="B69" ca="1">_FV(A69,"Ticker symbol",TRUE)</f>
        <v>ASPI</v>
      </c>
      <c r="C69" s="13" t="s">
        <v>136</v>
      </c>
      <c r="D69" s="13" t="s">
        <v>56</v>
      </c>
      <c r="E69" s="19" cm="1">
        <f t="array" aca="1" ref="E69" ca="1">IFERROR(_FV(A69,"Beta"),2)</f>
        <v>3.5038999999999998</v>
      </c>
      <c r="F69" s="13" t="str" cm="1">
        <f t="array" aca="1" ref="F69" ca="1">_FV(A69,"Instrument type",TRUE)</f>
        <v>Stock</v>
      </c>
      <c r="G69" s="18" cm="1">
        <f t="array" aca="1" ref="G69" ca="1">_FV(Table19[[#This Row],[Assets]],"Price")</f>
        <v>5.15</v>
      </c>
      <c r="H69" s="36">
        <f>IFERROR(VLOOKUP(Table19[[#This Row],[Assets]],Table25[#All],15,FALSE),"")</f>
        <v>4.5054607688256976</v>
      </c>
      <c r="I69" s="36">
        <f>IFERROR(VLOOKUP(Table19[[#This Row],[Assets]],Table25[#All],16,FALSE),0)</f>
        <v>1594.9382306477094</v>
      </c>
      <c r="J69" s="84">
        <f ca="1">IFERROR((Table19[[#This Row],[Price]]-Table19[[#This Row],[Ave Entry]])/Table19[[#This Row],[Ave Entry]],"")</f>
        <v>0.14305733958089603</v>
      </c>
      <c r="K69" s="92">
        <f ca="1">IFERROR((Table19[[#This Row],[Price]]-Table19[[#This Row],[Ave Entry]])*Table19[[#This Row],[Num of Stocks]],0)</f>
        <v>193.36176935229082</v>
      </c>
      <c r="L69" s="38" cm="1">
        <f t="array" aca="1" ref="L69" ca="1">_FV(Table19[[#This Row],[Assets]],"Change (%)",TRUE)</f>
        <v>3.4137000000000001E-2</v>
      </c>
      <c r="M69" s="36">
        <f>SUMIF(Table20[Asset],Table19[[#This Row],[Assets]],Table20[realized_profit])</f>
        <v>0</v>
      </c>
      <c r="N69" s="36">
        <f>SUMIF(Table20[[#All],[Asset]],Table19[[#This Row],[Assets]],Table20[[#All],[delta_exposure]])</f>
        <v>0</v>
      </c>
      <c r="O69" s="98">
        <f ca="1">Table19[[#This Row],[Option Exposure]]/$B$6</f>
        <v>0</v>
      </c>
      <c r="P69" s="51">
        <f>SUMIF(Table25[[#All],[Assets]],Table19[[#This Row],[Assets]],Table25[[#All],[Number of stocks]])</f>
        <v>300</v>
      </c>
      <c r="Q69" s="36">
        <f ca="1">Table19[[#This Row],[Num of Stocks]]*Table19[[#This Row],[Price]]</f>
        <v>1545</v>
      </c>
      <c r="R69" s="36">
        <f ca="1">Table19[[#This Row],[Stock Exposure]]+Table19[[#This Row],[Option Exposure]]</f>
        <v>1545</v>
      </c>
      <c r="S69" s="108">
        <f>IFERROR(Table19[[#This Row],[Num of Stocks]]*Table19[[#This Row],[Ave Entry]],"")</f>
        <v>1351.6382306477092</v>
      </c>
      <c r="T69" s="39">
        <f ca="1">Table19[[#This Row],[Combined Exposure]]/$C$8</f>
        <v>9.7382900191298229E-3</v>
      </c>
    </row>
    <row r="70" spans="1:20">
      <c r="A70" t="e" vm="101">
        <v>#VALUE!</v>
      </c>
      <c r="B70" s="13" t="str" cm="1">
        <f t="array" aca="1" ref="B70" ca="1">_FV(A70,"Ticker symbol",TRUE)</f>
        <v>URA</v>
      </c>
      <c r="C70" s="13" t="s">
        <v>136</v>
      </c>
      <c r="D70" s="13" t="s">
        <v>136</v>
      </c>
      <c r="E70" s="19" cm="1">
        <f t="array" aca="1" ref="E70" ca="1">IFERROR(_FV(A70,"Beta"),2)</f>
        <v>0.45960000000000001</v>
      </c>
      <c r="F70" s="13" t="str" cm="1">
        <f t="array" aca="1" ref="F70" ca="1">_FV(A70,"Instrument type",TRUE)</f>
        <v>ETF</v>
      </c>
      <c r="G70" s="18" cm="1">
        <f t="array" aca="1" ref="G70" ca="1">_FV(Table19[[#This Row],[Assets]],"Price")</f>
        <v>49.911900000000003</v>
      </c>
      <c r="H70" s="36">
        <f>IFERROR(VLOOKUP(Table19[[#This Row],[Assets]],Table25[#All],15,FALSE),"")</f>
        <v>31.07</v>
      </c>
      <c r="I70" s="36">
        <f>IFERROR(VLOOKUP(Table19[[#This Row],[Assets]],Table25[#All],16,FALSE),0)</f>
        <v>0</v>
      </c>
      <c r="J70" s="84">
        <f ca="1">IFERROR((Table19[[#This Row],[Price]]-Table19[[#This Row],[Ave Entry]])/Table19[[#This Row],[Ave Entry]],"")</f>
        <v>0.6064338590280014</v>
      </c>
      <c r="K70" s="92">
        <f ca="1">IFERROR((Table19[[#This Row],[Price]]-Table19[[#This Row],[Ave Entry]])*Table19[[#This Row],[Num of Stocks]],0)</f>
        <v>263.78660000000002</v>
      </c>
      <c r="L70" s="38" cm="1">
        <f t="array" aca="1" ref="L70" ca="1">_FV(Table19[[#This Row],[Assets]],"Change (%)",TRUE)</f>
        <v>3.5730999999999999E-2</v>
      </c>
      <c r="M70" s="36">
        <f>SUMIF(Table20[Asset],Table19[[#This Row],[Assets]],Table20[realized_profit])</f>
        <v>0</v>
      </c>
      <c r="N70" s="36">
        <f>SUMIF(Table20[[#All],[Asset]],Table19[[#This Row],[Assets]],Table20[[#All],[delta_exposure]])</f>
        <v>0</v>
      </c>
      <c r="O70" s="98">
        <f ca="1">Table19[[#This Row],[Option Exposure]]/$B$6</f>
        <v>0</v>
      </c>
      <c r="P70" s="51">
        <f>SUMIF(Table25[[#All],[Assets]],Table19[[#This Row],[Assets]],Table25[[#All],[Number of stocks]])</f>
        <v>14</v>
      </c>
      <c r="Q70" s="36">
        <f ca="1">Table19[[#This Row],[Num of Stocks]]*Table19[[#This Row],[Price]]</f>
        <v>698.76660000000004</v>
      </c>
      <c r="R70" s="36">
        <f ca="1">Table19[[#This Row],[Stock Exposure]]+Table19[[#This Row],[Option Exposure]]</f>
        <v>698.76660000000004</v>
      </c>
      <c r="S70" s="108">
        <f>IFERROR(Table19[[#This Row],[Num of Stocks]]*Table19[[#This Row],[Ave Entry]],"")</f>
        <v>434.98</v>
      </c>
      <c r="T70" s="39">
        <f ca="1">Table19[[#This Row],[Combined Exposure]]/$C$8</f>
        <v>4.4043959912500206E-3</v>
      </c>
    </row>
    <row r="71" spans="1:20">
      <c r="A71" t="e" vm="206">
        <v>#VALUE!</v>
      </c>
      <c r="B71" s="13" t="str" cm="1">
        <f t="array" aca="1" ref="B71" ca="1">_FV(A71,"Ticker symbol",TRUE)</f>
        <v>MOB</v>
      </c>
      <c r="C71" s="13" t="s">
        <v>29</v>
      </c>
      <c r="D71" s="13" t="s">
        <v>562</v>
      </c>
      <c r="E71" s="19" cm="1">
        <f t="array" aca="1" ref="E71" ca="1">IFERROR(_FV(A71,"Beta"),2)</f>
        <v>2.13</v>
      </c>
      <c r="F71" s="13" t="str" cm="1">
        <f t="array" aca="1" ref="F71" ca="1">_FV(A71,"Instrument type",TRUE)</f>
        <v>Stock</v>
      </c>
      <c r="G71" s="18" cm="1">
        <f t="array" aca="1" ref="G71" ca="1">_FV(Table19[[#This Row],[Assets]],"Price")</f>
        <v>5.5350000000000001</v>
      </c>
      <c r="H71" s="36">
        <f>IFERROR(VLOOKUP(Table19[[#This Row],[Assets]],Table25[#All],15,FALSE),"")</f>
        <v>4.91</v>
      </c>
      <c r="I71" s="36">
        <f>IFERROR(VLOOKUP(Table19[[#This Row],[Assets]],Table25[#All],16,FALSE),0)</f>
        <v>205.44</v>
      </c>
      <c r="J71" s="84">
        <f ca="1">IFERROR((Table19[[#This Row],[Price]]-Table19[[#This Row],[Ave Entry]])/Table19[[#This Row],[Ave Entry]],"")</f>
        <v>0.12729124236252545</v>
      </c>
      <c r="K71" s="92">
        <f ca="1">IFERROR((Table19[[#This Row],[Price]]-Table19[[#This Row],[Ave Entry]])*Table19[[#This Row],[Num of Stocks]],0)</f>
        <v>62.5</v>
      </c>
      <c r="L71" s="38" cm="1">
        <f t="array" aca="1" ref="L71" ca="1">_FV(Table19[[#This Row],[Assets]],"Change (%)",TRUE)</f>
        <v>-2.7029999999999997E-3</v>
      </c>
      <c r="M71" s="36">
        <f>SUMIF(Table20[Asset],Table19[[#This Row],[Assets]],Table20[realized_profit])</f>
        <v>0</v>
      </c>
      <c r="N71" s="36">
        <f>SUMIF(Table20[[#All],[Asset]],Table19[[#This Row],[Assets]],Table20[[#All],[delta_exposure]])</f>
        <v>0</v>
      </c>
      <c r="O71" s="38">
        <f ca="1">Table19[[#This Row],[Option Exposure]]/$B$6</f>
        <v>0</v>
      </c>
      <c r="P71" s="51">
        <f>SUMIF(Table25[[#All],[Assets]],Table19[[#This Row],[Assets]],Table25[[#All],[Number of stocks]])</f>
        <v>100</v>
      </c>
      <c r="Q71" s="36">
        <f ca="1">Table19[[#This Row],[Num of Stocks]]*Table19[[#This Row],[Price]]</f>
        <v>553.5</v>
      </c>
      <c r="R71" s="36">
        <f ca="1">Table19[[#This Row],[Stock Exposure]]+Table19[[#This Row],[Option Exposure]]</f>
        <v>553.5</v>
      </c>
      <c r="S71" s="108">
        <f>IFERROR(Table19[[#This Row],[Num of Stocks]]*Table19[[#This Row],[Ave Entry]],"")</f>
        <v>491</v>
      </c>
      <c r="T71" s="108">
        <f ca="1">Table19[[#This Row],[Combined Exposure]]/$C$8</f>
        <v>3.4887660359795192E-3</v>
      </c>
    </row>
    <row r="72" spans="1:20">
      <c r="A72" t="e" vm="207">
        <v>#VALUE!</v>
      </c>
      <c r="B72" s="13" t="str" cm="1">
        <f t="array" aca="1" ref="B72" ca="1">_FV(A72,"Ticker symbol",TRUE)</f>
        <v>CLPT</v>
      </c>
      <c r="C72" s="13" t="s">
        <v>53</v>
      </c>
      <c r="D72" s="13" t="s">
        <v>551</v>
      </c>
      <c r="E72" s="19" cm="1">
        <f t="array" aca="1" ref="E72" ca="1">IFERROR(_FV(A72,"Beta"),2)</f>
        <v>1.1661999999999999</v>
      </c>
      <c r="F72" s="13" t="str" cm="1">
        <f t="array" aca="1" ref="F72" ca="1">_FV(A72,"Instrument type",TRUE)</f>
        <v>Stock</v>
      </c>
      <c r="G72" s="18" cm="1">
        <f t="array" aca="1" ref="G72" ca="1">_FV(Table19[[#This Row],[Assets]],"Price")</f>
        <v>9.67</v>
      </c>
      <c r="H72" s="36">
        <f>IFERROR(VLOOKUP(Table19[[#This Row],[Assets]],Table25[#All],15,FALSE),"")</f>
        <v>14.37</v>
      </c>
      <c r="I72" s="36">
        <f>IFERROR(VLOOKUP(Table19[[#This Row],[Assets]],Table25[#All],16,FALSE),0)</f>
        <v>-14.63999999999969</v>
      </c>
      <c r="J72" s="84">
        <f ca="1">IFERROR((Table19[[#This Row],[Price]]-Table19[[#This Row],[Ave Entry]])/Table19[[#This Row],[Ave Entry]],"")</f>
        <v>-0.32707028531663185</v>
      </c>
      <c r="K72" s="92">
        <f ca="1">IFERROR((Table19[[#This Row],[Price]]-Table19[[#This Row],[Ave Entry]])*Table19[[#This Row],[Num of Stocks]],0)</f>
        <v>0</v>
      </c>
      <c r="L72" s="38" cm="1">
        <f t="array" aca="1" ref="L72" ca="1">_FV(Table19[[#This Row],[Assets]],"Change (%)",TRUE)</f>
        <v>2.6539E-2</v>
      </c>
      <c r="M72" s="36">
        <f>SUMIF(Table20[Asset],Table19[[#This Row],[Assets]],Table20[realized_profit])</f>
        <v>0</v>
      </c>
      <c r="N72" s="36">
        <f>SUMIF(Table20[[#All],[Asset]],Table19[[#This Row],[Assets]],Table20[[#All],[delta_exposure]])</f>
        <v>0</v>
      </c>
      <c r="O72" s="38">
        <f ca="1">Table19[[#This Row],[Option Exposure]]/$B$6</f>
        <v>0</v>
      </c>
      <c r="P72" s="51">
        <f>SUMIF(Table25[[#All],[Assets]],Table19[[#This Row],[Assets]],Table25[[#All],[Number of stocks]])</f>
        <v>0</v>
      </c>
      <c r="Q72" s="36">
        <f ca="1">Table19[[#This Row],[Num of Stocks]]*Table19[[#This Row],[Price]]</f>
        <v>0</v>
      </c>
      <c r="R72" s="36">
        <f ca="1">Table19[[#This Row],[Stock Exposure]]+Table19[[#This Row],[Option Exposure]]</f>
        <v>0</v>
      </c>
      <c r="S72" s="108">
        <f>IFERROR(Table19[[#This Row],[Num of Stocks]]*Table19[[#This Row],[Ave Entry]],"")</f>
        <v>0</v>
      </c>
      <c r="T72" s="108">
        <f ca="1">Table19[[#This Row],[Combined Exposure]]/$C$8</f>
        <v>0</v>
      </c>
    </row>
    <row r="73" spans="1:20">
      <c r="A73" t="e" vm="3">
        <v>#VALUE!</v>
      </c>
      <c r="B73" s="13" t="str" cm="1">
        <f t="array" aca="1" ref="B73" ca="1">_FV(A73,"Ticker symbol",TRUE)</f>
        <v>UMAC</v>
      </c>
      <c r="C73" s="13" t="s">
        <v>38</v>
      </c>
      <c r="D73" s="13" t="s">
        <v>513</v>
      </c>
      <c r="E73" s="19" cm="1">
        <f t="array" aca="1" ref="E73" ca="1">IFERROR(_FV(A73,"Beta"),2)</f>
        <v>3.3380000000000001</v>
      </c>
      <c r="F73" s="13" t="str" cm="1">
        <f t="array" aca="1" ref="F73" ca="1">_FV(A73,"Instrument type",TRUE)</f>
        <v>Stock</v>
      </c>
      <c r="G73" s="18" cm="1">
        <f t="array" aca="1" ref="G73" ca="1">_FV(Table19[[#This Row],[Assets]],"Price")</f>
        <v>14.73</v>
      </c>
      <c r="H73" s="36">
        <f>IFERROR(VLOOKUP(Table19[[#This Row],[Assets]],Table25[#All],15,FALSE),"")</f>
        <v>13.424999999999999</v>
      </c>
      <c r="I73" s="36">
        <f>IFERROR(VLOOKUP(Table19[[#This Row],[Assets]],Table25[#All],16,FALSE),0)</f>
        <v>-236.09999999999991</v>
      </c>
      <c r="J73" s="84">
        <f ca="1">IFERROR((Table19[[#This Row],[Price]]-Table19[[#This Row],[Ave Entry]])/Table19[[#This Row],[Ave Entry]],"")</f>
        <v>9.7206703910614645E-2</v>
      </c>
      <c r="K73" s="92">
        <f ca="1">IFERROR((Table19[[#This Row],[Price]]-Table19[[#This Row],[Ave Entry]])*Table19[[#This Row],[Num of Stocks]],0)</f>
        <v>46.980000000000054</v>
      </c>
      <c r="L73" s="38" cm="1">
        <f t="array" aca="1" ref="L73" ca="1">_FV(Table19[[#This Row],[Assets]],"Change (%)",TRUE)</f>
        <v>-2.3857E-2</v>
      </c>
      <c r="M73" s="36">
        <f>SUMIF(Table20[Asset],Table19[[#This Row],[Assets]],Table20[realized_profit])</f>
        <v>0</v>
      </c>
      <c r="N73" s="36">
        <f>SUMIF(Table20[[#All],[Asset]],Table19[[#This Row],[Assets]],Table20[[#All],[delta_exposure]])</f>
        <v>0</v>
      </c>
      <c r="O73" s="38">
        <f ca="1">Table19[[#This Row],[Option Exposure]]/$B$6</f>
        <v>0</v>
      </c>
      <c r="P73" s="51">
        <f>SUMIF(Table25[[#All],[Assets]],Table19[[#This Row],[Assets]],Table25[[#All],[Number of stocks]])</f>
        <v>36</v>
      </c>
      <c r="Q73" s="36">
        <f ca="1">Table19[[#This Row],[Num of Stocks]]*Table19[[#This Row],[Price]]</f>
        <v>530.28</v>
      </c>
      <c r="R73" s="36">
        <f ca="1">Table19[[#This Row],[Stock Exposure]]+Table19[[#This Row],[Option Exposure]]</f>
        <v>530.28</v>
      </c>
      <c r="S73" s="108">
        <f>IFERROR(Table19[[#This Row],[Num of Stocks]]*Table19[[#This Row],[Ave Entry]],"")</f>
        <v>483.29999999999995</v>
      </c>
      <c r="T73" s="108">
        <f ca="1">Table19[[#This Row],[Combined Exposure]]/$C$8</f>
        <v>3.3424080461774515E-3</v>
      </c>
    </row>
    <row r="74" spans="1:20">
      <c r="A74" t="e" vm="208">
        <v>#VALUE!</v>
      </c>
      <c r="B74" s="13" t="str" cm="1">
        <f t="array" aca="1" ref="B74" ca="1">_FV(A74,"Ticker symbol",TRUE)</f>
        <v>PPSI</v>
      </c>
      <c r="C74" s="13" t="s">
        <v>31</v>
      </c>
      <c r="D74" s="13" t="s">
        <v>570</v>
      </c>
      <c r="E74" s="19" cm="1">
        <f t="array" aca="1" ref="E74" ca="1">IFERROR(_FV(A74,"Beta"),2)</f>
        <v>1.5488999999999999</v>
      </c>
      <c r="F74" s="13" t="str" cm="1">
        <f t="array" aca="1" ref="F74" ca="1">_FV(A74,"Instrument type",TRUE)</f>
        <v>Stock</v>
      </c>
      <c r="G74" s="18" cm="1">
        <f t="array" aca="1" ref="G74" ca="1">_FV(Table19[[#This Row],[Assets]],"Price")</f>
        <v>3.3500999999999999</v>
      </c>
      <c r="H74" s="36">
        <f>IFERROR(VLOOKUP(Table19[[#This Row],[Assets]],Table25[#All],15,FALSE),"")</f>
        <v>4.5999999999999996</v>
      </c>
      <c r="I74" s="36">
        <f>IFERROR(VLOOKUP(Table19[[#This Row],[Assets]],Table25[#All],16,FALSE),0)</f>
        <v>8.7500000000000355</v>
      </c>
      <c r="J74" s="84">
        <f ca="1">IFERROR((Table19[[#This Row],[Price]]-Table19[[#This Row],[Ave Entry]])/Table19[[#This Row],[Ave Entry]],"")</f>
        <v>-0.2717173913043478</v>
      </c>
      <c r="K74" s="92">
        <f ca="1">IFERROR((Table19[[#This Row],[Price]]-Table19[[#This Row],[Ave Entry]])*Table19[[#This Row],[Num of Stocks]],0)</f>
        <v>0</v>
      </c>
      <c r="L74" s="38" cm="1">
        <f t="array" aca="1" ref="L74" ca="1">_FV(Table19[[#This Row],[Assets]],"Change (%)",TRUE)</f>
        <v>-8.8459999999999997E-3</v>
      </c>
      <c r="M74" s="36">
        <f>SUMIF(Table20[Asset],Table19[[#This Row],[Assets]],Table20[realized_profit])</f>
        <v>0</v>
      </c>
      <c r="N74" s="36">
        <f>SUMIF(Table20[[#All],[Asset]],Table19[[#This Row],[Assets]],Table20[[#All],[delta_exposure]])</f>
        <v>0</v>
      </c>
      <c r="O74" s="38">
        <f ca="1">Table19[[#This Row],[Option Exposure]]/$B$6</f>
        <v>0</v>
      </c>
      <c r="P74" s="51">
        <f>SUMIF(Table25[[#All],[Assets]],Table19[[#This Row],[Assets]],Table25[[#All],[Number of stocks]])</f>
        <v>0</v>
      </c>
      <c r="Q74" s="36">
        <f ca="1">Table19[[#This Row],[Num of Stocks]]*Table19[[#This Row],[Price]]</f>
        <v>0</v>
      </c>
      <c r="R74" s="36">
        <f ca="1">Table19[[#This Row],[Stock Exposure]]+Table19[[#This Row],[Option Exposure]]</f>
        <v>0</v>
      </c>
      <c r="S74" s="108">
        <f>IFERROR(Table19[[#This Row],[Num of Stocks]]*Table19[[#This Row],[Ave Entry]],"")</f>
        <v>0</v>
      </c>
      <c r="T74" s="108">
        <f ca="1">Table19[[#This Row],[Combined Exposure]]/$C$8</f>
        <v>0</v>
      </c>
    </row>
    <row r="75" spans="1:20">
      <c r="A75" t="e" vm="209">
        <v>#VALUE!</v>
      </c>
      <c r="B75" s="13" t="str" cm="1">
        <f t="array" aca="1" ref="B75" ca="1">_FV(A75,"Ticker symbol",TRUE)</f>
        <v>CMTL</v>
      </c>
      <c r="C75" s="13" t="s">
        <v>29</v>
      </c>
      <c r="D75" s="13" t="s">
        <v>495</v>
      </c>
      <c r="E75" s="19" cm="1">
        <f t="array" aca="1" ref="E75" ca="1">IFERROR(_FV(A75,"Beta"),2)</f>
        <v>1.1845000000000001</v>
      </c>
      <c r="F75" s="13" t="str" cm="1">
        <f t="array" aca="1" ref="F75" ca="1">_FV(A75,"Instrument type",TRUE)</f>
        <v>Stock</v>
      </c>
      <c r="G75" s="18" cm="1">
        <f t="array" aca="1" ref="G75" ca="1">_FV(Table19[[#This Row],[Assets]],"Price")</f>
        <v>3.6869999999999998</v>
      </c>
      <c r="H75" s="36">
        <f>IFERROR(VLOOKUP(Table19[[#This Row],[Assets]],Table25[#All],15,FALSE),"")</f>
        <v>3.1855555555555557</v>
      </c>
      <c r="I75" s="36">
        <f>IFERROR(VLOOKUP(Table19[[#This Row],[Assets]],Table25[#All],16,FALSE),0)</f>
        <v>-872.44444444444434</v>
      </c>
      <c r="J75" s="84">
        <f ca="1">IFERROR((Table19[[#This Row],[Price]]-Table19[[#This Row],[Ave Entry]])/Table19[[#This Row],[Ave Entry]],"")</f>
        <v>0.15741192884548297</v>
      </c>
      <c r="K75" s="92">
        <f ca="1">IFERROR((Table19[[#This Row],[Price]]-Table19[[#This Row],[Ave Entry]])*Table19[[#This Row],[Num of Stocks]],0)</f>
        <v>50.144444444444417</v>
      </c>
      <c r="L75" s="38" cm="1">
        <f t="array" aca="1" ref="L75" ca="1">_FV(Table19[[#This Row],[Assets]],"Change (%)",TRUE)</f>
        <v>3.8592000000000001E-2</v>
      </c>
      <c r="M75" s="36">
        <f>SUMIF(Table20[Asset],Table19[[#This Row],[Assets]],Table20[realized_profit])</f>
        <v>0</v>
      </c>
      <c r="N75" s="36">
        <f>SUMIF(Table20[[#All],[Asset]],Table19[[#This Row],[Assets]],Table20[[#All],[delta_exposure]])</f>
        <v>0</v>
      </c>
      <c r="O75" s="38">
        <f ca="1">Table19[[#This Row],[Option Exposure]]/$B$6</f>
        <v>0</v>
      </c>
      <c r="P75" s="51">
        <f>SUMIF(Table25[[#All],[Assets]],Table19[[#This Row],[Assets]],Table25[[#All],[Number of stocks]])</f>
        <v>100</v>
      </c>
      <c r="Q75" s="36">
        <f ca="1">Table19[[#This Row],[Num of Stocks]]*Table19[[#This Row],[Price]]</f>
        <v>368.7</v>
      </c>
      <c r="R75" s="36">
        <f ca="1">Table19[[#This Row],[Stock Exposure]]+Table19[[#This Row],[Option Exposure]]</f>
        <v>368.7</v>
      </c>
      <c r="S75" s="108">
        <f>IFERROR(Table19[[#This Row],[Num of Stocks]]*Table19[[#This Row],[Ave Entry]],"")</f>
        <v>318.55555555555554</v>
      </c>
      <c r="T75" s="39">
        <f ca="1">Table19[[#This Row],[Combined Exposure]]/$C$8</f>
        <v>2.323953093885544E-3</v>
      </c>
    </row>
    <row r="76" spans="1:20">
      <c r="A76" t="e" vm="210">
        <v>#VALUE!</v>
      </c>
      <c r="B76" s="13" t="str" cm="1">
        <f t="array" aca="1" ref="B76" ca="1">_FV(A76,"Ticker symbol",TRUE)</f>
        <v>HALO</v>
      </c>
      <c r="C76" s="13" t="s">
        <v>53</v>
      </c>
      <c r="D76" s="13" t="s">
        <v>560</v>
      </c>
      <c r="E76" s="19" cm="1">
        <f t="array" aca="1" ref="E76" ca="1">IFERROR(_FV(A76,"Beta"),2)</f>
        <v>1.0505</v>
      </c>
      <c r="F76" s="13" t="str" cm="1">
        <f t="array" aca="1" ref="F76" ca="1">_FV(A76,"Instrument type",TRUE)</f>
        <v>Stock</v>
      </c>
      <c r="G76" s="18" cm="1">
        <f t="array" aca="1" ref="G76" ca="1">_FV(Table19[[#This Row],[Assets]],"Price")</f>
        <v>63.1</v>
      </c>
      <c r="H76" s="36">
        <f>IFERROR(VLOOKUP(Table19[[#This Row],[Assets]],Table25[#All],15,FALSE),"")</f>
        <v>52.5</v>
      </c>
      <c r="I76" s="36">
        <f>IFERROR(VLOOKUP(Table19[[#This Row],[Assets]],Table25[#All],16,FALSE),0)</f>
        <v>66.359999999999602</v>
      </c>
      <c r="J76" s="84">
        <f ca="1">IFERROR((Table19[[#This Row],[Price]]-Table19[[#This Row],[Ave Entry]])/Table19[[#This Row],[Ave Entry]],"")</f>
        <v>0.20190476190476192</v>
      </c>
      <c r="K76" s="92">
        <f ca="1">IFERROR((Table19[[#This Row],[Price]]-Table19[[#This Row],[Ave Entry]])*Table19[[#This Row],[Num of Stocks]],0)</f>
        <v>84.800000000000011</v>
      </c>
      <c r="L76" s="38" cm="1">
        <f t="array" aca="1" ref="L76" ca="1">_FV(Table19[[#This Row],[Assets]],"Change (%)",TRUE)</f>
        <v>1.7086E-2</v>
      </c>
      <c r="M76" s="36">
        <f>SUMIF(Table20[Asset],Table19[[#This Row],[Assets]],Table20[realized_profit])</f>
        <v>0</v>
      </c>
      <c r="N76" s="36">
        <f>SUMIF(Table20[[#All],[Asset]],Table19[[#This Row],[Assets]],Table20[[#All],[delta_exposure]])</f>
        <v>0</v>
      </c>
      <c r="O76" s="38">
        <f ca="1">Table19[[#This Row],[Option Exposure]]/$B$6</f>
        <v>0</v>
      </c>
      <c r="P76" s="51">
        <f>SUMIF(Table25[[#All],[Assets]],Table19[[#This Row],[Assets]],Table25[[#All],[Number of stocks]])</f>
        <v>8</v>
      </c>
      <c r="Q76" s="36">
        <f ca="1">Table19[[#This Row],[Num of Stocks]]*Table19[[#This Row],[Price]]</f>
        <v>504.8</v>
      </c>
      <c r="R76" s="36">
        <f ca="1">Table19[[#This Row],[Stock Exposure]]+Table19[[#This Row],[Option Exposure]]</f>
        <v>504.8</v>
      </c>
      <c r="S76" s="108">
        <f>IFERROR(Table19[[#This Row],[Num of Stocks]]*Table19[[#This Row],[Ave Entry]],"")</f>
        <v>420</v>
      </c>
      <c r="T76" s="39">
        <f ca="1">Table19[[#This Row],[Combined Exposure]]/$C$8</f>
        <v>3.1818050496160094E-3</v>
      </c>
    </row>
    <row r="77" spans="1:20">
      <c r="A77" t="e" vm="211">
        <v>#VALUE!</v>
      </c>
      <c r="B77" s="13" t="str" cm="1">
        <f t="array" aca="1" ref="B77" ca="1">_FV(A77,"Ticker symbol",TRUE)</f>
        <v>GME</v>
      </c>
      <c r="C77" s="13" t="s">
        <v>135</v>
      </c>
      <c r="D77" s="13" t="s">
        <v>130</v>
      </c>
      <c r="E77" s="19" cm="1">
        <f t="array" aca="1" ref="E77" ca="1">IFERROR(_FV(A77,"Beta"),2)</f>
        <v>1.8608</v>
      </c>
      <c r="F77" s="13" t="str" cm="1">
        <f t="array" aca="1" ref="F77" ca="1">_FV(A77,"Instrument type",TRUE)</f>
        <v>Stock</v>
      </c>
      <c r="G77" s="18" cm="1">
        <f t="array" aca="1" ref="G77" ca="1">_FV(Table19[[#This Row],[Assets]],"Price")</f>
        <v>22.81</v>
      </c>
      <c r="H77" s="36">
        <f>IFERROR(VLOOKUP(Table19[[#This Row],[Assets]],Table25[#All],15,FALSE),"")</f>
        <v>24.769420289855073</v>
      </c>
      <c r="I77" s="36">
        <f>IFERROR(VLOOKUP(Table19[[#This Row],[Assets]],Table25[#All],16,FALSE),0)</f>
        <v>-296.28507246376864</v>
      </c>
      <c r="J77" s="84">
        <f ca="1">IFERROR((Table19[[#This Row],[Price]]-Table19[[#This Row],[Ave Entry]])/Table19[[#This Row],[Ave Entry]],"")</f>
        <v>-7.9106425056609156E-2</v>
      </c>
      <c r="K77" s="92">
        <f ca="1">IFERROR((Table19[[#This Row],[Price]]-Table19[[#This Row],[Ave Entry]])*Table19[[#This Row],[Num of Stocks]],0)</f>
        <v>-50.944927536231944</v>
      </c>
      <c r="L77" s="38" cm="1">
        <f t="array" aca="1" ref="L77" ca="1">_FV(Table19[[#This Row],[Assets]],"Change (%)",TRUE)</f>
        <v>0</v>
      </c>
      <c r="M77" s="36">
        <f>SUMIF(Table20[Asset],Table19[[#This Row],[Assets]],Table20[realized_profit])</f>
        <v>-326.92</v>
      </c>
      <c r="N77" s="36">
        <f ca="1">SUMIF(Table20[[#All],[Asset]],Table19[[#This Row],[Assets]],Table20[[#All],[delta_exposure]])</f>
        <v>0</v>
      </c>
      <c r="O77" s="38">
        <f ca="1">Table19[[#This Row],[Option Exposure]]/$B$6</f>
        <v>0</v>
      </c>
      <c r="P77" s="51">
        <f>SUMIF(Table25[[#All],[Assets]],Table19[[#This Row],[Assets]],Table25[[#All],[Number of stocks]])</f>
        <v>26</v>
      </c>
      <c r="Q77" s="36">
        <f ca="1">Table19[[#This Row],[Num of Stocks]]*Table19[[#This Row],[Price]]</f>
        <v>593.05999999999995</v>
      </c>
      <c r="R77" s="36">
        <f ca="1">Table19[[#This Row],[Stock Exposure]]+Table19[[#This Row],[Option Exposure]]</f>
        <v>593.05999999999995</v>
      </c>
      <c r="S77" s="108">
        <f>IFERROR(Table19[[#This Row],[Num of Stocks]]*Table19[[#This Row],[Ave Entry]],"")</f>
        <v>644.00492753623189</v>
      </c>
      <c r="T77" s="39">
        <f ca="1">Table19[[#This Row],[Combined Exposure]]/$C$8</f>
        <v>3.7381166852719304E-3</v>
      </c>
    </row>
    <row r="78" spans="1:20">
      <c r="A78" t="e" vm="26">
        <v>#VALUE!</v>
      </c>
      <c r="B78" s="13" t="str" cm="1">
        <f t="array" aca="1" ref="B78" ca="1">_FV(A78,"Ticker symbol",TRUE)</f>
        <v>AEHR</v>
      </c>
      <c r="C78" s="13" t="s">
        <v>84</v>
      </c>
      <c r="D78" s="13" t="s">
        <v>120</v>
      </c>
      <c r="E78" s="19" cm="1">
        <f t="array" aca="1" ref="E78" ca="1">IFERROR(_FV(A78,"Beta"),2)</f>
        <v>2.2671000000000001</v>
      </c>
      <c r="F78" s="13" t="str" cm="1">
        <f t="array" aca="1" ref="F78" ca="1">_FV(A78,"Instrument type",TRUE)</f>
        <v>Stock</v>
      </c>
      <c r="G78" s="18" cm="1">
        <f t="array" aca="1" ref="G78" ca="1">_FV(Table19[[#This Row],[Assets]],"Price")</f>
        <v>40.729999999999997</v>
      </c>
      <c r="H78" s="36">
        <f>IFERROR(VLOOKUP(Table19[[#This Row],[Assets]],Table25[#All],15,FALSE),"")</f>
        <v>13.248014311270124</v>
      </c>
      <c r="I78" s="36">
        <f>IFERROR(VLOOKUP(Table19[[#This Row],[Assets]],Table25[#All],16,FALSE),0)</f>
        <v>2521.6402862254022</v>
      </c>
      <c r="J78" s="84">
        <v>0</v>
      </c>
      <c r="K78" s="92">
        <f ca="1">IFERROR((Table19[[#This Row],[Price]]-Table19[[#This Row],[Ave Entry]])*Table19[[#This Row],[Num of Stocks]],0)</f>
        <v>549.63971377459745</v>
      </c>
      <c r="L78" s="38" cm="1">
        <f t="array" aca="1" ref="L78" ca="1">_FV(Table19[[#This Row],[Assets]],"Change (%)",TRUE)</f>
        <v>3.9296000000000005E-2</v>
      </c>
      <c r="M78" s="36">
        <f>SUMIF(Table20[Asset],Table19[[#This Row],[Assets]],Table20[realized_profit])</f>
        <v>0</v>
      </c>
      <c r="N78" s="36">
        <f>SUMIF(Table20[[#All],[Asset]],Table19[[#This Row],[Assets]],Table20[[#All],[delta_exposure]])</f>
        <v>0</v>
      </c>
      <c r="O78" s="98">
        <f ca="1">Table19[[#This Row],[Option Exposure]]/$B$6</f>
        <v>0</v>
      </c>
      <c r="P78" s="51">
        <f>SUMIF(Table25[[#All],[Assets]],Table19[[#This Row],[Assets]],Table25[[#All],[Number of stocks]])</f>
        <v>20</v>
      </c>
      <c r="Q78" s="36">
        <f ca="1">Table19[[#This Row],[Num of Stocks]]*Table19[[#This Row],[Price]]</f>
        <v>814.59999999999991</v>
      </c>
      <c r="R78" s="36">
        <f ca="1">Table19[[#This Row],[Stock Exposure]]+Table19[[#This Row],[Option Exposure]]</f>
        <v>814.59999999999991</v>
      </c>
      <c r="S78" s="108">
        <f>IFERROR(Table19[[#This Row],[Num of Stocks]]*Table19[[#This Row],[Ave Entry]],"")</f>
        <v>264.96028622540246</v>
      </c>
      <c r="T78" s="39">
        <f ca="1">Table19[[#This Row],[Combined Exposure]]/$C$8</f>
        <v>5.1345055337107788E-3</v>
      </c>
    </row>
    <row r="79" spans="1:20">
      <c r="A79" t="e" vm="212">
        <v>#VALUE!</v>
      </c>
      <c r="B79" s="13" t="str" cm="1">
        <f t="array" aca="1" ref="B79" ca="1">_FV(A79,"Ticker symbol",TRUE)</f>
        <v>ALHC</v>
      </c>
      <c r="C79" s="13" t="s">
        <v>53</v>
      </c>
      <c r="D79" s="13" t="s">
        <v>549</v>
      </c>
      <c r="E79" s="19" cm="1">
        <f t="array" aca="1" ref="E79" ca="1">IFERROR(_FV(A79,"Beta"),2)</f>
        <v>1.2081</v>
      </c>
      <c r="F79" s="13" t="str" cm="1">
        <f t="array" aca="1" ref="F79" ca="1">_FV(A79,"Instrument type",TRUE)</f>
        <v>Stock</v>
      </c>
      <c r="G79" s="18" cm="1">
        <f t="array" aca="1" ref="G79" ca="1">_FV(Table19[[#This Row],[Assets]],"Price")</f>
        <v>17.605</v>
      </c>
      <c r="H79" s="36">
        <f>IFERROR(VLOOKUP(Table19[[#This Row],[Assets]],Table25[#All],15,FALSE),"")</f>
        <v>13.66</v>
      </c>
      <c r="I79" s="36">
        <f>IFERROR(VLOOKUP(Table19[[#This Row],[Assets]],Table25[#All],16,FALSE),0)</f>
        <v>186.27</v>
      </c>
      <c r="J79" s="84">
        <f ca="1">IFERROR((Table19[[#This Row],[Price]]-Table19[[#This Row],[Ave Entry]])/Table19[[#This Row],[Ave Entry]],"")</f>
        <v>0.28879941434846268</v>
      </c>
      <c r="K79" s="92">
        <f ca="1">IFERROR((Table19[[#This Row],[Price]]-Table19[[#This Row],[Ave Entry]])*Table19[[#This Row],[Num of Stocks]],0)</f>
        <v>82.844999999999999</v>
      </c>
      <c r="L79" s="38" cm="1">
        <f t="array" aca="1" ref="L79" ca="1">_FV(Table19[[#This Row],[Assets]],"Change (%)",TRUE)</f>
        <v>1.0620000000000001E-2</v>
      </c>
      <c r="M79" s="36">
        <f>SUMIF(Table20[Asset],Table19[[#This Row],[Assets]],Table20[realized_profit])</f>
        <v>0</v>
      </c>
      <c r="N79" s="36">
        <f>SUMIF(Table20[[#All],[Asset]],Table19[[#This Row],[Assets]],Table20[[#All],[delta_exposure]])</f>
        <v>0</v>
      </c>
      <c r="O79" s="38">
        <f ca="1">Table19[[#This Row],[Option Exposure]]/$B$6</f>
        <v>0</v>
      </c>
      <c r="P79" s="51">
        <f>SUMIF(Table25[[#All],[Assets]],Table19[[#This Row],[Assets]],Table25[[#All],[Number of stocks]])</f>
        <v>21</v>
      </c>
      <c r="Q79" s="36">
        <f ca="1">Table19[[#This Row],[Num of Stocks]]*Table19[[#This Row],[Price]]</f>
        <v>369.70499999999998</v>
      </c>
      <c r="R79" s="36">
        <f ca="1">Table19[[#This Row],[Stock Exposure]]+Table19[[#This Row],[Option Exposure]]</f>
        <v>369.70499999999998</v>
      </c>
      <c r="S79" s="108">
        <f>IFERROR(Table19[[#This Row],[Num of Stocks]]*Table19[[#This Row],[Ave Entry]],"")</f>
        <v>286.86</v>
      </c>
      <c r="T79" s="108">
        <f ca="1">Table19[[#This Row],[Combined Exposure]]/$C$8</f>
        <v>2.3302877097232306E-3</v>
      </c>
    </row>
    <row r="80" spans="1:20">
      <c r="A80" t="e" vm="73">
        <v>#VALUE!</v>
      </c>
      <c r="B80" s="13" t="str" cm="1">
        <f t="array" aca="1" ref="B80" ca="1">_FV(A80,"Ticker symbol",TRUE)</f>
        <v>NOTV</v>
      </c>
      <c r="C80" s="13" t="s">
        <v>53</v>
      </c>
      <c r="D80" s="13" t="s">
        <v>53</v>
      </c>
      <c r="E80" s="19" cm="1">
        <f t="array" aca="1" ref="E80" ca="1">IFERROR(_FV(A80,"Beta"),2)</f>
        <v>4.0210999999999997</v>
      </c>
      <c r="F80" s="13" t="str" cm="1">
        <f t="array" aca="1" ref="F80" ca="1">_FV(A80,"Instrument type",TRUE)</f>
        <v>Stock</v>
      </c>
      <c r="G80" s="18" cm="1">
        <f t="array" aca="1" ref="G80" ca="1">_FV(Table19[[#This Row],[Assets]],"Price")</f>
        <v>0.31680000000000003</v>
      </c>
      <c r="H80" s="36">
        <f>IFERROR(VLOOKUP(Table19[[#This Row],[Assets]],Table25[#All],15,FALSE),"")</f>
        <v>2.8824212598425198</v>
      </c>
      <c r="I80" s="36">
        <f>IFERROR(VLOOKUP(Table19[[#This Row],[Assets]],Table25[#All],16,FALSE),0)</f>
        <v>-1341.0566732283473</v>
      </c>
      <c r="J80" s="84">
        <f ca="1">IFERROR((Table19[[#This Row],[Price]]-Table19[[#This Row],[Ave Entry]])/Table19[[#This Row],[Ave Entry]],"")</f>
        <v>-0.89009240099162035</v>
      </c>
      <c r="K80" s="92">
        <f ca="1">IFERROR((Table19[[#This Row],[Price]]-Table19[[#This Row],[Ave Entry]])*Table19[[#This Row],[Num of Stocks]],0)</f>
        <v>-2090.9813267716536</v>
      </c>
      <c r="L80" s="38" cm="1">
        <f t="array" aca="1" ref="L80" ca="1">_FV(Table19[[#This Row],[Assets]],"Change (%)",TRUE)</f>
        <v>5.3949999999999996E-3</v>
      </c>
      <c r="M80" s="36">
        <f>SUMIF(Table20[Asset],Table19[[#This Row],[Assets]],Table20[realized_profit])</f>
        <v>0</v>
      </c>
      <c r="N80" s="36">
        <f>SUMIF(Table20[[#All],[Asset]],Table19[[#This Row],[Assets]],Table20[[#All],[delta_exposure]])</f>
        <v>0</v>
      </c>
      <c r="O80" s="38">
        <f ca="1">Table19[[#This Row],[Option Exposure]]/$B$6</f>
        <v>0</v>
      </c>
      <c r="P80" s="51">
        <f>SUMIF(Table25[[#All],[Assets]],Table19[[#This Row],[Assets]],Table25[[#All],[Number of stocks]])</f>
        <v>815</v>
      </c>
      <c r="Q80" s="36">
        <f ca="1">Table19[[#This Row],[Num of Stocks]]*Table19[[#This Row],[Price]]</f>
        <v>258.19200000000001</v>
      </c>
      <c r="R80" s="36">
        <f ca="1">Table19[[#This Row],[Stock Exposure]]+Table19[[#This Row],[Option Exposure]]</f>
        <v>258.19200000000001</v>
      </c>
      <c r="S80" s="108">
        <f>IFERROR(Table19[[#This Row],[Num of Stocks]]*Table19[[#This Row],[Ave Entry]],"")</f>
        <v>2349.1733267716536</v>
      </c>
      <c r="T80" s="39">
        <f ca="1">Table19[[#This Row],[Combined Exposure]]/$C$8</f>
        <v>1.6274100819541537E-3</v>
      </c>
    </row>
    <row r="81" spans="1:20">
      <c r="A81" t="e" vm="213">
        <v>#VALUE!</v>
      </c>
      <c r="B81" s="13" t="str" cm="1">
        <f t="array" aca="1" ref="B81" ca="1">_FV(A81,"Ticker symbol",TRUE)</f>
        <v>EOSE</v>
      </c>
      <c r="C81" s="13" t="s">
        <v>31</v>
      </c>
      <c r="D81" s="13" t="s">
        <v>31</v>
      </c>
      <c r="E81" s="19" cm="1">
        <f t="array" aca="1" ref="E81" ca="1">IFERROR(_FV(A81,"Beta"),2)</f>
        <v>2.3296000000000001</v>
      </c>
      <c r="F81" s="13" t="str" cm="1">
        <f t="array" aca="1" ref="F81" ca="1">_FV(A81,"Instrument type",TRUE)</f>
        <v>Stock</v>
      </c>
      <c r="G81" s="18" cm="1">
        <f t="array" aca="1" ref="G81" ca="1">_FV(Table19[[#This Row],[Assets]],"Price")</f>
        <v>5.0890000000000004</v>
      </c>
      <c r="H81" s="36">
        <f>IFERROR(VLOOKUP(Table19[[#This Row],[Assets]],Table25[#All],15,FALSE),"")</f>
        <v>14.547721518987341</v>
      </c>
      <c r="I81" s="36">
        <f>IFERROR(VLOOKUP(Table19[[#This Row],[Assets]],Table25[#All],16,FALSE),0)</f>
        <v>-106.29151898734168</v>
      </c>
      <c r="J81" s="84">
        <f ca="1">IFERROR((Table19[[#This Row],[Price]]-Table19[[#This Row],[Ave Entry]])/Table19[[#This Row],[Ave Entry]],"")</f>
        <v>-0.65018577009754008</v>
      </c>
      <c r="K81" s="92">
        <f ca="1">IFERROR((Table19[[#This Row],[Price]]-Table19[[#This Row],[Ave Entry]])*Table19[[#This Row],[Num of Stocks]],0)</f>
        <v>-255.3854810126582</v>
      </c>
      <c r="L81" s="38" cm="1">
        <f t="array" aca="1" ref="L81" ca="1">_FV(Table19[[#This Row],[Assets]],"Change (%)",TRUE)</f>
        <v>-1.9650000000000001E-4</v>
      </c>
      <c r="M81" s="36">
        <f>SUMIF(Table20[Asset],Table19[[#This Row],[Assets]],Table20[realized_profit])</f>
        <v>0</v>
      </c>
      <c r="N81" s="36">
        <f>SUMIF(Table20[[#All],[Asset]],Table19[[#This Row],[Assets]],Table20[[#All],[delta_exposure]])</f>
        <v>0</v>
      </c>
      <c r="O81" s="38">
        <f ca="1">Table19[[#This Row],[Option Exposure]]/$B$6</f>
        <v>0</v>
      </c>
      <c r="P81" s="51">
        <f>SUMIF(Table25[[#All],[Assets]],Table19[[#This Row],[Assets]],Table25[[#All],[Number of stocks]])</f>
        <v>27</v>
      </c>
      <c r="Q81" s="36">
        <f ca="1">Table19[[#This Row],[Num of Stocks]]*Table19[[#This Row],[Price]]</f>
        <v>137.40300000000002</v>
      </c>
      <c r="R81" s="36">
        <f ca="1">Table19[[#This Row],[Stock Exposure]]+Table19[[#This Row],[Option Exposure]]</f>
        <v>137.40300000000002</v>
      </c>
      <c r="S81" s="108">
        <f>IFERROR(Table19[[#This Row],[Num of Stocks]]*Table19[[#This Row],[Ave Entry]],"")</f>
        <v>392.78848101265822</v>
      </c>
      <c r="T81" s="108">
        <f ca="1">Table19[[#This Row],[Combined Exposure]]/$C$8</f>
        <v>8.6606489546828171E-4</v>
      </c>
    </row>
    <row r="82" spans="1:20">
      <c r="A82" t="e" vm="14">
        <v>#VALUE!</v>
      </c>
      <c r="B82" s="13" t="str" cm="1">
        <f t="array" aca="1" ref="B82" ca="1">_FV(A82,"Ticker symbol",TRUE)</f>
        <v>NVTS</v>
      </c>
      <c r="C82" s="13" t="s">
        <v>84</v>
      </c>
      <c r="D82" s="13" t="s">
        <v>84</v>
      </c>
      <c r="E82" s="19" cm="1">
        <f t="array" aca="1" ref="E82" ca="1">IFERROR(_FV(A82,"Beta"),2)</f>
        <v>3.1238999999999999</v>
      </c>
      <c r="F82" s="13" t="str" cm="1">
        <f t="array" aca="1" ref="F82" ca="1">_FV(A82,"Instrument type",TRUE)</f>
        <v>Stock</v>
      </c>
      <c r="G82" s="18" cm="1">
        <f t="array" aca="1" ref="G82" ca="1">_FV(Table19[[#This Row],[Assets]],"Price")</f>
        <v>9.77</v>
      </c>
      <c r="H82" s="36">
        <f>IFERROR(VLOOKUP(Table19[[#This Row],[Assets]],Table25[#All],15,FALSE),"")</f>
        <v>4.1459381898454746</v>
      </c>
      <c r="I82" s="36">
        <f>IFERROR(VLOOKUP(Table19[[#This Row],[Assets]],Table25[#All],16,FALSE),0)</f>
        <v>-413.63465783664452</v>
      </c>
      <c r="J82" s="84">
        <f ca="1">IFERROR((Table19[[#This Row],[Price]]-Table19[[#This Row],[Ave Entry]])/Table19[[#This Row],[Ave Entry]],"")</f>
        <v>1.3565233133309549</v>
      </c>
      <c r="K82" s="92">
        <f ca="1">IFERROR((Table19[[#This Row],[Price]]-Table19[[#This Row],[Ave Entry]])*Table19[[#This Row],[Num of Stocks]],0)</f>
        <v>241.83465783664457</v>
      </c>
      <c r="L82" s="38" cm="1">
        <f t="array" aca="1" ref="L82" ca="1">_FV(Table19[[#This Row],[Assets]],"Change (%)",TRUE)</f>
        <v>5.2801999999999995E-2</v>
      </c>
      <c r="M82" s="36">
        <f>SUMIF(Table20[Asset],Table19[[#This Row],[Assets]],Table20[realized_profit])</f>
        <v>0</v>
      </c>
      <c r="N82" s="36">
        <f>SUMIF(Table20[[#All],[Asset]],Table19[[#This Row],[Assets]],Table20[[#All],[delta_exposure]])</f>
        <v>0</v>
      </c>
      <c r="O82" s="38">
        <f ca="1">Table19[[#This Row],[Option Exposure]]/$B$6</f>
        <v>0</v>
      </c>
      <c r="P82" s="51">
        <f>SUMIF(Table25[[#All],[Assets]],Table19[[#This Row],[Assets]],Table25[[#All],[Number of stocks]])</f>
        <v>43</v>
      </c>
      <c r="Q82" s="36">
        <f ca="1">Table19[[#This Row],[Num of Stocks]]*Table19[[#This Row],[Price]]</f>
        <v>420.10999999999996</v>
      </c>
      <c r="R82" s="36">
        <f ca="1">Table19[[#This Row],[Stock Exposure]]+Table19[[#This Row],[Option Exposure]]</f>
        <v>420.10999999999996</v>
      </c>
      <c r="S82" s="108">
        <f>IFERROR(Table19[[#This Row],[Num of Stocks]]*Table19[[#This Row],[Ave Entry]],"")</f>
        <v>178.27534216335542</v>
      </c>
      <c r="T82" s="39">
        <f ca="1">Table19[[#This Row],[Combined Exposure]]/$C$8</f>
        <v>2.647995482159631E-3</v>
      </c>
    </row>
    <row r="83" spans="1:20">
      <c r="A83" t="e" vm="108">
        <v>#VALUE!</v>
      </c>
      <c r="B83" s="13" t="str" cm="1">
        <f t="array" aca="1" ref="B83" ca="1">_FV(A83,"Ticker symbol",TRUE)</f>
        <v>SLV</v>
      </c>
      <c r="C83" s="13" t="s">
        <v>133</v>
      </c>
      <c r="D83" s="13" t="s">
        <v>25</v>
      </c>
      <c r="E83" s="19" cm="1">
        <f t="array" aca="1" ref="E83" ca="1">IFERROR(_FV(A83,"Beta"),2)</f>
        <v>1.4041999999999999</v>
      </c>
      <c r="F83" s="13" t="str" cm="1">
        <f t="array" aca="1" ref="F83" ca="1">_FV(A83,"Instrument type",TRUE)</f>
        <v>ETF</v>
      </c>
      <c r="G83" s="18" cm="1">
        <f t="array" aca="1" ref="G83" ca="1">_FV(Table19[[#This Row],[Assets]],"Price")</f>
        <v>66.118899999999996</v>
      </c>
      <c r="H83" s="36">
        <f>IFERROR(VLOOKUP(Table19[[#This Row],[Assets]],Table25[#All],15,FALSE),"")</f>
        <v>89.378000000000014</v>
      </c>
      <c r="I83" s="36">
        <f>IFERROR(VLOOKUP(Table19[[#This Row],[Assets]],Table25[#All],16,FALSE),0)</f>
        <v>0</v>
      </c>
      <c r="J83" s="84">
        <f ca="1">IFERROR((Table19[[#This Row],[Price]]-Table19[[#This Row],[Ave Entry]])/Table19[[#This Row],[Ave Entry]],"")</f>
        <v>-0.26023294322987778</v>
      </c>
      <c r="K83" s="92">
        <f ca="1">IFERROR((Table19[[#This Row],[Price]]-Table19[[#This Row],[Ave Entry]])*Table19[[#This Row],[Num of Stocks]],0)</f>
        <v>-116.29550000000009</v>
      </c>
      <c r="L83" s="38" cm="1">
        <f t="array" aca="1" ref="L83" ca="1">_FV(Table19[[#This Row],[Assets]],"Change (%)",TRUE)</f>
        <v>5.0339999999999996E-2</v>
      </c>
      <c r="M83" s="36">
        <f>SUMIF(Table20[Asset],Table19[[#This Row],[Assets]],Table20[realized_profit])</f>
        <v>0</v>
      </c>
      <c r="N83" s="36">
        <f>SUMIF(Table20[[#All],[Asset]],Table19[[#This Row],[Assets]],Table20[[#All],[delta_exposure]])</f>
        <v>0</v>
      </c>
      <c r="O83" s="98">
        <f ca="1">Table19[[#This Row],[Option Exposure]]/$B$6</f>
        <v>0</v>
      </c>
      <c r="P83" s="51">
        <f>SUMIF(Table25[[#All],[Assets]],Table19[[#This Row],[Assets]],Table25[[#All],[Number of stocks]])</f>
        <v>5</v>
      </c>
      <c r="Q83" s="36">
        <f ca="1">Table19[[#This Row],[Num of Stocks]]*Table19[[#This Row],[Price]]</f>
        <v>330.59449999999998</v>
      </c>
      <c r="R83" s="36">
        <f ca="1">Table19[[#This Row],[Stock Exposure]]+Table19[[#This Row],[Option Exposure]]</f>
        <v>330.59449999999998</v>
      </c>
      <c r="S83" s="108">
        <f>IFERROR(Table19[[#This Row],[Num of Stocks]]*Table19[[#This Row],[Ave Entry]],"")</f>
        <v>446.8900000000001</v>
      </c>
      <c r="T83" s="39">
        <f ca="1">Table19[[#This Row],[Combined Exposure]]/$C$8</f>
        <v>2.0837703040318539E-3</v>
      </c>
    </row>
    <row r="84" spans="1:20">
      <c r="A84" t="e" vm="214">
        <v>#VALUE!</v>
      </c>
      <c r="B84" s="13" t="str" cm="1">
        <f t="array" aca="1" ref="B84" ca="1">_FV(A84,"Ticker symbol",TRUE)</f>
        <v>CGNX</v>
      </c>
      <c r="C84" s="13" t="s">
        <v>83</v>
      </c>
      <c r="D84" s="13" t="s">
        <v>29</v>
      </c>
      <c r="E84" s="19" cm="1">
        <f t="array" aca="1" ref="E84" ca="1">IFERROR(_FV(A84,"Beta"),2)</f>
        <v>1.4591000000000001</v>
      </c>
      <c r="F84" s="13" t="str" cm="1">
        <f t="array" aca="1" ref="F84" ca="1">_FV(A84,"Instrument type",TRUE)</f>
        <v>Stock</v>
      </c>
      <c r="G84" s="18" cm="1">
        <f t="array" aca="1" ref="G84" ca="1">_FV(Table19[[#This Row],[Assets]],"Price")</f>
        <v>51.564999999999998</v>
      </c>
      <c r="H84" s="36">
        <f>IFERROR(VLOOKUP(Table19[[#This Row],[Assets]],Table25[#All],15,FALSE),"")</f>
        <v>43.26</v>
      </c>
      <c r="I84" s="36">
        <f>IFERROR(VLOOKUP(Table19[[#This Row],[Assets]],Table25[#All],16,FALSE),0)</f>
        <v>-13.199999999999932</v>
      </c>
      <c r="J84" s="84">
        <f ca="1">IFERROR((Table19[[#This Row],[Price]]-Table19[[#This Row],[Ave Entry]])/Table19[[#This Row],[Ave Entry]],"")</f>
        <v>0.19197873324086917</v>
      </c>
      <c r="K84" s="92">
        <f ca="1">IFERROR((Table19[[#This Row],[Price]]-Table19[[#This Row],[Ave Entry]])*Table19[[#This Row],[Num of Stocks]],0)</f>
        <v>0</v>
      </c>
      <c r="L84" s="38" cm="1">
        <f t="array" aca="1" ref="L84" ca="1">_FV(Table19[[#This Row],[Assets]],"Change (%)",TRUE)</f>
        <v>1.0880000000000001E-2</v>
      </c>
      <c r="M84" s="36">
        <f>SUMIF(Table20[Asset],Table19[[#This Row],[Assets]],Table20[realized_profit])</f>
        <v>395</v>
      </c>
      <c r="N84" s="36">
        <f ca="1">SUMIF(Table20[[#All],[Asset]],Table19[[#This Row],[Assets]],Table20[[#All],[delta_exposure]])</f>
        <v>0</v>
      </c>
      <c r="O84" s="98">
        <f ca="1">Table19[[#This Row],[Option Exposure]]/$B$6</f>
        <v>0</v>
      </c>
      <c r="P84" s="51">
        <f>SUMIF(Table25[[#All],[Assets]],Table19[[#This Row],[Assets]],Table25[[#All],[Number of stocks]])</f>
        <v>0</v>
      </c>
      <c r="Q84" s="36">
        <f ca="1">Table19[[#This Row],[Num of Stocks]]*Table19[[#This Row],[Price]]</f>
        <v>0</v>
      </c>
      <c r="R84" s="36">
        <f ca="1">Table19[[#This Row],[Stock Exposure]]+Table19[[#This Row],[Option Exposure]]</f>
        <v>0</v>
      </c>
      <c r="S84" s="108">
        <f>IFERROR(Table19[[#This Row],[Num of Stocks]]*Table19[[#This Row],[Ave Entry]],"")</f>
        <v>0</v>
      </c>
      <c r="T84" s="39">
        <f ca="1">Table19[[#This Row],[Combined Exposure]]/$C$8</f>
        <v>0</v>
      </c>
    </row>
    <row r="85" spans="1:20">
      <c r="A85" t="e" vm="215">
        <v>#VALUE!</v>
      </c>
      <c r="B85" s="13" t="str" cm="1">
        <f t="array" aca="1" ref="B85" ca="1">_FV(A85,"Ticker symbol",TRUE)</f>
        <v>SEI</v>
      </c>
      <c r="C85" s="13" t="s">
        <v>31</v>
      </c>
      <c r="D85" s="13" t="s">
        <v>31</v>
      </c>
      <c r="E85" s="19" cm="1">
        <f t="array" aca="1" ref="E85" ca="1">IFERROR(_FV(A85,"Beta"),2)</f>
        <v>1.0246999999999999</v>
      </c>
      <c r="F85" s="13" t="str" cm="1">
        <f t="array" aca="1" ref="F85" ca="1">_FV(A85,"Instrument type",TRUE)</f>
        <v>Stock</v>
      </c>
      <c r="G85" s="18" cm="1">
        <f t="array" aca="1" ref="G85" ca="1">_FV(Table19[[#This Row],[Assets]],"Price")</f>
        <v>61.87</v>
      </c>
      <c r="H85" s="36">
        <f>IFERROR(VLOOKUP(Table19[[#This Row],[Assets]],Table25[#All],15,FALSE),"")</f>
        <v>25.798596491228071</v>
      </c>
      <c r="I85" s="36">
        <f>IFERROR(VLOOKUP(Table19[[#This Row],[Assets]],Table25[#All],16,FALSE),0)</f>
        <v>-156.87982456140367</v>
      </c>
      <c r="J85" s="84">
        <f ca="1">IFERROR((Table19[[#This Row],[Price]]-Table19[[#This Row],[Ave Entry]])/Table19[[#This Row],[Ave Entry]],"")</f>
        <v>1.3981924761308921</v>
      </c>
      <c r="K85" s="92">
        <f ca="1">IFERROR((Table19[[#This Row],[Price]]-Table19[[#This Row],[Ave Entry]])*Table19[[#This Row],[Num of Stocks]],0)</f>
        <v>252.49982456140344</v>
      </c>
      <c r="L85" s="38" cm="1">
        <f t="array" aca="1" ref="L85" ca="1">_FV(Table19[[#This Row],[Assets]],"Change (%)",TRUE)</f>
        <v>1.4261999999999999E-2</v>
      </c>
      <c r="M85" s="36">
        <f>SUMIF(Table20[Asset],Table19[[#This Row],[Assets]],Table20[realized_profit])</f>
        <v>0</v>
      </c>
      <c r="N85" s="36">
        <f>SUMIF(Table20[[#All],[Asset]],Table19[[#This Row],[Assets]],Table20[[#All],[delta_exposure]])</f>
        <v>0</v>
      </c>
      <c r="O85" s="38">
        <f ca="1">Table19[[#This Row],[Option Exposure]]/$B$6</f>
        <v>0</v>
      </c>
      <c r="P85" s="51">
        <f>SUMIF(Table25[[#All],[Assets]],Table19[[#This Row],[Assets]],Table25[[#All],[Number of stocks]])</f>
        <v>7</v>
      </c>
      <c r="Q85" s="36">
        <f ca="1">Table19[[#This Row],[Num of Stocks]]*Table19[[#This Row],[Price]]</f>
        <v>433.09</v>
      </c>
      <c r="R85" s="36">
        <f ca="1">Table19[[#This Row],[Stock Exposure]]+Table19[[#This Row],[Option Exposure]]</f>
        <v>433.09</v>
      </c>
      <c r="S85" s="108">
        <f>IFERROR(Table19[[#This Row],[Num of Stocks]]*Table19[[#This Row],[Ave Entry]],"")</f>
        <v>180.5901754385965</v>
      </c>
      <c r="T85" s="39">
        <f ca="1">Table19[[#This Row],[Combined Exposure]]/$C$8</f>
        <v>2.7298097245209937E-3</v>
      </c>
    </row>
    <row r="86" spans="1:20">
      <c r="A86" t="e" vm="216">
        <v>#VALUE!</v>
      </c>
      <c r="B86" s="13" t="str" cm="1">
        <f t="array" aca="1" ref="B86" ca="1">_FV(A86,"Ticker symbol",TRUE)</f>
        <v>INSG</v>
      </c>
      <c r="C86" s="13" t="s">
        <v>258</v>
      </c>
      <c r="D86" s="13" t="s">
        <v>29</v>
      </c>
      <c r="E86" s="19" cm="1">
        <f t="array" aca="1" ref="E86" ca="1">IFERROR(_FV(A86,"Beta"),2)</f>
        <v>1.2881</v>
      </c>
      <c r="F86" s="13" t="str" cm="1">
        <f t="array" aca="1" ref="F86" ca="1">_FV(A86,"Instrument type",TRUE)</f>
        <v>Stock</v>
      </c>
      <c r="G86" s="18" cm="1">
        <f t="array" aca="1" ref="G86" ca="1">_FV(Table19[[#This Row],[Assets]],"Price")</f>
        <v>11.9</v>
      </c>
      <c r="H86" s="36">
        <f>IFERROR(VLOOKUP(Table19[[#This Row],[Assets]],Table25[#All],15,FALSE),"")</f>
        <v>11.129677419354838</v>
      </c>
      <c r="I86" s="36">
        <f>IFERROR(VLOOKUP(Table19[[#This Row],[Assets]],Table25[#All],16,FALSE),0)</f>
        <v>-368.70000000000005</v>
      </c>
      <c r="J86" s="84">
        <f ca="1">IFERROR((Table19[[#This Row],[Price]]-Table19[[#This Row],[Ave Entry]])/Table19[[#This Row],[Ave Entry]],"")</f>
        <v>6.921337893455462E-2</v>
      </c>
      <c r="K86" s="92">
        <f ca="1">IFERROR((Table19[[#This Row],[Price]]-Table19[[#This Row],[Ave Entry]])*Table19[[#This Row],[Num of Stocks]],0)</f>
        <v>0</v>
      </c>
      <c r="L86" s="38" cm="1">
        <f t="array" aca="1" ref="L86" ca="1">_FV(Table19[[#This Row],[Assets]],"Change (%)",TRUE)</f>
        <v>2.1459000000000002E-2</v>
      </c>
      <c r="M86" s="36">
        <f>SUMIF(Table20[Asset],Table19[[#This Row],[Assets]],Table20[realized_profit])</f>
        <v>0</v>
      </c>
      <c r="N86" s="36">
        <f>SUMIF(Table20[[#All],[Asset]],Table19[[#This Row],[Assets]],Table20[[#All],[delta_exposure]])</f>
        <v>0</v>
      </c>
      <c r="O86" s="38">
        <f ca="1">Table19[[#This Row],[Option Exposure]]/$B$6</f>
        <v>0</v>
      </c>
      <c r="P86" s="51">
        <f>SUMIF(Table25[[#All],[Assets]],Table19[[#This Row],[Assets]],Table25[[#All],[Number of stocks]])</f>
        <v>0</v>
      </c>
      <c r="Q86" s="36">
        <f ca="1">Table19[[#This Row],[Num of Stocks]]*Table19[[#This Row],[Price]]</f>
        <v>0</v>
      </c>
      <c r="R86" s="36">
        <f ca="1">Table19[[#This Row],[Stock Exposure]]+Table19[[#This Row],[Option Exposure]]</f>
        <v>0</v>
      </c>
      <c r="S86" s="108">
        <f>IFERROR(Table19[[#This Row],[Num of Stocks]]*Table19[[#This Row],[Ave Entry]],"")</f>
        <v>0</v>
      </c>
      <c r="T86" s="39">
        <f ca="1">Table19[[#This Row],[Combined Exposure]]/$C$8</f>
        <v>0</v>
      </c>
    </row>
    <row r="87" spans="1:20">
      <c r="A87" t="e" vm="34">
        <v>#VALUE!</v>
      </c>
      <c r="B87" s="13" t="str" cm="1">
        <f t="array" aca="1" ref="B87" ca="1">_FV(A87,"Ticker symbol",TRUE)</f>
        <v>TSM</v>
      </c>
      <c r="C87" s="13" t="s">
        <v>83</v>
      </c>
      <c r="D87" s="13" t="s">
        <v>84</v>
      </c>
      <c r="E87" s="19" cm="1">
        <f t="array" aca="1" ref="E87" ca="1">IFERROR(_FV(A87,"Beta"),2)</f>
        <v>1.3467</v>
      </c>
      <c r="F87" s="13" t="str" cm="1">
        <f t="array" aca="1" ref="F87" ca="1">_FV(A87,"Instrument type",TRUE)</f>
        <v>Stock</v>
      </c>
      <c r="G87" s="18" cm="1">
        <f t="array" aca="1" ref="G87" ca="1">_FV(Table19[[#This Row],[Assets]],"Price")</f>
        <v>348.52499999999998</v>
      </c>
      <c r="H87" s="36">
        <f>IFERROR(VLOOKUP(Table19[[#This Row],[Assets]],Table25[#All],15,FALSE),"")</f>
        <v>166.744</v>
      </c>
      <c r="I87" s="36">
        <f>IFERROR(VLOOKUP(Table19[[#This Row],[Assets]],Table25[#All],16,FALSE),0)</f>
        <v>614.54400000000032</v>
      </c>
      <c r="J87" s="84">
        <f ca="1">IFERROR((Table19[[#This Row],[Price]]-Table19[[#This Row],[Ave Entry]])/Table19[[#This Row],[Ave Entry]],"")</f>
        <v>1.0901801564074267</v>
      </c>
      <c r="K87" s="92">
        <f ca="1">IFERROR((Table19[[#This Row],[Price]]-Table19[[#This Row],[Ave Entry]])*Table19[[#This Row],[Num of Stocks]],0)</f>
        <v>181.78099999999998</v>
      </c>
      <c r="L87" s="38" cm="1">
        <f t="array" aca="1" ref="L87" ca="1">_FV(Table19[[#This Row],[Assets]],"Change (%)",TRUE)</f>
        <v>1.5368E-2</v>
      </c>
      <c r="M87" s="36">
        <f>SUMIF(Table20[Asset],Table19[[#This Row],[Assets]],Table20[realized_profit])</f>
        <v>-444.99999999999977</v>
      </c>
      <c r="N87" s="36">
        <f ca="1">SUMIF(Table20[[#All],[Asset]],Table19[[#This Row],[Assets]],Table20[[#All],[delta_exposure]])</f>
        <v>0</v>
      </c>
      <c r="O87" s="98">
        <f ca="1">Table19[[#This Row],[Option Exposure]]/$B$6</f>
        <v>0</v>
      </c>
      <c r="P87" s="51">
        <f>SUMIF(Table25[[#All],[Assets]],Table19[[#This Row],[Assets]],Table25[[#All],[Number of stocks]])</f>
        <v>1</v>
      </c>
      <c r="Q87" s="36">
        <f ca="1">Table19[[#This Row],[Num of Stocks]]*Table19[[#This Row],[Price]]</f>
        <v>348.52499999999998</v>
      </c>
      <c r="R87" s="36">
        <f ca="1">Table19[[#This Row],[Stock Exposure]]+Table19[[#This Row],[Option Exposure]]</f>
        <v>348.52499999999998</v>
      </c>
      <c r="S87" s="108">
        <f>IFERROR(Table19[[#This Row],[Num of Stocks]]*Table19[[#This Row],[Ave Entry]],"")</f>
        <v>166.744</v>
      </c>
      <c r="T87" s="39">
        <f ca="1">Table19[[#This Row],[Combined Exposure]]/$C$8</f>
        <v>2.196788044606616E-3</v>
      </c>
    </row>
    <row r="88" spans="1:20">
      <c r="A88" t="e" vm="217">
        <v>#VALUE!</v>
      </c>
      <c r="B88" s="13" t="str" cm="1">
        <f t="array" aca="1" ref="B88" ca="1">_FV(A88,"Ticker symbol",TRUE)</f>
        <v>ALNT</v>
      </c>
      <c r="C88" s="13" t="s">
        <v>521</v>
      </c>
      <c r="D88" s="13" t="s">
        <v>521</v>
      </c>
      <c r="E88" s="19" cm="1">
        <f t="array" aca="1" ref="E88" ca="1">IFERROR(_FV(A88,"Beta"),2)</f>
        <v>1.4933000000000001</v>
      </c>
      <c r="F88" s="13" t="str" cm="1">
        <f t="array" aca="1" ref="F88" ca="1">_FV(A88,"Instrument type",TRUE)</f>
        <v>Stock</v>
      </c>
      <c r="G88" s="18" cm="1">
        <f t="array" aca="1" ref="G88" ca="1">_FV(Table19[[#This Row],[Assets]],"Price")</f>
        <v>65.98</v>
      </c>
      <c r="H88" s="36">
        <f>IFERROR(VLOOKUP(Table19[[#This Row],[Assets]],Table25[#All],15,FALSE),"")</f>
        <v>39.92</v>
      </c>
      <c r="I88" s="36">
        <f>IFERROR(VLOOKUP(Table19[[#This Row],[Assets]],Table25[#All],16,FALSE),0)</f>
        <v>32.699999999999974</v>
      </c>
      <c r="J88" s="84">
        <f ca="1">IFERROR((Table19[[#This Row],[Price]]-Table19[[#This Row],[Ave Entry]])/Table19[[#This Row],[Ave Entry]],"")</f>
        <v>0.65280561122244496</v>
      </c>
      <c r="K88" s="92">
        <f ca="1">IFERROR((Table19[[#This Row],[Price]]-Table19[[#This Row],[Ave Entry]])*Table19[[#This Row],[Num of Stocks]],0)</f>
        <v>130.30000000000001</v>
      </c>
      <c r="L88" s="38" cm="1">
        <f t="array" aca="1" ref="L88" ca="1">_FV(Table19[[#This Row],[Assets]],"Change (%)",TRUE)</f>
        <v>1.4140999999999999E-2</v>
      </c>
      <c r="M88" s="36">
        <f>SUMIF(Table20[Asset],Table19[[#This Row],[Assets]],Table20[realized_profit])</f>
        <v>0</v>
      </c>
      <c r="N88" s="36">
        <f>SUMIF(Table20[[#All],[Asset]],Table19[[#This Row],[Assets]],Table20[[#All],[delta_exposure]])</f>
        <v>0</v>
      </c>
      <c r="O88" s="38">
        <f ca="1">Table19[[#This Row],[Option Exposure]]/$B$6</f>
        <v>0</v>
      </c>
      <c r="P88" s="51">
        <f>SUMIF(Table25[[#All],[Assets]],Table19[[#This Row],[Assets]],Table25[[#All],[Number of stocks]])</f>
        <v>5</v>
      </c>
      <c r="Q88" s="36">
        <f ca="1">Table19[[#This Row],[Num of Stocks]]*Table19[[#This Row],[Price]]</f>
        <v>329.90000000000003</v>
      </c>
      <c r="R88" s="36">
        <f ca="1">Table19[[#This Row],[Stock Exposure]]+Table19[[#This Row],[Option Exposure]]</f>
        <v>329.90000000000003</v>
      </c>
      <c r="S88" s="108">
        <f>IFERROR(Table19[[#This Row],[Num of Stocks]]*Table19[[#This Row],[Ave Entry]],"")</f>
        <v>199.60000000000002</v>
      </c>
      <c r="T88" s="108">
        <f ca="1">Table19[[#This Row],[Combined Exposure]]/$C$8</f>
        <v>2.0793928008484975E-3</v>
      </c>
    </row>
    <row r="89" spans="1:20">
      <c r="A89" t="e" vm="71">
        <v>#VALUE!</v>
      </c>
      <c r="B89" s="13" t="str" cm="1">
        <f t="array" aca="1" ref="B89" ca="1">_FV(A89,"Ticker symbol",TRUE)</f>
        <v>TKNO</v>
      </c>
      <c r="C89" s="13" t="s">
        <v>53</v>
      </c>
      <c r="D89" s="13" t="s">
        <v>53</v>
      </c>
      <c r="E89" s="19" cm="1">
        <f t="array" aca="1" ref="E89" ca="1">IFERROR(_FV(A89,"Beta"),2)</f>
        <v>0.31850000000000001</v>
      </c>
      <c r="F89" s="13" t="str" cm="1">
        <f t="array" aca="1" ref="F89" ca="1">_FV(A89,"Instrument type",TRUE)</f>
        <v>Stock</v>
      </c>
      <c r="G89" s="18" cm="1">
        <f t="array" aca="1" ref="G89" ca="1">_FV(Table19[[#This Row],[Assets]],"Price")</f>
        <v>3.22</v>
      </c>
      <c r="H89" s="36">
        <f>IFERROR(VLOOKUP(Table19[[#This Row],[Assets]],Table25[#All],15,FALSE),"")</f>
        <v>6.1730146333614213</v>
      </c>
      <c r="I89" s="36">
        <f>IFERROR(VLOOKUP(Table19[[#This Row],[Assets]],Table25[#All],16,FALSE),0)</f>
        <v>-1705.1094812918398</v>
      </c>
      <c r="J89" s="84">
        <f ca="1">IFERROR((Table19[[#This Row],[Price]]-Table19[[#This Row],[Ave Entry]])/Table19[[#This Row],[Ave Entry]],"")</f>
        <v>-0.47837479882230605</v>
      </c>
      <c r="K89" s="92">
        <f ca="1">IFERROR((Table19[[#This Row],[Price]]-Table19[[#This Row],[Ave Entry]])*Table19[[#This Row],[Num of Stocks]],0)</f>
        <v>-245.17935240815734</v>
      </c>
      <c r="L89" s="38" cm="1">
        <f t="array" aca="1" ref="L89" ca="1">_FV(Table19[[#This Row],[Assets]],"Change (%)",TRUE)</f>
        <v>8.0536999999999997E-2</v>
      </c>
      <c r="M89" s="36">
        <f>SUMIF(Table20[Asset],Table19[[#This Row],[Assets]],Table20[realized_profit])</f>
        <v>0</v>
      </c>
      <c r="N89" s="36">
        <f>SUMIF(Table20[[#All],[Asset]],Table19[[#This Row],[Assets]],Table20[[#All],[delta_exposure]])</f>
        <v>0</v>
      </c>
      <c r="O89" s="38">
        <f ca="1">Table19[[#This Row],[Option Exposure]]/$B$6</f>
        <v>0</v>
      </c>
      <c r="P89" s="51">
        <f>SUMIF(Table25[[#All],[Assets]],Table19[[#This Row],[Assets]],Table25[[#All],[Number of stocks]])</f>
        <v>83.026798999999983</v>
      </c>
      <c r="Q89" s="36">
        <f ca="1">Table19[[#This Row],[Num of Stocks]]*Table19[[#This Row],[Price]]</f>
        <v>267.34629277999994</v>
      </c>
      <c r="R89" s="36">
        <f ca="1">Table19[[#This Row],[Stock Exposure]]+Table19[[#This Row],[Option Exposure]]</f>
        <v>267.34629277999994</v>
      </c>
      <c r="S89" s="108">
        <f>IFERROR(Table19[[#This Row],[Num of Stocks]]*Table19[[#This Row],[Ave Entry]],"")</f>
        <v>512.52564518815734</v>
      </c>
      <c r="T89" s="39">
        <f ca="1">Table19[[#This Row],[Combined Exposure]]/$C$8</f>
        <v>1.6851105078516718E-3</v>
      </c>
    </row>
    <row r="90" spans="1:20">
      <c r="A90" t="e" vm="218">
        <v>#VALUE!</v>
      </c>
      <c r="B90" s="13" t="str" cm="1">
        <f t="array" aca="1" ref="B90" ca="1">_FV(A90,"Ticker symbol",TRUE)</f>
        <v>WTTR</v>
      </c>
      <c r="C90" s="13" t="s">
        <v>31</v>
      </c>
      <c r="D90" s="13" t="s">
        <v>31</v>
      </c>
      <c r="E90" s="19" cm="1">
        <f t="array" aca="1" ref="E90" ca="1">IFERROR(_FV(A90,"Beta"),2)</f>
        <v>0.98340000000000005</v>
      </c>
      <c r="F90" s="13" t="str" cm="1">
        <f t="array" aca="1" ref="F90" ca="1">_FV(A90,"Instrument type",TRUE)</f>
        <v>Stock</v>
      </c>
      <c r="G90" s="18" cm="1">
        <f t="array" aca="1" ref="G90" ca="1">_FV(Table19[[#This Row],[Assets]],"Price")</f>
        <v>14.81</v>
      </c>
      <c r="H90" s="36">
        <f>IFERROR(VLOOKUP(Table19[[#This Row],[Assets]],Table25[#All],15,FALSE),"")</f>
        <v>10.81</v>
      </c>
      <c r="I90" s="36">
        <f>IFERROR(VLOOKUP(Table19[[#This Row],[Assets]],Table25[#All],16,FALSE),0)</f>
        <v>0</v>
      </c>
      <c r="J90" s="84">
        <f ca="1">IFERROR((Table19[[#This Row],[Price]]-Table19[[#This Row],[Ave Entry]])/Table19[[#This Row],[Ave Entry]],"")</f>
        <v>0.37002775208140609</v>
      </c>
      <c r="K90" s="92">
        <f ca="1">IFERROR((Table19[[#This Row],[Price]]-Table19[[#This Row],[Ave Entry]])*Table19[[#This Row],[Num of Stocks]],0)</f>
        <v>100</v>
      </c>
      <c r="L90" s="38" cm="1">
        <f t="array" aca="1" ref="L90" ca="1">_FV(Table19[[#This Row],[Assets]],"Change (%)",TRUE)</f>
        <v>-4.7039999999999998E-3</v>
      </c>
      <c r="M90" s="36">
        <f>SUMIF(Table20[Asset],Table19[[#This Row],[Assets]],Table20[realized_profit])</f>
        <v>0</v>
      </c>
      <c r="N90" s="36">
        <f>SUMIF(Table20[[#All],[Asset]],Table19[[#This Row],[Assets]],Table20[[#All],[delta_exposure]])</f>
        <v>0</v>
      </c>
      <c r="O90" s="38">
        <f ca="1">Table19[[#This Row],[Option Exposure]]/$B$6</f>
        <v>0</v>
      </c>
      <c r="P90" s="51">
        <f>SUMIF(Table25[[#All],[Assets]],Table19[[#This Row],[Assets]],Table25[[#All],[Number of stocks]])</f>
        <v>25</v>
      </c>
      <c r="Q90" s="36">
        <f ca="1">Table19[[#This Row],[Num of Stocks]]*Table19[[#This Row],[Price]]</f>
        <v>370.25</v>
      </c>
      <c r="R90" s="36">
        <f ca="1">Table19[[#This Row],[Stock Exposure]]+Table19[[#This Row],[Option Exposure]]</f>
        <v>370.25</v>
      </c>
      <c r="S90" s="108">
        <f>IFERROR(Table19[[#This Row],[Num of Stocks]]*Table19[[#This Row],[Ave Entry]],"")</f>
        <v>270.25</v>
      </c>
      <c r="T90" s="39">
        <f ca="1">Table19[[#This Row],[Combined Exposure]]/$C$8</f>
        <v>2.333722899406354E-3</v>
      </c>
    </row>
    <row r="91" spans="1:20">
      <c r="A91" t="e" vm="219">
        <v>#VALUE!</v>
      </c>
      <c r="B91" s="13" t="str" cm="1">
        <f t="array" aca="1" ref="B91" ca="1">_FV(A91,"Ticker symbol",TRUE)</f>
        <v>CLSK</v>
      </c>
      <c r="C91" s="13" t="s">
        <v>23</v>
      </c>
      <c r="D91" s="13" t="s">
        <v>23</v>
      </c>
      <c r="E91" s="19" cm="1">
        <f t="array" aca="1" ref="E91" ca="1">IFERROR(_FV(A91,"Beta"),2)</f>
        <v>3.4943</v>
      </c>
      <c r="F91" s="13" t="str" cm="1">
        <f t="array" aca="1" ref="F91" ca="1">_FV(A91,"Instrument type",TRUE)</f>
        <v>Stock</v>
      </c>
      <c r="G91" s="18" cm="1">
        <f t="array" aca="1" ref="G91" ca="1">_FV(Table19[[#This Row],[Assets]],"Price")</f>
        <v>10.18</v>
      </c>
      <c r="H91" s="36">
        <f>IFERROR(VLOOKUP(Table19[[#This Row],[Assets]],Table25[#All],15,FALSE),"")</f>
        <v>13.350877192982455</v>
      </c>
      <c r="I91" s="36">
        <f>IFERROR(VLOOKUP(Table19[[#This Row],[Assets]],Table25[#All],16,FALSE),0)</f>
        <v>284.36</v>
      </c>
      <c r="J91" s="84">
        <f ca="1">IFERROR((Table19[[#This Row],[Price]]-Table19[[#This Row],[Ave Entry]])/Table19[[#This Row],[Ave Entry]],"")</f>
        <v>-0.23750328515111693</v>
      </c>
      <c r="K91" s="92">
        <f ca="1">IFERROR((Table19[[#This Row],[Price]]-Table19[[#This Row],[Ave Entry]])*Table19[[#This Row],[Num of Stocks]],0)</f>
        <v>0</v>
      </c>
      <c r="L91" s="38" cm="1">
        <f t="array" aca="1" ref="L91" ca="1">_FV(Table19[[#This Row],[Assets]],"Change (%)",TRUE)</f>
        <v>6.2630000000000005E-2</v>
      </c>
      <c r="M91" s="36">
        <f>SUMIF(Table20[Asset],Table19[[#This Row],[Assets]],Table20[realized_profit])</f>
        <v>0</v>
      </c>
      <c r="N91" s="36">
        <f>SUMIF(Table20[[#All],[Asset]],Table19[[#This Row],[Assets]],Table20[[#All],[delta_exposure]])</f>
        <v>0</v>
      </c>
      <c r="O91" s="38">
        <f ca="1">Table19[[#This Row],[Option Exposure]]/$B$6</f>
        <v>0</v>
      </c>
      <c r="P91" s="51">
        <f>SUMIF(Table25[[#All],[Assets]],Table19[[#This Row],[Assets]],Table25[[#All],[Number of stocks]])</f>
        <v>0</v>
      </c>
      <c r="Q91" s="36">
        <f ca="1">Table19[[#This Row],[Num of Stocks]]*Table19[[#This Row],[Price]]</f>
        <v>0</v>
      </c>
      <c r="R91" s="36">
        <f ca="1">Table19[[#This Row],[Stock Exposure]]+Table19[[#This Row],[Option Exposure]]</f>
        <v>0</v>
      </c>
      <c r="S91" s="108">
        <f>IFERROR(Table19[[#This Row],[Num of Stocks]]*Table19[[#This Row],[Ave Entry]],"")</f>
        <v>0</v>
      </c>
      <c r="T91" s="108">
        <f ca="1">Table19[[#This Row],[Combined Exposure]]/$C$8</f>
        <v>0</v>
      </c>
    </row>
    <row r="92" spans="1:20">
      <c r="A92" t="e" vm="220">
        <v>#VALUE!</v>
      </c>
      <c r="B92" s="13" t="str" cm="1">
        <f t="array" aca="1" ref="B92" ca="1">_FV(A92,"Ticker symbol",TRUE)</f>
        <v>SMLR</v>
      </c>
      <c r="C92" s="13" t="s">
        <v>23</v>
      </c>
      <c r="D92" s="13" t="s">
        <v>542</v>
      </c>
      <c r="E92" s="19" cm="1">
        <f t="array" aca="1" ref="E92" ca="1">IFERROR(_FV(A92,"Beta"),2)</f>
        <v>1.3234999999999999</v>
      </c>
      <c r="F92" s="13" t="str" cm="1">
        <f t="array" aca="1" ref="F92" ca="1">_FV(A92,"Instrument type",TRUE)</f>
        <v>Stock</v>
      </c>
      <c r="G92" s="18" cm="1">
        <f t="array" aca="1" ref="G92" ca="1">_FV(Table19[[#This Row],[Assets]],"Price")</f>
        <v>20.329999999999998</v>
      </c>
      <c r="H92" s="36">
        <f>IFERROR(VLOOKUP(Table19[[#This Row],[Assets]],Table25[#All],15,FALSE),"")</f>
        <v>34.914999999999999</v>
      </c>
      <c r="I92" s="36">
        <f>IFERROR(VLOOKUP(Table19[[#This Row],[Assets]],Table25[#All],16,FALSE),0)</f>
        <v>0</v>
      </c>
      <c r="J92" s="84">
        <f ca="1">IFERROR((Table19[[#This Row],[Price]]-Table19[[#This Row],[Ave Entry]])/Table19[[#This Row],[Ave Entry]],"")</f>
        <v>-0.41772876986968355</v>
      </c>
      <c r="K92" s="92">
        <f ca="1">IFERROR((Table19[[#This Row],[Price]]-Table19[[#This Row],[Ave Entry]])*Table19[[#This Row],[Num of Stocks]],0)</f>
        <v>-145.85000000000002</v>
      </c>
      <c r="L92" s="38" cm="1">
        <f t="array" aca="1" ref="L92" ca="1">_FV(Table19[[#This Row],[Assets]],"Change (%)",TRUE)</f>
        <v>0</v>
      </c>
      <c r="M92" s="36">
        <f>SUMIF(Table20[Asset],Table19[[#This Row],[Assets]],Table20[realized_profit])</f>
        <v>0</v>
      </c>
      <c r="N92" s="36">
        <f>SUMIF(Table20[[#All],[Asset]],Table19[[#This Row],[Assets]],Table20[[#All],[delta_exposure]])</f>
        <v>0</v>
      </c>
      <c r="O92" s="38">
        <f ca="1">Table19[[#This Row],[Option Exposure]]/$B$6</f>
        <v>0</v>
      </c>
      <c r="P92" s="51">
        <f>SUMIF(Table25[[#All],[Assets]],Table19[[#This Row],[Assets]],Table25[[#All],[Number of stocks]])</f>
        <v>10</v>
      </c>
      <c r="Q92" s="36">
        <f ca="1">Table19[[#This Row],[Num of Stocks]]*Table19[[#This Row],[Price]]</f>
        <v>203.29999999999998</v>
      </c>
      <c r="R92" s="36">
        <f ca="1">Table19[[#This Row],[Stock Exposure]]+Table19[[#This Row],[Option Exposure]]</f>
        <v>203.29999999999998</v>
      </c>
      <c r="S92" s="108">
        <f>IFERROR(Table19[[#This Row],[Num of Stocks]]*Table19[[#This Row],[Ave Entry]],"")</f>
        <v>349.15</v>
      </c>
      <c r="T92" s="108">
        <f ca="1">Table19[[#This Row],[Combined Exposure]]/$C$8</f>
        <v>1.2814202983100925E-3</v>
      </c>
    </row>
    <row r="93" spans="1:20">
      <c r="A93" t="e" vm="58">
        <v>#VALUE!</v>
      </c>
      <c r="B93" s="13" t="str" cm="1">
        <f t="array" aca="1" ref="B93" ca="1">_FV(A93,"Ticker symbol",TRUE)</f>
        <v>LNG</v>
      </c>
      <c r="C93" s="13" t="s">
        <v>31</v>
      </c>
      <c r="D93" s="13" t="s">
        <v>31</v>
      </c>
      <c r="E93" s="19" cm="1">
        <f t="array" aca="1" ref="E93" ca="1">IFERROR(_FV(A93,"Beta"),2)</f>
        <v>0.1191</v>
      </c>
      <c r="F93" s="13" t="str" cm="1">
        <f t="array" aca="1" ref="F93" ca="1">_FV(A93,"Instrument type",TRUE)</f>
        <v>Stock</v>
      </c>
      <c r="G93" s="18" cm="1">
        <f t="array" aca="1" ref="G93" ca="1">_FV(Table19[[#This Row],[Assets]],"Price")</f>
        <v>284.95</v>
      </c>
      <c r="H93" s="36">
        <f>IFERROR(VLOOKUP(Table19[[#This Row],[Assets]],Table25[#All],15,FALSE),"")</f>
        <v>168.12</v>
      </c>
      <c r="I93" s="36">
        <f>IFERROR(VLOOKUP(Table19[[#This Row],[Assets]],Table25[#All],16,FALSE),0)</f>
        <v>65.949999999999989</v>
      </c>
      <c r="J93" s="84">
        <f ca="1">IFERROR((Table19[[#This Row],[Price]]-Table19[[#This Row],[Ave Entry]])/Table19[[#This Row],[Ave Entry]],"")</f>
        <v>0.6949202950273613</v>
      </c>
      <c r="K93" s="92">
        <f ca="1">IFERROR((Table19[[#This Row],[Price]]-Table19[[#This Row],[Ave Entry]])*Table19[[#This Row],[Num of Stocks]],0)</f>
        <v>116.82999999999998</v>
      </c>
      <c r="L93" s="38" cm="1">
        <f t="array" aca="1" ref="L93" ca="1">_FV(Table19[[#This Row],[Assets]],"Change (%)",TRUE)</f>
        <v>-3.2690999999999998E-2</v>
      </c>
      <c r="M93" s="36">
        <f>SUMIF(Table20[Asset],Table19[[#This Row],[Assets]],Table20[realized_profit])</f>
        <v>0</v>
      </c>
      <c r="N93" s="36">
        <f>SUMIF(Table20[[#All],[Asset]],Table19[[#This Row],[Assets]],Table20[[#All],[delta_exposure]])</f>
        <v>0</v>
      </c>
      <c r="O93" s="38">
        <f ca="1">Table19[[#This Row],[Option Exposure]]/$B$6</f>
        <v>0</v>
      </c>
      <c r="P93" s="51">
        <f>SUMIF(Table25[[#All],[Assets]],Table19[[#This Row],[Assets]],Table25[[#All],[Number of stocks]])</f>
        <v>1</v>
      </c>
      <c r="Q93" s="36">
        <f ca="1">Table19[[#This Row],[Num of Stocks]]*Table19[[#This Row],[Price]]</f>
        <v>284.95</v>
      </c>
      <c r="R93" s="36">
        <f ca="1">Table19[[#This Row],[Stock Exposure]]+Table19[[#This Row],[Option Exposure]]</f>
        <v>284.95</v>
      </c>
      <c r="S93" s="108">
        <f>IFERROR(Table19[[#This Row],[Num of Stocks]]*Table19[[#This Row],[Ave Entry]],"")</f>
        <v>168.12</v>
      </c>
      <c r="T93" s="39">
        <f ca="1">Table19[[#This Row],[Combined Exposure]]/$C$8</f>
        <v>1.7960684407450117E-3</v>
      </c>
    </row>
    <row r="94" spans="1:20">
      <c r="A94" t="e" vm="221">
        <v>#VALUE!</v>
      </c>
      <c r="B94" s="13" t="str" cm="1">
        <f t="array" aca="1" ref="B94" ca="1">_FV(A94,"Ticker symbol",TRUE)</f>
        <v>USAR</v>
      </c>
      <c r="C94" s="13" t="s">
        <v>569</v>
      </c>
      <c r="D94" s="13" t="s">
        <v>56</v>
      </c>
      <c r="E94" s="19" cm="1">
        <f t="array" aca="1" ref="E94" ca="1">IFERROR(_FV(A94,"Beta"),2)</f>
        <v>-1.607</v>
      </c>
      <c r="F94" s="13" t="str" cm="1">
        <f t="array" aca="1" ref="F94" ca="1">_FV(A94,"Instrument type",TRUE)</f>
        <v>Stock</v>
      </c>
      <c r="G94" s="18" cm="1">
        <f t="array" aca="1" ref="G94" ca="1">_FV(Table19[[#This Row],[Assets]],"Price")</f>
        <v>17.14</v>
      </c>
      <c r="H94" s="36">
        <f>IFERROR(VLOOKUP(Table19[[#This Row],[Assets]],Table25[#All],15,FALSE),"")</f>
        <v>13.63</v>
      </c>
      <c r="I94" s="36">
        <f>IFERROR(VLOOKUP(Table19[[#This Row],[Assets]],Table25[#All],16,FALSE),0)</f>
        <v>0</v>
      </c>
      <c r="J94" s="84">
        <f ca="1">IFERROR((Table19[[#This Row],[Price]]-Table19[[#This Row],[Ave Entry]])/Table19[[#This Row],[Ave Entry]],"")</f>
        <v>0.25752017608217165</v>
      </c>
      <c r="K94" s="92">
        <f ca="1">IFERROR((Table19[[#This Row],[Price]]-Table19[[#This Row],[Ave Entry]])*Table19[[#This Row],[Num of Stocks]],0)</f>
        <v>35.099999999999994</v>
      </c>
      <c r="L94" s="38" cm="1">
        <f t="array" aca="1" ref="L94" ca="1">_FV(Table19[[#This Row],[Assets]],"Change (%)",TRUE)</f>
        <v>3.2530000000000003E-2</v>
      </c>
      <c r="M94" s="36">
        <f>SUMIF(Table20[Asset],Table19[[#This Row],[Assets]],Table20[realized_profit])</f>
        <v>0</v>
      </c>
      <c r="N94" s="36">
        <f>SUMIF(Table20[[#All],[Asset]],Table19[[#This Row],[Assets]],Table20[[#All],[delta_exposure]])</f>
        <v>0</v>
      </c>
      <c r="O94" s="38">
        <f ca="1">Table19[[#This Row],[Option Exposure]]/$B$6</f>
        <v>0</v>
      </c>
      <c r="P94" s="51">
        <f>SUMIF(Table25[[#All],[Assets]],Table19[[#This Row],[Assets]],Table25[[#All],[Number of stocks]])</f>
        <v>10</v>
      </c>
      <c r="Q94" s="36">
        <f ca="1">Table19[[#This Row],[Num of Stocks]]*Table19[[#This Row],[Price]]</f>
        <v>171.4</v>
      </c>
      <c r="R94" s="36">
        <f ca="1">Table19[[#This Row],[Stock Exposure]]+Table19[[#This Row],[Option Exposure]]</f>
        <v>171.4</v>
      </c>
      <c r="S94" s="108">
        <f>IFERROR(Table19[[#This Row],[Num of Stocks]]*Table19[[#This Row],[Ave Entry]],"")</f>
        <v>136.30000000000001</v>
      </c>
      <c r="T94" s="108">
        <f ca="1">Table19[[#This Row],[Combined Exposure]]/$C$8</f>
        <v>1.0803513975914899E-3</v>
      </c>
    </row>
    <row r="95" spans="1:20">
      <c r="A95" t="e" vm="24">
        <v>#VALUE!</v>
      </c>
      <c r="B95" s="13" t="str" cm="1">
        <f t="array" aca="1" ref="B95" ca="1">_FV(A95,"Ticker symbol",TRUE)</f>
        <v>QCOM</v>
      </c>
      <c r="C95" s="13" t="s">
        <v>83</v>
      </c>
      <c r="D95" s="13" t="s">
        <v>84</v>
      </c>
      <c r="E95" s="19" cm="1">
        <f t="array" aca="1" ref="E95" ca="1">IFERROR(_FV(A95,"Beta"),2)</f>
        <v>1.2816000000000001</v>
      </c>
      <c r="F95" s="13" t="str" cm="1">
        <f t="array" aca="1" ref="F95" ca="1">_FV(A95,"Instrument type",TRUE)</f>
        <v>Stock</v>
      </c>
      <c r="G95" s="18" cm="1">
        <f t="array" aca="1" ref="G95" ca="1">_FV(Table19[[#This Row],[Assets]],"Price")</f>
        <v>131.63499999999999</v>
      </c>
      <c r="H95" s="36">
        <f>IFERROR(VLOOKUP(Table19[[#This Row],[Assets]],Table25[#All],15,FALSE),"")</f>
        <v>166.72879310344828</v>
      </c>
      <c r="I95" s="36">
        <f>IFERROR(VLOOKUP(Table19[[#This Row],[Assets]],Table25[#All],16,FALSE),0)</f>
        <v>-973.44120689655256</v>
      </c>
      <c r="J95" s="84">
        <f ca="1">IFERROR((Table19[[#This Row],[Price]]-Table19[[#This Row],[Ave Entry]])/Table19[[#This Row],[Ave Entry]],"")</f>
        <v>-0.21048429878379826</v>
      </c>
      <c r="K95" s="92">
        <f ca="1">IFERROR((Table19[[#This Row],[Price]]-Table19[[#This Row],[Ave Entry]])*Table19[[#This Row],[Num of Stocks]],0)</f>
        <v>-35.093793103448292</v>
      </c>
      <c r="L95" s="38" cm="1">
        <f t="array" aca="1" ref="L95" ca="1">_FV(Table19[[#This Row],[Assets]],"Change (%)",TRUE)</f>
        <v>2.3043000000000001E-2</v>
      </c>
      <c r="M95" s="36">
        <f>SUMIF(Table20[Asset],Table19[[#This Row],[Assets]],Table20[realized_profit])</f>
        <v>-2175.9999999999995</v>
      </c>
      <c r="N95" s="36">
        <f ca="1">SUMIF(Table20[[#All],[Asset]],Table19[[#This Row],[Assets]],Table20[[#All],[delta_exposure]])</f>
        <v>0</v>
      </c>
      <c r="O95" s="98">
        <f ca="1">Table19[[#This Row],[Option Exposure]]/$B$6</f>
        <v>0</v>
      </c>
      <c r="P95" s="51">
        <f>SUMIF(Table25[[#All],[Assets]],Table19[[#This Row],[Assets]],Table25[[#All],[Number of stocks]])</f>
        <v>1</v>
      </c>
      <c r="Q95" s="36">
        <f ca="1">Table19[[#This Row],[Num of Stocks]]*Table19[[#This Row],[Price]]</f>
        <v>131.63499999999999</v>
      </c>
      <c r="R95" s="36">
        <f ca="1">Table19[[#This Row],[Stock Exposure]]+Table19[[#This Row],[Option Exposure]]</f>
        <v>131.63499999999999</v>
      </c>
      <c r="S95" s="108">
        <f>IFERROR(Table19[[#This Row],[Num of Stocks]]*Table19[[#This Row],[Ave Entry]],"")</f>
        <v>166.72879310344828</v>
      </c>
      <c r="T95" s="39">
        <f ca="1">Table19[[#This Row],[Combined Exposure]]/$C$8</f>
        <v>8.2970861273019684E-4</v>
      </c>
    </row>
    <row r="96" spans="1:20">
      <c r="A96" t="e" vm="222">
        <v>#VALUE!</v>
      </c>
      <c r="B96" s="13" t="str" cm="1">
        <f t="array" aca="1" ref="B96" ca="1">_FV(A96,"Ticker symbol",TRUE)</f>
        <v>LUMN</v>
      </c>
      <c r="C96" s="13" t="s">
        <v>29</v>
      </c>
      <c r="D96" s="13" t="s">
        <v>562</v>
      </c>
      <c r="E96" s="19" cm="1">
        <f t="array" aca="1" ref="E96" ca="1">IFERROR(_FV(A96,"Beta"),2)</f>
        <v>1.5552999999999999</v>
      </c>
      <c r="F96" s="13" t="str" cm="1">
        <f t="array" aca="1" ref="F96" ca="1">_FV(A96,"Instrument type",TRUE)</f>
        <v>Stock</v>
      </c>
      <c r="G96" s="18" cm="1">
        <f t="array" aca="1" ref="G96" ca="1">_FV(Table19[[#This Row],[Assets]],"Price")</f>
        <v>7.0049999999999999</v>
      </c>
      <c r="H96" s="36">
        <f>IFERROR(VLOOKUP(Table19[[#This Row],[Assets]],Table25[#All],15,FALSE),"")</f>
        <v>4.7</v>
      </c>
      <c r="I96" s="36">
        <f>IFERROR(VLOOKUP(Table19[[#This Row],[Assets]],Table25[#All],16,FALSE),0)</f>
        <v>0</v>
      </c>
      <c r="J96" s="84">
        <f ca="1">IFERROR((Table19[[#This Row],[Price]]-Table19[[#This Row],[Ave Entry]])/Table19[[#This Row],[Ave Entry]],"")</f>
        <v>0.49042553191489352</v>
      </c>
      <c r="K96" s="92">
        <f ca="1">IFERROR((Table19[[#This Row],[Price]]-Table19[[#This Row],[Ave Entry]])*Table19[[#This Row],[Num of Stocks]],0)</f>
        <v>39.184999999999995</v>
      </c>
      <c r="L96" s="38" cm="1">
        <f t="array" aca="1" ref="L96" ca="1">_FV(Table19[[#This Row],[Assets]],"Change (%)",TRUE)</f>
        <v>3.1663999999999998E-2</v>
      </c>
      <c r="M96" s="36">
        <f>SUMIF(Table20[Asset],Table19[[#This Row],[Assets]],Table20[realized_profit])</f>
        <v>0</v>
      </c>
      <c r="N96" s="36">
        <f>SUMIF(Table20[[#All],[Asset]],Table19[[#This Row],[Assets]],Table20[[#All],[delta_exposure]])</f>
        <v>0</v>
      </c>
      <c r="O96" s="38">
        <f ca="1">Table19[[#This Row],[Option Exposure]]/$B$6</f>
        <v>0</v>
      </c>
      <c r="P96" s="51">
        <f>SUMIF(Table25[[#All],[Assets]],Table19[[#This Row],[Assets]],Table25[[#All],[Number of stocks]])</f>
        <v>17</v>
      </c>
      <c r="Q96" s="36">
        <f ca="1">Table19[[#This Row],[Num of Stocks]]*Table19[[#This Row],[Price]]</f>
        <v>119.08499999999999</v>
      </c>
      <c r="R96" s="36">
        <f ca="1">Table19[[#This Row],[Stock Exposure]]+Table19[[#This Row],[Option Exposure]]</f>
        <v>119.08499999999999</v>
      </c>
      <c r="S96" s="108">
        <f>IFERROR(Table19[[#This Row],[Num of Stocks]]*Table19[[#This Row],[Ave Entry]],"")</f>
        <v>79.900000000000006</v>
      </c>
      <c r="T96" s="108">
        <f ca="1">Table19[[#This Row],[Combined Exposure]]/$C$8</f>
        <v>7.5060470351331714E-4</v>
      </c>
    </row>
    <row r="97" spans="1:20">
      <c r="A97" t="e" vm="223">
        <v>#VALUE!</v>
      </c>
      <c r="B97" s="13" t="str" cm="1">
        <f t="array" aca="1" ref="B97" ca="1">_FV(A97,"Ticker symbol",TRUE)</f>
        <v>NFE</v>
      </c>
      <c r="C97" s="13" t="s">
        <v>31</v>
      </c>
      <c r="D97" s="13" t="s">
        <v>119</v>
      </c>
      <c r="E97" s="19" cm="1">
        <f t="array" aca="1" ref="E97" ca="1">IFERROR(_FV(A97,"Beta"),2)</f>
        <v>1.1375</v>
      </c>
      <c r="F97" s="13" t="str" cm="1">
        <f t="array" aca="1" ref="F97" ca="1">_FV(A97,"Instrument type",TRUE)</f>
        <v>Stock</v>
      </c>
      <c r="G97" s="18" cm="1">
        <f t="array" aca="1" ref="G97" ca="1">_FV(Table19[[#This Row],[Assets]],"Price")</f>
        <v>0.6865</v>
      </c>
      <c r="H97" s="36">
        <f>IFERROR(VLOOKUP(Table19[[#This Row],[Assets]],Table25[#All],15,FALSE),"")</f>
        <v>1.5023650385604115</v>
      </c>
      <c r="I97" s="36">
        <f>IFERROR(VLOOKUP(Table19[[#This Row],[Assets]],Table25[#All],16,FALSE),0)</f>
        <v>-75.82349614395892</v>
      </c>
      <c r="J97" s="84">
        <f ca="1">IFERROR((Table19[[#This Row],[Price]]-Table19[[#This Row],[Ave Entry]])/Table19[[#This Row],[Ave Entry]],"")</f>
        <v>-0.54305379692686773</v>
      </c>
      <c r="K97" s="92">
        <f ca="1">IFERROR((Table19[[#This Row],[Price]]-Table19[[#This Row],[Ave Entry]])*Table19[[#This Row],[Num of Stocks]],0)</f>
        <v>-81.586503856041148</v>
      </c>
      <c r="L97" s="38" cm="1">
        <f t="array" aca="1" ref="L97" ca="1">_FV(Table19[[#This Row],[Assets]],"Change (%)",TRUE)</f>
        <v>-5.1139999999999998E-2</v>
      </c>
      <c r="M97" s="36">
        <f>SUMIF(Table20[Asset],Table19[[#This Row],[Assets]],Table20[realized_profit])</f>
        <v>0</v>
      </c>
      <c r="N97" s="36">
        <f>SUMIF(Table20[[#All],[Asset]],Table19[[#This Row],[Assets]],Table20[[#All],[delta_exposure]])</f>
        <v>0</v>
      </c>
      <c r="O97" s="38">
        <f ca="1">Table19[[#This Row],[Option Exposure]]/$B$6</f>
        <v>0</v>
      </c>
      <c r="P97" s="51">
        <f>SUMIF(Table25[[#All],[Assets]],Table19[[#This Row],[Assets]],Table25[[#All],[Number of stocks]])</f>
        <v>100</v>
      </c>
      <c r="Q97" s="36">
        <f ca="1">Table19[[#This Row],[Num of Stocks]]*Table19[[#This Row],[Price]]</f>
        <v>68.650000000000006</v>
      </c>
      <c r="R97" s="36">
        <f ca="1">Table19[[#This Row],[Stock Exposure]]+Table19[[#This Row],[Option Exposure]]</f>
        <v>68.650000000000006</v>
      </c>
      <c r="S97" s="108">
        <f>IFERROR(Table19[[#This Row],[Num of Stocks]]*Table19[[#This Row],[Ave Entry]],"")</f>
        <v>150.23650385604114</v>
      </c>
      <c r="T97" s="108">
        <f ca="1">Table19[[#This Row],[Combined Exposure]]/$C$8</f>
        <v>4.3270783806683653E-4</v>
      </c>
    </row>
    <row r="98" spans="1:20">
      <c r="A98" t="e" vm="80">
        <v>#VALUE!</v>
      </c>
      <c r="B98" s="13" t="str" cm="1">
        <f t="array" aca="1" ref="B98" ca="1">_FV(A98,"Ticker symbol",TRUE)</f>
        <v>PYPL</v>
      </c>
      <c r="C98" s="13" t="s">
        <v>54</v>
      </c>
      <c r="D98" s="13" t="s">
        <v>457</v>
      </c>
      <c r="E98" s="19" cm="1">
        <f t="array" aca="1" ref="E98" ca="1">IFERROR(_FV(A98,"Beta"),2)</f>
        <v>1.4282999999999999</v>
      </c>
      <c r="F98" s="13" t="str" cm="1">
        <f t="array" aca="1" ref="F98" ca="1">_FV(A98,"Instrument type",TRUE)</f>
        <v>Stock</v>
      </c>
      <c r="G98" s="18" cm="1">
        <f t="array" aca="1" ref="G98" ca="1">_FV(Table19[[#This Row],[Assets]],"Price")</f>
        <v>45.11</v>
      </c>
      <c r="H98" s="36">
        <f>IFERROR(VLOOKUP(Table19[[#This Row],[Assets]],Table25[#All],15,FALSE),"")</f>
        <v>66.645964125560553</v>
      </c>
      <c r="I98" s="36">
        <f>IFERROR(VLOOKUP(Table19[[#This Row],[Assets]],Table25[#All],16,FALSE),0)</f>
        <v>460.03596412555646</v>
      </c>
      <c r="J98" s="84">
        <f ca="1">IFERROR((Table19[[#This Row],[Price]]-Table19[[#This Row],[Ave Entry]])/Table19[[#This Row],[Ave Entry]],"")</f>
        <v>-0.3231398091111255</v>
      </c>
      <c r="K98" s="92">
        <f ca="1">IFERROR((Table19[[#This Row],[Price]]-Table19[[#This Row],[Ave Entry]])*Table19[[#This Row],[Num of Stocks]],0)</f>
        <v>-21.535964125560554</v>
      </c>
      <c r="L98" s="38" cm="1">
        <f t="array" aca="1" ref="L98" ca="1">_FV(Table19[[#This Row],[Assets]],"Change (%)",TRUE)</f>
        <v>2.0357E-2</v>
      </c>
      <c r="M98" s="36">
        <f>SUMIF(Table20[Asset],Table19[[#This Row],[Assets]],Table20[realized_profit])</f>
        <v>208.99999999999997</v>
      </c>
      <c r="N98" s="36">
        <f ca="1">SUMIF(Table20[[#All],[Asset]],Table19[[#This Row],[Assets]],Table20[[#All],[delta_exposure]])</f>
        <v>0</v>
      </c>
      <c r="O98" s="98">
        <f ca="1">Table19[[#This Row],[Option Exposure]]/$B$6</f>
        <v>0</v>
      </c>
      <c r="P98" s="51">
        <f>SUMIF(Table25[[#All],[Assets]],Table19[[#This Row],[Assets]],Table25[[#All],[Number of stocks]])</f>
        <v>1</v>
      </c>
      <c r="Q98" s="36">
        <f ca="1">Table19[[#This Row],[Num of Stocks]]*Table19[[#This Row],[Price]]</f>
        <v>45.11</v>
      </c>
      <c r="R98" s="36">
        <f ca="1">Table19[[#This Row],[Stock Exposure]]+Table19[[#This Row],[Option Exposure]]</f>
        <v>45.11</v>
      </c>
      <c r="S98" s="108">
        <f>IFERROR(Table19[[#This Row],[Num of Stocks]]*Table19[[#This Row],[Ave Entry]],"")</f>
        <v>66.645964125560553</v>
      </c>
      <c r="T98" s="39">
        <f ca="1">Table19[[#This Row],[Combined Exposure]]/$C$8</f>
        <v>2.8433285615724681E-4</v>
      </c>
    </row>
    <row r="99" spans="1:20">
      <c r="A99" t="e" vm="224">
        <v>#VALUE!</v>
      </c>
      <c r="B99" s="13" t="str" cm="1">
        <f t="array" aca="1" ref="B99" ca="1">_FV(A99,"Ticker symbol",TRUE)</f>
        <v>NU</v>
      </c>
      <c r="C99" s="13" t="s">
        <v>54</v>
      </c>
      <c r="D99" s="13" t="s">
        <v>87</v>
      </c>
      <c r="E99" s="19" cm="1">
        <f t="array" aca="1" ref="E99" ca="1">IFERROR(_FV(A99,"Beta"),2)</f>
        <v>1.1176999999999999</v>
      </c>
      <c r="F99" s="13" t="str" cm="1">
        <f t="array" aca="1" ref="F99" ca="1">_FV(A99,"Instrument type",TRUE)</f>
        <v>Stock</v>
      </c>
      <c r="G99" s="18" cm="1">
        <f t="array" aca="1" ref="G99" ca="1">_FV(Table19[[#This Row],[Assets]],"Price")</f>
        <v>14.525</v>
      </c>
      <c r="H99" s="36">
        <f>IFERROR(VLOOKUP(Table19[[#This Row],[Assets]],Table25[#All],15,FALSE),"")</f>
        <v>12</v>
      </c>
      <c r="I99" s="36">
        <f>IFERROR(VLOOKUP(Table19[[#This Row],[Assets]],Table25[#All],16,FALSE),0)</f>
        <v>7.9799999999999791</v>
      </c>
      <c r="J99" s="84">
        <f ca="1">IFERROR((Table19[[#This Row],[Price]]-Table19[[#This Row],[Ave Entry]])/Table19[[#This Row],[Ave Entry]],"")</f>
        <v>0.2104166666666667</v>
      </c>
      <c r="K99" s="92">
        <f ca="1">IFERROR((Table19[[#This Row],[Price]]-Table19[[#This Row],[Ave Entry]])*Table19[[#This Row],[Num of Stocks]],0)</f>
        <v>7.5750000000000011</v>
      </c>
      <c r="L99" s="38" cm="1">
        <f t="array" aca="1" ref="L99" ca="1">_FV(Table19[[#This Row],[Assets]],"Change (%)",TRUE)</f>
        <v>2.3607999999999997E-2</v>
      </c>
      <c r="M99" s="36">
        <f>SUMIF(Table20[Asset],Table19[[#This Row],[Assets]],Table20[realized_profit])</f>
        <v>0</v>
      </c>
      <c r="N99" s="36">
        <f>SUMIF(Table20[[#All],[Asset]],Table19[[#This Row],[Assets]],Table20[[#All],[delta_exposure]])</f>
        <v>0</v>
      </c>
      <c r="O99" s="38">
        <f ca="1">Table19[[#This Row],[Option Exposure]]/$B$6</f>
        <v>0</v>
      </c>
      <c r="P99" s="51">
        <f>SUMIF(Table25[[#All],[Assets]],Table19[[#This Row],[Assets]],Table25[[#All],[Number of stocks]])</f>
        <v>3</v>
      </c>
      <c r="Q99" s="36">
        <f ca="1">Table19[[#This Row],[Num of Stocks]]*Table19[[#This Row],[Price]]</f>
        <v>43.575000000000003</v>
      </c>
      <c r="R99" s="36">
        <f ca="1">Table19[[#This Row],[Stock Exposure]]+Table19[[#This Row],[Option Exposure]]</f>
        <v>43.575000000000003</v>
      </c>
      <c r="S99" s="108">
        <f>IFERROR(Table19[[#This Row],[Num of Stocks]]*Table19[[#This Row],[Ave Entry]],"")</f>
        <v>36</v>
      </c>
      <c r="T99" s="39">
        <f ca="1">Table19[[#This Row],[Combined Exposure]]/$C$8</f>
        <v>2.7465759714147709E-4</v>
      </c>
    </row>
    <row r="100" spans="1:20">
      <c r="A100" t="e" vm="225">
        <v>#VALUE!</v>
      </c>
      <c r="B100" s="13" t="str" cm="1">
        <f t="array" aca="1" ref="B100" ca="1">_FV(A100,"Ticker symbol",TRUE)</f>
        <v>ARQ</v>
      </c>
      <c r="C100" s="13" t="s">
        <v>550</v>
      </c>
      <c r="D100" s="13" t="s">
        <v>31</v>
      </c>
      <c r="E100" s="19" cm="1">
        <f t="array" aca="1" ref="E100" ca="1">IFERROR(_FV(A100,"Beta"),2)</f>
        <v>2.1154000000000002</v>
      </c>
      <c r="F100" s="13" t="str" cm="1">
        <f t="array" aca="1" ref="F100" ca="1">_FV(A100,"Instrument type",TRUE)</f>
        <v>Stock</v>
      </c>
      <c r="G100" s="18" cm="1">
        <f t="array" aca="1" ref="G100" ca="1">_FV(Table19[[#This Row],[Assets]],"Price")</f>
        <v>2.5750000000000002</v>
      </c>
      <c r="H100" s="36">
        <f>IFERROR(VLOOKUP(Table19[[#This Row],[Assets]],Table25[#All],15,FALSE),"")</f>
        <v>6.08</v>
      </c>
      <c r="I100" s="36">
        <f>IFERROR(VLOOKUP(Table19[[#This Row],[Assets]],Table25[#All],16,FALSE),0)</f>
        <v>6.4999999999999947</v>
      </c>
      <c r="J100" s="84">
        <f ca="1">IFERROR((Table19[[#This Row],[Price]]-Table19[[#This Row],[Ave Entry]])/Table19[[#This Row],[Ave Entry]],"")</f>
        <v>-0.57648026315789469</v>
      </c>
      <c r="K100" s="92">
        <f ca="1">IFERROR((Table19[[#This Row],[Price]]-Table19[[#This Row],[Ave Entry]])*Table19[[#This Row],[Num of Stocks]],0)</f>
        <v>-35.049999999999997</v>
      </c>
      <c r="L100" s="38" cm="1">
        <f t="array" aca="1" ref="L100" ca="1">_FV(Table19[[#This Row],[Assets]],"Change (%)",TRUE)</f>
        <v>0.10515000000000001</v>
      </c>
      <c r="M100" s="36">
        <f>SUMIF(Table20[Asset],Table19[[#This Row],[Assets]],Table20[realized_profit])</f>
        <v>0</v>
      </c>
      <c r="N100" s="36">
        <f>SUMIF(Table20[[#All],[Asset]],Table19[[#This Row],[Assets]],Table20[[#All],[delta_exposure]])</f>
        <v>0</v>
      </c>
      <c r="O100" s="38">
        <f ca="1">Table19[[#This Row],[Option Exposure]]/$B$6</f>
        <v>0</v>
      </c>
      <c r="P100" s="51">
        <f>SUMIF(Table25[[#All],[Assets]],Table19[[#This Row],[Assets]],Table25[[#All],[Number of stocks]])</f>
        <v>10</v>
      </c>
      <c r="Q100" s="36">
        <f ca="1">Table19[[#This Row],[Num of Stocks]]*Table19[[#This Row],[Price]]</f>
        <v>25.75</v>
      </c>
      <c r="R100" s="36">
        <f ca="1">Table19[[#This Row],[Stock Exposure]]+Table19[[#This Row],[Option Exposure]]</f>
        <v>25.75</v>
      </c>
      <c r="S100" s="108">
        <f>IFERROR(Table19[[#This Row],[Num of Stocks]]*Table19[[#This Row],[Ave Entry]],"")</f>
        <v>60.8</v>
      </c>
      <c r="T100" s="39">
        <f ca="1">Table19[[#This Row],[Combined Exposure]]/$C$8</f>
        <v>1.6230483365216371E-4</v>
      </c>
    </row>
    <row r="101" spans="1:20">
      <c r="A101" t="e" vm="226">
        <v>#VALUE!</v>
      </c>
      <c r="B101" s="13" t="str" cm="1">
        <f t="array" aca="1" ref="B101" ca="1">_FV(A101,"Ticker symbol",TRUE)</f>
        <v>WGHTQ</v>
      </c>
      <c r="C101" s="13" t="s">
        <v>53</v>
      </c>
      <c r="D101" s="13" t="s">
        <v>559</v>
      </c>
      <c r="E101" s="19" cm="1">
        <f t="array" aca="1" ref="E101" ca="1">IFERROR(_FV(A101,"Beta"),2)</f>
        <v>-1.556</v>
      </c>
      <c r="F101" s="13" t="str" cm="1">
        <f t="array" aca="1" ref="F101" ca="1">_FV(A101,"Instrument type",TRUE)</f>
        <v>Stock</v>
      </c>
      <c r="G101" s="18" cm="1">
        <f t="array" aca="1" ref="G101" ca="1">_FV(Table19[[#This Row],[Assets]],"Price")</f>
        <v>0.307</v>
      </c>
      <c r="H101" s="36">
        <f>IFERROR(VLOOKUP(Table19[[#This Row],[Assets]],Table25[#All],15,FALSE),"")</f>
        <v>30.859825581395356</v>
      </c>
      <c r="I101" s="36">
        <f>IFERROR(VLOOKUP(Table19[[#This Row],[Assets]],Table25[#All],16,FALSE),0)</f>
        <v>-516.03069767442025</v>
      </c>
      <c r="J101" s="84">
        <f ca="1">IFERROR((Table19[[#This Row],[Price]]-Table19[[#This Row],[Ave Entry]])/Table19[[#This Row],[Ave Entry]],"")</f>
        <v>-0.99005179082460271</v>
      </c>
      <c r="K101" s="92">
        <f ca="1">IFERROR((Table19[[#This Row],[Price]]-Table19[[#This Row],[Ave Entry]])*Table19[[#This Row],[Num of Stocks]],0)</f>
        <v>-122.21130232558143</v>
      </c>
      <c r="L101" s="38" cm="1">
        <f t="array" aca="1" ref="L101" ca="1">_FV(Table19[[#This Row],[Assets]],"Change (%)",TRUE)</f>
        <v>6.0449000000000003E-2</v>
      </c>
      <c r="M101" s="36">
        <f>SUMIF(Table20[Asset],Table19[[#This Row],[Assets]],Table20[realized_profit])</f>
        <v>0</v>
      </c>
      <c r="N101" s="36">
        <f>SUMIF(Table20[[#All],[Asset]],Table19[[#This Row],[Assets]],Table20[[#All],[delta_exposure]])</f>
        <v>0</v>
      </c>
      <c r="O101" s="38">
        <f ca="1">Table19[[#This Row],[Option Exposure]]/$B$6</f>
        <v>0</v>
      </c>
      <c r="P101" s="51">
        <f>SUMIF(Table25[[#All],[Assets]],Table19[[#This Row],[Assets]],Table25[[#All],[Number of stocks]])</f>
        <v>4</v>
      </c>
      <c r="Q101" s="36">
        <f ca="1">Table19[[#This Row],[Num of Stocks]]*Table19[[#This Row],[Price]]</f>
        <v>1.228</v>
      </c>
      <c r="R101" s="36">
        <f ca="1">Table19[[#This Row],[Stock Exposure]]+Table19[[#This Row],[Option Exposure]]</f>
        <v>1.228</v>
      </c>
      <c r="S101" s="108">
        <f>IFERROR(Table19[[#This Row],[Num of Stocks]]*Table19[[#This Row],[Ave Entry]],"")</f>
        <v>123.43930232558142</v>
      </c>
      <c r="T101" s="108">
        <f ca="1">Table19[[#This Row],[Combined Exposure]]/$C$8</f>
        <v>7.7402072126158069E-6</v>
      </c>
    </row>
    <row r="102" spans="1:20">
      <c r="A102" t="e" vm="6">
        <v>#VALUE!</v>
      </c>
      <c r="B102" s="13" t="str" cm="1">
        <f t="array" aca="1" ref="B102" ca="1">_FV(A102,"Ticker symbol",TRUE)</f>
        <v>KTOS</v>
      </c>
      <c r="C102" s="13" t="s">
        <v>38</v>
      </c>
      <c r="D102" s="13" t="s">
        <v>513</v>
      </c>
      <c r="E102" s="19" cm="1">
        <f t="array" aca="1" ref="E102" ca="1">IFERROR(_FV(A102,"Beta"),2)</f>
        <v>1.1771</v>
      </c>
      <c r="F102" s="13" t="str" cm="1">
        <f t="array" aca="1" ref="F102" ca="1">_FV(A102,"Instrument type",TRUE)</f>
        <v>Stock</v>
      </c>
      <c r="G102" s="18" cm="1">
        <f t="array" aca="1" ref="G102" ca="1">_FV(Table19[[#This Row],[Assets]],"Price")</f>
        <v>78.194999999999993</v>
      </c>
      <c r="H102" s="36">
        <f>IFERROR(VLOOKUP(Table19[[#This Row],[Assets]],Table25[#All],15,FALSE),"")</f>
        <v>31.626115702479339</v>
      </c>
      <c r="I102" s="36">
        <f>IFERROR(VLOOKUP(Table19[[#This Row],[Assets]],Table25[#All],16,FALSE),0)</f>
        <v>5145.170000000001</v>
      </c>
      <c r="J102" s="84">
        <f ca="1">IFERROR((Table19[[#This Row],[Price]]-Table19[[#This Row],[Ave Entry]])/Table19[[#This Row],[Ave Entry]],"")</f>
        <v>1.4724819429491265</v>
      </c>
      <c r="K102" s="92">
        <f ca="1">IFERROR((Table19[[#This Row],[Price]]-Table19[[#This Row],[Ave Entry]])*Table19[[#This Row],[Num of Stocks]],0)</f>
        <v>0</v>
      </c>
      <c r="L102" s="38" cm="1">
        <f t="array" aca="1" ref="L102" ca="1">_FV(Table19[[#This Row],[Assets]],"Change (%)",TRUE)</f>
        <v>9.0980000000000002E-3</v>
      </c>
      <c r="M102" s="36">
        <f>SUMIF(Table20[Asset],Table19[[#This Row],[Assets]],Table20[realized_profit])</f>
        <v>1039.9999999999998</v>
      </c>
      <c r="N102" s="36">
        <f ca="1">SUMIF(Table20[[#All],[Asset]],Table19[[#This Row],[Assets]],Table20[[#All],[delta_exposure]])</f>
        <v>0</v>
      </c>
      <c r="O102" s="38">
        <f ca="1">Table19[[#This Row],[Option Exposure]]/$B$6</f>
        <v>0</v>
      </c>
      <c r="P102" s="51">
        <f>SUMIF(Table25[[#All],[Assets]],Table19[[#This Row],[Assets]],Table25[[#All],[Number of stocks]])</f>
        <v>0</v>
      </c>
      <c r="Q102" s="36">
        <f ca="1">Table19[[#This Row],[Num of Stocks]]*Table19[[#This Row],[Price]]</f>
        <v>0</v>
      </c>
      <c r="R102" s="36">
        <f ca="1">Table19[[#This Row],[Stock Exposure]]+Table19[[#This Row],[Option Exposure]]</f>
        <v>0</v>
      </c>
      <c r="S102" s="108">
        <f>IFERROR(Table19[[#This Row],[Num of Stocks]]*Table19[[#This Row],[Ave Entry]],"")</f>
        <v>0</v>
      </c>
      <c r="T102" s="39">
        <f ca="1">Table19[[#This Row],[Combined Exposure]]/$C$8</f>
        <v>0</v>
      </c>
    </row>
    <row r="103" spans="1:20">
      <c r="A103" t="e" vm="83">
        <v>#VALUE!</v>
      </c>
      <c r="B103" s="13" t="str" cm="1">
        <f t="array" aca="1" ref="B103" ca="1">_FV(A103,"Ticker symbol",TRUE)</f>
        <v>FOA</v>
      </c>
      <c r="C103" s="13" t="s">
        <v>54</v>
      </c>
      <c r="D103" s="13" t="s">
        <v>54</v>
      </c>
      <c r="E103" s="19" cm="1">
        <f t="array" aca="1" ref="E103" ca="1">IFERROR(_FV(A103,"Beta"),2)</f>
        <v>1.6938</v>
      </c>
      <c r="F103" s="13" t="str" cm="1">
        <f t="array" aca="1" ref="F103" ca="1">_FV(A103,"Instrument type",TRUE)</f>
        <v>Stock</v>
      </c>
      <c r="G103" s="18" cm="1">
        <f t="array" aca="1" ref="G103" ca="1">_FV(Table19[[#This Row],[Assets]],"Price")</f>
        <v>17.329999999999998</v>
      </c>
      <c r="H103" s="36">
        <f>IFERROR(VLOOKUP(Table19[[#This Row],[Assets]],Table25[#All],15,FALSE),"")</f>
        <v>24.046206896551723</v>
      </c>
      <c r="I103" s="36">
        <f>IFERROR(VLOOKUP(Table19[[#This Row],[Assets]],Table25[#All],16,FALSE),0)</f>
        <v>-346.83999999999992</v>
      </c>
      <c r="J103" s="84">
        <f ca="1">IFERROR((Table19[[#This Row],[Price]]-Table19[[#This Row],[Ave Entry]])/Table19[[#This Row],[Ave Entry]],"")</f>
        <v>-0.27930421315283799</v>
      </c>
      <c r="K103" s="92">
        <f ca="1">IFERROR((Table19[[#This Row],[Price]]-Table19[[#This Row],[Ave Entry]])*Table19[[#This Row],[Num of Stocks]],0)</f>
        <v>0</v>
      </c>
      <c r="L103" s="38" cm="1">
        <f t="array" aca="1" ref="L103" ca="1">_FV(Table19[[#This Row],[Assets]],"Change (%)",TRUE)</f>
        <v>5.8040000000000001E-3</v>
      </c>
      <c r="M103" s="36">
        <f>SUMIF(Table20[Asset],Table19[[#This Row],[Assets]],Table20[realized_profit])</f>
        <v>0</v>
      </c>
      <c r="N103" s="36">
        <f>SUMIF(Table20[[#All],[Asset]],Table19[[#This Row],[Assets]],Table20[[#All],[delta_exposure]])</f>
        <v>0</v>
      </c>
      <c r="O103" s="38">
        <f ca="1">Table19[[#This Row],[Option Exposure]]/$B$6</f>
        <v>0</v>
      </c>
      <c r="P103" s="51">
        <f>SUMIF(Table25[[#All],[Assets]],Table19[[#This Row],[Assets]],Table25[[#All],[Number of stocks]])</f>
        <v>0</v>
      </c>
      <c r="Q103" s="36">
        <f ca="1">Table19[[#This Row],[Num of Stocks]]*Table19[[#This Row],[Price]]</f>
        <v>0</v>
      </c>
      <c r="R103" s="36">
        <f ca="1">Table19[[#This Row],[Stock Exposure]]+Table19[[#This Row],[Option Exposure]]</f>
        <v>0</v>
      </c>
      <c r="S103" s="108">
        <f>IFERROR(Table19[[#This Row],[Num of Stocks]]*Table19[[#This Row],[Ave Entry]],"")</f>
        <v>0</v>
      </c>
      <c r="T103" s="39">
        <f ca="1">Table19[[#This Row],[Combined Exposure]]/$C$8</f>
        <v>0</v>
      </c>
    </row>
    <row r="104" spans="1:20">
      <c r="A104" t="e" vm="38">
        <v>#VALUE!</v>
      </c>
      <c r="B104" s="13" t="str" cm="1">
        <f t="array" aca="1" ref="B104" ca="1">_FV(A104,"Ticker symbol",TRUE)</f>
        <v>FSLR</v>
      </c>
      <c r="C104" s="13" t="s">
        <v>56</v>
      </c>
      <c r="D104" s="13" t="s">
        <v>260</v>
      </c>
      <c r="E104" s="19" cm="1">
        <f t="array" aca="1" ref="E104" ca="1">IFERROR(_FV(A104,"Beta"),2)</f>
        <v>1.6244000000000001</v>
      </c>
      <c r="F104" s="13" t="str" cm="1">
        <f t="array" aca="1" ref="F104" ca="1">_FV(A104,"Instrument type",TRUE)</f>
        <v>Stock</v>
      </c>
      <c r="G104" s="18" cm="1">
        <f t="array" aca="1" ref="G104" ca="1">_FV(Table19[[#This Row],[Assets]],"Price")</f>
        <v>195.77500000000001</v>
      </c>
      <c r="H104" s="36">
        <f>IFERROR(VLOOKUP(Table19[[#This Row],[Assets]],Table25[#All],15,FALSE),"")</f>
        <v>171.08277777777778</v>
      </c>
      <c r="I104" s="36">
        <f>IFERROR(VLOOKUP(Table19[[#This Row],[Assets]],Table25[#All],16,FALSE),0)</f>
        <v>936.93999999999983</v>
      </c>
      <c r="J104" s="84">
        <f ca="1">IFERROR((Table19[[#This Row],[Price]]-Table19[[#This Row],[Ave Entry]])/Table19[[#This Row],[Ave Entry]],"")</f>
        <v>0.14432909345378622</v>
      </c>
      <c r="K104" s="92">
        <f ca="1">IFERROR((Table19[[#This Row],[Price]]-Table19[[#This Row],[Ave Entry]])*Table19[[#This Row],[Num of Stocks]],0)</f>
        <v>0</v>
      </c>
      <c r="L104" s="38" cm="1">
        <f t="array" aca="1" ref="L104" ca="1">_FV(Table19[[#This Row],[Assets]],"Change (%)",TRUE)</f>
        <v>1.5167E-2</v>
      </c>
      <c r="M104" s="36">
        <f>SUMIF(Table20[Asset],Table19[[#This Row],[Assets]],Table20[realized_profit])</f>
        <v>94.999999999999986</v>
      </c>
      <c r="N104" s="36">
        <f ca="1">SUMIF(Table20[[#All],[Asset]],Table19[[#This Row],[Assets]],Table20[[#All],[delta_exposure]])</f>
        <v>0</v>
      </c>
      <c r="O104" s="38">
        <f ca="1">Table19[[#This Row],[Option Exposure]]/$B$6</f>
        <v>0</v>
      </c>
      <c r="P104" s="51">
        <f>SUMIF(Table25[[#All],[Assets]],Table19[[#This Row],[Assets]],Table25[[#All],[Number of stocks]])</f>
        <v>0</v>
      </c>
      <c r="Q104" s="36">
        <f ca="1">Table19[[#This Row],[Num of Stocks]]*Table19[[#This Row],[Price]]</f>
        <v>0</v>
      </c>
      <c r="R104" s="36">
        <f ca="1">Table19[[#This Row],[Stock Exposure]]+Table19[[#This Row],[Option Exposure]]</f>
        <v>0</v>
      </c>
      <c r="S104" s="108">
        <f>IFERROR(Table19[[#This Row],[Num of Stocks]]*Table19[[#This Row],[Ave Entry]],"")</f>
        <v>0</v>
      </c>
      <c r="T104" s="39">
        <f ca="1">Table19[[#This Row],[Combined Exposure]]/$C$8</f>
        <v>0</v>
      </c>
    </row>
    <row r="105" spans="1:20">
      <c r="A105" t="e" vm="227">
        <v>#VALUE!</v>
      </c>
      <c r="B105" s="13" t="str" cm="1">
        <f t="array" aca="1" ref="B105" ca="1">_FV(A105,"Ticker symbol",TRUE)</f>
        <v>DFDV</v>
      </c>
      <c r="C105" s="13" t="s">
        <v>23</v>
      </c>
      <c r="D105" s="13" t="s">
        <v>23</v>
      </c>
      <c r="E105" s="19" cm="1">
        <f t="array" aca="1" ref="E105" ca="1">IFERROR(_FV(A105,"Beta"),2)</f>
        <v>2.8490000000000002</v>
      </c>
      <c r="F105" s="13" t="str" cm="1">
        <f t="array" aca="1" ref="F105" ca="1">_FV(A105,"Instrument type",TRUE)</f>
        <v>Stock</v>
      </c>
      <c r="G105" s="18" cm="1">
        <f t="array" aca="1" ref="G105" ca="1">_FV(Table19[[#This Row],[Assets]],"Price")</f>
        <v>4.1500000000000004</v>
      </c>
      <c r="H105" s="36">
        <f>IFERROR(VLOOKUP(Table19[[#This Row],[Assets]],Table25[#All],15,FALSE),"")</f>
        <v>16.853018759689924</v>
      </c>
      <c r="I105" s="36">
        <f>IFERROR(VLOOKUP(Table19[[#This Row],[Assets]],Table25[#All],16,FALSE),0)</f>
        <v>720.52173999999945</v>
      </c>
      <c r="J105" s="84">
        <f ca="1">IFERROR((Table19[[#This Row],[Price]]-Table19[[#This Row],[Ave Entry]])/Table19[[#This Row],[Ave Entry]],"")</f>
        <v>-0.75375331510778221</v>
      </c>
      <c r="K105" s="92">
        <f ca="1">IFERROR((Table19[[#This Row],[Price]]-Table19[[#This Row],[Ave Entry]])*Table19[[#This Row],[Num of Stocks]],0)</f>
        <v>0</v>
      </c>
      <c r="L105" s="38" cm="1">
        <f t="array" aca="1" ref="L105" ca="1">_FV(Table19[[#This Row],[Assets]],"Change (%)",TRUE)</f>
        <v>2.2166999999999999E-2</v>
      </c>
      <c r="M105" s="36">
        <f>SUMIF(Table20[Asset],Table19[[#This Row],[Assets]],Table20[realized_profit])</f>
        <v>-96</v>
      </c>
      <c r="N105" s="36">
        <f ca="1">SUMIF(Table20[[#All],[Asset]],Table19[[#This Row],[Assets]],Table20[[#All],[delta_exposure]])</f>
        <v>0</v>
      </c>
      <c r="O105" s="38">
        <f ca="1">Table19[[#This Row],[Option Exposure]]/$B$6</f>
        <v>0</v>
      </c>
      <c r="P105" s="51">
        <f>SUMIF(Table25[[#All],[Assets]],Table19[[#This Row],[Assets]],Table25[[#All],[Number of stocks]])</f>
        <v>0</v>
      </c>
      <c r="Q105" s="36">
        <f ca="1">Table19[[#This Row],[Num of Stocks]]*Table19[[#This Row],[Price]]</f>
        <v>0</v>
      </c>
      <c r="R105" s="36">
        <f ca="1">Table19[[#This Row],[Stock Exposure]]+Table19[[#This Row],[Option Exposure]]</f>
        <v>0</v>
      </c>
      <c r="S105" s="108">
        <f>IFERROR(Table19[[#This Row],[Num of Stocks]]*Table19[[#This Row],[Ave Entry]],"")</f>
        <v>0</v>
      </c>
      <c r="T105" s="39">
        <f ca="1">Table19[[#This Row],[Combined Exposure]]/$C$8</f>
        <v>0</v>
      </c>
    </row>
    <row r="106" spans="1:20">
      <c r="A106" t="e" vm="81">
        <v>#VALUE!</v>
      </c>
      <c r="B106" s="13" t="str" cm="1">
        <f t="array" aca="1" ref="B106" ca="1">_FV(A106,"Ticker symbol",TRUE)</f>
        <v>DLO</v>
      </c>
      <c r="C106" s="13" t="s">
        <v>54</v>
      </c>
      <c r="D106" s="13" t="s">
        <v>457</v>
      </c>
      <c r="E106" s="19" cm="1">
        <f t="array" aca="1" ref="E106" ca="1">IFERROR(_FV(A106,"Beta"),2)</f>
        <v>1.0723</v>
      </c>
      <c r="F106" s="13" t="str" cm="1">
        <f t="array" aca="1" ref="F106" ca="1">_FV(A106,"Instrument type",TRUE)</f>
        <v>Stock</v>
      </c>
      <c r="G106" s="18" cm="1">
        <f t="array" aca="1" ref="G106" ca="1">_FV(Table19[[#This Row],[Assets]],"Price")</f>
        <v>13.14</v>
      </c>
      <c r="H106" s="36">
        <f>IFERROR(VLOOKUP(Table19[[#This Row],[Assets]],Table25[#All],15,FALSE),"")</f>
        <v>13.396766055045873</v>
      </c>
      <c r="I106" s="36">
        <f>IFERROR(VLOOKUP(Table19[[#This Row],[Assets]],Table25[#All],16,FALSE),0)</f>
        <v>-294.39000000000073</v>
      </c>
      <c r="J106" s="84">
        <f ca="1">IFERROR((Table19[[#This Row],[Price]]-Table19[[#This Row],[Ave Entry]])/Table19[[#This Row],[Ave Entry]],"")</f>
        <v>-1.9166271471103433E-2</v>
      </c>
      <c r="K106" s="92">
        <f ca="1">IFERROR((Table19[[#This Row],[Price]]-Table19[[#This Row],[Ave Entry]])*Table19[[#This Row],[Num of Stocks]],0)</f>
        <v>0</v>
      </c>
      <c r="L106" s="38" cm="1">
        <f t="array" aca="1" ref="L106" ca="1">_FV(Table19[[#This Row],[Assets]],"Change (%)",TRUE)</f>
        <v>1.7028000000000001E-2</v>
      </c>
      <c r="M106" s="36">
        <f>SUMIF(Table20[Asset],Table19[[#This Row],[Assets]],Table20[realized_profit])</f>
        <v>0</v>
      </c>
      <c r="N106" s="36">
        <f>SUMIF(Table20[[#All],[Asset]],Table19[[#This Row],[Assets]],Table20[[#All],[delta_exposure]])</f>
        <v>0</v>
      </c>
      <c r="O106" s="38">
        <f ca="1">Table19[[#This Row],[Option Exposure]]/$B$6</f>
        <v>0</v>
      </c>
      <c r="P106" s="51">
        <f>SUMIF(Table25[[#All],[Assets]],Table19[[#This Row],[Assets]],Table25[[#All],[Number of stocks]])</f>
        <v>0</v>
      </c>
      <c r="Q106" s="36">
        <f ca="1">Table19[[#This Row],[Num of Stocks]]*Table19[[#This Row],[Price]]</f>
        <v>0</v>
      </c>
      <c r="R106" s="36">
        <f ca="1">Table19[[#This Row],[Stock Exposure]]+Table19[[#This Row],[Option Exposure]]</f>
        <v>0</v>
      </c>
      <c r="S106" s="108">
        <f>IFERROR(Table19[[#This Row],[Num of Stocks]]*Table19[[#This Row],[Ave Entry]],"")</f>
        <v>0</v>
      </c>
      <c r="T106" s="39">
        <f ca="1">Table19[[#This Row],[Combined Exposure]]/$C$8</f>
        <v>0</v>
      </c>
    </row>
    <row r="107" spans="1:20">
      <c r="A107" t="e" vm="228">
        <v>#VALUE!</v>
      </c>
      <c r="B107" s="13" t="str" cm="1">
        <f t="array" aca="1" ref="B107" ca="1">_FV(A107,"Ticker symbol",TRUE)</f>
        <v>BILL</v>
      </c>
      <c r="C107" s="13" t="s">
        <v>54</v>
      </c>
      <c r="D107" s="13" t="s">
        <v>457</v>
      </c>
      <c r="E107" s="19" cm="1">
        <f t="array" aca="1" ref="E107" ca="1">IFERROR(_FV(A107,"Beta"),2)</f>
        <v>1.3241000000000001</v>
      </c>
      <c r="F107" s="13" t="str" cm="1">
        <f t="array" aca="1" ref="F107" ca="1">_FV(A107,"Instrument type",TRUE)</f>
        <v>Stock</v>
      </c>
      <c r="G107" s="18" cm="1">
        <f t="array" aca="1" ref="G107" ca="1">_FV(Table19[[#This Row],[Assets]],"Price")</f>
        <v>38.93</v>
      </c>
      <c r="H107" s="36">
        <f>IFERROR(VLOOKUP(Table19[[#This Row],[Assets]],Table25[#All],15,FALSE),"")</f>
        <v>52.399603960396043</v>
      </c>
      <c r="I107" s="36">
        <f>IFERROR(VLOOKUP(Table19[[#This Row],[Assets]],Table25[#All],16,FALSE),0)</f>
        <v>681.12999999999977</v>
      </c>
      <c r="J107" s="84">
        <f ca="1">IFERROR((Table19[[#This Row],[Price]]-Table19[[#This Row],[Ave Entry]])/Table19[[#This Row],[Ave Entry]],"")</f>
        <v>-0.25705545352168035</v>
      </c>
      <c r="K107" s="92">
        <f ca="1">IFERROR((Table19[[#This Row],[Price]]-Table19[[#This Row],[Ave Entry]])*Table19[[#This Row],[Num of Stocks]],0)</f>
        <v>0</v>
      </c>
      <c r="L107" s="38" cm="1">
        <f t="array" aca="1" ref="L107" ca="1">_FV(Table19[[#This Row],[Assets]],"Change (%)",TRUE)</f>
        <v>1.1169E-2</v>
      </c>
      <c r="M107" s="36">
        <f>SUMIF(Table20[Asset],Table19[[#This Row],[Assets]],Table20[realized_profit])</f>
        <v>0</v>
      </c>
      <c r="N107" s="36">
        <f>SUMIF(Table20[[#All],[Asset]],Table19[[#This Row],[Assets]],Table20[[#All],[delta_exposure]])</f>
        <v>0</v>
      </c>
      <c r="O107" s="38">
        <f ca="1">Table19[[#This Row],[Option Exposure]]/$B$6</f>
        <v>0</v>
      </c>
      <c r="P107" s="51">
        <f>SUMIF(Table25[[#All],[Assets]],Table19[[#This Row],[Assets]],Table25[[#All],[Number of stocks]])</f>
        <v>0</v>
      </c>
      <c r="Q107" s="36">
        <f ca="1">Table19[[#This Row],[Num of Stocks]]*Table19[[#This Row],[Price]]</f>
        <v>0</v>
      </c>
      <c r="R107" s="36">
        <f ca="1">Table19[[#This Row],[Stock Exposure]]+Table19[[#This Row],[Option Exposure]]</f>
        <v>0</v>
      </c>
      <c r="S107" s="108">
        <f>IFERROR(Table19[[#This Row],[Num of Stocks]]*Table19[[#This Row],[Ave Entry]],"")</f>
        <v>0</v>
      </c>
      <c r="T107" s="39">
        <f ca="1">Table19[[#This Row],[Combined Exposure]]/$C$8</f>
        <v>0</v>
      </c>
    </row>
    <row r="108" spans="1:20">
      <c r="A108" t="e" vm="229">
        <v>#VALUE!</v>
      </c>
      <c r="B108" s="13" t="str" cm="1">
        <f t="array" aca="1" ref="B108" ca="1">_FV(A108,"Ticker symbol",TRUE)</f>
        <v>AEO</v>
      </c>
      <c r="C108" s="13" t="s">
        <v>55</v>
      </c>
      <c r="D108" s="13" t="s">
        <v>55</v>
      </c>
      <c r="E108" s="19" cm="1">
        <f t="array" aca="1" ref="E108" ca="1">IFERROR(_FV(A108,"Beta"),2)</f>
        <v>1.4782999999999999</v>
      </c>
      <c r="F108" s="13" t="str" cm="1">
        <f t="array" aca="1" ref="F108" ca="1">_FV(A108,"Instrument type",TRUE)</f>
        <v>Stock</v>
      </c>
      <c r="G108" s="18" cm="1">
        <f t="array" aca="1" ref="G108" ca="1">_FV(Table19[[#This Row],[Assets]],"Price")</f>
        <v>16.559999999999999</v>
      </c>
      <c r="H108" s="36">
        <f>IFERROR(VLOOKUP(Table19[[#This Row],[Assets]],Table25[#All],15,FALSE),"")</f>
        <v>11.630952380952381</v>
      </c>
      <c r="I108" s="36">
        <f>IFERROR(VLOOKUP(Table19[[#This Row],[Assets]],Table25[#All],16,FALSE),0)</f>
        <v>782.1500000000002</v>
      </c>
      <c r="J108" s="84">
        <f ca="1">IFERROR((Table19[[#This Row],[Price]]-Table19[[#This Row],[Ave Entry]])/Table19[[#This Row],[Ave Entry]],"")</f>
        <v>0.42378710337768666</v>
      </c>
      <c r="K108" s="92">
        <f ca="1">IFERROR((Table19[[#This Row],[Price]]-Table19[[#This Row],[Ave Entry]])*Table19[[#This Row],[Num of Stocks]],0)</f>
        <v>0</v>
      </c>
      <c r="L108" s="38" cm="1">
        <f t="array" aca="1" ref="L108" ca="1">_FV(Table19[[#This Row],[Assets]],"Change (%)",TRUE)</f>
        <v>1.4705999999999999E-2</v>
      </c>
      <c r="M108" s="36">
        <f>SUMIF(Table20[Asset],Table19[[#This Row],[Assets]],Table20[realized_profit])</f>
        <v>0</v>
      </c>
      <c r="N108" s="36">
        <f>SUMIF(Table20[[#All],[Asset]],Table19[[#This Row],[Assets]],Table20[[#All],[delta_exposure]])</f>
        <v>0</v>
      </c>
      <c r="O108" s="38">
        <f ca="1">Table19[[#This Row],[Option Exposure]]/$B$6</f>
        <v>0</v>
      </c>
      <c r="P108" s="51">
        <f>SUMIF(Table25[[#All],[Assets]],Table19[[#This Row],[Assets]],Table25[[#All],[Number of stocks]])</f>
        <v>0</v>
      </c>
      <c r="Q108" s="36">
        <f ca="1">Table19[[#This Row],[Num of Stocks]]*Table19[[#This Row],[Price]]</f>
        <v>0</v>
      </c>
      <c r="R108" s="36">
        <f ca="1">Table19[[#This Row],[Stock Exposure]]+Table19[[#This Row],[Option Exposure]]</f>
        <v>0</v>
      </c>
      <c r="S108" s="108">
        <f>IFERROR(Table19[[#This Row],[Num of Stocks]]*Table19[[#This Row],[Ave Entry]],"")</f>
        <v>0</v>
      </c>
      <c r="T108" s="108">
        <f ca="1">Table19[[#This Row],[Combined Exposure]]/$C$8</f>
        <v>0</v>
      </c>
    </row>
    <row r="109" spans="1:20">
      <c r="A109" t="e" vm="230">
        <v>#VALUE!</v>
      </c>
      <c r="B109" s="13" t="str" cm="1">
        <f t="array" aca="1" ref="B109" ca="1">_FV(A109,"Ticker symbol",TRUE)</f>
        <v>UTI</v>
      </c>
      <c r="C109" s="13" t="s">
        <v>147</v>
      </c>
      <c r="D109" s="13" t="s">
        <v>147</v>
      </c>
      <c r="E109" s="19" cm="1">
        <f t="array" aca="1" ref="E109" ca="1">IFERROR(_FV(A109,"Beta"),2)</f>
        <v>1.2956000000000001</v>
      </c>
      <c r="F109" s="13" t="str" cm="1">
        <f t="array" aca="1" ref="F109" ca="1">_FV(A109,"Instrument type",TRUE)</f>
        <v>Stock</v>
      </c>
      <c r="G109" s="18" cm="1">
        <f t="array" aca="1" ref="G109" ca="1">_FV(Table19[[#This Row],[Assets]],"Price")</f>
        <v>39.835000000000001</v>
      </c>
      <c r="H109" s="36">
        <f>IFERROR(VLOOKUP(Table19[[#This Row],[Assets]],Table25[#All],15,FALSE),"")</f>
        <v>26.905714285714289</v>
      </c>
      <c r="I109" s="36">
        <f>IFERROR(VLOOKUP(Table19[[#This Row],[Assets]],Table25[#All],16,FALSE),0)</f>
        <v>104.05999999999993</v>
      </c>
      <c r="J109" s="84">
        <f ca="1">IFERROR((Table19[[#This Row],[Price]]-Table19[[#This Row],[Ave Entry]])/Table19[[#This Row],[Ave Entry]],"")</f>
        <v>0.48054051184028868</v>
      </c>
      <c r="K109" s="92">
        <f ca="1">IFERROR((Table19[[#This Row],[Price]]-Table19[[#This Row],[Ave Entry]])*Table19[[#This Row],[Num of Stocks]],0)</f>
        <v>0</v>
      </c>
      <c r="L109" s="38" cm="1">
        <f t="array" aca="1" ref="L109" ca="1">_FV(Table19[[#This Row],[Assets]],"Change (%)",TRUE)</f>
        <v>1.8536999999999998E-2</v>
      </c>
      <c r="M109" s="36">
        <f>SUMIF(Table20[Asset],Table19[[#This Row],[Assets]],Table20[realized_profit])</f>
        <v>0</v>
      </c>
      <c r="N109" s="36">
        <f>SUMIF(Table20[[#All],[Asset]],Table19[[#This Row],[Assets]],Table20[[#All],[delta_exposure]])</f>
        <v>0</v>
      </c>
      <c r="O109" s="38">
        <f ca="1">Table19[[#This Row],[Option Exposure]]/$B$6</f>
        <v>0</v>
      </c>
      <c r="P109" s="51">
        <f>SUMIF(Table25[[#All],[Assets]],Table19[[#This Row],[Assets]],Table25[[#All],[Number of stocks]])</f>
        <v>0</v>
      </c>
      <c r="Q109" s="36">
        <f ca="1">Table19[[#This Row],[Num of Stocks]]*Table19[[#This Row],[Price]]</f>
        <v>0</v>
      </c>
      <c r="R109" s="36">
        <f ca="1">Table19[[#This Row],[Stock Exposure]]+Table19[[#This Row],[Option Exposure]]</f>
        <v>0</v>
      </c>
      <c r="S109" s="108">
        <f>IFERROR(Table19[[#This Row],[Num of Stocks]]*Table19[[#This Row],[Ave Entry]],"")</f>
        <v>0</v>
      </c>
      <c r="T109" s="108">
        <f ca="1">Table19[[#This Row],[Combined Exposure]]/$C$8</f>
        <v>0</v>
      </c>
    </row>
    <row r="110" spans="1:20">
      <c r="A110" t="e" vm="231">
        <v>#VALUE!</v>
      </c>
      <c r="B110" s="13" t="str" cm="1">
        <f t="array" aca="1" ref="B110" ca="1">_FV(A110,"Ticker symbol",TRUE)</f>
        <v>UNH</v>
      </c>
      <c r="C110" s="13" t="s">
        <v>53</v>
      </c>
      <c r="D110" s="13" t="s">
        <v>53</v>
      </c>
      <c r="E110" s="19" cm="1">
        <f t="array" aca="1" ref="E110" ca="1">IFERROR(_FV(A110,"Beta"),2)</f>
        <v>0.40479999999999999</v>
      </c>
      <c r="F110" s="13" t="str" cm="1">
        <f t="array" aca="1" ref="F110" ca="1">_FV(A110,"Instrument type",TRUE)</f>
        <v>Stock</v>
      </c>
      <c r="G110" s="18" cm="1">
        <f t="array" aca="1" ref="G110" ca="1">_FV(Table19[[#This Row],[Assets]],"Price")</f>
        <v>269.3</v>
      </c>
      <c r="H110" s="36">
        <f>IFERROR(VLOOKUP(Table19[[#This Row],[Assets]],Table25[#All],15,FALSE),"")</f>
        <v>269.56204081632654</v>
      </c>
      <c r="I110" s="36">
        <f>IFERROR(VLOOKUP(Table19[[#This Row],[Assets]],Table25[#All],16,FALSE),0)</f>
        <v>365.75999999999993</v>
      </c>
      <c r="J110" s="84">
        <f ca="1">IFERROR((Table19[[#This Row],[Price]]-Table19[[#This Row],[Ave Entry]])/Table19[[#This Row],[Ave Entry]],"")</f>
        <v>-9.7209835454941187E-4</v>
      </c>
      <c r="K110" s="92">
        <f ca="1">IFERROR((Table19[[#This Row],[Price]]-Table19[[#This Row],[Ave Entry]])*Table19[[#This Row],[Num of Stocks]],0)</f>
        <v>0</v>
      </c>
      <c r="L110" s="38" cm="1">
        <f t="array" aca="1" ref="L110" ca="1">_FV(Table19[[#This Row],[Assets]],"Change (%)",TRUE)</f>
        <v>-1.0945E-2</v>
      </c>
      <c r="M110" s="36">
        <f>SUMIF(Table20[Asset],Table19[[#This Row],[Assets]],Table20[realized_profit])</f>
        <v>4342</v>
      </c>
      <c r="N110" s="36">
        <f ca="1">SUMIF(Table20[[#All],[Asset]],Table19[[#This Row],[Assets]],Table20[[#All],[delta_exposure]])</f>
        <v>0</v>
      </c>
      <c r="O110" s="38">
        <f ca="1">Table19[[#This Row],[Option Exposure]]/$B$6</f>
        <v>0</v>
      </c>
      <c r="P110" s="51">
        <f>SUMIF(Table25[[#All],[Assets]],Table19[[#This Row],[Assets]],Table25[[#All],[Number of stocks]])</f>
        <v>0</v>
      </c>
      <c r="Q110" s="36">
        <f ca="1">Table19[[#This Row],[Num of Stocks]]*Table19[[#This Row],[Price]]</f>
        <v>0</v>
      </c>
      <c r="R110" s="36">
        <f ca="1">Table19[[#This Row],[Stock Exposure]]+Table19[[#This Row],[Option Exposure]]</f>
        <v>0</v>
      </c>
      <c r="S110" s="108">
        <f>IFERROR(Table19[[#This Row],[Num of Stocks]]*Table19[[#This Row],[Ave Entry]],"")</f>
        <v>0</v>
      </c>
      <c r="T110" s="39">
        <f ca="1">Table19[[#This Row],[Combined Exposure]]/$C$8</f>
        <v>0</v>
      </c>
    </row>
    <row r="111" spans="1:20">
      <c r="A111" t="e" vm="41">
        <v>#VALUE!</v>
      </c>
      <c r="B111" s="13" t="str" cm="1">
        <f t="array" aca="1" ref="B111" ca="1">_FV(A111,"Ticker symbol",TRUE)</f>
        <v>AGX</v>
      </c>
      <c r="C111" s="13" t="s">
        <v>56</v>
      </c>
      <c r="D111" s="13" t="s">
        <v>58</v>
      </c>
      <c r="E111" s="19" cm="1">
        <f t="array" aca="1" ref="E111" ca="1">IFERROR(_FV(A111,"Beta"),2)</f>
        <v>0.57609999999999995</v>
      </c>
      <c r="F111" s="13" t="str" cm="1">
        <f t="array" aca="1" ref="F111" ca="1">_FV(A111,"Instrument type",TRUE)</f>
        <v>Stock</v>
      </c>
      <c r="G111" s="18" cm="1">
        <f t="array" aca="1" ref="G111" ca="1">_FV(Table19[[#This Row],[Assets]],"Price")</f>
        <v>440.17</v>
      </c>
      <c r="H111" s="36">
        <f>IFERROR(VLOOKUP(Table19[[#This Row],[Assets]],Table25[#All],15,FALSE),"")</f>
        <v>137.27722222222224</v>
      </c>
      <c r="I111" s="36">
        <f>IFERROR(VLOOKUP(Table19[[#This Row],[Assets]],Table25[#All],16,FALSE),0)</f>
        <v>1116.9900000000002</v>
      </c>
      <c r="J111" s="84">
        <f ca="1">IFERROR((Table19[[#This Row],[Price]]-Table19[[#This Row],[Ave Entry]])/Table19[[#This Row],[Ave Entry]],"")</f>
        <v>2.2064314303174029</v>
      </c>
      <c r="K111" s="92">
        <f ca="1">IFERROR((Table19[[#This Row],[Price]]-Table19[[#This Row],[Ave Entry]])*Table19[[#This Row],[Num of Stocks]],0)</f>
        <v>0</v>
      </c>
      <c r="L111" s="38" cm="1">
        <f t="array" aca="1" ref="L111" ca="1">_FV(Table19[[#This Row],[Assets]],"Change (%)",TRUE)</f>
        <v>-1.0476000000000001E-2</v>
      </c>
      <c r="M111" s="36">
        <f>SUMIF(Table20[Asset],Table19[[#This Row],[Assets]],Table20[realized_profit])</f>
        <v>0</v>
      </c>
      <c r="N111" s="36">
        <f>SUMIF(Table20[[#All],[Asset]],Table19[[#This Row],[Assets]],Table20[[#All],[delta_exposure]])</f>
        <v>0</v>
      </c>
      <c r="O111" s="38">
        <f ca="1">Table19[[#This Row],[Option Exposure]]/$B$6</f>
        <v>0</v>
      </c>
      <c r="P111" s="51">
        <f>SUMIF(Table25[[#All],[Assets]],Table19[[#This Row],[Assets]],Table25[[#All],[Number of stocks]])</f>
        <v>0</v>
      </c>
      <c r="Q111" s="36">
        <f ca="1">Table19[[#This Row],[Num of Stocks]]*Table19[[#This Row],[Price]]</f>
        <v>0</v>
      </c>
      <c r="R111" s="36">
        <f ca="1">Table19[[#This Row],[Stock Exposure]]+Table19[[#This Row],[Option Exposure]]</f>
        <v>0</v>
      </c>
      <c r="S111" s="108">
        <f>IFERROR(Table19[[#This Row],[Num of Stocks]]*Table19[[#This Row],[Ave Entry]],"")</f>
        <v>0</v>
      </c>
      <c r="T111" s="39">
        <f ca="1">Table19[[#This Row],[Combined Exposure]]/$C$8</f>
        <v>0</v>
      </c>
    </row>
    <row r="112" spans="1:20">
      <c r="A112" t="e" vm="232">
        <v>#VALUE!</v>
      </c>
      <c r="B112" s="13" t="str" cm="1">
        <f t="array" aca="1" ref="B112" ca="1">_FV(A112,"Ticker symbol",TRUE)</f>
        <v>FEIM</v>
      </c>
      <c r="C112" s="13" t="s">
        <v>38</v>
      </c>
      <c r="D112" s="13" t="s">
        <v>29</v>
      </c>
      <c r="E112" s="19" cm="1">
        <f t="array" aca="1" ref="E112" ca="1">IFERROR(_FV(A112,"Beta"),2)</f>
        <v>0.47020000000000001</v>
      </c>
      <c r="F112" s="13" t="str" cm="1">
        <f t="array" aca="1" ref="F112" ca="1">_FV(A112,"Instrument type",TRUE)</f>
        <v>Stock</v>
      </c>
      <c r="G112" s="18" cm="1">
        <f t="array" aca="1" ref="G112" ca="1">_FV(Table19[[#This Row],[Assets]],"Price")</f>
        <v>44.93</v>
      </c>
      <c r="H112" s="36">
        <f>IFERROR(VLOOKUP(Table19[[#This Row],[Assets]],Table25[#All],15,FALSE),"")</f>
        <v>31.024999999999999</v>
      </c>
      <c r="I112" s="36">
        <f>IFERROR(VLOOKUP(Table19[[#This Row],[Assets]],Table25[#All],16,FALSE),0)</f>
        <v>4.3299999999999699</v>
      </c>
      <c r="J112" s="84">
        <f ca="1">IFERROR((Table19[[#This Row],[Price]]-Table19[[#This Row],[Ave Entry]])/Table19[[#This Row],[Ave Entry]],"")</f>
        <v>0.44818694601128128</v>
      </c>
      <c r="K112" s="92">
        <f ca="1">IFERROR((Table19[[#This Row],[Price]]-Table19[[#This Row],[Ave Entry]])*Table19[[#This Row],[Num of Stocks]],0)</f>
        <v>0</v>
      </c>
      <c r="L112" s="38" cm="1">
        <f t="array" aca="1" ref="L112" ca="1">_FV(Table19[[#This Row],[Assets]],"Change (%)",TRUE)</f>
        <v>6.7473999999999992E-2</v>
      </c>
      <c r="M112" s="36">
        <f>SUMIF(Table20[Asset],Table19[[#This Row],[Assets]],Table20[realized_profit])</f>
        <v>0</v>
      </c>
      <c r="N112" s="36">
        <f>SUMIF(Table20[[#All],[Asset]],Table19[[#This Row],[Assets]],Table20[[#All],[delta_exposure]])</f>
        <v>0</v>
      </c>
      <c r="O112" s="38">
        <f ca="1">Table19[[#This Row],[Option Exposure]]/$B$6</f>
        <v>0</v>
      </c>
      <c r="P112" s="51">
        <f>SUMIF(Table25[[#All],[Assets]],Table19[[#This Row],[Assets]],Table25[[#All],[Number of stocks]])</f>
        <v>0</v>
      </c>
      <c r="Q112" s="36">
        <f ca="1">Table19[[#This Row],[Num of Stocks]]*Table19[[#This Row],[Price]]</f>
        <v>0</v>
      </c>
      <c r="R112" s="36">
        <f ca="1">Table19[[#This Row],[Stock Exposure]]+Table19[[#This Row],[Option Exposure]]</f>
        <v>0</v>
      </c>
      <c r="S112" s="108">
        <f>IFERROR(Table19[[#This Row],[Num of Stocks]]*Table19[[#This Row],[Ave Entry]],"")</f>
        <v>0</v>
      </c>
      <c r="T112" s="108">
        <f ca="1">Table19[[#This Row],[Combined Exposure]]/$C$8</f>
        <v>0</v>
      </c>
    </row>
    <row r="113" spans="1:20">
      <c r="A113" t="e" vm="233">
        <v>#VALUE!</v>
      </c>
      <c r="B113" s="13" t="str" cm="1">
        <f t="array" aca="1" ref="B113" ca="1">_FV(A113,"Ticker symbol",TRUE)</f>
        <v>NTGR</v>
      </c>
      <c r="C113" s="13" t="s">
        <v>258</v>
      </c>
      <c r="D113" s="13" t="s">
        <v>29</v>
      </c>
      <c r="E113" s="19" cm="1">
        <f t="array" aca="1" ref="E113" ca="1">IFERROR(_FV(A113,"Beta"),2)</f>
        <v>1.0306</v>
      </c>
      <c r="F113" s="13" t="str" cm="1">
        <f t="array" aca="1" ref="F113" ca="1">_FV(A113,"Instrument type",TRUE)</f>
        <v>Stock</v>
      </c>
      <c r="G113" s="18" cm="1">
        <f t="array" aca="1" ref="G113" ca="1">_FV(Table19[[#This Row],[Assets]],"Price")</f>
        <v>22.4</v>
      </c>
      <c r="H113" s="36">
        <f>IFERROR(VLOOKUP(Table19[[#This Row],[Assets]],Table25[#All],15,FALSE),"")</f>
        <v>21.246842105263156</v>
      </c>
      <c r="I113" s="36">
        <f>IFERROR(VLOOKUP(Table19[[#This Row],[Assets]],Table25[#All],16,FALSE),0)</f>
        <v>171.45000000000013</v>
      </c>
      <c r="J113" s="84">
        <f ca="1">IFERROR((Table19[[#This Row],[Price]]-Table19[[#This Row],[Ave Entry]])/Table19[[#This Row],[Ave Entry]],"")</f>
        <v>5.427431940350274E-2</v>
      </c>
      <c r="K113" s="92">
        <f ca="1">IFERROR((Table19[[#This Row],[Price]]-Table19[[#This Row],[Ave Entry]])*Table19[[#This Row],[Num of Stocks]],0)</f>
        <v>0</v>
      </c>
      <c r="L113" s="38" cm="1">
        <f t="array" aca="1" ref="L113" ca="1">_FV(Table19[[#This Row],[Assets]],"Change (%)",TRUE)</f>
        <v>-8.4219000000000002E-2</v>
      </c>
      <c r="M113" s="36">
        <f>SUMIF(Table20[Asset],Table19[[#This Row],[Assets]],Table20[realized_profit])</f>
        <v>0</v>
      </c>
      <c r="N113" s="36">
        <f>SUMIF(Table20[[#All],[Asset]],Table19[[#This Row],[Assets]],Table20[[#All],[delta_exposure]])</f>
        <v>0</v>
      </c>
      <c r="O113" s="38">
        <f ca="1">Table19[[#This Row],[Option Exposure]]/$B$6</f>
        <v>0</v>
      </c>
      <c r="P113" s="51">
        <f>SUMIF(Table25[[#All],[Assets]],Table19[[#This Row],[Assets]],Table25[[#All],[Number of stocks]])</f>
        <v>0</v>
      </c>
      <c r="Q113" s="36">
        <f ca="1">Table19[[#This Row],[Num of Stocks]]*Table19[[#This Row],[Price]]</f>
        <v>0</v>
      </c>
      <c r="R113" s="36">
        <f ca="1">Table19[[#This Row],[Stock Exposure]]+Table19[[#This Row],[Option Exposure]]</f>
        <v>0</v>
      </c>
      <c r="S113" s="108">
        <f>IFERROR(Table19[[#This Row],[Num of Stocks]]*Table19[[#This Row],[Ave Entry]],"")</f>
        <v>0</v>
      </c>
      <c r="T113" s="39">
        <f ca="1">Table19[[#This Row],[Combined Exposure]]/$C$8</f>
        <v>0</v>
      </c>
    </row>
    <row r="114" spans="1:20">
      <c r="A114" t="e" vm="74">
        <v>#VALUE!</v>
      </c>
      <c r="B114" s="13" t="str" cm="1">
        <f t="array" aca="1" ref="B114" ca="1">_FV(A114,"Ticker symbol",TRUE)</f>
        <v>XGN</v>
      </c>
      <c r="C114" s="13" t="s">
        <v>53</v>
      </c>
      <c r="D114" s="13" t="s">
        <v>53</v>
      </c>
      <c r="E114" s="19" cm="1">
        <f t="array" aca="1" ref="E114" ca="1">IFERROR(_FV(A114,"Beta"),2)</f>
        <v>1.9721</v>
      </c>
      <c r="F114" s="13" t="str" cm="1">
        <f t="array" aca="1" ref="F114" ca="1">_FV(A114,"Instrument type",TRUE)</f>
        <v>Stock</v>
      </c>
      <c r="G114" s="18" cm="1">
        <f t="array" aca="1" ref="G114" ca="1">_FV(Table19[[#This Row],[Assets]],"Price")</f>
        <v>2.94</v>
      </c>
      <c r="H114" s="36">
        <f>IFERROR(VLOOKUP(Table19[[#This Row],[Assets]],Table25[#All],15,FALSE),"")</f>
        <v>7.2602409638554217</v>
      </c>
      <c r="I114" s="36">
        <f>IFERROR(VLOOKUP(Table19[[#This Row],[Assets]],Table25[#All],16,FALSE),0)</f>
        <v>506.00000000000011</v>
      </c>
      <c r="J114" s="84">
        <f ca="1">IFERROR((Table19[[#This Row],[Price]]-Table19[[#This Row],[Ave Entry]])/Table19[[#This Row],[Ave Entry]],"")</f>
        <v>-0.59505476269498847</v>
      </c>
      <c r="K114" s="92">
        <f ca="1">IFERROR((Table19[[#This Row],[Price]]-Table19[[#This Row],[Ave Entry]])*Table19[[#This Row],[Num of Stocks]],0)</f>
        <v>0</v>
      </c>
      <c r="L114" s="38" cm="1">
        <f t="array" aca="1" ref="L114" ca="1">_FV(Table19[[#This Row],[Assets]],"Change (%)",TRUE)</f>
        <v>7.2993000000000002E-2</v>
      </c>
      <c r="M114" s="36">
        <f>SUMIF(Table20[Asset],Table19[[#This Row],[Assets]],Table20[realized_profit])</f>
        <v>0</v>
      </c>
      <c r="N114" s="36">
        <f>SUMIF(Table20[[#All],[Asset]],Table19[[#This Row],[Assets]],Table20[[#All],[delta_exposure]])</f>
        <v>0</v>
      </c>
      <c r="O114" s="38">
        <f ca="1">Table19[[#This Row],[Option Exposure]]/$B$6</f>
        <v>0</v>
      </c>
      <c r="P114" s="51">
        <f>SUMIF(Table25[[#All],[Assets]],Table19[[#This Row],[Assets]],Table25[[#All],[Number of stocks]])</f>
        <v>0</v>
      </c>
      <c r="Q114" s="36">
        <f ca="1">Table19[[#This Row],[Num of Stocks]]*Table19[[#This Row],[Price]]</f>
        <v>0</v>
      </c>
      <c r="R114" s="36">
        <f ca="1">Table19[[#This Row],[Stock Exposure]]+Table19[[#This Row],[Option Exposure]]</f>
        <v>0</v>
      </c>
      <c r="S114" s="108">
        <f>IFERROR(Table19[[#This Row],[Num of Stocks]]*Table19[[#This Row],[Ave Entry]],"")</f>
        <v>0</v>
      </c>
      <c r="T114" s="39">
        <f ca="1">Table19[[#This Row],[Combined Exposure]]/$C$8</f>
        <v>0</v>
      </c>
    </row>
    <row r="115" spans="1:20">
      <c r="A115" t="e" vm="76">
        <v>#VALUE!</v>
      </c>
      <c r="B115" s="13" t="str" cm="1">
        <f t="array" aca="1" ref="B115" ca="1">_FV(A115,"Ticker symbol",TRUE)</f>
        <v>TEM</v>
      </c>
      <c r="C115" s="13" t="s">
        <v>53</v>
      </c>
      <c r="D115" s="13" t="s">
        <v>53</v>
      </c>
      <c r="E115" s="19" cm="1">
        <f t="array" aca="1" ref="E115" ca="1">IFERROR(_FV(A115,"Beta"),2)</f>
        <v>3.1789999999999998</v>
      </c>
      <c r="F115" s="13" t="str" cm="1">
        <f t="array" aca="1" ref="F115" ca="1">_FV(A115,"Instrument type",TRUE)</f>
        <v>Stock</v>
      </c>
      <c r="G115" s="18" cm="1">
        <f t="array" aca="1" ref="G115" ca="1">_FV(Table19[[#This Row],[Assets]],"Price")</f>
        <v>48.760100000000001</v>
      </c>
      <c r="H115" s="36">
        <f>IFERROR(VLOOKUP(Table19[[#This Row],[Assets]],Table25[#All],15,FALSE),"")</f>
        <v>59.841034482758616</v>
      </c>
      <c r="I115" s="36">
        <f>IFERROR(VLOOKUP(Table19[[#This Row],[Assets]],Table25[#All],16,FALSE),0)</f>
        <v>150.81</v>
      </c>
      <c r="J115" s="84">
        <f ca="1">IFERROR((Table19[[#This Row],[Price]]-Table19[[#This Row],[Ave Entry]])/Table19[[#This Row],[Ave Entry]],"")</f>
        <v>-0.1851728429920651</v>
      </c>
      <c r="K115" s="92">
        <f ca="1">IFERROR((Table19[[#This Row],[Price]]-Table19[[#This Row],[Ave Entry]])*Table19[[#This Row],[Num of Stocks]],0)</f>
        <v>0</v>
      </c>
      <c r="L115" s="38" cm="1">
        <f t="array" aca="1" ref="L115" ca="1">_FV(Table19[[#This Row],[Assets]],"Change (%)",TRUE)</f>
        <v>-1.431E-3</v>
      </c>
      <c r="M115" s="36">
        <f>SUMIF(Table20[Asset],Table19[[#This Row],[Assets]],Table20[realized_profit])</f>
        <v>0</v>
      </c>
      <c r="N115" s="36">
        <f>SUMIF(Table20[[#All],[Asset]],Table19[[#This Row],[Assets]],Table20[[#All],[delta_exposure]])</f>
        <v>0</v>
      </c>
      <c r="O115" s="38">
        <f ca="1">Table19[[#This Row],[Option Exposure]]/$B$6</f>
        <v>0</v>
      </c>
      <c r="P115" s="51">
        <f>SUMIF(Table25[[#All],[Assets]],Table19[[#This Row],[Assets]],Table25[[#All],[Number of stocks]])</f>
        <v>0</v>
      </c>
      <c r="Q115" s="36">
        <f ca="1">Table19[[#This Row],[Num of Stocks]]*Table19[[#This Row],[Price]]</f>
        <v>0</v>
      </c>
      <c r="R115" s="36">
        <f ca="1">Table19[[#This Row],[Stock Exposure]]+Table19[[#This Row],[Option Exposure]]</f>
        <v>0</v>
      </c>
      <c r="S115" s="108">
        <f>IFERROR(Table19[[#This Row],[Num of Stocks]]*Table19[[#This Row],[Ave Entry]],"")</f>
        <v>0</v>
      </c>
      <c r="T115" s="39">
        <f ca="1">Table19[[#This Row],[Combined Exposure]]/$C$8</f>
        <v>0</v>
      </c>
    </row>
    <row r="116" spans="1:20">
      <c r="A116" t="e" vm="234">
        <v>#VALUE!</v>
      </c>
      <c r="B116" s="13" t="str" cm="1">
        <f t="array" aca="1" ref="B116" ca="1">_FV(A116,"Ticker symbol",TRUE)</f>
        <v>XPOF</v>
      </c>
      <c r="C116" s="13" t="s">
        <v>358</v>
      </c>
      <c r="D116" s="13" t="s">
        <v>358</v>
      </c>
      <c r="E116" s="19" cm="1">
        <f t="array" aca="1" ref="E116" ca="1">IFERROR(_FV(A116,"Beta"),2)</f>
        <v>1.2726</v>
      </c>
      <c r="F116" s="13" t="str" cm="1">
        <f t="array" aca="1" ref="F116" ca="1">_FV(A116,"Instrument type",TRUE)</f>
        <v>Stock</v>
      </c>
      <c r="G116" s="18" cm="1">
        <f t="array" aca="1" ref="G116" ca="1">_FV(Table19[[#This Row],[Assets]],"Price")</f>
        <v>5.87</v>
      </c>
      <c r="H116" s="36">
        <f>IFERROR(VLOOKUP(Table19[[#This Row],[Assets]],Table25[#All],15,FALSE),"")</f>
        <v>9.08</v>
      </c>
      <c r="I116" s="36">
        <f>IFERROR(VLOOKUP(Table19[[#This Row],[Assets]],Table25[#All],16,FALSE),0)</f>
        <v>-61.440000000000055</v>
      </c>
      <c r="J116" s="84">
        <f ca="1">IFERROR((Table19[[#This Row],[Price]]-Table19[[#This Row],[Ave Entry]])/Table19[[#This Row],[Ave Entry]],"")</f>
        <v>-0.35352422907488984</v>
      </c>
      <c r="K116" s="92">
        <f ca="1">IFERROR((Table19[[#This Row],[Price]]-Table19[[#This Row],[Ave Entry]])*Table19[[#This Row],[Num of Stocks]],0)</f>
        <v>0</v>
      </c>
      <c r="L116" s="38" cm="1">
        <f t="array" aca="1" ref="L116" ca="1">_FV(Table19[[#This Row],[Assets]],"Change (%)",TRUE)</f>
        <v>1.3816999999999999E-2</v>
      </c>
      <c r="M116" s="36">
        <f>SUMIF(Table20[Asset],Table19[[#This Row],[Assets]],Table20[realized_profit])</f>
        <v>0</v>
      </c>
      <c r="N116" s="36">
        <f>SUMIF(Table20[[#All],[Asset]],Table19[[#This Row],[Assets]],Table20[[#All],[delta_exposure]])</f>
        <v>0</v>
      </c>
      <c r="O116" s="38">
        <f ca="1">Table19[[#This Row],[Option Exposure]]/$B$6</f>
        <v>0</v>
      </c>
      <c r="P116" s="51">
        <f>SUMIF(Table25[[#All],[Assets]],Table19[[#This Row],[Assets]],Table25[[#All],[Number of stocks]])</f>
        <v>0</v>
      </c>
      <c r="Q116" s="36">
        <f ca="1">Table19[[#This Row],[Num of Stocks]]*Table19[[#This Row],[Price]]</f>
        <v>0</v>
      </c>
      <c r="R116" s="36">
        <f ca="1">Table19[[#This Row],[Stock Exposure]]+Table19[[#This Row],[Option Exposure]]</f>
        <v>0</v>
      </c>
      <c r="S116" s="108">
        <f>IFERROR(Table19[[#This Row],[Num of Stocks]]*Table19[[#This Row],[Ave Entry]],"")</f>
        <v>0</v>
      </c>
      <c r="T116" s="108">
        <f ca="1">Table19[[#This Row],[Combined Exposure]]/$C$8</f>
        <v>0</v>
      </c>
    </row>
    <row r="117" spans="1:20">
      <c r="A117" t="e" vm="235">
        <v>#VALUE!</v>
      </c>
      <c r="B117" s="13" t="str" cm="1">
        <f t="array" aca="1" ref="B117" ca="1">_FV(A117,"Ticker symbol",TRUE)</f>
        <v>MBOT</v>
      </c>
      <c r="C117" s="13" t="s">
        <v>521</v>
      </c>
      <c r="D117" s="13" t="s">
        <v>53</v>
      </c>
      <c r="E117" s="19" cm="1">
        <f t="array" aca="1" ref="E117" ca="1">IFERROR(_FV(A117,"Beta"),2)</f>
        <v>1.1740999999999999</v>
      </c>
      <c r="F117" s="13" t="str" cm="1">
        <f t="array" aca="1" ref="F117" ca="1">_FV(A117,"Instrument type",TRUE)</f>
        <v>Stock</v>
      </c>
      <c r="G117" s="18" cm="1">
        <f t="array" aca="1" ref="G117" ca="1">_FV(Table19[[#This Row],[Assets]],"Price")</f>
        <v>2.59</v>
      </c>
      <c r="H117" s="36">
        <f>IFERROR(VLOOKUP(Table19[[#This Row],[Assets]],Table25[#All],15,FALSE),"")</f>
        <v>4.25</v>
      </c>
      <c r="I117" s="36">
        <f>IFERROR(VLOOKUP(Table19[[#This Row],[Assets]],Table25[#All],16,FALSE),0)</f>
        <v>-262.5</v>
      </c>
      <c r="J117" s="84">
        <f ca="1">IFERROR((Table19[[#This Row],[Price]]-Table19[[#This Row],[Ave Entry]])/Table19[[#This Row],[Ave Entry]],"")</f>
        <v>-0.39058823529411768</v>
      </c>
      <c r="K117" s="92">
        <f ca="1">IFERROR((Table19[[#This Row],[Price]]-Table19[[#This Row],[Ave Entry]])*Table19[[#This Row],[Num of Stocks]],0)</f>
        <v>0</v>
      </c>
      <c r="L117" s="38" cm="1">
        <f t="array" aca="1" ref="L117" ca="1">_FV(Table19[[#This Row],[Assets]],"Change (%)",TRUE)</f>
        <v>3.6000000000000004E-2</v>
      </c>
      <c r="M117" s="36">
        <f>SUMIF(Table20[Asset],Table19[[#This Row],[Assets]],Table20[realized_profit])</f>
        <v>0</v>
      </c>
      <c r="N117" s="36">
        <f>SUMIF(Table20[[#All],[Asset]],Table19[[#This Row],[Assets]],Table20[[#All],[delta_exposure]])</f>
        <v>0</v>
      </c>
      <c r="O117" s="38">
        <f ca="1">Table19[[#This Row],[Option Exposure]]/$B$6</f>
        <v>0</v>
      </c>
      <c r="P117" s="51">
        <f>SUMIF(Table25[[#All],[Assets]],Table19[[#This Row],[Assets]],Table25[[#All],[Number of stocks]])</f>
        <v>0</v>
      </c>
      <c r="Q117" s="36">
        <f ca="1">Table19[[#This Row],[Num of Stocks]]*Table19[[#This Row],[Price]]</f>
        <v>0</v>
      </c>
      <c r="R117" s="36">
        <f ca="1">Table19[[#This Row],[Stock Exposure]]+Table19[[#This Row],[Option Exposure]]</f>
        <v>0</v>
      </c>
      <c r="S117" s="108">
        <f>IFERROR(Table19[[#This Row],[Num of Stocks]]*Table19[[#This Row],[Ave Entry]],"")</f>
        <v>0</v>
      </c>
      <c r="T117" s="108">
        <f ca="1">Table19[[#This Row],[Combined Exposure]]/$C$8</f>
        <v>0</v>
      </c>
    </row>
    <row r="118" spans="1:20">
      <c r="A118" t="e" vm="236">
        <v>#VALUE!</v>
      </c>
      <c r="B118" s="13" t="str" cm="1">
        <f t="array" aca="1" ref="B118" ca="1">_FV(A118,"Ticker symbol",TRUE)</f>
        <v>ESTC</v>
      </c>
      <c r="C118" s="13" t="s">
        <v>83</v>
      </c>
      <c r="D118" s="13" t="s">
        <v>512</v>
      </c>
      <c r="E118" s="19" cm="1">
        <f t="array" aca="1" ref="E118" ca="1">IFERROR(_FV(A118,"Beta"),2)</f>
        <v>1.0350999999999999</v>
      </c>
      <c r="F118" s="13" t="str" cm="1">
        <f t="array" aca="1" ref="F118" ca="1">_FV(A118,"Instrument type",TRUE)</f>
        <v>Stock</v>
      </c>
      <c r="G118" s="18" cm="1">
        <f t="array" aca="1" ref="G118" ca="1">_FV(Table19[[#This Row],[Assets]],"Price")</f>
        <v>50.6</v>
      </c>
      <c r="H118" s="36">
        <f>IFERROR(VLOOKUP(Table19[[#This Row],[Assets]],Table25[#All],15,FALSE),"")</f>
        <v>102.8425925925926</v>
      </c>
      <c r="I118" s="36">
        <f>IFERROR(VLOOKUP(Table19[[#This Row],[Assets]],Table25[#All],16,FALSE),0)</f>
        <v>-456.16999999999996</v>
      </c>
      <c r="J118" s="84">
        <f ca="1">IFERROR((Table19[[#This Row],[Price]]-Table19[[#This Row],[Ave Entry]])/Table19[[#This Row],[Ave Entry]],"")</f>
        <v>-0.50798595480327724</v>
      </c>
      <c r="K118" s="92">
        <f ca="1">IFERROR((Table19[[#This Row],[Price]]-Table19[[#This Row],[Ave Entry]])*Table19[[#This Row],[Num of Stocks]],0)</f>
        <v>0</v>
      </c>
      <c r="L118" s="38" cm="1">
        <f t="array" aca="1" ref="L118" ca="1">_FV(Table19[[#This Row],[Assets]],"Change (%)",TRUE)</f>
        <v>1.8724000000000001E-2</v>
      </c>
      <c r="M118" s="36">
        <f>SUMIF(Table20[Asset],Table19[[#This Row],[Assets]],Table20[realized_profit])</f>
        <v>0</v>
      </c>
      <c r="N118" s="36">
        <f>SUMIF(Table20[[#All],[Asset]],Table19[[#This Row],[Assets]],Table20[[#All],[delta_exposure]])</f>
        <v>0</v>
      </c>
      <c r="O118" s="38">
        <f ca="1">Table19[[#This Row],[Option Exposure]]/$B$6</f>
        <v>0</v>
      </c>
      <c r="P118" s="51">
        <f>SUMIF(Table25[[#All],[Assets]],Table19[[#This Row],[Assets]],Table25[[#All],[Number of stocks]])</f>
        <v>0</v>
      </c>
      <c r="Q118" s="36">
        <f ca="1">Table19[[#This Row],[Num of Stocks]]*Table19[[#This Row],[Price]]</f>
        <v>0</v>
      </c>
      <c r="R118" s="36">
        <f ca="1">Table19[[#This Row],[Stock Exposure]]+Table19[[#This Row],[Option Exposure]]</f>
        <v>0</v>
      </c>
      <c r="S118" s="108">
        <f>IFERROR(Table19[[#This Row],[Num of Stocks]]*Table19[[#This Row],[Ave Entry]],"")</f>
        <v>0</v>
      </c>
      <c r="T118" s="39">
        <f ca="1">Table19[[#This Row],[Combined Exposure]]/$C$8</f>
        <v>0</v>
      </c>
    </row>
    <row r="119" spans="1:20">
      <c r="A119" t="e" vm="148">
        <v>#VALUE!</v>
      </c>
      <c r="B119" s="13" t="str" cm="1">
        <f t="array" aca="1" ref="B119" ca="1">_FV(A119,"Ticker symbol",TRUE)</f>
        <v>META</v>
      </c>
      <c r="C119" s="13" t="s">
        <v>83</v>
      </c>
      <c r="D119" s="13" t="s">
        <v>29</v>
      </c>
      <c r="E119" s="19" cm="1">
        <f t="array" aca="1" ref="E119" ca="1">IFERROR(_FV(A119,"Beta"),2)</f>
        <v>1.2942</v>
      </c>
      <c r="F119" s="13" t="str" cm="1">
        <f t="array" aca="1" ref="F119" ca="1">_FV(A119,"Instrument type",TRUE)</f>
        <v>Stock</v>
      </c>
      <c r="G119" s="18" cm="1">
        <f t="array" aca="1" ref="G119" ca="1">_FV(Table19[[#This Row],[Assets]],"Price")</f>
        <v>599.32000000000005</v>
      </c>
      <c r="H119" s="36">
        <f>IFERROR(VLOOKUP(Table19[[#This Row],[Assets]],Table25[#All],15,FALSE),"")</f>
        <v>623.85</v>
      </c>
      <c r="I119" s="36">
        <f>IFERROR(VLOOKUP(Table19[[#This Row],[Assets]],Table25[#All],16,FALSE),0)</f>
        <v>55.220000000000027</v>
      </c>
      <c r="J119" s="84">
        <f ca="1">IFERROR((Table19[[#This Row],[Price]]-Table19[[#This Row],[Ave Entry]])/Table19[[#This Row],[Ave Entry]],"")</f>
        <v>-3.9320349442975029E-2</v>
      </c>
      <c r="K119" s="92">
        <f ca="1">IFERROR((Table19[[#This Row],[Price]]-Table19[[#This Row],[Ave Entry]])*Table19[[#This Row],[Num of Stocks]],0)</f>
        <v>0</v>
      </c>
      <c r="L119" s="38" cm="1">
        <f t="array" aca="1" ref="L119" ca="1">_FV(Table19[[#This Row],[Assets]],"Change (%)",TRUE)</f>
        <v>1.0794E-2</v>
      </c>
      <c r="M119" s="36">
        <f>SUMIF(Table20[Asset],Table19[[#This Row],[Assets]],Table20[realized_profit])</f>
        <v>2450</v>
      </c>
      <c r="N119" s="36">
        <f ca="1">SUMIF(Table20[[#All],[Asset]],Table19[[#This Row],[Assets]],Table20[[#All],[delta_exposure]])</f>
        <v>0</v>
      </c>
      <c r="O119" s="38">
        <f ca="1">Table19[[#This Row],[Option Exposure]]/$B$6</f>
        <v>0</v>
      </c>
      <c r="P119" s="51">
        <f>SUMIF(Table25[[#All],[Assets]],Table19[[#This Row],[Assets]],Table25[[#All],[Number of stocks]])</f>
        <v>0</v>
      </c>
      <c r="Q119" s="36">
        <f ca="1">Table19[[#This Row],[Num of Stocks]]*Table19[[#This Row],[Price]]</f>
        <v>0</v>
      </c>
      <c r="R119" s="36">
        <f ca="1">Table19[[#This Row],[Stock Exposure]]+Table19[[#This Row],[Option Exposure]]</f>
        <v>0</v>
      </c>
      <c r="S119" s="108">
        <f>IFERROR(Table19[[#This Row],[Num of Stocks]]*Table19[[#This Row],[Ave Entry]],"")</f>
        <v>0</v>
      </c>
      <c r="T119" s="39">
        <f ca="1">Table19[[#This Row],[Combined Exposure]]/$C$8</f>
        <v>0</v>
      </c>
    </row>
    <row r="120" spans="1:20">
      <c r="A120" t="e" vm="237">
        <v>#VALUE!</v>
      </c>
      <c r="B120" s="13" t="str" cm="1">
        <f t="array" aca="1" ref="B120" ca="1">_FV(A120,"Ticker symbol",TRUE)</f>
        <v>SNWV</v>
      </c>
      <c r="C120" s="13" t="s">
        <v>53</v>
      </c>
      <c r="D120" s="13" t="s">
        <v>551</v>
      </c>
      <c r="E120" s="19" cm="1">
        <f t="array" aca="1" ref="E120" ca="1">IFERROR(_FV(A120,"Beta"),2)</f>
        <v>1.4439</v>
      </c>
      <c r="F120" s="13" t="str" cm="1">
        <f t="array" aca="1" ref="F120" ca="1">_FV(A120,"Instrument type",TRUE)</f>
        <v>Stock</v>
      </c>
      <c r="G120" s="18" cm="1">
        <f t="array" aca="1" ref="G120" ca="1">_FV(Table19[[#This Row],[Assets]],"Price")</f>
        <v>20.78</v>
      </c>
      <c r="H120" s="36">
        <f>IFERROR(VLOOKUP(Table19[[#This Row],[Assets]],Table25[#All],15,FALSE),"")</f>
        <v>39.25</v>
      </c>
      <c r="I120" s="36">
        <f>IFERROR(VLOOKUP(Table19[[#This Row],[Assets]],Table25[#All],16,FALSE),0)</f>
        <v>-72.59000000000006</v>
      </c>
      <c r="J120" s="84">
        <f ca="1">IFERROR((Table19[[#This Row],[Price]]-Table19[[#This Row],[Ave Entry]])/Table19[[#This Row],[Ave Entry]],"")</f>
        <v>-0.47057324840764331</v>
      </c>
      <c r="K120" s="92">
        <f ca="1">IFERROR((Table19[[#This Row],[Price]]-Table19[[#This Row],[Ave Entry]])*Table19[[#This Row],[Num of Stocks]],0)</f>
        <v>0</v>
      </c>
      <c r="L120" s="38" cm="1">
        <f t="array" aca="1" ref="L120" ca="1">_FV(Table19[[#This Row],[Assets]],"Change (%)",TRUE)</f>
        <v>2.9731999999999998E-2</v>
      </c>
      <c r="M120" s="36">
        <f>SUMIF(Table20[Asset],Table19[[#This Row],[Assets]],Table20[realized_profit])</f>
        <v>0</v>
      </c>
      <c r="N120" s="36">
        <f>SUMIF(Table20[[#All],[Asset]],Table19[[#This Row],[Assets]],Table20[[#All],[delta_exposure]])</f>
        <v>0</v>
      </c>
      <c r="O120" s="38">
        <f ca="1">Table19[[#This Row],[Option Exposure]]/$B$6</f>
        <v>0</v>
      </c>
      <c r="P120" s="51">
        <f>SUMIF(Table25[[#All],[Assets]],Table19[[#This Row],[Assets]],Table25[[#All],[Number of stocks]])</f>
        <v>0</v>
      </c>
      <c r="Q120" s="36">
        <f ca="1">Table19[[#This Row],[Num of Stocks]]*Table19[[#This Row],[Price]]</f>
        <v>0</v>
      </c>
      <c r="R120" s="36">
        <f ca="1">Table19[[#This Row],[Stock Exposure]]+Table19[[#This Row],[Option Exposure]]</f>
        <v>0</v>
      </c>
      <c r="S120" s="108">
        <f>IFERROR(Table19[[#This Row],[Num of Stocks]]*Table19[[#This Row],[Ave Entry]],"")</f>
        <v>0</v>
      </c>
      <c r="T120" s="108">
        <f ca="1">Table19[[#This Row],[Combined Exposure]]/$C$8</f>
        <v>0</v>
      </c>
    </row>
    <row r="121" spans="1:20">
      <c r="A121" t="e" vm="238">
        <v>#VALUE!</v>
      </c>
      <c r="B121" s="13" t="str" cm="1">
        <f t="array" aca="1" ref="B121" ca="1">_FV(A121,"Ticker symbol",TRUE)</f>
        <v>AIP</v>
      </c>
      <c r="C121" s="13" t="s">
        <v>84</v>
      </c>
      <c r="D121" s="13" t="s">
        <v>521</v>
      </c>
      <c r="E121" s="19" cm="1">
        <f t="array" aca="1" ref="E121" ca="1">IFERROR(_FV(A121,"Beta"),2)</f>
        <v>1.4336</v>
      </c>
      <c r="F121" s="13" t="str" cm="1">
        <f t="array" aca="1" ref="F121" ca="1">_FV(A121,"Instrument type",TRUE)</f>
        <v>Stock</v>
      </c>
      <c r="G121" s="18" cm="1">
        <f t="array" aca="1" ref="G121" ca="1">_FV(Table19[[#This Row],[Assets]],"Price")</f>
        <v>17.68</v>
      </c>
      <c r="H121" s="36">
        <f>IFERROR(VLOOKUP(Table19[[#This Row],[Assets]],Table25[#All],15,FALSE),"")</f>
        <v>13.32</v>
      </c>
      <c r="I121" s="36">
        <f>IFERROR(VLOOKUP(Table19[[#This Row],[Assets]],Table25[#All],16,FALSE),0)</f>
        <v>-146.54999999999993</v>
      </c>
      <c r="J121" s="84">
        <f ca="1">IFERROR((Table19[[#This Row],[Price]]-Table19[[#This Row],[Ave Entry]])/Table19[[#This Row],[Ave Entry]],"")</f>
        <v>0.32732732732732728</v>
      </c>
      <c r="K121" s="92">
        <f ca="1">IFERROR((Table19[[#This Row],[Price]]-Table19[[#This Row],[Ave Entry]])*Table19[[#This Row],[Num of Stocks]],0)</f>
        <v>0</v>
      </c>
      <c r="L121" s="38" cm="1">
        <f t="array" aca="1" ref="L121" ca="1">_FV(Table19[[#This Row],[Assets]],"Change (%)",TRUE)</f>
        <v>7.6735999999999999E-2</v>
      </c>
      <c r="M121" s="36">
        <f>SUMIF(Table20[Asset],Table19[[#This Row],[Assets]],Table20[realized_profit])</f>
        <v>0</v>
      </c>
      <c r="N121" s="36">
        <f>SUMIF(Table20[[#All],[Asset]],Table19[[#This Row],[Assets]],Table20[[#All],[delta_exposure]])</f>
        <v>0</v>
      </c>
      <c r="O121" s="38">
        <f ca="1">Table19[[#This Row],[Option Exposure]]/$B$6</f>
        <v>0</v>
      </c>
      <c r="P121" s="51">
        <f>SUMIF(Table25[[#All],[Assets]],Table19[[#This Row],[Assets]],Table25[[#All],[Number of stocks]])</f>
        <v>0</v>
      </c>
      <c r="Q121" s="36">
        <f ca="1">Table19[[#This Row],[Num of Stocks]]*Table19[[#This Row],[Price]]</f>
        <v>0</v>
      </c>
      <c r="R121" s="36">
        <f ca="1">Table19[[#This Row],[Stock Exposure]]+Table19[[#This Row],[Option Exposure]]</f>
        <v>0</v>
      </c>
      <c r="S121" s="108">
        <f>IFERROR(Table19[[#This Row],[Num of Stocks]]*Table19[[#This Row],[Ave Entry]],"")</f>
        <v>0</v>
      </c>
      <c r="T121" s="108">
        <f ca="1">Table19[[#This Row],[Combined Exposure]]/$C$8</f>
        <v>0</v>
      </c>
    </row>
    <row r="122" spans="1:20">
      <c r="A122" t="e" vm="239">
        <v>#VALUE!</v>
      </c>
      <c r="B122" s="13" t="str" cm="1">
        <f t="array" aca="1" ref="B122" ca="1">_FV(A122,"Ticker symbol",TRUE)</f>
        <v>U</v>
      </c>
      <c r="C122" s="13" t="s">
        <v>29</v>
      </c>
      <c r="D122" s="13" t="s">
        <v>121</v>
      </c>
      <c r="E122" s="19" cm="1">
        <f t="array" aca="1" ref="E122" ca="1">IFERROR(_FV(A122,"Beta"),2)</f>
        <v>2.117</v>
      </c>
      <c r="F122" s="13" t="str" cm="1">
        <f t="array" aca="1" ref="F122" ca="1">_FV(A122,"Instrument type",TRUE)</f>
        <v>Stock</v>
      </c>
      <c r="G122" s="18" cm="1">
        <f t="array" aca="1" ref="G122" ca="1">_FV(Table19[[#This Row],[Assets]],"Price")</f>
        <v>18.155000000000001</v>
      </c>
      <c r="H122" s="36">
        <f>IFERROR(VLOOKUP(Table19[[#This Row],[Assets]],Table25[#All],15,FALSE),"")</f>
        <v>28.535555555555554</v>
      </c>
      <c r="I122" s="36">
        <f>IFERROR(VLOOKUP(Table19[[#This Row],[Assets]],Table25[#All],16,FALSE),0)</f>
        <v>62.600000000000193</v>
      </c>
      <c r="J122" s="84">
        <f ca="1">IFERROR((Table19[[#This Row],[Price]]-Table19[[#This Row],[Ave Entry]])/Table19[[#This Row],[Ave Entry]],"")</f>
        <v>-0.36377618565532271</v>
      </c>
      <c r="K122" s="92">
        <f ca="1">IFERROR((Table19[[#This Row],[Price]]-Table19[[#This Row],[Ave Entry]])*Table19[[#This Row],[Num of Stocks]],0)</f>
        <v>0</v>
      </c>
      <c r="L122" s="38" cm="1">
        <f t="array" aca="1" ref="L122" ca="1">_FV(Table19[[#This Row],[Assets]],"Change (%)",TRUE)</f>
        <v>8.2689999999999999E-4</v>
      </c>
      <c r="M122" s="36">
        <f>SUMIF(Table20[Asset],Table19[[#This Row],[Assets]],Table20[realized_profit])</f>
        <v>85.999999999999986</v>
      </c>
      <c r="N122" s="36">
        <f ca="1">SUMIF(Table20[[#All],[Asset]],Table19[[#This Row],[Assets]],Table20[[#All],[delta_exposure]])</f>
        <v>0</v>
      </c>
      <c r="O122" s="98">
        <f ca="1">Table19[[#This Row],[Option Exposure]]/$B$6</f>
        <v>0</v>
      </c>
      <c r="P122" s="51">
        <f>SUMIF(Table25[[#All],[Assets]],Table19[[#This Row],[Assets]],Table25[[#All],[Number of stocks]])</f>
        <v>0</v>
      </c>
      <c r="Q122" s="36">
        <f ca="1">Table19[[#This Row],[Num of Stocks]]*Table19[[#This Row],[Price]]</f>
        <v>0</v>
      </c>
      <c r="R122" s="36">
        <f ca="1">Table19[[#This Row],[Stock Exposure]]+Table19[[#This Row],[Option Exposure]]</f>
        <v>0</v>
      </c>
      <c r="S122" s="108">
        <f>IFERROR(Table19[[#This Row],[Num of Stocks]]*Table19[[#This Row],[Ave Entry]],"")</f>
        <v>0</v>
      </c>
      <c r="T122" s="39">
        <f ca="1">Table19[[#This Row],[Combined Exposure]]/$C$8</f>
        <v>0</v>
      </c>
    </row>
    <row r="123" spans="1:20">
      <c r="A123" t="e" vm="51">
        <v>#VALUE!</v>
      </c>
      <c r="B123" s="13" t="str" cm="1">
        <f t="array" aca="1" ref="B123" ca="1">_FV(A123,"Ticker symbol",TRUE)</f>
        <v>CEG</v>
      </c>
      <c r="C123" s="13" t="s">
        <v>58</v>
      </c>
      <c r="D123" s="13" t="s">
        <v>58</v>
      </c>
      <c r="E123" s="19" cm="1">
        <f t="array" aca="1" ref="E123" ca="1">IFERROR(_FV(A123,"Beta"),2)</f>
        <v>1.1581999999999999</v>
      </c>
      <c r="F123" s="13" t="str" cm="1">
        <f t="array" aca="1" ref="F123" ca="1">_FV(A123,"Instrument type",TRUE)</f>
        <v>Stock</v>
      </c>
      <c r="G123" s="18" cm="1">
        <f t="array" aca="1" ref="G123" ca="1">_FV(Table19[[#This Row],[Assets]],"Price")</f>
        <v>305.33</v>
      </c>
      <c r="H123" s="36">
        <f>IFERROR(VLOOKUP(Table19[[#This Row],[Assets]],Table25[#All],15,FALSE),"")</f>
        <v>285.55</v>
      </c>
      <c r="I123" s="36">
        <f>IFERROR(VLOOKUP(Table19[[#This Row],[Assets]],Table25[#All],16,FALSE),0)</f>
        <v>189.48000000000002</v>
      </c>
      <c r="J123" s="84">
        <f ca="1">IFERROR((Table19[[#This Row],[Price]]-Table19[[#This Row],[Ave Entry]])/Table19[[#This Row],[Ave Entry]],"")</f>
        <v>6.9269830152337494E-2</v>
      </c>
      <c r="K123" s="92">
        <f ca="1">IFERROR((Table19[[#This Row],[Price]]-Table19[[#This Row],[Ave Entry]])*Table19[[#This Row],[Num of Stocks]],0)</f>
        <v>0</v>
      </c>
      <c r="L123" s="38" cm="1">
        <f t="array" aca="1" ref="L123" ca="1">_FV(Table19[[#This Row],[Assets]],"Change (%)",TRUE)</f>
        <v>3.5542999999999998E-2</v>
      </c>
      <c r="M123" s="36">
        <f>SUMIF(Table20[Asset],Table19[[#This Row],[Assets]],Table20[realized_profit])</f>
        <v>0</v>
      </c>
      <c r="N123" s="36">
        <f>SUMIF(Table20[[#All],[Asset]],Table19[[#This Row],[Assets]],Table20[[#All],[delta_exposure]])</f>
        <v>0</v>
      </c>
      <c r="O123" s="38">
        <f ca="1">Table19[[#This Row],[Option Exposure]]/$B$6</f>
        <v>0</v>
      </c>
      <c r="P123" s="51">
        <f>SUMIF(Table25[[#All],[Assets]],Table19[[#This Row],[Assets]],Table25[[#All],[Number of stocks]])</f>
        <v>0</v>
      </c>
      <c r="Q123" s="36">
        <f ca="1">Table19[[#This Row],[Num of Stocks]]*Table19[[#This Row],[Price]]</f>
        <v>0</v>
      </c>
      <c r="R123" s="36">
        <f ca="1">Table19[[#This Row],[Stock Exposure]]+Table19[[#This Row],[Option Exposure]]</f>
        <v>0</v>
      </c>
      <c r="S123" s="108">
        <f>IFERROR(Table19[[#This Row],[Num of Stocks]]*Table19[[#This Row],[Ave Entry]],"")</f>
        <v>0</v>
      </c>
      <c r="T123" s="39">
        <f ca="1">Table19[[#This Row],[Combined Exposure]]/$C$8</f>
        <v>0</v>
      </c>
    </row>
    <row r="124" spans="1:20">
      <c r="A124" t="e" vm="159">
        <v>#VALUE!</v>
      </c>
      <c r="B124" s="13" t="str" cm="1">
        <f t="array" aca="1" ref="B124" ca="1">_FV(A124,"Ticker symbol",TRUE)</f>
        <v>BABA</v>
      </c>
      <c r="C124" s="13" t="s">
        <v>30</v>
      </c>
      <c r="D124" s="13" t="s">
        <v>30</v>
      </c>
      <c r="E124" s="19" cm="1">
        <f t="array" aca="1" ref="E124" ca="1">IFERROR(_FV(A124,"Beta"),2)</f>
        <v>0.49130000000000001</v>
      </c>
      <c r="F124" s="13" t="str" cm="1">
        <f t="array" aca="1" ref="F124" ca="1">_FV(A124,"Instrument type",TRUE)</f>
        <v>Stock</v>
      </c>
      <c r="G124" s="18" cm="1">
        <f t="array" aca="1" ref="G124" ca="1">_FV(Table19[[#This Row],[Assets]],"Price")</f>
        <v>129.63999999999999</v>
      </c>
      <c r="H124" s="36">
        <f>IFERROR(VLOOKUP(Table19[[#This Row],[Assets]],Table25[#All],15,FALSE),"")</f>
        <v>97.918125000000003</v>
      </c>
      <c r="I124" s="36">
        <f>IFERROR(VLOOKUP(Table19[[#This Row],[Assets]],Table25[#All],16,FALSE),0)</f>
        <v>4614.8999999999978</v>
      </c>
      <c r="J124" s="84">
        <f ca="1">IFERROR((Table19[[#This Row],[Price]]-Table19[[#This Row],[Ave Entry]])/Table19[[#This Row],[Ave Entry]],"")</f>
        <v>0.3239632601216576</v>
      </c>
      <c r="K124" s="92">
        <f ca="1">IFERROR((Table19[[#This Row],[Price]]-Table19[[#This Row],[Ave Entry]])*Table19[[#This Row],[Num of Stocks]],0)</f>
        <v>0</v>
      </c>
      <c r="L124" s="38" cm="1">
        <f t="array" aca="1" ref="L124" ca="1">_FV(Table19[[#This Row],[Assets]],"Change (%)",TRUE)</f>
        <v>3.3153000000000002E-2</v>
      </c>
      <c r="M124" s="36">
        <f>SUMIF(Table20[Asset],Table19[[#This Row],[Assets]],Table20[realized_profit])</f>
        <v>5855</v>
      </c>
      <c r="N124" s="36">
        <f ca="1">SUMIF(Table20[[#All],[Asset]],Table19[[#This Row],[Assets]],Table20[[#All],[delta_exposure]])</f>
        <v>0</v>
      </c>
      <c r="O124" s="98">
        <f ca="1">Table19[[#This Row],[Option Exposure]]/$B$6</f>
        <v>0</v>
      </c>
      <c r="P124" s="51">
        <f>SUMIF(Table25[[#All],[Assets]],Table19[[#This Row],[Assets]],Table25[[#All],[Number of stocks]])</f>
        <v>0</v>
      </c>
      <c r="Q124" s="36">
        <f ca="1">Table19[[#This Row],[Num of Stocks]]*Table19[[#This Row],[Price]]</f>
        <v>0</v>
      </c>
      <c r="R124" s="36">
        <f ca="1">Table19[[#This Row],[Stock Exposure]]+Table19[[#This Row],[Option Exposure]]</f>
        <v>0</v>
      </c>
      <c r="S124" s="108">
        <f>IFERROR(Table19[[#This Row],[Num of Stocks]]*Table19[[#This Row],[Ave Entry]],"")</f>
        <v>0</v>
      </c>
      <c r="T124" s="39">
        <f ca="1">Table19[[#This Row],[Combined Exposure]]/$C$8</f>
        <v>0</v>
      </c>
    </row>
    <row r="125" spans="1:20">
      <c r="A125" t="e" vm="240">
        <v>#VALUE!</v>
      </c>
      <c r="B125" s="13" t="str" cm="1">
        <f t="array" aca="1" ref="B125" ca="1">_FV(A125,"Ticker symbol",TRUE)</f>
        <v>SBSW</v>
      </c>
      <c r="C125" s="13" t="s">
        <v>26</v>
      </c>
      <c r="D125" s="13" t="s">
        <v>25</v>
      </c>
      <c r="E125" s="19" cm="1">
        <f t="array" aca="1" ref="E125" ca="1">IFERROR(_FV(A125,"Beta"),2)</f>
        <v>0.8004</v>
      </c>
      <c r="F125" s="13" t="str" cm="1">
        <f t="array" aca="1" ref="F125" ca="1">_FV(A125,"Instrument type",TRUE)</f>
        <v>Stock</v>
      </c>
      <c r="G125" s="18" cm="1">
        <f t="array" aca="1" ref="G125" ca="1">_FV(Table19[[#This Row],[Assets]],"Price")</f>
        <v>12.03</v>
      </c>
      <c r="H125" s="36">
        <f>IFERROR(VLOOKUP(Table19[[#This Row],[Assets]],Table25[#All],15,FALSE),"")</f>
        <v>8.8454545454545457</v>
      </c>
      <c r="I125" s="36">
        <f>IFERROR(VLOOKUP(Table19[[#This Row],[Assets]],Table25[#All],16,FALSE),0)</f>
        <v>-319.64818181818191</v>
      </c>
      <c r="J125" s="84">
        <f ca="1">IFERROR((Table19[[#This Row],[Price]]-Table19[[#This Row],[Ave Entry]])/Table19[[#This Row],[Ave Entry]],"")</f>
        <v>0.36002055498458363</v>
      </c>
      <c r="K125" s="92">
        <f ca="1">IFERROR((Table19[[#This Row],[Price]]-Table19[[#This Row],[Ave Entry]])*Table19[[#This Row],[Num of Stocks]],0)</f>
        <v>152.85818181818178</v>
      </c>
      <c r="L125" s="38" cm="1">
        <f t="array" aca="1" ref="L125" ca="1">_FV(Table19[[#This Row],[Assets]],"Change (%)",TRUE)</f>
        <v>4.8822999999999998E-2</v>
      </c>
      <c r="M125" s="36">
        <f>SUMIF(Table20[Asset],Table19[[#This Row],[Assets]],Table20[realized_profit])</f>
        <v>-616</v>
      </c>
      <c r="N125" s="36">
        <f ca="1">SUMIF(Table20[[#All],[Asset]],Table19[[#This Row],[Assets]],Table20[[#All],[delta_exposure]])</f>
        <v>0</v>
      </c>
      <c r="O125" s="98">
        <f ca="1">Table19[[#This Row],[Option Exposure]]/$B$6</f>
        <v>0</v>
      </c>
      <c r="P125" s="51">
        <f>SUMIF(Table25[[#All],[Assets]],Table19[[#This Row],[Assets]],Table25[[#All],[Number of stocks]])</f>
        <v>48</v>
      </c>
      <c r="Q125" s="36">
        <f ca="1">Table19[[#This Row],[Num of Stocks]]*Table19[[#This Row],[Price]]</f>
        <v>577.43999999999994</v>
      </c>
      <c r="R125" s="36">
        <f ca="1">Table19[[#This Row],[Stock Exposure]]+Table19[[#This Row],[Option Exposure]]</f>
        <v>577.43999999999994</v>
      </c>
      <c r="S125" s="108">
        <f>IFERROR(Table19[[#This Row],[Num of Stocks]]*Table19[[#This Row],[Ave Entry]],"")</f>
        <v>424.58181818181822</v>
      </c>
      <c r="T125" s="39">
        <f ca="1">Table19[[#This Row],[Combined Exposure]]/$C$8</f>
        <v>3.6396622580235111E-3</v>
      </c>
    </row>
    <row r="126" spans="1:20">
      <c r="A126" t="e" vm="10">
        <v>#VALUE!</v>
      </c>
      <c r="B126" s="13" t="str" cm="1">
        <f t="array" aca="1" ref="B126" ca="1">_FV(A126,"Ticker symbol",TRUE)</f>
        <v>ESLT</v>
      </c>
      <c r="C126" s="13" t="s">
        <v>38</v>
      </c>
      <c r="D126" s="13" t="s">
        <v>513</v>
      </c>
      <c r="E126" s="19" cm="1">
        <f t="array" aca="1" ref="E126" ca="1">IFERROR(_FV(A126,"Beta"),2)</f>
        <v>0.46439999999999998</v>
      </c>
      <c r="F126" s="13" t="str" cm="1">
        <f t="array" aca="1" ref="F126" ca="1">_FV(A126,"Instrument type",TRUE)</f>
        <v>Stock</v>
      </c>
      <c r="G126" s="18" cm="1">
        <f t="array" aca="1" ref="G126" ca="1">_FV(Table19[[#This Row],[Assets]],"Price")</f>
        <v>907.23</v>
      </c>
      <c r="H126" s="36">
        <f>IFERROR(VLOOKUP(Table19[[#This Row],[Assets]],Table25[#All],15,FALSE),"")</f>
        <v>317.86</v>
      </c>
      <c r="I126" s="36">
        <f>IFERROR(VLOOKUP(Table19[[#This Row],[Assets]],Table25[#All],16,FALSE),0)</f>
        <v>1.7300000000000182</v>
      </c>
      <c r="J126" s="84">
        <f ca="1">IFERROR((Table19[[#This Row],[Price]]-Table19[[#This Row],[Ave Entry]])/Table19[[#This Row],[Ave Entry]],"")</f>
        <v>1.8541810860127099</v>
      </c>
      <c r="K126" s="92">
        <f ca="1">IFERROR((Table19[[#This Row],[Price]]-Table19[[#This Row],[Ave Entry]])*Table19[[#This Row],[Num of Stocks]],0)</f>
        <v>0</v>
      </c>
      <c r="L126" s="38" cm="1">
        <f t="array" aca="1" ref="L126" ca="1">_FV(Table19[[#This Row],[Assets]],"Change (%)",TRUE)</f>
        <v>1.3891000000000001E-2</v>
      </c>
      <c r="M126" s="36">
        <f>SUMIF(Table20[Asset],Table19[[#This Row],[Assets]],Table20[realized_profit])</f>
        <v>0</v>
      </c>
      <c r="N126" s="36">
        <f>SUMIF(Table20[[#All],[Asset]],Table19[[#This Row],[Assets]],Table20[[#All],[delta_exposure]])</f>
        <v>0</v>
      </c>
      <c r="O126" s="98">
        <f ca="1">Table19[[#This Row],[Option Exposure]]/$B$6</f>
        <v>0</v>
      </c>
      <c r="P126" s="51">
        <f>SUMIF(Table25[[#All],[Assets]],Table19[[#This Row],[Assets]],Table25[[#All],[Number of stocks]])</f>
        <v>0</v>
      </c>
      <c r="Q126" s="36">
        <f ca="1">Table19[[#This Row],[Num of Stocks]]*Table19[[#This Row],[Price]]</f>
        <v>0</v>
      </c>
      <c r="R126" s="36">
        <f ca="1">Table19[[#This Row],[Stock Exposure]]+Table19[[#This Row],[Option Exposure]]</f>
        <v>0</v>
      </c>
      <c r="S126" s="108">
        <f>IFERROR(Table19[[#This Row],[Num of Stocks]]*Table19[[#This Row],[Ave Entry]],"")</f>
        <v>0</v>
      </c>
      <c r="T126" s="39">
        <f ca="1">Table19[[#This Row],[Combined Exposure]]/$C$8</f>
        <v>0</v>
      </c>
    </row>
    <row r="127" spans="1:20">
      <c r="A127" t="e" vm="241">
        <v>#VALUE!</v>
      </c>
      <c r="B127" s="13" t="str" cm="1">
        <f t="array" aca="1" ref="B127" ca="1">_FV(A127,"Ticker symbol",TRUE)</f>
        <v>LMT</v>
      </c>
      <c r="C127" s="13" t="s">
        <v>38</v>
      </c>
      <c r="D127" s="13" t="s">
        <v>38</v>
      </c>
      <c r="E127" s="19" cm="1">
        <f t="array" aca="1" ref="E127" ca="1">IFERROR(_FV(A127,"Beta"),2)</f>
        <v>0.2336</v>
      </c>
      <c r="F127" s="13" t="str" cm="1">
        <f t="array" aca="1" ref="F127" ca="1">_FV(A127,"Instrument type",TRUE)</f>
        <v>Stock</v>
      </c>
      <c r="G127" s="18" cm="1">
        <f t="array" aca="1" ref="G127" ca="1">_FV(Table19[[#This Row],[Assets]],"Price")</f>
        <v>621.16999999999996</v>
      </c>
      <c r="H127" s="36">
        <f>IFERROR(VLOOKUP(Table19[[#This Row],[Assets]],Table25[#All],15,FALSE),"")</f>
        <v>418.6</v>
      </c>
      <c r="I127" s="36">
        <f>IFERROR(VLOOKUP(Table19[[#This Row],[Assets]],Table25[#All],16,FALSE),0)</f>
        <v>53.089999999999975</v>
      </c>
      <c r="J127" s="84">
        <f ca="1">IFERROR((Table19[[#This Row],[Price]]-Table19[[#This Row],[Ave Entry]])/Table19[[#This Row],[Ave Entry]],"")</f>
        <v>0.48392259913999025</v>
      </c>
      <c r="K127" s="92">
        <f ca="1">IFERROR((Table19[[#This Row],[Price]]-Table19[[#This Row],[Ave Entry]])*Table19[[#This Row],[Num of Stocks]],0)</f>
        <v>0</v>
      </c>
      <c r="L127" s="38" cm="1">
        <f t="array" aca="1" ref="L127" ca="1">_FV(Table19[[#This Row],[Assets]],"Change (%)",TRUE)</f>
        <v>1.8027999999999999E-2</v>
      </c>
      <c r="M127" s="36">
        <f>SUMIF(Table20[Asset],Table19[[#This Row],[Assets]],Table20[realized_profit])</f>
        <v>0</v>
      </c>
      <c r="N127" s="36">
        <f>SUMIF(Table20[[#All],[Asset]],Table19[[#This Row],[Assets]],Table20[[#All],[delta_exposure]])</f>
        <v>0</v>
      </c>
      <c r="O127" s="38">
        <f ca="1">Table19[[#This Row],[Option Exposure]]/$B$6</f>
        <v>0</v>
      </c>
      <c r="P127" s="51">
        <f>SUMIF(Table25[[#All],[Assets]],Table19[[#This Row],[Assets]],Table25[[#All],[Number of stocks]])</f>
        <v>0</v>
      </c>
      <c r="Q127" s="36">
        <f ca="1">Table19[[#This Row],[Num of Stocks]]*Table19[[#This Row],[Price]]</f>
        <v>0</v>
      </c>
      <c r="R127" s="36">
        <f ca="1">Table19[[#This Row],[Stock Exposure]]+Table19[[#This Row],[Option Exposure]]</f>
        <v>0</v>
      </c>
      <c r="S127" s="108">
        <f>IFERROR(Table19[[#This Row],[Num of Stocks]]*Table19[[#This Row],[Ave Entry]],"")</f>
        <v>0</v>
      </c>
      <c r="T127" s="108">
        <f ca="1">Table19[[#This Row],[Combined Exposure]]/$C$8</f>
        <v>0</v>
      </c>
    </row>
    <row r="128" spans="1:20">
      <c r="A128" t="e" vm="242">
        <v>#VALUE!</v>
      </c>
      <c r="B128" s="13" t="str" cm="1">
        <f t="array" aca="1" ref="B128" ca="1">_FV(A128,"Ticker symbol",TRUE)</f>
        <v>RKT</v>
      </c>
      <c r="C128" s="13" t="s">
        <v>132</v>
      </c>
      <c r="D128" s="13" t="s">
        <v>132</v>
      </c>
      <c r="E128" s="19" cm="1">
        <f t="array" aca="1" ref="E128" ca="1">IFERROR(_FV(A128,"Beta"),2)</f>
        <v>2.3475999999999999</v>
      </c>
      <c r="F128" s="13" t="str" cm="1">
        <f t="array" aca="1" ref="F128" ca="1">_FV(A128,"Instrument type",TRUE)</f>
        <v>Stock</v>
      </c>
      <c r="G128" s="18" cm="1">
        <f t="array" aca="1" ref="G128" ca="1">_FV(Table19[[#This Row],[Assets]],"Price")</f>
        <v>14.315</v>
      </c>
      <c r="H128" s="36">
        <f>IFERROR(VLOOKUP(Table19[[#This Row],[Assets]],Table25[#All],15,FALSE),"")</f>
        <v>19.275948275862071</v>
      </c>
      <c r="I128" s="36">
        <f>IFERROR(VLOOKUP(Table19[[#This Row],[Assets]],Table25[#All],16,FALSE),0)</f>
        <v>-288.91000000000008</v>
      </c>
      <c r="J128" s="84">
        <f ca="1">IFERROR((Table19[[#This Row],[Price]]-Table19[[#This Row],[Ave Entry]])/Table19[[#This Row],[Ave Entry]],"")</f>
        <v>-0.25736468083774233</v>
      </c>
      <c r="K128" s="92">
        <f ca="1">IFERROR((Table19[[#This Row],[Price]]-Table19[[#This Row],[Ave Entry]])*Table19[[#This Row],[Num of Stocks]],0)</f>
        <v>0</v>
      </c>
      <c r="L128" s="38" cm="1">
        <f t="array" aca="1" ref="L128" ca="1">_FV(Table19[[#This Row],[Assets]],"Change (%)",TRUE)</f>
        <v>1.0233000000000001E-2</v>
      </c>
      <c r="M128" s="36">
        <f>SUMIF(Table20[Asset],Table19[[#This Row],[Assets]],Table20[realized_profit])</f>
        <v>0</v>
      </c>
      <c r="N128" s="36">
        <f>SUMIF(Table20[[#All],[Asset]],Table19[[#This Row],[Assets]],Table20[[#All],[delta_exposure]])</f>
        <v>0</v>
      </c>
      <c r="O128" s="38">
        <f ca="1">Table19[[#This Row],[Option Exposure]]/$B$6</f>
        <v>0</v>
      </c>
      <c r="P128" s="51">
        <f>SUMIF(Table25[[#All],[Assets]],Table19[[#This Row],[Assets]],Table25[[#All],[Number of stocks]])</f>
        <v>0</v>
      </c>
      <c r="Q128" s="36">
        <f ca="1">Table19[[#This Row],[Num of Stocks]]*Table19[[#This Row],[Price]]</f>
        <v>0</v>
      </c>
      <c r="R128" s="36">
        <f ca="1">Table19[[#This Row],[Stock Exposure]]+Table19[[#This Row],[Option Exposure]]</f>
        <v>0</v>
      </c>
      <c r="S128" s="108">
        <f>IFERROR(Table19[[#This Row],[Num of Stocks]]*Table19[[#This Row],[Ave Entry]],"")</f>
        <v>0</v>
      </c>
      <c r="T128" s="108">
        <f ca="1">Table19[[#This Row],[Combined Exposure]]/$C$8</f>
        <v>0</v>
      </c>
    </row>
    <row r="129" spans="1:20">
      <c r="A129" t="e" vm="243">
        <v>#VALUE!</v>
      </c>
      <c r="B129" s="13" t="str" cm="1">
        <f t="array" aca="1" ref="B129" ca="1">_FV(A129,"Ticker symbol",TRUE)</f>
        <v>CRWD</v>
      </c>
      <c r="C129" s="13" t="s">
        <v>158</v>
      </c>
      <c r="D129" s="13" t="s">
        <v>302</v>
      </c>
      <c r="E129" s="19" cm="1">
        <f t="array" aca="1" ref="E129" ca="1">IFERROR(_FV(A129,"Beta"),2)</f>
        <v>1.0747</v>
      </c>
      <c r="F129" s="13" t="str" cm="1">
        <f t="array" aca="1" ref="F129" ca="1">_FV(A129,"Instrument type",TRUE)</f>
        <v>Stock</v>
      </c>
      <c r="G129" s="18" cm="1">
        <f t="array" aca="1" ref="G129" ca="1">_FV(Table19[[#This Row],[Assets]],"Price")</f>
        <v>397.29500000000002</v>
      </c>
      <c r="H129" s="36">
        <f>IFERROR(VLOOKUP(Table19[[#This Row],[Assets]],Table25[#All],15,FALSE),"")</f>
        <v>429.27</v>
      </c>
      <c r="I129" s="36">
        <f>IFERROR(VLOOKUP(Table19[[#This Row],[Assets]],Table25[#All],16,FALSE),0)</f>
        <v>69.980000000000018</v>
      </c>
      <c r="J129" s="84">
        <f ca="1">IFERROR((Table19[[#This Row],[Price]]-Table19[[#This Row],[Ave Entry]])/Table19[[#This Row],[Ave Entry]],"")</f>
        <v>-7.4486919654296754E-2</v>
      </c>
      <c r="K129" s="92">
        <f ca="1">IFERROR((Table19[[#This Row],[Price]]-Table19[[#This Row],[Ave Entry]])*Table19[[#This Row],[Num of Stocks]],0)</f>
        <v>0</v>
      </c>
      <c r="L129" s="38" cm="1">
        <f t="array" aca="1" ref="L129" ca="1">_FV(Table19[[#This Row],[Assets]],"Change (%)",TRUE)</f>
        <v>1.0953999999999998E-2</v>
      </c>
      <c r="M129" s="36">
        <f>SUMIF(Table20[Asset],Table19[[#This Row],[Assets]],Table20[realized_profit])</f>
        <v>-143.00000000000003</v>
      </c>
      <c r="N129" s="36">
        <f ca="1">SUMIF(Table20[[#All],[Asset]],Table19[[#This Row],[Assets]],Table20[[#All],[delta_exposure]])</f>
        <v>0</v>
      </c>
      <c r="O129" s="98">
        <f ca="1">Table19[[#This Row],[Option Exposure]]/$B$6</f>
        <v>0</v>
      </c>
      <c r="P129" s="51">
        <f>SUMIF(Table25[[#All],[Assets]],Table19[[#This Row],[Assets]],Table25[[#All],[Number of stocks]])</f>
        <v>0</v>
      </c>
      <c r="Q129" s="36">
        <f ca="1">Table19[[#This Row],[Num of Stocks]]*Table19[[#This Row],[Price]]</f>
        <v>0</v>
      </c>
      <c r="R129" s="36">
        <f ca="1">Table19[[#This Row],[Stock Exposure]]+Table19[[#This Row],[Option Exposure]]</f>
        <v>0</v>
      </c>
      <c r="S129" s="108">
        <f>IFERROR(Table19[[#This Row],[Num of Stocks]]*Table19[[#This Row],[Ave Entry]],"")</f>
        <v>0</v>
      </c>
      <c r="T129" s="39">
        <f ca="1">Table19[[#This Row],[Combined Exposure]]/$C$8</f>
        <v>0</v>
      </c>
    </row>
    <row r="130" spans="1:20">
      <c r="A130" t="e" vm="82">
        <v>#VALUE!</v>
      </c>
      <c r="B130" s="13" t="str" cm="1">
        <f t="array" aca="1" ref="B130" ca="1">_FV(A130,"Ticker symbol",TRUE)</f>
        <v>XYZ</v>
      </c>
      <c r="C130" s="13" t="s">
        <v>54</v>
      </c>
      <c r="D130" s="13" t="s">
        <v>457</v>
      </c>
      <c r="E130" s="19" cm="1">
        <f t="array" aca="1" ref="E130" ca="1">IFERROR(_FV(A130,"Beta"),2)</f>
        <v>2.6244000000000001</v>
      </c>
      <c r="F130" s="13" t="str" cm="1">
        <f t="array" aca="1" ref="F130" ca="1">_FV(A130,"Instrument type",TRUE)</f>
        <v>Stock</v>
      </c>
      <c r="G130" s="18" cm="1">
        <f t="array" aca="1" ref="G130" ca="1">_FV(Table19[[#This Row],[Assets]],"Price")</f>
        <v>61.17</v>
      </c>
      <c r="H130" s="36">
        <f>IFERROR(VLOOKUP(Table19[[#This Row],[Assets]],Table25[#All],15,FALSE),"")</f>
        <v>72.898285714285706</v>
      </c>
      <c r="I130" s="36">
        <f>IFERROR(VLOOKUP(Table19[[#This Row],[Assets]],Table25[#All],16,FALSE),0)</f>
        <v>87.630000000000834</v>
      </c>
      <c r="J130" s="84">
        <f ca="1">IFERROR((Table19[[#This Row],[Price]]-Table19[[#This Row],[Ave Entry]])/Table19[[#This Row],[Ave Entry]],"")</f>
        <v>-0.16088561753362796</v>
      </c>
      <c r="K130" s="92">
        <f ca="1">IFERROR((Table19[[#This Row],[Price]]-Table19[[#This Row],[Ave Entry]])*Table19[[#This Row],[Num of Stocks]],0)</f>
        <v>0</v>
      </c>
      <c r="L130" s="38" cm="1">
        <f t="array" aca="1" ref="L130" ca="1">_FV(Table19[[#This Row],[Assets]],"Change (%)",TRUE)</f>
        <v>2.1373000000000003E-2</v>
      </c>
      <c r="M130" s="36">
        <f>SUMIF(Table20[Asset],Table19[[#This Row],[Assets]],Table20[realized_profit])</f>
        <v>-729</v>
      </c>
      <c r="N130" s="36">
        <f ca="1">SUMIF(Table20[[#All],[Asset]],Table19[[#This Row],[Assets]],Table20[[#All],[delta_exposure]])</f>
        <v>0</v>
      </c>
      <c r="O130" s="38">
        <f ca="1">Table19[[#This Row],[Option Exposure]]/$B$6</f>
        <v>0</v>
      </c>
      <c r="P130" s="51">
        <f>SUMIF(Table25[[#All],[Assets]],Table19[[#This Row],[Assets]],Table25[[#All],[Number of stocks]])</f>
        <v>0</v>
      </c>
      <c r="Q130" s="36">
        <f ca="1">Table19[[#This Row],[Num of Stocks]]*Table19[[#This Row],[Price]]</f>
        <v>0</v>
      </c>
      <c r="R130" s="36">
        <f ca="1">Table19[[#This Row],[Stock Exposure]]+Table19[[#This Row],[Option Exposure]]</f>
        <v>0</v>
      </c>
      <c r="S130" s="108">
        <f>IFERROR(Table19[[#This Row],[Num of Stocks]]*Table19[[#This Row],[Ave Entry]],"")</f>
        <v>0</v>
      </c>
      <c r="T130" s="39">
        <f ca="1">Table19[[#This Row],[Combined Exposure]]/$C$8</f>
        <v>0</v>
      </c>
    </row>
    <row r="131" spans="1:20">
      <c r="A131" t="e" vm="244">
        <v>#VALUE!</v>
      </c>
      <c r="B131" s="13" t="str" cm="1">
        <f t="array" aca="1" ref="B131" ca="1">_FV(A131,"Ticker symbol",TRUE)</f>
        <v>APYX</v>
      </c>
      <c r="C131" s="13" t="s">
        <v>53</v>
      </c>
      <c r="D131" s="13" t="s">
        <v>547</v>
      </c>
      <c r="E131" s="19" cm="1">
        <f t="array" aca="1" ref="E131" ca="1">IFERROR(_FV(A131,"Beta"),2)</f>
        <v>1.5154000000000001</v>
      </c>
      <c r="F131" s="13" t="str" cm="1">
        <f t="array" aca="1" ref="F131" ca="1">_FV(A131,"Instrument type",TRUE)</f>
        <v>Stock</v>
      </c>
      <c r="G131" s="18" cm="1">
        <f t="array" aca="1" ref="G131" ca="1">_FV(Table19[[#This Row],[Assets]],"Price")</f>
        <v>3.95</v>
      </c>
      <c r="H131" s="36">
        <f>IFERROR(VLOOKUP(Table19[[#This Row],[Assets]],Table25[#All],15,FALSE),"")</f>
        <v>2.54</v>
      </c>
      <c r="I131" s="36">
        <f>IFERROR(VLOOKUP(Table19[[#This Row],[Assets]],Table25[#All],16,FALSE),0)</f>
        <v>-111.25000000000006</v>
      </c>
      <c r="J131" s="84">
        <f ca="1">IFERROR((Table19[[#This Row],[Price]]-Table19[[#This Row],[Ave Entry]])/Table19[[#This Row],[Ave Entry]],"")</f>
        <v>0.55511811023622049</v>
      </c>
      <c r="K131" s="92">
        <f ca="1">IFERROR((Table19[[#This Row],[Price]]-Table19[[#This Row],[Ave Entry]])*Table19[[#This Row],[Num of Stocks]],0)</f>
        <v>0</v>
      </c>
      <c r="L131" s="38" cm="1">
        <f t="array" aca="1" ref="L131" ca="1">_FV(Table19[[#This Row],[Assets]],"Change (%)",TRUE)</f>
        <v>2.5380000000000003E-3</v>
      </c>
      <c r="M131" s="36">
        <f>SUMIF(Table20[Asset],Table19[[#This Row],[Assets]],Table20[realized_profit])</f>
        <v>0</v>
      </c>
      <c r="N131" s="36">
        <f>SUMIF(Table20[[#All],[Asset]],Table19[[#This Row],[Assets]],Table20[[#All],[delta_exposure]])</f>
        <v>0</v>
      </c>
      <c r="O131" s="38">
        <f ca="1">Table19[[#This Row],[Option Exposure]]/$B$6</f>
        <v>0</v>
      </c>
      <c r="P131" s="51">
        <f>SUMIF(Table25[[#All],[Assets]],Table19[[#This Row],[Assets]],Table25[[#All],[Number of stocks]])</f>
        <v>0</v>
      </c>
      <c r="Q131" s="36">
        <f ca="1">Table19[[#This Row],[Num of Stocks]]*Table19[[#This Row],[Price]]</f>
        <v>0</v>
      </c>
      <c r="R131" s="36">
        <f ca="1">Table19[[#This Row],[Stock Exposure]]+Table19[[#This Row],[Option Exposure]]</f>
        <v>0</v>
      </c>
      <c r="S131" s="108">
        <f>IFERROR(Table19[[#This Row],[Num of Stocks]]*Table19[[#This Row],[Ave Entry]],"")</f>
        <v>0</v>
      </c>
      <c r="T131" s="108">
        <f ca="1">Table19[[#This Row],[Combined Exposure]]/$C$8</f>
        <v>0</v>
      </c>
    </row>
    <row r="132" spans="1:20">
      <c r="A132" t="e" vm="245">
        <v>#VALUE!</v>
      </c>
      <c r="B132" s="13" t="str" cm="1">
        <f t="array" aca="1" ref="B132" ca="1">_FV(A132,"Ticker symbol",TRUE)</f>
        <v>ANGI</v>
      </c>
      <c r="C132" s="13" t="s">
        <v>132</v>
      </c>
      <c r="D132" s="13" t="s">
        <v>29</v>
      </c>
      <c r="E132" s="19" cm="1">
        <f t="array" aca="1" ref="E132" ca="1">IFERROR(_FV(A132,"Beta"),2)</f>
        <v>1.7991999999999999</v>
      </c>
      <c r="F132" s="13" t="str" cm="1">
        <f t="array" aca="1" ref="F132" ca="1">_FV(A132,"Instrument type",TRUE)</f>
        <v>Stock</v>
      </c>
      <c r="G132" s="18" cm="1">
        <f t="array" aca="1" ref="G132" ca="1">_FV(Table19[[#This Row],[Assets]],"Price")</f>
        <v>7.12</v>
      </c>
      <c r="H132" s="36">
        <f>IFERROR(VLOOKUP(Table19[[#This Row],[Assets]],Table25[#All],15,FALSE),"")</f>
        <v>18.21</v>
      </c>
      <c r="I132" s="36">
        <f>IFERROR(VLOOKUP(Table19[[#This Row],[Assets]],Table25[#All],16,FALSE),0)</f>
        <v>0.95999999999997954</v>
      </c>
      <c r="J132" s="84">
        <f ca="1">IFERROR((Table19[[#This Row],[Price]]-Table19[[#This Row],[Ave Entry]])/Table19[[#This Row],[Ave Entry]],"")</f>
        <v>-0.60900604063701258</v>
      </c>
      <c r="K132" s="92">
        <f ca="1">IFERROR((Table19[[#This Row],[Price]]-Table19[[#This Row],[Ave Entry]])*Table19[[#This Row],[Num of Stocks]],0)</f>
        <v>0</v>
      </c>
      <c r="L132" s="38" cm="1">
        <f t="array" aca="1" ref="L132" ca="1">_FV(Table19[[#This Row],[Assets]],"Change (%)",TRUE)</f>
        <v>-1.2482999999999999E-2</v>
      </c>
      <c r="M132" s="36">
        <f>SUMIF(Table20[Asset],Table19[[#This Row],[Assets]],Table20[realized_profit])</f>
        <v>0</v>
      </c>
      <c r="N132" s="36">
        <f>SUMIF(Table20[[#All],[Asset]],Table19[[#This Row],[Assets]],Table20[[#All],[delta_exposure]])</f>
        <v>0</v>
      </c>
      <c r="O132" s="38">
        <f ca="1">Table19[[#This Row],[Option Exposure]]/$B$6</f>
        <v>0</v>
      </c>
      <c r="P132" s="51">
        <f>SUMIF(Table25[[#All],[Assets]],Table19[[#This Row],[Assets]],Table25[[#All],[Number of stocks]])</f>
        <v>0</v>
      </c>
      <c r="Q132" s="36">
        <f ca="1">Table19[[#This Row],[Num of Stocks]]*Table19[[#This Row],[Price]]</f>
        <v>0</v>
      </c>
      <c r="R132" s="36">
        <f ca="1">Table19[[#This Row],[Stock Exposure]]+Table19[[#This Row],[Option Exposure]]</f>
        <v>0</v>
      </c>
      <c r="S132" s="108">
        <f>IFERROR(Table19[[#This Row],[Num of Stocks]]*Table19[[#This Row],[Ave Entry]],"")</f>
        <v>0</v>
      </c>
      <c r="T132" s="108">
        <f ca="1">Table19[[#This Row],[Combined Exposure]]/$C$8</f>
        <v>0</v>
      </c>
    </row>
    <row r="133" spans="1:20">
      <c r="A133" t="e" vm="246">
        <v>#VALUE!</v>
      </c>
      <c r="B133" s="13" t="str" cm="1">
        <f t="array" aca="1" ref="B133" ca="1">_FV(A133,"Ticker symbol",TRUE)</f>
        <v>ALAB</v>
      </c>
      <c r="C133" s="13" t="s">
        <v>83</v>
      </c>
      <c r="D133" s="13" t="s">
        <v>84</v>
      </c>
      <c r="E133" s="19" cm="1">
        <f t="array" aca="1" ref="E133" ca="1">IFERROR(_FV(A133,"Beta"),2)</f>
        <v>2.5139999999999998</v>
      </c>
      <c r="F133" s="13" t="str" cm="1">
        <f t="array" aca="1" ref="F133" ca="1">_FV(A133,"Instrument type",TRUE)</f>
        <v>Stock</v>
      </c>
      <c r="G133" s="18" cm="1">
        <f t="array" aca="1" ref="G133" ca="1">_FV(Table19[[#This Row],[Assets]],"Price")</f>
        <v>123.52</v>
      </c>
      <c r="H133" s="36">
        <f>IFERROR(VLOOKUP(Table19[[#This Row],[Assets]],Table25[#All],15,FALSE),"")</f>
        <v>150.39333333333332</v>
      </c>
      <c r="I133" s="36">
        <f>IFERROR(VLOOKUP(Table19[[#This Row],[Assets]],Table25[#All],16,FALSE),0)</f>
        <v>-92.139999999999972</v>
      </c>
      <c r="J133" s="84">
        <f ca="1">IFERROR((Table19[[#This Row],[Price]]-Table19[[#This Row],[Ave Entry]])/Table19[[#This Row],[Ave Entry]],"")</f>
        <v>-0.17868699853716913</v>
      </c>
      <c r="K133" s="92">
        <f ca="1">IFERROR((Table19[[#This Row],[Price]]-Table19[[#This Row],[Ave Entry]])*Table19[[#This Row],[Num of Stocks]],0)</f>
        <v>-80.619999999999962</v>
      </c>
      <c r="L133" s="38" cm="1">
        <f t="array" aca="1" ref="L133" ca="1">_FV(Table19[[#This Row],[Assets]],"Change (%)",TRUE)</f>
        <v>1.4455000000000001E-2</v>
      </c>
      <c r="M133" s="36">
        <f>SUMIF(Table20[Asset],Table19[[#This Row],[Assets]],Table20[realized_profit])</f>
        <v>0</v>
      </c>
      <c r="N133" s="36">
        <f>SUMIF(Table20[[#All],[Asset]],Table19[[#This Row],[Assets]],Table20[[#All],[delta_exposure]])</f>
        <v>0</v>
      </c>
      <c r="O133" s="38">
        <f ca="1">Table19[[#This Row],[Option Exposure]]/$B$6</f>
        <v>0</v>
      </c>
      <c r="P133" s="51">
        <f>SUMIF(Table25[[#All],[Assets]],Table19[[#This Row],[Assets]],Table25[[#All],[Number of stocks]])</f>
        <v>3</v>
      </c>
      <c r="Q133" s="36">
        <f ca="1">Table19[[#This Row],[Num of Stocks]]*Table19[[#This Row],[Price]]</f>
        <v>370.56</v>
      </c>
      <c r="R133" s="36">
        <f ca="1">Table19[[#This Row],[Stock Exposure]]+Table19[[#This Row],[Option Exposure]]</f>
        <v>370.56</v>
      </c>
      <c r="S133" s="108">
        <f>IFERROR(Table19[[#This Row],[Num of Stocks]]*Table19[[#This Row],[Ave Entry]],"")</f>
        <v>451.17999999999995</v>
      </c>
      <c r="T133" s="39">
        <f ca="1">Table19[[#This Row],[Combined Exposure]]/$C$8</f>
        <v>2.3356768605105162E-3</v>
      </c>
    </row>
    <row r="134" spans="1:20">
      <c r="A134" t="e" vm="29">
        <v>#VALUE!</v>
      </c>
      <c r="B134" s="13" t="str" cm="1">
        <f t="array" aca="1" ref="B134" ca="1">_FV(A134,"Ticker symbol",TRUE)</f>
        <v>NVDA</v>
      </c>
      <c r="C134" s="13" t="s">
        <v>83</v>
      </c>
      <c r="D134" s="13" t="s">
        <v>84</v>
      </c>
      <c r="E134" s="19" cm="1">
        <f t="array" aca="1" ref="E134" ca="1">IFERROR(_FV(A134,"Beta"),2)</f>
        <v>2.3397000000000001</v>
      </c>
      <c r="F134" s="13" t="str" cm="1">
        <f t="array" aca="1" ref="F134" ca="1">_FV(A134,"Instrument type",TRUE)</f>
        <v>Stock</v>
      </c>
      <c r="G134" s="18" cm="1">
        <f t="array" aca="1" ref="G134" ca="1">_FV(Table19[[#This Row],[Assets]],"Price")</f>
        <v>180.405</v>
      </c>
      <c r="H134" s="36">
        <f>IFERROR(VLOOKUP(Table19[[#This Row],[Assets]],Table25[#All],15,FALSE),"")</f>
        <v>129.76</v>
      </c>
      <c r="I134" s="36">
        <f>IFERROR(VLOOKUP(Table19[[#This Row],[Assets]],Table25[#All],16,FALSE),0)</f>
        <v>66.47</v>
      </c>
      <c r="J134" s="84">
        <f ca="1">IFERROR((Table19[[#This Row],[Price]]-Table19[[#This Row],[Ave Entry]])/Table19[[#This Row],[Ave Entry]],"")</f>
        <v>0.3902974722564736</v>
      </c>
      <c r="K134" s="92">
        <f ca="1">IFERROR((Table19[[#This Row],[Price]]-Table19[[#This Row],[Ave Entry]])*Table19[[#This Row],[Num of Stocks]],0)</f>
        <v>50.64500000000001</v>
      </c>
      <c r="L134" s="38" cm="1">
        <f t="array" aca="1" ref="L134" ca="1">_FV(Table19[[#This Row],[Assets]],"Change (%)",TRUE)</f>
        <v>2.9708999999999999E-2</v>
      </c>
      <c r="M134" s="36">
        <f>SUMIF(Table20[Asset],Table19[[#This Row],[Assets]],Table20[realized_profit])</f>
        <v>-637.99999999999955</v>
      </c>
      <c r="N134" s="36">
        <f ca="1">SUMIF(Table20[[#All],[Asset]],Table19[[#This Row],[Assets]],Table20[[#All],[delta_exposure]])</f>
        <v>0</v>
      </c>
      <c r="O134" s="38">
        <f ca="1">Table19[[#This Row],[Option Exposure]]/$B$6</f>
        <v>0</v>
      </c>
      <c r="P134" s="51">
        <f>SUMIF(Table25[[#All],[Assets]],Table19[[#This Row],[Assets]],Table25[[#All],[Number of stocks]])</f>
        <v>1</v>
      </c>
      <c r="Q134" s="36">
        <f ca="1">Table19[[#This Row],[Num of Stocks]]*Table19[[#This Row],[Price]]</f>
        <v>180.405</v>
      </c>
      <c r="R134" s="36">
        <f ca="1">Table19[[#This Row],[Stock Exposure]]+Table19[[#This Row],[Option Exposure]]</f>
        <v>180.405</v>
      </c>
      <c r="S134" s="108">
        <f>IFERROR(Table19[[#This Row],[Num of Stocks]]*Table19[[#This Row],[Ave Entry]],"")</f>
        <v>129.76</v>
      </c>
      <c r="T134" s="39">
        <f ca="1">Table19[[#This Row],[Combined Exposure]]/$C$8</f>
        <v>1.137110816117227E-3</v>
      </c>
    </row>
    <row r="135" spans="1:20">
      <c r="A135" t="e" vm="44">
        <v>#VALUE!</v>
      </c>
      <c r="B135" s="13" t="str" cm="1">
        <f t="array" aca="1" ref="B135" ca="1">_FV(A135,"Ticker symbol",TRUE)</f>
        <v>IPWR</v>
      </c>
      <c r="C135" s="13" t="s">
        <v>56</v>
      </c>
      <c r="D135" s="13" t="s">
        <v>500</v>
      </c>
      <c r="E135" s="19" cm="1">
        <f t="array" aca="1" ref="E135" ca="1">IFERROR(_FV(A135,"Beta"),2)</f>
        <v>1.1262000000000001</v>
      </c>
      <c r="F135" s="13" t="str" cm="1">
        <f t="array" aca="1" ref="F135" ca="1">_FV(A135,"Instrument type",TRUE)</f>
        <v>Stock</v>
      </c>
      <c r="G135" s="18" cm="1">
        <f t="array" aca="1" ref="G135" ca="1">_FV(Table19[[#This Row],[Assets]],"Price")</f>
        <v>3.15</v>
      </c>
      <c r="H135" s="36">
        <f>IFERROR(VLOOKUP(Table19[[#This Row],[Assets]],Table25[#All],15,FALSE),"")</f>
        <v>4.75</v>
      </c>
      <c r="I135" s="36">
        <f>IFERROR(VLOOKUP(Table19[[#This Row],[Assets]],Table25[#All],16,FALSE),0)</f>
        <v>-55.00000000000005</v>
      </c>
      <c r="J135" s="84">
        <f ca="1">IFERROR((Table19[[#This Row],[Price]]-Table19[[#This Row],[Ave Entry]])/Table19[[#This Row],[Ave Entry]],"")</f>
        <v>-0.33684210526315789</v>
      </c>
      <c r="K135" s="92">
        <f ca="1">IFERROR((Table19[[#This Row],[Price]]-Table19[[#This Row],[Ave Entry]])*Table19[[#This Row],[Num of Stocks]],0)</f>
        <v>0</v>
      </c>
      <c r="L135" s="38" cm="1">
        <f t="array" aca="1" ref="L135" ca="1">_FV(Table19[[#This Row],[Assets]],"Change (%)",TRUE)</f>
        <v>3.9604E-2</v>
      </c>
      <c r="M135" s="36">
        <f>SUMIF(Table20[Asset],Table19[[#This Row],[Assets]],Table20[realized_profit])</f>
        <v>0</v>
      </c>
      <c r="N135" s="36">
        <f>SUMIF(Table20[[#All],[Asset]],Table19[[#This Row],[Assets]],Table20[[#All],[delta_exposure]])</f>
        <v>0</v>
      </c>
      <c r="O135" s="38">
        <f ca="1">Table19[[#This Row],[Option Exposure]]/$B$6</f>
        <v>0</v>
      </c>
      <c r="P135" s="51">
        <f>SUMIF(Table25[[#All],[Assets]],Table19[[#This Row],[Assets]],Table25[[#All],[Number of stocks]])</f>
        <v>0</v>
      </c>
      <c r="Q135" s="36">
        <f ca="1">Table19[[#This Row],[Num of Stocks]]*Table19[[#This Row],[Price]]</f>
        <v>0</v>
      </c>
      <c r="R135" s="36">
        <f ca="1">Table19[[#This Row],[Stock Exposure]]+Table19[[#This Row],[Option Exposure]]</f>
        <v>0</v>
      </c>
      <c r="S135" s="108">
        <f>IFERROR(Table19[[#This Row],[Num of Stocks]]*Table19[[#This Row],[Ave Entry]],"")</f>
        <v>0</v>
      </c>
      <c r="T135" s="39">
        <f ca="1">Table19[[#This Row],[Combined Exposure]]/$C$8</f>
        <v>0</v>
      </c>
    </row>
    <row r="136" spans="1:20">
      <c r="A136" t="e" vm="35">
        <v>#VALUE!</v>
      </c>
      <c r="B136" s="13" t="str" cm="1">
        <f t="array" aca="1" ref="B136" ca="1">_FV(A136,"Ticker symbol",TRUE)</f>
        <v>VRT</v>
      </c>
      <c r="C136" s="13" t="s">
        <v>56</v>
      </c>
      <c r="D136" s="13" t="s">
        <v>83</v>
      </c>
      <c r="E136" s="19" cm="1">
        <f t="array" aca="1" ref="E136" ca="1">IFERROR(_FV(A136,"Beta"),2)</f>
        <v>2.0152000000000001</v>
      </c>
      <c r="F136" s="13" t="str" cm="1">
        <f t="array" aca="1" ref="F136" ca="1">_FV(A136,"Instrument type",TRUE)</f>
        <v>Stock</v>
      </c>
      <c r="G136" s="18" cm="1">
        <f t="array" aca="1" ref="G136" ca="1">_FV(Table19[[#This Row],[Assets]],"Price")</f>
        <v>280.42</v>
      </c>
      <c r="H136" s="36">
        <f>IFERROR(VLOOKUP(Table19[[#This Row],[Assets]],Table25[#All],15,FALSE),"")</f>
        <v>86.306666666666658</v>
      </c>
      <c r="I136" s="36">
        <f>IFERROR(VLOOKUP(Table19[[#This Row],[Assets]],Table25[#All],16,FALSE),0)</f>
        <v>622.68999999999983</v>
      </c>
      <c r="J136" s="84">
        <f ca="1">IFERROR((Table19[[#This Row],[Price]]-Table19[[#This Row],[Ave Entry]])/Table19[[#This Row],[Ave Entry]],"")</f>
        <v>2.249111694731964</v>
      </c>
      <c r="K136" s="92">
        <f ca="1">IFERROR((Table19[[#This Row],[Price]]-Table19[[#This Row],[Ave Entry]])*Table19[[#This Row],[Num of Stocks]],0)</f>
        <v>0</v>
      </c>
      <c r="L136" s="38" cm="1">
        <f t="array" aca="1" ref="L136" ca="1">_FV(Table19[[#This Row],[Assets]],"Change (%)",TRUE)</f>
        <v>3.5179999999999996E-2</v>
      </c>
      <c r="M136" s="36">
        <f>SUMIF(Table20[Asset],Table19[[#This Row],[Assets]],Table20[realized_profit])</f>
        <v>-543.00000000000011</v>
      </c>
      <c r="N136" s="36">
        <f ca="1">SUMIF(Table20[[#All],[Asset]],Table19[[#This Row],[Assets]],Table20[[#All],[delta_exposure]])</f>
        <v>0</v>
      </c>
      <c r="O136" s="38">
        <f ca="1">Table19[[#This Row],[Option Exposure]]/$B$6</f>
        <v>0</v>
      </c>
      <c r="P136" s="51">
        <f>SUMIF(Table25[[#All],[Assets]],Table19[[#This Row],[Assets]],Table25[[#All],[Number of stocks]])</f>
        <v>0</v>
      </c>
      <c r="Q136" s="36">
        <f ca="1">Table19[[#This Row],[Num of Stocks]]*Table19[[#This Row],[Price]]</f>
        <v>0</v>
      </c>
      <c r="R136" s="36">
        <f ca="1">Table19[[#This Row],[Stock Exposure]]+Table19[[#This Row],[Option Exposure]]</f>
        <v>0</v>
      </c>
      <c r="S136" s="108">
        <f>IFERROR(Table19[[#This Row],[Num of Stocks]]*Table19[[#This Row],[Ave Entry]],"")</f>
        <v>0</v>
      </c>
      <c r="T136" s="39">
        <f ca="1">Table19[[#This Row],[Combined Exposure]]/$C$8</f>
        <v>0</v>
      </c>
    </row>
    <row r="137" spans="1:20">
      <c r="A137" t="e" vm="133">
        <v>#VALUE!</v>
      </c>
      <c r="B137" s="13" t="str" cm="1">
        <f t="array" aca="1" ref="B137" ca="1">_FV(A137,"Ticker symbol",TRUE)</f>
        <v>XLU</v>
      </c>
      <c r="C137" s="13" t="s">
        <v>58</v>
      </c>
      <c r="D137" s="13" t="s">
        <v>58</v>
      </c>
      <c r="E137" s="19" cm="1">
        <f t="array" aca="1" ref="E137" ca="1">IFERROR(_FV(A137,"Beta"),2)</f>
        <v>0.99750000000000005</v>
      </c>
      <c r="F137" s="13" t="str" cm="1">
        <f t="array" aca="1" ref="F137" ca="1">_FV(A137,"Instrument type",TRUE)</f>
        <v>ETF</v>
      </c>
      <c r="G137" s="18" cm="1">
        <f t="array" aca="1" ref="G137" ca="1">_FV(Table19[[#This Row],[Assets]],"Price")</f>
        <v>45.395000000000003</v>
      </c>
      <c r="H137" s="36">
        <f>IFERROR(VLOOKUP(Table19[[#This Row],[Assets]],Table25[#All],15,FALSE),"")</f>
        <v>64.56</v>
      </c>
      <c r="I137" s="36">
        <f>IFERROR(VLOOKUP(Table19[[#This Row],[Assets]],Table25[#All],16,FALSE),0)</f>
        <v>29.680000000000007</v>
      </c>
      <c r="J137" s="84">
        <f ca="1">IFERROR((Table19[[#This Row],[Price]]-Table19[[#This Row],[Ave Entry]])/Table19[[#This Row],[Ave Entry]],"")</f>
        <v>-0.29685563816604704</v>
      </c>
      <c r="K137" s="92">
        <f ca="1">IFERROR((Table19[[#This Row],[Price]]-Table19[[#This Row],[Ave Entry]])*Table19[[#This Row],[Num of Stocks]],0)</f>
        <v>0</v>
      </c>
      <c r="L137" s="38" cm="1">
        <f t="array" aca="1" ref="L137" ca="1">_FV(Table19[[#This Row],[Assets]],"Change (%)",TRUE)</f>
        <v>6.764E-3</v>
      </c>
      <c r="M137" s="36">
        <f>SUMIF(Table20[Asset],Table19[[#This Row],[Assets]],Table20[realized_profit])</f>
        <v>-202.00000000000006</v>
      </c>
      <c r="N137" s="36">
        <f ca="1">SUMIF(Table20[[#All],[Asset]],Table19[[#This Row],[Assets]],Table20[[#All],[delta_exposure]])</f>
        <v>0</v>
      </c>
      <c r="O137" s="98">
        <f ca="1">Table19[[#This Row],[Option Exposure]]/$B$6</f>
        <v>0</v>
      </c>
      <c r="P137" s="51">
        <f>SUMIF(Table25[[#All],[Assets]],Table19[[#This Row],[Assets]],Table25[[#All],[Number of stocks]])</f>
        <v>0</v>
      </c>
      <c r="Q137" s="36">
        <f ca="1">Table19[[#This Row],[Num of Stocks]]*Table19[[#This Row],[Price]]</f>
        <v>0</v>
      </c>
      <c r="R137" s="36">
        <f ca="1">Table19[[#This Row],[Stock Exposure]]+Table19[[#This Row],[Option Exposure]]</f>
        <v>0</v>
      </c>
      <c r="S137" s="108">
        <f>IFERROR(Table19[[#This Row],[Num of Stocks]]*Table19[[#This Row],[Ave Entry]],"")</f>
        <v>0</v>
      </c>
      <c r="T137" s="39">
        <f ca="1">Table19[[#This Row],[Combined Exposure]]/$C$8</f>
        <v>0</v>
      </c>
    </row>
    <row r="138" spans="1:20">
      <c r="A138" t="e" vm="147">
        <v>#VALUE!</v>
      </c>
      <c r="B138" s="13" t="str" cm="1">
        <f t="array" aca="1" ref="B138" ca="1">_FV(A138,"Ticker symbol",TRUE)</f>
        <v>XLE</v>
      </c>
      <c r="C138" s="13" t="s">
        <v>31</v>
      </c>
      <c r="D138" s="13" t="s">
        <v>31</v>
      </c>
      <c r="E138" s="19" cm="1">
        <f t="array" aca="1" ref="E138" ca="1">IFERROR(_FV(A138,"Beta"),2)</f>
        <v>1.1236999999999999</v>
      </c>
      <c r="F138" s="13" t="str" cm="1">
        <f t="array" aca="1" ref="F138" ca="1">_FV(A138,"Instrument type",TRUE)</f>
        <v>ETF</v>
      </c>
      <c r="G138" s="18" cm="1">
        <f t="array" aca="1" ref="G138" ca="1">_FV(Table19[[#This Row],[Assets]],"Price")</f>
        <v>60.634999999999998</v>
      </c>
      <c r="H138" s="36">
        <f>IFERROR(VLOOKUP(Table19[[#This Row],[Assets]],Table25[#All],15,FALSE),"")</f>
        <v>84.24</v>
      </c>
      <c r="I138" s="36">
        <f>IFERROR(VLOOKUP(Table19[[#This Row],[Assets]],Table25[#All],16,FALSE),0)</f>
        <v>131.7800000000002</v>
      </c>
      <c r="J138" s="84">
        <f ca="1">IFERROR((Table19[[#This Row],[Price]]-Table19[[#This Row],[Ave Entry]])/Table19[[#This Row],[Ave Entry]],"")</f>
        <v>-0.28021130104463438</v>
      </c>
      <c r="K138" s="92">
        <f ca="1">IFERROR((Table19[[#This Row],[Price]]-Table19[[#This Row],[Ave Entry]])*Table19[[#This Row],[Num of Stocks]],0)</f>
        <v>0</v>
      </c>
      <c r="L138" s="38" cm="1">
        <f t="array" aca="1" ref="L138" ca="1">_FV(Table19[[#This Row],[Assets]],"Change (%)",TRUE)</f>
        <v>-3.3689999999999996E-3</v>
      </c>
      <c r="M138" s="36">
        <f>SUMIF(Table20[Asset],Table19[[#This Row],[Assets]],Table20[realized_profit])</f>
        <v>0</v>
      </c>
      <c r="N138" s="36">
        <f>SUMIF(Table20[[#All],[Asset]],Table19[[#This Row],[Assets]],Table20[[#All],[delta_exposure]])</f>
        <v>0</v>
      </c>
      <c r="O138" s="38">
        <f ca="1">Table19[[#This Row],[Option Exposure]]/$B$6</f>
        <v>0</v>
      </c>
      <c r="P138" s="51">
        <f>SUMIF(Table25[[#All],[Assets]],Table19[[#This Row],[Assets]],Table25[[#All],[Number of stocks]])</f>
        <v>0</v>
      </c>
      <c r="Q138" s="36">
        <f ca="1">Table19[[#This Row],[Num of Stocks]]*Table19[[#This Row],[Price]]</f>
        <v>0</v>
      </c>
      <c r="R138" s="36">
        <f ca="1">Table19[[#This Row],[Stock Exposure]]+Table19[[#This Row],[Option Exposure]]</f>
        <v>0</v>
      </c>
      <c r="S138" s="108">
        <f>IFERROR(Table19[[#This Row],[Num of Stocks]]*Table19[[#This Row],[Ave Entry]],"")</f>
        <v>0</v>
      </c>
      <c r="T138" s="39">
        <f ca="1">Table19[[#This Row],[Combined Exposure]]/$C$8</f>
        <v>0</v>
      </c>
    </row>
    <row r="139" spans="1:20">
      <c r="A139" t="e" vm="151">
        <v>#VALUE!</v>
      </c>
      <c r="B139" s="13" t="str" cm="1">
        <f t="array" aca="1" ref="B139" ca="1">_FV(A139,"Ticker symbol",TRUE)</f>
        <v>TLT</v>
      </c>
      <c r="C139" s="13" t="s">
        <v>1</v>
      </c>
      <c r="D139" s="13" t="s">
        <v>126</v>
      </c>
      <c r="E139" s="19" cm="1">
        <f t="array" aca="1" ref="E139" ca="1">IFERROR(_FV(A139,"Beta"),2)</f>
        <v>1.1033999999999999</v>
      </c>
      <c r="F139" s="13" t="str" cm="1">
        <f t="array" aca="1" ref="F139" ca="1">_FV(A139,"Instrument type",TRUE)</f>
        <v>ETF</v>
      </c>
      <c r="G139" s="18" cm="1">
        <f t="array" aca="1" ref="G139" ca="1">_FV(Table19[[#This Row],[Assets]],"Price")</f>
        <v>86.743499999999997</v>
      </c>
      <c r="H139" s="36" t="str">
        <f>IFERROR(VLOOKUP(Table19[[#This Row],[Assets]],Table25[#All],15,FALSE),"")</f>
        <v/>
      </c>
      <c r="I139" s="36">
        <f>IFERROR(VLOOKUP(Table19[[#This Row],[Assets]],Table25[#All],16,FALSE),0)</f>
        <v>0</v>
      </c>
      <c r="J139" s="84" t="str">
        <f ca="1">IFERROR((Table19[[#This Row],[Price]]-Table19[[#This Row],[Ave Entry]])/Table19[[#This Row],[Ave Entry]],"")</f>
        <v/>
      </c>
      <c r="K139" s="92">
        <f ca="1">IFERROR((Table19[[#This Row],[Price]]-Table19[[#This Row],[Ave Entry]])*Table19[[#This Row],[Num of Stocks]],0)</f>
        <v>0</v>
      </c>
      <c r="L139" s="38" cm="1">
        <f t="array" aca="1" ref="L139" ca="1">_FV(Table19[[#This Row],[Assets]],"Change (%)",TRUE)</f>
        <v>8.5280000000000009E-3</v>
      </c>
      <c r="M139" s="36">
        <f>SUMIF(Table20[Asset],Table19[[#This Row],[Assets]],Table20[realized_profit])</f>
        <v>-3328.3599999999997</v>
      </c>
      <c r="N139" s="36">
        <f ca="1">SUMIF(Table20[[#All],[Asset]],Table19[[#This Row],[Assets]],Table20[[#All],[delta_exposure]])</f>
        <v>15778.905685450125</v>
      </c>
      <c r="O139" s="98">
        <f ca="1">Table19[[#This Row],[Option Exposure]]/$B$6</f>
        <v>0.57003146973503138</v>
      </c>
      <c r="P139" s="51">
        <f>SUMIF(Table25[[#All],[Assets]],Table19[[#This Row],[Assets]],Table25[[#All],[Number of stocks]])</f>
        <v>0</v>
      </c>
      <c r="Q139" s="36">
        <f ca="1">Table19[[#This Row],[Num of Stocks]]*Table19[[#This Row],[Price]]</f>
        <v>0</v>
      </c>
      <c r="R139" s="36">
        <f ca="1">Table19[[#This Row],[Stock Exposure]]+Table19[[#This Row],[Option Exposure]]</f>
        <v>15778.905685450125</v>
      </c>
      <c r="S139" s="108" t="str">
        <f>IFERROR(Table19[[#This Row],[Num of Stocks]]*Table19[[#This Row],[Ave Entry]],"")</f>
        <v/>
      </c>
      <c r="T139" s="39">
        <f ca="1">Table19[[#This Row],[Combined Exposure]]/$C$8</f>
        <v>9.9456025727773317E-2</v>
      </c>
    </row>
    <row r="140" spans="1:20">
      <c r="A140" t="e" vm="92">
        <v>#VALUE!</v>
      </c>
      <c r="B140" s="13" t="str" cm="1">
        <f t="array" aca="1" ref="B140" ca="1">_FV(A140,"Ticker symbol",TRUE)</f>
        <v>NEM</v>
      </c>
      <c r="C140" s="13" t="s">
        <v>133</v>
      </c>
      <c r="D140" s="13" t="s">
        <v>25</v>
      </c>
      <c r="E140" s="19" cm="1">
        <f t="array" aca="1" ref="E140" ca="1">IFERROR(_FV(A140,"Beta"),2)</f>
        <v>0.50560000000000005</v>
      </c>
      <c r="F140" s="13" t="str" cm="1">
        <f t="array" aca="1" ref="F140" ca="1">_FV(A140,"Instrument type",TRUE)</f>
        <v>Stock</v>
      </c>
      <c r="G140" s="18" cm="1">
        <f t="array" aca="1" ref="G140" ca="1">_FV(Table19[[#This Row],[Assets]],"Price")</f>
        <v>102.705</v>
      </c>
      <c r="H140" s="36">
        <f>IFERROR(VLOOKUP(Table19[[#This Row],[Assets]],Table25[#All],15,FALSE),"")</f>
        <v>78.400000000000006</v>
      </c>
      <c r="I140" s="36">
        <f>IFERROR(VLOOKUP(Table19[[#This Row],[Assets]],Table25[#All],16,FALSE),0)</f>
        <v>45.599999999999909</v>
      </c>
      <c r="J140" s="84">
        <f ca="1">IFERROR((Table19[[#This Row],[Price]]-Table19[[#This Row],[Ave Entry]])/Table19[[#This Row],[Ave Entry]],"")</f>
        <v>0.31001275510204068</v>
      </c>
      <c r="K140" s="92">
        <f ca="1">IFERROR((Table19[[#This Row],[Price]]-Table19[[#This Row],[Ave Entry]])*Table19[[#This Row],[Num of Stocks]],0)</f>
        <v>0</v>
      </c>
      <c r="L140" s="38" cm="1">
        <f t="array" aca="1" ref="L140" ca="1">_FV(Table19[[#This Row],[Assets]],"Change (%)",TRUE)</f>
        <v>3.7214999999999998E-2</v>
      </c>
      <c r="M140" s="36">
        <f>SUMIF(Table20[Asset],Table19[[#This Row],[Assets]],Table20[realized_profit])</f>
        <v>4053</v>
      </c>
      <c r="N140" s="36">
        <f ca="1">SUMIF(Table20[[#All],[Asset]],Table19[[#This Row],[Assets]],Table20[[#All],[delta_exposure]])</f>
        <v>0</v>
      </c>
      <c r="O140" s="98">
        <f ca="1">Table19[[#This Row],[Option Exposure]]/$B$6</f>
        <v>0</v>
      </c>
      <c r="P140" s="51">
        <f>SUMIF(Table25[[#All],[Assets]],Table19[[#This Row],[Assets]],Table25[[#All],[Number of stocks]])</f>
        <v>0</v>
      </c>
      <c r="Q140" s="36">
        <f ca="1">Table19[[#This Row],[Num of Stocks]]*Table19[[#This Row],[Price]]</f>
        <v>0</v>
      </c>
      <c r="R140" s="36">
        <f ca="1">Table19[[#This Row],[Stock Exposure]]+Table19[[#This Row],[Option Exposure]]</f>
        <v>0</v>
      </c>
      <c r="S140" s="108">
        <f>IFERROR(Table19[[#This Row],[Num of Stocks]]*Table19[[#This Row],[Ave Entry]],"")</f>
        <v>0</v>
      </c>
      <c r="T140" s="39">
        <f ca="1">Table19[[#This Row],[Combined Exposure]]/$C$8</f>
        <v>0</v>
      </c>
    </row>
    <row r="141" spans="1:20">
      <c r="A141" t="e" vm="247">
        <v>#VALUE!</v>
      </c>
      <c r="B141" s="13" t="str" cm="1">
        <f t="array" aca="1" ref="B141" ca="1">_FV(A141,"Ticker symbol",TRUE)</f>
        <v>BA</v>
      </c>
      <c r="C141" s="13" t="s">
        <v>38</v>
      </c>
      <c r="D141" s="13" t="s">
        <v>56</v>
      </c>
      <c r="E141" s="19" cm="1">
        <f t="array" aca="1" ref="E141" ca="1">IFERROR(_FV(A141,"Beta"),2)</f>
        <v>1.1338999999999999</v>
      </c>
      <c r="F141" s="13" t="str" cm="1">
        <f t="array" aca="1" ref="F141" ca="1">_FV(A141,"Instrument type",TRUE)</f>
        <v>Stock</v>
      </c>
      <c r="G141" s="18" cm="1">
        <f t="array" aca="1" ref="G141" ca="1">_FV(Table19[[#This Row],[Assets]],"Price")</f>
        <v>198.96</v>
      </c>
      <c r="H141" s="36" t="str">
        <f>IFERROR(VLOOKUP(Table19[[#This Row],[Assets]],Table25[#All],15,FALSE),"")</f>
        <v/>
      </c>
      <c r="I141" s="36">
        <f>IFERROR(VLOOKUP(Table19[[#This Row],[Assets]],Table25[#All],16,FALSE),0)</f>
        <v>0</v>
      </c>
      <c r="J141" s="84" t="str">
        <f ca="1">IFERROR((Table19[[#This Row],[Price]]-Table19[[#This Row],[Ave Entry]])/Table19[[#This Row],[Ave Entry]],"")</f>
        <v/>
      </c>
      <c r="K141" s="92">
        <f ca="1">IFERROR((Table19[[#This Row],[Price]]-Table19[[#This Row],[Ave Entry]])*Table19[[#This Row],[Num of Stocks]],0)</f>
        <v>0</v>
      </c>
      <c r="L141" s="38" cm="1">
        <f t="array" aca="1" ref="L141" ca="1">_FV(Table19[[#This Row],[Assets]],"Change (%)",TRUE)</f>
        <v>1.2931E-2</v>
      </c>
      <c r="M141" s="36">
        <f>SUMIF(Table20[Asset],Table19[[#This Row],[Assets]],Table20[realized_profit])</f>
        <v>-342</v>
      </c>
      <c r="N141" s="36">
        <f ca="1">SUMIF(Table20[[#All],[Asset]],Table19[[#This Row],[Assets]],Table20[[#All],[delta_exposure]])</f>
        <v>0</v>
      </c>
      <c r="O141" s="38">
        <f ca="1">Table19[[#This Row],[Option Exposure]]/$B$6</f>
        <v>0</v>
      </c>
      <c r="P141" s="51">
        <f>SUMIF(Table25[[#All],[Assets]],Table19[[#This Row],[Assets]],Table25[[#All],[Number of stocks]])</f>
        <v>0</v>
      </c>
      <c r="Q141" s="36">
        <f ca="1">Table19[[#This Row],[Num of Stocks]]*Table19[[#This Row],[Price]]</f>
        <v>0</v>
      </c>
      <c r="R141" s="36">
        <f ca="1">Table19[[#This Row],[Stock Exposure]]+Table19[[#This Row],[Option Exposure]]</f>
        <v>0</v>
      </c>
      <c r="S141" s="108" t="str">
        <f>IFERROR(Table19[[#This Row],[Num of Stocks]]*Table19[[#This Row],[Ave Entry]],"")</f>
        <v/>
      </c>
      <c r="T141" s="39">
        <f ca="1">Table19[[#This Row],[Combined Exposure]]/$C$8</f>
        <v>0</v>
      </c>
    </row>
    <row r="142" spans="1:20">
      <c r="A142" t="e" vm="55">
        <v>#VALUE!</v>
      </c>
      <c r="B142" s="13" t="str" cm="1">
        <f t="array" aca="1" ref="B142" ca="1">_FV(A142,"Ticker symbol",TRUE)</f>
        <v>RRC</v>
      </c>
      <c r="C142" s="13" t="s">
        <v>31</v>
      </c>
      <c r="D142" s="13" t="s">
        <v>119</v>
      </c>
      <c r="E142" s="19" cm="1">
        <f t="array" aca="1" ref="E142" ca="1">IFERROR(_FV(A142,"Beta"),2)</f>
        <v>0.51180000000000003</v>
      </c>
      <c r="F142" s="13" t="str" cm="1">
        <f t="array" aca="1" ref="F142" ca="1">_FV(A142,"Instrument type",TRUE)</f>
        <v>Stock</v>
      </c>
      <c r="G142" s="18" cm="1">
        <f t="array" aca="1" ref="G142" ca="1">_FV(Table19[[#This Row],[Assets]],"Price")</f>
        <v>46.12</v>
      </c>
      <c r="H142" s="36">
        <f>IFERROR(VLOOKUP(Table19[[#This Row],[Assets]],Table25[#All],15,FALSE),"")</f>
        <v>36.57</v>
      </c>
      <c r="I142" s="36">
        <f>IFERROR(VLOOKUP(Table19[[#This Row],[Assets]],Table25[#All],16,FALSE),0)</f>
        <v>86.800000000000068</v>
      </c>
      <c r="J142" s="84">
        <f ca="1">IFERROR((Table19[[#This Row],[Price]]-Table19[[#This Row],[Ave Entry]])/Table19[[#This Row],[Ave Entry]],"")</f>
        <v>0.26114301339896084</v>
      </c>
      <c r="K142" s="92">
        <f ca="1">IFERROR((Table19[[#This Row],[Price]]-Table19[[#This Row],[Ave Entry]])*Table19[[#This Row],[Num of Stocks]],0)</f>
        <v>0</v>
      </c>
      <c r="L142" s="38" cm="1">
        <f t="array" aca="1" ref="L142" ca="1">_FV(Table19[[#This Row],[Assets]],"Change (%)",TRUE)</f>
        <v>3.9179999999999996E-3</v>
      </c>
      <c r="M142" s="36">
        <f>SUMIF(Table20[Asset],Table19[[#This Row],[Assets]],Table20[realized_profit])</f>
        <v>0</v>
      </c>
      <c r="N142" s="36">
        <f>SUMIF(Table20[[#All],[Asset]],Table19[[#This Row],[Assets]],Table20[[#All],[delta_exposure]])</f>
        <v>0</v>
      </c>
      <c r="O142" s="38">
        <f ca="1">Table19[[#This Row],[Option Exposure]]/$B$6</f>
        <v>0</v>
      </c>
      <c r="P142" s="51">
        <f>SUMIF(Table25[[#All],[Assets]],Table19[[#This Row],[Assets]],Table25[[#All],[Number of stocks]])</f>
        <v>0</v>
      </c>
      <c r="Q142" s="36">
        <f ca="1">Table19[[#This Row],[Num of Stocks]]*Table19[[#This Row],[Price]]</f>
        <v>0</v>
      </c>
      <c r="R142" s="36">
        <f ca="1">Table19[[#This Row],[Stock Exposure]]+Table19[[#This Row],[Option Exposure]]</f>
        <v>0</v>
      </c>
      <c r="S142" s="108">
        <f>IFERROR(Table19[[#This Row],[Num of Stocks]]*Table19[[#This Row],[Ave Entry]],"")</f>
        <v>0</v>
      </c>
      <c r="T142" s="39">
        <f ca="1">Table19[[#This Row],[Combined Exposure]]/$C$8</f>
        <v>0</v>
      </c>
    </row>
    <row r="143" spans="1:20">
      <c r="A143" t="e" vm="63">
        <v>#VALUE!</v>
      </c>
      <c r="B143" s="13" t="str" cm="1">
        <f t="array" aca="1" ref="B143" ca="1">_FV(A143,"Ticker symbol",TRUE)</f>
        <v>TSLA</v>
      </c>
      <c r="C143" s="13" t="s">
        <v>120</v>
      </c>
      <c r="D143" s="13" t="s">
        <v>261</v>
      </c>
      <c r="E143" s="19" cm="1">
        <f t="array" aca="1" ref="E143" ca="1">IFERROR(_FV(A143,"Beta"),2)</f>
        <v>1.9061999999999999</v>
      </c>
      <c r="F143" s="13" t="str" cm="1">
        <f t="array" aca="1" ref="F143" ca="1">_FV(A143,"Instrument type",TRUE)</f>
        <v>Stock</v>
      </c>
      <c r="G143" s="18" cm="1">
        <f t="array" aca="1" ref="G143" ca="1">_FV(Table19[[#This Row],[Assets]],"Price")</f>
        <v>394.5401</v>
      </c>
      <c r="H143" s="36">
        <f>IFERROR(VLOOKUP(Table19[[#This Row],[Assets]],Table25[#All],15,FALSE),"")</f>
        <v>268.06538461538463</v>
      </c>
      <c r="I143" s="36">
        <f>IFERROR(VLOOKUP(Table19[[#This Row],[Assets]],Table25[#All],16,FALSE),0)</f>
        <v>755.77999999999884</v>
      </c>
      <c r="J143" s="84">
        <f ca="1">IFERROR((Table19[[#This Row],[Price]]-Table19[[#This Row],[Ave Entry]])/Table19[[#This Row],[Ave Entry]],"")</f>
        <v>0.47180547225849023</v>
      </c>
      <c r="K143" s="92">
        <f ca="1">IFERROR((Table19[[#This Row],[Price]]-Table19[[#This Row],[Ave Entry]])*Table19[[#This Row],[Num of Stocks]],0)</f>
        <v>0</v>
      </c>
      <c r="L143" s="38" cm="1">
        <f t="array" aca="1" ref="L143" ca="1">_FV(Table19[[#This Row],[Assets]],"Change (%)",TRUE)</f>
        <v>3.005E-2</v>
      </c>
      <c r="M143" s="36">
        <f>SUMIF(Table20[Asset],Table19[[#This Row],[Assets]],Table20[realized_profit])</f>
        <v>4153</v>
      </c>
      <c r="N143" s="36">
        <f ca="1">SUMIF(Table20[[#All],[Asset]],Table19[[#This Row],[Assets]],Table20[[#All],[delta_exposure]])</f>
        <v>0</v>
      </c>
      <c r="O143" s="98">
        <f ca="1">Table19[[#This Row],[Option Exposure]]/$B$6</f>
        <v>0</v>
      </c>
      <c r="P143" s="51">
        <f>SUMIF(Table25[[#All],[Assets]],Table19[[#This Row],[Assets]],Table25[[#All],[Number of stocks]])</f>
        <v>0</v>
      </c>
      <c r="Q143" s="36">
        <f ca="1">Table19[[#This Row],[Num of Stocks]]*Table19[[#This Row],[Price]]</f>
        <v>0</v>
      </c>
      <c r="R143" s="36">
        <f ca="1">Table19[[#This Row],[Stock Exposure]]+Table19[[#This Row],[Option Exposure]]</f>
        <v>0</v>
      </c>
      <c r="S143" s="108">
        <f>IFERROR(Table19[[#This Row],[Num of Stocks]]*Table19[[#This Row],[Ave Entry]],"")</f>
        <v>0</v>
      </c>
      <c r="T143" s="39">
        <f ca="1">Table19[[#This Row],[Combined Exposure]]/$C$8</f>
        <v>0</v>
      </c>
    </row>
    <row r="144" spans="1:20">
      <c r="A144" t="e" vm="89">
        <v>#VALUE!</v>
      </c>
      <c r="B144" s="13" t="str" cm="1">
        <f t="array" aca="1" ref="B144" ca="1">_FV(A144,"Ticker symbol",TRUE)</f>
        <v>BKSY</v>
      </c>
      <c r="C144" s="13" t="s">
        <v>56</v>
      </c>
      <c r="D144" s="13" t="s">
        <v>495</v>
      </c>
      <c r="E144" s="19" cm="1">
        <f t="array" aca="1" ref="E144" ca="1">IFERROR(_FV(A144,"Beta"),2)</f>
        <v>2.2599999999999998</v>
      </c>
      <c r="F144" s="13" t="str" cm="1">
        <f t="array" aca="1" ref="F144" ca="1">_FV(A144,"Instrument type",TRUE)</f>
        <v>Stock</v>
      </c>
      <c r="G144" s="18" cm="1">
        <f t="array" aca="1" ref="G144" ca="1">_FV(Table19[[#This Row],[Assets]],"Price")</f>
        <v>28.614999999999998</v>
      </c>
      <c r="H144" s="36">
        <f>IFERROR(VLOOKUP(Table19[[#This Row],[Assets]],Table25[#All],15,FALSE),"")</f>
        <v>11.51</v>
      </c>
      <c r="I144" s="36">
        <f>IFERROR(VLOOKUP(Table19[[#This Row],[Assets]],Table25[#All],16,FALSE),0)</f>
        <v>685.54999999999984</v>
      </c>
      <c r="J144" s="84">
        <f ca="1">IFERROR((Table19[[#This Row],[Price]]-Table19[[#This Row],[Ave Entry]])/Table19[[#This Row],[Ave Entry]],"")</f>
        <v>1.4860990443092961</v>
      </c>
      <c r="K144" s="92">
        <f ca="1">IFERROR((Table19[[#This Row],[Price]]-Table19[[#This Row],[Ave Entry]])*Table19[[#This Row],[Num of Stocks]],0)</f>
        <v>0</v>
      </c>
      <c r="L144" s="38" cm="1">
        <f t="array" aca="1" ref="L144" ca="1">_FV(Table19[[#This Row],[Assets]],"Change (%)",TRUE)</f>
        <v>0.125246</v>
      </c>
      <c r="M144" s="36">
        <f>SUMIF(Table20[Asset],Table19[[#This Row],[Assets]],Table20[realized_profit])</f>
        <v>0</v>
      </c>
      <c r="N144" s="36">
        <f>SUMIF(Table20[[#All],[Asset]],Table19[[#This Row],[Assets]],Table20[[#All],[delta_exposure]])</f>
        <v>0</v>
      </c>
      <c r="O144" s="38">
        <f ca="1">Table19[[#This Row],[Option Exposure]]/$B$6</f>
        <v>0</v>
      </c>
      <c r="P144" s="51">
        <f>SUMIF(Table25[[#All],[Assets]],Table19[[#This Row],[Assets]],Table25[[#All],[Number of stocks]])</f>
        <v>0</v>
      </c>
      <c r="Q144" s="36">
        <f ca="1">Table19[[#This Row],[Num of Stocks]]*Table19[[#This Row],[Price]]</f>
        <v>0</v>
      </c>
      <c r="R144" s="36">
        <f ca="1">Table19[[#This Row],[Stock Exposure]]+Table19[[#This Row],[Option Exposure]]</f>
        <v>0</v>
      </c>
      <c r="S144" s="108">
        <f>IFERROR(Table19[[#This Row],[Num of Stocks]]*Table19[[#This Row],[Ave Entry]],"")</f>
        <v>0</v>
      </c>
      <c r="T144" s="39">
        <f ca="1">Table19[[#This Row],[Combined Exposure]]/$C$8</f>
        <v>0</v>
      </c>
    </row>
    <row r="145" spans="1:20">
      <c r="A145" t="e" vm="248">
        <v>#VALUE!</v>
      </c>
      <c r="B145" s="13" t="str" cm="1">
        <f t="array" aca="1" ref="B145" ca="1">_FV(A145,"Ticker symbol",TRUE)</f>
        <v>GTLS</v>
      </c>
      <c r="C145" s="13" t="s">
        <v>31</v>
      </c>
      <c r="D145" s="13" t="s">
        <v>128</v>
      </c>
      <c r="E145" s="19" cm="1">
        <f t="array" aca="1" ref="E145" ca="1">IFERROR(_FV(A145,"Beta"),2)</f>
        <v>1.7139</v>
      </c>
      <c r="F145" s="13" t="str" cm="1">
        <f t="array" aca="1" ref="F145" ca="1">_FV(A145,"Instrument type",TRUE)</f>
        <v>Stock</v>
      </c>
      <c r="G145" s="18" cm="1">
        <f t="array" aca="1" ref="G145" ca="1">_FV(Table19[[#This Row],[Assets]],"Price")</f>
        <v>206.83500000000001</v>
      </c>
      <c r="H145" s="36">
        <f>IFERROR(VLOOKUP(Table19[[#This Row],[Assets]],Table25[#All],15,FALSE),"")</f>
        <v>192.20714285714286</v>
      </c>
      <c r="I145" s="36">
        <f>IFERROR(VLOOKUP(Table19[[#This Row],[Assets]],Table25[#All],16,FALSE),0)</f>
        <v>-333.53</v>
      </c>
      <c r="J145" s="84">
        <f ca="1">IFERROR((Table19[[#This Row],[Price]]-Table19[[#This Row],[Ave Entry]])/Table19[[#This Row],[Ave Entry]],"")</f>
        <v>7.6104649002192631E-2</v>
      </c>
      <c r="K145" s="92">
        <f ca="1">IFERROR((Table19[[#This Row],[Price]]-Table19[[#This Row],[Ave Entry]])*Table19[[#This Row],[Num of Stocks]],0)</f>
        <v>0</v>
      </c>
      <c r="L145" s="38" cm="1">
        <f t="array" aca="1" ref="L145" ca="1">_FV(Table19[[#This Row],[Assets]],"Change (%)",TRUE)</f>
        <v>-1.0380000000000001E-3</v>
      </c>
      <c r="M145" s="36">
        <f>SUMIF(Table20[Asset],Table19[[#This Row],[Assets]],Table20[realized_profit])</f>
        <v>0</v>
      </c>
      <c r="N145" s="36">
        <f>SUMIF(Table20[[#All],[Asset]],Table19[[#This Row],[Assets]],Table20[[#All],[delta_exposure]])</f>
        <v>0</v>
      </c>
      <c r="O145" s="38">
        <f ca="1">Table19[[#This Row],[Option Exposure]]/$B$6</f>
        <v>0</v>
      </c>
      <c r="P145" s="51">
        <f>SUMIF(Table25[[#All],[Assets]],Table19[[#This Row],[Assets]],Table25[[#All],[Number of stocks]])</f>
        <v>0</v>
      </c>
      <c r="Q145" s="36">
        <f ca="1">Table19[[#This Row],[Num of Stocks]]*Table19[[#This Row],[Price]]</f>
        <v>0</v>
      </c>
      <c r="R145" s="36">
        <f ca="1">Table19[[#This Row],[Stock Exposure]]+Table19[[#This Row],[Option Exposure]]</f>
        <v>0</v>
      </c>
      <c r="S145" s="108">
        <f>IFERROR(Table19[[#This Row],[Num of Stocks]]*Table19[[#This Row],[Ave Entry]],"")</f>
        <v>0</v>
      </c>
      <c r="T145" s="39">
        <f ca="1">Table19[[#This Row],[Combined Exposure]]/$C$8</f>
        <v>0</v>
      </c>
    </row>
    <row r="146" spans="1:20">
      <c r="A146" t="e" vm="249">
        <v>#VALUE!</v>
      </c>
      <c r="B146" s="13" t="str" cm="1">
        <f t="array" aca="1" ref="B146" ca="1">_FV(A146,"Ticker symbol",TRUE)</f>
        <v>OSCR</v>
      </c>
      <c r="C146" s="13" t="s">
        <v>53</v>
      </c>
      <c r="D146" s="13" t="s">
        <v>53</v>
      </c>
      <c r="E146" s="19" cm="1">
        <f t="array" aca="1" ref="E146" ca="1">IFERROR(_FV(A146,"Beta"),2)</f>
        <v>1.9135</v>
      </c>
      <c r="F146" s="13" t="str" cm="1">
        <f t="array" aca="1" ref="F146" ca="1">_FV(A146,"Instrument type",TRUE)</f>
        <v>Stock</v>
      </c>
      <c r="G146" s="18" cm="1">
        <f t="array" aca="1" ref="G146" ca="1">_FV(Table19[[#This Row],[Assets]],"Price")</f>
        <v>12.1</v>
      </c>
      <c r="H146" s="36">
        <f>IFERROR(VLOOKUP(Table19[[#This Row],[Assets]],Table25[#All],15,FALSE),"")</f>
        <v>16.187692307692306</v>
      </c>
      <c r="I146" s="36">
        <f>IFERROR(VLOOKUP(Table19[[#This Row],[Assets]],Table25[#All],16,FALSE),0)</f>
        <v>-229.20000000000002</v>
      </c>
      <c r="J146" s="84">
        <f ca="1">IFERROR((Table19[[#This Row],[Price]]-Table19[[#This Row],[Ave Entry]])/Table19[[#This Row],[Ave Entry]],"")</f>
        <v>-0.25251853259836526</v>
      </c>
      <c r="K146" s="92">
        <f ca="1">IFERROR((Table19[[#This Row],[Price]]-Table19[[#This Row],[Ave Entry]])*Table19[[#This Row],[Num of Stocks]],0)</f>
        <v>0</v>
      </c>
      <c r="L146" s="38" cm="1">
        <f t="array" aca="1" ref="L146" ca="1">_FV(Table19[[#This Row],[Assets]],"Change (%)",TRUE)</f>
        <v>5.8189999999999995E-3</v>
      </c>
      <c r="M146" s="36">
        <f>SUMIF(Table20[Asset],Table19[[#This Row],[Assets]],Table20[realized_profit])</f>
        <v>-217.5</v>
      </c>
      <c r="N146" s="36">
        <f ca="1">SUMIF(Table20[[#All],[Asset]],Table19[[#This Row],[Assets]],Table20[[#All],[delta_exposure]])</f>
        <v>0</v>
      </c>
      <c r="O146" s="38">
        <f ca="1">Table19[[#This Row],[Option Exposure]]/$B$6</f>
        <v>0</v>
      </c>
      <c r="P146" s="51">
        <f>SUMIF(Table25[[#All],[Assets]],Table19[[#This Row],[Assets]],Table25[[#All],[Number of stocks]])</f>
        <v>0</v>
      </c>
      <c r="Q146" s="36">
        <f ca="1">Table19[[#This Row],[Num of Stocks]]*Table19[[#This Row],[Price]]</f>
        <v>0</v>
      </c>
      <c r="R146" s="36">
        <f ca="1">Table19[[#This Row],[Stock Exposure]]+Table19[[#This Row],[Option Exposure]]</f>
        <v>0</v>
      </c>
      <c r="S146" s="108">
        <f>IFERROR(Table19[[#This Row],[Num of Stocks]]*Table19[[#This Row],[Ave Entry]],"")</f>
        <v>0</v>
      </c>
      <c r="T146" s="39">
        <f ca="1">Table19[[#This Row],[Combined Exposure]]/$C$8</f>
        <v>0</v>
      </c>
    </row>
    <row r="147" spans="1:20">
      <c r="A147" t="e" vm="84">
        <v>#VALUE!</v>
      </c>
      <c r="B147" s="13" t="str" cm="1">
        <f t="array" aca="1" ref="B147" ca="1">_FV(A147,"Ticker symbol",TRUE)</f>
        <v>COIN</v>
      </c>
      <c r="C147" s="13" t="s">
        <v>54</v>
      </c>
      <c r="D147" s="13" t="s">
        <v>23</v>
      </c>
      <c r="E147" s="19" cm="1">
        <f t="array" aca="1" ref="E147" ca="1">IFERROR(_FV(A147,"Beta"),2)</f>
        <v>3.6015999999999999</v>
      </c>
      <c r="F147" s="13" t="str" cm="1">
        <f t="array" aca="1" ref="F147" ca="1">_FV(A147,"Instrument type",TRUE)</f>
        <v>Stock</v>
      </c>
      <c r="G147" s="18" cm="1">
        <f t="array" aca="1" ref="G147" ca="1">_FV(Table19[[#This Row],[Assets]],"Price")</f>
        <v>188</v>
      </c>
      <c r="H147" s="36">
        <f>IFERROR(VLOOKUP(Table19[[#This Row],[Assets]],Table25[#All],15,FALSE),"")</f>
        <v>329.48545454545456</v>
      </c>
      <c r="I147" s="36">
        <f>IFERROR(VLOOKUP(Table19[[#This Row],[Assets]],Table25[#All],16,FALSE),0)</f>
        <v>-225.11000000000035</v>
      </c>
      <c r="J147" s="84">
        <f ca="1">IFERROR((Table19[[#This Row],[Price]]-Table19[[#This Row],[Ave Entry]])/Table19[[#This Row],[Ave Entry]],"")</f>
        <v>-0.42941335525916446</v>
      </c>
      <c r="K147" s="92">
        <f ca="1">IFERROR((Table19[[#This Row],[Price]]-Table19[[#This Row],[Ave Entry]])*Table19[[#This Row],[Num of Stocks]],0)</f>
        <v>0</v>
      </c>
      <c r="L147" s="38" cm="1">
        <f t="array" aca="1" ref="L147" ca="1">_FV(Table19[[#This Row],[Assets]],"Change (%)",TRUE)</f>
        <v>3.8445E-2</v>
      </c>
      <c r="M147" s="36">
        <f>SUMIF(Table20[Asset],Table19[[#This Row],[Assets]],Table20[realized_profit])</f>
        <v>4035</v>
      </c>
      <c r="N147" s="36">
        <f ca="1">SUMIF(Table20[[#All],[Asset]],Table19[[#This Row],[Assets]],Table20[[#All],[delta_exposure]])</f>
        <v>0</v>
      </c>
      <c r="O147" s="38">
        <f ca="1">Table19[[#This Row],[Option Exposure]]/$B$6</f>
        <v>0</v>
      </c>
      <c r="P147" s="51">
        <f>SUMIF(Table25[[#All],[Assets]],Table19[[#This Row],[Assets]],Table25[[#All],[Number of stocks]])</f>
        <v>0</v>
      </c>
      <c r="Q147" s="36">
        <f ca="1">Table19[[#This Row],[Num of Stocks]]*Table19[[#This Row],[Price]]</f>
        <v>0</v>
      </c>
      <c r="R147" s="36">
        <f ca="1">Table19[[#This Row],[Stock Exposure]]+Table19[[#This Row],[Option Exposure]]</f>
        <v>0</v>
      </c>
      <c r="S147" s="108">
        <f>IFERROR(Table19[[#This Row],[Num of Stocks]]*Table19[[#This Row],[Ave Entry]],"")</f>
        <v>0</v>
      </c>
      <c r="T147" s="39">
        <f ca="1">Table19[[#This Row],[Combined Exposure]]/$C$8</f>
        <v>0</v>
      </c>
    </row>
    <row r="148" spans="1:20">
      <c r="A148" t="e" vm="2">
        <v>#VALUE!</v>
      </c>
      <c r="B148" s="13" t="str" cm="1">
        <f t="array" aca="1" ref="B148" ca="1">_FV(A148,"Ticker symbol",TRUE)</f>
        <v>MPTI</v>
      </c>
      <c r="C148" s="13" t="s">
        <v>56</v>
      </c>
      <c r="D148" s="13" t="s">
        <v>513</v>
      </c>
      <c r="E148" s="19" cm="1">
        <f t="array" aca="1" ref="E148" ca="1">IFERROR(_FV(A148,"Beta"),2)</f>
        <v>0.65980000000000005</v>
      </c>
      <c r="F148" s="13" t="str" cm="1">
        <f t="array" aca="1" ref="F148" ca="1">_FV(A148,"Instrument type",TRUE)</f>
        <v>Stock</v>
      </c>
      <c r="G148" s="18" cm="1">
        <f t="array" aca="1" ref="G148" ca="1">_FV(Table19[[#This Row],[Assets]],"Price")</f>
        <v>71.38</v>
      </c>
      <c r="H148" s="36">
        <f>IFERROR(VLOOKUP(Table19[[#This Row],[Assets]],Table25[#All],15,FALSE),"")</f>
        <v>46.809999999999995</v>
      </c>
      <c r="I148" s="36">
        <f>IFERROR(VLOOKUP(Table19[[#This Row],[Assets]],Table25[#All],16,FALSE),0)</f>
        <v>-123.74999999999957</v>
      </c>
      <c r="J148" s="84">
        <f ca="1">IFERROR((Table19[[#This Row],[Price]]-Table19[[#This Row],[Ave Entry]])/Table19[[#This Row],[Ave Entry]],"")</f>
        <v>0.52488784447767578</v>
      </c>
      <c r="K148" s="92">
        <f ca="1">IFERROR((Table19[[#This Row],[Price]]-Table19[[#This Row],[Ave Entry]])*Table19[[#This Row],[Num of Stocks]],0)</f>
        <v>0</v>
      </c>
      <c r="L148" s="38" cm="1">
        <f t="array" aca="1" ref="L148" ca="1">_FV(Table19[[#This Row],[Assets]],"Change (%)",TRUE)</f>
        <v>0.117233</v>
      </c>
      <c r="M148" s="36">
        <f>SUMIF(Table20[Asset],Table19[[#This Row],[Assets]],Table20[realized_profit])</f>
        <v>0</v>
      </c>
      <c r="N148" s="36">
        <f>SUMIF(Table20[[#All],[Asset]],Table19[[#This Row],[Assets]],Table20[[#All],[delta_exposure]])</f>
        <v>0</v>
      </c>
      <c r="O148" s="38">
        <f ca="1">Table19[[#This Row],[Option Exposure]]/$B$6</f>
        <v>0</v>
      </c>
      <c r="P148" s="51">
        <f>SUMIF(Table25[[#All],[Assets]],Table19[[#This Row],[Assets]],Table25[[#All],[Number of stocks]])</f>
        <v>0</v>
      </c>
      <c r="Q148" s="36">
        <f ca="1">Table19[[#This Row],[Num of Stocks]]*Table19[[#This Row],[Price]]</f>
        <v>0</v>
      </c>
      <c r="R148" s="36">
        <f ca="1">Table19[[#This Row],[Stock Exposure]]+Table19[[#This Row],[Option Exposure]]</f>
        <v>0</v>
      </c>
      <c r="S148" s="108">
        <f>IFERROR(Table19[[#This Row],[Num of Stocks]]*Table19[[#This Row],[Ave Entry]],"")</f>
        <v>0</v>
      </c>
      <c r="T148" s="39">
        <f ca="1">Table19[[#This Row],[Combined Exposure]]/$C$8</f>
        <v>0</v>
      </c>
    </row>
    <row r="149" spans="1:20">
      <c r="A149" t="e" vm="88">
        <v>#VALUE!</v>
      </c>
      <c r="B149" s="13" t="str" cm="1">
        <f t="array" aca="1" ref="B149" ca="1">_FV(A149,"Ticker symbol",TRUE)</f>
        <v>SPIR</v>
      </c>
      <c r="C149" s="13" t="s">
        <v>56</v>
      </c>
      <c r="D149" s="13" t="s">
        <v>495</v>
      </c>
      <c r="E149" s="19" cm="1">
        <f t="array" aca="1" ref="E149" ca="1">IFERROR(_FV(A149,"Beta"),2)</f>
        <v>2.2465000000000002</v>
      </c>
      <c r="F149" s="13" t="str" cm="1">
        <f t="array" aca="1" ref="F149" ca="1">_FV(A149,"Instrument type",TRUE)</f>
        <v>Stock</v>
      </c>
      <c r="G149" s="18" cm="1">
        <f t="array" aca="1" ref="G149" ca="1">_FV(Table19[[#This Row],[Assets]],"Price")</f>
        <v>14.8499</v>
      </c>
      <c r="H149" s="36">
        <f>IFERROR(VLOOKUP(Table19[[#This Row],[Assets]],Table25[#All],15,FALSE),"")</f>
        <v>13.013583815028902</v>
      </c>
      <c r="I149" s="36">
        <f>IFERROR(VLOOKUP(Table19[[#This Row],[Assets]],Table25[#All],16,FALSE),0)</f>
        <v>-156.33000000000001</v>
      </c>
      <c r="J149" s="84">
        <f ca="1">IFERROR((Table19[[#This Row],[Price]]-Table19[[#This Row],[Ave Entry]])/Table19[[#This Row],[Ave Entry]],"")</f>
        <v>0.14110764652319718</v>
      </c>
      <c r="K149" s="92">
        <f ca="1">IFERROR((Table19[[#This Row],[Price]]-Table19[[#This Row],[Ave Entry]])*Table19[[#This Row],[Num of Stocks]],0)</f>
        <v>0</v>
      </c>
      <c r="L149" s="38" cm="1">
        <f t="array" aca="1" ref="L149" ca="1">_FV(Table19[[#This Row],[Assets]],"Change (%)",TRUE)</f>
        <v>0.15833900000000001</v>
      </c>
      <c r="M149" s="36">
        <f>SUMIF(Table20[Asset],Table19[[#This Row],[Assets]],Table20[realized_profit])</f>
        <v>0</v>
      </c>
      <c r="N149" s="36">
        <f>SUMIF(Table20[[#All],[Asset]],Table19[[#This Row],[Assets]],Table20[[#All],[delta_exposure]])</f>
        <v>0</v>
      </c>
      <c r="O149" s="38">
        <f ca="1">Table19[[#This Row],[Option Exposure]]/$B$6</f>
        <v>0</v>
      </c>
      <c r="P149" s="51">
        <f>SUMIF(Table25[[#All],[Assets]],Table19[[#This Row],[Assets]],Table25[[#All],[Number of stocks]])</f>
        <v>0</v>
      </c>
      <c r="Q149" s="36">
        <f ca="1">Table19[[#This Row],[Num of Stocks]]*Table19[[#This Row],[Price]]</f>
        <v>0</v>
      </c>
      <c r="R149" s="36">
        <f ca="1">Table19[[#This Row],[Stock Exposure]]+Table19[[#This Row],[Option Exposure]]</f>
        <v>0</v>
      </c>
      <c r="S149" s="108">
        <f>IFERROR(Table19[[#This Row],[Num of Stocks]]*Table19[[#This Row],[Ave Entry]],"")</f>
        <v>0</v>
      </c>
      <c r="T149" s="39">
        <f ca="1">Table19[[#This Row],[Combined Exposure]]/$C$8</f>
        <v>0</v>
      </c>
    </row>
    <row r="150" spans="1:20">
      <c r="A150" t="e" vm="75">
        <v>#VALUE!</v>
      </c>
      <c r="B150" s="13" t="str" cm="1">
        <f t="array" aca="1" ref="B150" ca="1">_FV(A150,"Ticker symbol",TRUE)</f>
        <v>QTRX</v>
      </c>
      <c r="C150" s="13" t="s">
        <v>53</v>
      </c>
      <c r="D150" s="13" t="s">
        <v>311</v>
      </c>
      <c r="E150" s="19" cm="1">
        <f t="array" aca="1" ref="E150" ca="1">IFERROR(_FV(A150,"Beta"),2)</f>
        <v>1.2841</v>
      </c>
      <c r="F150" s="13" t="str" cm="1">
        <f t="array" aca="1" ref="F150" ca="1">_FV(A150,"Instrument type",TRUE)</f>
        <v>Stock</v>
      </c>
      <c r="G150" s="18" cm="1">
        <f t="array" aca="1" ref="G150" ca="1">_FV(Table19[[#This Row],[Assets]],"Price")</f>
        <v>4.1100000000000003</v>
      </c>
      <c r="H150" s="36">
        <f>IFERROR(VLOOKUP(Table19[[#This Row],[Assets]],Table25[#All],15,FALSE),"")</f>
        <v>6.9123659517426264</v>
      </c>
      <c r="I150" s="36">
        <f>IFERROR(VLOOKUP(Table19[[#This Row],[Assets]],Table25[#All],16,FALSE),0)</f>
        <v>-1904.8999999999983</v>
      </c>
      <c r="J150" s="84">
        <f ca="1">IFERROR((Table19[[#This Row],[Price]]-Table19[[#This Row],[Ave Entry]])/Table19[[#This Row],[Ave Entry]],"")</f>
        <v>-0.40541342447821965</v>
      </c>
      <c r="K150" s="92">
        <f ca="1">IFERROR((Table19[[#This Row],[Price]]-Table19[[#This Row],[Ave Entry]])*Table19[[#This Row],[Num of Stocks]],0)</f>
        <v>0</v>
      </c>
      <c r="L150" s="38" cm="1">
        <f t="array" aca="1" ref="L150" ca="1">_FV(Table19[[#This Row],[Assets]],"Change (%)",TRUE)</f>
        <v>7.5915999999999997E-2</v>
      </c>
      <c r="M150" s="36">
        <f>SUMIF(Table20[Asset],Table19[[#This Row],[Assets]],Table20[realized_profit])</f>
        <v>0</v>
      </c>
      <c r="N150" s="36">
        <f>SUMIF(Table20[[#All],[Asset]],Table19[[#This Row],[Assets]],Table20[[#All],[delta_exposure]])</f>
        <v>0</v>
      </c>
      <c r="O150" s="38">
        <f ca="1">Table19[[#This Row],[Option Exposure]]/$B$6</f>
        <v>0</v>
      </c>
      <c r="P150" s="51">
        <f>SUMIF(Table25[[#All],[Assets]],Table19[[#This Row],[Assets]],Table25[[#All],[Number of stocks]])</f>
        <v>0</v>
      </c>
      <c r="Q150" s="36">
        <f ca="1">Table19[[#This Row],[Num of Stocks]]*Table19[[#This Row],[Price]]</f>
        <v>0</v>
      </c>
      <c r="R150" s="36">
        <f ca="1">Table19[[#This Row],[Stock Exposure]]+Table19[[#This Row],[Option Exposure]]</f>
        <v>0</v>
      </c>
      <c r="S150" s="108">
        <f>IFERROR(Table19[[#This Row],[Num of Stocks]]*Table19[[#This Row],[Ave Entry]],"")</f>
        <v>0</v>
      </c>
      <c r="T150" s="39">
        <f ca="1">Table19[[#This Row],[Combined Exposure]]/$C$8</f>
        <v>0</v>
      </c>
    </row>
    <row r="151" spans="1:20">
      <c r="A151" t="e" vm="250">
        <v>#VALUE!</v>
      </c>
      <c r="B151" s="13" t="str" cm="1">
        <f t="array" aca="1" ref="B151" ca="1">_FV(A151,"Ticker symbol",TRUE)</f>
        <v>WRBY</v>
      </c>
      <c r="C151" s="13" t="s">
        <v>55</v>
      </c>
      <c r="D151" s="13" t="s">
        <v>83</v>
      </c>
      <c r="E151" s="19" cm="1">
        <f t="array" aca="1" ref="E151" ca="1">IFERROR(_FV(A151,"Beta"),2)</f>
        <v>2.0386000000000002</v>
      </c>
      <c r="F151" s="13" t="str" cm="1">
        <f t="array" aca="1" ref="F151" ca="1">_FV(A151,"Instrument type",TRUE)</f>
        <v>Stock</v>
      </c>
      <c r="G151" s="18" cm="1">
        <f t="array" aca="1" ref="G151" ca="1">_FV(Table19[[#This Row],[Assets]],"Price")</f>
        <v>23.78</v>
      </c>
      <c r="H151" s="36">
        <f>IFERROR(VLOOKUP(Table19[[#This Row],[Assets]],Table25[#All],15,FALSE),"")</f>
        <v>20.16</v>
      </c>
      <c r="I151" s="36">
        <f>IFERROR(VLOOKUP(Table19[[#This Row],[Assets]],Table25[#All],16,FALSE),0)</f>
        <v>167.79000000000005</v>
      </c>
      <c r="J151" s="84">
        <f ca="1">IFERROR((Table19[[#This Row],[Price]]-Table19[[#This Row],[Ave Entry]])/Table19[[#This Row],[Ave Entry]],"")</f>
        <v>0.17956349206349212</v>
      </c>
      <c r="K151" s="92">
        <f ca="1">IFERROR((Table19[[#This Row],[Price]]-Table19[[#This Row],[Ave Entry]])*Table19[[#This Row],[Num of Stocks]],0)</f>
        <v>0</v>
      </c>
      <c r="L151" s="38" cm="1">
        <f t="array" aca="1" ref="L151" ca="1">_FV(Table19[[#This Row],[Assets]],"Change (%)",TRUE)</f>
        <v>3.1223000000000001E-2</v>
      </c>
      <c r="M151" s="36">
        <f>SUMIF(Table20[Asset],Table19[[#This Row],[Assets]],Table20[realized_profit])</f>
        <v>0</v>
      </c>
      <c r="N151" s="36">
        <f>SUMIF(Table20[[#All],[Asset]],Table19[[#This Row],[Assets]],Table20[[#All],[delta_exposure]])</f>
        <v>0</v>
      </c>
      <c r="O151" s="38">
        <f ca="1">Table19[[#This Row],[Option Exposure]]/$B$6</f>
        <v>0</v>
      </c>
      <c r="P151" s="51">
        <f>SUMIF(Table25[[#All],[Assets]],Table19[[#This Row],[Assets]],Table25[[#All],[Number of stocks]])</f>
        <v>0</v>
      </c>
      <c r="Q151" s="36">
        <f ca="1">Table19[[#This Row],[Num of Stocks]]*Table19[[#This Row],[Price]]</f>
        <v>0</v>
      </c>
      <c r="R151" s="36">
        <f ca="1">Table19[[#This Row],[Stock Exposure]]+Table19[[#This Row],[Option Exposure]]</f>
        <v>0</v>
      </c>
      <c r="S151" s="108">
        <f>IFERROR(Table19[[#This Row],[Num of Stocks]]*Table19[[#This Row],[Ave Entry]],"")</f>
        <v>0</v>
      </c>
      <c r="T151" s="39">
        <f ca="1">Table19[[#This Row],[Combined Exposure]]/$C$8</f>
        <v>0</v>
      </c>
    </row>
    <row r="152" spans="1:20">
      <c r="A152" t="e" vm="53">
        <v>#VALUE!</v>
      </c>
      <c r="B152" s="13" t="str" cm="1">
        <f t="array" aca="1" ref="B152" ca="1">_FV(A152,"Ticker symbol",TRUE)</f>
        <v>PESI</v>
      </c>
      <c r="C152" s="13" t="s">
        <v>136</v>
      </c>
      <c r="D152" s="13" t="s">
        <v>136</v>
      </c>
      <c r="E152" s="19" cm="1">
        <f t="array" aca="1" ref="E152" ca="1">IFERROR(_FV(A152,"Beta"),2)</f>
        <v>0.50380000000000003</v>
      </c>
      <c r="F152" s="13" t="str" cm="1">
        <f t="array" aca="1" ref="F152" ca="1">_FV(A152,"Instrument type",TRUE)</f>
        <v>Stock</v>
      </c>
      <c r="G152" s="18" cm="1">
        <f t="array" aca="1" ref="G152" ca="1">_FV(Table19[[#This Row],[Assets]],"Price")</f>
        <v>11.175000000000001</v>
      </c>
      <c r="H152" s="36">
        <f>IFERROR(VLOOKUP(Table19[[#This Row],[Assets]],Table25[#All],15,FALSE),"")</f>
        <v>12.866249999999999</v>
      </c>
      <c r="I152" s="36">
        <f>IFERROR(VLOOKUP(Table19[[#This Row],[Assets]],Table25[#All],16,FALSE),0)</f>
        <v>-284.99999999999972</v>
      </c>
      <c r="J152" s="84">
        <f ca="1">IFERROR((Table19[[#This Row],[Price]]-Table19[[#This Row],[Ave Entry]])/Table19[[#This Row],[Ave Entry]],"")</f>
        <v>-0.13144855727193228</v>
      </c>
      <c r="K152" s="92">
        <f ca="1">IFERROR((Table19[[#This Row],[Price]]-Table19[[#This Row],[Ave Entry]])*Table19[[#This Row],[Num of Stocks]],0)</f>
        <v>0</v>
      </c>
      <c r="L152" s="38" cm="1">
        <f t="array" aca="1" ref="L152" ca="1">_FV(Table19[[#This Row],[Assets]],"Change (%)",TRUE)</f>
        <v>3.4722000000000003E-2</v>
      </c>
      <c r="M152" s="36">
        <f>SUMIF(Table20[Asset],Table19[[#This Row],[Assets]],Table20[realized_profit])</f>
        <v>0</v>
      </c>
      <c r="N152" s="36">
        <f>SUMIF(Table20[[#All],[Asset]],Table19[[#This Row],[Assets]],Table20[[#All],[delta_exposure]])</f>
        <v>0</v>
      </c>
      <c r="O152" s="38">
        <f ca="1">Table19[[#This Row],[Option Exposure]]/$B$6</f>
        <v>0</v>
      </c>
      <c r="P152" s="51">
        <f>SUMIF(Table25[[#All],[Assets]],Table19[[#This Row],[Assets]],Table25[[#All],[Number of stocks]])</f>
        <v>0</v>
      </c>
      <c r="Q152" s="36">
        <f ca="1">Table19[[#This Row],[Num of Stocks]]*Table19[[#This Row],[Price]]</f>
        <v>0</v>
      </c>
      <c r="R152" s="36">
        <f ca="1">Table19[[#This Row],[Stock Exposure]]+Table19[[#This Row],[Option Exposure]]</f>
        <v>0</v>
      </c>
      <c r="S152" s="108">
        <f>IFERROR(Table19[[#This Row],[Num of Stocks]]*Table19[[#This Row],[Ave Entry]],"")</f>
        <v>0</v>
      </c>
      <c r="T152" s="39">
        <f ca="1">Table19[[#This Row],[Combined Exposure]]/$C$8</f>
        <v>0</v>
      </c>
    </row>
    <row r="153" spans="1:20">
      <c r="A153" t="e" vm="171">
        <v>#VALUE!</v>
      </c>
      <c r="B153" s="13" t="str" cm="1">
        <f t="array" aca="1" ref="B153" ca="1">_FV(A153,"Ticker symbol",TRUE)</f>
        <v>BIDU</v>
      </c>
      <c r="C153" s="13" t="s">
        <v>30</v>
      </c>
      <c r="D153" s="13" t="s">
        <v>30</v>
      </c>
      <c r="E153" s="19" cm="1">
        <f t="array" aca="1" ref="E153" ca="1">IFERROR(_FV(A153,"Beta"),2)</f>
        <v>0.42470000000000002</v>
      </c>
      <c r="F153" s="13" t="str" cm="1">
        <f t="array" aca="1" ref="F153" ca="1">_FV(A153,"Instrument type",TRUE)</f>
        <v>Stock</v>
      </c>
      <c r="G153" s="18" cm="1">
        <f t="array" aca="1" ref="G153" ca="1">_FV(Table19[[#This Row],[Assets]],"Price")</f>
        <v>115.66</v>
      </c>
      <c r="H153" s="36">
        <f>IFERROR(VLOOKUP(Table19[[#This Row],[Assets]],Table25[#All],15,FALSE),"")</f>
        <v>90.343478260869574</v>
      </c>
      <c r="I153" s="36">
        <f>IFERROR(VLOOKUP(Table19[[#This Row],[Assets]],Table25[#All],16,FALSE),0)</f>
        <v>56.249999999999417</v>
      </c>
      <c r="J153" s="84">
        <f ca="1">IFERROR((Table19[[#This Row],[Price]]-Table19[[#This Row],[Ave Entry]])/Table19[[#This Row],[Ave Entry]],"")</f>
        <v>0.2802252273930409</v>
      </c>
      <c r="K153" s="92">
        <f ca="1">IFERROR((Table19[[#This Row],[Price]]-Table19[[#This Row],[Ave Entry]])*Table19[[#This Row],[Num of Stocks]],0)</f>
        <v>0</v>
      </c>
      <c r="L153" s="38" cm="1">
        <f t="array" aca="1" ref="L153" ca="1">_FV(Table19[[#This Row],[Assets]],"Change (%)",TRUE)</f>
        <v>2.7814999999999999E-2</v>
      </c>
      <c r="M153" s="36">
        <f>SUMIF(Table20[Asset],Table19[[#This Row],[Assets]],Table20[realized_profit])</f>
        <v>-514</v>
      </c>
      <c r="N153" s="36">
        <f ca="1">SUMIF(Table20[[#All],[Asset]],Table19[[#This Row],[Assets]],Table20[[#All],[delta_exposure]])</f>
        <v>0</v>
      </c>
      <c r="O153" s="98">
        <f ca="1">Table19[[#This Row],[Option Exposure]]/$B$6</f>
        <v>0</v>
      </c>
      <c r="P153" s="51">
        <f>SUMIF(Table25[[#All],[Assets]],Table19[[#This Row],[Assets]],Table25[[#All],[Number of stocks]])</f>
        <v>0</v>
      </c>
      <c r="Q153" s="36">
        <f ca="1">Table19[[#This Row],[Num of Stocks]]*Table19[[#This Row],[Price]]</f>
        <v>0</v>
      </c>
      <c r="R153" s="36">
        <f ca="1">Table19[[#This Row],[Stock Exposure]]+Table19[[#This Row],[Option Exposure]]</f>
        <v>0</v>
      </c>
      <c r="S153" s="108">
        <f>IFERROR(Table19[[#This Row],[Num of Stocks]]*Table19[[#This Row],[Ave Entry]],"")</f>
        <v>0</v>
      </c>
      <c r="T153" s="39">
        <f ca="1">Table19[[#This Row],[Combined Exposure]]/$C$8</f>
        <v>0</v>
      </c>
    </row>
    <row r="154" spans="1:20">
      <c r="A154" t="e" vm="251">
        <v>#VALUE!</v>
      </c>
      <c r="B154" s="13" t="str" cm="1">
        <f t="array" aca="1" ref="B154" ca="1">_FV(A154,"Ticker symbol",TRUE)</f>
        <v>DEA</v>
      </c>
      <c r="C154" s="13" t="s">
        <v>132</v>
      </c>
      <c r="D154" s="13" t="s">
        <v>132</v>
      </c>
      <c r="E154" s="19" cm="1">
        <f t="array" aca="1" ref="E154" ca="1">IFERROR(_FV(A154,"Beta"),2)</f>
        <v>0.9536</v>
      </c>
      <c r="F154" s="13" t="str" cm="1">
        <f t="array" aca="1" ref="F154" ca="1">_FV(A154,"Instrument type",TRUE)</f>
        <v>Stock</v>
      </c>
      <c r="G154" s="18" cm="1">
        <f t="array" aca="1" ref="G154" ca="1">_FV(Table19[[#This Row],[Assets]],"Price")</f>
        <v>21.79</v>
      </c>
      <c r="H154" s="36">
        <f>IFERROR(VLOOKUP(Table19[[#This Row],[Assets]],Table25[#All],15,FALSE),"")</f>
        <v>22.15</v>
      </c>
      <c r="I154" s="36">
        <f>IFERROR(VLOOKUP(Table19[[#This Row],[Assets]],Table25[#All],16,FALSE),0)</f>
        <v>11.520000000000095</v>
      </c>
      <c r="J154" s="84">
        <f ca="1">IFERROR((Table19[[#This Row],[Price]]-Table19[[#This Row],[Ave Entry]])/Table19[[#This Row],[Ave Entry]],"")</f>
        <v>-1.6252821670428869E-2</v>
      </c>
      <c r="K154" s="92">
        <f ca="1">IFERROR((Table19[[#This Row],[Price]]-Table19[[#This Row],[Ave Entry]])*Table19[[#This Row],[Num of Stocks]],0)</f>
        <v>0</v>
      </c>
      <c r="L154" s="38" cm="1">
        <f t="array" aca="1" ref="L154" ca="1">_FV(Table19[[#This Row],[Assets]],"Change (%)",TRUE)</f>
        <v>3.6849999999999999E-3</v>
      </c>
      <c r="M154" s="36">
        <f>SUMIF(Table20[Asset],Table19[[#This Row],[Assets]],Table20[realized_profit])</f>
        <v>0</v>
      </c>
      <c r="N154" s="36">
        <f>SUMIF(Table20[[#All],[Asset]],Table19[[#This Row],[Assets]],Table20[[#All],[delta_exposure]])</f>
        <v>0</v>
      </c>
      <c r="O154" s="38">
        <f ca="1">Table19[[#This Row],[Option Exposure]]/$B$6</f>
        <v>0</v>
      </c>
      <c r="P154" s="51">
        <f>SUMIF(Table25[[#All],[Assets]],Table19[[#This Row],[Assets]],Table25[[#All],[Number of stocks]])</f>
        <v>0</v>
      </c>
      <c r="Q154" s="36">
        <f ca="1">Table19[[#This Row],[Num of Stocks]]*Table19[[#This Row],[Price]]</f>
        <v>0</v>
      </c>
      <c r="R154" s="36">
        <f ca="1">Table19[[#This Row],[Stock Exposure]]+Table19[[#This Row],[Option Exposure]]</f>
        <v>0</v>
      </c>
      <c r="S154" s="108">
        <f>IFERROR(Table19[[#This Row],[Num of Stocks]]*Table19[[#This Row],[Ave Entry]],"")</f>
        <v>0</v>
      </c>
      <c r="T154" s="39">
        <f ca="1">Table19[[#This Row],[Combined Exposure]]/$C$8</f>
        <v>0</v>
      </c>
    </row>
    <row r="155" spans="1:20">
      <c r="A155" t="e" vm="252">
        <v>#VALUE!</v>
      </c>
      <c r="B155" s="13" t="str" cm="1">
        <f t="array" aca="1" ref="B155" ca="1">_FV(A155,"Ticker symbol",TRUE)</f>
        <v>BASE</v>
      </c>
      <c r="C155" s="13" t="s">
        <v>83</v>
      </c>
      <c r="D155" s="13" t="s">
        <v>29</v>
      </c>
      <c r="E155" s="19" cm="1">
        <f t="array" aca="1" ref="E155" ca="1">IFERROR(_FV(A155,"Beta"),2)</f>
        <v>0.92300000000000004</v>
      </c>
      <c r="F155" s="13" t="str" cm="1">
        <f t="array" aca="1" ref="F155" ca="1">_FV(A155,"Instrument type",TRUE)</f>
        <v>Stock</v>
      </c>
      <c r="G155" s="18" cm="1">
        <f t="array" aca="1" ref="G155" ca="1">_FV(Table19[[#This Row],[Assets]],"Price")</f>
        <v>24.51</v>
      </c>
      <c r="H155" s="36">
        <f>IFERROR(VLOOKUP(Table19[[#This Row],[Assets]],Table25[#All],15,FALSE),"")</f>
        <v>16.13</v>
      </c>
      <c r="I155" s="36">
        <f>IFERROR(VLOOKUP(Table19[[#This Row],[Assets]],Table25[#All],16,FALSE),0)</f>
        <v>115.51999999999998</v>
      </c>
      <c r="J155" s="84">
        <f ca="1">IFERROR((Table19[[#This Row],[Price]]-Table19[[#This Row],[Ave Entry]])/Table19[[#This Row],[Ave Entry]],"")</f>
        <v>0.519528828270304</v>
      </c>
      <c r="K155" s="92">
        <f ca="1">IFERROR((Table19[[#This Row],[Price]]-Table19[[#This Row],[Ave Entry]])*Table19[[#This Row],[Num of Stocks]],0)</f>
        <v>0</v>
      </c>
      <c r="L155" s="38" cm="1">
        <f t="array" aca="1" ref="L155" ca="1">_FV(Table19[[#This Row],[Assets]],"Change (%)",TRUE)</f>
        <v>0</v>
      </c>
      <c r="M155" s="36">
        <f>SUMIF(Table20[Asset],Table19[[#This Row],[Assets]],Table20[realized_profit])</f>
        <v>0</v>
      </c>
      <c r="N155" s="36">
        <f>SUMIF(Table20[[#All],[Asset]],Table19[[#This Row],[Assets]],Table20[[#All],[delta_exposure]])</f>
        <v>0</v>
      </c>
      <c r="O155" s="38">
        <f ca="1">Table19[[#This Row],[Option Exposure]]/$B$6</f>
        <v>0</v>
      </c>
      <c r="P155" s="51">
        <f>SUMIF(Table25[[#All],[Assets]],Table19[[#This Row],[Assets]],Table25[[#All],[Number of stocks]])</f>
        <v>0</v>
      </c>
      <c r="Q155" s="36">
        <f ca="1">Table19[[#This Row],[Num of Stocks]]*Table19[[#This Row],[Price]]</f>
        <v>0</v>
      </c>
      <c r="R155" s="36">
        <f ca="1">Table19[[#This Row],[Stock Exposure]]+Table19[[#This Row],[Option Exposure]]</f>
        <v>0</v>
      </c>
      <c r="S155" s="108">
        <f>IFERROR(Table19[[#This Row],[Num of Stocks]]*Table19[[#This Row],[Ave Entry]],"")</f>
        <v>0</v>
      </c>
      <c r="T155" s="39">
        <f ca="1">Table19[[#This Row],[Combined Exposure]]/$C$8</f>
        <v>0</v>
      </c>
    </row>
    <row r="156" spans="1:20">
      <c r="A156" t="e" vm="36">
        <v>#VALUE!</v>
      </c>
      <c r="B156" s="13" t="str" cm="1">
        <f t="array" aca="1" ref="B156" ca="1">_FV(A156,"Ticker symbol",TRUE)</f>
        <v>CLS</v>
      </c>
      <c r="C156" s="13" t="s">
        <v>83</v>
      </c>
      <c r="D156" s="13" t="s">
        <v>29</v>
      </c>
      <c r="E156" s="19" cm="1">
        <f t="array" aca="1" ref="E156" ca="1">IFERROR(_FV(A156,"Beta"),2)</f>
        <v>1.2471000000000001</v>
      </c>
      <c r="F156" s="13" t="str" cm="1">
        <f t="array" aca="1" ref="F156" ca="1">_FV(A156,"Instrument type",TRUE)</f>
        <v>Stock</v>
      </c>
      <c r="G156" s="18" cm="1">
        <f t="array" aca="1" ref="G156" ca="1">_FV(Table19[[#This Row],[Assets]],"Price")</f>
        <v>307.33999999999997</v>
      </c>
      <c r="H156" s="36">
        <f>IFERROR(VLOOKUP(Table19[[#This Row],[Assets]],Table25[#All],15,FALSE),"")</f>
        <v>72.25</v>
      </c>
      <c r="I156" s="36">
        <f>IFERROR(VLOOKUP(Table19[[#This Row],[Assets]],Table25[#All],16,FALSE),0)</f>
        <v>449.35000000000048</v>
      </c>
      <c r="J156" s="84">
        <f ca="1">IFERROR((Table19[[#This Row],[Price]]-Table19[[#This Row],[Ave Entry]])/Table19[[#This Row],[Ave Entry]],"")</f>
        <v>3.2538408304498265</v>
      </c>
      <c r="K156" s="92">
        <f ca="1">IFERROR((Table19[[#This Row],[Price]]-Table19[[#This Row],[Ave Entry]])*Table19[[#This Row],[Num of Stocks]],0)</f>
        <v>0</v>
      </c>
      <c r="L156" s="38" cm="1">
        <f t="array" aca="1" ref="L156" ca="1">_FV(Table19[[#This Row],[Assets]],"Change (%)",TRUE)</f>
        <v>1.9302E-2</v>
      </c>
      <c r="M156" s="36">
        <f>SUMIF(Table20[Asset],Table19[[#This Row],[Assets]],Table20[realized_profit])</f>
        <v>0</v>
      </c>
      <c r="N156" s="36">
        <f>SUMIF(Table20[[#All],[Asset]],Table19[[#This Row],[Assets]],Table20[[#All],[delta_exposure]])</f>
        <v>0</v>
      </c>
      <c r="O156" s="38">
        <f ca="1">Table19[[#This Row],[Option Exposure]]/$B$6</f>
        <v>0</v>
      </c>
      <c r="P156" s="51">
        <f>SUMIF(Table25[[#All],[Assets]],Table19[[#This Row],[Assets]],Table25[[#All],[Number of stocks]])</f>
        <v>0</v>
      </c>
      <c r="Q156" s="36">
        <f ca="1">Table19[[#This Row],[Num of Stocks]]*Table19[[#This Row],[Price]]</f>
        <v>0</v>
      </c>
      <c r="R156" s="36">
        <f ca="1">Table19[[#This Row],[Stock Exposure]]+Table19[[#This Row],[Option Exposure]]</f>
        <v>0</v>
      </c>
      <c r="S156" s="108">
        <f>IFERROR(Table19[[#This Row],[Num of Stocks]]*Table19[[#This Row],[Ave Entry]],"")</f>
        <v>0</v>
      </c>
      <c r="T156" s="39">
        <f ca="1">Table19[[#This Row],[Combined Exposure]]/$C$8</f>
        <v>0</v>
      </c>
    </row>
    <row r="157" spans="1:20">
      <c r="A157" t="e" vm="145">
        <v>#VALUE!</v>
      </c>
      <c r="B157" s="13" t="str" cm="1">
        <f t="array" aca="1" ref="B157" ca="1">_FV(A157,"Ticker symbol",TRUE)</f>
        <v>MDB</v>
      </c>
      <c r="C157" s="13" t="s">
        <v>29</v>
      </c>
      <c r="D157" s="13" t="s">
        <v>121</v>
      </c>
      <c r="E157" s="19" cm="1">
        <f t="array" aca="1" ref="E157" ca="1">IFERROR(_FV(A157,"Beta"),2)</f>
        <v>1.589</v>
      </c>
      <c r="F157" s="13" t="str" cm="1">
        <f t="array" aca="1" ref="F157" ca="1">_FV(A157,"Instrument type",TRUE)</f>
        <v>Stock</v>
      </c>
      <c r="G157" s="18" cm="1">
        <f t="array" aca="1" ref="G157" ca="1">_FV(Table19[[#This Row],[Assets]],"Price")</f>
        <v>249.61</v>
      </c>
      <c r="H157" s="36" t="str">
        <f>IFERROR(VLOOKUP(Table19[[#This Row],[Assets]],Table25[#All],15,FALSE),"")</f>
        <v/>
      </c>
      <c r="I157" s="36">
        <f>IFERROR(VLOOKUP(Table19[[#This Row],[Assets]],Table25[#All],16,FALSE),0)</f>
        <v>0</v>
      </c>
      <c r="J157" s="84" t="str">
        <f ca="1">IFERROR((Table19[[#This Row],[Price]]-Table19[[#This Row],[Ave Entry]])/Table19[[#This Row],[Ave Entry]],"")</f>
        <v/>
      </c>
      <c r="K157" s="92">
        <f ca="1">IFERROR((Table19[[#This Row],[Price]]-Table19[[#This Row],[Ave Entry]])*Table19[[#This Row],[Num of Stocks]],0)</f>
        <v>0</v>
      </c>
      <c r="L157" s="38" cm="1">
        <f t="array" aca="1" ref="L157" ca="1">_FV(Table19[[#This Row],[Assets]],"Change (%)",TRUE)</f>
        <v>-1.6354E-2</v>
      </c>
      <c r="M157" s="36">
        <f>SUMIF(Table20[Asset],Table19[[#This Row],[Assets]],Table20[realized_profit])</f>
        <v>505.99999999999989</v>
      </c>
      <c r="N157" s="36">
        <f ca="1">SUMIF(Table20[[#All],[Asset]],Table19[[#This Row],[Assets]],Table20[[#All],[delta_exposure]])</f>
        <v>0</v>
      </c>
      <c r="O157" s="38">
        <f ca="1">Table19[[#This Row],[Option Exposure]]/$B$6</f>
        <v>0</v>
      </c>
      <c r="P157" s="51">
        <f>SUMIF(Table25[[#All],[Assets]],Table19[[#This Row],[Assets]],Table25[[#All],[Number of stocks]])</f>
        <v>0</v>
      </c>
      <c r="Q157" s="36">
        <f ca="1">Table19[[#This Row],[Num of Stocks]]*Table19[[#This Row],[Price]]</f>
        <v>0</v>
      </c>
      <c r="R157" s="36">
        <f ca="1">Table19[[#This Row],[Stock Exposure]]+Table19[[#This Row],[Option Exposure]]</f>
        <v>0</v>
      </c>
      <c r="S157" s="108" t="str">
        <f>IFERROR(Table19[[#This Row],[Num of Stocks]]*Table19[[#This Row],[Ave Entry]],"")</f>
        <v/>
      </c>
      <c r="T157" s="39">
        <f ca="1">Table19[[#This Row],[Combined Exposure]]/$C$8</f>
        <v>0</v>
      </c>
    </row>
    <row r="158" spans="1:20">
      <c r="A158" t="e" vm="253">
        <v>#VALUE!</v>
      </c>
      <c r="B158" s="13" t="str" cm="1">
        <f t="array" aca="1" ref="B158" ca="1">_FV(A158,"Ticker symbol",TRUE)</f>
        <v>QS</v>
      </c>
      <c r="C158" s="13" t="s">
        <v>56</v>
      </c>
      <c r="D158" s="13" t="s">
        <v>261</v>
      </c>
      <c r="E158" s="19" cm="1">
        <f t="array" aca="1" ref="E158" ca="1">IFERROR(_FV(A158,"Beta"),2)</f>
        <v>2.5331999999999999</v>
      </c>
      <c r="F158" s="13" t="str" cm="1">
        <f t="array" aca="1" ref="F158" ca="1">_FV(A158,"Instrument type",TRUE)</f>
        <v>Stock</v>
      </c>
      <c r="G158" s="18" cm="1">
        <f t="array" aca="1" ref="G158" ca="1">_FV(Table19[[#This Row],[Assets]],"Price")</f>
        <v>6.9600999999999997</v>
      </c>
      <c r="H158" s="36">
        <f>IFERROR(VLOOKUP(Table19[[#This Row],[Assets]],Table25[#All],15,FALSE),"")</f>
        <v>5.8550000000000004</v>
      </c>
      <c r="I158" s="36">
        <f>IFERROR(VLOOKUP(Table19[[#This Row],[Assets]],Table25[#All],16,FALSE),0)</f>
        <v>485.4</v>
      </c>
      <c r="J158" s="84">
        <f ca="1">IFERROR((Table19[[#This Row],[Price]]-Table19[[#This Row],[Ave Entry]])/Table19[[#This Row],[Ave Entry]],"")</f>
        <v>0.18874466268146869</v>
      </c>
      <c r="K158" s="92">
        <f ca="1">IFERROR((Table19[[#This Row],[Price]]-Table19[[#This Row],[Ave Entry]])*Table19[[#This Row],[Num of Stocks]],0)</f>
        <v>0</v>
      </c>
      <c r="L158" s="38" cm="1">
        <f t="array" aca="1" ref="L158" ca="1">_FV(Table19[[#This Row],[Assets]],"Change (%)",TRUE)</f>
        <v>2.2040999999999998E-2</v>
      </c>
      <c r="M158" s="36">
        <f>SUMIF(Table20[Asset],Table19[[#This Row],[Assets]],Table20[realized_profit])</f>
        <v>0</v>
      </c>
      <c r="N158" s="36">
        <f>SUMIF(Table20[[#All],[Asset]],Table19[[#This Row],[Assets]],Table20[[#All],[delta_exposure]])</f>
        <v>0</v>
      </c>
      <c r="O158" s="98">
        <f ca="1">Table19[[#This Row],[Option Exposure]]/$B$6</f>
        <v>0</v>
      </c>
      <c r="P158" s="51">
        <f>SUMIF(Table25[[#All],[Assets]],Table19[[#This Row],[Assets]],Table25[[#All],[Number of stocks]])</f>
        <v>0</v>
      </c>
      <c r="Q158" s="36">
        <f ca="1">Table19[[#This Row],[Num of Stocks]]*Table19[[#This Row],[Price]]</f>
        <v>0</v>
      </c>
      <c r="R158" s="36">
        <f ca="1">Table19[[#This Row],[Stock Exposure]]+Table19[[#This Row],[Option Exposure]]</f>
        <v>0</v>
      </c>
      <c r="S158" s="108">
        <f>IFERROR(Table19[[#This Row],[Num of Stocks]]*Table19[[#This Row],[Ave Entry]],"")</f>
        <v>0</v>
      </c>
      <c r="T158" s="39">
        <f ca="1">Table19[[#This Row],[Combined Exposure]]/$C$8</f>
        <v>0</v>
      </c>
    </row>
    <row r="159" spans="1:20">
      <c r="A159" t="e" vm="254">
        <v>#VALUE!</v>
      </c>
      <c r="B159" s="13" t="str" cm="1">
        <f t="array" aca="1" ref="B159" ca="1">_FV(A159,"Ticker symbol",TRUE)</f>
        <v>TALK</v>
      </c>
      <c r="C159" s="13" t="s">
        <v>53</v>
      </c>
      <c r="D159" s="13" t="s">
        <v>53</v>
      </c>
      <c r="E159" s="19" cm="1">
        <f t="array" aca="1" ref="E159" ca="1">IFERROR(_FV(A159,"Beta"),2)</f>
        <v>1.1482000000000001</v>
      </c>
      <c r="F159" s="13" t="str" cm="1">
        <f t="array" aca="1" ref="F159" ca="1">_FV(A159,"Instrument type",TRUE)</f>
        <v>Stock</v>
      </c>
      <c r="G159" s="18" cm="1">
        <f t="array" aca="1" ref="G159" ca="1">_FV(Table19[[#This Row],[Assets]],"Price")</f>
        <v>5.14</v>
      </c>
      <c r="H159" s="36">
        <f>IFERROR(VLOOKUP(Table19[[#This Row],[Assets]],Table25[#All],15,FALSE),"")</f>
        <v>3.0109604519774011</v>
      </c>
      <c r="I159" s="36">
        <f>IFERROR(VLOOKUP(Table19[[#This Row],[Assets]],Table25[#All],16,FALSE),0)</f>
        <v>-73.700000000000045</v>
      </c>
      <c r="J159" s="84">
        <f ca="1">IFERROR((Table19[[#This Row],[Price]]-Table19[[#This Row],[Ave Entry]])/Table19[[#This Row],[Ave Entry]],"")</f>
        <v>0.70709648365669675</v>
      </c>
      <c r="K159" s="92">
        <f ca="1">IFERROR((Table19[[#This Row],[Price]]-Table19[[#This Row],[Ave Entry]])*Table19[[#This Row],[Num of Stocks]],0)</f>
        <v>0</v>
      </c>
      <c r="L159" s="38" cm="1">
        <f t="array" aca="1" ref="L159" ca="1">_FV(Table19[[#This Row],[Assets]],"Change (%)",TRUE)</f>
        <v>1.949E-3</v>
      </c>
      <c r="M159" s="36">
        <f>SUMIF(Table20[Asset],Table19[[#This Row],[Assets]],Table20[realized_profit])</f>
        <v>0</v>
      </c>
      <c r="N159" s="36">
        <f>SUMIF(Table20[[#All],[Asset]],Table19[[#This Row],[Assets]],Table20[[#All],[delta_exposure]])</f>
        <v>0</v>
      </c>
      <c r="O159" s="38">
        <f ca="1">Table19[[#This Row],[Option Exposure]]/$B$6</f>
        <v>0</v>
      </c>
      <c r="P159" s="51">
        <f>SUMIF(Table25[[#All],[Assets]],Table19[[#This Row],[Assets]],Table25[[#All],[Number of stocks]])</f>
        <v>0</v>
      </c>
      <c r="Q159" s="36">
        <f ca="1">Table19[[#This Row],[Num of Stocks]]*Table19[[#This Row],[Price]]</f>
        <v>0</v>
      </c>
      <c r="R159" s="36">
        <f ca="1">Table19[[#This Row],[Stock Exposure]]+Table19[[#This Row],[Option Exposure]]</f>
        <v>0</v>
      </c>
      <c r="S159" s="108">
        <f>IFERROR(Table19[[#This Row],[Num of Stocks]]*Table19[[#This Row],[Ave Entry]],"")</f>
        <v>0</v>
      </c>
      <c r="T159" s="39">
        <f ca="1">Table19[[#This Row],[Combined Exposure]]/$C$8</f>
        <v>0</v>
      </c>
    </row>
    <row r="160" spans="1:20">
      <c r="A160" t="e" vm="255">
        <v>#VALUE!</v>
      </c>
      <c r="B160" s="13" t="str" cm="1">
        <f t="array" aca="1" ref="B160" ca="1">_FV(A160,"Ticker symbol",TRUE)</f>
        <v>RDNT</v>
      </c>
      <c r="C160" s="13" t="s">
        <v>53</v>
      </c>
      <c r="D160" s="13" t="s">
        <v>53</v>
      </c>
      <c r="E160" s="19" cm="1">
        <f t="array" aca="1" ref="E160" ca="1">IFERROR(_FV(A160,"Beta"),2)</f>
        <v>1.5027999999999999</v>
      </c>
      <c r="F160" s="13" t="str" cm="1">
        <f t="array" aca="1" ref="F160" ca="1">_FV(A160,"Instrument type",TRUE)</f>
        <v>Stock</v>
      </c>
      <c r="G160" s="18" cm="1">
        <f t="array" aca="1" ref="G160" ca="1">_FV(Table19[[#This Row],[Assets]],"Price")</f>
        <v>60.897500000000001</v>
      </c>
      <c r="H160" s="36">
        <f>IFERROR(VLOOKUP(Table19[[#This Row],[Assets]],Table25[#All],15,FALSE),"")</f>
        <v>49.73</v>
      </c>
      <c r="I160" s="36">
        <f>IFERROR(VLOOKUP(Table19[[#This Row],[Assets]],Table25[#All],16,FALSE),0)</f>
        <v>65.200000000000031</v>
      </c>
      <c r="J160" s="84">
        <f ca="1">IFERROR((Table19[[#This Row],[Price]]-Table19[[#This Row],[Ave Entry]])/Table19[[#This Row],[Ave Entry]],"")</f>
        <v>0.22456263824653136</v>
      </c>
      <c r="K160" s="92">
        <f ca="1">IFERROR((Table19[[#This Row],[Price]]-Table19[[#This Row],[Ave Entry]])*Table19[[#This Row],[Num of Stocks]],0)</f>
        <v>0</v>
      </c>
      <c r="L160" s="38" cm="1">
        <f t="array" aca="1" ref="L160" ca="1">_FV(Table19[[#This Row],[Assets]],"Change (%)",TRUE)</f>
        <v>1.7162E-2</v>
      </c>
      <c r="M160" s="36">
        <f>SUMIF(Table20[Asset],Table19[[#This Row],[Assets]],Table20[realized_profit])</f>
        <v>0</v>
      </c>
      <c r="N160" s="36">
        <f>SUMIF(Table20[[#All],[Asset]],Table19[[#This Row],[Assets]],Table20[[#All],[delta_exposure]])</f>
        <v>0</v>
      </c>
      <c r="O160" s="38">
        <f ca="1">Table19[[#This Row],[Option Exposure]]/$B$6</f>
        <v>0</v>
      </c>
      <c r="P160" s="51">
        <f>SUMIF(Table25[[#All],[Assets]],Table19[[#This Row],[Assets]],Table25[[#All],[Number of stocks]])</f>
        <v>0</v>
      </c>
      <c r="Q160" s="36">
        <f ca="1">Table19[[#This Row],[Num of Stocks]]*Table19[[#This Row],[Price]]</f>
        <v>0</v>
      </c>
      <c r="R160" s="36">
        <f ca="1">Table19[[#This Row],[Stock Exposure]]+Table19[[#This Row],[Option Exposure]]</f>
        <v>0</v>
      </c>
      <c r="S160" s="108">
        <f>IFERROR(Table19[[#This Row],[Num of Stocks]]*Table19[[#This Row],[Ave Entry]],"")</f>
        <v>0</v>
      </c>
      <c r="T160" s="39">
        <f ca="1">Table19[[#This Row],[Combined Exposure]]/$C$8</f>
        <v>0</v>
      </c>
    </row>
    <row r="161" spans="1:20">
      <c r="A161" t="e" vm="153">
        <v>#VALUE!</v>
      </c>
      <c r="B161" s="13" t="str" cm="1">
        <f t="array" aca="1" ref="B161" ca="1">_FV(A161,"Ticker symbol",TRUE)</f>
        <v>DDOG</v>
      </c>
      <c r="C161" s="13" t="s">
        <v>29</v>
      </c>
      <c r="D161" s="13" t="s">
        <v>121</v>
      </c>
      <c r="E161" s="19" cm="1">
        <f t="array" aca="1" ref="E161" ca="1">IFERROR(_FV(A161,"Beta"),2)</f>
        <v>1.2808999999999999</v>
      </c>
      <c r="F161" s="13" t="str" cm="1">
        <f t="array" aca="1" ref="F161" ca="1">_FV(A161,"Instrument type",TRUE)</f>
        <v>Stock</v>
      </c>
      <c r="G161" s="18" cm="1">
        <f t="array" aca="1" ref="G161" ca="1">_FV(Table19[[#This Row],[Assets]],"Price")</f>
        <v>126.12</v>
      </c>
      <c r="H161" s="36">
        <f>IFERROR(VLOOKUP(Table19[[#This Row],[Assets]],Table25[#All],15,FALSE),"")</f>
        <v>105.69000000000001</v>
      </c>
      <c r="I161" s="36">
        <f>IFERROR(VLOOKUP(Table19[[#This Row],[Assets]],Table25[#All],16,FALSE),0)</f>
        <v>213.05</v>
      </c>
      <c r="J161" s="84">
        <f ca="1">IFERROR((Table19[[#This Row],[Price]]-Table19[[#This Row],[Ave Entry]])/Table19[[#This Row],[Ave Entry]],"")</f>
        <v>0.19330116378086848</v>
      </c>
      <c r="K161" s="92">
        <f ca="1">IFERROR((Table19[[#This Row],[Price]]-Table19[[#This Row],[Ave Entry]])*Table19[[#This Row],[Num of Stocks]],0)</f>
        <v>0</v>
      </c>
      <c r="L161" s="38" cm="1">
        <f t="array" aca="1" ref="L161" ca="1">_FV(Table19[[#This Row],[Assets]],"Change (%)",TRUE)</f>
        <v>2.8963000000000003E-2</v>
      </c>
      <c r="M161" s="36">
        <f>SUMIF(Table20[Asset],Table19[[#This Row],[Assets]],Table20[realized_profit])</f>
        <v>0</v>
      </c>
      <c r="N161" s="36">
        <f>SUMIF(Table20[[#All],[Asset]],Table19[[#This Row],[Assets]],Table20[[#All],[delta_exposure]])</f>
        <v>0</v>
      </c>
      <c r="O161" s="38">
        <f ca="1">Table19[[#This Row],[Option Exposure]]/$B$6</f>
        <v>0</v>
      </c>
      <c r="P161" s="51">
        <f>SUMIF(Table25[[#All],[Assets]],Table19[[#This Row],[Assets]],Table25[[#All],[Number of stocks]])</f>
        <v>0</v>
      </c>
      <c r="Q161" s="36">
        <f ca="1">Table19[[#This Row],[Num of Stocks]]*Table19[[#This Row],[Price]]</f>
        <v>0</v>
      </c>
      <c r="R161" s="36">
        <f ca="1">Table19[[#This Row],[Stock Exposure]]+Table19[[#This Row],[Option Exposure]]</f>
        <v>0</v>
      </c>
      <c r="S161" s="108">
        <f>IFERROR(Table19[[#This Row],[Num of Stocks]]*Table19[[#This Row],[Ave Entry]],"")</f>
        <v>0</v>
      </c>
      <c r="T161" s="39">
        <f ca="1">Table19[[#This Row],[Combined Exposure]]/$C$8</f>
        <v>0</v>
      </c>
    </row>
    <row r="162" spans="1:20">
      <c r="A162" t="e" vm="28">
        <v>#VALUE!</v>
      </c>
      <c r="B162" s="13" t="str" cm="1">
        <f t="array" aca="1" ref="B162" ca="1">_FV(A162,"Ticker symbol",TRUE)</f>
        <v>NXPI</v>
      </c>
      <c r="C162" s="13" t="s">
        <v>84</v>
      </c>
      <c r="D162" s="13" t="s">
        <v>120</v>
      </c>
      <c r="E162" s="19" cm="1">
        <f t="array" aca="1" ref="E162" ca="1">IFERROR(_FV(A162,"Beta"),2)</f>
        <v>1.4690000000000001</v>
      </c>
      <c r="F162" s="13" t="str" cm="1">
        <f t="array" aca="1" ref="F162" ca="1">_FV(A162,"Instrument type",TRUE)</f>
        <v>Stock</v>
      </c>
      <c r="G162" s="18" cm="1">
        <f t="array" aca="1" ref="G162" ca="1">_FV(Table19[[#This Row],[Assets]],"Price")</f>
        <v>198.83</v>
      </c>
      <c r="H162" s="36">
        <f>IFERROR(VLOOKUP(Table19[[#This Row],[Assets]],Table25[#All],15,FALSE),"")</f>
        <v>203.67</v>
      </c>
      <c r="I162" s="36">
        <f>IFERROR(VLOOKUP(Table19[[#This Row],[Assets]],Table25[#All],16,FALSE),0)</f>
        <v>53.499999999999943</v>
      </c>
      <c r="J162" s="84">
        <f ca="1">IFERROR((Table19[[#This Row],[Price]]-Table19[[#This Row],[Ave Entry]])/Table19[[#This Row],[Ave Entry]],"")</f>
        <v>-2.3763931850542423E-2</v>
      </c>
      <c r="K162" s="92">
        <f ca="1">IFERROR((Table19[[#This Row],[Price]]-Table19[[#This Row],[Ave Entry]])*Table19[[#This Row],[Num of Stocks]],0)</f>
        <v>0</v>
      </c>
      <c r="L162" s="38" cm="1">
        <f t="array" aca="1" ref="L162" ca="1">_FV(Table19[[#This Row],[Assets]],"Change (%)",TRUE)</f>
        <v>1.7627E-2</v>
      </c>
      <c r="M162" s="36">
        <f>SUMIF(Table20[Asset],Table19[[#This Row],[Assets]],Table20[realized_profit])</f>
        <v>0</v>
      </c>
      <c r="N162" s="36">
        <f>SUMIF(Table20[[#All],[Asset]],Table19[[#This Row],[Assets]],Table20[[#All],[delta_exposure]])</f>
        <v>0</v>
      </c>
      <c r="O162" s="38">
        <f ca="1">Table19[[#This Row],[Option Exposure]]/$B$6</f>
        <v>0</v>
      </c>
      <c r="P162" s="51">
        <f>SUMIF(Table25[[#All],[Assets]],Table19[[#This Row],[Assets]],Table25[[#All],[Number of stocks]])</f>
        <v>0</v>
      </c>
      <c r="Q162" s="36">
        <f ca="1">Table19[[#This Row],[Num of Stocks]]*Table19[[#This Row],[Price]]</f>
        <v>0</v>
      </c>
      <c r="R162" s="36">
        <f ca="1">Table19[[#This Row],[Stock Exposure]]+Table19[[#This Row],[Option Exposure]]</f>
        <v>0</v>
      </c>
      <c r="S162" s="108">
        <f>IFERROR(Table19[[#This Row],[Num of Stocks]]*Table19[[#This Row],[Ave Entry]],"")</f>
        <v>0</v>
      </c>
      <c r="T162" s="39">
        <f ca="1">Table19[[#This Row],[Combined Exposure]]/$C$8</f>
        <v>0</v>
      </c>
    </row>
    <row r="163" spans="1:20">
      <c r="A163" t="e" vm="17">
        <v>#VALUE!</v>
      </c>
      <c r="B163" s="13" t="str" cm="1">
        <f t="array" aca="1" ref="B163" ca="1">_FV(A163,"Ticker symbol",TRUE)</f>
        <v>VPG</v>
      </c>
      <c r="C163" s="13" t="s">
        <v>521</v>
      </c>
      <c r="D163" s="13" t="s">
        <v>56</v>
      </c>
      <c r="E163" s="19" cm="1">
        <f t="array" aca="1" ref="E163" ca="1">IFERROR(_FV(A163,"Beta"),2)</f>
        <v>0.90190000000000003</v>
      </c>
      <c r="F163" s="13" t="str" cm="1">
        <f t="array" aca="1" ref="F163" ca="1">_FV(A163,"Instrument type",TRUE)</f>
        <v>Stock</v>
      </c>
      <c r="G163" s="18" cm="1">
        <f t="array" aca="1" ref="G163" ca="1">_FV(Table19[[#This Row],[Assets]],"Price")</f>
        <v>44.77</v>
      </c>
      <c r="H163" s="36">
        <f>IFERROR(VLOOKUP(Table19[[#This Row],[Assets]],Table25[#All],15,FALSE),"")</f>
        <v>26.261304347826087</v>
      </c>
      <c r="I163" s="36">
        <f>IFERROR(VLOOKUP(Table19[[#This Row],[Assets]],Table25[#All],16,FALSE),0)</f>
        <v>25.040000000000031</v>
      </c>
      <c r="J163" s="84">
        <f ca="1">IFERROR((Table19[[#This Row],[Price]]-Table19[[#This Row],[Ave Entry]])/Table19[[#This Row],[Ave Entry]],"")</f>
        <v>0.70478965580040076</v>
      </c>
      <c r="K163" s="92">
        <f ca="1">IFERROR((Table19[[#This Row],[Price]]-Table19[[#This Row],[Ave Entry]])*Table19[[#This Row],[Num of Stocks]],0)</f>
        <v>0</v>
      </c>
      <c r="L163" s="38" cm="1">
        <f t="array" aca="1" ref="L163" ca="1">_FV(Table19[[#This Row],[Assets]],"Change (%)",TRUE)</f>
        <v>4.6761999999999998E-2</v>
      </c>
      <c r="M163" s="36">
        <f>SUMIF(Table20[Asset],Table19[[#This Row],[Assets]],Table20[realized_profit])</f>
        <v>0</v>
      </c>
      <c r="N163" s="36">
        <f>SUMIF(Table20[[#All],[Asset]],Table19[[#This Row],[Assets]],Table20[[#All],[delta_exposure]])</f>
        <v>0</v>
      </c>
      <c r="O163" s="38">
        <f ca="1">Table19[[#This Row],[Option Exposure]]/$B$6</f>
        <v>0</v>
      </c>
      <c r="P163" s="51">
        <f>SUMIF(Table25[[#All],[Assets]],Table19[[#This Row],[Assets]],Table25[[#All],[Number of stocks]])</f>
        <v>0</v>
      </c>
      <c r="Q163" s="36">
        <f ca="1">Table19[[#This Row],[Num of Stocks]]*Table19[[#This Row],[Price]]</f>
        <v>0</v>
      </c>
      <c r="R163" s="36">
        <f ca="1">Table19[[#This Row],[Stock Exposure]]+Table19[[#This Row],[Option Exposure]]</f>
        <v>0</v>
      </c>
      <c r="S163" s="108">
        <f>IFERROR(Table19[[#This Row],[Num of Stocks]]*Table19[[#This Row],[Ave Entry]],"")</f>
        <v>0</v>
      </c>
      <c r="T163" s="39">
        <f ca="1">Table19[[#This Row],[Combined Exposure]]/$C$8</f>
        <v>0</v>
      </c>
    </row>
    <row r="164" spans="1:20">
      <c r="A164" t="e" vm="65">
        <v>#VALUE!</v>
      </c>
      <c r="B164" s="13" t="str" cm="1">
        <f t="array" aca="1" ref="B164" ca="1">_FV(A164,"Ticker symbol",TRUE)</f>
        <v>GAP</v>
      </c>
      <c r="C164" s="13" t="s">
        <v>55</v>
      </c>
      <c r="D164" s="13" t="s">
        <v>358</v>
      </c>
      <c r="E164" s="19" cm="1">
        <f t="array" aca="1" ref="E164" ca="1">IFERROR(_FV(A164,"Beta"),2)</f>
        <v>2.2265999999999999</v>
      </c>
      <c r="F164" s="13" t="str" cm="1">
        <f t="array" aca="1" ref="F164" ca="1">_FV(A164,"Instrument type",TRUE)</f>
        <v>Stock</v>
      </c>
      <c r="G164" s="18" cm="1">
        <f t="array" aca="1" ref="G164" ca="1">_FV(Table19[[#This Row],[Assets]],"Price")</f>
        <v>25.44</v>
      </c>
      <c r="H164" s="36">
        <f>IFERROR(VLOOKUP(Table19[[#This Row],[Assets]],Table25[#All],15,FALSE),"")</f>
        <v>23.430240963855425</v>
      </c>
      <c r="I164" s="36">
        <f>IFERROR(VLOOKUP(Table19[[#This Row],[Assets]],Table25[#All],16,FALSE),0)</f>
        <v>-466.10000000000059</v>
      </c>
      <c r="J164" s="84">
        <f ca="1">IFERROR((Table19[[#This Row],[Price]]-Table19[[#This Row],[Ave Entry]])/Table19[[#This Row],[Ave Entry]],"")</f>
        <v>8.5776285410163869E-2</v>
      </c>
      <c r="K164" s="92">
        <f ca="1">IFERROR((Table19[[#This Row],[Price]]-Table19[[#This Row],[Ave Entry]])*Table19[[#This Row],[Num of Stocks]],0)</f>
        <v>0</v>
      </c>
      <c r="L164" s="38" cm="1">
        <f t="array" aca="1" ref="L164" ca="1">_FV(Table19[[#This Row],[Assets]],"Change (%)",TRUE)</f>
        <v>-1.9620000000000002E-3</v>
      </c>
      <c r="M164" s="36">
        <f>SUMIF(Table20[Asset],Table19[[#This Row],[Assets]],Table20[realized_profit])</f>
        <v>0</v>
      </c>
      <c r="N164" s="36">
        <f>SUMIF(Table20[[#All],[Asset]],Table19[[#This Row],[Assets]],Table20[[#All],[delta_exposure]])</f>
        <v>0</v>
      </c>
      <c r="O164" s="38">
        <f ca="1">Table19[[#This Row],[Option Exposure]]/$B$6</f>
        <v>0</v>
      </c>
      <c r="P164" s="51">
        <f>SUMIF(Table25[[#All],[Assets]],Table19[[#This Row],[Assets]],Table25[[#All],[Number of stocks]])</f>
        <v>0</v>
      </c>
      <c r="Q164" s="36">
        <f ca="1">Table19[[#This Row],[Num of Stocks]]*Table19[[#This Row],[Price]]</f>
        <v>0</v>
      </c>
      <c r="R164" s="36">
        <f ca="1">Table19[[#This Row],[Stock Exposure]]+Table19[[#This Row],[Option Exposure]]</f>
        <v>0</v>
      </c>
      <c r="S164" s="108">
        <f>IFERROR(Table19[[#This Row],[Num of Stocks]]*Table19[[#This Row],[Ave Entry]],"")</f>
        <v>0</v>
      </c>
      <c r="T164" s="39">
        <f ca="1">Table19[[#This Row],[Combined Exposure]]/$C$8</f>
        <v>0</v>
      </c>
    </row>
    <row r="165" spans="1:20">
      <c r="A165" t="e" vm="256">
        <v>#VALUE!</v>
      </c>
      <c r="B165" s="13" t="str" cm="1">
        <f t="array" aca="1" ref="B165" ca="1">_FV(A165,"Ticker symbol",TRUE)</f>
        <v>DXPE</v>
      </c>
      <c r="C165" s="13" t="s">
        <v>550</v>
      </c>
      <c r="D165" s="13" t="s">
        <v>56</v>
      </c>
      <c r="E165" s="19" cm="1">
        <f t="array" aca="1" ref="E165" ca="1">IFERROR(_FV(A165,"Beta"),2)</f>
        <v>0.96599999999999997</v>
      </c>
      <c r="F165" s="13" t="str" cm="1">
        <f t="array" aca="1" ref="F165" ca="1">_FV(A165,"Instrument type",TRUE)</f>
        <v>Stock</v>
      </c>
      <c r="G165" s="18" cm="1">
        <f t="array" aca="1" ref="G165" ca="1">_FV(Table19[[#This Row],[Assets]],"Price")</f>
        <v>143.245</v>
      </c>
      <c r="H165" s="36">
        <f>IFERROR(VLOOKUP(Table19[[#This Row],[Assets]],Table25[#All],15,FALSE),"")</f>
        <v>74.679999999999993</v>
      </c>
      <c r="I165" s="36">
        <f>IFERROR(VLOOKUP(Table19[[#This Row],[Assets]],Table25[#All],16,FALSE),0)</f>
        <v>74.640000000000072</v>
      </c>
      <c r="J165" s="84">
        <f ca="1">IFERROR((Table19[[#This Row],[Price]]-Table19[[#This Row],[Ave Entry]])/Table19[[#This Row],[Ave Entry]],"")</f>
        <v>0.91811730048205697</v>
      </c>
      <c r="K165" s="92">
        <f ca="1">IFERROR((Table19[[#This Row],[Price]]-Table19[[#This Row],[Ave Entry]])*Table19[[#This Row],[Num of Stocks]],0)</f>
        <v>0</v>
      </c>
      <c r="L165" s="38" cm="1">
        <f t="array" aca="1" ref="L165" ca="1">_FV(Table19[[#This Row],[Assets]],"Change (%)",TRUE)</f>
        <v>1.9465E-2</v>
      </c>
      <c r="M165" s="36">
        <f>SUMIF(Table20[Asset],Table19[[#This Row],[Assets]],Table20[realized_profit])</f>
        <v>0</v>
      </c>
      <c r="N165" s="36">
        <f>SUMIF(Table20[[#All],[Asset]],Table19[[#This Row],[Assets]],Table20[[#All],[delta_exposure]])</f>
        <v>0</v>
      </c>
      <c r="O165" s="98">
        <f ca="1">Table19[[#This Row],[Option Exposure]]/$B$6</f>
        <v>0</v>
      </c>
      <c r="P165" s="51">
        <f>SUMIF(Table25[[#All],[Assets]],Table19[[#This Row],[Assets]],Table25[[#All],[Number of stocks]])</f>
        <v>0</v>
      </c>
      <c r="Q165" s="36">
        <f ca="1">Table19[[#This Row],[Num of Stocks]]*Table19[[#This Row],[Price]]</f>
        <v>0</v>
      </c>
      <c r="R165" s="36">
        <f ca="1">Table19[[#This Row],[Stock Exposure]]+Table19[[#This Row],[Option Exposure]]</f>
        <v>0</v>
      </c>
      <c r="S165" s="108">
        <f>IFERROR(Table19[[#This Row],[Num of Stocks]]*Table19[[#This Row],[Ave Entry]],"")</f>
        <v>0</v>
      </c>
      <c r="T165" s="39">
        <f ca="1">Table19[[#This Row],[Combined Exposure]]/$C$8</f>
        <v>0</v>
      </c>
    </row>
    <row r="166" spans="1:20">
      <c r="A166" t="e" vm="257">
        <v>#VALUE!</v>
      </c>
      <c r="B166" s="13" t="str" cm="1">
        <f t="array" aca="1" ref="B166" ca="1">_FV(A166,"Ticker symbol",TRUE)</f>
        <v>CRSP</v>
      </c>
      <c r="C166" s="13" t="s">
        <v>53</v>
      </c>
      <c r="D166" s="13" t="s">
        <v>560</v>
      </c>
      <c r="E166" s="19" cm="1">
        <f t="array" aca="1" ref="E166" ca="1">IFERROR(_FV(A166,"Beta"),2)</f>
        <v>1.8031999999999999</v>
      </c>
      <c r="F166" s="13" t="str" cm="1">
        <f t="array" aca="1" ref="F166" ca="1">_FV(A166,"Instrument type",TRUE)</f>
        <v>Stock</v>
      </c>
      <c r="G166" s="18" cm="1">
        <f t="array" aca="1" ref="G166" ca="1">_FV(Table19[[#This Row],[Assets]],"Price")</f>
        <v>47.95</v>
      </c>
      <c r="H166" s="36">
        <f>IFERROR(VLOOKUP(Table19[[#This Row],[Assets]],Table25[#All],15,FALSE),"")</f>
        <v>46.51</v>
      </c>
      <c r="I166" s="36">
        <f>IFERROR(VLOOKUP(Table19[[#This Row],[Assets]],Table25[#All],16,FALSE),0)</f>
        <v>115.98000000000008</v>
      </c>
      <c r="J166" s="84">
        <f ca="1">IFERROR((Table19[[#This Row],[Price]]-Table19[[#This Row],[Ave Entry]])/Table19[[#This Row],[Ave Entry]],"")</f>
        <v>3.0961083637927433E-2</v>
      </c>
      <c r="K166" s="92">
        <f ca="1">IFERROR((Table19[[#This Row],[Price]]-Table19[[#This Row],[Ave Entry]])*Table19[[#This Row],[Num of Stocks]],0)</f>
        <v>0</v>
      </c>
      <c r="L166" s="38" cm="1">
        <f t="array" aca="1" ref="L166" ca="1">_FV(Table19[[#This Row],[Assets]],"Change (%)",TRUE)</f>
        <v>3.2736999999999995E-2</v>
      </c>
      <c r="M166" s="36">
        <f>SUMIF(Table20[Asset],Table19[[#This Row],[Assets]],Table20[realized_profit])</f>
        <v>0</v>
      </c>
      <c r="N166" s="36">
        <f>SUMIF(Table20[[#All],[Asset]],Table19[[#This Row],[Assets]],Table20[[#All],[delta_exposure]])</f>
        <v>0</v>
      </c>
      <c r="O166" s="38">
        <f ca="1">Table19[[#This Row],[Option Exposure]]/$B$6</f>
        <v>0</v>
      </c>
      <c r="P166" s="51">
        <f>SUMIF(Table25[[#All],[Assets]],Table19[[#This Row],[Assets]],Table25[[#All],[Number of stocks]])</f>
        <v>0</v>
      </c>
      <c r="Q166" s="36">
        <f ca="1">Table19[[#This Row],[Num of Stocks]]*Table19[[#This Row],[Price]]</f>
        <v>0</v>
      </c>
      <c r="R166" s="36">
        <f ca="1">Table19[[#This Row],[Stock Exposure]]+Table19[[#This Row],[Option Exposure]]</f>
        <v>0</v>
      </c>
      <c r="S166" s="108">
        <f>IFERROR(Table19[[#This Row],[Num of Stocks]]*Table19[[#This Row],[Ave Entry]],"")</f>
        <v>0</v>
      </c>
      <c r="T166" s="39">
        <f ca="1">Table19[[#This Row],[Combined Exposure]]/$C$8</f>
        <v>0</v>
      </c>
    </row>
    <row r="167" spans="1:20">
      <c r="A167" t="e" vm="7">
        <v>#VALUE!</v>
      </c>
      <c r="B167" s="13" t="str" cm="1">
        <f t="array" aca="1" ref="B167" ca="1">_FV(A167,"Ticker symbol",TRUE)</f>
        <v>ONDS</v>
      </c>
      <c r="C167" s="13" t="s">
        <v>29</v>
      </c>
      <c r="D167" s="13" t="s">
        <v>513</v>
      </c>
      <c r="E167" s="19" cm="1">
        <f t="array" aca="1" ref="E167" ca="1">IFERROR(_FV(A167,"Beta"),2)</f>
        <v>2.5150999999999999</v>
      </c>
      <c r="F167" s="13" t="str" cm="1">
        <f t="array" aca="1" ref="F167" ca="1">_FV(A167,"Instrument type",TRUE)</f>
        <v>Stock</v>
      </c>
      <c r="G167" s="18" cm="1">
        <f t="array" aca="1" ref="G167" ca="1">_FV(Table19[[#This Row],[Assets]],"Price")</f>
        <v>10.6</v>
      </c>
      <c r="H167" s="36">
        <f>IFERROR(VLOOKUP(Table19[[#This Row],[Assets]],Table25[#All],15,FALSE),"")</f>
        <v>1.7399999999999998</v>
      </c>
      <c r="I167" s="36">
        <f>IFERROR(VLOOKUP(Table19[[#This Row],[Assets]],Table25[#All],16,FALSE),0)</f>
        <v>526.25</v>
      </c>
      <c r="J167" s="84">
        <f ca="1">IFERROR((Table19[[#This Row],[Price]]-Table19[[#This Row],[Ave Entry]])/Table19[[#This Row],[Ave Entry]],"")</f>
        <v>5.0919540229885065</v>
      </c>
      <c r="K167" s="92">
        <f ca="1">IFERROR((Table19[[#This Row],[Price]]-Table19[[#This Row],[Ave Entry]])*Table19[[#This Row],[Num of Stocks]],0)</f>
        <v>0</v>
      </c>
      <c r="L167" s="38" cm="1">
        <f t="array" aca="1" ref="L167" ca="1">_FV(Table19[[#This Row],[Assets]],"Change (%)",TRUE)</f>
        <v>-7.4910000000000003E-3</v>
      </c>
      <c r="M167" s="36">
        <f>SUMIF(Table20[Asset],Table19[[#This Row],[Assets]],Table20[realized_profit])</f>
        <v>0</v>
      </c>
      <c r="N167" s="36">
        <f>SUMIF(Table20[[#All],[Asset]],Table19[[#This Row],[Assets]],Table20[[#All],[delta_exposure]])</f>
        <v>0</v>
      </c>
      <c r="O167" s="38">
        <f ca="1">Table19[[#This Row],[Option Exposure]]/$B$6</f>
        <v>0</v>
      </c>
      <c r="P167" s="51">
        <f>SUMIF(Table25[[#All],[Assets]],Table19[[#This Row],[Assets]],Table25[[#All],[Number of stocks]])</f>
        <v>0</v>
      </c>
      <c r="Q167" s="36">
        <f ca="1">Table19[[#This Row],[Num of Stocks]]*Table19[[#This Row],[Price]]</f>
        <v>0</v>
      </c>
      <c r="R167" s="36">
        <f ca="1">Table19[[#This Row],[Stock Exposure]]+Table19[[#This Row],[Option Exposure]]</f>
        <v>0</v>
      </c>
      <c r="S167" s="108">
        <f>IFERROR(Table19[[#This Row],[Num of Stocks]]*Table19[[#This Row],[Ave Entry]],"")</f>
        <v>0</v>
      </c>
      <c r="T167" s="39">
        <f ca="1">Table19[[#This Row],[Combined Exposure]]/$C$8</f>
        <v>0</v>
      </c>
    </row>
    <row r="168" spans="1:20">
      <c r="A168" t="e" vm="258">
        <v>#VALUE!</v>
      </c>
      <c r="B168" s="13" t="str" cm="1">
        <f t="array" aca="1" ref="B168" ca="1">_FV(A168,"Ticker symbol",TRUE)</f>
        <v>SERV</v>
      </c>
      <c r="C168" s="13" t="s">
        <v>521</v>
      </c>
      <c r="D168" s="13" t="s">
        <v>521</v>
      </c>
      <c r="E168" s="19" cm="1">
        <f t="array" aca="1" ref="E168" ca="1">IFERROR(_FV(A168,"Beta"),2)</f>
        <v>2.1379999999999999</v>
      </c>
      <c r="F168" s="13" t="str" cm="1">
        <f t="array" aca="1" ref="F168" ca="1">_FV(A168,"Instrument type",TRUE)</f>
        <v>Stock</v>
      </c>
      <c r="G168" s="18" cm="1">
        <f t="array" aca="1" ref="G168" ca="1">_FV(Table19[[#This Row],[Assets]],"Price")</f>
        <v>9.4100999999999999</v>
      </c>
      <c r="H168" s="36">
        <f>IFERROR(VLOOKUP(Table19[[#This Row],[Assets]],Table25[#All],15,FALSE),"")</f>
        <v>11.42</v>
      </c>
      <c r="I168" s="36">
        <f>IFERROR(VLOOKUP(Table19[[#This Row],[Assets]],Table25[#All],16,FALSE),0)</f>
        <v>-0.79999999999991189</v>
      </c>
      <c r="J168" s="84">
        <f ca="1">IFERROR((Table19[[#This Row],[Price]]-Table19[[#This Row],[Ave Entry]])/Table19[[#This Row],[Ave Entry]],"")</f>
        <v>-0.1759982486865149</v>
      </c>
      <c r="K168" s="92">
        <f ca="1">IFERROR((Table19[[#This Row],[Price]]-Table19[[#This Row],[Ave Entry]])*Table19[[#This Row],[Num of Stocks]],0)</f>
        <v>0</v>
      </c>
      <c r="L168" s="38" cm="1">
        <f t="array" aca="1" ref="L168" ca="1">_FV(Table19[[#This Row],[Assets]],"Change (%)",TRUE)</f>
        <v>2.0617999999999997E-2</v>
      </c>
      <c r="M168" s="36">
        <f>SUMIF(Table20[Asset],Table19[[#This Row],[Assets]],Table20[realized_profit])</f>
        <v>0</v>
      </c>
      <c r="N168" s="36">
        <f>SUMIF(Table20[[#All],[Asset]],Table19[[#This Row],[Assets]],Table20[[#All],[delta_exposure]])</f>
        <v>0</v>
      </c>
      <c r="O168" s="38">
        <f ca="1">Table19[[#This Row],[Option Exposure]]/$B$6</f>
        <v>0</v>
      </c>
      <c r="P168" s="51">
        <f>SUMIF(Table25[[#All],[Assets]],Table19[[#This Row],[Assets]],Table25[[#All],[Number of stocks]])</f>
        <v>0</v>
      </c>
      <c r="Q168" s="36">
        <f ca="1">Table19[[#This Row],[Num of Stocks]]*Table19[[#This Row],[Price]]</f>
        <v>0</v>
      </c>
      <c r="R168" s="36">
        <f ca="1">Table19[[#This Row],[Stock Exposure]]+Table19[[#This Row],[Option Exposure]]</f>
        <v>0</v>
      </c>
      <c r="S168" s="108">
        <f>IFERROR(Table19[[#This Row],[Num of Stocks]]*Table19[[#This Row],[Ave Entry]],"")</f>
        <v>0</v>
      </c>
      <c r="T168" s="39">
        <f ca="1">Table19[[#This Row],[Combined Exposure]]/$C$8</f>
        <v>0</v>
      </c>
    </row>
    <row r="169" spans="1:20">
      <c r="A169" t="e" vm="259">
        <v>#VALUE!</v>
      </c>
      <c r="B169" s="13" t="str" cm="1">
        <f t="array" aca="1" ref="B169" ca="1">_FV(A169,"Ticker symbol",TRUE)</f>
        <v>GRAL</v>
      </c>
      <c r="C169" s="13" t="s">
        <v>53</v>
      </c>
      <c r="D169" s="13" t="s">
        <v>353</v>
      </c>
      <c r="E169" s="19" cm="1">
        <f t="array" aca="1" ref="E169" ca="1">IFERROR(_FV(A169,"Beta"),2)</f>
        <v>3.0019999999999998</v>
      </c>
      <c r="F169" s="13" t="str" cm="1">
        <f t="array" aca="1" ref="F169" ca="1">_FV(A169,"Instrument type",TRUE)</f>
        <v>Stock</v>
      </c>
      <c r="G169" s="18" cm="1">
        <f t="array" aca="1" ref="G169" ca="1">_FV(Table19[[#This Row],[Assets]],"Price")</f>
        <v>51.66</v>
      </c>
      <c r="H169" s="36">
        <f>IFERROR(VLOOKUP(Table19[[#This Row],[Assets]],Table25[#All],15,FALSE),"")</f>
        <v>17.202999999999999</v>
      </c>
      <c r="I169" s="36">
        <f>IFERROR(VLOOKUP(Table19[[#This Row],[Assets]],Table25[#All],16,FALSE),0)</f>
        <v>964.50000000000034</v>
      </c>
      <c r="J169" s="84">
        <f ca="1">IFERROR((Table19[[#This Row],[Price]]-Table19[[#This Row],[Ave Entry]])/Table19[[#This Row],[Ave Entry]],"")</f>
        <v>2.002964599197814</v>
      </c>
      <c r="K169" s="92">
        <f ca="1">IFERROR((Table19[[#This Row],[Price]]-Table19[[#This Row],[Ave Entry]])*Table19[[#This Row],[Num of Stocks]],0)</f>
        <v>0</v>
      </c>
      <c r="L169" s="38" cm="1">
        <f t="array" aca="1" ref="L169" ca="1">_FV(Table19[[#This Row],[Assets]],"Change (%)",TRUE)</f>
        <v>6.1871000000000002E-2</v>
      </c>
      <c r="M169" s="36">
        <f>SUMIF(Table20[Asset],Table19[[#This Row],[Assets]],Table20[realized_profit])</f>
        <v>0</v>
      </c>
      <c r="N169" s="36">
        <f>SUMIF(Table20[[#All],[Asset]],Table19[[#This Row],[Assets]],Table20[[#All],[delta_exposure]])</f>
        <v>0</v>
      </c>
      <c r="O169" s="38">
        <f ca="1">Table19[[#This Row],[Option Exposure]]/$B$6</f>
        <v>0</v>
      </c>
      <c r="P169" s="51">
        <f>SUMIF(Table25[[#All],[Assets]],Table19[[#This Row],[Assets]],Table25[[#All],[Number of stocks]])</f>
        <v>0</v>
      </c>
      <c r="Q169" s="36">
        <f ca="1">Table19[[#This Row],[Num of Stocks]]*Table19[[#This Row],[Price]]</f>
        <v>0</v>
      </c>
      <c r="R169" s="36">
        <f ca="1">Table19[[#This Row],[Stock Exposure]]+Table19[[#This Row],[Option Exposure]]</f>
        <v>0</v>
      </c>
      <c r="S169" s="108">
        <f>IFERROR(Table19[[#This Row],[Num of Stocks]]*Table19[[#This Row],[Ave Entry]],"")</f>
        <v>0</v>
      </c>
      <c r="T169" s="39">
        <f ca="1">Table19[[#This Row],[Combined Exposure]]/$C$8</f>
        <v>0</v>
      </c>
    </row>
    <row r="170" spans="1:20">
      <c r="A170" t="e" vm="260">
        <v>#VALUE!</v>
      </c>
      <c r="B170" s="13" t="str" cm="1">
        <f t="array" aca="1" ref="B170" ca="1">_FV(A170,"Ticker symbol",TRUE)</f>
        <v>REPL</v>
      </c>
      <c r="C170" s="13" t="s">
        <v>53</v>
      </c>
      <c r="D170" s="13" t="s">
        <v>353</v>
      </c>
      <c r="E170" s="19" cm="1">
        <f t="array" aca="1" ref="E170" ca="1">IFERROR(_FV(A170,"Beta"),2)</f>
        <v>0.7913</v>
      </c>
      <c r="F170" s="13" t="str" cm="1">
        <f t="array" aca="1" ref="F170" ca="1">_FV(A170,"Instrument type",TRUE)</f>
        <v>Stock</v>
      </c>
      <c r="G170" s="18" cm="1">
        <f t="array" aca="1" ref="G170" ca="1">_FV(Table19[[#This Row],[Assets]],"Price")</f>
        <v>7.3049999999999997</v>
      </c>
      <c r="H170" s="36">
        <f>IFERROR(VLOOKUP(Table19[[#This Row],[Assets]],Table25[#All],15,FALSE),"")</f>
        <v>14.28</v>
      </c>
      <c r="I170" s="36">
        <f>IFERROR(VLOOKUP(Table19[[#This Row],[Assets]],Table25[#All],16,FALSE),0)</f>
        <v>-149.09999999999997</v>
      </c>
      <c r="J170" s="84">
        <f ca="1">IFERROR((Table19[[#This Row],[Price]]-Table19[[#This Row],[Ave Entry]])/Table19[[#This Row],[Ave Entry]],"")</f>
        <v>-0.48844537815126049</v>
      </c>
      <c r="K170" s="92">
        <f ca="1">IFERROR((Table19[[#This Row],[Price]]-Table19[[#This Row],[Ave Entry]])*Table19[[#This Row],[Num of Stocks]],0)</f>
        <v>0</v>
      </c>
      <c r="L170" s="38" cm="1">
        <f t="array" aca="1" ref="L170" ca="1">_FV(Table19[[#This Row],[Assets]],"Change (%)",TRUE)</f>
        <v>4.8063000000000002E-2</v>
      </c>
      <c r="M170" s="36">
        <f>SUMIF(Table20[Asset],Table19[[#This Row],[Assets]],Table20[realized_profit])</f>
        <v>0</v>
      </c>
      <c r="N170" s="36">
        <f>SUMIF(Table20[[#All],[Asset]],Table19[[#This Row],[Assets]],Table20[[#All],[delta_exposure]])</f>
        <v>0</v>
      </c>
      <c r="O170" s="38">
        <f ca="1">Table19[[#This Row],[Option Exposure]]/$B$6</f>
        <v>0</v>
      </c>
      <c r="P170" s="51">
        <f>SUMIF(Table25[[#All],[Assets]],Table19[[#This Row],[Assets]],Table25[[#All],[Number of stocks]])</f>
        <v>0</v>
      </c>
      <c r="Q170" s="36">
        <f ca="1">Table19[[#This Row],[Num of Stocks]]*Table19[[#This Row],[Price]]</f>
        <v>0</v>
      </c>
      <c r="R170" s="36">
        <f ca="1">Table19[[#This Row],[Stock Exposure]]+Table19[[#This Row],[Option Exposure]]</f>
        <v>0</v>
      </c>
      <c r="S170" s="108">
        <f>IFERROR(Table19[[#This Row],[Num of Stocks]]*Table19[[#This Row],[Ave Entry]],"")</f>
        <v>0</v>
      </c>
      <c r="T170" s="39">
        <f ca="1">Table19[[#This Row],[Combined Exposure]]/$C$8</f>
        <v>0</v>
      </c>
    </row>
    <row r="171" spans="1:20">
      <c r="A171" t="e" vm="261">
        <v>#VALUE!</v>
      </c>
      <c r="B171" s="13" t="str" cm="1">
        <f t="array" aca="1" ref="B171" ca="1">_FV(A171,"Ticker symbol",TRUE)</f>
        <v>OM</v>
      </c>
      <c r="C171" s="13" t="s">
        <v>53</v>
      </c>
      <c r="D171" s="13" t="s">
        <v>53</v>
      </c>
      <c r="E171" s="19" cm="1">
        <f t="array" aca="1" ref="E171" ca="1">IFERROR(_FV(A171,"Beta"),2)</f>
        <v>2.0194999999999999</v>
      </c>
      <c r="F171" s="13" t="str" cm="1">
        <f t="array" aca="1" ref="F171" ca="1">_FV(A171,"Instrument type",TRUE)</f>
        <v>Stock</v>
      </c>
      <c r="G171" s="18" cm="1">
        <f t="array" aca="1" ref="G171" ca="1">_FV(Table19[[#This Row],[Assets]],"Price")</f>
        <v>3.54</v>
      </c>
      <c r="H171" s="36">
        <f>IFERROR(VLOOKUP(Table19[[#This Row],[Assets]],Table25[#All],15,FALSE),"")</f>
        <v>17.670000000000002</v>
      </c>
      <c r="I171" s="36">
        <f>IFERROR(VLOOKUP(Table19[[#This Row],[Assets]],Table25[#All],16,FALSE),0)</f>
        <v>-110.49000000000007</v>
      </c>
      <c r="J171" s="84">
        <f ca="1">IFERROR((Table19[[#This Row],[Price]]-Table19[[#This Row],[Ave Entry]])/Table19[[#This Row],[Ave Entry]],"")</f>
        <v>-0.79966044142614612</v>
      </c>
      <c r="K171" s="92">
        <f ca="1">IFERROR((Table19[[#This Row],[Price]]-Table19[[#This Row],[Ave Entry]])*Table19[[#This Row],[Num of Stocks]],0)</f>
        <v>0</v>
      </c>
      <c r="L171" s="38" cm="1">
        <f t="array" aca="1" ref="L171" ca="1">_FV(Table19[[#This Row],[Assets]],"Change (%)",TRUE)</f>
        <v>2.833E-3</v>
      </c>
      <c r="M171" s="36">
        <f>SUMIF(Table20[Asset],Table19[[#This Row],[Assets]],Table20[realized_profit])</f>
        <v>0</v>
      </c>
      <c r="N171" s="36">
        <f>SUMIF(Table20[[#All],[Asset]],Table19[[#This Row],[Assets]],Table20[[#All],[delta_exposure]])</f>
        <v>0</v>
      </c>
      <c r="O171" s="38">
        <f ca="1">Table19[[#This Row],[Option Exposure]]/$B$6</f>
        <v>0</v>
      </c>
      <c r="P171" s="51">
        <f>SUMIF(Table25[[#All],[Assets]],Table19[[#This Row],[Assets]],Table25[[#All],[Number of stocks]])</f>
        <v>0</v>
      </c>
      <c r="Q171" s="36">
        <f ca="1">Table19[[#This Row],[Num of Stocks]]*Table19[[#This Row],[Price]]</f>
        <v>0</v>
      </c>
      <c r="R171" s="36">
        <f ca="1">Table19[[#This Row],[Stock Exposure]]+Table19[[#This Row],[Option Exposure]]</f>
        <v>0</v>
      </c>
      <c r="S171" s="108">
        <f>IFERROR(Table19[[#This Row],[Num of Stocks]]*Table19[[#This Row],[Ave Entry]],"")</f>
        <v>0</v>
      </c>
      <c r="T171" s="39">
        <f ca="1">Table19[[#This Row],[Combined Exposure]]/$C$8</f>
        <v>0</v>
      </c>
    </row>
    <row r="172" spans="1:20">
      <c r="A172" t="e" vm="262">
        <v>#VALUE!</v>
      </c>
      <c r="B172" s="13" t="str" cm="1">
        <f t="array" aca="1" ref="B172" ca="1">_FV(A172,"Ticker symbol",TRUE)</f>
        <v>PROP</v>
      </c>
      <c r="C172" s="13" t="s">
        <v>31</v>
      </c>
      <c r="D172" s="13" t="s">
        <v>445</v>
      </c>
      <c r="E172" s="19" cm="1">
        <f t="array" aca="1" ref="E172" ca="1">IFERROR(_FV(A172,"Beta"),2)</f>
        <v>1.7242</v>
      </c>
      <c r="F172" s="13" t="str" cm="1">
        <f t="array" aca="1" ref="F172" ca="1">_FV(A172,"Instrument type",TRUE)</f>
        <v>Stock</v>
      </c>
      <c r="G172" s="18" cm="1">
        <f t="array" aca="1" ref="G172" ca="1">_FV(Table19[[#This Row],[Assets]],"Price")</f>
        <v>1.665</v>
      </c>
      <c r="H172" s="36">
        <f>IFERROR(VLOOKUP(Table19[[#This Row],[Assets]],Table25[#All],15,FALSE),"")</f>
        <v>8.5958333333333332</v>
      </c>
      <c r="I172" s="36">
        <f>IFERROR(VLOOKUP(Table19[[#This Row],[Assets]],Table25[#All],16,FALSE),0)</f>
        <v>-327.09999999999997</v>
      </c>
      <c r="J172" s="84">
        <f ca="1">IFERROR((Table19[[#This Row],[Price]]-Table19[[#This Row],[Ave Entry]])/Table19[[#This Row],[Ave Entry]],"")</f>
        <v>-0.8063015026660203</v>
      </c>
      <c r="K172" s="92">
        <f ca="1">IFERROR((Table19[[#This Row],[Price]]-Table19[[#This Row],[Ave Entry]])*Table19[[#This Row],[Num of Stocks]],0)</f>
        <v>0</v>
      </c>
      <c r="L172" s="38" cm="1">
        <f t="array" aca="1" ref="L172" ca="1">_FV(Table19[[#This Row],[Assets]],"Change (%)",TRUE)</f>
        <v>-4.8571000000000003E-2</v>
      </c>
      <c r="M172" s="36">
        <f>SUMIF(Table20[Asset],Table19[[#This Row],[Assets]],Table20[realized_profit])</f>
        <v>0</v>
      </c>
      <c r="N172" s="36">
        <f>SUMIF(Table20[[#All],[Asset]],Table19[[#This Row],[Assets]],Table20[[#All],[delta_exposure]])</f>
        <v>0</v>
      </c>
      <c r="O172" s="38">
        <f ca="1">Table19[[#This Row],[Option Exposure]]/$B$6</f>
        <v>0</v>
      </c>
      <c r="P172" s="51">
        <f>SUMIF(Table25[[#All],[Assets]],Table19[[#This Row],[Assets]],Table25[[#All],[Number of stocks]])</f>
        <v>0</v>
      </c>
      <c r="Q172" s="36">
        <f ca="1">Table19[[#This Row],[Num of Stocks]]*Table19[[#This Row],[Price]]</f>
        <v>0</v>
      </c>
      <c r="R172" s="36">
        <f ca="1">Table19[[#This Row],[Stock Exposure]]+Table19[[#This Row],[Option Exposure]]</f>
        <v>0</v>
      </c>
      <c r="S172" s="108">
        <f>IFERROR(Table19[[#This Row],[Num of Stocks]]*Table19[[#This Row],[Ave Entry]],"")</f>
        <v>0</v>
      </c>
      <c r="T172" s="39">
        <f ca="1">Table19[[#This Row],[Combined Exposure]]/$C$8</f>
        <v>0</v>
      </c>
    </row>
    <row r="173" spans="1:20">
      <c r="A173" t="e" vm="263">
        <v>#VALUE!</v>
      </c>
      <c r="B173" s="13" t="str" cm="1">
        <f t="array" aca="1" ref="B173" ca="1">_FV(A173,"Ticker symbol",TRUE)</f>
        <v>GDRX</v>
      </c>
      <c r="C173" s="13" t="s">
        <v>53</v>
      </c>
      <c r="D173" s="13" t="s">
        <v>53</v>
      </c>
      <c r="E173" s="19" cm="1">
        <f t="array" aca="1" ref="E173" ca="1">IFERROR(_FV(A173,"Beta"),2)</f>
        <v>1.4578</v>
      </c>
      <c r="F173" s="13" t="str" cm="1">
        <f t="array" aca="1" ref="F173" ca="1">_FV(A173,"Instrument type",TRUE)</f>
        <v>Stock</v>
      </c>
      <c r="G173" s="18" cm="1">
        <f t="array" aca="1" ref="G173" ca="1">_FV(Table19[[#This Row],[Assets]],"Price")</f>
        <v>2.0600999999999998</v>
      </c>
      <c r="H173" s="36">
        <f>IFERROR(VLOOKUP(Table19[[#This Row],[Assets]],Table25[#All],15,FALSE),"")</f>
        <v>4.5423809523809524</v>
      </c>
      <c r="I173" s="36">
        <f>IFERROR(VLOOKUP(Table19[[#This Row],[Assets]],Table25[#All],16,FALSE),0)</f>
        <v>-115.59999999999974</v>
      </c>
      <c r="J173" s="84">
        <f ca="1">IFERROR((Table19[[#This Row],[Price]]-Table19[[#This Row],[Ave Entry]])/Table19[[#This Row],[Ave Entry]],"")</f>
        <v>-0.54647132823147082</v>
      </c>
      <c r="K173" s="92">
        <f ca="1">IFERROR((Table19[[#This Row],[Price]]-Table19[[#This Row],[Ave Entry]])*Table19[[#This Row],[Num of Stocks]],0)</f>
        <v>0</v>
      </c>
      <c r="L173" s="38" cm="1">
        <f t="array" aca="1" ref="L173" ca="1">_FV(Table19[[#This Row],[Assets]],"Change (%)",TRUE)</f>
        <v>9.8529999999999989E-3</v>
      </c>
      <c r="M173" s="36">
        <f>SUMIF(Table20[Asset],Table19[[#This Row],[Assets]],Table20[realized_profit])</f>
        <v>0</v>
      </c>
      <c r="N173" s="36">
        <f>SUMIF(Table20[[#All],[Asset]],Table19[[#This Row],[Assets]],Table20[[#All],[delta_exposure]])</f>
        <v>0</v>
      </c>
      <c r="O173" s="38">
        <f ca="1">Table19[[#This Row],[Option Exposure]]/$B$6</f>
        <v>0</v>
      </c>
      <c r="P173" s="51">
        <f>SUMIF(Table25[[#All],[Assets]],Table19[[#This Row],[Assets]],Table25[[#All],[Number of stocks]])</f>
        <v>0</v>
      </c>
      <c r="Q173" s="36">
        <f ca="1">Table19[[#This Row],[Num of Stocks]]*Table19[[#This Row],[Price]]</f>
        <v>0</v>
      </c>
      <c r="R173" s="36">
        <f ca="1">Table19[[#This Row],[Stock Exposure]]+Table19[[#This Row],[Option Exposure]]</f>
        <v>0</v>
      </c>
      <c r="S173" s="108">
        <f>IFERROR(Table19[[#This Row],[Num of Stocks]]*Table19[[#This Row],[Ave Entry]],"")</f>
        <v>0</v>
      </c>
      <c r="T173" s="39">
        <f ca="1">Table19[[#This Row],[Combined Exposure]]/$C$8</f>
        <v>0</v>
      </c>
    </row>
    <row r="174" spans="1:20">
      <c r="A174" t="e" vm="86">
        <v>#VALUE!</v>
      </c>
      <c r="B174" s="13" t="str" cm="1">
        <f t="array" aca="1" ref="B174" ca="1">_FV(A174,"Ticker symbol",TRUE)</f>
        <v>BULL</v>
      </c>
      <c r="C174" s="13" t="s">
        <v>54</v>
      </c>
      <c r="D174" s="13" t="s">
        <v>86</v>
      </c>
      <c r="E174" s="19" cm="1">
        <f t="array" aca="1" ref="E174" ca="1">IFERROR(_FV(A174,"Beta"),2)</f>
        <v>5.2200000000000003E-2</v>
      </c>
      <c r="F174" s="13" t="str" cm="1">
        <f t="array" aca="1" ref="F174" ca="1">_FV(A174,"Instrument type",TRUE)</f>
        <v>Stock</v>
      </c>
      <c r="G174" s="18" cm="1">
        <f t="array" aca="1" ref="G174" ca="1">_FV(Table19[[#This Row],[Assets]],"Price")</f>
        <v>5.2050000000000001</v>
      </c>
      <c r="H174" s="36">
        <f>IFERROR(VLOOKUP(Table19[[#This Row],[Assets]],Table25[#All],15,FALSE),"")</f>
        <v>12.3</v>
      </c>
      <c r="I174" s="36">
        <f>IFERROR(VLOOKUP(Table19[[#This Row],[Assets]],Table25[#All],16,FALSE),0)</f>
        <v>13.200000000000003</v>
      </c>
      <c r="J174" s="84">
        <f ca="1">IFERROR((Table19[[#This Row],[Price]]-Table19[[#This Row],[Ave Entry]])/Table19[[#This Row],[Ave Entry]],"")</f>
        <v>-0.576829268292683</v>
      </c>
      <c r="K174" s="92">
        <f ca="1">IFERROR((Table19[[#This Row],[Price]]-Table19[[#This Row],[Ave Entry]])*Table19[[#This Row],[Num of Stocks]],0)</f>
        <v>0</v>
      </c>
      <c r="L174" s="38" cm="1">
        <f t="array" aca="1" ref="L174" ca="1">_FV(Table19[[#This Row],[Assets]],"Change (%)",TRUE)</f>
        <v>1.4619999999999999E-2</v>
      </c>
      <c r="M174" s="36">
        <f>SUMIF(Table20[Asset],Table19[[#This Row],[Assets]],Table20[realized_profit])</f>
        <v>0</v>
      </c>
      <c r="N174" s="36">
        <f>SUMIF(Table20[[#All],[Asset]],Table19[[#This Row],[Assets]],Table20[[#All],[delta_exposure]])</f>
        <v>0</v>
      </c>
      <c r="O174" s="38">
        <f ca="1">Table19[[#This Row],[Option Exposure]]/$B$6</f>
        <v>0</v>
      </c>
      <c r="P174" s="51">
        <f>SUMIF(Table25[[#All],[Assets]],Table19[[#This Row],[Assets]],Table25[[#All],[Number of stocks]])</f>
        <v>0</v>
      </c>
      <c r="Q174" s="36">
        <f ca="1">Table19[[#This Row],[Num of Stocks]]*Table19[[#This Row],[Price]]</f>
        <v>0</v>
      </c>
      <c r="R174" s="36">
        <f ca="1">Table19[[#This Row],[Stock Exposure]]+Table19[[#This Row],[Option Exposure]]</f>
        <v>0</v>
      </c>
      <c r="S174" s="108">
        <f>IFERROR(Table19[[#This Row],[Num of Stocks]]*Table19[[#This Row],[Ave Entry]],"")</f>
        <v>0</v>
      </c>
      <c r="T174" s="39">
        <f ca="1">Table19[[#This Row],[Combined Exposure]]/$C$8</f>
        <v>0</v>
      </c>
    </row>
    <row r="175" spans="1:20">
      <c r="A175" t="e" vm="264">
        <v>#VALUE!</v>
      </c>
      <c r="B175" s="13" t="str" cm="1">
        <f t="array" aca="1" ref="B175" ca="1">_FV(A175,"Ticker symbol",TRUE)</f>
        <v>BTSG</v>
      </c>
      <c r="C175" s="13" t="s">
        <v>53</v>
      </c>
      <c r="D175" s="13" t="s">
        <v>53</v>
      </c>
      <c r="E175" s="19" cm="1">
        <f t="array" aca="1" ref="E175" ca="1">IFERROR(_FV(A175,"Beta"),2)</f>
        <v>1.137</v>
      </c>
      <c r="F175" s="13" t="str" cm="1">
        <f t="array" aca="1" ref="F175" ca="1">_FV(A175,"Instrument type",TRUE)</f>
        <v>Stock</v>
      </c>
      <c r="G175" s="18" cm="1">
        <f t="array" aca="1" ref="G175" ca="1">_FV(Table19[[#This Row],[Assets]],"Price")</f>
        <v>44.57</v>
      </c>
      <c r="H175" s="36">
        <f>IFERROR(VLOOKUP(Table19[[#This Row],[Assets]],Table25[#All],15,FALSE),"")</f>
        <v>23.39</v>
      </c>
      <c r="I175" s="36">
        <f>IFERROR(VLOOKUP(Table19[[#This Row],[Assets]],Table25[#All],16,FALSE),0)</f>
        <v>-4.8000000000000043</v>
      </c>
      <c r="J175" s="84">
        <f ca="1">IFERROR((Table19[[#This Row],[Price]]-Table19[[#This Row],[Ave Entry]])/Table19[[#This Row],[Ave Entry]],"")</f>
        <v>0.90551517742625054</v>
      </c>
      <c r="K175" s="92">
        <f ca="1">IFERROR((Table19[[#This Row],[Price]]-Table19[[#This Row],[Ave Entry]])*Table19[[#This Row],[Num of Stocks]],0)</f>
        <v>0</v>
      </c>
      <c r="L175" s="38" cm="1">
        <f t="array" aca="1" ref="L175" ca="1">_FV(Table19[[#This Row],[Assets]],"Change (%)",TRUE)</f>
        <v>2.9093000000000001E-2</v>
      </c>
      <c r="M175" s="36">
        <f>SUMIF(Table20[Asset],Table19[[#This Row],[Assets]],Table20[realized_profit])</f>
        <v>0</v>
      </c>
      <c r="N175" s="36">
        <f>SUMIF(Table20[[#All],[Asset]],Table19[[#This Row],[Assets]],Table20[[#All],[delta_exposure]])</f>
        <v>0</v>
      </c>
      <c r="O175" s="38">
        <f ca="1">Table19[[#This Row],[Option Exposure]]/$B$6</f>
        <v>0</v>
      </c>
      <c r="P175" s="51">
        <f>SUMIF(Table25[[#All],[Assets]],Table19[[#This Row],[Assets]],Table25[[#All],[Number of stocks]])</f>
        <v>0</v>
      </c>
      <c r="Q175" s="36">
        <f ca="1">Table19[[#This Row],[Num of Stocks]]*Table19[[#This Row],[Price]]</f>
        <v>0</v>
      </c>
      <c r="R175" s="36">
        <f ca="1">Table19[[#This Row],[Stock Exposure]]+Table19[[#This Row],[Option Exposure]]</f>
        <v>0</v>
      </c>
      <c r="S175" s="108">
        <f>IFERROR(Table19[[#This Row],[Num of Stocks]]*Table19[[#This Row],[Ave Entry]],"")</f>
        <v>0</v>
      </c>
      <c r="T175" s="39">
        <f ca="1">Table19[[#This Row],[Combined Exposure]]/$C$8</f>
        <v>0</v>
      </c>
    </row>
    <row r="176" spans="1:20">
      <c r="A176" t="e" vm="79">
        <v>#VALUE!</v>
      </c>
      <c r="B176" s="13" t="str" cm="1">
        <f t="array" aca="1" ref="B176" ca="1">_FV(A176,"Ticker symbol",TRUE)</f>
        <v>PACB</v>
      </c>
      <c r="C176" s="13" t="s">
        <v>53</v>
      </c>
      <c r="D176" s="13" t="s">
        <v>560</v>
      </c>
      <c r="E176" s="19" cm="1">
        <f t="array" aca="1" ref="E176" ca="1">IFERROR(_FV(A176,"Beta"),2)</f>
        <v>2.3148</v>
      </c>
      <c r="F176" s="13" t="str" cm="1">
        <f t="array" aca="1" ref="F176" ca="1">_FV(A176,"Instrument type",TRUE)</f>
        <v>Stock</v>
      </c>
      <c r="G176" s="18" cm="1">
        <f t="array" aca="1" ref="G176" ca="1">_FV(Table19[[#This Row],[Assets]],"Price")</f>
        <v>1.415</v>
      </c>
      <c r="H176" s="36">
        <f>IFERROR(VLOOKUP(Table19[[#This Row],[Assets]],Table25[#All],15,FALSE),"")</f>
        <v>1.39</v>
      </c>
      <c r="I176" s="36">
        <f>IFERROR(VLOOKUP(Table19[[#This Row],[Assets]],Table25[#All],16,FALSE),0)</f>
        <v>-110.99999999999993</v>
      </c>
      <c r="J176" s="84">
        <f ca="1">IFERROR((Table19[[#This Row],[Price]]-Table19[[#This Row],[Ave Entry]])/Table19[[#This Row],[Ave Entry]],"")</f>
        <v>1.7985611510791463E-2</v>
      </c>
      <c r="K176" s="92">
        <f ca="1">IFERROR((Table19[[#This Row],[Price]]-Table19[[#This Row],[Ave Entry]])*Table19[[#This Row],[Num of Stocks]],0)</f>
        <v>0</v>
      </c>
      <c r="L176" s="38" cm="1">
        <f t="array" aca="1" ref="L176" ca="1">_FV(Table19[[#This Row],[Assets]],"Change (%)",TRUE)</f>
        <v>1.7985999999999999E-2</v>
      </c>
      <c r="M176" s="36">
        <f>SUMIF(Table20[Asset],Table19[[#This Row],[Assets]],Table20[realized_profit])</f>
        <v>0</v>
      </c>
      <c r="N176" s="36">
        <f>SUMIF(Table20[[#All],[Asset]],Table19[[#This Row],[Assets]],Table20[[#All],[delta_exposure]])</f>
        <v>0</v>
      </c>
      <c r="O176" s="38">
        <f ca="1">Table19[[#This Row],[Option Exposure]]/$B$6</f>
        <v>0</v>
      </c>
      <c r="P176" s="51">
        <f>SUMIF(Table25[[#All],[Assets]],Table19[[#This Row],[Assets]],Table25[[#All],[Number of stocks]])</f>
        <v>0</v>
      </c>
      <c r="Q176" s="36">
        <f ca="1">Table19[[#This Row],[Num of Stocks]]*Table19[[#This Row],[Price]]</f>
        <v>0</v>
      </c>
      <c r="R176" s="36">
        <f ca="1">Table19[[#This Row],[Stock Exposure]]+Table19[[#This Row],[Option Exposure]]</f>
        <v>0</v>
      </c>
      <c r="S176" s="108">
        <f>IFERROR(Table19[[#This Row],[Num of Stocks]]*Table19[[#This Row],[Ave Entry]],"")</f>
        <v>0</v>
      </c>
      <c r="T176" s="39">
        <f ca="1">Table19[[#This Row],[Combined Exposure]]/$C$8</f>
        <v>0</v>
      </c>
    </row>
    <row r="177" spans="1:20">
      <c r="A177" t="e" vm="64">
        <v>#VALUE!</v>
      </c>
      <c r="B177" s="13" t="str" cm="1">
        <f t="array" aca="1" ref="B177" ca="1">_FV(A177,"Ticker symbol",TRUE)</f>
        <v>LULU</v>
      </c>
      <c r="C177" s="13" t="s">
        <v>55</v>
      </c>
      <c r="D177" s="13" t="s">
        <v>358</v>
      </c>
      <c r="E177" s="19" cm="1">
        <f t="array" aca="1" ref="E177" ca="1">IFERROR(_FV(A177,"Beta"),2)</f>
        <v>1.0481</v>
      </c>
      <c r="F177" s="13" t="str" cm="1">
        <f t="array" aca="1" ref="F177" ca="1">_FV(A177,"Instrument type",TRUE)</f>
        <v>Stock</v>
      </c>
      <c r="G177" s="18" cm="1">
        <f t="array" aca="1" ref="G177" ca="1">_FV(Table19[[#This Row],[Assets]],"Price")</f>
        <v>159.22</v>
      </c>
      <c r="H177" s="36">
        <f>IFERROR(VLOOKUP(Table19[[#This Row],[Assets]],Table25[#All],15,FALSE),"")</f>
        <v>241.24000000000004</v>
      </c>
      <c r="I177" s="36">
        <f>IFERROR(VLOOKUP(Table19[[#This Row],[Assets]],Table25[#All],16,FALSE),0)</f>
        <v>686.67999999999779</v>
      </c>
      <c r="J177" s="84">
        <f ca="1">IFERROR((Table19[[#This Row],[Price]]-Table19[[#This Row],[Ave Entry]])/Table19[[#This Row],[Ave Entry]],"")</f>
        <v>-0.33999336760072968</v>
      </c>
      <c r="K177" s="92">
        <f ca="1">IFERROR((Table19[[#This Row],[Price]]-Table19[[#This Row],[Ave Entry]])*Table19[[#This Row],[Num of Stocks]],0)</f>
        <v>0</v>
      </c>
      <c r="L177" s="38" cm="1">
        <f t="array" aca="1" ref="L177" ca="1">_FV(Table19[[#This Row],[Assets]],"Change (%)",TRUE)</f>
        <v>-1.0749E-2</v>
      </c>
      <c r="M177" s="36">
        <f>SUMIF(Table20[Asset],Table19[[#This Row],[Assets]],Table20[realized_profit])</f>
        <v>-1317.0000000000002</v>
      </c>
      <c r="N177" s="36">
        <f ca="1">SUMIF(Table20[[#All],[Asset]],Table19[[#This Row],[Assets]],Table20[[#All],[delta_exposure]])</f>
        <v>0</v>
      </c>
      <c r="O177" s="98">
        <f ca="1">Table19[[#This Row],[Option Exposure]]/$B$6</f>
        <v>0</v>
      </c>
      <c r="P177" s="51">
        <f>SUMIF(Table25[[#All],[Assets]],Table19[[#This Row],[Assets]],Table25[[#All],[Number of stocks]])</f>
        <v>0</v>
      </c>
      <c r="Q177" s="36">
        <f ca="1">Table19[[#This Row],[Num of Stocks]]*Table19[[#This Row],[Price]]</f>
        <v>0</v>
      </c>
      <c r="R177" s="36">
        <f ca="1">Table19[[#This Row],[Stock Exposure]]+Table19[[#This Row],[Option Exposure]]</f>
        <v>0</v>
      </c>
      <c r="S177" s="108">
        <f>IFERROR(Table19[[#This Row],[Num of Stocks]]*Table19[[#This Row],[Ave Entry]],"")</f>
        <v>0</v>
      </c>
      <c r="T177" s="39">
        <f ca="1">Table19[[#This Row],[Combined Exposure]]/$C$8</f>
        <v>0</v>
      </c>
    </row>
    <row r="178" spans="1:20">
      <c r="A178" t="e" vm="57">
        <v>#VALUE!</v>
      </c>
      <c r="B178" s="13" t="str" cm="1">
        <f t="array" aca="1" ref="B178" ca="1">_FV(A178,"Ticker symbol",TRUE)</f>
        <v>EXE</v>
      </c>
      <c r="C178" s="13" t="s">
        <v>31</v>
      </c>
      <c r="D178" s="13" t="s">
        <v>119</v>
      </c>
      <c r="E178" s="19" cm="1">
        <f t="array" aca="1" ref="E178" ca="1">IFERROR(_FV(A178,"Beta"),2)</f>
        <v>0.46089999999999998</v>
      </c>
      <c r="F178" s="13" t="str" cm="1">
        <f t="array" aca="1" ref="F178" ca="1">_FV(A178,"Instrument type",TRUE)</f>
        <v>Stock</v>
      </c>
      <c r="G178" s="18" cm="1">
        <f t="array" aca="1" ref="G178" ca="1">_FV(Table19[[#This Row],[Assets]],"Price")</f>
        <v>112.5</v>
      </c>
      <c r="H178" s="36">
        <f>IFERROR(VLOOKUP(Table19[[#This Row],[Assets]],Table25[#All],15,FALSE),"")</f>
        <v>84.37</v>
      </c>
      <c r="I178" s="36">
        <f>IFERROR(VLOOKUP(Table19[[#This Row],[Assets]],Table25[#All],16,FALSE),0)</f>
        <v>58.519999999999982</v>
      </c>
      <c r="J178" s="84">
        <f ca="1">IFERROR((Table19[[#This Row],[Price]]-Table19[[#This Row],[Ave Entry]])/Table19[[#This Row],[Ave Entry]],"")</f>
        <v>0.33341235036150285</v>
      </c>
      <c r="K178" s="92">
        <f ca="1">IFERROR((Table19[[#This Row],[Price]]-Table19[[#This Row],[Ave Entry]])*Table19[[#This Row],[Num of Stocks]],0)</f>
        <v>0</v>
      </c>
      <c r="L178" s="38" cm="1">
        <f t="array" aca="1" ref="L178" ca="1">_FV(Table19[[#This Row],[Assets]],"Change (%)",TRUE)</f>
        <v>2.5617999999999998E-2</v>
      </c>
      <c r="M178" s="36">
        <f>SUMIF(Table20[Asset],Table19[[#This Row],[Assets]],Table20[realized_profit])</f>
        <v>0</v>
      </c>
      <c r="N178" s="36">
        <f>SUMIF(Table20[[#All],[Asset]],Table19[[#This Row],[Assets]],Table20[[#All],[delta_exposure]])</f>
        <v>0</v>
      </c>
      <c r="O178" s="38">
        <f ca="1">Table19[[#This Row],[Option Exposure]]/$B$6</f>
        <v>0</v>
      </c>
      <c r="P178" s="51">
        <f>SUMIF(Table25[[#All],[Assets]],Table19[[#This Row],[Assets]],Table25[[#All],[Number of stocks]])</f>
        <v>0</v>
      </c>
      <c r="Q178" s="36">
        <f ca="1">Table19[[#This Row],[Num of Stocks]]*Table19[[#This Row],[Price]]</f>
        <v>0</v>
      </c>
      <c r="R178" s="36">
        <f ca="1">Table19[[#This Row],[Stock Exposure]]+Table19[[#This Row],[Option Exposure]]</f>
        <v>0</v>
      </c>
      <c r="S178" s="108">
        <f>IFERROR(Table19[[#This Row],[Num of Stocks]]*Table19[[#This Row],[Ave Entry]],"")</f>
        <v>0</v>
      </c>
      <c r="T178" s="39">
        <f ca="1">Table19[[#This Row],[Combined Exposure]]/$C$8</f>
        <v>0</v>
      </c>
    </row>
    <row r="179" spans="1:20">
      <c r="A179" t="e" vm="265">
        <v>#VALUE!</v>
      </c>
      <c r="B179" s="13" t="str" cm="1">
        <f t="array" aca="1" ref="B179" ca="1">_FV(A179,"Ticker symbol",TRUE)</f>
        <v>OBIO</v>
      </c>
      <c r="C179" s="13" t="s">
        <v>53</v>
      </c>
      <c r="D179" s="13" t="s">
        <v>53</v>
      </c>
      <c r="E179" s="19" cm="1">
        <f t="array" aca="1" ref="E179" ca="1">IFERROR(_FV(A179,"Beta"),2)</f>
        <v>0.55289999999999995</v>
      </c>
      <c r="F179" s="13" t="str" cm="1">
        <f t="array" aca="1" ref="F179" ca="1">_FV(A179,"Instrument type",TRUE)</f>
        <v>Stock</v>
      </c>
      <c r="G179" s="18" cm="1">
        <f t="array" aca="1" ref="G179" ca="1">_FV(Table19[[#This Row],[Assets]],"Price")</f>
        <v>4.7</v>
      </c>
      <c r="H179" s="36">
        <f>IFERROR(VLOOKUP(Table19[[#This Row],[Assets]],Table25[#All],15,FALSE),"")</f>
        <v>5.54</v>
      </c>
      <c r="I179" s="36">
        <f>IFERROR(VLOOKUP(Table19[[#This Row],[Assets]],Table25[#All],16,FALSE),0)</f>
        <v>-204.99999999999997</v>
      </c>
      <c r="J179" s="84">
        <f ca="1">IFERROR((Table19[[#This Row],[Price]]-Table19[[#This Row],[Ave Entry]])/Table19[[#This Row],[Ave Entry]],"")</f>
        <v>-0.15162454873646206</v>
      </c>
      <c r="K179" s="92">
        <f ca="1">IFERROR((Table19[[#This Row],[Price]]-Table19[[#This Row],[Ave Entry]])*Table19[[#This Row],[Num of Stocks]],0)</f>
        <v>0</v>
      </c>
      <c r="L179" s="38" cm="1">
        <f t="array" aca="1" ref="L179" ca="1">_FV(Table19[[#This Row],[Assets]],"Change (%)",TRUE)</f>
        <v>8.5840000000000014E-3</v>
      </c>
      <c r="M179" s="36">
        <f>SUMIF(Table20[Asset],Table19[[#This Row],[Assets]],Table20[realized_profit])</f>
        <v>0</v>
      </c>
      <c r="N179" s="36">
        <f>SUMIF(Table20[[#All],[Asset]],Table19[[#This Row],[Assets]],Table20[[#All],[delta_exposure]])</f>
        <v>0</v>
      </c>
      <c r="O179" s="38">
        <f ca="1">Table19[[#This Row],[Option Exposure]]/$B$6</f>
        <v>0</v>
      </c>
      <c r="P179" s="51">
        <f>SUMIF(Table25[[#All],[Assets]],Table19[[#This Row],[Assets]],Table25[[#All],[Number of stocks]])</f>
        <v>0</v>
      </c>
      <c r="Q179" s="36">
        <f ca="1">Table19[[#This Row],[Num of Stocks]]*Table19[[#This Row],[Price]]</f>
        <v>0</v>
      </c>
      <c r="R179" s="36">
        <f ca="1">Table19[[#This Row],[Stock Exposure]]+Table19[[#This Row],[Option Exposure]]</f>
        <v>0</v>
      </c>
      <c r="S179" s="108">
        <f>IFERROR(Table19[[#This Row],[Num of Stocks]]*Table19[[#This Row],[Ave Entry]],"")</f>
        <v>0</v>
      </c>
      <c r="T179" s="39">
        <f ca="1">Table19[[#This Row],[Combined Exposure]]/$C$8</f>
        <v>0</v>
      </c>
    </row>
    <row r="180" spans="1:20">
      <c r="A180" t="e" vm="266">
        <v>#VALUE!</v>
      </c>
      <c r="B180" s="13" t="str" cm="1">
        <f t="array" aca="1" ref="B180" ca="1">_FV(A180,"Ticker symbol",TRUE)</f>
        <v>VERA</v>
      </c>
      <c r="C180" s="13" t="s">
        <v>53</v>
      </c>
      <c r="D180" s="13" t="s">
        <v>53</v>
      </c>
      <c r="E180" s="19" cm="1">
        <f t="array" aca="1" ref="E180" ca="1">IFERROR(_FV(A180,"Beta"),2)</f>
        <v>1.1755</v>
      </c>
      <c r="F180" s="13" t="str" cm="1">
        <f t="array" aca="1" ref="F180" ca="1">_FV(A180,"Instrument type",TRUE)</f>
        <v>Stock</v>
      </c>
      <c r="G180" s="18" cm="1">
        <f t="array" aca="1" ref="G180" ca="1">_FV(Table19[[#This Row],[Assets]],"Price")</f>
        <v>40.98</v>
      </c>
      <c r="H180" s="36">
        <f>IFERROR(VLOOKUP(Table19[[#This Row],[Assets]],Table25[#All],15,FALSE),"")</f>
        <v>23.07</v>
      </c>
      <c r="I180" s="36">
        <f>IFERROR(VLOOKUP(Table19[[#This Row],[Assets]],Table25[#All],16,FALSE),0)</f>
        <v>5.1999999999999602</v>
      </c>
      <c r="J180" s="84">
        <f ca="1">IFERROR((Table19[[#This Row],[Price]]-Table19[[#This Row],[Ave Entry]])/Table19[[#This Row],[Ave Entry]],"")</f>
        <v>0.77633289986996079</v>
      </c>
      <c r="K180" s="92">
        <f ca="1">IFERROR((Table19[[#This Row],[Price]]-Table19[[#This Row],[Ave Entry]])*Table19[[#This Row],[Num of Stocks]],0)</f>
        <v>0</v>
      </c>
      <c r="L180" s="38" cm="1">
        <f t="array" aca="1" ref="L180" ca="1">_FV(Table19[[#This Row],[Assets]],"Change (%)",TRUE)</f>
        <v>3.0943000000000002E-2</v>
      </c>
      <c r="M180" s="36">
        <f>SUMIF(Table20[Asset],Table19[[#This Row],[Assets]],Table20[realized_profit])</f>
        <v>0</v>
      </c>
      <c r="N180" s="36">
        <f>SUMIF(Table20[[#All],[Asset]],Table19[[#This Row],[Assets]],Table20[[#All],[delta_exposure]])</f>
        <v>0</v>
      </c>
      <c r="O180" s="38">
        <f ca="1">Table19[[#This Row],[Option Exposure]]/$B$6</f>
        <v>0</v>
      </c>
      <c r="P180" s="51">
        <f>SUMIF(Table25[[#All],[Assets]],Table19[[#This Row],[Assets]],Table25[[#All],[Number of stocks]])</f>
        <v>0</v>
      </c>
      <c r="Q180" s="36">
        <f ca="1">Table19[[#This Row],[Num of Stocks]]*Table19[[#This Row],[Price]]</f>
        <v>0</v>
      </c>
      <c r="R180" s="36">
        <f ca="1">Table19[[#This Row],[Stock Exposure]]+Table19[[#This Row],[Option Exposure]]</f>
        <v>0</v>
      </c>
      <c r="S180" s="108">
        <f>IFERROR(Table19[[#This Row],[Num of Stocks]]*Table19[[#This Row],[Ave Entry]],"")</f>
        <v>0</v>
      </c>
      <c r="T180" s="39">
        <f ca="1">Table19[[#This Row],[Combined Exposure]]/$C$8</f>
        <v>0</v>
      </c>
    </row>
    <row r="181" spans="1:20">
      <c r="A181" t="e" vm="267">
        <v>#VALUE!</v>
      </c>
      <c r="B181" s="13" t="str" cm="1">
        <f t="array" aca="1" ref="B181" ca="1">_FV(A181,"Ticker symbol",TRUE)</f>
        <v>NXL</v>
      </c>
      <c r="C181" s="13" t="s">
        <v>53</v>
      </c>
      <c r="D181" s="13" t="s">
        <v>53</v>
      </c>
      <c r="E181" s="19" cm="1">
        <f t="array" aca="1" ref="E181" ca="1">IFERROR(_FV(A181,"Beta"),2)</f>
        <v>4.1005000000000003</v>
      </c>
      <c r="F181" s="13" t="str" cm="1">
        <f t="array" aca="1" ref="F181" ca="1">_FV(A181,"Instrument type",TRUE)</f>
        <v>Stock</v>
      </c>
      <c r="G181" s="18" cm="1">
        <f t="array" aca="1" ref="G181" ca="1">_FV(Table19[[#This Row],[Assets]],"Price")</f>
        <v>0.40010000000000001</v>
      </c>
      <c r="H181" s="36">
        <f>IFERROR(VLOOKUP(Table19[[#This Row],[Assets]],Table25[#All],15,FALSE),"")</f>
        <v>2.65</v>
      </c>
      <c r="I181" s="36">
        <f>IFERROR(VLOOKUP(Table19[[#This Row],[Assets]],Table25[#All],16,FALSE),0)</f>
        <v>-209.45999999999998</v>
      </c>
      <c r="J181" s="84">
        <f ca="1">IFERROR((Table19[[#This Row],[Price]]-Table19[[#This Row],[Ave Entry]])/Table19[[#This Row],[Ave Entry]],"")</f>
        <v>-0.8490188679245283</v>
      </c>
      <c r="K181" s="92">
        <f ca="1">IFERROR((Table19[[#This Row],[Price]]-Table19[[#This Row],[Ave Entry]])*Table19[[#This Row],[Num of Stocks]],0)</f>
        <v>0</v>
      </c>
      <c r="L181" s="38" cm="1">
        <f t="array" aca="1" ref="L181" ca="1">_FV(Table19[[#This Row],[Assets]],"Change (%)",TRUE)</f>
        <v>-1.9602999999999999E-2</v>
      </c>
      <c r="M181" s="36">
        <f>SUMIF(Table20[Asset],Table19[[#This Row],[Assets]],Table20[realized_profit])</f>
        <v>0</v>
      </c>
      <c r="N181" s="36">
        <f>SUMIF(Table20[[#All],[Asset]],Table19[[#This Row],[Assets]],Table20[[#All],[delta_exposure]])</f>
        <v>0</v>
      </c>
      <c r="O181" s="38">
        <f ca="1">Table19[[#This Row],[Option Exposure]]/$B$6</f>
        <v>0</v>
      </c>
      <c r="P181" s="51">
        <f>SUMIF(Table25[[#All],[Assets]],Table19[[#This Row],[Assets]],Table25[[#All],[Number of stocks]])</f>
        <v>0</v>
      </c>
      <c r="Q181" s="36">
        <f ca="1">Table19[[#This Row],[Num of Stocks]]*Table19[[#This Row],[Price]]</f>
        <v>0</v>
      </c>
      <c r="R181" s="36">
        <f ca="1">Table19[[#This Row],[Stock Exposure]]+Table19[[#This Row],[Option Exposure]]</f>
        <v>0</v>
      </c>
      <c r="S181" s="108">
        <f>IFERROR(Table19[[#This Row],[Num of Stocks]]*Table19[[#This Row],[Ave Entry]],"")</f>
        <v>0</v>
      </c>
      <c r="T181" s="39">
        <f ca="1">Table19[[#This Row],[Combined Exposure]]/$C$8</f>
        <v>0</v>
      </c>
    </row>
    <row r="182" spans="1:20">
      <c r="A182" t="e" vm="52">
        <v>#VALUE!</v>
      </c>
      <c r="B182" s="13" t="str" cm="1">
        <f t="array" aca="1" ref="B182" ca="1">_FV(A182,"Ticker symbol",TRUE)</f>
        <v>SMR</v>
      </c>
      <c r="C182" s="13" t="s">
        <v>136</v>
      </c>
      <c r="D182" s="13" t="s">
        <v>136</v>
      </c>
      <c r="E182" s="19" cm="1">
        <f t="array" aca="1" ref="E182" ca="1">IFERROR(_FV(A182,"Beta"),2)</f>
        <v>2.2597</v>
      </c>
      <c r="F182" s="13" t="str" cm="1">
        <f t="array" aca="1" ref="F182" ca="1">_FV(A182,"Instrument type",TRUE)</f>
        <v>Stock</v>
      </c>
      <c r="G182" s="18" cm="1">
        <f t="array" aca="1" ref="G182" ca="1">_FV(Table19[[#This Row],[Assets]],"Price")</f>
        <v>11.8299</v>
      </c>
      <c r="H182" s="36">
        <f>IFERROR(VLOOKUP(Table19[[#This Row],[Assets]],Table25[#All],15,FALSE),"")</f>
        <v>10.953749999999999</v>
      </c>
      <c r="I182" s="36">
        <f>IFERROR(VLOOKUP(Table19[[#This Row],[Assets]],Table25[#All],16,FALSE),0)</f>
        <v>119.89999999999998</v>
      </c>
      <c r="J182" s="84">
        <f ca="1">IFERROR((Table19[[#This Row],[Price]]-Table19[[#This Row],[Ave Entry]])/Table19[[#This Row],[Ave Entry]],"")</f>
        <v>7.9986306059568718E-2</v>
      </c>
      <c r="K182" s="92">
        <f ca="1">IFERROR((Table19[[#This Row],[Price]]-Table19[[#This Row],[Ave Entry]])*Table19[[#This Row],[Num of Stocks]],0)</f>
        <v>0</v>
      </c>
      <c r="L182" s="38" cm="1">
        <f t="array" aca="1" ref="L182" ca="1">_FV(Table19[[#This Row],[Assets]],"Change (%)",TRUE)</f>
        <v>3.4986999999999997E-2</v>
      </c>
      <c r="M182" s="36">
        <f>SUMIF(Table20[Asset],Table19[[#This Row],[Assets]],Table20[realized_profit])</f>
        <v>0</v>
      </c>
      <c r="N182" s="36">
        <f>SUMIF(Table20[[#All],[Asset]],Table19[[#This Row],[Assets]],Table20[[#All],[delta_exposure]])</f>
        <v>0</v>
      </c>
      <c r="O182" s="98">
        <f ca="1">Table19[[#This Row],[Option Exposure]]/$B$6</f>
        <v>0</v>
      </c>
      <c r="P182" s="51">
        <f>SUMIF(Table25[[#All],[Assets]],Table19[[#This Row],[Assets]],Table25[[#All],[Number of stocks]])</f>
        <v>0</v>
      </c>
      <c r="Q182" s="36">
        <f ca="1">Table19[[#This Row],[Num of Stocks]]*Table19[[#This Row],[Price]]</f>
        <v>0</v>
      </c>
      <c r="R182" s="36">
        <f ca="1">Table19[[#This Row],[Stock Exposure]]+Table19[[#This Row],[Option Exposure]]</f>
        <v>0</v>
      </c>
      <c r="S182" s="108">
        <f>IFERROR(Table19[[#This Row],[Num of Stocks]]*Table19[[#This Row],[Ave Entry]],"")</f>
        <v>0</v>
      </c>
      <c r="T182" s="39">
        <f ca="1">Table19[[#This Row],[Combined Exposure]]/$C$8</f>
        <v>0</v>
      </c>
    </row>
    <row r="183" spans="1:20">
      <c r="A183" t="e" vm="173">
        <v>#VALUE!</v>
      </c>
      <c r="B183" s="13" t="str" cm="1">
        <f t="array" aca="1" ref="B183" ca="1">_FV(A183,"Ticker symbol",TRUE)</f>
        <v>SNOW</v>
      </c>
      <c r="C183" s="13" t="s">
        <v>29</v>
      </c>
      <c r="D183" s="13" t="s">
        <v>121</v>
      </c>
      <c r="E183" s="19" cm="1">
        <f t="array" aca="1" ref="E183" ca="1">IFERROR(_FV(A183,"Beta"),2)</f>
        <v>1.1994</v>
      </c>
      <c r="F183" s="13" t="str" cm="1">
        <f t="array" aca="1" ref="F183" ca="1">_FV(A183,"Instrument type",TRUE)</f>
        <v>Stock</v>
      </c>
      <c r="G183" s="18" cm="1">
        <f t="array" aca="1" ref="G183" ca="1">_FV(Table19[[#This Row],[Assets]],"Price")</f>
        <v>160.82</v>
      </c>
      <c r="H183" s="36">
        <f>IFERROR(VLOOKUP(Table19[[#This Row],[Assets]],Table25[#All],15,FALSE),"")</f>
        <v>181.88</v>
      </c>
      <c r="I183" s="36">
        <f>IFERROR(VLOOKUP(Table19[[#This Row],[Assets]],Table25[#All],16,FALSE),0)</f>
        <v>120.99000000000004</v>
      </c>
      <c r="J183" s="84">
        <f ca="1">IFERROR((Table19[[#This Row],[Price]]-Table19[[#This Row],[Ave Entry]])/Table19[[#This Row],[Ave Entry]],"")</f>
        <v>-0.11579063118539698</v>
      </c>
      <c r="K183" s="92">
        <f ca="1">IFERROR((Table19[[#This Row],[Price]]-Table19[[#This Row],[Ave Entry]])*Table19[[#This Row],[Num of Stocks]],0)</f>
        <v>0</v>
      </c>
      <c r="L183" s="38" cm="1">
        <f t="array" aca="1" ref="L183" ca="1">_FV(Table19[[#This Row],[Assets]],"Change (%)",TRUE)</f>
        <v>-3.2229999999999997E-3</v>
      </c>
      <c r="M183" s="36">
        <f>SUMIF(Table20[Asset],Table19[[#This Row],[Assets]],Table20[realized_profit])</f>
        <v>314</v>
      </c>
      <c r="N183" s="36">
        <f ca="1">SUMIF(Table20[[#All],[Asset]],Table19[[#This Row],[Assets]],Table20[[#All],[delta_exposure]])</f>
        <v>0</v>
      </c>
      <c r="O183" s="98">
        <f ca="1">Table19[[#This Row],[Option Exposure]]/$B$6</f>
        <v>0</v>
      </c>
      <c r="P183" s="51">
        <f>SUMIF(Table25[[#All],[Assets]],Table19[[#This Row],[Assets]],Table25[[#All],[Number of stocks]])</f>
        <v>0</v>
      </c>
      <c r="Q183" s="36">
        <f ca="1">Table19[[#This Row],[Num of Stocks]]*Table19[[#This Row],[Price]]</f>
        <v>0</v>
      </c>
      <c r="R183" s="36">
        <f ca="1">Table19[[#This Row],[Stock Exposure]]+Table19[[#This Row],[Option Exposure]]</f>
        <v>0</v>
      </c>
      <c r="S183" s="108">
        <f>IFERROR(Table19[[#This Row],[Num of Stocks]]*Table19[[#This Row],[Ave Entry]],"")</f>
        <v>0</v>
      </c>
      <c r="T183" s="39">
        <f ca="1">Table19[[#This Row],[Combined Exposure]]/$C$8</f>
        <v>0</v>
      </c>
    </row>
    <row r="184" spans="1:20">
      <c r="A184" t="e" vm="268">
        <v>#VALUE!</v>
      </c>
      <c r="B184" s="13" t="str" cm="1">
        <f t="array" aca="1" ref="B184" ca="1">_FV(A184,"Ticker symbol",TRUE)</f>
        <v>KNTK</v>
      </c>
      <c r="C184" s="13" t="s">
        <v>550</v>
      </c>
      <c r="D184" s="13" t="s">
        <v>31</v>
      </c>
      <c r="E184" s="19" cm="1">
        <f t="array" aca="1" ref="E184" ca="1">IFERROR(_FV(A184,"Beta"),2)</f>
        <v>0.69420000000000004</v>
      </c>
      <c r="F184" s="13" t="str" cm="1">
        <f t="array" aca="1" ref="F184" ca="1">_FV(A184,"Instrument type",TRUE)</f>
        <v>Stock</v>
      </c>
      <c r="G184" s="18" cm="1">
        <f t="array" aca="1" ref="G184" ca="1">_FV(Table19[[#This Row],[Assets]],"Price")</f>
        <v>47.055</v>
      </c>
      <c r="H184" s="36">
        <f>IFERROR(VLOOKUP(Table19[[#This Row],[Assets]],Table25[#All],15,FALSE),"")</f>
        <v>42.655714285714282</v>
      </c>
      <c r="I184" s="36">
        <f>IFERROR(VLOOKUP(Table19[[#This Row],[Assets]],Table25[#All],16,FALSE),0)</f>
        <v>1051.1000000000001</v>
      </c>
      <c r="J184" s="84">
        <f ca="1">IFERROR((Table19[[#This Row],[Price]]-Table19[[#This Row],[Ave Entry]])/Table19[[#This Row],[Ave Entry]],"")</f>
        <v>0.10313473324625749</v>
      </c>
      <c r="K184" s="92">
        <f ca="1">IFERROR((Table19[[#This Row],[Price]]-Table19[[#This Row],[Ave Entry]])*Table19[[#This Row],[Num of Stocks]],0)</f>
        <v>0</v>
      </c>
      <c r="L184" s="38" cm="1">
        <f t="array" aca="1" ref="L184" ca="1">_FV(Table19[[#This Row],[Assets]],"Change (%)",TRUE)</f>
        <v>6.0940000000000005E-3</v>
      </c>
      <c r="M184" s="36">
        <f>SUMIF(Table20[Asset],Table19[[#This Row],[Assets]],Table20[realized_profit])</f>
        <v>0</v>
      </c>
      <c r="N184" s="36">
        <f>SUMIF(Table20[[#All],[Asset]],Table19[[#This Row],[Assets]],Table20[[#All],[delta_exposure]])</f>
        <v>0</v>
      </c>
      <c r="O184" s="38">
        <f ca="1">Table19[[#This Row],[Option Exposure]]/$B$6</f>
        <v>0</v>
      </c>
      <c r="P184" s="51">
        <f>SUMIF(Table25[[#All],[Assets]],Table19[[#This Row],[Assets]],Table25[[#All],[Number of stocks]])</f>
        <v>0</v>
      </c>
      <c r="Q184" s="36">
        <f ca="1">Table19[[#This Row],[Num of Stocks]]*Table19[[#This Row],[Price]]</f>
        <v>0</v>
      </c>
      <c r="R184" s="36">
        <f ca="1">Table19[[#This Row],[Stock Exposure]]+Table19[[#This Row],[Option Exposure]]</f>
        <v>0</v>
      </c>
      <c r="S184" s="108">
        <f>IFERROR(Table19[[#This Row],[Num of Stocks]]*Table19[[#This Row],[Ave Entry]],"")</f>
        <v>0</v>
      </c>
      <c r="T184" s="39">
        <f ca="1">Table19[[#This Row],[Combined Exposure]]/$C$8</f>
        <v>0</v>
      </c>
    </row>
    <row r="185" spans="1:20">
      <c r="A185" t="e" vm="269">
        <v>#VALUE!</v>
      </c>
      <c r="B185" s="13" t="str" cm="1">
        <f t="array" aca="1" ref="B185" ca="1">_FV(A185,"Ticker symbol",TRUE)</f>
        <v>ARIS</v>
      </c>
      <c r="C185" s="13" t="s">
        <v>550</v>
      </c>
      <c r="D185" s="13" t="s">
        <v>31</v>
      </c>
      <c r="E185" s="19" cm="1">
        <f t="array" aca="1" ref="E185" ca="1">IFERROR(_FV(A185,"Beta"),2)</f>
        <v>1.6712</v>
      </c>
      <c r="F185" s="13" t="str" cm="1">
        <f t="array" aca="1" ref="F185" ca="1">_FV(A185,"Instrument type",TRUE)</f>
        <v>Stock</v>
      </c>
      <c r="G185" s="18" cm="1">
        <f t="array" aca="1" ref="G185" ca="1">_FV(Table19[[#This Row],[Assets]],"Price")</f>
        <v>23.69</v>
      </c>
      <c r="H185" s="36">
        <f>IFERROR(VLOOKUP(Table19[[#This Row],[Assets]],Table25[#All],15,FALSE),"")</f>
        <v>15.685294117647057</v>
      </c>
      <c r="I185" s="36">
        <f>IFERROR(VLOOKUP(Table19[[#This Row],[Assets]],Table25[#All],16,FALSE),0)</f>
        <v>328.02000000000004</v>
      </c>
      <c r="J185" s="84">
        <f ca="1">IFERROR((Table19[[#This Row],[Price]]-Table19[[#This Row],[Ave Entry]])/Table19[[#This Row],[Ave Entry]],"")</f>
        <v>0.51033189574348414</v>
      </c>
      <c r="K185" s="92">
        <f ca="1">IFERROR((Table19[[#This Row],[Price]]-Table19[[#This Row],[Ave Entry]])*Table19[[#This Row],[Num of Stocks]],0)</f>
        <v>0</v>
      </c>
      <c r="L185" s="38" cm="1">
        <f t="array" aca="1" ref="L185" ca="1">_FV(Table19[[#This Row],[Assets]],"Change (%)",TRUE)</f>
        <v>0</v>
      </c>
      <c r="M185" s="36">
        <f>SUMIF(Table20[Asset],Table19[[#This Row],[Assets]],Table20[realized_profit])</f>
        <v>0</v>
      </c>
      <c r="N185" s="36">
        <f>SUMIF(Table20[[#All],[Asset]],Table19[[#This Row],[Assets]],Table20[[#All],[delta_exposure]])</f>
        <v>0</v>
      </c>
      <c r="O185" s="38">
        <f ca="1">Table19[[#This Row],[Option Exposure]]/$B$6</f>
        <v>0</v>
      </c>
      <c r="P185" s="51">
        <f>SUMIF(Table25[[#All],[Assets]],Table19[[#This Row],[Assets]],Table25[[#All],[Number of stocks]])</f>
        <v>0</v>
      </c>
      <c r="Q185" s="36">
        <f ca="1">Table19[[#This Row],[Num of Stocks]]*Table19[[#This Row],[Price]]</f>
        <v>0</v>
      </c>
      <c r="R185" s="36">
        <f ca="1">Table19[[#This Row],[Stock Exposure]]+Table19[[#This Row],[Option Exposure]]</f>
        <v>0</v>
      </c>
      <c r="S185" s="108">
        <f>IFERROR(Table19[[#This Row],[Num of Stocks]]*Table19[[#This Row],[Ave Entry]],"")</f>
        <v>0</v>
      </c>
      <c r="T185" s="39">
        <f ca="1">Table19[[#This Row],[Combined Exposure]]/$C$8</f>
        <v>0</v>
      </c>
    </row>
    <row r="186" spans="1:20">
      <c r="A186" t="e" vm="270">
        <v>#VALUE!</v>
      </c>
      <c r="B186" s="13" t="str" cm="1">
        <f t="array" aca="1" ref="B186" ca="1">_FV(A186,"Ticker symbol",TRUE)</f>
        <v>APEI</v>
      </c>
      <c r="C186" s="13" t="s">
        <v>550</v>
      </c>
      <c r="D186" s="13" t="s">
        <v>147</v>
      </c>
      <c r="E186" s="19" cm="1">
        <f t="array" aca="1" ref="E186" ca="1">IFERROR(_FV(A186,"Beta"),2)</f>
        <v>1.5157</v>
      </c>
      <c r="F186" s="13" t="str" cm="1">
        <f t="array" aca="1" ref="F186" ca="1">_FV(A186,"Instrument type",TRUE)</f>
        <v>Stock</v>
      </c>
      <c r="G186" s="18" cm="1">
        <f t="array" aca="1" ref="G186" ca="1">_FV(Table19[[#This Row],[Assets]],"Price")</f>
        <v>57.58</v>
      </c>
      <c r="H186" s="36">
        <f>IFERROR(VLOOKUP(Table19[[#This Row],[Assets]],Table25[#All],15,FALSE),"")</f>
        <v>16.272727272727273</v>
      </c>
      <c r="I186" s="36">
        <f>IFERROR(VLOOKUP(Table19[[#This Row],[Assets]],Table25[#All],16,FALSE),0)</f>
        <v>174.20000000000005</v>
      </c>
      <c r="J186" s="84">
        <f ca="1">IFERROR((Table19[[#This Row],[Price]]-Table19[[#This Row],[Ave Entry]])/Table19[[#This Row],[Ave Entry]],"")</f>
        <v>2.538435754189944</v>
      </c>
      <c r="K186" s="92">
        <f ca="1">IFERROR((Table19[[#This Row],[Price]]-Table19[[#This Row],[Ave Entry]])*Table19[[#This Row],[Num of Stocks]],0)</f>
        <v>0</v>
      </c>
      <c r="L186" s="38" cm="1">
        <f t="array" aca="1" ref="L186" ca="1">_FV(Table19[[#This Row],[Assets]],"Change (%)",TRUE)</f>
        <v>2.4920000000000001E-2</v>
      </c>
      <c r="M186" s="36">
        <f>SUMIF(Table20[Asset],Table19[[#This Row],[Assets]],Table20[realized_profit])</f>
        <v>0</v>
      </c>
      <c r="N186" s="36">
        <f>SUMIF(Table20[[#All],[Asset]],Table19[[#This Row],[Assets]],Table20[[#All],[delta_exposure]])</f>
        <v>0</v>
      </c>
      <c r="O186" s="38">
        <f ca="1">Table19[[#This Row],[Option Exposure]]/$B$6</f>
        <v>0</v>
      </c>
      <c r="P186" s="51">
        <f>SUMIF(Table25[[#All],[Assets]],Table19[[#This Row],[Assets]],Table25[[#All],[Number of stocks]])</f>
        <v>0</v>
      </c>
      <c r="Q186" s="36">
        <f ca="1">Table19[[#This Row],[Num of Stocks]]*Table19[[#This Row],[Price]]</f>
        <v>0</v>
      </c>
      <c r="R186" s="36">
        <f ca="1">Table19[[#This Row],[Stock Exposure]]+Table19[[#This Row],[Option Exposure]]</f>
        <v>0</v>
      </c>
      <c r="S186" s="108">
        <f>IFERROR(Table19[[#This Row],[Num of Stocks]]*Table19[[#This Row],[Ave Entry]],"")</f>
        <v>0</v>
      </c>
      <c r="T186" s="39">
        <f ca="1">Table19[[#This Row],[Combined Exposure]]/$C$8</f>
        <v>0</v>
      </c>
    </row>
    <row r="187" spans="1:20">
      <c r="A187" t="e" vm="271">
        <v>#VALUE!</v>
      </c>
      <c r="B187" s="13" t="str" cm="1">
        <f t="array" aca="1" ref="B187" ca="1">_FV(A187,"Ticker symbol",TRUE)</f>
        <v>POET</v>
      </c>
      <c r="C187" s="13" t="s">
        <v>550</v>
      </c>
      <c r="D187" s="13" t="s">
        <v>258</v>
      </c>
      <c r="E187" s="19" cm="1">
        <f t="array" aca="1" ref="E187" ca="1">IFERROR(_FV(A187,"Beta"),2)</f>
        <v>0.3861</v>
      </c>
      <c r="F187" s="13" t="str" cm="1">
        <f t="array" aca="1" ref="F187" ca="1">_FV(A187,"Instrument type",TRUE)</f>
        <v>Stock</v>
      </c>
      <c r="G187" s="18" cm="1">
        <f t="array" aca="1" ref="G187" ca="1">_FV(Table19[[#This Row],[Assets]],"Price")</f>
        <v>6</v>
      </c>
      <c r="H187" s="36">
        <f>IFERROR(VLOOKUP(Table19[[#This Row],[Assets]],Table25[#All],15,FALSE),"")</f>
        <v>4.4866666666666664</v>
      </c>
      <c r="I187" s="36">
        <f>IFERROR(VLOOKUP(Table19[[#This Row],[Assets]],Table25[#All],16,FALSE),0)</f>
        <v>66.733333333333377</v>
      </c>
      <c r="J187" s="84">
        <f ca="1">IFERROR((Table19[[#This Row],[Price]]-Table19[[#This Row],[Ave Entry]])/Table19[[#This Row],[Ave Entry]],"")</f>
        <v>0.33729569093610706</v>
      </c>
      <c r="K187" s="92">
        <f ca="1">IFERROR((Table19[[#This Row],[Price]]-Table19[[#This Row],[Ave Entry]])*Table19[[#This Row],[Num of Stocks]],0)</f>
        <v>30.266666666666673</v>
      </c>
      <c r="L187" s="38" cm="1">
        <f t="array" aca="1" ref="L187" ca="1">_FV(Table19[[#This Row],[Assets]],"Change (%)",TRUE)</f>
        <v>4.5296000000000003E-2</v>
      </c>
      <c r="M187" s="36">
        <f>SUMIF(Table20[Asset],Table19[[#This Row],[Assets]],Table20[realized_profit])</f>
        <v>0</v>
      </c>
      <c r="N187" s="36">
        <f>SUMIF(Table20[[#All],[Asset]],Table19[[#This Row],[Assets]],Table20[[#All],[delta_exposure]])</f>
        <v>0</v>
      </c>
      <c r="O187" s="38">
        <f ca="1">Table19[[#This Row],[Option Exposure]]/$B$6</f>
        <v>0</v>
      </c>
      <c r="P187" s="51">
        <f>SUMIF(Table25[[#All],[Assets]],Table19[[#This Row],[Assets]],Table25[[#All],[Number of stocks]])</f>
        <v>20</v>
      </c>
      <c r="Q187" s="36">
        <f ca="1">Table19[[#This Row],[Num of Stocks]]*Table19[[#This Row],[Price]]</f>
        <v>120</v>
      </c>
      <c r="R187" s="36">
        <f ca="1">Table19[[#This Row],[Stock Exposure]]+Table19[[#This Row],[Option Exposure]]</f>
        <v>120</v>
      </c>
      <c r="S187" s="108">
        <f>IFERROR(Table19[[#This Row],[Num of Stocks]]*Table19[[#This Row],[Ave Entry]],"")</f>
        <v>89.73333333333332</v>
      </c>
      <c r="T187" s="39">
        <f ca="1">Table19[[#This Row],[Combined Exposure]]/$C$8</f>
        <v>7.5637204032076295E-4</v>
      </c>
    </row>
    <row r="188" spans="1:20">
      <c r="A188" t="e" vm="123">
        <v>#VALUE!</v>
      </c>
      <c r="B188" s="13" t="str" cm="1">
        <f t="array" aca="1" ref="B188" ca="1">_FV(A188,"Ticker symbol",TRUE)</f>
        <v>GLW</v>
      </c>
      <c r="C188" s="13" t="s">
        <v>258</v>
      </c>
      <c r="D188" s="13" t="s">
        <v>29</v>
      </c>
      <c r="E188" s="19" cm="1">
        <f t="array" aca="1" ref="E188" ca="1">IFERROR(_FV(A188,"Beta"),2)</f>
        <v>1.0333000000000001</v>
      </c>
      <c r="F188" s="13" t="str" cm="1">
        <f t="array" aca="1" ref="F188" ca="1">_FV(A188,"Instrument type",TRUE)</f>
        <v>Stock</v>
      </c>
      <c r="G188" s="18" cm="1">
        <f t="array" aca="1" ref="G188" ca="1">_FV(Table19[[#This Row],[Assets]],"Price")</f>
        <v>149.19999999999999</v>
      </c>
      <c r="H188" s="36">
        <f>IFERROR(VLOOKUP(Table19[[#This Row],[Assets]],Table25[#All],15,FALSE),"")</f>
        <v>41.765000000000001</v>
      </c>
      <c r="I188" s="36">
        <f>IFERROR(VLOOKUP(Table19[[#This Row],[Assets]],Table25[#All],16,FALSE),0)</f>
        <v>109.7999999999999</v>
      </c>
      <c r="J188" s="84">
        <f ca="1">IFERROR((Table19[[#This Row],[Price]]-Table19[[#This Row],[Ave Entry]])/Table19[[#This Row],[Ave Entry]],"")</f>
        <v>2.5723692086675443</v>
      </c>
      <c r="K188" s="92">
        <f ca="1">IFERROR((Table19[[#This Row],[Price]]-Table19[[#This Row],[Ave Entry]])*Table19[[#This Row],[Num of Stocks]],0)</f>
        <v>0</v>
      </c>
      <c r="L188" s="38" cm="1">
        <f t="array" aca="1" ref="L188" ca="1">_FV(Table19[[#This Row],[Assets]],"Change (%)",TRUE)</f>
        <v>5.0629999999999994E-2</v>
      </c>
      <c r="M188" s="36">
        <f>SUMIF(Table20[Asset],Table19[[#This Row],[Assets]],Table20[realized_profit])</f>
        <v>0</v>
      </c>
      <c r="N188" s="36">
        <f>SUMIF(Table20[[#All],[Asset]],Table19[[#This Row],[Assets]],Table20[[#All],[delta_exposure]])</f>
        <v>0</v>
      </c>
      <c r="O188" s="38">
        <f ca="1">Table19[[#This Row],[Option Exposure]]/$B$6</f>
        <v>0</v>
      </c>
      <c r="P188" s="51">
        <f>SUMIF(Table25[[#All],[Assets]],Table19[[#This Row],[Assets]],Table25[[#All],[Number of stocks]])</f>
        <v>0</v>
      </c>
      <c r="Q188" s="36">
        <f ca="1">Table19[[#This Row],[Num of Stocks]]*Table19[[#This Row],[Price]]</f>
        <v>0</v>
      </c>
      <c r="R188" s="36">
        <f ca="1">Table19[[#This Row],[Stock Exposure]]+Table19[[#This Row],[Option Exposure]]</f>
        <v>0</v>
      </c>
      <c r="S188" s="108">
        <f>IFERROR(Table19[[#This Row],[Num of Stocks]]*Table19[[#This Row],[Ave Entry]],"")</f>
        <v>0</v>
      </c>
      <c r="T188" s="39">
        <f ca="1">Table19[[#This Row],[Combined Exposure]]/$C$8</f>
        <v>0</v>
      </c>
    </row>
    <row r="189" spans="1:20">
      <c r="A189" t="e" vm="272">
        <v>#VALUE!</v>
      </c>
      <c r="B189" s="13" t="str" cm="1">
        <f t="array" aca="1" ref="B189" ca="1">_FV(A189,"Ticker symbol",TRUE)</f>
        <v>NRG</v>
      </c>
      <c r="C189" s="13" t="s">
        <v>31</v>
      </c>
      <c r="D189" s="13" t="s">
        <v>58</v>
      </c>
      <c r="E189" s="19" cm="1">
        <f t="array" aca="1" ref="E189" ca="1">IFERROR(_FV(A189,"Beta"),2)</f>
        <v>1.3225</v>
      </c>
      <c r="F189" s="13" t="str" cm="1">
        <f t="array" aca="1" ref="F189" ca="1">_FV(A189,"Instrument type",TRUE)</f>
        <v>Stock</v>
      </c>
      <c r="G189" s="18" cm="1">
        <f t="array" aca="1" ref="G189" ca="1">_FV(Table19[[#This Row],[Assets]],"Price")</f>
        <v>153.34</v>
      </c>
      <c r="H189" s="36">
        <f>IFERROR(VLOOKUP(Table19[[#This Row],[Assets]],Table25[#All],15,FALSE),"")</f>
        <v>78.94</v>
      </c>
      <c r="I189" s="36">
        <f>IFERROR(VLOOKUP(Table19[[#This Row],[Assets]],Table25[#All],16,FALSE),0)</f>
        <v>40.32000000000005</v>
      </c>
      <c r="J189" s="84">
        <f ca="1">IFERROR((Table19[[#This Row],[Price]]-Table19[[#This Row],[Ave Entry]])/Table19[[#This Row],[Ave Entry]],"")</f>
        <v>0.94248796554345082</v>
      </c>
      <c r="K189" s="92">
        <f ca="1">IFERROR((Table19[[#This Row],[Price]]-Table19[[#This Row],[Ave Entry]])*Table19[[#This Row],[Num of Stocks]],0)</f>
        <v>0</v>
      </c>
      <c r="L189" s="38" cm="1">
        <f t="array" aca="1" ref="L189" ca="1">_FV(Table19[[#This Row],[Assets]],"Change (%)",TRUE)</f>
        <v>1.4622999999999999E-2</v>
      </c>
      <c r="M189" s="36">
        <f>SUMIF(Table20[Asset],Table19[[#This Row],[Assets]],Table20[realized_profit])</f>
        <v>0</v>
      </c>
      <c r="N189" s="36">
        <f>SUMIF(Table20[[#All],[Asset]],Table19[[#This Row],[Assets]],Table20[[#All],[delta_exposure]])</f>
        <v>0</v>
      </c>
      <c r="O189" s="98">
        <f ca="1">Table19[[#This Row],[Option Exposure]]/$B$6</f>
        <v>0</v>
      </c>
      <c r="P189" s="51">
        <f>SUMIF(Table25[[#All],[Assets]],Table19[[#This Row],[Assets]],Table25[[#All],[Number of stocks]])</f>
        <v>0</v>
      </c>
      <c r="Q189" s="36">
        <f ca="1">Table19[[#This Row],[Num of Stocks]]*Table19[[#This Row],[Price]]</f>
        <v>0</v>
      </c>
      <c r="R189" s="36">
        <f ca="1">Table19[[#This Row],[Stock Exposure]]+Table19[[#This Row],[Option Exposure]]</f>
        <v>0</v>
      </c>
      <c r="S189" s="108">
        <f>IFERROR(Table19[[#This Row],[Num of Stocks]]*Table19[[#This Row],[Ave Entry]],"")</f>
        <v>0</v>
      </c>
      <c r="T189" s="39">
        <f ca="1">Table19[[#This Row],[Combined Exposure]]/$C$8</f>
        <v>0</v>
      </c>
    </row>
    <row r="190" spans="1:20">
      <c r="A190" t="e" vm="150">
        <v>#VALUE!</v>
      </c>
      <c r="B190" s="13" t="str" cm="1">
        <f t="array" aca="1" ref="B190" ca="1">_FV(A190,"Ticker symbol",TRUE)</f>
        <v>CIEN</v>
      </c>
      <c r="C190" s="13" t="s">
        <v>258</v>
      </c>
      <c r="D190" s="13" t="s">
        <v>29</v>
      </c>
      <c r="E190" s="19" cm="1">
        <f t="array" aca="1" ref="E190" ca="1">IFERROR(_FV(A190,"Beta"),2)</f>
        <v>0.96540000000000004</v>
      </c>
      <c r="F190" s="13" t="str" cm="1">
        <f t="array" aca="1" ref="F190" ca="1">_FV(A190,"Instrument type",TRUE)</f>
        <v>Stock</v>
      </c>
      <c r="G190" s="18" cm="1">
        <f t="array" aca="1" ref="G190" ca="1">_FV(Table19[[#This Row],[Assets]],"Price")</f>
        <v>444.16680000000002</v>
      </c>
      <c r="H190" s="36">
        <f>IFERROR(VLOOKUP(Table19[[#This Row],[Assets]],Table25[#All],15,FALSE),"")</f>
        <v>60.625</v>
      </c>
      <c r="I190" s="36">
        <f>IFERROR(VLOOKUP(Table19[[#This Row],[Assets]],Table25[#All],16,FALSE),0)</f>
        <v>290.45999999999998</v>
      </c>
      <c r="J190" s="84">
        <f ca="1">IFERROR((Table19[[#This Row],[Price]]-Table19[[#This Row],[Ave Entry]])/Table19[[#This Row],[Ave Entry]],"")</f>
        <v>6.3264626804123711</v>
      </c>
      <c r="K190" s="92">
        <f ca="1">IFERROR((Table19[[#This Row],[Price]]-Table19[[#This Row],[Ave Entry]])*Table19[[#This Row],[Num of Stocks]],0)</f>
        <v>0</v>
      </c>
      <c r="L190" s="38" cm="1">
        <f t="array" aca="1" ref="L190" ca="1">_FV(Table19[[#This Row],[Assets]],"Change (%)",TRUE)</f>
        <v>3.4437999999999996E-2</v>
      </c>
      <c r="M190" s="36">
        <f>SUMIF(Table20[Asset],Table19[[#This Row],[Assets]],Table20[realized_profit])</f>
        <v>0</v>
      </c>
      <c r="N190" s="36">
        <f>SUMIF(Table20[[#All],[Asset]],Table19[[#This Row],[Assets]],Table20[[#All],[delta_exposure]])</f>
        <v>0</v>
      </c>
      <c r="O190" s="38">
        <f ca="1">Table19[[#This Row],[Option Exposure]]/$B$6</f>
        <v>0</v>
      </c>
      <c r="P190" s="51">
        <f>SUMIF(Table25[[#All],[Assets]],Table19[[#This Row],[Assets]],Table25[[#All],[Number of stocks]])</f>
        <v>0</v>
      </c>
      <c r="Q190" s="36">
        <f ca="1">Table19[[#This Row],[Num of Stocks]]*Table19[[#This Row],[Price]]</f>
        <v>0</v>
      </c>
      <c r="R190" s="36">
        <f ca="1">Table19[[#This Row],[Stock Exposure]]+Table19[[#This Row],[Option Exposure]]</f>
        <v>0</v>
      </c>
      <c r="S190" s="108">
        <f>IFERROR(Table19[[#This Row],[Num of Stocks]]*Table19[[#This Row],[Ave Entry]],"")</f>
        <v>0</v>
      </c>
      <c r="T190" s="39">
        <f ca="1">Table19[[#This Row],[Combined Exposure]]/$C$8</f>
        <v>0</v>
      </c>
    </row>
    <row r="191" spans="1:20">
      <c r="A191" t="e" vm="273">
        <v>#VALUE!</v>
      </c>
      <c r="B191" s="13" t="str" cm="1">
        <f t="array" aca="1" ref="B191" ca="1">_FV(A191,"Ticker symbol",TRUE)</f>
        <v>CVRX</v>
      </c>
      <c r="C191" s="13" t="s">
        <v>53</v>
      </c>
      <c r="D191" s="13" t="s">
        <v>352</v>
      </c>
      <c r="E191" s="19" cm="1">
        <f t="array" aca="1" ref="E191" ca="1">IFERROR(_FV(A191,"Beta"),2)</f>
        <v>1.1917</v>
      </c>
      <c r="F191" s="13" t="str" cm="1">
        <f t="array" aca="1" ref="F191" ca="1">_FV(A191,"Instrument type",TRUE)</f>
        <v>Stock</v>
      </c>
      <c r="G191" s="18" cm="1">
        <f t="array" aca="1" ref="G191" ca="1">_FV(Table19[[#This Row],[Assets]],"Price")</f>
        <v>9.01</v>
      </c>
      <c r="H191" s="36">
        <f>IFERROR(VLOOKUP(Table19[[#This Row],[Assets]],Table25[#All],15,FALSE),"")</f>
        <v>9.7339285714285708</v>
      </c>
      <c r="I191" s="36">
        <f>IFERROR(VLOOKUP(Table19[[#This Row],[Assets]],Table25[#All],16,FALSE),0)</f>
        <v>-540.45000000000061</v>
      </c>
      <c r="J191" s="84">
        <f ca="1">IFERROR((Table19[[#This Row],[Price]]-Table19[[#This Row],[Ave Entry]])/Table19[[#This Row],[Ave Entry]],"")</f>
        <v>-7.4371674922032616E-2</v>
      </c>
      <c r="K191" s="92">
        <f ca="1">IFERROR((Table19[[#This Row],[Price]]-Table19[[#This Row],[Ave Entry]])*Table19[[#This Row],[Num of Stocks]],0)</f>
        <v>0</v>
      </c>
      <c r="L191" s="38" cm="1">
        <f t="array" aca="1" ref="L191" ca="1">_FV(Table19[[#This Row],[Assets]],"Change (%)",TRUE)</f>
        <v>5.8754000000000001E-2</v>
      </c>
      <c r="M191" s="36">
        <f>SUMIF(Table20[Asset],Table19[[#This Row],[Assets]],Table20[realized_profit])</f>
        <v>0</v>
      </c>
      <c r="N191" s="36">
        <f>SUMIF(Table20[[#All],[Asset]],Table19[[#This Row],[Assets]],Table20[[#All],[delta_exposure]])</f>
        <v>0</v>
      </c>
      <c r="O191" s="38">
        <f ca="1">Table19[[#This Row],[Option Exposure]]/$B$6</f>
        <v>0</v>
      </c>
      <c r="P191" s="51">
        <f>SUMIF(Table25[[#All],[Assets]],Table19[[#This Row],[Assets]],Table25[[#All],[Number of stocks]])</f>
        <v>0</v>
      </c>
      <c r="Q191" s="36">
        <f ca="1">Table19[[#This Row],[Num of Stocks]]*Table19[[#This Row],[Price]]</f>
        <v>0</v>
      </c>
      <c r="R191" s="36">
        <f ca="1">Table19[[#This Row],[Stock Exposure]]+Table19[[#This Row],[Option Exposure]]</f>
        <v>0</v>
      </c>
      <c r="S191" s="108">
        <f>IFERROR(Table19[[#This Row],[Num of Stocks]]*Table19[[#This Row],[Ave Entry]],"")</f>
        <v>0</v>
      </c>
      <c r="T191" s="39">
        <f ca="1">Table19[[#This Row],[Combined Exposure]]/$C$8</f>
        <v>0</v>
      </c>
    </row>
    <row r="192" spans="1:20">
      <c r="A192" t="e" vm="274">
        <v>#VALUE!</v>
      </c>
      <c r="B192" s="13" t="str" cm="1">
        <f t="array" aca="1" ref="B192" ca="1">_FV(A192,"Ticker symbol",TRUE)</f>
        <v>AVTR</v>
      </c>
      <c r="C192" s="13" t="s">
        <v>53</v>
      </c>
      <c r="D192" s="13" t="s">
        <v>53</v>
      </c>
      <c r="E192" s="19" cm="1">
        <f t="array" aca="1" ref="E192" ca="1">IFERROR(_FV(A192,"Beta"),2)</f>
        <v>1.0037</v>
      </c>
      <c r="F192" s="13" t="str" cm="1">
        <f t="array" aca="1" ref="F192" ca="1">_FV(A192,"Instrument type",TRUE)</f>
        <v>Stock</v>
      </c>
      <c r="G192" s="18" cm="1">
        <f t="array" aca="1" ref="G192" ca="1">_FV(Table19[[#This Row],[Assets]],"Price")</f>
        <v>7.7149999999999999</v>
      </c>
      <c r="H192" s="36">
        <f>IFERROR(VLOOKUP(Table19[[#This Row],[Assets]],Table25[#All],15,FALSE),"")</f>
        <v>14.473571428571429</v>
      </c>
      <c r="I192" s="36">
        <f>IFERROR(VLOOKUP(Table19[[#This Row],[Assets]],Table25[#All],16,FALSE),0)</f>
        <v>113.50000000000016</v>
      </c>
      <c r="J192" s="84">
        <f ca="1">IFERROR((Table19[[#This Row],[Price]]-Table19[[#This Row],[Ave Entry]])/Table19[[#This Row],[Ave Entry]],"")</f>
        <v>-0.46695948280116473</v>
      </c>
      <c r="K192" s="92">
        <f ca="1">IFERROR((Table19[[#This Row],[Price]]-Table19[[#This Row],[Ave Entry]])*Table19[[#This Row],[Num of Stocks]],0)</f>
        <v>0</v>
      </c>
      <c r="L192" s="38" cm="1">
        <f t="array" aca="1" ref="L192" ca="1">_FV(Table19[[#This Row],[Assets]],"Change (%)",TRUE)</f>
        <v>-1.9400000000000001E-3</v>
      </c>
      <c r="M192" s="36">
        <f>SUMIF(Table20[Asset],Table19[[#This Row],[Assets]],Table20[realized_profit])</f>
        <v>0</v>
      </c>
      <c r="N192" s="36">
        <f>SUMIF(Table20[[#All],[Asset]],Table19[[#This Row],[Assets]],Table20[[#All],[delta_exposure]])</f>
        <v>0</v>
      </c>
      <c r="O192" s="38">
        <f ca="1">Table19[[#This Row],[Option Exposure]]/$B$6</f>
        <v>0</v>
      </c>
      <c r="P192" s="51">
        <f>SUMIF(Table25[[#All],[Assets]],Table19[[#This Row],[Assets]],Table25[[#All],[Number of stocks]])</f>
        <v>0</v>
      </c>
      <c r="Q192" s="36">
        <f ca="1">Table19[[#This Row],[Num of Stocks]]*Table19[[#This Row],[Price]]</f>
        <v>0</v>
      </c>
      <c r="R192" s="36">
        <f ca="1">Table19[[#This Row],[Stock Exposure]]+Table19[[#This Row],[Option Exposure]]</f>
        <v>0</v>
      </c>
      <c r="S192" s="108">
        <f>IFERROR(Table19[[#This Row],[Num of Stocks]]*Table19[[#This Row],[Ave Entry]],"")</f>
        <v>0</v>
      </c>
      <c r="T192" s="39">
        <f ca="1">Table19[[#This Row],[Combined Exposure]]/$C$8</f>
        <v>0</v>
      </c>
    </row>
    <row r="193" spans="1:20">
      <c r="A193" t="e" vm="123">
        <v>#VALUE!</v>
      </c>
      <c r="B193" s="13" t="str" cm="1">
        <f t="array" aca="1" ref="B193" ca="1">_FV(A193,"Ticker symbol",TRUE)</f>
        <v>GLW</v>
      </c>
      <c r="C193" s="13" t="s">
        <v>83</v>
      </c>
      <c r="D193" s="13" t="s">
        <v>84</v>
      </c>
      <c r="E193" s="19" cm="1">
        <f t="array" aca="1" ref="E193" ca="1">IFERROR(_FV(A193,"Beta"),2)</f>
        <v>1.0333000000000001</v>
      </c>
      <c r="F193" s="13" t="str" cm="1">
        <f t="array" aca="1" ref="F193" ca="1">_FV(A193,"Instrument type",TRUE)</f>
        <v>Stock</v>
      </c>
      <c r="G193" s="18" cm="1">
        <f t="array" aca="1" ref="G193" ca="1">_FV(Table19[[#This Row],[Assets]],"Price")</f>
        <v>149.19999999999999</v>
      </c>
      <c r="H193" s="36">
        <f>IFERROR(VLOOKUP(Table19[[#This Row],[Assets]],Table25[#All],15,FALSE),"")</f>
        <v>41.765000000000001</v>
      </c>
      <c r="I193" s="36">
        <f>IFERROR(VLOOKUP(Table19[[#This Row],[Assets]],Table25[#All],16,FALSE),0)</f>
        <v>109.7999999999999</v>
      </c>
      <c r="J193" s="84">
        <f ca="1">IFERROR((Table19[[#This Row],[Price]]-Table19[[#This Row],[Ave Entry]])/Table19[[#This Row],[Ave Entry]],"")</f>
        <v>2.5723692086675443</v>
      </c>
      <c r="K193" s="92">
        <f ca="1">IFERROR((Table19[[#This Row],[Price]]-Table19[[#This Row],[Ave Entry]])*Table19[[#This Row],[Num of Stocks]],0)</f>
        <v>0</v>
      </c>
      <c r="L193" s="38" cm="1">
        <f t="array" aca="1" ref="L193" ca="1">_FV(Table19[[#This Row],[Assets]],"Change (%)",TRUE)</f>
        <v>5.0629999999999994E-2</v>
      </c>
      <c r="M193" s="36">
        <f>SUMIF(Table20[Asset],Table19[[#This Row],[Assets]],Table20[realized_profit])</f>
        <v>0</v>
      </c>
      <c r="N193" s="36">
        <f>SUMIF(Table20[[#All],[Asset]],Table19[[#This Row],[Assets]],Table20[[#All],[delta_exposure]])</f>
        <v>0</v>
      </c>
      <c r="O193" s="38">
        <f ca="1">Table19[[#This Row],[Option Exposure]]/$B$6</f>
        <v>0</v>
      </c>
      <c r="P193" s="51">
        <f>SUMIF(Table25[[#All],[Assets]],Table19[[#This Row],[Assets]],Table25[[#All],[Number of stocks]])</f>
        <v>0</v>
      </c>
      <c r="Q193" s="36">
        <f ca="1">Table19[[#This Row],[Num of Stocks]]*Table19[[#This Row],[Price]]</f>
        <v>0</v>
      </c>
      <c r="R193" s="36">
        <f ca="1">Table19[[#This Row],[Stock Exposure]]+Table19[[#This Row],[Option Exposure]]</f>
        <v>0</v>
      </c>
      <c r="S193" s="108">
        <f>IFERROR(Table19[[#This Row],[Num of Stocks]]*Table19[[#This Row],[Ave Entry]],"")</f>
        <v>0</v>
      </c>
      <c r="T193" s="39">
        <f ca="1">Table19[[#This Row],[Combined Exposure]]/$C$8</f>
        <v>0</v>
      </c>
    </row>
    <row r="194" spans="1:20">
      <c r="A194" t="e" vm="275">
        <v>#VALUE!</v>
      </c>
      <c r="B194" s="13" t="str" cm="1">
        <f t="array" aca="1" ref="B194" ca="1">_FV(A194,"Ticker symbol",TRUE)</f>
        <v>RBBN</v>
      </c>
      <c r="C194" s="13" t="s">
        <v>258</v>
      </c>
      <c r="D194" s="13" t="s">
        <v>29</v>
      </c>
      <c r="E194" s="19" cm="1">
        <f t="array" aca="1" ref="E194" ca="1">IFERROR(_FV(A194,"Beta"),2)</f>
        <v>1.0576000000000001</v>
      </c>
      <c r="F194" s="13" t="str" cm="1">
        <f t="array" aca="1" ref="F194" ca="1">_FV(A194,"Instrument type",TRUE)</f>
        <v>Stock</v>
      </c>
      <c r="G194" s="18" cm="1">
        <f t="array" aca="1" ref="G194" ca="1">_FV(Table19[[#This Row],[Assets]],"Price")</f>
        <v>2.2250000000000001</v>
      </c>
      <c r="H194" s="36">
        <f>IFERROR(VLOOKUP(Table19[[#This Row],[Assets]],Table25[#All],15,FALSE),"")</f>
        <v>3.1600000000000006</v>
      </c>
      <c r="I194" s="36">
        <f>IFERROR(VLOOKUP(Table19[[#This Row],[Assets]],Table25[#All],16,FALSE),0)</f>
        <v>80.399999999999935</v>
      </c>
      <c r="J194" s="84">
        <f ca="1">IFERROR((Table19[[#This Row],[Price]]-Table19[[#This Row],[Ave Entry]])/Table19[[#This Row],[Ave Entry]],"")</f>
        <v>-0.29588607594936717</v>
      </c>
      <c r="K194" s="92">
        <f ca="1">IFERROR((Table19[[#This Row],[Price]]-Table19[[#This Row],[Ave Entry]])*Table19[[#This Row],[Num of Stocks]],0)</f>
        <v>0</v>
      </c>
      <c r="L194" s="38" cm="1">
        <f t="array" aca="1" ref="L194" ca="1">_FV(Table19[[#This Row],[Assets]],"Change (%)",TRUE)</f>
        <v>1.5982E-2</v>
      </c>
      <c r="M194" s="36">
        <f>SUMIF(Table20[Asset],Table19[[#This Row],[Assets]],Table20[realized_profit])</f>
        <v>0</v>
      </c>
      <c r="N194" s="36">
        <f>SUMIF(Table20[[#All],[Asset]],Table19[[#This Row],[Assets]],Table20[[#All],[delta_exposure]])</f>
        <v>0</v>
      </c>
      <c r="O194" s="38">
        <f ca="1">Table19[[#This Row],[Option Exposure]]/$B$6</f>
        <v>0</v>
      </c>
      <c r="P194" s="51">
        <f>SUMIF(Table25[[#All],[Assets]],Table19[[#This Row],[Assets]],Table25[[#All],[Number of stocks]])</f>
        <v>0</v>
      </c>
      <c r="Q194" s="36">
        <f ca="1">Table19[[#This Row],[Num of Stocks]]*Table19[[#This Row],[Price]]</f>
        <v>0</v>
      </c>
      <c r="R194" s="36">
        <f ca="1">Table19[[#This Row],[Stock Exposure]]+Table19[[#This Row],[Option Exposure]]</f>
        <v>0</v>
      </c>
      <c r="S194" s="108">
        <f>IFERROR(Table19[[#This Row],[Num of Stocks]]*Table19[[#This Row],[Ave Entry]],"")</f>
        <v>0</v>
      </c>
      <c r="T194" s="39">
        <f ca="1">Table19[[#This Row],[Combined Exposure]]/$C$8</f>
        <v>0</v>
      </c>
    </row>
    <row r="195" spans="1:20">
      <c r="A195" t="e" vm="276">
        <v>#VALUE!</v>
      </c>
      <c r="B195" s="13" t="str" cm="1">
        <f t="array" aca="1" ref="B195" ca="1">_FV(A195,"Ticker symbol",TRUE)</f>
        <v>PGNY</v>
      </c>
      <c r="C195" s="13" t="s">
        <v>53</v>
      </c>
      <c r="D195" s="13" t="s">
        <v>53</v>
      </c>
      <c r="E195" s="19" cm="1">
        <f t="array" aca="1" ref="E195" ca="1">IFERROR(_FV(A195,"Beta"),2)</f>
        <v>0.96630000000000005</v>
      </c>
      <c r="F195" s="13" t="str" cm="1">
        <f t="array" aca="1" ref="F195" ca="1">_FV(A195,"Instrument type",TRUE)</f>
        <v>Stock</v>
      </c>
      <c r="G195" s="18" cm="1">
        <f t="array" aca="1" ref="G195" ca="1">_FV(Table19[[#This Row],[Assets]],"Price")</f>
        <v>17.68</v>
      </c>
      <c r="H195" s="36">
        <f>IFERROR(VLOOKUP(Table19[[#This Row],[Assets]],Table25[#All],15,FALSE),"")</f>
        <v>16.024285714285714</v>
      </c>
      <c r="I195" s="36">
        <f>IFERROR(VLOOKUP(Table19[[#This Row],[Assets]],Table25[#All],16,FALSE),0)</f>
        <v>285.42</v>
      </c>
      <c r="J195" s="84">
        <f ca="1">IFERROR((Table19[[#This Row],[Price]]-Table19[[#This Row],[Ave Entry]])/Table19[[#This Row],[Ave Entry]],"")</f>
        <v>0.10332530979762861</v>
      </c>
      <c r="K195" s="92">
        <f ca="1">IFERROR((Table19[[#This Row],[Price]]-Table19[[#This Row],[Ave Entry]])*Table19[[#This Row],[Num of Stocks]],0)</f>
        <v>0</v>
      </c>
      <c r="L195" s="38" cm="1">
        <f t="array" aca="1" ref="L195" ca="1">_FV(Table19[[#This Row],[Assets]],"Change (%)",TRUE)</f>
        <v>-2.0499E-2</v>
      </c>
      <c r="M195" s="36">
        <f>SUMIF(Table20[Asset],Table19[[#This Row],[Assets]],Table20[realized_profit])</f>
        <v>0</v>
      </c>
      <c r="N195" s="36">
        <f>SUMIF(Table20[[#All],[Asset]],Table19[[#This Row],[Assets]],Table20[[#All],[delta_exposure]])</f>
        <v>0</v>
      </c>
      <c r="O195" s="38">
        <f ca="1">Table19[[#This Row],[Option Exposure]]/$B$6</f>
        <v>0</v>
      </c>
      <c r="P195" s="51">
        <f>SUMIF(Table25[[#All],[Assets]],Table19[[#This Row],[Assets]],Table25[[#All],[Number of stocks]])</f>
        <v>0</v>
      </c>
      <c r="Q195" s="36">
        <f ca="1">Table19[[#This Row],[Num of Stocks]]*Table19[[#This Row],[Price]]</f>
        <v>0</v>
      </c>
      <c r="R195" s="36">
        <f ca="1">Table19[[#This Row],[Stock Exposure]]+Table19[[#This Row],[Option Exposure]]</f>
        <v>0</v>
      </c>
      <c r="S195" s="108">
        <f>IFERROR(Table19[[#This Row],[Num of Stocks]]*Table19[[#This Row],[Ave Entry]],"")</f>
        <v>0</v>
      </c>
      <c r="T195" s="39">
        <f ca="1">Table19[[#This Row],[Combined Exposure]]/$C$8</f>
        <v>0</v>
      </c>
    </row>
    <row r="196" spans="1:20">
      <c r="A196" t="e" vm="277">
        <v>#VALUE!</v>
      </c>
      <c r="B196" s="13" t="str" cm="1">
        <f t="array" aca="1" ref="B196" ca="1">_FV(A196,"Ticker symbol",TRUE)</f>
        <v>VIAV</v>
      </c>
      <c r="C196" s="13" t="s">
        <v>258</v>
      </c>
      <c r="D196" s="13" t="s">
        <v>29</v>
      </c>
      <c r="E196" s="19" cm="1">
        <f t="array" aca="1" ref="E196" ca="1">IFERROR(_FV(A196,"Beta"),2)</f>
        <v>0.82410000000000005</v>
      </c>
      <c r="F196" s="13" t="str" cm="1">
        <f t="array" aca="1" ref="F196" ca="1">_FV(A196,"Instrument type",TRUE)</f>
        <v>Stock</v>
      </c>
      <c r="G196" s="18" cm="1">
        <f t="array" aca="1" ref="G196" ca="1">_FV(Table19[[#This Row],[Assets]],"Price")</f>
        <v>37.72</v>
      </c>
      <c r="H196" s="36">
        <f>IFERROR(VLOOKUP(Table19[[#This Row],[Assets]],Table25[#All],15,FALSE),"")</f>
        <v>8.4700000000000006</v>
      </c>
      <c r="I196" s="36">
        <f>IFERROR(VLOOKUP(Table19[[#This Row],[Assets]],Table25[#All],16,FALSE),0)</f>
        <v>89.25</v>
      </c>
      <c r="J196" s="84">
        <f ca="1">IFERROR((Table19[[#This Row],[Price]]-Table19[[#This Row],[Ave Entry]])/Table19[[#This Row],[Ave Entry]],"")</f>
        <v>3.4533648170011806</v>
      </c>
      <c r="K196" s="92">
        <f ca="1">IFERROR((Table19[[#This Row],[Price]]-Table19[[#This Row],[Ave Entry]])*Table19[[#This Row],[Num of Stocks]],0)</f>
        <v>0</v>
      </c>
      <c r="L196" s="38" cm="1">
        <f t="array" aca="1" ref="L196" ca="1">_FV(Table19[[#This Row],[Assets]],"Change (%)",TRUE)</f>
        <v>4.9527000000000002E-2</v>
      </c>
      <c r="M196" s="36">
        <f>SUMIF(Table20[Asset],Table19[[#This Row],[Assets]],Table20[realized_profit])</f>
        <v>0</v>
      </c>
      <c r="N196" s="36">
        <f>SUMIF(Table20[[#All],[Asset]],Table19[[#This Row],[Assets]],Table20[[#All],[delta_exposure]])</f>
        <v>0</v>
      </c>
      <c r="O196" s="38">
        <f ca="1">Table19[[#This Row],[Option Exposure]]/$B$6</f>
        <v>0</v>
      </c>
      <c r="P196" s="51">
        <f>SUMIF(Table25[[#All],[Assets]],Table19[[#This Row],[Assets]],Table25[[#All],[Number of stocks]])</f>
        <v>0</v>
      </c>
      <c r="Q196" s="36">
        <f ca="1">Table19[[#This Row],[Num of Stocks]]*Table19[[#This Row],[Price]]</f>
        <v>0</v>
      </c>
      <c r="R196" s="36">
        <f ca="1">Table19[[#This Row],[Stock Exposure]]+Table19[[#This Row],[Option Exposure]]</f>
        <v>0</v>
      </c>
      <c r="S196" s="108">
        <f>IFERROR(Table19[[#This Row],[Num of Stocks]]*Table19[[#This Row],[Ave Entry]],"")</f>
        <v>0</v>
      </c>
      <c r="T196" s="39">
        <f ca="1">Table19[[#This Row],[Combined Exposure]]/$C$8</f>
        <v>0</v>
      </c>
    </row>
    <row r="197" spans="1:20">
      <c r="A197" t="e" vm="278">
        <v>#VALUE!</v>
      </c>
      <c r="B197" s="13" t="str" cm="1">
        <f t="array" aca="1" ref="B197" ca="1">_FV(A197,"Ticker symbol",TRUE)</f>
        <v>RTX</v>
      </c>
      <c r="C197" s="13" t="s">
        <v>38</v>
      </c>
      <c r="D197" s="13" t="s">
        <v>56</v>
      </c>
      <c r="E197" s="19" cm="1">
        <f t="array" aca="1" ref="E197" ca="1">IFERROR(_FV(A197,"Beta"),2)</f>
        <v>0.4249</v>
      </c>
      <c r="F197" s="13" t="str" cm="1">
        <f t="array" aca="1" ref="F197" ca="1">_FV(A197,"Instrument type",TRUE)</f>
        <v>Stock</v>
      </c>
      <c r="G197" s="18" cm="1">
        <f t="array" aca="1" ref="G197" ca="1">_FV(Table19[[#This Row],[Assets]],"Price")</f>
        <v>194.88</v>
      </c>
      <c r="H197" s="36">
        <f>IFERROR(VLOOKUP(Table19[[#This Row],[Assets]],Table25[#All],15,FALSE),"")</f>
        <v>78.25</v>
      </c>
      <c r="I197" s="36">
        <f>IFERROR(VLOOKUP(Table19[[#This Row],[Assets]],Table25[#All],16,FALSE),0)</f>
        <v>166.27999999999997</v>
      </c>
      <c r="J197" s="84">
        <f ca="1">IFERROR((Table19[[#This Row],[Price]]-Table19[[#This Row],[Ave Entry]])/Table19[[#This Row],[Ave Entry]],"")</f>
        <v>1.4904792332268371</v>
      </c>
      <c r="K197" s="92">
        <f ca="1">IFERROR((Table19[[#This Row],[Price]]-Table19[[#This Row],[Ave Entry]])*Table19[[#This Row],[Num of Stocks]],0)</f>
        <v>0</v>
      </c>
      <c r="L197" s="38" cm="1">
        <f t="array" aca="1" ref="L197" ca="1">_FV(Table19[[#This Row],[Assets]],"Change (%)",TRUE)</f>
        <v>4.5360000000000001E-3</v>
      </c>
      <c r="M197" s="36">
        <f>SUMIF(Table20[Asset],Table19[[#This Row],[Assets]],Table20[realized_profit])</f>
        <v>0</v>
      </c>
      <c r="N197" s="36">
        <f>SUMIF(Table20[[#All],[Asset]],Table19[[#This Row],[Assets]],Table20[[#All],[delta_exposure]])</f>
        <v>0</v>
      </c>
      <c r="O197" s="98">
        <f ca="1">Table19[[#This Row],[Option Exposure]]/$B$6</f>
        <v>0</v>
      </c>
      <c r="P197" s="51">
        <f>SUMIF(Table25[[#All],[Assets]],Table19[[#This Row],[Assets]],Table25[[#All],[Number of stocks]])</f>
        <v>0</v>
      </c>
      <c r="Q197" s="36">
        <f ca="1">Table19[[#This Row],[Num of Stocks]]*Table19[[#This Row],[Price]]</f>
        <v>0</v>
      </c>
      <c r="R197" s="36">
        <f ca="1">Table19[[#This Row],[Stock Exposure]]+Table19[[#This Row],[Option Exposure]]</f>
        <v>0</v>
      </c>
      <c r="S197" s="108">
        <f>IFERROR(Table19[[#This Row],[Num of Stocks]]*Table19[[#This Row],[Ave Entry]],"")</f>
        <v>0</v>
      </c>
      <c r="T197" s="39">
        <f ca="1">Table19[[#This Row],[Combined Exposure]]/$C$8</f>
        <v>0</v>
      </c>
    </row>
    <row r="198" spans="1:20">
      <c r="A198" t="e" vm="279">
        <v>#VALUE!</v>
      </c>
      <c r="B198" s="13" t="str" cm="1">
        <f t="array" aca="1" ref="B198" ca="1">_FV(A198,"Ticker symbol",TRUE)</f>
        <v>DXCM</v>
      </c>
      <c r="C198" s="13" t="s">
        <v>53</v>
      </c>
      <c r="D198" s="13" t="s">
        <v>352</v>
      </c>
      <c r="E198" s="19" cm="1">
        <f t="array" aca="1" ref="E198" ca="1">IFERROR(_FV(A198,"Beta"),2)</f>
        <v>1.5321</v>
      </c>
      <c r="F198" s="13" t="str" cm="1">
        <f t="array" aca="1" ref="F198" ca="1">_FV(A198,"Instrument type",TRUE)</f>
        <v>Stock</v>
      </c>
      <c r="G198" s="18" cm="1">
        <f t="array" aca="1" ref="G198" ca="1">_FV(Table19[[#This Row],[Assets]],"Price")</f>
        <v>66.555000000000007</v>
      </c>
      <c r="H198" s="36">
        <f>IFERROR(VLOOKUP(Table19[[#This Row],[Assets]],Table25[#All],15,FALSE),"")</f>
        <v>75.396470588235275</v>
      </c>
      <c r="I198" s="36">
        <f>IFERROR(VLOOKUP(Table19[[#This Row],[Assets]],Table25[#All],16,FALSE),0)</f>
        <v>139.07000000000033</v>
      </c>
      <c r="J198" s="84">
        <f ca="1">IFERROR((Table19[[#This Row],[Price]]-Table19[[#This Row],[Ave Entry]])/Table19[[#This Row],[Ave Entry]],"")</f>
        <v>-0.1172663722751881</v>
      </c>
      <c r="K198" s="92">
        <f ca="1">IFERROR((Table19[[#This Row],[Price]]-Table19[[#This Row],[Ave Entry]])*Table19[[#This Row],[Num of Stocks]],0)</f>
        <v>0</v>
      </c>
      <c r="L198" s="38" cm="1">
        <f t="array" aca="1" ref="L198" ca="1">_FV(Table19[[#This Row],[Assets]],"Change (%)",TRUE)</f>
        <v>-6.757E-4</v>
      </c>
      <c r="M198" s="36">
        <f>SUMIF(Table20[Asset],Table19[[#This Row],[Assets]],Table20[realized_profit])</f>
        <v>0</v>
      </c>
      <c r="N198" s="36">
        <f>SUMIF(Table20[[#All],[Asset]],Table19[[#This Row],[Assets]],Table20[[#All],[delta_exposure]])</f>
        <v>0</v>
      </c>
      <c r="O198" s="38">
        <f ca="1">Table19[[#This Row],[Option Exposure]]/$B$6</f>
        <v>0</v>
      </c>
      <c r="P198" s="51">
        <f>SUMIF(Table25[[#All],[Assets]],Table19[[#This Row],[Assets]],Table25[[#All],[Number of stocks]])</f>
        <v>0</v>
      </c>
      <c r="Q198" s="36">
        <f ca="1">Table19[[#This Row],[Num of Stocks]]*Table19[[#This Row],[Price]]</f>
        <v>0</v>
      </c>
      <c r="R198" s="36">
        <f ca="1">Table19[[#This Row],[Stock Exposure]]+Table19[[#This Row],[Option Exposure]]</f>
        <v>0</v>
      </c>
      <c r="S198" s="108">
        <f>IFERROR(Table19[[#This Row],[Num of Stocks]]*Table19[[#This Row],[Ave Entry]],"")</f>
        <v>0</v>
      </c>
      <c r="T198" s="39">
        <f ca="1">Table19[[#This Row],[Combined Exposure]]/$C$8</f>
        <v>0</v>
      </c>
    </row>
    <row r="199" spans="1:20">
      <c r="A199" t="e" vm="120">
        <v>#VALUE!</v>
      </c>
      <c r="B199" s="13" t="str" cm="1">
        <f t="array" aca="1" ref="B199" ca="1">_FV(A199,"Ticker symbol",TRUE)</f>
        <v>REPX</v>
      </c>
      <c r="C199" s="13" t="s">
        <v>31</v>
      </c>
      <c r="D199" s="13" t="s">
        <v>31</v>
      </c>
      <c r="E199" s="19" cm="1">
        <f t="array" aca="1" ref="E199" ca="1">IFERROR(_FV(A199,"Beta"),2)</f>
        <v>1.1089</v>
      </c>
      <c r="F199" s="13" t="str" cm="1">
        <f t="array" aca="1" ref="F199" ca="1">_FV(A199,"Instrument type",TRUE)</f>
        <v>Stock</v>
      </c>
      <c r="G199" s="18" cm="1">
        <f t="array" aca="1" ref="G199" ca="1">_FV(Table19[[#This Row],[Assets]],"Price")</f>
        <v>36.01</v>
      </c>
      <c r="H199" s="36">
        <f>IFERROR(VLOOKUP(Table19[[#This Row],[Assets]],Table25[#All],15,FALSE),"")</f>
        <v>27.089999999999996</v>
      </c>
      <c r="I199" s="36">
        <f>IFERROR(VLOOKUP(Table19[[#This Row],[Assets]],Table25[#All],16,FALSE),0)</f>
        <v>7.4000000000000909</v>
      </c>
      <c r="J199" s="84">
        <f ca="1">IFERROR((Table19[[#This Row],[Price]]-Table19[[#This Row],[Ave Entry]])/Table19[[#This Row],[Ave Entry]],"")</f>
        <v>0.32927279438907359</v>
      </c>
      <c r="K199" s="92">
        <f ca="1">IFERROR((Table19[[#This Row],[Price]]-Table19[[#This Row],[Ave Entry]])*Table19[[#This Row],[Num of Stocks]],0)</f>
        <v>0</v>
      </c>
      <c r="L199" s="38" cm="1">
        <f t="array" aca="1" ref="L199" ca="1">_FV(Table19[[#This Row],[Assets]],"Change (%)",TRUE)</f>
        <v>-2.7689999999999998E-3</v>
      </c>
      <c r="M199" s="36">
        <f>SUMIF(Table20[Asset],Table19[[#This Row],[Assets]],Table20[realized_profit])</f>
        <v>0</v>
      </c>
      <c r="N199" s="36">
        <f>SUMIF(Table20[[#All],[Asset]],Table19[[#This Row],[Assets]],Table20[[#All],[delta_exposure]])</f>
        <v>0</v>
      </c>
      <c r="O199" s="98">
        <f ca="1">Table19[[#This Row],[Option Exposure]]/$B$6</f>
        <v>0</v>
      </c>
      <c r="P199" s="51">
        <f>SUMIF(Table25[[#All],[Assets]],Table19[[#This Row],[Assets]],Table25[[#All],[Number of stocks]])</f>
        <v>0</v>
      </c>
      <c r="Q199" s="36">
        <f ca="1">Table19[[#This Row],[Num of Stocks]]*Table19[[#This Row],[Price]]</f>
        <v>0</v>
      </c>
      <c r="R199" s="36">
        <f ca="1">Table19[[#This Row],[Stock Exposure]]+Table19[[#This Row],[Option Exposure]]</f>
        <v>0</v>
      </c>
      <c r="S199" s="108">
        <f>IFERROR(Table19[[#This Row],[Num of Stocks]]*Table19[[#This Row],[Ave Entry]],"")</f>
        <v>0</v>
      </c>
      <c r="T199" s="39">
        <f ca="1">Table19[[#This Row],[Combined Exposure]]/$C$8</f>
        <v>0</v>
      </c>
    </row>
    <row r="200" spans="1:20">
      <c r="A200" t="e" vm="280">
        <v>#VALUE!</v>
      </c>
      <c r="B200" s="13" t="str" cm="1">
        <f t="array" aca="1" ref="B200" ca="1">_FV(A200,"Ticker symbol",TRUE)</f>
        <v>CHWY</v>
      </c>
      <c r="C200" s="13" t="s">
        <v>55</v>
      </c>
      <c r="D200" s="13" t="s">
        <v>55</v>
      </c>
      <c r="E200" s="19" cm="1">
        <f t="array" aca="1" ref="E200" ca="1">IFERROR(_FV(A200,"Beta"),2)</f>
        <v>1.6823999999999999</v>
      </c>
      <c r="F200" s="13" t="str" cm="1">
        <f t="array" aca="1" ref="F200" ca="1">_FV(A200,"Instrument type",TRUE)</f>
        <v>Stock</v>
      </c>
      <c r="G200" s="18" cm="1">
        <f t="array" aca="1" ref="G200" ca="1">_FV(Table19[[#This Row],[Assets]],"Price")</f>
        <v>26.24</v>
      </c>
      <c r="H200" s="36">
        <f>IFERROR(VLOOKUP(Table19[[#This Row],[Assets]],Table25[#All],15,FALSE),"")</f>
        <v>33.784999999999997</v>
      </c>
      <c r="I200" s="36">
        <f>IFERROR(VLOOKUP(Table19[[#This Row],[Assets]],Table25[#All],16,FALSE),0)</f>
        <v>90.750000000000384</v>
      </c>
      <c r="J200" s="84">
        <f ca="1">IFERROR((Table19[[#This Row],[Price]]-Table19[[#This Row],[Ave Entry]])/Table19[[#This Row],[Ave Entry]],"")</f>
        <v>-0.22332396033742782</v>
      </c>
      <c r="K200" s="92">
        <f ca="1">IFERROR((Table19[[#This Row],[Price]]-Table19[[#This Row],[Ave Entry]])*Table19[[#This Row],[Num of Stocks]],0)</f>
        <v>0</v>
      </c>
      <c r="L200" s="38" cm="1">
        <f t="array" aca="1" ref="L200" ca="1">_FV(Table19[[#This Row],[Assets]],"Change (%)",TRUE)</f>
        <v>0.118977</v>
      </c>
      <c r="M200" s="36">
        <f>SUMIF(Table20[Asset],Table19[[#This Row],[Assets]],Table20[realized_profit])</f>
        <v>0</v>
      </c>
      <c r="N200" s="36">
        <f>SUMIF(Table20[[#All],[Asset]],Table19[[#This Row],[Assets]],Table20[[#All],[delta_exposure]])</f>
        <v>0</v>
      </c>
      <c r="O200" s="38">
        <f ca="1">Table19[[#This Row],[Option Exposure]]/$B$6</f>
        <v>0</v>
      </c>
      <c r="P200" s="51">
        <f>SUMIF(Table25[[#All],[Assets]],Table19[[#This Row],[Assets]],Table25[[#All],[Number of stocks]])</f>
        <v>0</v>
      </c>
      <c r="Q200" s="36">
        <f ca="1">Table19[[#This Row],[Num of Stocks]]*Table19[[#This Row],[Price]]</f>
        <v>0</v>
      </c>
      <c r="R200" s="36">
        <f ca="1">Table19[[#This Row],[Stock Exposure]]+Table19[[#This Row],[Option Exposure]]</f>
        <v>0</v>
      </c>
      <c r="S200" s="108">
        <f>IFERROR(Table19[[#This Row],[Num of Stocks]]*Table19[[#This Row],[Ave Entry]],"")</f>
        <v>0</v>
      </c>
      <c r="T200" s="39">
        <f ca="1">Table19[[#This Row],[Combined Exposure]]/$C$8</f>
        <v>0</v>
      </c>
    </row>
    <row r="201" spans="1:20">
      <c r="A201" t="e" vm="47">
        <v>#VALUE!</v>
      </c>
      <c r="B201" s="13" t="str" cm="1">
        <f t="array" aca="1" ref="B201" ca="1">_FV(A201,"Ticker symbol",TRUE)</f>
        <v>CCJ</v>
      </c>
      <c r="C201" s="13" t="s">
        <v>136</v>
      </c>
      <c r="D201" s="13" t="s">
        <v>136</v>
      </c>
      <c r="E201" s="19" cm="1">
        <f t="array" aca="1" ref="E201" ca="1">IFERROR(_FV(A201,"Beta"),2)</f>
        <v>1.0182</v>
      </c>
      <c r="F201" s="13" t="str" cm="1">
        <f t="array" aca="1" ref="F201" ca="1">_FV(A201,"Instrument type",TRUE)</f>
        <v>Stock</v>
      </c>
      <c r="G201" s="18" cm="1">
        <f t="array" aca="1" ref="G201" ca="1">_FV(Table19[[#This Row],[Assets]],"Price")</f>
        <v>110.85</v>
      </c>
      <c r="H201" s="36">
        <f>IFERROR(VLOOKUP(Table19[[#This Row],[Assets]],Table25[#All],15,FALSE),"")</f>
        <v>44.63</v>
      </c>
      <c r="I201" s="36">
        <f>IFERROR(VLOOKUP(Table19[[#This Row],[Assets]],Table25[#All],16,FALSE),0)</f>
        <v>-33.400000000000034</v>
      </c>
      <c r="J201" s="84">
        <f ca="1">IFERROR((Table19[[#This Row],[Price]]-Table19[[#This Row],[Ave Entry]])/Table19[[#This Row],[Ave Entry]],"")</f>
        <v>1.4837553215326014</v>
      </c>
      <c r="K201" s="92">
        <f ca="1">IFERROR((Table19[[#This Row],[Price]]-Table19[[#This Row],[Ave Entry]])*Table19[[#This Row],[Num of Stocks]],0)</f>
        <v>0</v>
      </c>
      <c r="L201" s="38" cm="1">
        <f t="array" aca="1" ref="L201" ca="1">_FV(Table19[[#This Row],[Assets]],"Change (%)",TRUE)</f>
        <v>2.6009000000000001E-2</v>
      </c>
      <c r="M201" s="36">
        <f>SUMIF(Table20[Asset],Table19[[#This Row],[Assets]],Table20[realized_profit])</f>
        <v>0</v>
      </c>
      <c r="N201" s="36">
        <f>SUMIF(Table20[[#All],[Asset]],Table19[[#This Row],[Assets]],Table20[[#All],[delta_exposure]])</f>
        <v>0</v>
      </c>
      <c r="O201" s="38">
        <f ca="1">Table19[[#This Row],[Option Exposure]]/$B$6</f>
        <v>0</v>
      </c>
      <c r="P201" s="51">
        <f>SUMIF(Table25[[#All],[Assets]],Table19[[#This Row],[Assets]],Table25[[#All],[Number of stocks]])</f>
        <v>0</v>
      </c>
      <c r="Q201" s="36">
        <f ca="1">Table19[[#This Row],[Num of Stocks]]*Table19[[#This Row],[Price]]</f>
        <v>0</v>
      </c>
      <c r="R201" s="36">
        <f ca="1">Table19[[#This Row],[Stock Exposure]]+Table19[[#This Row],[Option Exposure]]</f>
        <v>0</v>
      </c>
      <c r="S201" s="108">
        <f>IFERROR(Table19[[#This Row],[Num of Stocks]]*Table19[[#This Row],[Ave Entry]],"")</f>
        <v>0</v>
      </c>
      <c r="T201" s="39">
        <f ca="1">Table19[[#This Row],[Combined Exposure]]/$C$8</f>
        <v>0</v>
      </c>
    </row>
    <row r="202" spans="1:20">
      <c r="A202" t="e" vm="18">
        <v>#VALUE!</v>
      </c>
      <c r="B202" s="13" t="str" cm="1">
        <f t="array" aca="1" ref="B202" ca="1">_FV(A202,"Ticker symbol",TRUE)</f>
        <v>ST</v>
      </c>
      <c r="C202" s="13" t="s">
        <v>84</v>
      </c>
      <c r="D202" s="13" t="s">
        <v>56</v>
      </c>
      <c r="E202" s="19" cm="1">
        <f t="array" aca="1" ref="E202" ca="1">IFERROR(_FV(A202,"Beta"),2)</f>
        <v>1.1191</v>
      </c>
      <c r="F202" s="13" t="str" cm="1">
        <f t="array" aca="1" ref="F202" ca="1">_FV(A202,"Instrument type",TRUE)</f>
        <v>Stock</v>
      </c>
      <c r="G202" s="18" cm="1">
        <f t="array" aca="1" ref="G202" ca="1">_FV(Table19[[#This Row],[Assets]],"Price")</f>
        <v>36.840000000000003</v>
      </c>
      <c r="H202" s="36">
        <f>IFERROR(VLOOKUP(Table19[[#This Row],[Assets]],Table25[#All],15,FALSE),"")</f>
        <v>27.792307692307688</v>
      </c>
      <c r="I202" s="36">
        <f>IFERROR(VLOOKUP(Table19[[#This Row],[Assets]],Table25[#All],16,FALSE),0)</f>
        <v>21.290000000000056</v>
      </c>
      <c r="J202" s="84">
        <f ca="1">IFERROR((Table19[[#This Row],[Price]]-Table19[[#This Row],[Ave Entry]])/Table19[[#This Row],[Ave Entry]],"")</f>
        <v>0.32554663714364829</v>
      </c>
      <c r="K202" s="92">
        <f ca="1">IFERROR((Table19[[#This Row],[Price]]-Table19[[#This Row],[Ave Entry]])*Table19[[#This Row],[Num of Stocks]],0)</f>
        <v>0</v>
      </c>
      <c r="L202" s="38" cm="1">
        <f t="array" aca="1" ref="L202" ca="1">_FV(Table19[[#This Row],[Assets]],"Change (%)",TRUE)</f>
        <v>1.4317E-2</v>
      </c>
      <c r="M202" s="36">
        <f>SUMIF(Table20[Asset],Table19[[#This Row],[Assets]],Table20[realized_profit])</f>
        <v>0</v>
      </c>
      <c r="N202" s="36">
        <f>SUMIF(Table20[[#All],[Asset]],Table19[[#This Row],[Assets]],Table20[[#All],[delta_exposure]])</f>
        <v>0</v>
      </c>
      <c r="O202" s="38">
        <f ca="1">Table19[[#This Row],[Option Exposure]]/$B$6</f>
        <v>0</v>
      </c>
      <c r="P202" s="51">
        <f>SUMIF(Table25[[#All],[Assets]],Table19[[#This Row],[Assets]],Table25[[#All],[Number of stocks]])</f>
        <v>0</v>
      </c>
      <c r="Q202" s="36">
        <f ca="1">Table19[[#This Row],[Num of Stocks]]*Table19[[#This Row],[Price]]</f>
        <v>0</v>
      </c>
      <c r="R202" s="36">
        <f ca="1">Table19[[#This Row],[Stock Exposure]]+Table19[[#This Row],[Option Exposure]]</f>
        <v>0</v>
      </c>
      <c r="S202" s="108">
        <f>IFERROR(Table19[[#This Row],[Num of Stocks]]*Table19[[#This Row],[Ave Entry]],"")</f>
        <v>0</v>
      </c>
      <c r="T202" s="39">
        <f ca="1">Table19[[#This Row],[Combined Exposure]]/$C$8</f>
        <v>0</v>
      </c>
    </row>
    <row r="203" spans="1:20">
      <c r="A203" t="e" vm="281">
        <v>#VALUE!</v>
      </c>
      <c r="B203" s="13" t="str" cm="1">
        <f t="array" aca="1" ref="B203" ca="1">_FV(A203,"Ticker symbol",TRUE)</f>
        <v>ERIC</v>
      </c>
      <c r="C203" s="13" t="s">
        <v>258</v>
      </c>
      <c r="D203" s="13" t="s">
        <v>29</v>
      </c>
      <c r="E203" s="19" cm="1">
        <f t="array" aca="1" ref="E203" ca="1">IFERROR(_FV(A203,"Beta"),2)</f>
        <v>0.92820000000000003</v>
      </c>
      <c r="F203" s="13" t="str" cm="1">
        <f t="array" aca="1" ref="F203" ca="1">_FV(A203,"Instrument type",TRUE)</f>
        <v>Stock</v>
      </c>
      <c r="G203" s="18" cm="1">
        <f t="array" aca="1" ref="G203" ca="1">_FV(Table19[[#This Row],[Assets]],"Price")</f>
        <v>11.6099</v>
      </c>
      <c r="H203" s="36">
        <f>IFERROR(VLOOKUP(Table19[[#This Row],[Assets]],Table25[#All],15,FALSE),"")</f>
        <v>7.41</v>
      </c>
      <c r="I203" s="36">
        <f>IFERROR(VLOOKUP(Table19[[#This Row],[Assets]],Table25[#All],16,FALSE),0)</f>
        <v>47.699999999999996</v>
      </c>
      <c r="J203" s="84">
        <f ca="1">IFERROR((Table19[[#This Row],[Price]]-Table19[[#This Row],[Ave Entry]])/Table19[[#This Row],[Ave Entry]],"")</f>
        <v>0.56678812415654511</v>
      </c>
      <c r="K203" s="92">
        <f ca="1">IFERROR((Table19[[#This Row],[Price]]-Table19[[#This Row],[Ave Entry]])*Table19[[#This Row],[Num of Stocks]],0)</f>
        <v>0</v>
      </c>
      <c r="L203" s="38" cm="1">
        <f t="array" aca="1" ref="L203" ca="1">_FV(Table19[[#This Row],[Assets]],"Change (%)",TRUE)</f>
        <v>1.3080000000000001E-2</v>
      </c>
      <c r="M203" s="36">
        <f>SUMIF(Table20[Asset],Table19[[#This Row],[Assets]],Table20[realized_profit])</f>
        <v>0</v>
      </c>
      <c r="N203" s="36">
        <f>SUMIF(Table20[[#All],[Asset]],Table19[[#This Row],[Assets]],Table20[[#All],[delta_exposure]])</f>
        <v>0</v>
      </c>
      <c r="O203" s="38">
        <f ca="1">Table19[[#This Row],[Option Exposure]]/$B$6</f>
        <v>0</v>
      </c>
      <c r="P203" s="51">
        <f>SUMIF(Table25[[#All],[Assets]],Table19[[#This Row],[Assets]],Table25[[#All],[Number of stocks]])</f>
        <v>0</v>
      </c>
      <c r="Q203" s="36">
        <f ca="1">Table19[[#This Row],[Num of Stocks]]*Table19[[#This Row],[Price]]</f>
        <v>0</v>
      </c>
      <c r="R203" s="36">
        <f ca="1">Table19[[#This Row],[Stock Exposure]]+Table19[[#This Row],[Option Exposure]]</f>
        <v>0</v>
      </c>
      <c r="S203" s="108">
        <f>IFERROR(Table19[[#This Row],[Num of Stocks]]*Table19[[#This Row],[Ave Entry]],"")</f>
        <v>0</v>
      </c>
      <c r="T203" s="39">
        <f ca="1">Table19[[#This Row],[Combined Exposure]]/$C$8</f>
        <v>0</v>
      </c>
    </row>
    <row r="204" spans="1:20">
      <c r="A204" t="e" vm="130">
        <v>#VALUE!</v>
      </c>
      <c r="B204" s="13" t="str" cm="1">
        <f t="array" aca="1" ref="B204" ca="1">_FV(A204,"Ticker symbol",TRUE)</f>
        <v>COHR</v>
      </c>
      <c r="C204" s="13" t="s">
        <v>258</v>
      </c>
      <c r="D204" s="13" t="s">
        <v>29</v>
      </c>
      <c r="E204" s="19" cm="1">
        <f t="array" aca="1" ref="E204" ca="1">IFERROR(_FV(A204,"Beta"),2)</f>
        <v>1.8446</v>
      </c>
      <c r="F204" s="13" t="str" cm="1">
        <f t="array" aca="1" ref="F204" ca="1">_FV(A204,"Instrument type",TRUE)</f>
        <v>Stock</v>
      </c>
      <c r="G204" s="18" cm="1">
        <f t="array" aca="1" ref="G204" ca="1">_FV(Table19[[#This Row],[Assets]],"Price")</f>
        <v>277.32</v>
      </c>
      <c r="H204" s="36">
        <f>IFERROR(VLOOKUP(Table19[[#This Row],[Assets]],Table25[#All],15,FALSE),"")</f>
        <v>76.349999999999994</v>
      </c>
      <c r="I204" s="36">
        <f>IFERROR(VLOOKUP(Table19[[#This Row],[Assets]],Table25[#All],16,FALSE),0)</f>
        <v>14.820000000000064</v>
      </c>
      <c r="J204" s="84">
        <f ca="1">IFERROR((Table19[[#This Row],[Price]]-Table19[[#This Row],[Ave Entry]])/Table19[[#This Row],[Ave Entry]],"")</f>
        <v>2.6322200392927311</v>
      </c>
      <c r="K204" s="92">
        <f ca="1">IFERROR((Table19[[#This Row],[Price]]-Table19[[#This Row],[Ave Entry]])*Table19[[#This Row],[Num of Stocks]],0)</f>
        <v>0</v>
      </c>
      <c r="L204" s="38" cm="1">
        <f t="array" aca="1" ref="L204" ca="1">_FV(Table19[[#This Row],[Assets]],"Change (%)",TRUE)</f>
        <v>1.8322999999999999E-2</v>
      </c>
      <c r="M204" s="36">
        <f>SUMIF(Table20[Asset],Table19[[#This Row],[Assets]],Table20[realized_profit])</f>
        <v>0</v>
      </c>
      <c r="N204" s="36">
        <f>SUMIF(Table20[[#All],[Asset]],Table19[[#This Row],[Assets]],Table20[[#All],[delta_exposure]])</f>
        <v>0</v>
      </c>
      <c r="O204" s="38">
        <f ca="1">Table19[[#This Row],[Option Exposure]]/$B$6</f>
        <v>0</v>
      </c>
      <c r="P204" s="51">
        <f>SUMIF(Table25[[#All],[Assets]],Table19[[#This Row],[Assets]],Table25[[#All],[Number of stocks]])</f>
        <v>0</v>
      </c>
      <c r="Q204" s="36">
        <f ca="1">Table19[[#This Row],[Num of Stocks]]*Table19[[#This Row],[Price]]</f>
        <v>0</v>
      </c>
      <c r="R204" s="36">
        <f ca="1">Table19[[#This Row],[Stock Exposure]]+Table19[[#This Row],[Option Exposure]]</f>
        <v>0</v>
      </c>
      <c r="S204" s="108">
        <f>IFERROR(Table19[[#This Row],[Num of Stocks]]*Table19[[#This Row],[Ave Entry]],"")</f>
        <v>0</v>
      </c>
      <c r="T204" s="39">
        <f ca="1">Table19[[#This Row],[Combined Exposure]]/$C$8</f>
        <v>0</v>
      </c>
    </row>
    <row r="205" spans="1:20">
      <c r="A205" t="e" vm="282">
        <v>#VALUE!</v>
      </c>
      <c r="B205" s="13" t="str" cm="1">
        <f t="array" aca="1" ref="B205" ca="1">_FV(A205,"Ticker symbol",TRUE)</f>
        <v>ARQT</v>
      </c>
      <c r="C205" s="13" t="s">
        <v>53</v>
      </c>
      <c r="D205" s="13" t="s">
        <v>560</v>
      </c>
      <c r="E205" s="19" cm="1">
        <f t="array" aca="1" ref="E205" ca="1">IFERROR(_FV(A205,"Beta"),2)</f>
        <v>1.8002</v>
      </c>
      <c r="F205" s="13" t="str" cm="1">
        <f t="array" aca="1" ref="F205" ca="1">_FV(A205,"Instrument type",TRUE)</f>
        <v>Stock</v>
      </c>
      <c r="G205" s="18" cm="1">
        <f t="array" aca="1" ref="G205" ca="1">_FV(Table19[[#This Row],[Assets]],"Price")</f>
        <v>22.74</v>
      </c>
      <c r="H205" s="36">
        <f>IFERROR(VLOOKUP(Table19[[#This Row],[Assets]],Table25[#All],15,FALSE),"")</f>
        <v>14.980000000000002</v>
      </c>
      <c r="I205" s="36">
        <f>IFERROR(VLOOKUP(Table19[[#This Row],[Assets]],Table25[#All],16,FALSE),0)</f>
        <v>-62.650000000000091</v>
      </c>
      <c r="J205" s="84">
        <f ca="1">IFERROR((Table19[[#This Row],[Price]]-Table19[[#This Row],[Ave Entry]])/Table19[[#This Row],[Ave Entry]],"")</f>
        <v>0.51802403204272329</v>
      </c>
      <c r="K205" s="92">
        <f ca="1">IFERROR((Table19[[#This Row],[Price]]-Table19[[#This Row],[Ave Entry]])*Table19[[#This Row],[Num of Stocks]],0)</f>
        <v>0</v>
      </c>
      <c r="L205" s="38" cm="1">
        <f t="array" aca="1" ref="L205" ca="1">_FV(Table19[[#This Row],[Assets]],"Change (%)",TRUE)</f>
        <v>4.1685999999999994E-2</v>
      </c>
      <c r="M205" s="36">
        <f>SUMIF(Table20[Asset],Table19[[#This Row],[Assets]],Table20[realized_profit])</f>
        <v>0</v>
      </c>
      <c r="N205" s="36">
        <f>SUMIF(Table20[[#All],[Asset]],Table19[[#This Row],[Assets]],Table20[[#All],[delta_exposure]])</f>
        <v>0</v>
      </c>
      <c r="O205" s="38">
        <f ca="1">Table19[[#This Row],[Option Exposure]]/$B$6</f>
        <v>0</v>
      </c>
      <c r="P205" s="51">
        <f>SUMIF(Table25[[#All],[Assets]],Table19[[#This Row],[Assets]],Table25[[#All],[Number of stocks]])</f>
        <v>0</v>
      </c>
      <c r="Q205" s="36">
        <f ca="1">Table19[[#This Row],[Num of Stocks]]*Table19[[#This Row],[Price]]</f>
        <v>0</v>
      </c>
      <c r="R205" s="36">
        <f ca="1">Table19[[#This Row],[Stock Exposure]]+Table19[[#This Row],[Option Exposure]]</f>
        <v>0</v>
      </c>
      <c r="S205" s="108">
        <f>IFERROR(Table19[[#This Row],[Num of Stocks]]*Table19[[#This Row],[Ave Entry]],"")</f>
        <v>0</v>
      </c>
      <c r="T205" s="39">
        <f ca="1">Table19[[#This Row],[Combined Exposure]]/$C$8</f>
        <v>0</v>
      </c>
    </row>
    <row r="206" spans="1:20">
      <c r="A206" t="e" vm="283">
        <v>#VALUE!</v>
      </c>
      <c r="B206" s="13" t="str" cm="1">
        <f t="array" aca="1" ref="B206" ca="1">_FV(A206,"Ticker symbol",TRUE)</f>
        <v>APH</v>
      </c>
      <c r="C206" s="13" t="s">
        <v>258</v>
      </c>
      <c r="D206" s="13" t="s">
        <v>29</v>
      </c>
      <c r="E206" s="19" cm="1">
        <f t="array" aca="1" ref="E206" ca="1">IFERROR(_FV(A206,"Beta"),2)</f>
        <v>1.2543</v>
      </c>
      <c r="F206" s="13" t="str" cm="1">
        <f t="array" aca="1" ref="F206" ca="1">_FV(A206,"Instrument type",TRUE)</f>
        <v>Stock</v>
      </c>
      <c r="G206" s="18" cm="1">
        <f t="array" aca="1" ref="G206" ca="1">_FV(Table19[[#This Row],[Assets]],"Price")</f>
        <v>131.16999999999999</v>
      </c>
      <c r="H206" s="36">
        <f>IFERROR(VLOOKUP(Table19[[#This Row],[Assets]],Table25[#All],15,FALSE),"")</f>
        <v>62.94</v>
      </c>
      <c r="I206" s="36">
        <f>IFERROR(VLOOKUP(Table19[[#This Row],[Assets]],Table25[#All],16,FALSE),0)</f>
        <v>2.5500000000000043</v>
      </c>
      <c r="J206" s="84">
        <f ca="1">IFERROR((Table19[[#This Row],[Price]]-Table19[[#This Row],[Ave Entry]])/Table19[[#This Row],[Ave Entry]],"")</f>
        <v>1.0840482999682235</v>
      </c>
      <c r="K206" s="92">
        <f ca="1">IFERROR((Table19[[#This Row],[Price]]-Table19[[#This Row],[Ave Entry]])*Table19[[#This Row],[Num of Stocks]],0)</f>
        <v>0</v>
      </c>
      <c r="L206" s="38" cm="1">
        <f t="array" aca="1" ref="L206" ca="1">_FV(Table19[[#This Row],[Assets]],"Change (%)",TRUE)</f>
        <v>2.5086000000000001E-2</v>
      </c>
      <c r="M206" s="36">
        <f>SUMIF(Table20[Asset],Table19[[#This Row],[Assets]],Table20[realized_profit])</f>
        <v>0</v>
      </c>
      <c r="N206" s="36">
        <f>SUMIF(Table20[[#All],[Asset]],Table19[[#This Row],[Assets]],Table20[[#All],[delta_exposure]])</f>
        <v>0</v>
      </c>
      <c r="O206" s="38">
        <f ca="1">Table19[[#This Row],[Option Exposure]]/$B$6</f>
        <v>0</v>
      </c>
      <c r="P206" s="51">
        <f>SUMIF(Table25[[#All],[Assets]],Table19[[#This Row],[Assets]],Table25[[#All],[Number of stocks]])</f>
        <v>0</v>
      </c>
      <c r="Q206" s="36">
        <f ca="1">Table19[[#This Row],[Num of Stocks]]*Table19[[#This Row],[Price]]</f>
        <v>0</v>
      </c>
      <c r="R206" s="36">
        <f ca="1">Table19[[#This Row],[Stock Exposure]]+Table19[[#This Row],[Option Exposure]]</f>
        <v>0</v>
      </c>
      <c r="S206" s="108">
        <f>IFERROR(Table19[[#This Row],[Num of Stocks]]*Table19[[#This Row],[Ave Entry]],"")</f>
        <v>0</v>
      </c>
      <c r="T206" s="39">
        <f ca="1">Table19[[#This Row],[Combined Exposure]]/$C$8</f>
        <v>0</v>
      </c>
    </row>
    <row r="207" spans="1:20">
      <c r="A207" t="e" vm="284">
        <v>#VALUE!</v>
      </c>
      <c r="B207" s="13" t="str" cm="1">
        <f t="array" aca="1" ref="B207" ca="1">_FV(A207,"Ticker symbol",TRUE)</f>
        <v>NE</v>
      </c>
      <c r="C207" s="13" t="s">
        <v>31</v>
      </c>
      <c r="D207" s="13" t="s">
        <v>466</v>
      </c>
      <c r="E207" s="19" cm="1">
        <f t="array" aca="1" ref="E207" ca="1">IFERROR(_FV(A207,"Beta"),2)</f>
        <v>1.0041</v>
      </c>
      <c r="F207" s="13" t="str" cm="1">
        <f t="array" aca="1" ref="F207" ca="1">_FV(A207,"Instrument type",TRUE)</f>
        <v>Stock</v>
      </c>
      <c r="G207" s="18" cm="1">
        <f t="array" aca="1" ref="G207" ca="1">_FV(Table19[[#This Row],[Assets]],"Price")</f>
        <v>49.945</v>
      </c>
      <c r="H207" s="36">
        <f>IFERROR(VLOOKUP(Table19[[#This Row],[Assets]],Table25[#All],15,FALSE),"")</f>
        <v>31.630000000000003</v>
      </c>
      <c r="I207" s="36">
        <f>IFERROR(VLOOKUP(Table19[[#This Row],[Assets]],Table25[#All],16,FALSE),0)</f>
        <v>-80.460000000000036</v>
      </c>
      <c r="J207" s="84">
        <f ca="1">IFERROR((Table19[[#This Row],[Price]]-Table19[[#This Row],[Ave Entry]])/Table19[[#This Row],[Ave Entry]],"")</f>
        <v>0.57903888713246909</v>
      </c>
      <c r="K207" s="92">
        <f ca="1">IFERROR((Table19[[#This Row],[Price]]-Table19[[#This Row],[Ave Entry]])*Table19[[#This Row],[Num of Stocks]],0)</f>
        <v>0</v>
      </c>
      <c r="L207" s="38" cm="1">
        <f t="array" aca="1" ref="L207" ca="1">_FV(Table19[[#This Row],[Assets]],"Change (%)",TRUE)</f>
        <v>3.3150000000000002E-3</v>
      </c>
      <c r="M207" s="36">
        <f>SUMIF(Table20[Asset],Table19[[#This Row],[Assets]],Table20[realized_profit])</f>
        <v>0</v>
      </c>
      <c r="N207" s="36">
        <f>SUMIF(Table20[[#All],[Asset]],Table19[[#This Row],[Assets]],Table20[[#All],[delta_exposure]])</f>
        <v>0</v>
      </c>
      <c r="O207" s="38">
        <f ca="1">Table19[[#This Row],[Option Exposure]]/$B$6</f>
        <v>0</v>
      </c>
      <c r="P207" s="51">
        <f>SUMIF(Table25[[#All],[Assets]],Table19[[#This Row],[Assets]],Table25[[#All],[Number of stocks]])</f>
        <v>0</v>
      </c>
      <c r="Q207" s="36">
        <f ca="1">Table19[[#This Row],[Num of Stocks]]*Table19[[#This Row],[Price]]</f>
        <v>0</v>
      </c>
      <c r="R207" s="36">
        <f ca="1">Table19[[#This Row],[Stock Exposure]]+Table19[[#This Row],[Option Exposure]]</f>
        <v>0</v>
      </c>
      <c r="S207" s="108">
        <f>IFERROR(Table19[[#This Row],[Num of Stocks]]*Table19[[#This Row],[Ave Entry]],"")</f>
        <v>0</v>
      </c>
      <c r="T207" s="39">
        <f ca="1">Table19[[#This Row],[Combined Exposure]]/$C$8</f>
        <v>0</v>
      </c>
    </row>
    <row r="208" spans="1:20">
      <c r="A208" t="e" vm="116">
        <v>#VALUE!</v>
      </c>
      <c r="B208" s="13" t="str" cm="1">
        <f t="array" aca="1" ref="B208" ca="1">_FV(A208,"Ticker symbol",TRUE)</f>
        <v>MPC</v>
      </c>
      <c r="C208" s="13" t="s">
        <v>31</v>
      </c>
      <c r="D208" s="13" t="s">
        <v>127</v>
      </c>
      <c r="E208" s="19" cm="1">
        <f t="array" aca="1" ref="E208" ca="1">IFERROR(_FV(A208,"Beta"),2)</f>
        <v>0.58730000000000004</v>
      </c>
      <c r="F208" s="13" t="str" cm="1">
        <f t="array" aca="1" ref="F208" ca="1">_FV(A208,"Instrument type",TRUE)</f>
        <v>Stock</v>
      </c>
      <c r="G208" s="18" cm="1">
        <f t="array" aca="1" ref="G208" ca="1">_FV(Table19[[#This Row],[Assets]],"Price")</f>
        <v>244</v>
      </c>
      <c r="H208" s="36">
        <f>IFERROR(VLOOKUP(Table19[[#This Row],[Assets]],Table25[#All],15,FALSE),"")</f>
        <v>166.38652173913042</v>
      </c>
      <c r="I208" s="36">
        <f>IFERROR(VLOOKUP(Table19[[#This Row],[Assets]],Table25[#All],16,FALSE),0)</f>
        <v>-221.65999999999943</v>
      </c>
      <c r="J208" s="84">
        <f ca="1">IFERROR((Table19[[#This Row],[Price]]-Table19[[#This Row],[Ave Entry]])/Table19[[#This Row],[Ave Entry]],"")</f>
        <v>0.46646493627985142</v>
      </c>
      <c r="K208" s="92">
        <f ca="1">IFERROR((Table19[[#This Row],[Price]]-Table19[[#This Row],[Ave Entry]])*Table19[[#This Row],[Num of Stocks]],0)</f>
        <v>0</v>
      </c>
      <c r="L208" s="38" cm="1">
        <f t="array" aca="1" ref="L208" ca="1">_FV(Table19[[#This Row],[Assets]],"Change (%)",TRUE)</f>
        <v>3.6900000000000002E-4</v>
      </c>
      <c r="M208" s="36">
        <f>SUMIF(Table20[Asset],Table19[[#This Row],[Assets]],Table20[realized_profit])</f>
        <v>-482.00000000000006</v>
      </c>
      <c r="N208" s="36">
        <f ca="1">SUMIF(Table20[[#All],[Asset]],Table19[[#This Row],[Assets]],Table20[[#All],[delta_exposure]])</f>
        <v>0</v>
      </c>
      <c r="O208" s="98">
        <f ca="1">Table19[[#This Row],[Option Exposure]]/$B$6</f>
        <v>0</v>
      </c>
      <c r="P208" s="51">
        <f>SUMIF(Table25[[#All],[Assets]],Table19[[#This Row],[Assets]],Table25[[#All],[Number of stocks]])</f>
        <v>0</v>
      </c>
      <c r="Q208" s="36">
        <f ca="1">Table19[[#This Row],[Num of Stocks]]*Table19[[#This Row],[Price]]</f>
        <v>0</v>
      </c>
      <c r="R208" s="36">
        <f ca="1">Table19[[#This Row],[Stock Exposure]]+Table19[[#This Row],[Option Exposure]]</f>
        <v>0</v>
      </c>
      <c r="S208" s="108">
        <f>IFERROR(Table19[[#This Row],[Num of Stocks]]*Table19[[#This Row],[Ave Entry]],"")</f>
        <v>0</v>
      </c>
      <c r="T208" s="39">
        <f ca="1">Table19[[#This Row],[Combined Exposure]]/$C$8</f>
        <v>0</v>
      </c>
    </row>
    <row r="209" spans="1:20">
      <c r="A209" t="e" vm="285">
        <v>#VALUE!</v>
      </c>
      <c r="B209" s="13" t="str" cm="1">
        <f t="array" aca="1" ref="B209" ca="1">_FV(A209,"Ticker symbol",TRUE)</f>
        <v>DKS</v>
      </c>
      <c r="C209" s="13" t="s">
        <v>55</v>
      </c>
      <c r="D209" s="13" t="s">
        <v>358</v>
      </c>
      <c r="E209" s="19" cm="1">
        <f t="array" aca="1" ref="E209" ca="1">IFERROR(_FV(A209,"Beta"),2)</f>
        <v>1.2346999999999999</v>
      </c>
      <c r="F209" s="13" t="str" cm="1">
        <f t="array" aca="1" ref="F209" ca="1">_FV(A209,"Instrument type",TRUE)</f>
        <v>Stock</v>
      </c>
      <c r="G209" s="18" cm="1">
        <f t="array" aca="1" ref="G209" ca="1">_FV(Table19[[#This Row],[Assets]],"Price")</f>
        <v>193.01</v>
      </c>
      <c r="H209" s="36">
        <f>IFERROR(VLOOKUP(Table19[[#This Row],[Assets]],Table25[#All],15,FALSE),"")</f>
        <v>212.39</v>
      </c>
      <c r="I209" s="36">
        <f>IFERROR(VLOOKUP(Table19[[#This Row],[Assets]],Table25[#All],16,FALSE),0)</f>
        <v>-18.5</v>
      </c>
      <c r="J209" s="84">
        <f ca="1">IFERROR((Table19[[#This Row],[Price]]-Table19[[#This Row],[Ave Entry]])/Table19[[#This Row],[Ave Entry]],"")</f>
        <v>-9.1247233862234559E-2</v>
      </c>
      <c r="K209" s="92">
        <f ca="1">IFERROR((Table19[[#This Row],[Price]]-Table19[[#This Row],[Ave Entry]])*Table19[[#This Row],[Num of Stocks]],0)</f>
        <v>0</v>
      </c>
      <c r="L209" s="38" cm="1">
        <f t="array" aca="1" ref="L209" ca="1">_FV(Table19[[#This Row],[Assets]],"Change (%)",TRUE)</f>
        <v>-3.9220000000000001E-3</v>
      </c>
      <c r="M209" s="36">
        <f>SUMIF(Table20[Asset],Table19[[#This Row],[Assets]],Table20[realized_profit])</f>
        <v>0</v>
      </c>
      <c r="N209" s="36">
        <f>SUMIF(Table20[[#All],[Asset]],Table19[[#This Row],[Assets]],Table20[[#All],[delta_exposure]])</f>
        <v>0</v>
      </c>
      <c r="O209" s="38">
        <f ca="1">Table19[[#This Row],[Option Exposure]]/$B$6</f>
        <v>0</v>
      </c>
      <c r="P209" s="51">
        <f>SUMIF(Table25[[#All],[Assets]],Table19[[#This Row],[Assets]],Table25[[#All],[Number of stocks]])</f>
        <v>0</v>
      </c>
      <c r="Q209" s="36">
        <f ca="1">Table19[[#This Row],[Num of Stocks]]*Table19[[#This Row],[Price]]</f>
        <v>0</v>
      </c>
      <c r="R209" s="36">
        <f ca="1">Table19[[#This Row],[Stock Exposure]]+Table19[[#This Row],[Option Exposure]]</f>
        <v>0</v>
      </c>
      <c r="S209" s="108">
        <f>IFERROR(Table19[[#This Row],[Num of Stocks]]*Table19[[#This Row],[Ave Entry]],"")</f>
        <v>0</v>
      </c>
      <c r="T209" s="39">
        <f ca="1">Table19[[#This Row],[Combined Exposure]]/$C$8</f>
        <v>0</v>
      </c>
    </row>
    <row r="210" spans="1:20">
      <c r="A210" t="e" vm="286">
        <v>#VALUE!</v>
      </c>
      <c r="B210" s="13" t="str" cm="1">
        <f t="array" aca="1" ref="B210" ca="1">_FV(A210,"Ticker symbol",TRUE)</f>
        <v>KMI</v>
      </c>
      <c r="C210" s="13" t="s">
        <v>31</v>
      </c>
      <c r="D210" s="13" t="s">
        <v>119</v>
      </c>
      <c r="E210" s="19" cm="1">
        <f t="array" aca="1" ref="E210" ca="1">IFERROR(_FV(A210,"Beta"),2)</f>
        <v>0.62629999999999997</v>
      </c>
      <c r="F210" s="13" t="str" cm="1">
        <f t="array" aca="1" ref="F210" ca="1">_FV(A210,"Instrument type",TRUE)</f>
        <v>Stock</v>
      </c>
      <c r="G210" s="18" cm="1">
        <f t="array" aca="1" ref="G210" ca="1">_FV(Table19[[#This Row],[Assets]],"Price")</f>
        <v>34.005000000000003</v>
      </c>
      <c r="H210" s="36">
        <f>IFERROR(VLOOKUP(Table19[[#This Row],[Assets]],Table25[#All],15,FALSE),"")</f>
        <v>24.95</v>
      </c>
      <c r="I210" s="36">
        <f>IFERROR(VLOOKUP(Table19[[#This Row],[Assets]],Table25[#All],16,FALSE),0)</f>
        <v>18.000000000000043</v>
      </c>
      <c r="J210" s="84">
        <f ca="1">IFERROR((Table19[[#This Row],[Price]]-Table19[[#This Row],[Ave Entry]])/Table19[[#This Row],[Ave Entry]],"")</f>
        <v>0.36292585170340697</v>
      </c>
      <c r="K210" s="92">
        <f ca="1">IFERROR((Table19[[#This Row],[Price]]-Table19[[#This Row],[Ave Entry]])*Table19[[#This Row],[Num of Stocks]],0)</f>
        <v>0</v>
      </c>
      <c r="L210" s="38" cm="1">
        <f t="array" aca="1" ref="L210" ca="1">_FV(Table19[[#This Row],[Assets]],"Change (%)",TRUE)</f>
        <v>2.2100000000000002E-3</v>
      </c>
      <c r="M210" s="36">
        <f>SUMIF(Table20[Asset],Table19[[#This Row],[Assets]],Table20[realized_profit])</f>
        <v>0</v>
      </c>
      <c r="N210" s="36">
        <f>SUMIF(Table20[[#All],[Asset]],Table19[[#This Row],[Assets]],Table20[[#All],[delta_exposure]])</f>
        <v>0</v>
      </c>
      <c r="O210" s="38">
        <f ca="1">Table19[[#This Row],[Option Exposure]]/$B$6</f>
        <v>0</v>
      </c>
      <c r="P210" s="51">
        <f>SUMIF(Table25[[#All],[Assets]],Table19[[#This Row],[Assets]],Table25[[#All],[Number of stocks]])</f>
        <v>0</v>
      </c>
      <c r="Q210" s="36">
        <f ca="1">Table19[[#This Row],[Num of Stocks]]*Table19[[#This Row],[Price]]</f>
        <v>0</v>
      </c>
      <c r="R210" s="36">
        <f ca="1">Table19[[#This Row],[Stock Exposure]]+Table19[[#This Row],[Option Exposure]]</f>
        <v>0</v>
      </c>
      <c r="S210" s="108">
        <f>IFERROR(Table19[[#This Row],[Num of Stocks]]*Table19[[#This Row],[Ave Entry]],"")</f>
        <v>0</v>
      </c>
      <c r="T210" s="39">
        <f ca="1">Table19[[#This Row],[Combined Exposure]]/$C$8</f>
        <v>0</v>
      </c>
    </row>
    <row r="211" spans="1:20">
      <c r="A211" t="e" vm="287">
        <v>#VALUE!</v>
      </c>
      <c r="B211" s="13" t="str" cm="1">
        <f t="array" aca="1" ref="B211" ca="1">_FV(A211,"Ticker symbol",TRUE)</f>
        <v>EXAS</v>
      </c>
      <c r="C211" s="13" t="s">
        <v>53</v>
      </c>
      <c r="D211" s="13" t="s">
        <v>353</v>
      </c>
      <c r="E211" s="19" cm="1">
        <f t="array" aca="1" ref="E211" ca="1">IFERROR(_FV(A211,"Beta"),2)</f>
        <v>1.3858999999999999</v>
      </c>
      <c r="F211" s="13" t="str" cm="1">
        <f t="array" aca="1" ref="F211" ca="1">_FV(A211,"Instrument type",TRUE)</f>
        <v>Stock</v>
      </c>
      <c r="G211" s="18" cm="1">
        <f t="array" aca="1" ref="G211" ca="1">_FV(Table19[[#This Row],[Assets]],"Price")</f>
        <v>104.91</v>
      </c>
      <c r="H211" s="36">
        <f>IFERROR(VLOOKUP(Table19[[#This Row],[Assets]],Table25[#All],15,FALSE),"")</f>
        <v>55.39</v>
      </c>
      <c r="I211" s="36">
        <f>IFERROR(VLOOKUP(Table19[[#This Row],[Assets]],Table25[#All],16,FALSE),0)</f>
        <v>-178.19999999999993</v>
      </c>
      <c r="J211" s="84">
        <f ca="1">IFERROR((Table19[[#This Row],[Price]]-Table19[[#This Row],[Ave Entry]])/Table19[[#This Row],[Ave Entry]],"")</f>
        <v>0.89402419209243533</v>
      </c>
      <c r="K211" s="92">
        <f ca="1">IFERROR((Table19[[#This Row],[Price]]-Table19[[#This Row],[Ave Entry]])*Table19[[#This Row],[Num of Stocks]],0)</f>
        <v>0</v>
      </c>
      <c r="L211" s="38" cm="1">
        <f t="array" aca="1" ref="L211" ca="1">_FV(Table19[[#This Row],[Assets]],"Change (%)",TRUE)</f>
        <v>0</v>
      </c>
      <c r="M211" s="36">
        <f>SUMIF(Table20[Asset],Table19[[#This Row],[Assets]],Table20[realized_profit])</f>
        <v>0</v>
      </c>
      <c r="N211" s="36">
        <f>SUMIF(Table20[[#All],[Asset]],Table19[[#This Row],[Assets]],Table20[[#All],[delta_exposure]])</f>
        <v>0</v>
      </c>
      <c r="O211" s="38">
        <f ca="1">Table19[[#This Row],[Option Exposure]]/$B$6</f>
        <v>0</v>
      </c>
      <c r="P211" s="51">
        <f>SUMIF(Table25[[#All],[Assets]],Table19[[#This Row],[Assets]],Table25[[#All],[Number of stocks]])</f>
        <v>0</v>
      </c>
      <c r="Q211" s="36">
        <f ca="1">Table19[[#This Row],[Num of Stocks]]*Table19[[#This Row],[Price]]</f>
        <v>0</v>
      </c>
      <c r="R211" s="36">
        <f ca="1">Table19[[#This Row],[Stock Exposure]]+Table19[[#This Row],[Option Exposure]]</f>
        <v>0</v>
      </c>
      <c r="S211" s="108">
        <f>IFERROR(Table19[[#This Row],[Num of Stocks]]*Table19[[#This Row],[Ave Entry]],"")</f>
        <v>0</v>
      </c>
      <c r="T211" s="39">
        <f ca="1">Table19[[#This Row],[Combined Exposure]]/$C$8</f>
        <v>0</v>
      </c>
    </row>
    <row r="212" spans="1:20">
      <c r="A212" t="e" vm="131">
        <v>#VALUE!</v>
      </c>
      <c r="B212" s="13" t="str" cm="1">
        <f t="array" aca="1" ref="B212" ca="1">_FV(A212,"Ticker symbol",TRUE)</f>
        <v>INTU</v>
      </c>
      <c r="C212" s="13" t="s">
        <v>54</v>
      </c>
      <c r="D212" s="13" t="s">
        <v>457</v>
      </c>
      <c r="E212" s="19" cm="1">
        <f t="array" aca="1" ref="E212" ca="1">IFERROR(_FV(A212,"Beta"),2)</f>
        <v>1.2199</v>
      </c>
      <c r="F212" s="13" t="str" cm="1">
        <f t="array" aca="1" ref="F212" ca="1">_FV(A212,"Instrument type",TRUE)</f>
        <v>Stock</v>
      </c>
      <c r="G212" s="18" cm="1">
        <f t="array" aca="1" ref="G212" ca="1">_FV(Table19[[#This Row],[Assets]],"Price")</f>
        <v>426.42</v>
      </c>
      <c r="H212" s="36">
        <f>IFERROR(VLOOKUP(Table19[[#This Row],[Assets]],Table25[#All],15,FALSE),"")</f>
        <v>612.83000000000004</v>
      </c>
      <c r="I212" s="36">
        <f>IFERROR(VLOOKUP(Table19[[#This Row],[Assets]],Table25[#All],16,FALSE),0)</f>
        <v>-31.330000000000155</v>
      </c>
      <c r="J212" s="84">
        <f ca="1">IFERROR((Table19[[#This Row],[Price]]-Table19[[#This Row],[Ave Entry]])/Table19[[#This Row],[Ave Entry]],"")</f>
        <v>-0.30417897296150648</v>
      </c>
      <c r="K212" s="92">
        <f ca="1">IFERROR((Table19[[#This Row],[Price]]-Table19[[#This Row],[Ave Entry]])*Table19[[#This Row],[Num of Stocks]],0)</f>
        <v>0</v>
      </c>
      <c r="L212" s="38" cm="1">
        <f t="array" aca="1" ref="L212" ca="1">_FV(Table19[[#This Row],[Assets]],"Change (%)",TRUE)</f>
        <v>-1.3944000000000002E-2</v>
      </c>
      <c r="M212" s="36">
        <f>SUMIF(Table20[Asset],Table19[[#This Row],[Assets]],Table20[realized_profit])</f>
        <v>0</v>
      </c>
      <c r="N212" s="36">
        <f>SUMIF(Table20[[#All],[Asset]],Table19[[#This Row],[Assets]],Table20[[#All],[delta_exposure]])</f>
        <v>0</v>
      </c>
      <c r="O212" s="38">
        <f ca="1">Table19[[#This Row],[Option Exposure]]/$B$6</f>
        <v>0</v>
      </c>
      <c r="P212" s="51">
        <f>SUMIF(Table25[[#All],[Assets]],Table19[[#This Row],[Assets]],Table25[[#All],[Number of stocks]])</f>
        <v>0</v>
      </c>
      <c r="Q212" s="36">
        <f ca="1">Table19[[#This Row],[Num of Stocks]]*Table19[[#This Row],[Price]]</f>
        <v>0</v>
      </c>
      <c r="R212" s="36">
        <f ca="1">Table19[[#This Row],[Stock Exposure]]+Table19[[#This Row],[Option Exposure]]</f>
        <v>0</v>
      </c>
      <c r="S212" s="108">
        <f>IFERROR(Table19[[#This Row],[Num of Stocks]]*Table19[[#This Row],[Ave Entry]],"")</f>
        <v>0</v>
      </c>
      <c r="T212" s="39">
        <f ca="1">Table19[[#This Row],[Combined Exposure]]/$C$8</f>
        <v>0</v>
      </c>
    </row>
    <row r="213" spans="1:20">
      <c r="A213" t="e" vm="142">
        <v>#VALUE!</v>
      </c>
      <c r="B213" s="13" t="str" cm="1">
        <f t="array" aca="1" ref="B213" ca="1">_FV(A213,"Ticker symbol",TRUE)</f>
        <v>KGC</v>
      </c>
      <c r="C213" s="13" t="s">
        <v>133</v>
      </c>
      <c r="D213" s="13" t="s">
        <v>25</v>
      </c>
      <c r="E213" s="19" cm="1">
        <f t="array" aca="1" ref="E213" ca="1">IFERROR(_FV(A213,"Beta"),2)</f>
        <v>0.84889999999999999</v>
      </c>
      <c r="F213" s="13" t="str" cm="1">
        <f t="array" aca="1" ref="F213" ca="1">_FV(A213,"Instrument type",TRUE)</f>
        <v>Stock</v>
      </c>
      <c r="G213" s="18" cm="1">
        <f t="array" aca="1" ref="G213" ca="1">_FV(Table19[[#This Row],[Assets]],"Price")</f>
        <v>29.33</v>
      </c>
      <c r="H213" s="36">
        <f>IFERROR(VLOOKUP(Table19[[#This Row],[Assets]],Table25[#All],15,FALSE),"")</f>
        <v>9.48</v>
      </c>
      <c r="I213" s="36">
        <f>IFERROR(VLOOKUP(Table19[[#This Row],[Assets]],Table25[#All],16,FALSE),0)</f>
        <v>17.04</v>
      </c>
      <c r="J213" s="84">
        <f ca="1">IFERROR((Table19[[#This Row],[Price]]-Table19[[#This Row],[Ave Entry]])/Table19[[#This Row],[Ave Entry]],"")</f>
        <v>2.0938818565400839</v>
      </c>
      <c r="K213" s="92">
        <f ca="1">IFERROR((Table19[[#This Row],[Price]]-Table19[[#This Row],[Ave Entry]])*Table19[[#This Row],[Num of Stocks]],0)</f>
        <v>0</v>
      </c>
      <c r="L213" s="38" cm="1">
        <f t="array" aca="1" ref="L213" ca="1">_FV(Table19[[#This Row],[Assets]],"Change (%)",TRUE)</f>
        <v>5.0500999999999997E-2</v>
      </c>
      <c r="M213" s="36">
        <f>SUMIF(Table20[Asset],Table19[[#This Row],[Assets]],Table20[realized_profit])</f>
        <v>0</v>
      </c>
      <c r="N213" s="36">
        <f>SUMIF(Table20[[#All],[Asset]],Table19[[#This Row],[Assets]],Table20[[#All],[delta_exposure]])</f>
        <v>0</v>
      </c>
      <c r="O213" s="38">
        <f ca="1">Table19[[#This Row],[Option Exposure]]/$B$6</f>
        <v>0</v>
      </c>
      <c r="P213" s="51">
        <f>SUMIF(Table25[[#All],[Assets]],Table19[[#This Row],[Assets]],Table25[[#All],[Number of stocks]])</f>
        <v>0</v>
      </c>
      <c r="Q213" s="36">
        <f ca="1">Table19[[#This Row],[Num of Stocks]]*Table19[[#This Row],[Price]]</f>
        <v>0</v>
      </c>
      <c r="R213" s="36">
        <f ca="1">Table19[[#This Row],[Stock Exposure]]+Table19[[#This Row],[Option Exposure]]</f>
        <v>0</v>
      </c>
      <c r="S213" s="108">
        <f>IFERROR(Table19[[#This Row],[Num of Stocks]]*Table19[[#This Row],[Ave Entry]],"")</f>
        <v>0</v>
      </c>
      <c r="T213" s="39">
        <f ca="1">Table19[[#This Row],[Combined Exposure]]/$C$8</f>
        <v>0</v>
      </c>
    </row>
    <row r="214" spans="1:20">
      <c r="A214" t="e" vm="288">
        <v>#VALUE!</v>
      </c>
      <c r="B214" s="13" t="str" cm="1">
        <f t="array" aca="1" ref="B214" ca="1">_FV(A214,"Ticker symbol",TRUE)</f>
        <v>JXN</v>
      </c>
      <c r="C214" s="13" t="s">
        <v>54</v>
      </c>
      <c r="D214" s="13" t="s">
        <v>54</v>
      </c>
      <c r="E214" s="19" cm="1">
        <f t="array" aca="1" ref="E214" ca="1">IFERROR(_FV(A214,"Beta"),2)</f>
        <v>1.4599</v>
      </c>
      <c r="F214" s="13" t="str" cm="1">
        <f t="array" aca="1" ref="F214" ca="1">_FV(A214,"Instrument type",TRUE)</f>
        <v>Stock</v>
      </c>
      <c r="G214" s="18" cm="1">
        <f t="array" aca="1" ref="G214" ca="1">_FV(Table19[[#This Row],[Assets]],"Price")</f>
        <v>108.68</v>
      </c>
      <c r="H214" s="36">
        <f>IFERROR(VLOOKUP(Table19[[#This Row],[Assets]],Table25[#All],15,FALSE),"")</f>
        <v>82.96</v>
      </c>
      <c r="I214" s="36">
        <f>IFERROR(VLOOKUP(Table19[[#This Row],[Assets]],Table25[#All],16,FALSE),0)</f>
        <v>-0.55999999999998806</v>
      </c>
      <c r="J214" s="84">
        <f ca="1">IFERROR((Table19[[#This Row],[Price]]-Table19[[#This Row],[Ave Entry]])/Table19[[#This Row],[Ave Entry]],"")</f>
        <v>0.31002892960462891</v>
      </c>
      <c r="K214" s="92">
        <f ca="1">IFERROR((Table19[[#This Row],[Price]]-Table19[[#This Row],[Ave Entry]])*Table19[[#This Row],[Num of Stocks]],0)</f>
        <v>0</v>
      </c>
      <c r="L214" s="38" cm="1">
        <f t="array" aca="1" ref="L214" ca="1">_FV(Table19[[#This Row],[Assets]],"Change (%)",TRUE)</f>
        <v>2.0469000000000001E-2</v>
      </c>
      <c r="M214" s="36">
        <f>SUMIF(Table20[Asset],Table19[[#This Row],[Assets]],Table20[realized_profit])</f>
        <v>0</v>
      </c>
      <c r="N214" s="36">
        <f>SUMIF(Table20[[#All],[Asset]],Table19[[#This Row],[Assets]],Table20[[#All],[delta_exposure]])</f>
        <v>0</v>
      </c>
      <c r="O214" s="98">
        <f ca="1">Table19[[#This Row],[Option Exposure]]/$B$6</f>
        <v>0</v>
      </c>
      <c r="P214" s="51">
        <f>SUMIF(Table25[[#All],[Assets]],Table19[[#This Row],[Assets]],Table25[[#All],[Number of stocks]])</f>
        <v>0</v>
      </c>
      <c r="Q214" s="36">
        <f ca="1">Table19[[#This Row],[Num of Stocks]]*Table19[[#This Row],[Price]]</f>
        <v>0</v>
      </c>
      <c r="R214" s="36">
        <f ca="1">Table19[[#This Row],[Stock Exposure]]+Table19[[#This Row],[Option Exposure]]</f>
        <v>0</v>
      </c>
      <c r="S214" s="108">
        <f>IFERROR(Table19[[#This Row],[Num of Stocks]]*Table19[[#This Row],[Ave Entry]],"")</f>
        <v>0</v>
      </c>
      <c r="T214" s="39">
        <f ca="1">Table19[[#This Row],[Combined Exposure]]/$C$8</f>
        <v>0</v>
      </c>
    </row>
    <row r="215" spans="1:20">
      <c r="A215" t="e" vm="289">
        <v>#VALUE!</v>
      </c>
      <c r="B215" s="13" t="str" cm="1">
        <f t="array" aca="1" ref="B215" ca="1">_FV(A215,"Ticker symbol",TRUE)</f>
        <v>CRL</v>
      </c>
      <c r="C215" s="13" t="s">
        <v>53</v>
      </c>
      <c r="D215" s="13" t="s">
        <v>53</v>
      </c>
      <c r="E215" s="19" cm="1">
        <f t="array" aca="1" ref="E215" ca="1">IFERROR(_FV(A215,"Beta"),2)</f>
        <v>1.6578999999999999</v>
      </c>
      <c r="F215" s="13" t="str" cm="1">
        <f t="array" aca="1" ref="F215" ca="1">_FV(A215,"Instrument type",TRUE)</f>
        <v>Stock</v>
      </c>
      <c r="G215" s="18" cm="1">
        <f t="array" aca="1" ref="G215" ca="1">_FV(Table19[[#This Row],[Assets]],"Price")</f>
        <v>163.5</v>
      </c>
      <c r="H215" s="36">
        <f>IFERROR(VLOOKUP(Table19[[#This Row],[Assets]],Table25[#All],15,FALSE),"")</f>
        <v>138.91999999999999</v>
      </c>
      <c r="I215" s="36">
        <f>IFERROR(VLOOKUP(Table19[[#This Row],[Assets]],Table25[#All],16,FALSE),0)</f>
        <v>250.04000000000008</v>
      </c>
      <c r="J215" s="84">
        <f ca="1">IFERROR((Table19[[#This Row],[Price]]-Table19[[#This Row],[Ave Entry]])/Table19[[#This Row],[Ave Entry]],"")</f>
        <v>0.17693636625395923</v>
      </c>
      <c r="K215" s="92">
        <f ca="1">IFERROR((Table19[[#This Row],[Price]]-Table19[[#This Row],[Ave Entry]])*Table19[[#This Row],[Num of Stocks]],0)</f>
        <v>0</v>
      </c>
      <c r="L215" s="38" cm="1">
        <f t="array" aca="1" ref="L215" ca="1">_FV(Table19[[#This Row],[Assets]],"Change (%)",TRUE)</f>
        <v>2.7075000000000002E-2</v>
      </c>
      <c r="M215" s="36">
        <f>SUMIF(Table20[Asset],Table19[[#This Row],[Assets]],Table20[realized_profit])</f>
        <v>0</v>
      </c>
      <c r="N215" s="36">
        <f>SUMIF(Table20[[#All],[Asset]],Table19[[#This Row],[Assets]],Table20[[#All],[delta_exposure]])</f>
        <v>0</v>
      </c>
      <c r="O215" s="38">
        <f ca="1">Table19[[#This Row],[Option Exposure]]/$B$6</f>
        <v>0</v>
      </c>
      <c r="P215" s="51">
        <f>SUMIF(Table25[[#All],[Assets]],Table19[[#This Row],[Assets]],Table25[[#All],[Number of stocks]])</f>
        <v>0</v>
      </c>
      <c r="Q215" s="36">
        <f ca="1">Table19[[#This Row],[Num of Stocks]]*Table19[[#This Row],[Price]]</f>
        <v>0</v>
      </c>
      <c r="R215" s="36">
        <f ca="1">Table19[[#This Row],[Stock Exposure]]+Table19[[#This Row],[Option Exposure]]</f>
        <v>0</v>
      </c>
      <c r="S215" s="108">
        <f>IFERROR(Table19[[#This Row],[Num of Stocks]]*Table19[[#This Row],[Ave Entry]],"")</f>
        <v>0</v>
      </c>
      <c r="T215" s="39">
        <f ca="1">Table19[[#This Row],[Combined Exposure]]/$C$8</f>
        <v>0</v>
      </c>
    </row>
    <row r="216" spans="1:20">
      <c r="A216" t="e" vm="290">
        <v>#VALUE!</v>
      </c>
      <c r="B216" s="13" t="str" cm="1">
        <f t="array" aca="1" ref="B216" ca="1">_FV(A216,"Ticker symbol",TRUE)</f>
        <v>O</v>
      </c>
      <c r="C216" s="13" t="s">
        <v>132</v>
      </c>
      <c r="D216" s="13" t="s">
        <v>132</v>
      </c>
      <c r="E216" s="19" cm="1">
        <f t="array" aca="1" ref="E216" ca="1">IFERROR(_FV(A216,"Beta"),2)</f>
        <v>0.79710000000000003</v>
      </c>
      <c r="F216" s="13" t="str" cm="1">
        <f t="array" aca="1" ref="F216" ca="1">_FV(A216,"Instrument type",TRUE)</f>
        <v>Stock</v>
      </c>
      <c r="G216" s="18" cm="1">
        <f t="array" aca="1" ref="G216" ca="1">_FV(Table19[[#This Row],[Assets]],"Price")</f>
        <v>60.14</v>
      </c>
      <c r="H216" s="36">
        <f>IFERROR(VLOOKUP(Table19[[#This Row],[Assets]],Table25[#All],15,FALSE),"")</f>
        <v>51.93</v>
      </c>
      <c r="I216" s="36">
        <f>IFERROR(VLOOKUP(Table19[[#This Row],[Assets]],Table25[#All],16,FALSE),0)</f>
        <v>42.260000000000062</v>
      </c>
      <c r="J216" s="84">
        <f ca="1">IFERROR((Table19[[#This Row],[Price]]-Table19[[#This Row],[Ave Entry]])/Table19[[#This Row],[Ave Entry]],"")</f>
        <v>0.15809743886000388</v>
      </c>
      <c r="K216" s="92">
        <f ca="1">IFERROR((Table19[[#This Row],[Price]]-Table19[[#This Row],[Ave Entry]])*Table19[[#This Row],[Num of Stocks]],0)</f>
        <v>0</v>
      </c>
      <c r="L216" s="38" cm="1">
        <f t="array" aca="1" ref="L216" ca="1">_FV(Table19[[#This Row],[Assets]],"Change (%)",TRUE)</f>
        <v>-5.293E-3</v>
      </c>
      <c r="M216" s="36">
        <f>SUMIF(Table20[Asset],Table19[[#This Row],[Assets]],Table20[realized_profit])</f>
        <v>0</v>
      </c>
      <c r="N216" s="36">
        <f>SUMIF(Table20[[#All],[Asset]],Table19[[#This Row],[Assets]],Table20[[#All],[delta_exposure]])</f>
        <v>0</v>
      </c>
      <c r="O216" s="98">
        <f ca="1">Table19[[#This Row],[Option Exposure]]/$B$6</f>
        <v>0</v>
      </c>
      <c r="P216" s="51">
        <f>SUMIF(Table25[[#All],[Assets]],Table19[[#This Row],[Assets]],Table25[[#All],[Number of stocks]])</f>
        <v>0</v>
      </c>
      <c r="Q216" s="36">
        <f ca="1">Table19[[#This Row],[Num of Stocks]]*Table19[[#This Row],[Price]]</f>
        <v>0</v>
      </c>
      <c r="R216" s="36">
        <f ca="1">Table19[[#This Row],[Stock Exposure]]+Table19[[#This Row],[Option Exposure]]</f>
        <v>0</v>
      </c>
      <c r="S216" s="108">
        <f>IFERROR(Table19[[#This Row],[Num of Stocks]]*Table19[[#This Row],[Ave Entry]],"")</f>
        <v>0</v>
      </c>
      <c r="T216" s="39">
        <f ca="1">Table19[[#This Row],[Combined Exposure]]/$C$8</f>
        <v>0</v>
      </c>
    </row>
    <row r="217" spans="1:20">
      <c r="A217" t="e" vm="291">
        <v>#VALUE!</v>
      </c>
      <c r="B217" s="13" t="str" cm="1">
        <f t="array" aca="1" ref="B217" ca="1">_FV(A217,"Ticker symbol",TRUE)</f>
        <v>HIMS</v>
      </c>
      <c r="C217" s="13" t="s">
        <v>53</v>
      </c>
      <c r="D217" s="13" t="s">
        <v>53</v>
      </c>
      <c r="E217" s="19" cm="1">
        <f t="array" aca="1" ref="E217" ca="1">IFERROR(_FV(A217,"Beta"),2)</f>
        <v>2.3180999999999998</v>
      </c>
      <c r="F217" s="13" t="str" cm="1">
        <f t="array" aca="1" ref="F217" ca="1">_FV(A217,"Instrument type",TRUE)</f>
        <v>Stock</v>
      </c>
      <c r="G217" s="18" cm="1">
        <f t="array" aca="1" ref="G217" ca="1">_FV(Table19[[#This Row],[Assets]],"Price")</f>
        <v>21.164999999999999</v>
      </c>
      <c r="H217" s="36">
        <f>IFERROR(VLOOKUP(Table19[[#This Row],[Assets]],Table25[#All],15,FALSE),"")</f>
        <v>47.88</v>
      </c>
      <c r="I217" s="36">
        <f>IFERROR(VLOOKUP(Table19[[#This Row],[Assets]],Table25[#All],16,FALSE),0)</f>
        <v>62.939999999999969</v>
      </c>
      <c r="J217" s="84">
        <f ca="1">IFERROR((Table19[[#This Row],[Price]]-Table19[[#This Row],[Ave Entry]])/Table19[[#This Row],[Ave Entry]],"")</f>
        <v>-0.55795739348370932</v>
      </c>
      <c r="K217" s="92">
        <f ca="1">IFERROR((Table19[[#This Row],[Price]]-Table19[[#This Row],[Ave Entry]])*Table19[[#This Row],[Num of Stocks]],0)</f>
        <v>0</v>
      </c>
      <c r="L217" s="38" cm="1">
        <f t="array" aca="1" ref="L217" ca="1">_FV(Table19[[#This Row],[Assets]],"Change (%)",TRUE)</f>
        <v>-8.201E-3</v>
      </c>
      <c r="M217" s="36">
        <f>SUMIF(Table20[Asset],Table19[[#This Row],[Assets]],Table20[realized_profit])</f>
        <v>-110.00000000000001</v>
      </c>
      <c r="N217" s="36">
        <f ca="1">SUMIF(Table20[[#All],[Asset]],Table19[[#This Row],[Assets]],Table20[[#All],[delta_exposure]])</f>
        <v>0</v>
      </c>
      <c r="O217" s="38">
        <f ca="1">Table19[[#This Row],[Option Exposure]]/$B$6</f>
        <v>0</v>
      </c>
      <c r="P217" s="51">
        <f>SUMIF(Table25[[#All],[Assets]],Table19[[#This Row],[Assets]],Table25[[#All],[Number of stocks]])</f>
        <v>0</v>
      </c>
      <c r="Q217" s="36">
        <f ca="1">Table19[[#This Row],[Num of Stocks]]*Table19[[#This Row],[Price]]</f>
        <v>0</v>
      </c>
      <c r="R217" s="36">
        <f ca="1">Table19[[#This Row],[Stock Exposure]]+Table19[[#This Row],[Option Exposure]]</f>
        <v>0</v>
      </c>
      <c r="S217" s="108">
        <f>IFERROR(Table19[[#This Row],[Num of Stocks]]*Table19[[#This Row],[Ave Entry]],"")</f>
        <v>0</v>
      </c>
      <c r="T217" s="39">
        <f ca="1">Table19[[#This Row],[Combined Exposure]]/$C$8</f>
        <v>0</v>
      </c>
    </row>
    <row r="218" spans="1:20">
      <c r="A218" t="e" vm="166">
        <v>#VALUE!</v>
      </c>
      <c r="B218" s="13" t="str" cm="1">
        <f t="array" aca="1" ref="B218" ca="1">_FV(A218,"Ticker symbol",TRUE)</f>
        <v>RIVN</v>
      </c>
      <c r="C218" s="13" t="s">
        <v>120</v>
      </c>
      <c r="D218" s="13" t="s">
        <v>120</v>
      </c>
      <c r="E218" s="19" cm="1">
        <f t="array" aca="1" ref="E218" ca="1">IFERROR(_FV(A218,"Beta"),2)</f>
        <v>1.6623000000000001</v>
      </c>
      <c r="F218" s="13" t="str" cm="1">
        <f t="array" aca="1" ref="F218" ca="1">_FV(A218,"Instrument type",TRUE)</f>
        <v>Stock</v>
      </c>
      <c r="G218" s="18" cm="1">
        <f t="array" aca="1" ref="G218" ca="1">_FV(Table19[[#This Row],[Assets]],"Price")</f>
        <v>16.085000000000001</v>
      </c>
      <c r="H218" s="36" t="str">
        <f>IFERROR(VLOOKUP(Table19[[#This Row],[Assets]],Table25[#All],15,FALSE),"")</f>
        <v/>
      </c>
      <c r="I218" s="36">
        <f>IFERROR(VLOOKUP(Table19[[#This Row],[Assets]],Table25[#All],16,FALSE),0)</f>
        <v>0</v>
      </c>
      <c r="J218" s="84" t="str">
        <f ca="1">IFERROR((Table19[[#This Row],[Price]]-Table19[[#This Row],[Ave Entry]])/Table19[[#This Row],[Ave Entry]],"")</f>
        <v/>
      </c>
      <c r="K218" s="92">
        <f ca="1">IFERROR((Table19[[#This Row],[Price]]-Table19[[#This Row],[Ave Entry]])*Table19[[#This Row],[Num of Stocks]],0)</f>
        <v>0</v>
      </c>
      <c r="L218" s="38" cm="1">
        <f t="array" aca="1" ref="L218" ca="1">_FV(Table19[[#This Row],[Assets]],"Change (%)",TRUE)</f>
        <v>-9.3170000000000004E-4</v>
      </c>
      <c r="M218" s="36">
        <f>SUMIF(Table20[Asset],Table19[[#This Row],[Assets]],Table20[realized_profit])</f>
        <v>0</v>
      </c>
      <c r="N218" s="36">
        <f>SUMIF(Table20[[#All],[Asset]],Table19[[#This Row],[Assets]],Table20[[#All],[delta_exposure]])</f>
        <v>0</v>
      </c>
      <c r="O218" s="38">
        <f ca="1">Table19[[#This Row],[Option Exposure]]/$B$6</f>
        <v>0</v>
      </c>
      <c r="P218" s="51">
        <f>SUMIF(Table25[[#All],[Assets]],Table19[[#This Row],[Assets]],Table25[[#All],[Number of stocks]])</f>
        <v>0</v>
      </c>
      <c r="Q218" s="36">
        <f ca="1">Table19[[#This Row],[Num of Stocks]]*Table19[[#This Row],[Price]]</f>
        <v>0</v>
      </c>
      <c r="R218" s="36">
        <f ca="1">Table19[[#This Row],[Stock Exposure]]+Table19[[#This Row],[Option Exposure]]</f>
        <v>0</v>
      </c>
      <c r="S218" s="108" t="str">
        <f>IFERROR(Table19[[#This Row],[Num of Stocks]]*Table19[[#This Row],[Ave Entry]],"")</f>
        <v/>
      </c>
      <c r="T218" s="39">
        <f ca="1">Table19[[#This Row],[Combined Exposure]]/$C$8</f>
        <v>0</v>
      </c>
    </row>
    <row r="219" spans="1:20">
      <c r="A219" t="e" vm="292">
        <v>#VALUE!</v>
      </c>
      <c r="B219" s="13" t="str" cm="1">
        <f t="array" aca="1" ref="B219" ca="1">_FV(A219,"Ticker symbol",TRUE)</f>
        <v>DXYZ</v>
      </c>
      <c r="C219" s="13" t="s">
        <v>38</v>
      </c>
      <c r="D219" s="13" t="s">
        <v>29</v>
      </c>
      <c r="E219" s="19" cm="1">
        <f t="array" ref="E219">IFERROR(_FV(A219,"Beta"),2)</f>
        <v>2</v>
      </c>
      <c r="F219" s="13" t="str" cm="1">
        <f t="array" aca="1" ref="F219" ca="1">_FV(A219,"Instrument type",TRUE)</f>
        <v>Stock</v>
      </c>
      <c r="G219" s="18" cm="1">
        <f t="array" aca="1" ref="G219" ca="1">_FV(Table19[[#This Row],[Assets]],"Price")</f>
        <v>33.648000000000003</v>
      </c>
      <c r="H219" s="36" t="str">
        <f>IFERROR(VLOOKUP(Table19[[#This Row],[Assets]],Table25[#All],15,FALSE),"")</f>
        <v/>
      </c>
      <c r="I219" s="36">
        <f>IFERROR(VLOOKUP(Table19[[#This Row],[Assets]],Table25[#All],16,FALSE),0)</f>
        <v>0</v>
      </c>
      <c r="J219" s="84" t="str">
        <f ca="1">IFERROR((Table19[[#This Row],[Price]]-Table19[[#This Row],[Ave Entry]])/Table19[[#This Row],[Ave Entry]],"")</f>
        <v/>
      </c>
      <c r="K219" s="92">
        <f ca="1">IFERROR((Table19[[#This Row],[Price]]-Table19[[#This Row],[Ave Entry]])*Table19[[#This Row],[Num of Stocks]],0)</f>
        <v>0</v>
      </c>
      <c r="L219" s="38" cm="1">
        <f t="array" aca="1" ref="L219" ca="1">_FV(Table19[[#This Row],[Assets]],"Change (%)",TRUE)</f>
        <v>0.26877800000000002</v>
      </c>
      <c r="M219" s="36">
        <f>SUMIF(Table20[Asset],Table19[[#This Row],[Assets]],Table20[realized_profit])</f>
        <v>0</v>
      </c>
      <c r="N219" s="36">
        <f>SUMIF(Table20[[#All],[Asset]],Table19[[#This Row],[Assets]],Table20[[#All],[delta_exposure]])</f>
        <v>0</v>
      </c>
      <c r="O219" s="38">
        <f ca="1">Table19[[#This Row],[Option Exposure]]/$B$6</f>
        <v>0</v>
      </c>
      <c r="P219" s="51">
        <f>SUMIF(Table25[[#All],[Assets]],Table19[[#This Row],[Assets]],Table25[[#All],[Number of stocks]])</f>
        <v>0</v>
      </c>
      <c r="Q219" s="36">
        <f ca="1">Table19[[#This Row],[Num of Stocks]]*Table19[[#This Row],[Price]]</f>
        <v>0</v>
      </c>
      <c r="R219" s="36">
        <f ca="1">Table19[[#This Row],[Stock Exposure]]+Table19[[#This Row],[Option Exposure]]</f>
        <v>0</v>
      </c>
      <c r="S219" s="108" t="str">
        <f>IFERROR(Table19[[#This Row],[Num of Stocks]]*Table19[[#This Row],[Ave Entry]],"")</f>
        <v/>
      </c>
      <c r="T219" s="39">
        <f ca="1">Table19[[#This Row],[Combined Exposure]]/$C$8</f>
        <v>0</v>
      </c>
    </row>
    <row r="220" spans="1:20">
      <c r="A220" t="e" vm="293">
        <v>#VALUE!</v>
      </c>
      <c r="B220" s="13" t="str" cm="1">
        <f t="array" aca="1" ref="B220" ca="1">_FV(A220,"Ticker symbol",TRUE)</f>
        <v>TTEK</v>
      </c>
      <c r="C220" s="13" t="s">
        <v>134</v>
      </c>
      <c r="D220" s="13" t="s">
        <v>56</v>
      </c>
      <c r="E220" s="19" cm="1">
        <f t="array" aca="1" ref="E220" ca="1">IFERROR(_FV(A220,"Beta"),2)</f>
        <v>0.95599999999999996</v>
      </c>
      <c r="F220" s="13" t="str" cm="1">
        <f t="array" aca="1" ref="F220" ca="1">_FV(A220,"Instrument type",TRUE)</f>
        <v>Stock</v>
      </c>
      <c r="G220" s="18" cm="1">
        <f t="array" aca="1" ref="G220" ca="1">_FV(Table19[[#This Row],[Assets]],"Price")</f>
        <v>31.465</v>
      </c>
      <c r="H220" s="36">
        <f>IFERROR(VLOOKUP(Table19[[#This Row],[Assets]],Table25[#All],15,FALSE),"")</f>
        <v>198.41</v>
      </c>
      <c r="I220" s="36">
        <f>IFERROR(VLOOKUP(Table19[[#This Row],[Assets]],Table25[#All],16,FALSE),0)</f>
        <v>29.699999999999989</v>
      </c>
      <c r="J220" s="84">
        <f ca="1">IFERROR((Table19[[#This Row],[Price]]-Table19[[#This Row],[Ave Entry]])/Table19[[#This Row],[Ave Entry]],"")</f>
        <v>-0.84141424323370795</v>
      </c>
      <c r="K220" s="92">
        <f ca="1">IFERROR((Table19[[#This Row],[Price]]-Table19[[#This Row],[Ave Entry]])*Table19[[#This Row],[Num of Stocks]],0)</f>
        <v>0</v>
      </c>
      <c r="L220" s="38" cm="1">
        <f t="array" aca="1" ref="L220" ca="1">_FV(Table19[[#This Row],[Assets]],"Change (%)",TRUE)</f>
        <v>-6.1590000000000004E-3</v>
      </c>
      <c r="M220" s="36">
        <f>SUMIF(Table20[Asset],Table19[[#This Row],[Assets]],Table20[realized_profit])</f>
        <v>0</v>
      </c>
      <c r="N220" s="36">
        <f>SUMIF(Table20[[#All],[Asset]],Table19[[#This Row],[Assets]],Table20[[#All],[delta_exposure]])</f>
        <v>0</v>
      </c>
      <c r="O220" s="98">
        <f ca="1">Table19[[#This Row],[Option Exposure]]/$B$6</f>
        <v>0</v>
      </c>
      <c r="P220" s="51">
        <f>SUMIF(Table25[[#All],[Assets]],Table19[[#This Row],[Assets]],Table25[[#All],[Number of stocks]])</f>
        <v>0</v>
      </c>
      <c r="Q220" s="36">
        <f ca="1">Table19[[#This Row],[Num of Stocks]]*Table19[[#This Row],[Price]]</f>
        <v>0</v>
      </c>
      <c r="R220" s="36">
        <f ca="1">Table19[[#This Row],[Stock Exposure]]+Table19[[#This Row],[Option Exposure]]</f>
        <v>0</v>
      </c>
      <c r="S220" s="108">
        <f>IFERROR(Table19[[#This Row],[Num of Stocks]]*Table19[[#This Row],[Ave Entry]],"")</f>
        <v>0</v>
      </c>
      <c r="T220" s="39">
        <f ca="1">Table19[[#This Row],[Combined Exposure]]/$C$8</f>
        <v>0</v>
      </c>
    </row>
    <row r="221" spans="1:20">
      <c r="A221" t="e" vm="294">
        <v>#VALUE!</v>
      </c>
      <c r="B221" s="13" t="str" cm="1">
        <f t="array" aca="1" ref="B221" ca="1">_FV(A221,"Ticker symbol",TRUE)</f>
        <v>ALT</v>
      </c>
      <c r="C221" s="13" t="s">
        <v>53</v>
      </c>
      <c r="D221" s="13" t="s">
        <v>560</v>
      </c>
      <c r="E221" s="19" cm="1">
        <f t="array" aca="1" ref="E221" ca="1">IFERROR(_FV(A221,"Beta"),2)</f>
        <v>0.30969999999999998</v>
      </c>
      <c r="F221" s="13" t="str" cm="1">
        <f t="array" aca="1" ref="F221" ca="1">_FV(A221,"Instrument type",TRUE)</f>
        <v>Stock</v>
      </c>
      <c r="G221" s="18" cm="1">
        <f t="array" aca="1" ref="G221" ca="1">_FV(Table19[[#This Row],[Assets]],"Price")</f>
        <v>3.34</v>
      </c>
      <c r="H221" s="36" t="str">
        <f>IFERROR(VLOOKUP(Table19[[#This Row],[Assets]],Table25[#All],15,FALSE),"")</f>
        <v/>
      </c>
      <c r="I221" s="36">
        <f>IFERROR(VLOOKUP(Table19[[#This Row],[Assets]],Table25[#All],16,FALSE),0)</f>
        <v>0</v>
      </c>
      <c r="J221" s="84" t="str">
        <f ca="1">IFERROR((Table19[[#This Row],[Price]]-Table19[[#This Row],[Ave Entry]])/Table19[[#This Row],[Ave Entry]],"")</f>
        <v/>
      </c>
      <c r="K221" s="92">
        <f ca="1">IFERROR((Table19[[#This Row],[Price]]-Table19[[#This Row],[Ave Entry]])*Table19[[#This Row],[Num of Stocks]],0)</f>
        <v>0</v>
      </c>
      <c r="L221" s="38" cm="1">
        <f t="array" aca="1" ref="L221" ca="1">_FV(Table19[[#This Row],[Assets]],"Change (%)",TRUE)</f>
        <v>3.0863999999999999E-2</v>
      </c>
      <c r="M221" s="36">
        <f>SUMIF(Table20[Asset],Table19[[#This Row],[Assets]],Table20[realized_profit])</f>
        <v>0</v>
      </c>
      <c r="N221" s="36">
        <f>SUMIF(Table20[[#All],[Asset]],Table19[[#This Row],[Assets]],Table20[[#All],[delta_exposure]])</f>
        <v>0</v>
      </c>
      <c r="O221" s="38">
        <f ca="1">Table19[[#This Row],[Option Exposure]]/$B$6</f>
        <v>0</v>
      </c>
      <c r="P221" s="51">
        <f>SUMIF(Table25[[#All],[Assets]],Table19[[#This Row],[Assets]],Table25[[#All],[Number of stocks]])</f>
        <v>0</v>
      </c>
      <c r="Q221" s="36">
        <f ca="1">Table19[[#This Row],[Num of Stocks]]*Table19[[#This Row],[Price]]</f>
        <v>0</v>
      </c>
      <c r="R221" s="36">
        <f ca="1">Table19[[#This Row],[Stock Exposure]]+Table19[[#This Row],[Option Exposure]]</f>
        <v>0</v>
      </c>
      <c r="S221" s="108" t="str">
        <f>IFERROR(Table19[[#This Row],[Num of Stocks]]*Table19[[#This Row],[Ave Entry]],"")</f>
        <v/>
      </c>
      <c r="T221" s="39">
        <f ca="1">Table19[[#This Row],[Combined Exposure]]/$C$8</f>
        <v>0</v>
      </c>
    </row>
    <row r="222" spans="1:20">
      <c r="A222" t="e" vm="295">
        <v>#VALUE!</v>
      </c>
      <c r="B222" s="13" t="str" cm="1">
        <f t="array" aca="1" ref="B222" ca="1">_FV(A222,"Ticker symbol",TRUE)</f>
        <v>MCHP</v>
      </c>
      <c r="C222" s="13" t="s">
        <v>84</v>
      </c>
      <c r="D222" s="13" t="s">
        <v>84</v>
      </c>
      <c r="E222" s="19" cm="1">
        <f t="array" aca="1" ref="E222" ca="1">IFERROR(_FV(A222,"Beta"),2)</f>
        <v>1.4683999999999999</v>
      </c>
      <c r="F222" s="13" t="str" cm="1">
        <f t="array" aca="1" ref="F222" ca="1">_FV(A222,"Instrument type",TRUE)</f>
        <v>Stock</v>
      </c>
      <c r="G222" s="18" cm="1">
        <f t="array" aca="1" ref="G222" ca="1">_FV(Table19[[#This Row],[Assets]],"Price")</f>
        <v>67.400000000000006</v>
      </c>
      <c r="H222" s="36">
        <f>IFERROR(VLOOKUP(Table19[[#This Row],[Assets]],Table25[#All],15,FALSE),"")</f>
        <v>55.489999999999995</v>
      </c>
      <c r="I222" s="36">
        <f>IFERROR(VLOOKUP(Table19[[#This Row],[Assets]],Table25[#All],16,FALSE),0)</f>
        <v>7.1500000000001762</v>
      </c>
      <c r="J222" s="84">
        <f ca="1">IFERROR((Table19[[#This Row],[Price]]-Table19[[#This Row],[Ave Entry]])/Table19[[#This Row],[Ave Entry]],"")</f>
        <v>0.21463326725536155</v>
      </c>
      <c r="K222" s="92">
        <f ca="1">IFERROR((Table19[[#This Row],[Price]]-Table19[[#This Row],[Ave Entry]])*Table19[[#This Row],[Num of Stocks]],0)</f>
        <v>0</v>
      </c>
      <c r="L222" s="38" cm="1">
        <f t="array" aca="1" ref="L222" ca="1">_FV(Table19[[#This Row],[Assets]],"Change (%)",TRUE)</f>
        <v>2.6969E-2</v>
      </c>
      <c r="M222" s="36">
        <f>SUMIF(Table20[Asset],Table19[[#This Row],[Assets]],Table20[realized_profit])</f>
        <v>0</v>
      </c>
      <c r="N222" s="36">
        <f>SUMIF(Table20[[#All],[Asset]],Table19[[#This Row],[Assets]],Table20[[#All],[delta_exposure]])</f>
        <v>0</v>
      </c>
      <c r="O222" s="38">
        <f ca="1">Table19[[#This Row],[Option Exposure]]/$B$6</f>
        <v>0</v>
      </c>
      <c r="P222" s="51">
        <f>SUMIF(Table25[[#All],[Assets]],Table19[[#This Row],[Assets]],Table25[[#All],[Number of stocks]])</f>
        <v>0</v>
      </c>
      <c r="Q222" s="36">
        <f ca="1">Table19[[#This Row],[Num of Stocks]]*Table19[[#This Row],[Price]]</f>
        <v>0</v>
      </c>
      <c r="R222" s="36">
        <f ca="1">Table19[[#This Row],[Stock Exposure]]+Table19[[#This Row],[Option Exposure]]</f>
        <v>0</v>
      </c>
      <c r="S222" s="108">
        <f>IFERROR(Table19[[#This Row],[Num of Stocks]]*Table19[[#This Row],[Ave Entry]],"")</f>
        <v>0</v>
      </c>
      <c r="T222" s="39">
        <f ca="1">Table19[[#This Row],[Combined Exposure]]/$C$8</f>
        <v>0</v>
      </c>
    </row>
    <row r="223" spans="1:20">
      <c r="A223" t="e" vm="296">
        <v>#VALUE!</v>
      </c>
      <c r="B223" s="13" t="str" cm="1">
        <f t="array" aca="1" ref="B223" ca="1">_FV(A223,"Ticker symbol",TRUE)</f>
        <v>RPAY</v>
      </c>
      <c r="C223" s="13" t="s">
        <v>54</v>
      </c>
      <c r="D223" s="13" t="s">
        <v>457</v>
      </c>
      <c r="E223" s="19" cm="1">
        <f t="array" aca="1" ref="E223" ca="1">IFERROR(_FV(A223,"Beta"),2)</f>
        <v>1.5671999999999999</v>
      </c>
      <c r="F223" s="13" t="str" cm="1">
        <f t="array" aca="1" ref="F223" ca="1">_FV(A223,"Instrument type",TRUE)</f>
        <v>Stock</v>
      </c>
      <c r="G223" s="18" cm="1">
        <f t="array" aca="1" ref="G223" ca="1">_FV(Table19[[#This Row],[Assets]],"Price")</f>
        <v>2.875</v>
      </c>
      <c r="H223" s="36" t="str">
        <f>IFERROR(VLOOKUP(Table19[[#This Row],[Assets]],Table25[#All],15,FALSE),"")</f>
        <v/>
      </c>
      <c r="I223" s="36">
        <f>IFERROR(VLOOKUP(Table19[[#This Row],[Assets]],Table25[#All],16,FALSE),0)</f>
        <v>0</v>
      </c>
      <c r="J223" s="84" t="str">
        <f ca="1">IFERROR((Table19[[#This Row],[Price]]-Table19[[#This Row],[Ave Entry]])/Table19[[#This Row],[Ave Entry]],"")</f>
        <v/>
      </c>
      <c r="K223" s="92">
        <f ca="1">IFERROR((Table19[[#This Row],[Price]]-Table19[[#This Row],[Ave Entry]])*Table19[[#This Row],[Num of Stocks]],0)</f>
        <v>0</v>
      </c>
      <c r="L223" s="38" cm="1">
        <f t="array" aca="1" ref="L223" ca="1">_FV(Table19[[#This Row],[Assets]],"Change (%)",TRUE)</f>
        <v>3.7906000000000002E-2</v>
      </c>
      <c r="M223" s="36">
        <f>SUMIF(Table20[Asset],Table19[[#This Row],[Assets]],Table20[realized_profit])</f>
        <v>0</v>
      </c>
      <c r="N223" s="36">
        <f>SUMIF(Table20[[#All],[Asset]],Table19[[#This Row],[Assets]],Table20[[#All],[delta_exposure]])</f>
        <v>0</v>
      </c>
      <c r="O223" s="38">
        <f ca="1">Table19[[#This Row],[Option Exposure]]/$B$6</f>
        <v>0</v>
      </c>
      <c r="P223" s="51">
        <f>SUMIF(Table25[[#All],[Assets]],Table19[[#This Row],[Assets]],Table25[[#All],[Number of stocks]])</f>
        <v>0</v>
      </c>
      <c r="Q223" s="36">
        <f ca="1">Table19[[#This Row],[Num of Stocks]]*Table19[[#This Row],[Price]]</f>
        <v>0</v>
      </c>
      <c r="R223" s="36">
        <f ca="1">Table19[[#This Row],[Stock Exposure]]+Table19[[#This Row],[Option Exposure]]</f>
        <v>0</v>
      </c>
      <c r="S223" s="108" t="str">
        <f>IFERROR(Table19[[#This Row],[Num of Stocks]]*Table19[[#This Row],[Ave Entry]],"")</f>
        <v/>
      </c>
      <c r="T223" s="39">
        <f ca="1">Table19[[#This Row],[Combined Exposure]]/$C$8</f>
        <v>0</v>
      </c>
    </row>
    <row r="224" spans="1:20">
      <c r="A224" t="e" vm="297">
        <v>#VALUE!</v>
      </c>
      <c r="B224" s="13" t="str" cm="1">
        <f t="array" aca="1" ref="B224" ca="1">_FV(A224,"Ticker symbol",TRUE)</f>
        <v>LAB</v>
      </c>
      <c r="C224" s="13" t="s">
        <v>53</v>
      </c>
      <c r="D224" s="13" t="s">
        <v>311</v>
      </c>
      <c r="E224" s="19" cm="1">
        <f t="array" aca="1" ref="E224" ca="1">IFERROR(_FV(A224,"Beta"),2)</f>
        <v>1.409</v>
      </c>
      <c r="F224" s="13" t="str" cm="1">
        <f t="array" aca="1" ref="F224" ca="1">_FV(A224,"Instrument type",TRUE)</f>
        <v>Stock</v>
      </c>
      <c r="G224" s="18" cm="1">
        <f t="array" aca="1" ref="G224" ca="1">_FV(Table19[[#This Row],[Assets]],"Price")</f>
        <v>0.97209999999999996</v>
      </c>
      <c r="H224" s="36">
        <f>IFERROR(VLOOKUP(Table19[[#This Row],[Assets]],Table25[#All],15,FALSE),"")</f>
        <v>1.76</v>
      </c>
      <c r="I224" s="36">
        <f>IFERROR(VLOOKUP(Table19[[#This Row],[Assets]],Table25[#All],16,FALSE),0)</f>
        <v>20.99999999999995</v>
      </c>
      <c r="J224" s="84">
        <f ca="1">IFERROR((Table19[[#This Row],[Price]]-Table19[[#This Row],[Ave Entry]])/Table19[[#This Row],[Ave Entry]],"")</f>
        <v>-0.44767045454545457</v>
      </c>
      <c r="K224" s="92">
        <f ca="1">IFERROR((Table19[[#This Row],[Price]]-Table19[[#This Row],[Ave Entry]])*Table19[[#This Row],[Num of Stocks]],0)</f>
        <v>0</v>
      </c>
      <c r="L224" s="38" cm="1">
        <f t="array" aca="1" ref="L224" ca="1">_FV(Table19[[#This Row],[Assets]],"Change (%)",TRUE)</f>
        <v>2.3370999999999999E-2</v>
      </c>
      <c r="M224" s="36">
        <f>SUMIF(Table20[Asset],Table19[[#This Row],[Assets]],Table20[realized_profit])</f>
        <v>0</v>
      </c>
      <c r="N224" s="36">
        <f>SUMIF(Table20[[#All],[Asset]],Table19[[#This Row],[Assets]],Table20[[#All],[delta_exposure]])</f>
        <v>0</v>
      </c>
      <c r="O224" s="38">
        <f ca="1">Table19[[#This Row],[Option Exposure]]/$B$6</f>
        <v>0</v>
      </c>
      <c r="P224" s="51">
        <f>SUMIF(Table25[[#All],[Assets]],Table19[[#This Row],[Assets]],Table25[[#All],[Number of stocks]])</f>
        <v>0</v>
      </c>
      <c r="Q224" s="36">
        <f ca="1">Table19[[#This Row],[Num of Stocks]]*Table19[[#This Row],[Price]]</f>
        <v>0</v>
      </c>
      <c r="R224" s="36">
        <f ca="1">Table19[[#This Row],[Stock Exposure]]+Table19[[#This Row],[Option Exposure]]</f>
        <v>0</v>
      </c>
      <c r="S224" s="108">
        <f>IFERROR(Table19[[#This Row],[Num of Stocks]]*Table19[[#This Row],[Ave Entry]],"")</f>
        <v>0</v>
      </c>
      <c r="T224" s="39">
        <f ca="1">Table19[[#This Row],[Combined Exposure]]/$C$8</f>
        <v>0</v>
      </c>
    </row>
    <row r="225" spans="1:20">
      <c r="A225" t="e" vm="298">
        <v>#VALUE!</v>
      </c>
      <c r="B225" s="13" t="str" cm="1">
        <f t="array" aca="1" ref="B225" ca="1">_FV(A225,"Ticker symbol",TRUE)</f>
        <v>BLBD</v>
      </c>
      <c r="C225" s="13" t="s">
        <v>550</v>
      </c>
      <c r="D225" s="13" t="s">
        <v>56</v>
      </c>
      <c r="E225" s="19" cm="1">
        <f t="array" aca="1" ref="E225" ca="1">IFERROR(_FV(A225,"Beta"),2)</f>
        <v>1.403</v>
      </c>
      <c r="F225" s="13" t="str" cm="1">
        <f t="array" aca="1" ref="F225" ca="1">_FV(A225,"Instrument type",TRUE)</f>
        <v>Stock</v>
      </c>
      <c r="G225" s="18" cm="1">
        <f t="array" aca="1" ref="G225" ca="1">_FV(Table19[[#This Row],[Assets]],"Price")</f>
        <v>56.57</v>
      </c>
      <c r="H225" s="36">
        <f>IFERROR(VLOOKUP(Table19[[#This Row],[Assets]],Table25[#All],15,FALSE),"")</f>
        <v>49.87</v>
      </c>
      <c r="I225" s="36">
        <f>IFERROR(VLOOKUP(Table19[[#This Row],[Assets]],Table25[#All],16,FALSE),0)</f>
        <v>-22.249999999999979</v>
      </c>
      <c r="J225" s="84">
        <f ca="1">IFERROR((Table19[[#This Row],[Price]]-Table19[[#This Row],[Ave Entry]])/Table19[[#This Row],[Ave Entry]],"")</f>
        <v>0.13434930820132351</v>
      </c>
      <c r="K225" s="92">
        <f ca="1">IFERROR((Table19[[#This Row],[Price]]-Table19[[#This Row],[Ave Entry]])*Table19[[#This Row],[Num of Stocks]],0)</f>
        <v>0</v>
      </c>
      <c r="L225" s="38" cm="1">
        <f t="array" aca="1" ref="L225" ca="1">_FV(Table19[[#This Row],[Assets]],"Change (%)",TRUE)</f>
        <v>4.261E-3</v>
      </c>
      <c r="M225" s="36">
        <f>SUMIF(Table20[Asset],Table19[[#This Row],[Assets]],Table20[realized_profit])</f>
        <v>0</v>
      </c>
      <c r="N225" s="36">
        <f>SUMIF(Table20[[#All],[Asset]],Table19[[#This Row],[Assets]],Table20[[#All],[delta_exposure]])</f>
        <v>0</v>
      </c>
      <c r="O225" s="98">
        <f ca="1">Table19[[#This Row],[Option Exposure]]/$B$6</f>
        <v>0</v>
      </c>
      <c r="P225" s="51">
        <f>SUMIF(Table25[[#All],[Assets]],Table19[[#This Row],[Assets]],Table25[[#All],[Number of stocks]])</f>
        <v>0</v>
      </c>
      <c r="Q225" s="36">
        <f ca="1">Table19[[#This Row],[Num of Stocks]]*Table19[[#This Row],[Price]]</f>
        <v>0</v>
      </c>
      <c r="R225" s="36">
        <f ca="1">Table19[[#This Row],[Stock Exposure]]+Table19[[#This Row],[Option Exposure]]</f>
        <v>0</v>
      </c>
      <c r="S225" s="108">
        <f>IFERROR(Table19[[#This Row],[Num of Stocks]]*Table19[[#This Row],[Ave Entry]],"")</f>
        <v>0</v>
      </c>
      <c r="T225" s="39">
        <f ca="1">Table19[[#This Row],[Combined Exposure]]/$C$8</f>
        <v>0</v>
      </c>
    </row>
    <row r="226" spans="1:20">
      <c r="A226" t="e" vm="299">
        <v>#VALUE!</v>
      </c>
      <c r="B226" s="13" t="str" cm="1">
        <f t="array" aca="1" ref="B226" ca="1">_FV(A226,"Ticker symbol",TRUE)</f>
        <v>BNTX</v>
      </c>
      <c r="C226" s="13" t="s">
        <v>53</v>
      </c>
      <c r="D226" s="13" t="s">
        <v>560</v>
      </c>
      <c r="E226" s="19" cm="1">
        <f t="array" aca="1" ref="E226" ca="1">IFERROR(_FV(A226,"Beta"),2)</f>
        <v>1.5920000000000001</v>
      </c>
      <c r="F226" s="13" t="str" cm="1">
        <f t="array" aca="1" ref="F226" ca="1">_FV(A226,"Instrument type",TRUE)</f>
        <v>Stock</v>
      </c>
      <c r="G226" s="18" cm="1">
        <f t="array" aca="1" ref="G226" ca="1">_FV(Table19[[#This Row],[Assets]],"Price")</f>
        <v>88.75</v>
      </c>
      <c r="H226" s="36">
        <f>IFERROR(VLOOKUP(Table19[[#This Row],[Assets]],Table25[#All],15,FALSE),"")</f>
        <v>107.85999999999999</v>
      </c>
      <c r="I226" s="36">
        <f>IFERROR(VLOOKUP(Table19[[#This Row],[Assets]],Table25[#All],16,FALSE),0)</f>
        <v>-133.89999999999992</v>
      </c>
      <c r="J226" s="84">
        <f ca="1">IFERROR((Table19[[#This Row],[Price]]-Table19[[#This Row],[Ave Entry]])/Table19[[#This Row],[Ave Entry]],"")</f>
        <v>-0.17717411459299079</v>
      </c>
      <c r="K226" s="92">
        <f ca="1">IFERROR((Table19[[#This Row],[Price]]-Table19[[#This Row],[Ave Entry]])*Table19[[#This Row],[Num of Stocks]],0)</f>
        <v>0</v>
      </c>
      <c r="L226" s="38" cm="1">
        <f t="array" aca="1" ref="L226" ca="1">_FV(Table19[[#This Row],[Assets]],"Change (%)",TRUE)</f>
        <v>2.2348E-2</v>
      </c>
      <c r="M226" s="36">
        <f>SUMIF(Table20[Asset],Table19[[#This Row],[Assets]],Table20[realized_profit])</f>
        <v>0</v>
      </c>
      <c r="N226" s="36">
        <f>SUMIF(Table20[[#All],[Asset]],Table19[[#This Row],[Assets]],Table20[[#All],[delta_exposure]])</f>
        <v>0</v>
      </c>
      <c r="O226" s="38">
        <f ca="1">Table19[[#This Row],[Option Exposure]]/$B$6</f>
        <v>0</v>
      </c>
      <c r="P226" s="51">
        <f>SUMIF(Table25[[#All],[Assets]],Table19[[#This Row],[Assets]],Table25[[#All],[Number of stocks]])</f>
        <v>0</v>
      </c>
      <c r="Q226" s="36">
        <f ca="1">Table19[[#This Row],[Num of Stocks]]*Table19[[#This Row],[Price]]</f>
        <v>0</v>
      </c>
      <c r="R226" s="36">
        <f ca="1">Table19[[#This Row],[Stock Exposure]]+Table19[[#This Row],[Option Exposure]]</f>
        <v>0</v>
      </c>
      <c r="S226" s="108">
        <f>IFERROR(Table19[[#This Row],[Num of Stocks]]*Table19[[#This Row],[Ave Entry]],"")</f>
        <v>0</v>
      </c>
      <c r="T226" s="39">
        <f ca="1">Table19[[#This Row],[Combined Exposure]]/$C$8</f>
        <v>0</v>
      </c>
    </row>
    <row r="227" spans="1:20">
      <c r="A227" t="e" vm="300">
        <v>#VALUE!</v>
      </c>
      <c r="B227" s="13" t="str" cm="1">
        <f t="array" aca="1" ref="B227" ca="1">_FV(A227,"Ticker symbol",TRUE)</f>
        <v>BITF</v>
      </c>
      <c r="C227" s="13" t="s">
        <v>118</v>
      </c>
      <c r="D227" s="13" t="s">
        <v>83</v>
      </c>
      <c r="E227" s="19" cm="1">
        <f t="array" aca="1" ref="E227" ca="1">IFERROR(_FV(A227,"Beta"),2)</f>
        <v>3.7692999999999999</v>
      </c>
      <c r="F227" s="13" t="str" cm="1">
        <f t="array" aca="1" ref="F227" ca="1">_FV(A227,"Instrument type",TRUE)</f>
        <v>Stock</v>
      </c>
      <c r="G227" s="18" cm="1">
        <f t="array" aca="1" ref="G227" ca="1">_FV(Table19[[#This Row],[Assets]],"Price")</f>
        <v>2.29</v>
      </c>
      <c r="H227" s="36">
        <f>IFERROR(VLOOKUP(Table19[[#This Row],[Assets]],Table25[#All],15,FALSE),"")</f>
        <v>2.61</v>
      </c>
      <c r="I227" s="36">
        <f>IFERROR(VLOOKUP(Table19[[#This Row],[Assets]],Table25[#All],16,FALSE),0)</f>
        <v>-439.99999999999994</v>
      </c>
      <c r="J227" s="84">
        <f ca="1">IFERROR((Table19[[#This Row],[Price]]-Table19[[#This Row],[Ave Entry]])/Table19[[#This Row],[Ave Entry]],"")</f>
        <v>-0.12260536398467427</v>
      </c>
      <c r="K227" s="92">
        <f ca="1">IFERROR((Table19[[#This Row],[Price]]-Table19[[#This Row],[Ave Entry]])*Table19[[#This Row],[Num of Stocks]],0)</f>
        <v>0</v>
      </c>
      <c r="L227" s="38" cm="1">
        <f t="array" aca="1" ref="L227" ca="1">_FV(Table19[[#This Row],[Assets]],"Change (%)",TRUE)</f>
        <v>3.6199000000000002E-2</v>
      </c>
      <c r="M227" s="36">
        <f>SUMIF(Table20[Asset],Table19[[#This Row],[Assets]],Table20[realized_profit])</f>
        <v>0</v>
      </c>
      <c r="N227" s="36">
        <f>SUMIF(Table20[[#All],[Asset]],Table19[[#This Row],[Assets]],Table20[[#All],[delta_exposure]])</f>
        <v>0</v>
      </c>
      <c r="O227" s="38">
        <f ca="1">Table19[[#This Row],[Option Exposure]]/$B$6</f>
        <v>0</v>
      </c>
      <c r="P227" s="51">
        <f>SUMIF(Table25[[#All],[Assets]],Table19[[#This Row],[Assets]],Table25[[#All],[Number of stocks]])</f>
        <v>0</v>
      </c>
      <c r="Q227" s="36">
        <f ca="1">Table19[[#This Row],[Num of Stocks]]*Table19[[#This Row],[Price]]</f>
        <v>0</v>
      </c>
      <c r="R227" s="36">
        <f ca="1">Table19[[#This Row],[Stock Exposure]]+Table19[[#This Row],[Option Exposure]]</f>
        <v>0</v>
      </c>
      <c r="S227" s="108">
        <f>IFERROR(Table19[[#This Row],[Num of Stocks]]*Table19[[#This Row],[Ave Entry]],"")</f>
        <v>0</v>
      </c>
      <c r="T227" s="39">
        <f ca="1">Table19[[#This Row],[Combined Exposure]]/$C$8</f>
        <v>0</v>
      </c>
    </row>
    <row r="228" spans="1:20">
      <c r="A228" t="e" vm="301">
        <v>#VALUE!</v>
      </c>
      <c r="B228" s="13" t="str" cm="1">
        <f t="array" aca="1" ref="B228" ca="1">_FV(A228,"Ticker symbol",TRUE)</f>
        <v>RIOT</v>
      </c>
      <c r="C228" s="13" t="s">
        <v>118</v>
      </c>
      <c r="D228" s="13" t="s">
        <v>83</v>
      </c>
      <c r="E228" s="19" cm="1">
        <f t="array" aca="1" ref="E228" ca="1">IFERROR(_FV(A228,"Beta"),2)</f>
        <v>3.5171000000000001</v>
      </c>
      <c r="F228" s="13" t="str" cm="1">
        <f t="array" aca="1" ref="F228" ca="1">_FV(A228,"Instrument type",TRUE)</f>
        <v>Stock</v>
      </c>
      <c r="G228" s="18" cm="1">
        <f t="array" aca="1" ref="G228" ca="1">_FV(Table19[[#This Row],[Assets]],"Price")</f>
        <v>14.9</v>
      </c>
      <c r="H228" s="36">
        <f>IFERROR(VLOOKUP(Table19[[#This Row],[Assets]],Table25[#All],15,FALSE),"")</f>
        <v>11.47</v>
      </c>
      <c r="I228" s="36">
        <f>IFERROR(VLOOKUP(Table19[[#This Row],[Assets]],Table25[#All],16,FALSE),0)</f>
        <v>0.99999999999999645</v>
      </c>
      <c r="J228" s="84">
        <f ca="1">IFERROR((Table19[[#This Row],[Price]]-Table19[[#This Row],[Ave Entry]])/Table19[[#This Row],[Ave Entry]],"")</f>
        <v>0.29904097646033123</v>
      </c>
      <c r="K228" s="92">
        <f ca="1">IFERROR((Table19[[#This Row],[Price]]-Table19[[#This Row],[Ave Entry]])*Table19[[#This Row],[Num of Stocks]],0)</f>
        <v>0</v>
      </c>
      <c r="L228" s="38" cm="1">
        <f t="array" aca="1" ref="L228" ca="1">_FV(Table19[[#This Row],[Assets]],"Change (%)",TRUE)</f>
        <v>3.9777E-2</v>
      </c>
      <c r="M228" s="36">
        <f>SUMIF(Table20[Asset],Table19[[#This Row],[Assets]],Table20[realized_profit])</f>
        <v>0</v>
      </c>
      <c r="N228" s="36">
        <f>SUMIF(Table20[[#All],[Asset]],Table19[[#This Row],[Assets]],Table20[[#All],[delta_exposure]])</f>
        <v>0</v>
      </c>
      <c r="O228" s="38">
        <f ca="1">Table19[[#This Row],[Option Exposure]]/$B$6</f>
        <v>0</v>
      </c>
      <c r="P228" s="51">
        <f>SUMIF(Table25[[#All],[Assets]],Table19[[#This Row],[Assets]],Table25[[#All],[Number of stocks]])</f>
        <v>0</v>
      </c>
      <c r="Q228" s="36">
        <f ca="1">Table19[[#This Row],[Num of Stocks]]*Table19[[#This Row],[Price]]</f>
        <v>0</v>
      </c>
      <c r="R228" s="36">
        <f ca="1">Table19[[#This Row],[Stock Exposure]]+Table19[[#This Row],[Option Exposure]]</f>
        <v>0</v>
      </c>
      <c r="S228" s="108">
        <f>IFERROR(Table19[[#This Row],[Num of Stocks]]*Table19[[#This Row],[Ave Entry]],"")</f>
        <v>0</v>
      </c>
      <c r="T228" s="39">
        <f ca="1">Table19[[#This Row],[Combined Exposure]]/$C$8</f>
        <v>0</v>
      </c>
    </row>
    <row r="229" spans="1:20">
      <c r="A229" t="e" vm="302">
        <v>#VALUE!</v>
      </c>
      <c r="B229" s="13" t="str" cm="1">
        <f t="array" aca="1" ref="B229" ca="1">_FV(A229,"Ticker symbol",TRUE)</f>
        <v>HOWL</v>
      </c>
      <c r="C229" s="13" t="s">
        <v>53</v>
      </c>
      <c r="D229" s="13" t="s">
        <v>560</v>
      </c>
      <c r="E229" s="19" cm="1">
        <f t="array" aca="1" ref="E229" ca="1">IFERROR(_FV(A229,"Beta"),2)</f>
        <v>0.61319999999999997</v>
      </c>
      <c r="F229" s="13" t="str" cm="1">
        <f t="array" aca="1" ref="F229" ca="1">_FV(A229,"Instrument type",TRUE)</f>
        <v>Stock</v>
      </c>
      <c r="G229" s="18" cm="1">
        <f t="array" aca="1" ref="G229" ca="1">_FV(Table19[[#This Row],[Assets]],"Price")</f>
        <v>0.77900000000000003</v>
      </c>
      <c r="H229" s="36" t="str">
        <f>IFERROR(VLOOKUP(Table19[[#This Row],[Assets]],Table25[#All],15,FALSE),"")</f>
        <v/>
      </c>
      <c r="I229" s="36">
        <f>IFERROR(VLOOKUP(Table19[[#This Row],[Assets]],Table25[#All],16,FALSE),0)</f>
        <v>0</v>
      </c>
      <c r="J229" s="84" t="str">
        <f ca="1">IFERROR((Table19[[#This Row],[Price]]-Table19[[#This Row],[Ave Entry]])/Table19[[#This Row],[Ave Entry]],"")</f>
        <v/>
      </c>
      <c r="K229" s="92">
        <f ca="1">IFERROR((Table19[[#This Row],[Price]]-Table19[[#This Row],[Ave Entry]])*Table19[[#This Row],[Num of Stocks]],0)</f>
        <v>0</v>
      </c>
      <c r="L229" s="38" cm="1">
        <f t="array" aca="1" ref="L229" ca="1">_FV(Table19[[#This Row],[Assets]],"Change (%)",TRUE)</f>
        <v>1.1688E-2</v>
      </c>
      <c r="M229" s="36">
        <f>SUMIF(Table20[Asset],Table19[[#This Row],[Assets]],Table20[realized_profit])</f>
        <v>0</v>
      </c>
      <c r="N229" s="36">
        <f>SUMIF(Table20[[#All],[Asset]],Table19[[#This Row],[Assets]],Table20[[#All],[delta_exposure]])</f>
        <v>0</v>
      </c>
      <c r="O229" s="38">
        <f ca="1">Table19[[#This Row],[Option Exposure]]/$B$6</f>
        <v>0</v>
      </c>
      <c r="P229" s="51">
        <f>SUMIF(Table25[[#All],[Assets]],Table19[[#This Row],[Assets]],Table25[[#All],[Number of stocks]])</f>
        <v>0</v>
      </c>
      <c r="Q229" s="36">
        <f ca="1">Table19[[#This Row],[Num of Stocks]]*Table19[[#This Row],[Price]]</f>
        <v>0</v>
      </c>
      <c r="R229" s="36">
        <f ca="1">Table19[[#This Row],[Stock Exposure]]+Table19[[#This Row],[Option Exposure]]</f>
        <v>0</v>
      </c>
      <c r="S229" s="108" t="str">
        <f>IFERROR(Table19[[#This Row],[Num of Stocks]]*Table19[[#This Row],[Ave Entry]],"")</f>
        <v/>
      </c>
      <c r="T229" s="39">
        <f ca="1">Table19[[#This Row],[Combined Exposure]]/$C$8</f>
        <v>0</v>
      </c>
    </row>
    <row r="230" spans="1:20">
      <c r="A230" t="e" vm="43">
        <v>#VALUE!</v>
      </c>
      <c r="B230" s="13" t="str" cm="1">
        <f t="array" aca="1" ref="B230" ca="1">_FV(A230,"Ticker symbol",TRUE)</f>
        <v>J</v>
      </c>
      <c r="C230" s="13" t="s">
        <v>56</v>
      </c>
      <c r="D230" s="13" t="s">
        <v>56</v>
      </c>
      <c r="E230" s="19" cm="1">
        <f t="array" aca="1" ref="E230" ca="1">IFERROR(_FV(A230,"Beta"),2)</f>
        <v>0.76849999999999996</v>
      </c>
      <c r="F230" s="13" t="str" cm="1">
        <f t="array" aca="1" ref="F230" ca="1">_FV(A230,"Instrument type",TRUE)</f>
        <v>Stock</v>
      </c>
      <c r="G230" s="18" cm="1">
        <f t="array" aca="1" ref="G230" ca="1">_FV(Table19[[#This Row],[Assets]],"Price")</f>
        <v>129.5</v>
      </c>
      <c r="H230" s="36">
        <f>IFERROR(VLOOKUP(Table19[[#This Row],[Assets]],Table25[#All],15,FALSE),"")</f>
        <v>137.56</v>
      </c>
      <c r="I230" s="36">
        <f>IFERROR(VLOOKUP(Table19[[#This Row],[Assets]],Table25[#All],16,FALSE),0)</f>
        <v>36.559999999999945</v>
      </c>
      <c r="J230" s="84">
        <f ca="1">IFERROR((Table19[[#This Row],[Price]]-Table19[[#This Row],[Ave Entry]])/Table19[[#This Row],[Ave Entry]],"")</f>
        <v>-5.8592614132015136E-2</v>
      </c>
      <c r="K230" s="92">
        <f ca="1">IFERROR((Table19[[#This Row],[Price]]-Table19[[#This Row],[Ave Entry]])*Table19[[#This Row],[Num of Stocks]],0)</f>
        <v>0</v>
      </c>
      <c r="L230" s="38" cm="1">
        <f t="array" aca="1" ref="L230" ca="1">_FV(Table19[[#This Row],[Assets]],"Change (%)",TRUE)</f>
        <v>4.8890000000000001E-3</v>
      </c>
      <c r="M230" s="36">
        <f>SUMIF(Table20[Asset],Table19[[#This Row],[Assets]],Table20[realized_profit])</f>
        <v>0</v>
      </c>
      <c r="N230" s="36">
        <f>SUMIF(Table20[[#All],[Asset]],Table19[[#This Row],[Assets]],Table20[[#All],[delta_exposure]])</f>
        <v>0</v>
      </c>
      <c r="O230" s="98">
        <f ca="1">Table19[[#This Row],[Option Exposure]]/$B$6</f>
        <v>0</v>
      </c>
      <c r="P230" s="51">
        <f>SUMIF(Table25[[#All],[Assets]],Table19[[#This Row],[Assets]],Table25[[#All],[Number of stocks]])</f>
        <v>0</v>
      </c>
      <c r="Q230" s="36">
        <f ca="1">Table19[[#This Row],[Num of Stocks]]*Table19[[#This Row],[Price]]</f>
        <v>0</v>
      </c>
      <c r="R230" s="36">
        <f ca="1">Table19[[#This Row],[Stock Exposure]]+Table19[[#This Row],[Option Exposure]]</f>
        <v>0</v>
      </c>
      <c r="S230" s="108">
        <f>IFERROR(Table19[[#This Row],[Num of Stocks]]*Table19[[#This Row],[Ave Entry]],"")</f>
        <v>0</v>
      </c>
      <c r="T230" s="39">
        <f ca="1">Table19[[#This Row],[Combined Exposure]]/$C$8</f>
        <v>0</v>
      </c>
    </row>
    <row r="231" spans="1:20">
      <c r="A231" t="e" vm="303">
        <v>#VALUE!</v>
      </c>
      <c r="B231" s="13" t="str" cm="1">
        <f t="array" aca="1" ref="B231" ca="1">_FV(A231,"Ticker symbol",TRUE)</f>
        <v>POWI</v>
      </c>
      <c r="C231" s="13" t="s">
        <v>84</v>
      </c>
      <c r="D231" s="13" t="s">
        <v>84</v>
      </c>
      <c r="E231" s="19" cm="1">
        <f t="array" aca="1" ref="E231" ca="1">IFERROR(_FV(A231,"Beta"),2)</f>
        <v>1.3035000000000001</v>
      </c>
      <c r="F231" s="13" t="str" cm="1">
        <f t="array" aca="1" ref="F231" ca="1">_FV(A231,"Instrument type",TRUE)</f>
        <v>Stock</v>
      </c>
      <c r="G231" s="18" cm="1">
        <f t="array" aca="1" ref="G231" ca="1">_FV(Table19[[#This Row],[Assets]],"Price")</f>
        <v>51.36</v>
      </c>
      <c r="H231" s="36">
        <f>IFERROR(VLOOKUP(Table19[[#This Row],[Assets]],Table25[#All],15,FALSE),"")</f>
        <v>59.23</v>
      </c>
      <c r="I231" s="36">
        <f>IFERROR(VLOOKUP(Table19[[#This Row],[Assets]],Table25[#All],16,FALSE),0)</f>
        <v>11.200000000000017</v>
      </c>
      <c r="J231" s="84">
        <f ca="1">IFERROR((Table19[[#This Row],[Price]]-Table19[[#This Row],[Ave Entry]])/Table19[[#This Row],[Ave Entry]],"")</f>
        <v>-0.13287185547864255</v>
      </c>
      <c r="K231" s="92">
        <f ca="1">IFERROR((Table19[[#This Row],[Price]]-Table19[[#This Row],[Ave Entry]])*Table19[[#This Row],[Num of Stocks]],0)</f>
        <v>0</v>
      </c>
      <c r="L231" s="38" cm="1">
        <f t="array" aca="1" ref="L231" ca="1">_FV(Table19[[#This Row],[Assets]],"Change (%)",TRUE)</f>
        <v>1.0825E-2</v>
      </c>
      <c r="M231" s="36">
        <f>SUMIF(Table20[Asset],Table19[[#This Row],[Assets]],Table20[realized_profit])</f>
        <v>0</v>
      </c>
      <c r="N231" s="36">
        <f>SUMIF(Table20[[#All],[Asset]],Table19[[#This Row],[Assets]],Table20[[#All],[delta_exposure]])</f>
        <v>0</v>
      </c>
      <c r="O231" s="38">
        <f ca="1">Table19[[#This Row],[Option Exposure]]/$B$6</f>
        <v>0</v>
      </c>
      <c r="P231" s="51">
        <f>SUMIF(Table25[[#All],[Assets]],Table19[[#This Row],[Assets]],Table25[[#All],[Number of stocks]])</f>
        <v>0</v>
      </c>
      <c r="Q231" s="36">
        <f ca="1">Table19[[#This Row],[Num of Stocks]]*Table19[[#This Row],[Price]]</f>
        <v>0</v>
      </c>
      <c r="R231" s="36">
        <f ca="1">Table19[[#This Row],[Stock Exposure]]+Table19[[#This Row],[Option Exposure]]</f>
        <v>0</v>
      </c>
      <c r="S231" s="108">
        <f>IFERROR(Table19[[#This Row],[Num of Stocks]]*Table19[[#This Row],[Ave Entry]],"")</f>
        <v>0</v>
      </c>
      <c r="T231" s="39">
        <f ca="1">Table19[[#This Row],[Combined Exposure]]/$C$8</f>
        <v>0</v>
      </c>
    </row>
    <row r="232" spans="1:20">
      <c r="A232" t="e" vm="304">
        <v>#VALUE!</v>
      </c>
      <c r="B232" s="13" t="str" cm="1">
        <f t="array" aca="1" ref="B232" ca="1">_FV(A232,"Ticker symbol",TRUE)</f>
        <v>RXRX</v>
      </c>
      <c r="C232" s="13" t="s">
        <v>53</v>
      </c>
      <c r="D232" s="13" t="s">
        <v>560</v>
      </c>
      <c r="E232" s="19" cm="1">
        <f t="array" aca="1" ref="E232" ca="1">IFERROR(_FV(A232,"Beta"),2)</f>
        <v>0.999</v>
      </c>
      <c r="F232" s="13" t="str" cm="1">
        <f t="array" aca="1" ref="F232" ca="1">_FV(A232,"Instrument type",TRUE)</f>
        <v>Stock</v>
      </c>
      <c r="G232" s="18" cm="1">
        <f t="array" aca="1" ref="G232" ca="1">_FV(Table19[[#This Row],[Assets]],"Price")</f>
        <v>3.1850000000000001</v>
      </c>
      <c r="H232" s="36">
        <f>IFERROR(VLOOKUP(Table19[[#This Row],[Assets]],Table25[#All],15,FALSE),"")</f>
        <v>8.4949999999999992</v>
      </c>
      <c r="I232" s="36">
        <f>IFERROR(VLOOKUP(Table19[[#This Row],[Assets]],Table25[#All],16,FALSE),0)</f>
        <v>-119.34999999999994</v>
      </c>
      <c r="J232" s="84">
        <f ca="1">IFERROR((Table19[[#This Row],[Price]]-Table19[[#This Row],[Ave Entry]])/Table19[[#This Row],[Ave Entry]],"")</f>
        <v>-0.62507357268981745</v>
      </c>
      <c r="K232" s="92">
        <f ca="1">IFERROR((Table19[[#This Row],[Price]]-Table19[[#This Row],[Ave Entry]])*Table19[[#This Row],[Num of Stocks]],0)</f>
        <v>0</v>
      </c>
      <c r="L232" s="38" cm="1">
        <f t="array" aca="1" ref="L232" ca="1">_FV(Table19[[#This Row],[Assets]],"Change (%)",TRUE)</f>
        <v>4.7320000000000001E-3</v>
      </c>
      <c r="M232" s="36">
        <f>SUMIF(Table20[Asset],Table19[[#This Row],[Assets]],Table20[realized_profit])</f>
        <v>0</v>
      </c>
      <c r="N232" s="36">
        <f>SUMIF(Table20[[#All],[Asset]],Table19[[#This Row],[Assets]],Table20[[#All],[delta_exposure]])</f>
        <v>0</v>
      </c>
      <c r="O232" s="98">
        <f ca="1">Table19[[#This Row],[Option Exposure]]/$B$6</f>
        <v>0</v>
      </c>
      <c r="P232" s="51">
        <f>SUMIF(Table25[[#All],[Assets]],Table19[[#This Row],[Assets]],Table25[[#All],[Number of stocks]])</f>
        <v>0</v>
      </c>
      <c r="Q232" s="36">
        <f ca="1">Table19[[#This Row],[Num of Stocks]]*Table19[[#This Row],[Price]]</f>
        <v>0</v>
      </c>
      <c r="R232" s="36">
        <f ca="1">Table19[[#This Row],[Stock Exposure]]+Table19[[#This Row],[Option Exposure]]</f>
        <v>0</v>
      </c>
      <c r="S232" s="108">
        <f>IFERROR(Table19[[#This Row],[Num of Stocks]]*Table19[[#This Row],[Ave Entry]],"")</f>
        <v>0</v>
      </c>
      <c r="T232" s="39">
        <f ca="1">Table19[[#This Row],[Combined Exposure]]/$C$8</f>
        <v>0</v>
      </c>
    </row>
    <row r="233" spans="1:20">
      <c r="A233" t="e" vm="305">
        <v>#VALUE!</v>
      </c>
      <c r="B233" s="13" t="str" cm="1">
        <f t="array" aca="1" ref="B233" ca="1">_FV(A233,"Ticker symbol",TRUE)</f>
        <v>RGEN</v>
      </c>
      <c r="C233" s="13" t="s">
        <v>53</v>
      </c>
      <c r="D233" s="13" t="s">
        <v>53</v>
      </c>
      <c r="E233" s="19" cm="1">
        <f t="array" aca="1" ref="E233" ca="1">IFERROR(_FV(A233,"Beta"),2)</f>
        <v>1.1973</v>
      </c>
      <c r="F233" s="13" t="str" cm="1">
        <f t="array" aca="1" ref="F233" ca="1">_FV(A233,"Instrument type",TRUE)</f>
        <v>Stock</v>
      </c>
      <c r="G233" s="18" cm="1">
        <f t="array" aca="1" ref="G233" ca="1">_FV(Table19[[#This Row],[Assets]],"Price")</f>
        <v>115.545</v>
      </c>
      <c r="H233" s="36" t="str">
        <f>IFERROR(VLOOKUP(Table19[[#This Row],[Assets]],Table25[#All],15,FALSE),"")</f>
        <v/>
      </c>
      <c r="I233" s="36">
        <f>IFERROR(VLOOKUP(Table19[[#This Row],[Assets]],Table25[#All],16,FALSE),0)</f>
        <v>0</v>
      </c>
      <c r="J233" s="84" t="str">
        <f ca="1">IFERROR((Table19[[#This Row],[Price]]-Table19[[#This Row],[Ave Entry]])/Table19[[#This Row],[Ave Entry]],"")</f>
        <v/>
      </c>
      <c r="K233" s="92">
        <f ca="1">IFERROR((Table19[[#This Row],[Price]]-Table19[[#This Row],[Ave Entry]])*Table19[[#This Row],[Num of Stocks]],0)</f>
        <v>0</v>
      </c>
      <c r="L233" s="38" cm="1">
        <f t="array" aca="1" ref="L233" ca="1">_FV(Table19[[#This Row],[Assets]],"Change (%)",TRUE)</f>
        <v>-6.4920000000000004E-3</v>
      </c>
      <c r="M233" s="36">
        <f>SUMIF(Table20[Asset],Table19[[#This Row],[Assets]],Table20[realized_profit])</f>
        <v>0</v>
      </c>
      <c r="N233" s="36">
        <f>SUMIF(Table20[[#All],[Asset]],Table19[[#This Row],[Assets]],Table20[[#All],[delta_exposure]])</f>
        <v>0</v>
      </c>
      <c r="O233" s="38">
        <f ca="1">Table19[[#This Row],[Option Exposure]]/$B$6</f>
        <v>0</v>
      </c>
      <c r="P233" s="51">
        <f>SUMIF(Table25[[#All],[Assets]],Table19[[#This Row],[Assets]],Table25[[#All],[Number of stocks]])</f>
        <v>0</v>
      </c>
      <c r="Q233" s="36">
        <f ca="1">Table19[[#This Row],[Num of Stocks]]*Table19[[#This Row],[Price]]</f>
        <v>0</v>
      </c>
      <c r="R233" s="36">
        <f ca="1">Table19[[#This Row],[Stock Exposure]]+Table19[[#This Row],[Option Exposure]]</f>
        <v>0</v>
      </c>
      <c r="S233" s="108" t="str">
        <f>IFERROR(Table19[[#This Row],[Num of Stocks]]*Table19[[#This Row],[Ave Entry]],"")</f>
        <v/>
      </c>
      <c r="T233" s="39">
        <f ca="1">Table19[[#This Row],[Combined Exposure]]/$C$8</f>
        <v>0</v>
      </c>
    </row>
    <row r="234" spans="1:20">
      <c r="A234" t="e" vm="306">
        <v>#VALUE!</v>
      </c>
      <c r="B234" s="13" t="str" cm="1">
        <f t="array" aca="1" ref="B234" ca="1">_FV(A234,"Ticker symbol",TRUE)</f>
        <v>QTWO</v>
      </c>
      <c r="C234" s="13" t="s">
        <v>54</v>
      </c>
      <c r="D234" s="13" t="s">
        <v>457</v>
      </c>
      <c r="E234" s="19" cm="1">
        <f t="array" aca="1" ref="E234" ca="1">IFERROR(_FV(A234,"Beta"),2)</f>
        <v>1.4346000000000001</v>
      </c>
      <c r="F234" s="13" t="str" cm="1">
        <f t="array" aca="1" ref="F234" ca="1">_FV(A234,"Instrument type",TRUE)</f>
        <v>Stock</v>
      </c>
      <c r="G234" s="18" cm="1">
        <f t="array" aca="1" ref="G234" ca="1">_FV(Table19[[#This Row],[Assets]],"Price")</f>
        <v>46.945</v>
      </c>
      <c r="H234" s="36" t="str">
        <f>IFERROR(VLOOKUP(Table19[[#This Row],[Assets]],Table25[#All],15,FALSE),"")</f>
        <v/>
      </c>
      <c r="I234" s="36">
        <f>IFERROR(VLOOKUP(Table19[[#This Row],[Assets]],Table25[#All],16,FALSE),0)</f>
        <v>0</v>
      </c>
      <c r="J234" s="84" t="str">
        <f ca="1">IFERROR((Table19[[#This Row],[Price]]-Table19[[#This Row],[Ave Entry]])/Table19[[#This Row],[Ave Entry]],"")</f>
        <v/>
      </c>
      <c r="K234" s="92">
        <f ca="1">IFERROR((Table19[[#This Row],[Price]]-Table19[[#This Row],[Ave Entry]])*Table19[[#This Row],[Num of Stocks]],0)</f>
        <v>0</v>
      </c>
      <c r="L234" s="38" cm="1">
        <f t="array" aca="1" ref="L234" ca="1">_FV(Table19[[#This Row],[Assets]],"Change (%)",TRUE)</f>
        <v>5.6769999999999998E-3</v>
      </c>
      <c r="M234" s="36">
        <f>SUMIF(Table20[Asset],Table19[[#This Row],[Assets]],Table20[realized_profit])</f>
        <v>0</v>
      </c>
      <c r="N234" s="36">
        <f>SUMIF(Table20[[#All],[Asset]],Table19[[#This Row],[Assets]],Table20[[#All],[delta_exposure]])</f>
        <v>0</v>
      </c>
      <c r="O234" s="38">
        <f ca="1">Table19[[#This Row],[Option Exposure]]/$B$6</f>
        <v>0</v>
      </c>
      <c r="P234" s="51">
        <f>SUMIF(Table25[[#All],[Assets]],Table19[[#This Row],[Assets]],Table25[[#All],[Number of stocks]])</f>
        <v>0</v>
      </c>
      <c r="Q234" s="36">
        <f ca="1">Table19[[#This Row],[Num of Stocks]]*Table19[[#This Row],[Price]]</f>
        <v>0</v>
      </c>
      <c r="R234" s="36">
        <f ca="1">Table19[[#This Row],[Stock Exposure]]+Table19[[#This Row],[Option Exposure]]</f>
        <v>0</v>
      </c>
      <c r="S234" s="108" t="str">
        <f>IFERROR(Table19[[#This Row],[Num of Stocks]]*Table19[[#This Row],[Ave Entry]],"")</f>
        <v/>
      </c>
      <c r="T234" s="39">
        <f ca="1">Table19[[#This Row],[Combined Exposure]]/$C$8</f>
        <v>0</v>
      </c>
    </row>
    <row r="235" spans="1:20">
      <c r="A235" t="e" vm="307">
        <v>#VALUE!</v>
      </c>
      <c r="B235" s="13" t="str" cm="1">
        <f t="array" aca="1" ref="B235" ca="1">_FV(A235,"Ticker symbol",TRUE)</f>
        <v>LHX</v>
      </c>
      <c r="C235" s="13" t="s">
        <v>38</v>
      </c>
      <c r="D235" s="13" t="s">
        <v>38</v>
      </c>
      <c r="E235" s="19" cm="1">
        <f t="array" aca="1" ref="E235" ca="1">IFERROR(_FV(A235,"Beta"),2)</f>
        <v>0.61280000000000001</v>
      </c>
      <c r="F235" s="13" t="str" cm="1">
        <f t="array" aca="1" ref="F235" ca="1">_FV(A235,"Instrument type",TRUE)</f>
        <v>Stock</v>
      </c>
      <c r="G235" s="18" cm="1">
        <f t="array" aca="1" ref="G235" ca="1">_FV(Table19[[#This Row],[Assets]],"Price")</f>
        <v>352.565</v>
      </c>
      <c r="H235" s="36">
        <f>IFERROR(VLOOKUP(Table19[[#This Row],[Assets]],Table25[#All],15,FALSE),"")</f>
        <v>251.32</v>
      </c>
      <c r="I235" s="36">
        <f>IFERROR(VLOOKUP(Table19[[#This Row],[Assets]],Table25[#All],16,FALSE),0)</f>
        <v>-78.039999999999964</v>
      </c>
      <c r="J235" s="84">
        <f ca="1">IFERROR((Table19[[#This Row],[Price]]-Table19[[#This Row],[Ave Entry]])/Table19[[#This Row],[Ave Entry]],"")</f>
        <v>0.40285293649530479</v>
      </c>
      <c r="K235" s="92">
        <f ca="1">IFERROR((Table19[[#This Row],[Price]]-Table19[[#This Row],[Ave Entry]])*Table19[[#This Row],[Num of Stocks]],0)</f>
        <v>0</v>
      </c>
      <c r="L235" s="38" cm="1">
        <f t="array" aca="1" ref="L235" ca="1">_FV(Table19[[#This Row],[Assets]],"Change (%)",TRUE)</f>
        <v>3.2579999999999996E-3</v>
      </c>
      <c r="M235" s="36">
        <f>SUMIF(Table20[Asset],Table19[[#This Row],[Assets]],Table20[realized_profit])</f>
        <v>0</v>
      </c>
      <c r="N235" s="36">
        <f>SUMIF(Table20[[#All],[Asset]],Table19[[#This Row],[Assets]],Table20[[#All],[delta_exposure]])</f>
        <v>0</v>
      </c>
      <c r="O235" s="38">
        <f ca="1">Table19[[#This Row],[Option Exposure]]/$B$6</f>
        <v>0</v>
      </c>
      <c r="P235" s="51">
        <f>SUMIF(Table25[[#All],[Assets]],Table19[[#This Row],[Assets]],Table25[[#All],[Number of stocks]])</f>
        <v>0</v>
      </c>
      <c r="Q235" s="36">
        <f ca="1">Table19[[#This Row],[Num of Stocks]]*Table19[[#This Row],[Price]]</f>
        <v>0</v>
      </c>
      <c r="R235" s="36">
        <f ca="1">Table19[[#This Row],[Stock Exposure]]+Table19[[#This Row],[Option Exposure]]</f>
        <v>0</v>
      </c>
      <c r="S235" s="108">
        <f>IFERROR(Table19[[#This Row],[Num of Stocks]]*Table19[[#This Row],[Ave Entry]],"")</f>
        <v>0</v>
      </c>
      <c r="T235" s="39">
        <f ca="1">Table19[[#This Row],[Combined Exposure]]/$C$8</f>
        <v>0</v>
      </c>
    </row>
    <row r="236" spans="1:20">
      <c r="A236" t="e" vm="308">
        <v>#VALUE!</v>
      </c>
      <c r="B236" s="13" t="str" cm="1">
        <f t="array" aca="1" ref="B236" ca="1">_FV(A236,"Ticker symbol",TRUE)</f>
        <v>INSP</v>
      </c>
      <c r="C236" s="13" t="s">
        <v>53</v>
      </c>
      <c r="D236" s="13" t="s">
        <v>352</v>
      </c>
      <c r="E236" s="19" cm="1">
        <f t="array" aca="1" ref="E236" ca="1">IFERROR(_FV(A236,"Beta"),2)</f>
        <v>0.85270000000000001</v>
      </c>
      <c r="F236" s="13" t="str" cm="1">
        <f t="array" aca="1" ref="F236" ca="1">_FV(A236,"Instrument type",TRUE)</f>
        <v>Stock</v>
      </c>
      <c r="G236" s="18" cm="1">
        <f t="array" aca="1" ref="G236" ca="1">_FV(Table19[[#This Row],[Assets]],"Price")</f>
        <v>51.664999999999999</v>
      </c>
      <c r="H236" s="36">
        <f>IFERROR(VLOOKUP(Table19[[#This Row],[Assets]],Table25[#All],15,FALSE),"")</f>
        <v>192.49</v>
      </c>
      <c r="I236" s="36">
        <f>IFERROR(VLOOKUP(Table19[[#This Row],[Assets]],Table25[#All],16,FALSE),0)</f>
        <v>-36.060000000000031</v>
      </c>
      <c r="J236" s="84">
        <f ca="1">IFERROR((Table19[[#This Row],[Price]]-Table19[[#This Row],[Ave Entry]])/Table19[[#This Row],[Ave Entry]],"")</f>
        <v>-0.73159644656865297</v>
      </c>
      <c r="K236" s="92">
        <f ca="1">IFERROR((Table19[[#This Row],[Price]]-Table19[[#This Row],[Ave Entry]])*Table19[[#This Row],[Num of Stocks]],0)</f>
        <v>0</v>
      </c>
      <c r="L236" s="38" cm="1">
        <f t="array" aca="1" ref="L236" ca="1">_FV(Table19[[#This Row],[Assets]],"Change (%)",TRUE)</f>
        <v>-7.7780000000000002E-3</v>
      </c>
      <c r="M236" s="36">
        <f>SUMIF(Table20[Asset],Table19[[#This Row],[Assets]],Table20[realized_profit])</f>
        <v>0</v>
      </c>
      <c r="N236" s="36">
        <f>SUMIF(Table20[[#All],[Asset]],Table19[[#This Row],[Assets]],Table20[[#All],[delta_exposure]])</f>
        <v>0</v>
      </c>
      <c r="O236" s="38">
        <f ca="1">Table19[[#This Row],[Option Exposure]]/$B$6</f>
        <v>0</v>
      </c>
      <c r="P236" s="51">
        <f>SUMIF(Table25[[#All],[Assets]],Table19[[#This Row],[Assets]],Table25[[#All],[Number of stocks]])</f>
        <v>0</v>
      </c>
      <c r="Q236" s="36">
        <f ca="1">Table19[[#This Row],[Num of Stocks]]*Table19[[#This Row],[Price]]</f>
        <v>0</v>
      </c>
      <c r="R236" s="36">
        <f ca="1">Table19[[#This Row],[Stock Exposure]]+Table19[[#This Row],[Option Exposure]]</f>
        <v>0</v>
      </c>
      <c r="S236" s="108">
        <f>IFERROR(Table19[[#This Row],[Num of Stocks]]*Table19[[#This Row],[Ave Entry]],"")</f>
        <v>0</v>
      </c>
      <c r="T236" s="39">
        <f ca="1">Table19[[#This Row],[Combined Exposure]]/$C$8</f>
        <v>0</v>
      </c>
    </row>
    <row r="237" spans="1:20">
      <c r="A237" t="e" vm="309">
        <v>#VALUE!</v>
      </c>
      <c r="B237" s="13" t="str" cm="1">
        <f t="array" aca="1" ref="B237" ca="1">_FV(A237,"Ticker symbol",TRUE)</f>
        <v>IREN</v>
      </c>
      <c r="C237" s="13" t="s">
        <v>118</v>
      </c>
      <c r="D237" s="13" t="s">
        <v>83</v>
      </c>
      <c r="E237" s="19" cm="1">
        <f t="array" aca="1" ref="E237" ca="1">IFERROR(_FV(A237,"Beta"),2)</f>
        <v>4.2301000000000002</v>
      </c>
      <c r="F237" s="13" t="str" cm="1">
        <f t="array" aca="1" ref="F237" ca="1">_FV(A237,"Instrument type",TRUE)</f>
        <v>Stock</v>
      </c>
      <c r="G237" s="18" cm="1">
        <f t="array" aca="1" ref="G237" ca="1">_FV(Table19[[#This Row],[Assets]],"Price")</f>
        <v>41.84</v>
      </c>
      <c r="H237" s="36">
        <f>IFERROR(VLOOKUP(Table19[[#This Row],[Assets]],Table25[#All],15,FALSE),"")</f>
        <v>11.36</v>
      </c>
      <c r="I237" s="36">
        <f>IFERROR(VLOOKUP(Table19[[#This Row],[Assets]],Table25[#All],16,FALSE),0)</f>
        <v>-74.879999999999939</v>
      </c>
      <c r="J237" s="84">
        <f ca="1">IFERROR((Table19[[#This Row],[Price]]-Table19[[#This Row],[Ave Entry]])/Table19[[#This Row],[Ave Entry]],"")</f>
        <v>2.6830985915492964</v>
      </c>
      <c r="K237" s="92">
        <f ca="1">IFERROR((Table19[[#This Row],[Price]]-Table19[[#This Row],[Ave Entry]])*Table19[[#This Row],[Num of Stocks]],0)</f>
        <v>0</v>
      </c>
      <c r="L237" s="38" cm="1">
        <f t="array" aca="1" ref="L237" ca="1">_FV(Table19[[#This Row],[Assets]],"Change (%)",TRUE)</f>
        <v>1.7509999999999998E-2</v>
      </c>
      <c r="M237" s="36">
        <f>SUMIF(Table20[Asset],Table19[[#This Row],[Assets]],Table20[realized_profit])</f>
        <v>0</v>
      </c>
      <c r="N237" s="36">
        <f>SUMIF(Table20[[#All],[Asset]],Table19[[#This Row],[Assets]],Table20[[#All],[delta_exposure]])</f>
        <v>0</v>
      </c>
      <c r="O237" s="98">
        <f ca="1">Table19[[#This Row],[Option Exposure]]/$B$6</f>
        <v>0</v>
      </c>
      <c r="P237" s="51">
        <f>SUMIF(Table25[[#All],[Assets]],Table19[[#This Row],[Assets]],Table25[[#All],[Number of stocks]])</f>
        <v>0</v>
      </c>
      <c r="Q237" s="36">
        <f ca="1">Table19[[#This Row],[Num of Stocks]]*Table19[[#This Row],[Price]]</f>
        <v>0</v>
      </c>
      <c r="R237" s="36">
        <f ca="1">Table19[[#This Row],[Stock Exposure]]+Table19[[#This Row],[Option Exposure]]</f>
        <v>0</v>
      </c>
      <c r="S237" s="108">
        <f>IFERROR(Table19[[#This Row],[Num of Stocks]]*Table19[[#This Row],[Ave Entry]],"")</f>
        <v>0</v>
      </c>
      <c r="T237" s="39">
        <f ca="1">Table19[[#This Row],[Combined Exposure]]/$C$8</f>
        <v>0</v>
      </c>
    </row>
    <row r="238" spans="1:20">
      <c r="A238" t="e" vm="45">
        <v>#VALUE!</v>
      </c>
      <c r="B238" s="13" t="str" cm="1">
        <f t="array" aca="1" ref="B238" ca="1">_FV(A238,"Ticker symbol",TRUE)</f>
        <v>ACM</v>
      </c>
      <c r="C238" s="13" t="s">
        <v>56</v>
      </c>
      <c r="D238" s="13" t="s">
        <v>56</v>
      </c>
      <c r="E238" s="19" cm="1">
        <f t="array" aca="1" ref="E238" ca="1">IFERROR(_FV(A238,"Beta"),2)</f>
        <v>1.0647</v>
      </c>
      <c r="F238" s="13" t="str" cm="1">
        <f t="array" aca="1" ref="F238" ca="1">_FV(A238,"Instrument type",TRUE)</f>
        <v>Stock</v>
      </c>
      <c r="G238" s="18" cm="1">
        <f t="array" aca="1" ref="G238" ca="1">_FV(Table19[[#This Row],[Assets]],"Price")</f>
        <v>88.57</v>
      </c>
      <c r="H238" s="36">
        <f>IFERROR(VLOOKUP(Table19[[#This Row],[Assets]],Table25[#All],15,FALSE),"")</f>
        <v>85.41</v>
      </c>
      <c r="I238" s="36">
        <f>IFERROR(VLOOKUP(Table19[[#This Row],[Assets]],Table25[#All],16,FALSE),0)</f>
        <v>4.960000000000008</v>
      </c>
      <c r="J238" s="84">
        <f ca="1">IFERROR((Table19[[#This Row],[Price]]-Table19[[#This Row],[Ave Entry]])/Table19[[#This Row],[Ave Entry]],"")</f>
        <v>3.6998009600749289E-2</v>
      </c>
      <c r="K238" s="92">
        <f ca="1">IFERROR((Table19[[#This Row],[Price]]-Table19[[#This Row],[Ave Entry]])*Table19[[#This Row],[Num of Stocks]],0)</f>
        <v>0</v>
      </c>
      <c r="L238" s="38" cm="1">
        <f t="array" aca="1" ref="L238" ca="1">_FV(Table19[[#This Row],[Assets]],"Change (%)",TRUE)</f>
        <v>-3.1509999999999997E-3</v>
      </c>
      <c r="M238" s="36">
        <f>SUMIF(Table20[Asset],Table19[[#This Row],[Assets]],Table20[realized_profit])</f>
        <v>0</v>
      </c>
      <c r="N238" s="36">
        <f>SUMIF(Table20[[#All],[Asset]],Table19[[#This Row],[Assets]],Table20[[#All],[delta_exposure]])</f>
        <v>0</v>
      </c>
      <c r="O238" s="98">
        <f ca="1">Table19[[#This Row],[Option Exposure]]/$B$6</f>
        <v>0</v>
      </c>
      <c r="P238" s="51">
        <f>SUMIF(Table25[[#All],[Assets]],Table19[[#This Row],[Assets]],Table25[[#All],[Number of stocks]])</f>
        <v>0</v>
      </c>
      <c r="Q238" s="36">
        <f ca="1">Table19[[#This Row],[Num of Stocks]]*Table19[[#This Row],[Price]]</f>
        <v>0</v>
      </c>
      <c r="R238" s="36">
        <f ca="1">Table19[[#This Row],[Stock Exposure]]+Table19[[#This Row],[Option Exposure]]</f>
        <v>0</v>
      </c>
      <c r="S238" s="108">
        <f>IFERROR(Table19[[#This Row],[Num of Stocks]]*Table19[[#This Row],[Ave Entry]],"")</f>
        <v>0</v>
      </c>
      <c r="T238" s="39">
        <f ca="1">Table19[[#This Row],[Combined Exposure]]/$C$8</f>
        <v>0</v>
      </c>
    </row>
    <row r="239" spans="1:20">
      <c r="A239" t="e" vm="310">
        <v>#VALUE!</v>
      </c>
      <c r="B239" s="13" t="str" cm="1">
        <f t="array" aca="1" ref="B239" ca="1">_FV(A239,"Ticker symbol",TRUE)</f>
        <v>TBBK</v>
      </c>
      <c r="C239" s="13" t="s">
        <v>550</v>
      </c>
      <c r="D239" s="13" t="s">
        <v>54</v>
      </c>
      <c r="E239" s="19" cm="1">
        <f t="array" aca="1" ref="E239" ca="1">IFERROR(_FV(A239,"Beta"),2)</f>
        <v>1.2997000000000001</v>
      </c>
      <c r="F239" s="13" t="str" cm="1">
        <f t="array" aca="1" ref="F239" ca="1">_FV(A239,"Instrument type",TRUE)</f>
        <v>Stock</v>
      </c>
      <c r="G239" s="18" cm="1">
        <f t="array" aca="1" ref="G239" ca="1">_FV(Table19[[#This Row],[Assets]],"Price")</f>
        <v>53.265000000000001</v>
      </c>
      <c r="H239" s="36" t="str">
        <f>IFERROR(VLOOKUP(Table19[[#This Row],[Assets]],Table25[#All],15,FALSE),"")</f>
        <v/>
      </c>
      <c r="I239" s="36">
        <f>IFERROR(VLOOKUP(Table19[[#This Row],[Assets]],Table25[#All],16,FALSE),0)</f>
        <v>0</v>
      </c>
      <c r="J239" s="84" t="str">
        <f ca="1">IFERROR((Table19[[#This Row],[Price]]-Table19[[#This Row],[Ave Entry]])/Table19[[#This Row],[Ave Entry]],"")</f>
        <v/>
      </c>
      <c r="K239" s="92">
        <f ca="1">IFERROR((Table19[[#This Row],[Price]]-Table19[[#This Row],[Ave Entry]])*Table19[[#This Row],[Num of Stocks]],0)</f>
        <v>0</v>
      </c>
      <c r="L239" s="38" cm="1">
        <f t="array" aca="1" ref="L239" ca="1">_FV(Table19[[#This Row],[Assets]],"Change (%)",TRUE)</f>
        <v>5.9489999999999994E-3</v>
      </c>
      <c r="M239" s="36">
        <f>SUMIF(Table20[Asset],Table19[[#This Row],[Assets]],Table20[realized_profit])</f>
        <v>0</v>
      </c>
      <c r="N239" s="36">
        <f>SUMIF(Table20[[#All],[Asset]],Table19[[#This Row],[Assets]],Table20[[#All],[delta_exposure]])</f>
        <v>0</v>
      </c>
      <c r="O239" s="38">
        <f ca="1">Table19[[#This Row],[Option Exposure]]/$B$6</f>
        <v>0</v>
      </c>
      <c r="P239" s="51">
        <f>SUMIF(Table25[[#All],[Assets]],Table19[[#This Row],[Assets]],Table25[[#All],[Number of stocks]])</f>
        <v>0</v>
      </c>
      <c r="Q239" s="36">
        <f ca="1">Table19[[#This Row],[Num of Stocks]]*Table19[[#This Row],[Price]]</f>
        <v>0</v>
      </c>
      <c r="R239" s="36">
        <f ca="1">Table19[[#This Row],[Stock Exposure]]+Table19[[#This Row],[Option Exposure]]</f>
        <v>0</v>
      </c>
      <c r="S239" s="108" t="str">
        <f>IFERROR(Table19[[#This Row],[Num of Stocks]]*Table19[[#This Row],[Ave Entry]],"")</f>
        <v/>
      </c>
      <c r="T239" s="39">
        <f ca="1">Table19[[#This Row],[Combined Exposure]]/$C$8</f>
        <v>0</v>
      </c>
    </row>
    <row r="240" spans="1:20">
      <c r="A240" t="e" vm="311">
        <v>#VALUE!</v>
      </c>
      <c r="B240" s="13" t="str" cm="1">
        <f t="array" aca="1" ref="B240" ca="1">_FV(A240,"Ticker symbol",TRUE)</f>
        <v>PAY</v>
      </c>
      <c r="C240" s="13" t="s">
        <v>54</v>
      </c>
      <c r="D240" s="13" t="s">
        <v>457</v>
      </c>
      <c r="E240" s="19" cm="1">
        <f t="array" aca="1" ref="E240" ca="1">IFERROR(_FV(A240,"Beta"),2)</f>
        <v>1.4494</v>
      </c>
      <c r="F240" s="13" t="str" cm="1">
        <f t="array" aca="1" ref="F240" ca="1">_FV(A240,"Instrument type",TRUE)</f>
        <v>Stock</v>
      </c>
      <c r="G240" s="18" cm="1">
        <f t="array" aca="1" ref="G240" ca="1">_FV(Table19[[#This Row],[Assets]],"Price")</f>
        <v>25.28</v>
      </c>
      <c r="H240" s="36" t="str">
        <f>IFERROR(VLOOKUP(Table19[[#This Row],[Assets]],Table25[#All],15,FALSE),"")</f>
        <v/>
      </c>
      <c r="I240" s="36">
        <f>IFERROR(VLOOKUP(Table19[[#This Row],[Assets]],Table25[#All],16,FALSE),0)</f>
        <v>0</v>
      </c>
      <c r="J240" s="84" t="str">
        <f ca="1">IFERROR((Table19[[#This Row],[Price]]-Table19[[#This Row],[Ave Entry]])/Table19[[#This Row],[Ave Entry]],"")</f>
        <v/>
      </c>
      <c r="K240" s="92">
        <f ca="1">IFERROR((Table19[[#This Row],[Price]]-Table19[[#This Row],[Ave Entry]])*Table19[[#This Row],[Num of Stocks]],0)</f>
        <v>0</v>
      </c>
      <c r="L240" s="38" cm="1">
        <f t="array" aca="1" ref="L240" ca="1">_FV(Table19[[#This Row],[Assets]],"Change (%)",TRUE)</f>
        <v>7.9740000000000002E-3</v>
      </c>
      <c r="M240" s="36">
        <f>SUMIF(Table20[Asset],Table19[[#This Row],[Assets]],Table20[realized_profit])</f>
        <v>0</v>
      </c>
      <c r="N240" s="36">
        <f>SUMIF(Table20[[#All],[Asset]],Table19[[#This Row],[Assets]],Table20[[#All],[delta_exposure]])</f>
        <v>0</v>
      </c>
      <c r="O240" s="38">
        <f ca="1">Table19[[#This Row],[Option Exposure]]/$B$6</f>
        <v>0</v>
      </c>
      <c r="P240" s="51">
        <f>SUMIF(Table25[[#All],[Assets]],Table19[[#This Row],[Assets]],Table25[[#All],[Number of stocks]])</f>
        <v>0</v>
      </c>
      <c r="Q240" s="36">
        <f ca="1">Table19[[#This Row],[Num of Stocks]]*Table19[[#This Row],[Price]]</f>
        <v>0</v>
      </c>
      <c r="R240" s="36">
        <f ca="1">Table19[[#This Row],[Stock Exposure]]+Table19[[#This Row],[Option Exposure]]</f>
        <v>0</v>
      </c>
      <c r="S240" s="108" t="str">
        <f>IFERROR(Table19[[#This Row],[Num of Stocks]]*Table19[[#This Row],[Ave Entry]],"")</f>
        <v/>
      </c>
      <c r="T240" s="39">
        <f ca="1">Table19[[#This Row],[Combined Exposure]]/$C$8</f>
        <v>0</v>
      </c>
    </row>
    <row r="241" spans="1:20">
      <c r="A241" t="e" vm="312">
        <v>#VALUE!</v>
      </c>
      <c r="B241" s="13" t="str" cm="1">
        <f t="array" aca="1" ref="B241" ca="1">_FV(A241,"Ticker symbol",TRUE)</f>
        <v>ATEC</v>
      </c>
      <c r="C241" s="13" t="s">
        <v>53</v>
      </c>
      <c r="D241" s="13" t="s">
        <v>53</v>
      </c>
      <c r="E241" s="19" cm="1">
        <f t="array" aca="1" ref="E241" ca="1">IFERROR(_FV(A241,"Beta"),2)</f>
        <v>1.0849</v>
      </c>
      <c r="F241" s="13" t="str" cm="1">
        <f t="array" aca="1" ref="F241" ca="1">_FV(A241,"Instrument type",TRUE)</f>
        <v>Stock</v>
      </c>
      <c r="G241" s="18" cm="1">
        <f t="array" aca="1" ref="G241" ca="1">_FV(Table19[[#This Row],[Assets]],"Price")</f>
        <v>11.82</v>
      </c>
      <c r="H241" s="36">
        <f>IFERROR(VLOOKUP(Table19[[#This Row],[Assets]],Table25[#All],15,FALSE),"")</f>
        <v>8.27</v>
      </c>
      <c r="I241" s="36">
        <f>IFERROR(VLOOKUP(Table19[[#This Row],[Assets]],Table25[#All],16,FALSE),0)</f>
        <v>-155.39999999999992</v>
      </c>
      <c r="J241" s="84">
        <f ca="1">IFERROR((Table19[[#This Row],[Price]]-Table19[[#This Row],[Ave Entry]])/Table19[[#This Row],[Ave Entry]],"")</f>
        <v>0.42926239419588885</v>
      </c>
      <c r="K241" s="92">
        <f ca="1">IFERROR((Table19[[#This Row],[Price]]-Table19[[#This Row],[Ave Entry]])*Table19[[#This Row],[Num of Stocks]],0)</f>
        <v>0</v>
      </c>
      <c r="L241" s="38" cm="1">
        <f t="array" aca="1" ref="L241" ca="1">_FV(Table19[[#This Row],[Assets]],"Change (%)",TRUE)</f>
        <v>5.9570000000000005E-3</v>
      </c>
      <c r="M241" s="36">
        <f>SUMIF(Table20[Asset],Table19[[#This Row],[Assets]],Table20[realized_profit])</f>
        <v>0</v>
      </c>
      <c r="N241" s="36">
        <f>SUMIF(Table20[[#All],[Asset]],Table19[[#This Row],[Assets]],Table20[[#All],[delta_exposure]])</f>
        <v>0</v>
      </c>
      <c r="O241" s="38">
        <f ca="1">Table19[[#This Row],[Option Exposure]]/$B$6</f>
        <v>0</v>
      </c>
      <c r="P241" s="51">
        <f>SUMIF(Table25[[#All],[Assets]],Table19[[#This Row],[Assets]],Table25[[#All],[Number of stocks]])</f>
        <v>0</v>
      </c>
      <c r="Q241" s="36">
        <f ca="1">Table19[[#This Row],[Num of Stocks]]*Table19[[#This Row],[Price]]</f>
        <v>0</v>
      </c>
      <c r="R241" s="36">
        <f ca="1">Table19[[#This Row],[Stock Exposure]]+Table19[[#This Row],[Option Exposure]]</f>
        <v>0</v>
      </c>
      <c r="S241" s="108">
        <f>IFERROR(Table19[[#This Row],[Num of Stocks]]*Table19[[#This Row],[Ave Entry]],"")</f>
        <v>0</v>
      </c>
      <c r="T241" s="39">
        <f ca="1">Table19[[#This Row],[Combined Exposure]]/$C$8</f>
        <v>0</v>
      </c>
    </row>
    <row r="242" spans="1:20">
      <c r="A242" t="e" vm="313">
        <v>#VALUE!</v>
      </c>
      <c r="B242" s="13" t="str" cm="1">
        <f t="array" aca="1" ref="B242" ca="1">_FV(A242,"Ticker symbol",TRUE)</f>
        <v>APLD</v>
      </c>
      <c r="C242" s="13" t="s">
        <v>118</v>
      </c>
      <c r="D242" s="13" t="s">
        <v>83</v>
      </c>
      <c r="E242" s="19" cm="1">
        <f t="array" aca="1" ref="E242" ca="1">IFERROR(_FV(A242,"Beta"),2)</f>
        <v>7.2375999999999996</v>
      </c>
      <c r="F242" s="13" t="str" cm="1">
        <f t="array" aca="1" ref="F242" ca="1">_FV(A242,"Instrument type",TRUE)</f>
        <v>Stock</v>
      </c>
      <c r="G242" s="18" cm="1">
        <f t="array" aca="1" ref="G242" ca="1">_FV(Table19[[#This Row],[Assets]],"Price")</f>
        <v>28.18</v>
      </c>
      <c r="H242" s="36">
        <f>IFERROR(VLOOKUP(Table19[[#This Row],[Assets]],Table25[#All],15,FALSE),"")</f>
        <v>6.4494736842105267</v>
      </c>
      <c r="I242" s="36">
        <f>IFERROR(VLOOKUP(Table19[[#This Row],[Assets]],Table25[#All],16,FALSE),0)</f>
        <v>-32.499999999999915</v>
      </c>
      <c r="J242" s="84">
        <f ca="1">IFERROR((Table19[[#This Row],[Price]]-Table19[[#This Row],[Ave Entry]])/Table19[[#This Row],[Ave Entry]],"")</f>
        <v>3.3693487840705072</v>
      </c>
      <c r="K242" s="92">
        <f ca="1">IFERROR((Table19[[#This Row],[Price]]-Table19[[#This Row],[Ave Entry]])*Table19[[#This Row],[Num of Stocks]],0)</f>
        <v>0</v>
      </c>
      <c r="L242" s="38" cm="1">
        <f t="array" aca="1" ref="L242" ca="1">_FV(Table19[[#This Row],[Assets]],"Change (%)",TRUE)</f>
        <v>5.1885000000000001E-2</v>
      </c>
      <c r="M242" s="36">
        <f>SUMIF(Table20[Asset],Table19[[#This Row],[Assets]],Table20[realized_profit])</f>
        <v>-195.00000000000003</v>
      </c>
      <c r="N242" s="36">
        <f ca="1">SUMIF(Table20[[#All],[Asset]],Table19[[#This Row],[Assets]],Table20[[#All],[delta_exposure]])</f>
        <v>0</v>
      </c>
      <c r="O242" s="98">
        <f ca="1">Table19[[#This Row],[Option Exposure]]/$B$6</f>
        <v>0</v>
      </c>
      <c r="P242" s="51">
        <f>SUMIF(Table25[[#All],[Assets]],Table19[[#This Row],[Assets]],Table25[[#All],[Number of stocks]])</f>
        <v>0</v>
      </c>
      <c r="Q242" s="36">
        <f ca="1">Table19[[#This Row],[Num of Stocks]]*Table19[[#This Row],[Price]]</f>
        <v>0</v>
      </c>
      <c r="R242" s="36">
        <f ca="1">Table19[[#This Row],[Stock Exposure]]+Table19[[#This Row],[Option Exposure]]</f>
        <v>0</v>
      </c>
      <c r="S242" s="108">
        <f>IFERROR(Table19[[#This Row],[Num of Stocks]]*Table19[[#This Row],[Ave Entry]],"")</f>
        <v>0</v>
      </c>
      <c r="T242" s="39">
        <f ca="1">Table19[[#This Row],[Combined Exposure]]/$C$8</f>
        <v>0</v>
      </c>
    </row>
    <row r="243" spans="1:20">
      <c r="A243" t="e" vm="314">
        <v>#VALUE!</v>
      </c>
      <c r="B243" s="13" t="str" cm="1">
        <f t="array" aca="1" ref="B243" ca="1">_FV(A243,"Ticker symbol",TRUE)</f>
        <v>KROS</v>
      </c>
      <c r="C243" s="13" t="s">
        <v>53</v>
      </c>
      <c r="D243" s="13" t="s">
        <v>560</v>
      </c>
      <c r="E243" s="19" cm="1">
        <f t="array" aca="1" ref="E243" ca="1">IFERROR(_FV(A243,"Beta"),2)</f>
        <v>0.98340000000000005</v>
      </c>
      <c r="F243" s="13" t="str" cm="1">
        <f t="array" aca="1" ref="F243" ca="1">_FV(A243,"Instrument type",TRUE)</f>
        <v>Stock</v>
      </c>
      <c r="G243" s="18" cm="1">
        <f t="array" aca="1" ref="G243" ca="1">_FV(Table19[[#This Row],[Assets]],"Price")</f>
        <v>11.29</v>
      </c>
      <c r="H243" s="36" t="str">
        <f>IFERROR(VLOOKUP(Table19[[#This Row],[Assets]],Table25[#All],15,FALSE),"")</f>
        <v/>
      </c>
      <c r="I243" s="36">
        <f>IFERROR(VLOOKUP(Table19[[#This Row],[Assets]],Table25[#All],16,FALSE),0)</f>
        <v>0</v>
      </c>
      <c r="J243" s="84" t="str">
        <f ca="1">IFERROR((Table19[[#This Row],[Price]]-Table19[[#This Row],[Ave Entry]])/Table19[[#This Row],[Ave Entry]],"")</f>
        <v/>
      </c>
      <c r="K243" s="92">
        <f ca="1">IFERROR((Table19[[#This Row],[Price]]-Table19[[#This Row],[Ave Entry]])*Table19[[#This Row],[Num of Stocks]],0)</f>
        <v>0</v>
      </c>
      <c r="L243" s="38" cm="1">
        <f t="array" aca="1" ref="L243" ca="1">_FV(Table19[[#This Row],[Assets]],"Change (%)",TRUE)</f>
        <v>2.7297999999999999E-2</v>
      </c>
      <c r="M243" s="36">
        <f>SUMIF(Table20[Asset],Table19[[#This Row],[Assets]],Table20[realized_profit])</f>
        <v>0</v>
      </c>
      <c r="N243" s="36">
        <f>SUMIF(Table20[[#All],[Asset]],Table19[[#This Row],[Assets]],Table20[[#All],[delta_exposure]])</f>
        <v>0</v>
      </c>
      <c r="O243" s="38">
        <f ca="1">Table19[[#This Row],[Option Exposure]]/$B$6</f>
        <v>0</v>
      </c>
      <c r="P243" s="51">
        <f>SUMIF(Table25[[#All],[Assets]],Table19[[#This Row],[Assets]],Table25[[#All],[Number of stocks]])</f>
        <v>0</v>
      </c>
      <c r="Q243" s="36">
        <f ca="1">Table19[[#This Row],[Num of Stocks]]*Table19[[#This Row],[Price]]</f>
        <v>0</v>
      </c>
      <c r="R243" s="36">
        <f ca="1">Table19[[#This Row],[Stock Exposure]]+Table19[[#This Row],[Option Exposure]]</f>
        <v>0</v>
      </c>
      <c r="S243" s="108" t="str">
        <f>IFERROR(Table19[[#This Row],[Num of Stocks]]*Table19[[#This Row],[Ave Entry]],"")</f>
        <v/>
      </c>
      <c r="T243" s="39">
        <f ca="1">Table19[[#This Row],[Combined Exposure]]/$C$8</f>
        <v>0</v>
      </c>
    </row>
    <row r="244" spans="1:20">
      <c r="A244" t="e" vm="315">
        <v>#VALUE!</v>
      </c>
      <c r="B244" s="13" t="str" cm="1">
        <f t="array" aca="1" ref="B244" ca="1">_FV(A244,"Ticker symbol",TRUE)</f>
        <v>CORZ</v>
      </c>
      <c r="C244" s="13" t="s">
        <v>118</v>
      </c>
      <c r="D244" s="13" t="s">
        <v>83</v>
      </c>
      <c r="E244" s="19" cm="1">
        <f t="array" aca="1" ref="E244" ca="1">IFERROR(_FV(A244,"Beta"),2)</f>
        <v>2.9129999999999998</v>
      </c>
      <c r="F244" s="13" t="str" cm="1">
        <f t="array" aca="1" ref="F244" ca="1">_FV(A244,"Instrument type",TRUE)</f>
        <v>Stock</v>
      </c>
      <c r="G244" s="18" cm="1">
        <f t="array" aca="1" ref="G244" ca="1">_FV(Table19[[#This Row],[Assets]],"Price")</f>
        <v>17.350000000000001</v>
      </c>
      <c r="H244" s="36">
        <f>IFERROR(VLOOKUP(Table19[[#This Row],[Assets]],Table25[#All],15,FALSE),"")</f>
        <v>9.463750000000001</v>
      </c>
      <c r="I244" s="36">
        <f>IFERROR(VLOOKUP(Table19[[#This Row],[Assets]],Table25[#All],16,FALSE),0)</f>
        <v>188.55999999999995</v>
      </c>
      <c r="J244" s="84">
        <f ca="1">IFERROR((Table19[[#This Row],[Price]]-Table19[[#This Row],[Ave Entry]])/Table19[[#This Row],[Ave Entry]],"")</f>
        <v>0.83331131950865134</v>
      </c>
      <c r="K244" s="92">
        <f ca="1">IFERROR((Table19[[#This Row],[Price]]-Table19[[#This Row],[Ave Entry]])*Table19[[#This Row],[Num of Stocks]],0)</f>
        <v>0</v>
      </c>
      <c r="L244" s="38" cm="1">
        <f t="array" aca="1" ref="L244" ca="1">_FV(Table19[[#This Row],[Assets]],"Change (%)",TRUE)</f>
        <v>2.9673999999999999E-2</v>
      </c>
      <c r="M244" s="36">
        <f>SUMIF(Table20[Asset],Table19[[#This Row],[Assets]],Table20[realized_profit])</f>
        <v>0</v>
      </c>
      <c r="N244" s="36">
        <f>SUMIF(Table20[[#All],[Asset]],Table19[[#This Row],[Assets]],Table20[[#All],[delta_exposure]])</f>
        <v>0</v>
      </c>
      <c r="O244" s="98">
        <f ca="1">Table19[[#This Row],[Option Exposure]]/$B$6</f>
        <v>0</v>
      </c>
      <c r="P244" s="51">
        <f>SUMIF(Table25[[#All],[Assets]],Table19[[#This Row],[Assets]],Table25[[#All],[Number of stocks]])</f>
        <v>0</v>
      </c>
      <c r="Q244" s="36">
        <f ca="1">Table19[[#This Row],[Num of Stocks]]*Table19[[#This Row],[Price]]</f>
        <v>0</v>
      </c>
      <c r="R244" s="36">
        <f ca="1">Table19[[#This Row],[Stock Exposure]]+Table19[[#This Row],[Option Exposure]]</f>
        <v>0</v>
      </c>
      <c r="S244" s="108">
        <f>IFERROR(Table19[[#This Row],[Num of Stocks]]*Table19[[#This Row],[Ave Entry]],"")</f>
        <v>0</v>
      </c>
      <c r="T244" s="39">
        <f ca="1">Table19[[#This Row],[Combined Exposure]]/$C$8</f>
        <v>0</v>
      </c>
    </row>
    <row r="245" spans="1:20">
      <c r="A245" t="e" vm="27">
        <v>#VALUE!</v>
      </c>
      <c r="B245" s="13" t="str" cm="1">
        <f t="array" aca="1" ref="B245" ca="1">_FV(A245,"Ticker symbol",TRUE)</f>
        <v>ASML</v>
      </c>
      <c r="C245" s="13" t="s">
        <v>84</v>
      </c>
      <c r="D245" s="13" t="s">
        <v>84</v>
      </c>
      <c r="E245" s="19" cm="1">
        <f t="array" aca="1" ref="E245" ca="1">IFERROR(_FV(A245,"Beta"),2)</f>
        <v>1.8562000000000001</v>
      </c>
      <c r="F245" s="13" t="str" cm="1">
        <f t="array" aca="1" ref="F245" ca="1">_FV(A245,"Instrument type",TRUE)</f>
        <v>Stock</v>
      </c>
      <c r="G245" s="18" cm="1">
        <f t="array" aca="1" ref="G245" ca="1">_FV(Table19[[#This Row],[Assets]],"Price")</f>
        <v>1398.7900999999999</v>
      </c>
      <c r="H245" s="36">
        <f>IFERROR(VLOOKUP(Table19[[#This Row],[Assets]],Table25[#All],15,FALSE),"")</f>
        <v>722.255</v>
      </c>
      <c r="I245" s="36">
        <f>IFERROR(VLOOKUP(Table19[[#This Row],[Assets]],Table25[#All],16,FALSE),0)</f>
        <v>23.580000000000155</v>
      </c>
      <c r="J245" s="84">
        <f ca="1">IFERROR((Table19[[#This Row],[Price]]-Table19[[#This Row],[Ave Entry]])/Table19[[#This Row],[Ave Entry]],"")</f>
        <v>0.93669839599587401</v>
      </c>
      <c r="K245" s="92">
        <f ca="1">IFERROR((Table19[[#This Row],[Price]]-Table19[[#This Row],[Ave Entry]])*Table19[[#This Row],[Num of Stocks]],0)</f>
        <v>0</v>
      </c>
      <c r="L245" s="38" cm="1">
        <f t="array" aca="1" ref="L245" ca="1">_FV(Table19[[#This Row],[Assets]],"Change (%)",TRUE)</f>
        <v>-4.5009999999999999E-4</v>
      </c>
      <c r="M245" s="36">
        <f>SUMIF(Table20[Asset],Table19[[#This Row],[Assets]],Table20[realized_profit])</f>
        <v>1541</v>
      </c>
      <c r="N245" s="36">
        <f ca="1">SUMIF(Table20[[#All],[Asset]],Table19[[#This Row],[Assets]],Table20[[#All],[delta_exposure]])</f>
        <v>0</v>
      </c>
      <c r="O245" s="38">
        <f ca="1">Table19[[#This Row],[Option Exposure]]/$B$6</f>
        <v>0</v>
      </c>
      <c r="P245" s="51">
        <f>SUMIF(Table25[[#All],[Assets]],Table19[[#This Row],[Assets]],Table25[[#All],[Number of stocks]])</f>
        <v>0</v>
      </c>
      <c r="Q245" s="36">
        <f ca="1">Table19[[#This Row],[Num of Stocks]]*Table19[[#This Row],[Price]]</f>
        <v>0</v>
      </c>
      <c r="R245" s="36">
        <f ca="1">Table19[[#This Row],[Stock Exposure]]+Table19[[#This Row],[Option Exposure]]</f>
        <v>0</v>
      </c>
      <c r="S245" s="108">
        <f>IFERROR(Table19[[#This Row],[Num of Stocks]]*Table19[[#This Row],[Ave Entry]],"")</f>
        <v>0</v>
      </c>
      <c r="T245" s="39">
        <f ca="1">Table19[[#This Row],[Combined Exposure]]/$C$8</f>
        <v>0</v>
      </c>
    </row>
    <row r="246" spans="1:20">
      <c r="A246" t="e" vm="316">
        <v>#VALUE!</v>
      </c>
      <c r="B246" s="13" t="str" cm="1">
        <f t="array" aca="1" ref="B246" ca="1">_FV(A246,"Ticker symbol",TRUE)</f>
        <v>IRTC</v>
      </c>
      <c r="C246" s="13" t="s">
        <v>53</v>
      </c>
      <c r="D246" s="13" t="s">
        <v>352</v>
      </c>
      <c r="E246" s="19" cm="1">
        <f t="array" aca="1" ref="E246" ca="1">IFERROR(_FV(A246,"Beta"),2)</f>
        <v>1.1785000000000001</v>
      </c>
      <c r="F246" s="13" t="str" cm="1">
        <f t="array" aca="1" ref="F246" ca="1">_FV(A246,"Instrument type",TRUE)</f>
        <v>Stock</v>
      </c>
      <c r="G246" s="18" cm="1">
        <f t="array" aca="1" ref="G246" ca="1">_FV(Table19[[#This Row],[Assets]],"Price")</f>
        <v>120.47</v>
      </c>
      <c r="H246" s="36">
        <f>IFERROR(VLOOKUP(Table19[[#This Row],[Assets]],Table25[#All],15,FALSE),"")</f>
        <v>78.26045454545455</v>
      </c>
      <c r="I246" s="36">
        <f>IFERROR(VLOOKUP(Table19[[#This Row],[Assets]],Table25[#All],16,FALSE),0)</f>
        <v>148.44000000000005</v>
      </c>
      <c r="J246" s="84">
        <f ca="1">IFERROR((Table19[[#This Row],[Price]]-Table19[[#This Row],[Ave Entry]])/Table19[[#This Row],[Ave Entry]],"")</f>
        <v>0.53934705209295286</v>
      </c>
      <c r="K246" s="92">
        <f ca="1">IFERROR((Table19[[#This Row],[Price]]-Table19[[#This Row],[Ave Entry]])*Table19[[#This Row],[Num of Stocks]],0)</f>
        <v>0</v>
      </c>
      <c r="L246" s="38" cm="1">
        <f t="array" aca="1" ref="L246" ca="1">_FV(Table19[[#This Row],[Assets]],"Change (%)",TRUE)</f>
        <v>1.4997E-2</v>
      </c>
      <c r="M246" s="36">
        <f>SUMIF(Table20[Asset],Table19[[#This Row],[Assets]],Table20[realized_profit])</f>
        <v>0</v>
      </c>
      <c r="N246" s="36">
        <f>SUMIF(Table20[[#All],[Asset]],Table19[[#This Row],[Assets]],Table20[[#All],[delta_exposure]])</f>
        <v>0</v>
      </c>
      <c r="O246" s="38">
        <f ca="1">Table19[[#This Row],[Option Exposure]]/$B$6</f>
        <v>0</v>
      </c>
      <c r="P246" s="51">
        <f>SUMIF(Table25[[#All],[Assets]],Table19[[#This Row],[Assets]],Table25[[#All],[Number of stocks]])</f>
        <v>0</v>
      </c>
      <c r="Q246" s="36">
        <f ca="1">Table19[[#This Row],[Num of Stocks]]*Table19[[#This Row],[Price]]</f>
        <v>0</v>
      </c>
      <c r="R246" s="36">
        <f ca="1">Table19[[#This Row],[Stock Exposure]]+Table19[[#This Row],[Option Exposure]]</f>
        <v>0</v>
      </c>
      <c r="S246" s="108">
        <f>IFERROR(Table19[[#This Row],[Num of Stocks]]*Table19[[#This Row],[Ave Entry]],"")</f>
        <v>0</v>
      </c>
      <c r="T246" s="39">
        <f ca="1">Table19[[#This Row],[Combined Exposure]]/$C$8</f>
        <v>0</v>
      </c>
    </row>
    <row r="247" spans="1:20">
      <c r="A247" t="e" vm="317">
        <v>#VALUE!</v>
      </c>
      <c r="B247" s="13" t="str" cm="1">
        <f t="array" aca="1" ref="B247" ca="1">_FV(A247,"Ticker symbol",TRUE)</f>
        <v>RUM</v>
      </c>
      <c r="C247" s="13" t="s">
        <v>29</v>
      </c>
      <c r="D247" s="13" t="s">
        <v>121</v>
      </c>
      <c r="E247" s="19" cm="1">
        <f t="array" aca="1" ref="E247" ca="1">IFERROR(_FV(A247,"Beta"),2)</f>
        <v>0.71419999999999995</v>
      </c>
      <c r="F247" s="13" t="str" cm="1">
        <f t="array" aca="1" ref="F247" ca="1">_FV(A247,"Instrument type",TRUE)</f>
        <v>Stock</v>
      </c>
      <c r="G247" s="18" cm="1">
        <f t="array" aca="1" ref="G247" ca="1">_FV(Table19[[#This Row],[Assets]],"Price")</f>
        <v>5.19</v>
      </c>
      <c r="H247" s="36">
        <f>IFERROR(VLOOKUP(Table19[[#This Row],[Assets]],Table25[#All],15,FALSE),"")</f>
        <v>6.16</v>
      </c>
      <c r="I247" s="36">
        <f>IFERROR(VLOOKUP(Table19[[#This Row],[Assets]],Table25[#All],16,FALSE),0)</f>
        <v>54.400000000000048</v>
      </c>
      <c r="J247" s="84">
        <f ca="1">IFERROR((Table19[[#This Row],[Price]]-Table19[[#This Row],[Ave Entry]])/Table19[[#This Row],[Ave Entry]],"")</f>
        <v>-0.15746753246753242</v>
      </c>
      <c r="K247" s="92">
        <f ca="1">IFERROR((Table19[[#This Row],[Price]]-Table19[[#This Row],[Ave Entry]])*Table19[[#This Row],[Num of Stocks]],0)</f>
        <v>0</v>
      </c>
      <c r="L247" s="38" cm="1">
        <f t="array" aca="1" ref="L247" ca="1">_FV(Table19[[#This Row],[Assets]],"Change (%)",TRUE)</f>
        <v>1.3672E-2</v>
      </c>
      <c r="M247" s="36">
        <f>SUMIF(Table20[Asset],Table19[[#This Row],[Assets]],Table20[realized_profit])</f>
        <v>0</v>
      </c>
      <c r="N247" s="36">
        <f>SUMIF(Table20[[#All],[Asset]],Table19[[#This Row],[Assets]],Table20[[#All],[delta_exposure]])</f>
        <v>0</v>
      </c>
      <c r="O247" s="38">
        <f ca="1">Table19[[#This Row],[Option Exposure]]/$B$6</f>
        <v>0</v>
      </c>
      <c r="P247" s="51">
        <f>SUMIF(Table25[[#All],[Assets]],Table19[[#This Row],[Assets]],Table25[[#All],[Number of stocks]])</f>
        <v>0</v>
      </c>
      <c r="Q247" s="36">
        <f ca="1">Table19[[#This Row],[Num of Stocks]]*Table19[[#This Row],[Price]]</f>
        <v>0</v>
      </c>
      <c r="R247" s="36">
        <f ca="1">Table19[[#This Row],[Stock Exposure]]+Table19[[#This Row],[Option Exposure]]</f>
        <v>0</v>
      </c>
      <c r="S247" s="108">
        <f>IFERROR(Table19[[#This Row],[Num of Stocks]]*Table19[[#This Row],[Ave Entry]],"")</f>
        <v>0</v>
      </c>
      <c r="T247" s="39">
        <f ca="1">Table19[[#This Row],[Combined Exposure]]/$C$8</f>
        <v>0</v>
      </c>
    </row>
    <row r="248" spans="1:20">
      <c r="A248" t="e" vm="318">
        <v>#VALUE!</v>
      </c>
      <c r="B248" s="13" t="str" cm="1">
        <f t="array" aca="1" ref="B248" ca="1">_FV(A248,"Ticker symbol",TRUE)</f>
        <v>NUE</v>
      </c>
      <c r="C248" s="13" t="s">
        <v>122</v>
      </c>
      <c r="D248" s="13" t="s">
        <v>59</v>
      </c>
      <c r="E248" s="19" cm="1">
        <f t="array" aca="1" ref="E248" ca="1">IFERROR(_FV(A248,"Beta"),2)</f>
        <v>1.7678</v>
      </c>
      <c r="F248" s="13" t="str" cm="1">
        <f t="array" aca="1" ref="F248" ca="1">_FV(A248,"Instrument type",TRUE)</f>
        <v>Stock</v>
      </c>
      <c r="G248" s="18" cm="1">
        <f t="array" aca="1" ref="G248" ca="1">_FV(Table19[[#This Row],[Assets]],"Price")</f>
        <v>165.33</v>
      </c>
      <c r="H248" s="36">
        <f>IFERROR(VLOOKUP(Table19[[#This Row],[Assets]],Table25[#All],15,FALSE),"")</f>
        <v>155.52000000000001</v>
      </c>
      <c r="I248" s="36">
        <f>IFERROR(VLOOKUP(Table19[[#This Row],[Assets]],Table25[#All],16,FALSE),0)</f>
        <v>9.2999999999999545</v>
      </c>
      <c r="J248" s="84">
        <f ca="1">IFERROR((Table19[[#This Row],[Price]]-Table19[[#This Row],[Ave Entry]])/Table19[[#This Row],[Ave Entry]],"")</f>
        <v>6.307870370370372E-2</v>
      </c>
      <c r="K248" s="92">
        <f ca="1">IFERROR((Table19[[#This Row],[Price]]-Table19[[#This Row],[Ave Entry]])*Table19[[#This Row],[Num of Stocks]],0)</f>
        <v>0</v>
      </c>
      <c r="L248" s="38" cm="1">
        <f t="array" aca="1" ref="L248" ca="1">_FV(Table19[[#This Row],[Assets]],"Change (%)",TRUE)</f>
        <v>1.5914999999999999E-2</v>
      </c>
      <c r="M248" s="36">
        <f>SUMIF(Table20[Asset],Table19[[#This Row],[Assets]],Table20[realized_profit])</f>
        <v>0</v>
      </c>
      <c r="N248" s="36">
        <f>SUMIF(Table20[[#All],[Asset]],Table19[[#This Row],[Assets]],Table20[[#All],[delta_exposure]])</f>
        <v>0</v>
      </c>
      <c r="O248" s="98">
        <f ca="1">Table19[[#This Row],[Option Exposure]]/$B$6</f>
        <v>0</v>
      </c>
      <c r="P248" s="51">
        <f>SUMIF(Table25[[#All],[Assets]],Table19[[#This Row],[Assets]],Table25[[#All],[Number of stocks]])</f>
        <v>0</v>
      </c>
      <c r="Q248" s="36">
        <f ca="1">Table19[[#This Row],[Num of Stocks]]*Table19[[#This Row],[Price]]</f>
        <v>0</v>
      </c>
      <c r="R248" s="36">
        <f ca="1">Table19[[#This Row],[Stock Exposure]]+Table19[[#This Row],[Option Exposure]]</f>
        <v>0</v>
      </c>
      <c r="S248" s="108">
        <f>IFERROR(Table19[[#This Row],[Num of Stocks]]*Table19[[#This Row],[Ave Entry]],"")</f>
        <v>0</v>
      </c>
      <c r="T248" s="39">
        <f ca="1">Table19[[#This Row],[Combined Exposure]]/$C$8</f>
        <v>0</v>
      </c>
    </row>
    <row r="249" spans="1:20">
      <c r="A249" t="e" vm="319">
        <v>#VALUE!</v>
      </c>
      <c r="B249" s="13" t="str" cm="1">
        <f t="array" aca="1" ref="B249" ca="1">_FV(A249,"Ticker symbol",TRUE)</f>
        <v>PTON</v>
      </c>
      <c r="C249" s="13" t="s">
        <v>358</v>
      </c>
      <c r="D249" s="13" t="s">
        <v>55</v>
      </c>
      <c r="E249" s="19" cm="1">
        <f t="array" aca="1" ref="E249" ca="1">IFERROR(_FV(A249,"Beta"),2)</f>
        <v>2.4127999999999998</v>
      </c>
      <c r="F249" s="13" t="str" cm="1">
        <f t="array" aca="1" ref="F249" ca="1">_FV(A249,"Instrument type",TRUE)</f>
        <v>Stock</v>
      </c>
      <c r="G249" s="18" cm="1">
        <f t="array" aca="1" ref="G249" ca="1">_FV(Table19[[#This Row],[Assets]],"Price")</f>
        <v>4.09</v>
      </c>
      <c r="H249" s="36">
        <f>IFERROR(VLOOKUP(Table19[[#This Row],[Assets]],Table25[#All],15,FALSE),"")</f>
        <v>5.14</v>
      </c>
      <c r="I249" s="36">
        <f>IFERROR(VLOOKUP(Table19[[#This Row],[Assets]],Table25[#All],16,FALSE),0)</f>
        <v>193.2</v>
      </c>
      <c r="J249" s="84">
        <f ca="1">IFERROR((Table19[[#This Row],[Price]]-Table19[[#This Row],[Ave Entry]])/Table19[[#This Row],[Ave Entry]],"")</f>
        <v>-0.20428015564202331</v>
      </c>
      <c r="K249" s="92">
        <f ca="1">IFERROR((Table19[[#This Row],[Price]]-Table19[[#This Row],[Ave Entry]])*Table19[[#This Row],[Num of Stocks]],0)</f>
        <v>0</v>
      </c>
      <c r="L249" s="38" cm="1">
        <f t="array" aca="1" ref="L249" ca="1">_FV(Table19[[#This Row],[Assets]],"Change (%)",TRUE)</f>
        <v>-4.8659999999999997E-3</v>
      </c>
      <c r="M249" s="36">
        <f>SUMIF(Table20[Asset],Table19[[#This Row],[Assets]],Table20[realized_profit])</f>
        <v>0</v>
      </c>
      <c r="N249" s="36">
        <f>SUMIF(Table20[[#All],[Asset]],Table19[[#This Row],[Assets]],Table20[[#All],[delta_exposure]])</f>
        <v>0</v>
      </c>
      <c r="O249" s="38">
        <f ca="1">Table19[[#This Row],[Option Exposure]]/$B$6</f>
        <v>0</v>
      </c>
      <c r="P249" s="51">
        <f>SUMIF(Table25[[#All],[Assets]],Table19[[#This Row],[Assets]],Table25[[#All],[Number of stocks]])</f>
        <v>0</v>
      </c>
      <c r="Q249" s="36">
        <f ca="1">Table19[[#This Row],[Num of Stocks]]*Table19[[#This Row],[Price]]</f>
        <v>0</v>
      </c>
      <c r="R249" s="36">
        <f ca="1">Table19[[#This Row],[Stock Exposure]]+Table19[[#This Row],[Option Exposure]]</f>
        <v>0</v>
      </c>
      <c r="S249" s="108">
        <f>IFERROR(Table19[[#This Row],[Num of Stocks]]*Table19[[#This Row],[Ave Entry]],"")</f>
        <v>0</v>
      </c>
      <c r="T249" s="39">
        <f ca="1">Table19[[#This Row],[Combined Exposure]]/$C$8</f>
        <v>0</v>
      </c>
    </row>
    <row r="250" spans="1:20">
      <c r="A250" t="e" vm="320">
        <v>#VALUE!</v>
      </c>
      <c r="B250" s="13" t="str" cm="1">
        <f t="array" aca="1" ref="B250" ca="1">_FV(A250,"Ticker symbol",TRUE)</f>
        <v>BFAM</v>
      </c>
      <c r="C250" s="13" t="s">
        <v>326</v>
      </c>
      <c r="D250" s="13" t="s">
        <v>53</v>
      </c>
      <c r="E250" s="19" cm="1">
        <f t="array" aca="1" ref="E250" ca="1">IFERROR(_FV(A250,"Beta"),2)</f>
        <v>1.3375999999999999</v>
      </c>
      <c r="F250" s="13" t="str" cm="1">
        <f t="array" aca="1" ref="F250" ca="1">_FV(A250,"Instrument type",TRUE)</f>
        <v>Stock</v>
      </c>
      <c r="G250" s="18" cm="1">
        <f t="array" aca="1" ref="G250" ca="1">_FV(Table19[[#This Row],[Assets]],"Price")</f>
        <v>78.520099999999999</v>
      </c>
      <c r="H250" s="36" t="str">
        <f>IFERROR(VLOOKUP(Table19[[#This Row],[Assets]],Table25[#All],15,FALSE),"")</f>
        <v/>
      </c>
      <c r="I250" s="36">
        <f>IFERROR(VLOOKUP(Table19[[#This Row],[Assets]],Table25[#All],16,FALSE),0)</f>
        <v>0</v>
      </c>
      <c r="J250" s="84" t="str">
        <f ca="1">IFERROR((Table19[[#This Row],[Price]]-Table19[[#This Row],[Ave Entry]])/Table19[[#This Row],[Ave Entry]],"")</f>
        <v/>
      </c>
      <c r="K250" s="92">
        <f ca="1">IFERROR((Table19[[#This Row],[Price]]-Table19[[#This Row],[Ave Entry]])*Table19[[#This Row],[Num of Stocks]],0)</f>
        <v>0</v>
      </c>
      <c r="L250" s="38" cm="1">
        <f t="array" aca="1" ref="L250" ca="1">_FV(Table19[[#This Row],[Assets]],"Change (%)",TRUE)</f>
        <v>-6.7029999999999998E-3</v>
      </c>
      <c r="M250" s="36">
        <f>SUMIF(Table20[Asset],Table19[[#This Row],[Assets]],Table20[realized_profit])</f>
        <v>0</v>
      </c>
      <c r="N250" s="36">
        <f>SUMIF(Table20[[#All],[Asset]],Table19[[#This Row],[Assets]],Table20[[#All],[delta_exposure]])</f>
        <v>0</v>
      </c>
      <c r="O250" s="38">
        <f ca="1">Table19[[#This Row],[Option Exposure]]/$B$6</f>
        <v>0</v>
      </c>
      <c r="P250" s="51">
        <f>SUMIF(Table25[[#All],[Assets]],Table19[[#This Row],[Assets]],Table25[[#All],[Number of stocks]])</f>
        <v>0</v>
      </c>
      <c r="Q250" s="36">
        <f ca="1">Table19[[#This Row],[Num of Stocks]]*Table19[[#This Row],[Price]]</f>
        <v>0</v>
      </c>
      <c r="R250" s="36">
        <f ca="1">Table19[[#This Row],[Stock Exposure]]+Table19[[#This Row],[Option Exposure]]</f>
        <v>0</v>
      </c>
      <c r="S250" s="108" t="str">
        <f>IFERROR(Table19[[#This Row],[Num of Stocks]]*Table19[[#This Row],[Ave Entry]],"")</f>
        <v/>
      </c>
      <c r="T250" s="39">
        <f ca="1">Table19[[#This Row],[Combined Exposure]]/$C$8</f>
        <v>0</v>
      </c>
    </row>
    <row r="251" spans="1:20">
      <c r="A251" t="e" vm="321">
        <v>#VALUE!</v>
      </c>
      <c r="B251" s="13" t="str" cm="1">
        <f t="array" aca="1" ref="B251" ca="1">_FV(A251,"Ticker symbol",TRUE)</f>
        <v>RYCEY</v>
      </c>
      <c r="C251" s="13" t="s">
        <v>56</v>
      </c>
      <c r="D251" s="13" t="s">
        <v>56</v>
      </c>
      <c r="E251" s="19" cm="1">
        <f t="array" aca="1" ref="E251" ca="1">IFERROR(_FV(A251,"Beta"),2)</f>
        <v>1.1974</v>
      </c>
      <c r="F251" s="13" t="str" cm="1">
        <f t="array" aca="1" ref="F251" ca="1">_FV(A251,"Instrument type",TRUE)</f>
        <v>Stock</v>
      </c>
      <c r="G251" s="18" cm="1">
        <f t="array" aca="1" ref="G251" ca="1">_FV(Table19[[#This Row],[Assets]],"Price")</f>
        <v>16.108000000000001</v>
      </c>
      <c r="H251" s="36">
        <f>IFERROR(VLOOKUP(Table19[[#This Row],[Assets]],Table25[#All],15,FALSE),"")</f>
        <v>5.82</v>
      </c>
      <c r="I251" s="36">
        <f>IFERROR(VLOOKUP(Table19[[#This Row],[Assets]],Table25[#All],16,FALSE),0)</f>
        <v>3.2699999999999996</v>
      </c>
      <c r="J251" s="84">
        <f ca="1">IFERROR((Table19[[#This Row],[Price]]-Table19[[#This Row],[Ave Entry]])/Table19[[#This Row],[Ave Entry]],"")</f>
        <v>1.7676975945017182</v>
      </c>
      <c r="K251" s="92">
        <f ca="1">IFERROR((Table19[[#This Row],[Price]]-Table19[[#This Row],[Ave Entry]])*Table19[[#This Row],[Num of Stocks]],0)</f>
        <v>0</v>
      </c>
      <c r="L251" s="38" cm="1">
        <f t="array" aca="1" ref="L251" ca="1">_FV(Table19[[#This Row],[Assets]],"Change (%)",TRUE)</f>
        <v>2.7951E-2</v>
      </c>
      <c r="M251" s="36">
        <f>SUMIF(Table20[Asset],Table19[[#This Row],[Assets]],Table20[realized_profit])</f>
        <v>0</v>
      </c>
      <c r="N251" s="36">
        <f>SUMIF(Table20[[#All],[Asset]],Table19[[#This Row],[Assets]],Table20[[#All],[delta_exposure]])</f>
        <v>0</v>
      </c>
      <c r="O251" s="98">
        <f ca="1">Table19[[#This Row],[Option Exposure]]/$B$6</f>
        <v>0</v>
      </c>
      <c r="P251" s="51">
        <f>SUMIF(Table25[[#All],[Assets]],Table19[[#This Row],[Assets]],Table25[[#All],[Number of stocks]])</f>
        <v>0</v>
      </c>
      <c r="Q251" s="36">
        <f ca="1">Table19[[#This Row],[Num of Stocks]]*Table19[[#This Row],[Price]]</f>
        <v>0</v>
      </c>
      <c r="R251" s="36">
        <f ca="1">Table19[[#This Row],[Stock Exposure]]+Table19[[#This Row],[Option Exposure]]</f>
        <v>0</v>
      </c>
      <c r="S251" s="108">
        <f>IFERROR(Table19[[#This Row],[Num of Stocks]]*Table19[[#This Row],[Ave Entry]],"")</f>
        <v>0</v>
      </c>
      <c r="T251" s="39">
        <f ca="1">Table19[[#This Row],[Combined Exposure]]/$C$8</f>
        <v>0</v>
      </c>
    </row>
    <row r="252" spans="1:20">
      <c r="A252" t="e" vm="164">
        <v>#VALUE!</v>
      </c>
      <c r="B252" s="13" t="str" cm="1">
        <f t="array" aca="1" ref="B252" ca="1">_FV(A252,"Ticker symbol",TRUE)</f>
        <v>KLAC</v>
      </c>
      <c r="C252" s="13" t="s">
        <v>84</v>
      </c>
      <c r="D252" s="13" t="s">
        <v>84</v>
      </c>
      <c r="E252" s="19" cm="1">
        <f t="array" aca="1" ref="E252" ca="1">IFERROR(_FV(A252,"Beta"),2)</f>
        <v>1.4088000000000001</v>
      </c>
      <c r="F252" s="13" t="str" cm="1">
        <f t="array" aca="1" ref="F252" ca="1">_FV(A252,"Instrument type",TRUE)</f>
        <v>Stock</v>
      </c>
      <c r="G252" s="18" cm="1">
        <f t="array" aca="1" ref="G252" ca="1">_FV(Table19[[#This Row],[Assets]],"Price")</f>
        <v>1561.62</v>
      </c>
      <c r="H252" s="36">
        <f>IFERROR(VLOOKUP(Table19[[#This Row],[Assets]],Table25[#All],15,FALSE),"")</f>
        <v>664.7</v>
      </c>
      <c r="I252" s="36">
        <f>IFERROR(VLOOKUP(Table19[[#This Row],[Assets]],Table25[#All],16,FALSE),0)</f>
        <v>46.779999999999973</v>
      </c>
      <c r="J252" s="84">
        <f ca="1">IFERROR((Table19[[#This Row],[Price]]-Table19[[#This Row],[Ave Entry]])/Table19[[#This Row],[Ave Entry]],"")</f>
        <v>1.3493606138107415</v>
      </c>
      <c r="K252" s="92">
        <f ca="1">IFERROR((Table19[[#This Row],[Price]]-Table19[[#This Row],[Ave Entry]])*Table19[[#This Row],[Num of Stocks]],0)</f>
        <v>0</v>
      </c>
      <c r="L252" s="38" cm="1">
        <f t="array" aca="1" ref="L252" ca="1">_FV(Table19[[#This Row],[Assets]],"Change (%)",TRUE)</f>
        <v>-2.918E-3</v>
      </c>
      <c r="M252" s="36">
        <f>SUMIF(Table20[Asset],Table19[[#This Row],[Assets]],Table20[realized_profit])</f>
        <v>0</v>
      </c>
      <c r="N252" s="36">
        <f>SUMIF(Table20[[#All],[Asset]],Table19[[#This Row],[Assets]],Table20[[#All],[delta_exposure]])</f>
        <v>0</v>
      </c>
      <c r="O252" s="38">
        <f ca="1">Table19[[#This Row],[Option Exposure]]/$B$6</f>
        <v>0</v>
      </c>
      <c r="P252" s="51">
        <f>SUMIF(Table25[[#All],[Assets]],Table19[[#This Row],[Assets]],Table25[[#All],[Number of stocks]])</f>
        <v>0</v>
      </c>
      <c r="Q252" s="36">
        <f ca="1">Table19[[#This Row],[Num of Stocks]]*Table19[[#This Row],[Price]]</f>
        <v>0</v>
      </c>
      <c r="R252" s="36">
        <f ca="1">Table19[[#This Row],[Stock Exposure]]+Table19[[#This Row],[Option Exposure]]</f>
        <v>0</v>
      </c>
      <c r="S252" s="108">
        <f>IFERROR(Table19[[#This Row],[Num of Stocks]]*Table19[[#This Row],[Ave Entry]],"")</f>
        <v>0</v>
      </c>
      <c r="T252" s="39">
        <f ca="1">Table19[[#This Row],[Combined Exposure]]/$C$8</f>
        <v>0</v>
      </c>
    </row>
    <row r="253" spans="1:20">
      <c r="A253" t="e" vm="322">
        <v>#VALUE!</v>
      </c>
      <c r="B253" s="13" t="str" cm="1">
        <f t="array" aca="1" ref="B253" ca="1">_FV(A253,"Ticker symbol",TRUE)</f>
        <v>CLFD</v>
      </c>
      <c r="C253" s="13" t="s">
        <v>258</v>
      </c>
      <c r="D253" s="13" t="s">
        <v>29</v>
      </c>
      <c r="E253" s="19" cm="1">
        <f t="array" aca="1" ref="E253" ca="1">IFERROR(_FV(A253,"Beta"),2)</f>
        <v>1.9547000000000001</v>
      </c>
      <c r="F253" s="13" t="str" cm="1">
        <f t="array" aca="1" ref="F253" ca="1">_FV(A253,"Instrument type",TRUE)</f>
        <v>Stock</v>
      </c>
      <c r="G253" s="18" cm="1">
        <f t="array" aca="1" ref="G253" ca="1">_FV(Table19[[#This Row],[Assets]],"Price")</f>
        <v>29.65</v>
      </c>
      <c r="H253" s="36">
        <f>IFERROR(VLOOKUP(Table19[[#This Row],[Assets]],Table25[#All],15,FALSE),"")</f>
        <v>36.520000000000003</v>
      </c>
      <c r="I253" s="36">
        <f>IFERROR(VLOOKUP(Table19[[#This Row],[Assets]],Table25[#All],16,FALSE),0)</f>
        <v>6.9999999999999929</v>
      </c>
      <c r="J253" s="84">
        <f ca="1">IFERROR((Table19[[#This Row],[Price]]-Table19[[#This Row],[Ave Entry]])/Table19[[#This Row],[Ave Entry]],"")</f>
        <v>-0.18811610076670329</v>
      </c>
      <c r="K253" s="92">
        <f ca="1">IFERROR((Table19[[#This Row],[Price]]-Table19[[#This Row],[Ave Entry]])*Table19[[#This Row],[Num of Stocks]],0)</f>
        <v>0</v>
      </c>
      <c r="L253" s="38" cm="1">
        <f t="array" aca="1" ref="L253" ca="1">_FV(Table19[[#This Row],[Assets]],"Change (%)",TRUE)</f>
        <v>5.4259999999999994E-3</v>
      </c>
      <c r="M253" s="36">
        <f>SUMIF(Table20[Asset],Table19[[#This Row],[Assets]],Table20[realized_profit])</f>
        <v>0</v>
      </c>
      <c r="N253" s="36">
        <f>SUMIF(Table20[[#All],[Asset]],Table19[[#This Row],[Assets]],Table20[[#All],[delta_exposure]])</f>
        <v>0</v>
      </c>
      <c r="O253" s="38">
        <f ca="1">Table19[[#This Row],[Option Exposure]]/$B$6</f>
        <v>0</v>
      </c>
      <c r="P253" s="51">
        <f>SUMIF(Table25[[#All],[Assets]],Table19[[#This Row],[Assets]],Table25[[#All],[Number of stocks]])</f>
        <v>0</v>
      </c>
      <c r="Q253" s="36">
        <f ca="1">Table19[[#This Row],[Num of Stocks]]*Table19[[#This Row],[Price]]</f>
        <v>0</v>
      </c>
      <c r="R253" s="36">
        <f ca="1">Table19[[#This Row],[Stock Exposure]]+Table19[[#This Row],[Option Exposure]]</f>
        <v>0</v>
      </c>
      <c r="S253" s="108">
        <f>IFERROR(Table19[[#This Row],[Num of Stocks]]*Table19[[#This Row],[Ave Entry]],"")</f>
        <v>0</v>
      </c>
      <c r="T253" s="39">
        <f ca="1">Table19[[#This Row],[Combined Exposure]]/$C$8</f>
        <v>0</v>
      </c>
    </row>
    <row r="254" spans="1:20">
      <c r="A254" t="e" vm="323">
        <v>#VALUE!</v>
      </c>
      <c r="B254" s="13" t="str" cm="1">
        <f t="array" aca="1" ref="B254" ca="1">_FV(A254,"Ticker symbol",TRUE)</f>
        <v>TERN</v>
      </c>
      <c r="C254" s="13" t="s">
        <v>53</v>
      </c>
      <c r="D254" s="13" t="s">
        <v>560</v>
      </c>
      <c r="E254" s="19" cm="1">
        <f t="array" aca="1" ref="E254" ca="1">IFERROR(_FV(A254,"Beta"),2)</f>
        <v>-0.33939999999999998</v>
      </c>
      <c r="F254" s="13" t="str" cm="1">
        <f t="array" aca="1" ref="F254" ca="1">_FV(A254,"Instrument type",TRUE)</f>
        <v>Stock</v>
      </c>
      <c r="G254" s="18" cm="1">
        <f t="array" aca="1" ref="G254" ca="1">_FV(Table19[[#This Row],[Assets]],"Price")</f>
        <v>52.7</v>
      </c>
      <c r="H254" s="36" t="str">
        <f>IFERROR(VLOOKUP(Table19[[#This Row],[Assets]],Table25[#All],15,FALSE),"")</f>
        <v/>
      </c>
      <c r="I254" s="36">
        <f>IFERROR(VLOOKUP(Table19[[#This Row],[Assets]],Table25[#All],16,FALSE),0)</f>
        <v>0</v>
      </c>
      <c r="J254" s="84" t="str">
        <f ca="1">IFERROR((Table19[[#This Row],[Price]]-Table19[[#This Row],[Ave Entry]])/Table19[[#This Row],[Ave Entry]],"")</f>
        <v/>
      </c>
      <c r="K254" s="92">
        <f ca="1">IFERROR((Table19[[#This Row],[Price]]-Table19[[#This Row],[Ave Entry]])*Table19[[#This Row],[Num of Stocks]],0)</f>
        <v>0</v>
      </c>
      <c r="L254" s="38" cm="1">
        <f t="array" aca="1" ref="L254" ca="1">_FV(Table19[[#This Row],[Assets]],"Change (%)",TRUE)</f>
        <v>5.4000000000000006E-2</v>
      </c>
      <c r="M254" s="36">
        <f>SUMIF(Table20[Asset],Table19[[#This Row],[Assets]],Table20[realized_profit])</f>
        <v>0</v>
      </c>
      <c r="N254" s="36">
        <f>SUMIF(Table20[[#All],[Asset]],Table19[[#This Row],[Assets]],Table20[[#All],[delta_exposure]])</f>
        <v>0</v>
      </c>
      <c r="O254" s="38">
        <f ca="1">Table19[[#This Row],[Option Exposure]]/$B$6</f>
        <v>0</v>
      </c>
      <c r="P254" s="51">
        <f>SUMIF(Table25[[#All],[Assets]],Table19[[#This Row],[Assets]],Table25[[#All],[Number of stocks]])</f>
        <v>0</v>
      </c>
      <c r="Q254" s="36">
        <f ca="1">Table19[[#This Row],[Num of Stocks]]*Table19[[#This Row],[Price]]</f>
        <v>0</v>
      </c>
      <c r="R254" s="36">
        <f ca="1">Table19[[#This Row],[Stock Exposure]]+Table19[[#This Row],[Option Exposure]]</f>
        <v>0</v>
      </c>
      <c r="S254" s="108" t="str">
        <f>IFERROR(Table19[[#This Row],[Num of Stocks]]*Table19[[#This Row],[Ave Entry]],"")</f>
        <v/>
      </c>
      <c r="T254" s="39">
        <f ca="1">Table19[[#This Row],[Combined Exposure]]/$C$8</f>
        <v>0</v>
      </c>
    </row>
    <row r="255" spans="1:20">
      <c r="A255" t="e" vm="324">
        <v>#VALUE!</v>
      </c>
      <c r="B255" s="13" t="str" cm="1">
        <f t="array" aca="1" ref="B255" ca="1">_FV(A255,"Ticker symbol",TRUE)</f>
        <v>AGYS</v>
      </c>
      <c r="C255" s="13" t="s">
        <v>550</v>
      </c>
      <c r="D255" s="13" t="s">
        <v>121</v>
      </c>
      <c r="E255" s="19" cm="1">
        <f t="array" aca="1" ref="E255" ca="1">IFERROR(_FV(A255,"Beta"),2)</f>
        <v>0.4219</v>
      </c>
      <c r="F255" s="13" t="str" cm="1">
        <f t="array" aca="1" ref="F255" ca="1">_FV(A255,"Instrument type",TRUE)</f>
        <v>Stock</v>
      </c>
      <c r="G255" s="18" cm="1">
        <f t="array" aca="1" ref="G255" ca="1">_FV(Table19[[#This Row],[Assets]],"Price")</f>
        <v>71.775000000000006</v>
      </c>
      <c r="H255" s="36" t="str">
        <f>IFERROR(VLOOKUP(Table19[[#This Row],[Assets]],Table25[#All],15,FALSE),"")</f>
        <v/>
      </c>
      <c r="I255" s="36">
        <f>IFERROR(VLOOKUP(Table19[[#This Row],[Assets]],Table25[#All],16,FALSE),0)</f>
        <v>0</v>
      </c>
      <c r="J255" s="84" t="str">
        <f ca="1">IFERROR((Table19[[#This Row],[Price]]-Table19[[#This Row],[Ave Entry]])/Table19[[#This Row],[Ave Entry]],"")</f>
        <v/>
      </c>
      <c r="K255" s="92">
        <f ca="1">IFERROR((Table19[[#This Row],[Price]]-Table19[[#This Row],[Ave Entry]])*Table19[[#This Row],[Num of Stocks]],0)</f>
        <v>0</v>
      </c>
      <c r="L255" s="38" cm="1">
        <f t="array" aca="1" ref="L255" ca="1">_FV(Table19[[#This Row],[Assets]],"Change (%)",TRUE)</f>
        <v>4.1270000000000005E-3</v>
      </c>
      <c r="M255" s="36">
        <f>SUMIF(Table20[Asset],Table19[[#This Row],[Assets]],Table20[realized_profit])</f>
        <v>0</v>
      </c>
      <c r="N255" s="36">
        <f>SUMIF(Table20[[#All],[Asset]],Table19[[#This Row],[Assets]],Table20[[#All],[delta_exposure]])</f>
        <v>0</v>
      </c>
      <c r="O255" s="38">
        <f ca="1">Table19[[#This Row],[Option Exposure]]/$B$6</f>
        <v>0</v>
      </c>
      <c r="P255" s="51">
        <f>SUMIF(Table25[[#All],[Assets]],Table19[[#This Row],[Assets]],Table25[[#All],[Number of stocks]])</f>
        <v>0</v>
      </c>
      <c r="Q255" s="36">
        <f ca="1">Table19[[#This Row],[Num of Stocks]]*Table19[[#This Row],[Price]]</f>
        <v>0</v>
      </c>
      <c r="R255" s="36">
        <f ca="1">Table19[[#This Row],[Stock Exposure]]+Table19[[#This Row],[Option Exposure]]</f>
        <v>0</v>
      </c>
      <c r="S255" s="108" t="str">
        <f>IFERROR(Table19[[#This Row],[Num of Stocks]]*Table19[[#This Row],[Ave Entry]],"")</f>
        <v/>
      </c>
      <c r="T255" s="39">
        <f ca="1">Table19[[#This Row],[Combined Exposure]]/$C$8</f>
        <v>0</v>
      </c>
    </row>
    <row r="256" spans="1:20">
      <c r="A256" t="e" vm="325">
        <v>#VALUE!</v>
      </c>
      <c r="B256" s="13" t="str" cm="1">
        <f t="array" aca="1" ref="B256" ca="1">_FV(A256,"Ticker symbol",TRUE)</f>
        <v>PAGS</v>
      </c>
      <c r="C256" s="13" t="s">
        <v>87</v>
      </c>
      <c r="D256" s="13" t="s">
        <v>87</v>
      </c>
      <c r="E256" s="19" cm="1">
        <f t="array" aca="1" ref="E256" ca="1">IFERROR(_FV(A256,"Beta"),2)</f>
        <v>1.4248000000000001</v>
      </c>
      <c r="F256" s="13" t="str" cm="1">
        <f t="array" aca="1" ref="F256" ca="1">_FV(A256,"Instrument type",TRUE)</f>
        <v>Stock</v>
      </c>
      <c r="G256" s="18" cm="1">
        <f t="array" aca="1" ref="G256" ca="1">_FV(Table19[[#This Row],[Assets]],"Price")</f>
        <v>10.295</v>
      </c>
      <c r="H256" s="36">
        <f>IFERROR(VLOOKUP(Table19[[#This Row],[Assets]],Table25[#All],15,FALSE),"")</f>
        <v>11.129999999999999</v>
      </c>
      <c r="I256" s="36">
        <f>IFERROR(VLOOKUP(Table19[[#This Row],[Assets]],Table25[#All],16,FALSE),0)</f>
        <v>-139.7999999999999</v>
      </c>
      <c r="J256" s="84">
        <f ca="1">IFERROR((Table19[[#This Row],[Price]]-Table19[[#This Row],[Ave Entry]])/Table19[[#This Row],[Ave Entry]],"")</f>
        <v>-7.5022461814914565E-2</v>
      </c>
      <c r="K256" s="92">
        <f ca="1">IFERROR((Table19[[#This Row],[Price]]-Table19[[#This Row],[Ave Entry]])*Table19[[#This Row],[Num of Stocks]],0)</f>
        <v>0</v>
      </c>
      <c r="L256" s="38" cm="1">
        <f t="array" aca="1" ref="L256" ca="1">_FV(Table19[[#This Row],[Assets]],"Change (%)",TRUE)</f>
        <v>3.3634999999999998E-2</v>
      </c>
      <c r="M256" s="36">
        <f>SUMIF(Table20[Asset],Table19[[#This Row],[Assets]],Table20[realized_profit])</f>
        <v>-46</v>
      </c>
      <c r="N256" s="36">
        <f ca="1">SUMIF(Table20[[#All],[Asset]],Table19[[#This Row],[Assets]],Table20[[#All],[delta_exposure]])</f>
        <v>0</v>
      </c>
      <c r="O256" s="98">
        <f ca="1">Table19[[#This Row],[Option Exposure]]/$B$6</f>
        <v>0</v>
      </c>
      <c r="P256" s="51">
        <f>SUMIF(Table25[[#All],[Assets]],Table19[[#This Row],[Assets]],Table25[[#All],[Number of stocks]])</f>
        <v>0</v>
      </c>
      <c r="Q256" s="36">
        <f ca="1">Table19[[#This Row],[Num of Stocks]]*Table19[[#This Row],[Price]]</f>
        <v>0</v>
      </c>
      <c r="R256" s="36">
        <f ca="1">Table19[[#This Row],[Stock Exposure]]+Table19[[#This Row],[Option Exposure]]</f>
        <v>0</v>
      </c>
      <c r="S256" s="108">
        <f>IFERROR(Table19[[#This Row],[Num of Stocks]]*Table19[[#This Row],[Ave Entry]],"")</f>
        <v>0</v>
      </c>
      <c r="T256" s="39">
        <f ca="1">Table19[[#This Row],[Combined Exposure]]/$C$8</f>
        <v>0</v>
      </c>
    </row>
    <row r="257" spans="1:20">
      <c r="A257" t="e" vm="326">
        <v>#VALUE!</v>
      </c>
      <c r="B257" s="13" t="str" cm="1">
        <f t="array" aca="1" ref="B257" ca="1">_FV(A257,"Ticker symbol",TRUE)</f>
        <v>SMTC</v>
      </c>
      <c r="C257" s="13" t="s">
        <v>258</v>
      </c>
      <c r="D257" s="13" t="s">
        <v>29</v>
      </c>
      <c r="E257" s="19" cm="1">
        <f t="array" aca="1" ref="E257" ca="1">IFERROR(_FV(A257,"Beta"),2)</f>
        <v>2.0550000000000002</v>
      </c>
      <c r="F257" s="13" t="str" cm="1">
        <f t="array" aca="1" ref="F257" ca="1">_FV(A257,"Instrument type",TRUE)</f>
        <v>Stock</v>
      </c>
      <c r="G257" s="18" cm="1">
        <f t="array" aca="1" ref="G257" ca="1">_FV(Table19[[#This Row],[Assets]],"Price")</f>
        <v>80.69</v>
      </c>
      <c r="H257" s="36">
        <f>IFERROR(VLOOKUP(Table19[[#This Row],[Assets]],Table25[#All],15,FALSE),"")</f>
        <v>50.057272727272725</v>
      </c>
      <c r="I257" s="36">
        <f>IFERROR(VLOOKUP(Table19[[#This Row],[Assets]],Table25[#All],16,FALSE),0)</f>
        <v>-268.90909090909082</v>
      </c>
      <c r="J257" s="84">
        <f ca="1">IFERROR((Table19[[#This Row],[Price]]-Table19[[#This Row],[Ave Entry]])/Table19[[#This Row],[Ave Entry]],"")</f>
        <v>0.61195358044421844</v>
      </c>
      <c r="K257" s="92">
        <f ca="1">IFERROR((Table19[[#This Row],[Price]]-Table19[[#This Row],[Ave Entry]])*Table19[[#This Row],[Num of Stocks]],0)</f>
        <v>214.42909090909092</v>
      </c>
      <c r="L257" s="38" cm="1">
        <f t="array" aca="1" ref="L257" ca="1">_FV(Table19[[#This Row],[Assets]],"Change (%)",TRUE)</f>
        <v>3.5151000000000002E-2</v>
      </c>
      <c r="M257" s="36">
        <f>SUMIF(Table20[Asset],Table19[[#This Row],[Assets]],Table20[realized_profit])</f>
        <v>0</v>
      </c>
      <c r="N257" s="36">
        <f>SUMIF(Table20[[#All],[Asset]],Table19[[#This Row],[Assets]],Table20[[#All],[delta_exposure]])</f>
        <v>0</v>
      </c>
      <c r="O257" s="38">
        <f ca="1">Table19[[#This Row],[Option Exposure]]/$B$6</f>
        <v>0</v>
      </c>
      <c r="P257" s="51">
        <f>SUMIF(Table25[[#All],[Assets]],Table19[[#This Row],[Assets]],Table25[[#All],[Number of stocks]])</f>
        <v>7</v>
      </c>
      <c r="Q257" s="36">
        <f ca="1">Table19[[#This Row],[Num of Stocks]]*Table19[[#This Row],[Price]]</f>
        <v>564.82999999999993</v>
      </c>
      <c r="R257" s="36">
        <f ca="1">Table19[[#This Row],[Stock Exposure]]+Table19[[#This Row],[Option Exposure]]</f>
        <v>564.82999999999993</v>
      </c>
      <c r="S257" s="108">
        <f>IFERROR(Table19[[#This Row],[Num of Stocks]]*Table19[[#This Row],[Ave Entry]],"")</f>
        <v>350.40090909090907</v>
      </c>
      <c r="T257" s="39">
        <f ca="1">Table19[[#This Row],[Combined Exposure]]/$C$8</f>
        <v>3.560180162786471E-3</v>
      </c>
    </row>
    <row r="258" spans="1:20">
      <c r="A258" t="e" vm="327">
        <v>#VALUE!</v>
      </c>
      <c r="B258" s="13" t="str" cm="1">
        <f t="array" aca="1" ref="B258" ca="1">_FV(A258,"Ticker symbol",TRUE)</f>
        <v>CLH</v>
      </c>
      <c r="C258" s="13" t="s">
        <v>134</v>
      </c>
      <c r="D258" s="13" t="s">
        <v>56</v>
      </c>
      <c r="E258" s="19" cm="1">
        <f t="array" aca="1" ref="E258" ca="1">IFERROR(_FV(A258,"Beta"),2)</f>
        <v>0.94450000000000001</v>
      </c>
      <c r="F258" s="13" t="str" cm="1">
        <f t="array" aca="1" ref="F258" ca="1">_FV(A258,"Instrument type",TRUE)</f>
        <v>Stock</v>
      </c>
      <c r="G258" s="18" cm="1">
        <f t="array" aca="1" ref="G258" ca="1">_FV(Table19[[#This Row],[Assets]],"Price")</f>
        <v>283.49</v>
      </c>
      <c r="H258" s="36" t="str">
        <f>IFERROR(VLOOKUP(Table19[[#This Row],[Assets]],Table25[#All],15,FALSE),"")</f>
        <v/>
      </c>
      <c r="I258" s="36">
        <f>IFERROR(VLOOKUP(Table19[[#This Row],[Assets]],Table25[#All],16,FALSE),0)</f>
        <v>0</v>
      </c>
      <c r="J258" s="84" t="str">
        <f ca="1">IFERROR((Table19[[#This Row],[Price]]-Table19[[#This Row],[Ave Entry]])/Table19[[#This Row],[Ave Entry]],"")</f>
        <v/>
      </c>
      <c r="K258" s="92">
        <f ca="1">IFERROR((Table19[[#This Row],[Price]]-Table19[[#This Row],[Ave Entry]])*Table19[[#This Row],[Num of Stocks]],0)</f>
        <v>0</v>
      </c>
      <c r="L258" s="38" cm="1">
        <f t="array" aca="1" ref="L258" ca="1">_FV(Table19[[#This Row],[Assets]],"Change (%)",TRUE)</f>
        <v>-5.9960000000000005E-3</v>
      </c>
      <c r="M258" s="36">
        <f>SUMIF(Table20[Asset],Table19[[#This Row],[Assets]],Table20[realized_profit])</f>
        <v>0</v>
      </c>
      <c r="N258" s="36">
        <f>SUMIF(Table20[[#All],[Asset]],Table19[[#This Row],[Assets]],Table20[[#All],[delta_exposure]])</f>
        <v>0</v>
      </c>
      <c r="O258" s="38">
        <f ca="1">Table19[[#This Row],[Option Exposure]]/$B$6</f>
        <v>0</v>
      </c>
      <c r="P258" s="51">
        <f>SUMIF(Table25[[#All],[Assets]],Table19[[#This Row],[Assets]],Table25[[#All],[Number of stocks]])</f>
        <v>0</v>
      </c>
      <c r="Q258" s="36">
        <f ca="1">Table19[[#This Row],[Num of Stocks]]*Table19[[#This Row],[Price]]</f>
        <v>0</v>
      </c>
      <c r="R258" s="36">
        <f ca="1">Table19[[#This Row],[Stock Exposure]]+Table19[[#This Row],[Option Exposure]]</f>
        <v>0</v>
      </c>
      <c r="S258" s="108" t="str">
        <f>IFERROR(Table19[[#This Row],[Num of Stocks]]*Table19[[#This Row],[Ave Entry]],"")</f>
        <v/>
      </c>
      <c r="T258" s="39">
        <f ca="1">Table19[[#This Row],[Combined Exposure]]/$C$8</f>
        <v>0</v>
      </c>
    </row>
    <row r="259" spans="1:20">
      <c r="A259" t="e" vm="328">
        <v>#VALUE!</v>
      </c>
      <c r="B259" s="13" t="str" cm="1">
        <f t="array" aca="1" ref="B259" ca="1">_FV(A259,"Ticker symbol",TRUE)</f>
        <v>LITE</v>
      </c>
      <c r="C259" s="13" t="s">
        <v>258</v>
      </c>
      <c r="D259" s="13" t="s">
        <v>29</v>
      </c>
      <c r="E259" s="19" cm="1">
        <f t="array" aca="1" ref="E259" ca="1">IFERROR(_FV(A259,"Beta"),2)</f>
        <v>1.3247</v>
      </c>
      <c r="F259" s="13" t="str" cm="1">
        <f t="array" aca="1" ref="F259" ca="1">_FV(A259,"Instrument type",TRUE)</f>
        <v>Stock</v>
      </c>
      <c r="G259" s="18" cm="1">
        <f t="array" aca="1" ref="G259" ca="1">_FV(Table19[[#This Row],[Assets]],"Price")</f>
        <v>795.495</v>
      </c>
      <c r="H259" s="36" t="str">
        <f>IFERROR(VLOOKUP(Table19[[#This Row],[Assets]],Table25[#All],15,FALSE),"")</f>
        <v/>
      </c>
      <c r="I259" s="36">
        <f>IFERROR(VLOOKUP(Table19[[#This Row],[Assets]],Table25[#All],16,FALSE),0)</f>
        <v>0</v>
      </c>
      <c r="J259" s="84" t="str">
        <f ca="1">IFERROR((Table19[[#This Row],[Price]]-Table19[[#This Row],[Ave Entry]])/Table19[[#This Row],[Ave Entry]],"")</f>
        <v/>
      </c>
      <c r="K259" s="92">
        <f ca="1">IFERROR((Table19[[#This Row],[Price]]-Table19[[#This Row],[Ave Entry]])*Table19[[#This Row],[Num of Stocks]],0)</f>
        <v>0</v>
      </c>
      <c r="L259" s="38" cm="1">
        <f t="array" aca="1" ref="L259" ca="1">_FV(Table19[[#This Row],[Assets]],"Change (%)",TRUE)</f>
        <v>-8.0990000000000003E-3</v>
      </c>
      <c r="M259" s="36">
        <f>SUMIF(Table20[Asset],Table19[[#This Row],[Assets]],Table20[realized_profit])</f>
        <v>0</v>
      </c>
      <c r="N259" s="36">
        <f>SUMIF(Table20[[#All],[Asset]],Table19[[#This Row],[Assets]],Table20[[#All],[delta_exposure]])</f>
        <v>0</v>
      </c>
      <c r="O259" s="38">
        <f ca="1">Table19[[#This Row],[Option Exposure]]/$B$6</f>
        <v>0</v>
      </c>
      <c r="P259" s="51">
        <f>SUMIF(Table25[[#All],[Assets]],Table19[[#This Row],[Assets]],Table25[[#All],[Number of stocks]])</f>
        <v>0</v>
      </c>
      <c r="Q259" s="36">
        <f ca="1">Table19[[#This Row],[Num of Stocks]]*Table19[[#This Row],[Price]]</f>
        <v>0</v>
      </c>
      <c r="R259" s="36">
        <f ca="1">Table19[[#This Row],[Stock Exposure]]+Table19[[#This Row],[Option Exposure]]</f>
        <v>0</v>
      </c>
      <c r="S259" s="108" t="str">
        <f>IFERROR(Table19[[#This Row],[Num of Stocks]]*Table19[[#This Row],[Ave Entry]],"")</f>
        <v/>
      </c>
      <c r="T259" s="39">
        <f ca="1">Table19[[#This Row],[Combined Exposure]]/$C$8</f>
        <v>0</v>
      </c>
    </row>
    <row r="260" spans="1:20">
      <c r="A260" t="e" vm="329">
        <v>#VALUE!</v>
      </c>
      <c r="B260" s="13" t="str" cm="1">
        <f t="array" aca="1" ref="B260" ca="1">_FV(A260,"Ticker symbol",TRUE)</f>
        <v>SDIG</v>
      </c>
      <c r="C260" s="13" t="s">
        <v>118</v>
      </c>
      <c r="D260" s="13" t="s">
        <v>83</v>
      </c>
      <c r="E260" s="19" cm="1">
        <f t="array" aca="1" ref="E260" ca="1">IFERROR(_FV(A260,"Beta"),2)</f>
        <v>2.8934000000000002</v>
      </c>
      <c r="F260" s="13" t="str" cm="1">
        <f t="array" aca="1" ref="F260" ca="1">_FV(A260,"Instrument type",TRUE)</f>
        <v>Stock</v>
      </c>
      <c r="G260" s="18" cm="1">
        <f t="array" aca="1" ref="G260" ca="1">_FV(Table19[[#This Row],[Assets]],"Price")</f>
        <v>2.81</v>
      </c>
      <c r="H260" s="36">
        <f>IFERROR(VLOOKUP(Table19[[#This Row],[Assets]],Table25[#All],15,FALSE),"")</f>
        <v>3.9285714285714284</v>
      </c>
      <c r="I260" s="36">
        <f>IFERROR(VLOOKUP(Table19[[#This Row],[Assets]],Table25[#All],16,FALSE),0)</f>
        <v>387.20000000000022</v>
      </c>
      <c r="J260" s="84">
        <f ca="1">IFERROR((Table19[[#This Row],[Price]]-Table19[[#This Row],[Ave Entry]])/Table19[[#This Row],[Ave Entry]],"")</f>
        <v>-0.28472727272727266</v>
      </c>
      <c r="K260" s="92">
        <f ca="1">IFERROR((Table19[[#This Row],[Price]]-Table19[[#This Row],[Ave Entry]])*Table19[[#This Row],[Num of Stocks]],0)</f>
        <v>0</v>
      </c>
      <c r="L260" s="38" cm="1">
        <f t="array" aca="1" ref="L260" ca="1">_FV(Table19[[#This Row],[Assets]],"Change (%)",TRUE)</f>
        <v>0</v>
      </c>
      <c r="M260" s="36">
        <f>SUMIF(Table20[Asset],Table19[[#This Row],[Assets]],Table20[realized_profit])</f>
        <v>0</v>
      </c>
      <c r="N260" s="36">
        <f>SUMIF(Table20[[#All],[Asset]],Table19[[#This Row],[Assets]],Table20[[#All],[delta_exposure]])</f>
        <v>0</v>
      </c>
      <c r="O260" s="98">
        <f ca="1">Table19[[#This Row],[Option Exposure]]/$B$6</f>
        <v>0</v>
      </c>
      <c r="P260" s="51">
        <f>SUMIF(Table25[[#All],[Assets]],Table19[[#This Row],[Assets]],Table25[[#All],[Number of stocks]])</f>
        <v>0</v>
      </c>
      <c r="Q260" s="36">
        <f ca="1">Table19[[#This Row],[Num of Stocks]]*Table19[[#This Row],[Price]]</f>
        <v>0</v>
      </c>
      <c r="R260" s="36">
        <f ca="1">Table19[[#This Row],[Stock Exposure]]+Table19[[#This Row],[Option Exposure]]</f>
        <v>0</v>
      </c>
      <c r="S260" s="108">
        <f>IFERROR(Table19[[#This Row],[Num of Stocks]]*Table19[[#This Row],[Ave Entry]],"")</f>
        <v>0</v>
      </c>
      <c r="T260" s="39">
        <f ca="1">Table19[[#This Row],[Combined Exposure]]/$C$8</f>
        <v>0</v>
      </c>
    </row>
    <row r="261" spans="1:20">
      <c r="A261" t="e" vm="330">
        <v>#VALUE!</v>
      </c>
      <c r="B261" s="13" t="str" cm="1">
        <f t="array" aca="1" ref="B261" ca="1">_FV(A261,"Ticker symbol",TRUE)</f>
        <v>LH</v>
      </c>
      <c r="C261" s="13" t="s">
        <v>53</v>
      </c>
      <c r="D261" s="13" t="s">
        <v>311</v>
      </c>
      <c r="E261" s="19" cm="1">
        <f t="array" aca="1" ref="E261" ca="1">IFERROR(_FV(A261,"Beta"),2)</f>
        <v>1.016</v>
      </c>
      <c r="F261" s="13" t="str" cm="1">
        <f t="array" aca="1" ref="F261" ca="1">_FV(A261,"Instrument type",TRUE)</f>
        <v>Stock</v>
      </c>
      <c r="G261" s="18" cm="1">
        <f t="array" aca="1" ref="G261" ca="1">_FV(Table19[[#This Row],[Assets]],"Price")</f>
        <v>266.375</v>
      </c>
      <c r="H261" s="36" t="str">
        <f>IFERROR(VLOOKUP(Table19[[#This Row],[Assets]],Table25[#All],15,FALSE),"")</f>
        <v/>
      </c>
      <c r="I261" s="36">
        <f>IFERROR(VLOOKUP(Table19[[#This Row],[Assets]],Table25[#All],16,FALSE),0)</f>
        <v>0</v>
      </c>
      <c r="J261" s="84" t="str">
        <f ca="1">IFERROR((Table19[[#This Row],[Price]]-Table19[[#This Row],[Ave Entry]])/Table19[[#This Row],[Ave Entry]],"")</f>
        <v/>
      </c>
      <c r="K261" s="92">
        <f ca="1">IFERROR((Table19[[#This Row],[Price]]-Table19[[#This Row],[Ave Entry]])*Table19[[#This Row],[Num of Stocks]],0)</f>
        <v>0</v>
      </c>
      <c r="L261" s="38" cm="1">
        <f t="array" aca="1" ref="L261" ca="1">_FV(Table19[[#This Row],[Assets]],"Change (%)",TRUE)</f>
        <v>9.5819999999999998E-4</v>
      </c>
      <c r="M261" s="36">
        <f>SUMIF(Table20[Asset],Table19[[#This Row],[Assets]],Table20[realized_profit])</f>
        <v>0</v>
      </c>
      <c r="N261" s="36">
        <f>SUMIF(Table20[[#All],[Asset]],Table19[[#This Row],[Assets]],Table20[[#All],[delta_exposure]])</f>
        <v>0</v>
      </c>
      <c r="O261" s="38">
        <f ca="1">Table19[[#This Row],[Option Exposure]]/$B$6</f>
        <v>0</v>
      </c>
      <c r="P261" s="51">
        <f>SUMIF(Table25[[#All],[Assets]],Table19[[#This Row],[Assets]],Table25[[#All],[Number of stocks]])</f>
        <v>0</v>
      </c>
      <c r="Q261" s="36">
        <f ca="1">Table19[[#This Row],[Num of Stocks]]*Table19[[#This Row],[Price]]</f>
        <v>0</v>
      </c>
      <c r="R261" s="36">
        <f ca="1">Table19[[#This Row],[Stock Exposure]]+Table19[[#This Row],[Option Exposure]]</f>
        <v>0</v>
      </c>
      <c r="S261" s="108" t="str">
        <f>IFERROR(Table19[[#This Row],[Num of Stocks]]*Table19[[#This Row],[Ave Entry]],"")</f>
        <v/>
      </c>
      <c r="T261" s="39">
        <f ca="1">Table19[[#This Row],[Combined Exposure]]/$C$8</f>
        <v>0</v>
      </c>
    </row>
    <row r="262" spans="1:20">
      <c r="A262" t="e" vm="330">
        <v>#VALUE!</v>
      </c>
      <c r="B262" s="13" t="str" cm="1">
        <f t="array" aca="1" ref="B262" ca="1">_FV(A262,"Ticker symbol",TRUE)</f>
        <v>LH</v>
      </c>
      <c r="C262" s="13" t="s">
        <v>53</v>
      </c>
      <c r="D262" s="13" t="s">
        <v>353</v>
      </c>
      <c r="E262" s="19" cm="1">
        <f t="array" aca="1" ref="E262" ca="1">IFERROR(_FV(A262,"Beta"),2)</f>
        <v>1.016</v>
      </c>
      <c r="F262" s="13" t="str" cm="1">
        <f t="array" aca="1" ref="F262" ca="1">_FV(A262,"Instrument type",TRUE)</f>
        <v>Stock</v>
      </c>
      <c r="G262" s="18" cm="1">
        <f t="array" aca="1" ref="G262" ca="1">_FV(Table19[[#This Row],[Assets]],"Price")</f>
        <v>266.375</v>
      </c>
      <c r="H262" s="36" t="str">
        <f>IFERROR(VLOOKUP(Table19[[#This Row],[Assets]],Table25[#All],15,FALSE),"")</f>
        <v/>
      </c>
      <c r="I262" s="36">
        <f>IFERROR(VLOOKUP(Table19[[#This Row],[Assets]],Table25[#All],16,FALSE),0)</f>
        <v>0</v>
      </c>
      <c r="J262" s="84" t="str">
        <f ca="1">IFERROR((Table19[[#This Row],[Price]]-Table19[[#This Row],[Ave Entry]])/Table19[[#This Row],[Ave Entry]],"")</f>
        <v/>
      </c>
      <c r="K262" s="92">
        <f ca="1">IFERROR((Table19[[#This Row],[Price]]-Table19[[#This Row],[Ave Entry]])*Table19[[#This Row],[Num of Stocks]],0)</f>
        <v>0</v>
      </c>
      <c r="L262" s="38" cm="1">
        <f t="array" aca="1" ref="L262" ca="1">_FV(Table19[[#This Row],[Assets]],"Change (%)",TRUE)</f>
        <v>9.5819999999999998E-4</v>
      </c>
      <c r="M262" s="36">
        <f>SUMIF(Table20[Asset],Table19[[#This Row],[Assets]],Table20[realized_profit])</f>
        <v>0</v>
      </c>
      <c r="N262" s="36">
        <f>SUMIF(Table20[[#All],[Asset]],Table19[[#This Row],[Assets]],Table20[[#All],[delta_exposure]])</f>
        <v>0</v>
      </c>
      <c r="O262" s="38">
        <f ca="1">Table19[[#This Row],[Option Exposure]]/$B$6</f>
        <v>0</v>
      </c>
      <c r="P262" s="51">
        <f>SUMIF(Table25[[#All],[Assets]],Table19[[#This Row],[Assets]],Table25[[#All],[Number of stocks]])</f>
        <v>0</v>
      </c>
      <c r="Q262" s="36">
        <f ca="1">Table19[[#This Row],[Num of Stocks]]*Table19[[#This Row],[Price]]</f>
        <v>0</v>
      </c>
      <c r="R262" s="36">
        <f ca="1">Table19[[#This Row],[Stock Exposure]]+Table19[[#This Row],[Option Exposure]]</f>
        <v>0</v>
      </c>
      <c r="S262" s="108" t="str">
        <f>IFERROR(Table19[[#This Row],[Num of Stocks]]*Table19[[#This Row],[Ave Entry]],"")</f>
        <v/>
      </c>
      <c r="T262" s="39">
        <f ca="1">Table19[[#This Row],[Combined Exposure]]/$C$8</f>
        <v>0</v>
      </c>
    </row>
    <row r="263" spans="1:20">
      <c r="A263" t="e" vm="331">
        <v>#VALUE!</v>
      </c>
      <c r="B263" s="13" t="str" cm="1">
        <f t="array" aca="1" ref="B263" ca="1">_FV(A263,"Ticker symbol",TRUE)</f>
        <v>THTX</v>
      </c>
      <c r="C263" s="13" t="s">
        <v>53</v>
      </c>
      <c r="D263" s="13" t="s">
        <v>560</v>
      </c>
      <c r="E263" s="19" cm="1">
        <f t="array" aca="1" ref="E263" ca="1">IFERROR(_FV(A263,"Beta"),2)</f>
        <v>0.75970000000000004</v>
      </c>
      <c r="F263" s="13" t="str" cm="1">
        <f t="array" aca="1" ref="F263" ca="1">_FV(A263,"Instrument type",TRUE)</f>
        <v>Stock</v>
      </c>
      <c r="G263" s="18" cm="1">
        <f t="array" aca="1" ref="G263" ca="1">_FV(Table19[[#This Row],[Assets]],"Price")</f>
        <v>3.39</v>
      </c>
      <c r="H263" s="36" t="str">
        <f>IFERROR(VLOOKUP(Table19[[#This Row],[Assets]],Table25[#All],15,FALSE),"")</f>
        <v/>
      </c>
      <c r="I263" s="36">
        <f>IFERROR(VLOOKUP(Table19[[#This Row],[Assets]],Table25[#All],16,FALSE),0)</f>
        <v>0</v>
      </c>
      <c r="J263" s="84" t="str">
        <f ca="1">IFERROR((Table19[[#This Row],[Price]]-Table19[[#This Row],[Ave Entry]])/Table19[[#This Row],[Ave Entry]],"")</f>
        <v/>
      </c>
      <c r="K263" s="92">
        <f ca="1">IFERROR((Table19[[#This Row],[Price]]-Table19[[#This Row],[Ave Entry]])*Table19[[#This Row],[Num of Stocks]],0)</f>
        <v>0</v>
      </c>
      <c r="L263" s="38" cm="1">
        <f t="array" aca="1" ref="L263" ca="1">_FV(Table19[[#This Row],[Assets]],"Change (%)",TRUE)</f>
        <v>0</v>
      </c>
      <c r="M263" s="36">
        <f>SUMIF(Table20[Asset],Table19[[#This Row],[Assets]],Table20[realized_profit])</f>
        <v>0</v>
      </c>
      <c r="N263" s="36">
        <f>SUMIF(Table20[[#All],[Asset]],Table19[[#This Row],[Assets]],Table20[[#All],[delta_exposure]])</f>
        <v>0</v>
      </c>
      <c r="O263" s="38">
        <f ca="1">Table19[[#This Row],[Option Exposure]]/$B$6</f>
        <v>0</v>
      </c>
      <c r="P263" s="51">
        <f>SUMIF(Table25[[#All],[Assets]],Table19[[#This Row],[Assets]],Table25[[#All],[Number of stocks]])</f>
        <v>0</v>
      </c>
      <c r="Q263" s="36">
        <f ca="1">Table19[[#This Row],[Num of Stocks]]*Table19[[#This Row],[Price]]</f>
        <v>0</v>
      </c>
      <c r="R263" s="36">
        <f ca="1">Table19[[#This Row],[Stock Exposure]]+Table19[[#This Row],[Option Exposure]]</f>
        <v>0</v>
      </c>
      <c r="S263" s="108" t="str">
        <f>IFERROR(Table19[[#This Row],[Num of Stocks]]*Table19[[#This Row],[Ave Entry]],"")</f>
        <v/>
      </c>
      <c r="T263" s="39">
        <f ca="1">Table19[[#This Row],[Combined Exposure]]/$C$8</f>
        <v>0</v>
      </c>
    </row>
    <row r="264" spans="1:20">
      <c r="A264" t="e" vm="332">
        <v>#VALUE!</v>
      </c>
      <c r="B264" s="13" t="str" cm="1">
        <f t="array" aca="1" ref="B264" ca="1">_FV(A264,"Ticker symbol",TRUE)</f>
        <v>INNV</v>
      </c>
      <c r="C264" s="13" t="s">
        <v>326</v>
      </c>
      <c r="D264" s="13" t="s">
        <v>53</v>
      </c>
      <c r="E264" s="19" cm="1">
        <f t="array" aca="1" ref="E264" ca="1">IFERROR(_FV(A264,"Beta"),2)</f>
        <v>0.50619999999999998</v>
      </c>
      <c r="F264" s="13" t="str" cm="1">
        <f t="array" aca="1" ref="F264" ca="1">_FV(A264,"Instrument type",TRUE)</f>
        <v>Stock</v>
      </c>
      <c r="G264" s="18" cm="1">
        <f t="array" aca="1" ref="G264" ca="1">_FV(Table19[[#This Row],[Assets]],"Price")</f>
        <v>7.88</v>
      </c>
      <c r="H264" s="36">
        <f>IFERROR(VLOOKUP(Table19[[#This Row],[Assets]],Table25[#All],15,FALSE),"")</f>
        <v>6</v>
      </c>
      <c r="I264" s="36">
        <f>IFERROR(VLOOKUP(Table19[[#This Row],[Assets]],Table25[#All],16,FALSE),0)</f>
        <v>18.999999999999993</v>
      </c>
      <c r="J264" s="84">
        <f ca="1">IFERROR((Table19[[#This Row],[Price]]-Table19[[#This Row],[Ave Entry]])/Table19[[#This Row],[Ave Entry]],"")</f>
        <v>0.3133333333333333</v>
      </c>
      <c r="K264" s="92">
        <f ca="1">IFERROR((Table19[[#This Row],[Price]]-Table19[[#This Row],[Ave Entry]])*Table19[[#This Row],[Num of Stocks]],0)</f>
        <v>0</v>
      </c>
      <c r="L264" s="38" cm="1">
        <f t="array" aca="1" ref="L264" ca="1">_FV(Table19[[#This Row],[Assets]],"Change (%)",TRUE)</f>
        <v>1.271E-3</v>
      </c>
      <c r="M264" s="36">
        <f>SUMIF(Table20[Asset],Table19[[#This Row],[Assets]],Table20[realized_profit])</f>
        <v>0</v>
      </c>
      <c r="N264" s="36">
        <f>SUMIF(Table20[[#All],[Asset]],Table19[[#This Row],[Assets]],Table20[[#All],[delta_exposure]])</f>
        <v>0</v>
      </c>
      <c r="O264" s="38">
        <f ca="1">Table19[[#This Row],[Option Exposure]]/$B$6</f>
        <v>0</v>
      </c>
      <c r="P264" s="51">
        <f>SUMIF(Table25[[#All],[Assets]],Table19[[#This Row],[Assets]],Table25[[#All],[Number of stocks]])</f>
        <v>0</v>
      </c>
      <c r="Q264" s="36">
        <f ca="1">Table19[[#This Row],[Num of Stocks]]*Table19[[#This Row],[Price]]</f>
        <v>0</v>
      </c>
      <c r="R264" s="36">
        <f ca="1">Table19[[#This Row],[Stock Exposure]]+Table19[[#This Row],[Option Exposure]]</f>
        <v>0</v>
      </c>
      <c r="S264" s="108">
        <f>IFERROR(Table19[[#This Row],[Num of Stocks]]*Table19[[#This Row],[Ave Entry]],"")</f>
        <v>0</v>
      </c>
      <c r="T264" s="39">
        <f ca="1">Table19[[#This Row],[Combined Exposure]]/$C$8</f>
        <v>0</v>
      </c>
    </row>
    <row r="265" spans="1:20">
      <c r="A265" t="e" vm="95">
        <v>#VALUE!</v>
      </c>
      <c r="B265" s="13" t="str" cm="1">
        <f t="array" aca="1" ref="B265" ca="1">_FV(A265,"Ticker symbol",TRUE)</f>
        <v>SNAP</v>
      </c>
      <c r="C265" s="13" t="s">
        <v>29</v>
      </c>
      <c r="D265" s="13" t="s">
        <v>121</v>
      </c>
      <c r="E265" s="19" cm="1">
        <f t="array" aca="1" ref="E265" ca="1">IFERROR(_FV(A265,"Beta"),2)</f>
        <v>0.93710000000000004</v>
      </c>
      <c r="F265" s="13" t="str" cm="1">
        <f t="array" aca="1" ref="F265" ca="1">_FV(A265,"Instrument type",TRUE)</f>
        <v>Stock</v>
      </c>
      <c r="G265" s="18" cm="1">
        <f t="array" aca="1" ref="G265" ca="1">_FV(Table19[[#This Row],[Assets]],"Price")</f>
        <v>4.5549999999999997</v>
      </c>
      <c r="H265" s="36">
        <f>IFERROR(VLOOKUP(Table19[[#This Row],[Assets]],Table25[#All],15,FALSE),"")</f>
        <v>10.08</v>
      </c>
      <c r="I265" s="36">
        <f>IFERROR(VLOOKUP(Table19[[#This Row],[Assets]],Table25[#All],16,FALSE),0)</f>
        <v>-308.88</v>
      </c>
      <c r="J265" s="84">
        <f ca="1">IFERROR((Table19[[#This Row],[Price]]-Table19[[#This Row],[Ave Entry]])/Table19[[#This Row],[Ave Entry]],"")</f>
        <v>-0.54811507936507942</v>
      </c>
      <c r="K265" s="92">
        <f ca="1">IFERROR((Table19[[#This Row],[Price]]-Table19[[#This Row],[Ave Entry]])*Table19[[#This Row],[Num of Stocks]],0)</f>
        <v>0</v>
      </c>
      <c r="L265" s="38" cm="1">
        <f t="array" aca="1" ref="L265" ca="1">_FV(Table19[[#This Row],[Assets]],"Change (%)",TRUE)</f>
        <v>4.4725000000000001E-2</v>
      </c>
      <c r="M265" s="36">
        <f>SUMIF(Table20[Asset],Table19[[#This Row],[Assets]],Table20[realized_profit])</f>
        <v>0</v>
      </c>
      <c r="N265" s="36">
        <f>SUMIF(Table20[[#All],[Asset]],Table19[[#This Row],[Assets]],Table20[[#All],[delta_exposure]])</f>
        <v>0</v>
      </c>
      <c r="O265" s="38">
        <f ca="1">Table19[[#This Row],[Option Exposure]]/$B$6</f>
        <v>0</v>
      </c>
      <c r="P265" s="51">
        <f>SUMIF(Table25[[#All],[Assets]],Table19[[#This Row],[Assets]],Table25[[#All],[Number of stocks]])</f>
        <v>0</v>
      </c>
      <c r="Q265" s="36">
        <f ca="1">Table19[[#This Row],[Num of Stocks]]*Table19[[#This Row],[Price]]</f>
        <v>0</v>
      </c>
      <c r="R265" s="36">
        <f ca="1">Table19[[#This Row],[Stock Exposure]]+Table19[[#This Row],[Option Exposure]]</f>
        <v>0</v>
      </c>
      <c r="S265" s="108">
        <f>IFERROR(Table19[[#This Row],[Num of Stocks]]*Table19[[#This Row],[Ave Entry]],"")</f>
        <v>0</v>
      </c>
      <c r="T265" s="39">
        <f ca="1">Table19[[#This Row],[Combined Exposure]]/$C$8</f>
        <v>0</v>
      </c>
    </row>
    <row r="266" spans="1:20">
      <c r="A266" t="e" vm="333">
        <v>#VALUE!</v>
      </c>
      <c r="B266" s="13" t="str" cm="1">
        <f t="array" aca="1" ref="B266" ca="1">_FV(A266,"Ticker symbol",TRUE)</f>
        <v>BEKE</v>
      </c>
      <c r="C266" s="13" t="s">
        <v>30</v>
      </c>
      <c r="D266" s="13" t="s">
        <v>30</v>
      </c>
      <c r="E266" s="19" cm="1">
        <f t="array" aca="1" ref="E266" ca="1">IFERROR(_FV(A266,"Beta"),2)</f>
        <v>-0.54979999999999996</v>
      </c>
      <c r="F266" s="13" t="str" cm="1">
        <f t="array" aca="1" ref="F266" ca="1">_FV(A266,"Instrument type",TRUE)</f>
        <v>Stock</v>
      </c>
      <c r="G266" s="18" cm="1">
        <f t="array" aca="1" ref="G266" ca="1">_FV(Table19[[#This Row],[Assets]],"Price")</f>
        <v>15.8</v>
      </c>
      <c r="H266" s="36" t="str">
        <f>IFERROR(VLOOKUP(Table19[[#This Row],[Assets]],Table25[#All],15,FALSE),"")</f>
        <v/>
      </c>
      <c r="I266" s="36">
        <f>IFERROR(VLOOKUP(Table19[[#This Row],[Assets]],Table25[#All],16,FALSE),0)</f>
        <v>0</v>
      </c>
      <c r="J266" s="84" t="str">
        <f ca="1">IFERROR((Table19[[#This Row],[Price]]-Table19[[#This Row],[Ave Entry]])/Table19[[#This Row],[Ave Entry]],"")</f>
        <v/>
      </c>
      <c r="K266" s="92">
        <f ca="1">IFERROR((Table19[[#This Row],[Price]]-Table19[[#This Row],[Ave Entry]])*Table19[[#This Row],[Num of Stocks]],0)</f>
        <v>0</v>
      </c>
      <c r="L266" s="38" cm="1">
        <f t="array" aca="1" ref="L266" ca="1">_FV(Table19[[#This Row],[Assets]],"Change (%)",TRUE)</f>
        <v>2.3316E-2</v>
      </c>
      <c r="M266" s="36">
        <f>SUMIF(Table20[Asset],Table19[[#This Row],[Assets]],Table20[realized_profit])</f>
        <v>0</v>
      </c>
      <c r="N266" s="36">
        <f>SUMIF(Table20[[#All],[Asset]],Table19[[#This Row],[Assets]],Table20[[#All],[delta_exposure]])</f>
        <v>0</v>
      </c>
      <c r="O266" s="38">
        <f ca="1">Table19[[#This Row],[Option Exposure]]/$B$6</f>
        <v>0</v>
      </c>
      <c r="P266" s="51">
        <f>SUMIF(Table25[[#All],[Assets]],Table19[[#This Row],[Assets]],Table25[[#All],[Number of stocks]])</f>
        <v>0</v>
      </c>
      <c r="Q266" s="36">
        <f ca="1">Table19[[#This Row],[Num of Stocks]]*Table19[[#This Row],[Price]]</f>
        <v>0</v>
      </c>
      <c r="R266" s="36">
        <f ca="1">Table19[[#This Row],[Stock Exposure]]+Table19[[#This Row],[Option Exposure]]</f>
        <v>0</v>
      </c>
      <c r="S266" s="108" t="str">
        <f>IFERROR(Table19[[#This Row],[Num of Stocks]]*Table19[[#This Row],[Ave Entry]],"")</f>
        <v/>
      </c>
      <c r="T266" s="39">
        <f ca="1">Table19[[#This Row],[Combined Exposure]]/$C$8</f>
        <v>0</v>
      </c>
    </row>
    <row r="267" spans="1:20">
      <c r="A267" t="e" vm="334">
        <v>#VALUE!</v>
      </c>
      <c r="B267" s="13" t="str" cm="1">
        <f t="array" aca="1" ref="B267" ca="1">_FV(A267,"Ticker symbol",TRUE)</f>
        <v>CSTL</v>
      </c>
      <c r="C267" s="13" t="s">
        <v>53</v>
      </c>
      <c r="D267" s="13" t="s">
        <v>53</v>
      </c>
      <c r="E267" s="19" cm="1">
        <f t="array" aca="1" ref="E267" ca="1">IFERROR(_FV(A267,"Beta"),2)</f>
        <v>1.1707000000000001</v>
      </c>
      <c r="F267" s="13" t="str" cm="1">
        <f t="array" aca="1" ref="F267" ca="1">_FV(A267,"Instrument type",TRUE)</f>
        <v>Stock</v>
      </c>
      <c r="G267" s="18" cm="1">
        <f t="array" aca="1" ref="G267" ca="1">_FV(Table19[[#This Row],[Assets]],"Price")</f>
        <v>25.875</v>
      </c>
      <c r="H267" s="36">
        <f>IFERROR(VLOOKUP(Table19[[#This Row],[Assets]],Table25[#All],15,FALSE),"")</f>
        <v>27.517368421052627</v>
      </c>
      <c r="I267" s="36">
        <f>IFERROR(VLOOKUP(Table19[[#This Row],[Assets]],Table25[#All],16,FALSE),0)</f>
        <v>116.90000000000012</v>
      </c>
      <c r="J267" s="84">
        <f ca="1">IFERROR((Table19[[#This Row],[Price]]-Table19[[#This Row],[Ave Entry]])/Table19[[#This Row],[Ave Entry]],"")</f>
        <v>-5.9684792379932128E-2</v>
      </c>
      <c r="K267" s="92">
        <f ca="1">IFERROR((Table19[[#This Row],[Price]]-Table19[[#This Row],[Ave Entry]])*Table19[[#This Row],[Num of Stocks]],0)</f>
        <v>0</v>
      </c>
      <c r="L267" s="38" cm="1">
        <f t="array" aca="1" ref="L267" ca="1">_FV(Table19[[#This Row],[Assets]],"Change (%)",TRUE)</f>
        <v>2.0710000000000003E-2</v>
      </c>
      <c r="M267" s="36">
        <f>SUMIF(Table20[Asset],Table19[[#This Row],[Assets]],Table20[realized_profit])</f>
        <v>0</v>
      </c>
      <c r="N267" s="36">
        <f>SUMIF(Table20[[#All],[Asset]],Table19[[#This Row],[Assets]],Table20[[#All],[delta_exposure]])</f>
        <v>0</v>
      </c>
      <c r="O267" s="38">
        <f ca="1">Table19[[#This Row],[Option Exposure]]/$B$6</f>
        <v>0</v>
      </c>
      <c r="P267" s="51">
        <f>SUMIF(Table25[[#All],[Assets]],Table19[[#This Row],[Assets]],Table25[[#All],[Number of stocks]])</f>
        <v>0</v>
      </c>
      <c r="Q267" s="36">
        <f ca="1">Table19[[#This Row],[Num of Stocks]]*Table19[[#This Row],[Price]]</f>
        <v>0</v>
      </c>
      <c r="R267" s="36">
        <f ca="1">Table19[[#This Row],[Stock Exposure]]+Table19[[#This Row],[Option Exposure]]</f>
        <v>0</v>
      </c>
      <c r="S267" s="108">
        <f>IFERROR(Table19[[#This Row],[Num of Stocks]]*Table19[[#This Row],[Ave Entry]],"")</f>
        <v>0</v>
      </c>
      <c r="T267" s="39">
        <f ca="1">Table19[[#This Row],[Combined Exposure]]/$C$8</f>
        <v>0</v>
      </c>
    </row>
    <row r="268" spans="1:20">
      <c r="A268" t="e" vm="335">
        <v>#VALUE!</v>
      </c>
      <c r="B268" s="13" t="str" cm="1">
        <f t="array" aca="1" ref="B268" ca="1">_FV(A268,"Ticker symbol",TRUE)</f>
        <v>AMN</v>
      </c>
      <c r="C268" s="13" t="s">
        <v>122</v>
      </c>
      <c r="D268" s="13" t="s">
        <v>53</v>
      </c>
      <c r="E268" s="19" cm="1">
        <f t="array" aca="1" ref="E268" ca="1">IFERROR(_FV(A268,"Beta"),2)</f>
        <v>0.24460000000000001</v>
      </c>
      <c r="F268" s="13" t="str" cm="1">
        <f t="array" aca="1" ref="F268" ca="1">_FV(A268,"Instrument type",TRUE)</f>
        <v>Stock</v>
      </c>
      <c r="G268" s="18" cm="1">
        <f t="array" aca="1" ref="G268" ca="1">_FV(Table19[[#This Row],[Assets]],"Price")</f>
        <v>18.170000000000002</v>
      </c>
      <c r="H268" s="36">
        <f>IFERROR(VLOOKUP(Table19[[#This Row],[Assets]],Table25[#All],15,FALSE),"")</f>
        <v>25.8</v>
      </c>
      <c r="I268" s="36">
        <f>IFERROR(VLOOKUP(Table19[[#This Row],[Assets]],Table25[#All],16,FALSE),0)</f>
        <v>14.399999999999977</v>
      </c>
      <c r="J268" s="84">
        <f ca="1">IFERROR((Table19[[#This Row],[Price]]-Table19[[#This Row],[Ave Entry]])/Table19[[#This Row],[Ave Entry]],"")</f>
        <v>-0.29573643410852707</v>
      </c>
      <c r="K268" s="92">
        <f ca="1">IFERROR((Table19[[#This Row],[Price]]-Table19[[#This Row],[Ave Entry]])*Table19[[#This Row],[Num of Stocks]],0)</f>
        <v>0</v>
      </c>
      <c r="L268" s="38" cm="1">
        <f t="array" aca="1" ref="L268" ca="1">_FV(Table19[[#This Row],[Assets]],"Change (%)",TRUE)</f>
        <v>-1.7306999999999999E-2</v>
      </c>
      <c r="M268" s="36">
        <f>SUMIF(Table20[Asset],Table19[[#This Row],[Assets]],Table20[realized_profit])</f>
        <v>0</v>
      </c>
      <c r="N268" s="36">
        <f>SUMIF(Table20[[#All],[Asset]],Table19[[#This Row],[Assets]],Table20[[#All],[delta_exposure]])</f>
        <v>0</v>
      </c>
      <c r="O268" s="38">
        <f ca="1">Table19[[#This Row],[Option Exposure]]/$B$6</f>
        <v>0</v>
      </c>
      <c r="P268" s="51">
        <f>SUMIF(Table25[[#All],[Assets]],Table19[[#This Row],[Assets]],Table25[[#All],[Number of stocks]])</f>
        <v>0</v>
      </c>
      <c r="Q268" s="36">
        <f ca="1">Table19[[#This Row],[Num of Stocks]]*Table19[[#This Row],[Price]]</f>
        <v>0</v>
      </c>
      <c r="R268" s="36">
        <f ca="1">Table19[[#This Row],[Stock Exposure]]+Table19[[#This Row],[Option Exposure]]</f>
        <v>0</v>
      </c>
      <c r="S268" s="108">
        <f>IFERROR(Table19[[#This Row],[Num of Stocks]]*Table19[[#This Row],[Ave Entry]],"")</f>
        <v>0</v>
      </c>
      <c r="T268" s="39">
        <f ca="1">Table19[[#This Row],[Combined Exposure]]/$C$8</f>
        <v>0</v>
      </c>
    </row>
    <row r="269" spans="1:20">
      <c r="A269" t="e" vm="336">
        <v>#VALUE!</v>
      </c>
      <c r="B269" s="13" t="str" cm="1">
        <f t="array" aca="1" ref="B269" ca="1">_FV(A269,"Ticker symbol",TRUE)</f>
        <v>ACIW</v>
      </c>
      <c r="C269" s="13" t="s">
        <v>54</v>
      </c>
      <c r="D269" s="13" t="s">
        <v>457</v>
      </c>
      <c r="E269" s="19" cm="1">
        <f t="array" aca="1" ref="E269" ca="1">IFERROR(_FV(A269,"Beta"),2)</f>
        <v>1.0568</v>
      </c>
      <c r="F269" s="13" t="str" cm="1">
        <f t="array" aca="1" ref="F269" ca="1">_FV(A269,"Instrument type",TRUE)</f>
        <v>Stock</v>
      </c>
      <c r="G269" s="18" cm="1">
        <f t="array" aca="1" ref="G269" ca="1">_FV(Table19[[#This Row],[Assets]],"Price")</f>
        <v>39.6</v>
      </c>
      <c r="H269" s="36" t="str">
        <f>IFERROR(VLOOKUP(Table19[[#This Row],[Assets]],Table25[#All],15,FALSE),"")</f>
        <v/>
      </c>
      <c r="I269" s="36">
        <f>IFERROR(VLOOKUP(Table19[[#This Row],[Assets]],Table25[#All],16,FALSE),0)</f>
        <v>0</v>
      </c>
      <c r="J269" s="84" t="str">
        <f ca="1">IFERROR((Table19[[#This Row],[Price]]-Table19[[#This Row],[Ave Entry]])/Table19[[#This Row],[Ave Entry]],"")</f>
        <v/>
      </c>
      <c r="K269" s="92">
        <f ca="1">IFERROR((Table19[[#This Row],[Price]]-Table19[[#This Row],[Ave Entry]])*Table19[[#This Row],[Num of Stocks]],0)</f>
        <v>0</v>
      </c>
      <c r="L269" s="38" cm="1">
        <f t="array" aca="1" ref="L269" ca="1">_FV(Table19[[#This Row],[Assets]],"Change (%)",TRUE)</f>
        <v>-6.5230000000000002E-3</v>
      </c>
      <c r="M269" s="36">
        <f>SUMIF(Table20[Asset],Table19[[#This Row],[Assets]],Table20[realized_profit])</f>
        <v>0</v>
      </c>
      <c r="N269" s="36">
        <f>SUMIF(Table20[[#All],[Asset]],Table19[[#This Row],[Assets]],Table20[[#All],[delta_exposure]])</f>
        <v>0</v>
      </c>
      <c r="O269" s="38">
        <f ca="1">Table19[[#This Row],[Option Exposure]]/$B$6</f>
        <v>0</v>
      </c>
      <c r="P269" s="51">
        <f>SUMIF(Table25[[#All],[Assets]],Table19[[#This Row],[Assets]],Table25[[#All],[Number of stocks]])</f>
        <v>0</v>
      </c>
      <c r="Q269" s="36">
        <f ca="1">Table19[[#This Row],[Num of Stocks]]*Table19[[#This Row],[Price]]</f>
        <v>0</v>
      </c>
      <c r="R269" s="36">
        <f ca="1">Table19[[#This Row],[Stock Exposure]]+Table19[[#This Row],[Option Exposure]]</f>
        <v>0</v>
      </c>
      <c r="S269" s="108" t="str">
        <f>IFERROR(Table19[[#This Row],[Num of Stocks]]*Table19[[#This Row],[Ave Entry]],"")</f>
        <v/>
      </c>
      <c r="T269" s="39">
        <f ca="1">Table19[[#This Row],[Combined Exposure]]/$C$8</f>
        <v>0</v>
      </c>
    </row>
    <row r="270" spans="1:20">
      <c r="A270" t="e" vm="135">
        <v>#VALUE!</v>
      </c>
      <c r="B270" s="13" t="str" cm="1">
        <f t="array" aca="1" ref="B270" ca="1">_FV(A270,"Ticker symbol",TRUE)</f>
        <v>CRM</v>
      </c>
      <c r="C270" s="13" t="s">
        <v>29</v>
      </c>
      <c r="D270" s="13" t="s">
        <v>121</v>
      </c>
      <c r="E270" s="19" cm="1">
        <f t="array" aca="1" ref="E270" ca="1">IFERROR(_FV(A270,"Beta"),2)</f>
        <v>1.3015000000000001</v>
      </c>
      <c r="F270" s="13" t="str" cm="1">
        <f t="array" aca="1" ref="F270" ca="1">_FV(A270,"Instrument type",TRUE)</f>
        <v>Stock</v>
      </c>
      <c r="G270" s="18" cm="1">
        <f t="array" aca="1" ref="G270" ca="1">_FV(Table19[[#This Row],[Assets]],"Price")</f>
        <v>183.79</v>
      </c>
      <c r="H270" s="36" t="str">
        <f>IFERROR(VLOOKUP(Table19[[#This Row],[Assets]],Table25[#All],15,FALSE),"")</f>
        <v/>
      </c>
      <c r="I270" s="36">
        <f>IFERROR(VLOOKUP(Table19[[#This Row],[Assets]],Table25[#All],16,FALSE),0)</f>
        <v>0</v>
      </c>
      <c r="J270" s="84" t="str">
        <f ca="1">IFERROR((Table19[[#This Row],[Price]]-Table19[[#This Row],[Ave Entry]])/Table19[[#This Row],[Ave Entry]],"")</f>
        <v/>
      </c>
      <c r="K270" s="92">
        <f ca="1">IFERROR((Table19[[#This Row],[Price]]-Table19[[#This Row],[Ave Entry]])*Table19[[#This Row],[Num of Stocks]],0)</f>
        <v>0</v>
      </c>
      <c r="L270" s="38" cm="1">
        <f t="array" aca="1" ref="L270" ca="1">_FV(Table19[[#This Row],[Assets]],"Change (%)",TRUE)</f>
        <v>4.2069999999999998E-3</v>
      </c>
      <c r="M270" s="36">
        <f>SUMIF(Table20[Asset],Table19[[#This Row],[Assets]],Table20[realized_profit])</f>
        <v>-606</v>
      </c>
      <c r="N270" s="36">
        <f ca="1">SUMIF(Table20[[#All],[Asset]],Table19[[#This Row],[Assets]],Table20[[#All],[delta_exposure]])</f>
        <v>0</v>
      </c>
      <c r="O270" s="38">
        <f ca="1">Table19[[#This Row],[Option Exposure]]/$B$6</f>
        <v>0</v>
      </c>
      <c r="P270" s="51">
        <f>SUMIF(Table25[[#All],[Assets]],Table19[[#This Row],[Assets]],Table25[[#All],[Number of stocks]])</f>
        <v>0</v>
      </c>
      <c r="Q270" s="36">
        <f ca="1">Table19[[#This Row],[Num of Stocks]]*Table19[[#This Row],[Price]]</f>
        <v>0</v>
      </c>
      <c r="R270" s="36">
        <f ca="1">Table19[[#This Row],[Stock Exposure]]+Table19[[#This Row],[Option Exposure]]</f>
        <v>0</v>
      </c>
      <c r="S270" s="108" t="str">
        <f>IFERROR(Table19[[#This Row],[Num of Stocks]]*Table19[[#This Row],[Ave Entry]],"")</f>
        <v/>
      </c>
      <c r="T270" s="39">
        <f ca="1">Table19[[#This Row],[Combined Exposure]]/$C$8</f>
        <v>0</v>
      </c>
    </row>
    <row r="271" spans="1:20">
      <c r="A271" t="e" vm="337">
        <v>#VALUE!</v>
      </c>
      <c r="B271" s="13" t="str" cm="1">
        <f t="array" aca="1" ref="B271" ca="1">_FV(A271,"Ticker symbol",TRUE)</f>
        <v>PODD</v>
      </c>
      <c r="C271" s="13" t="s">
        <v>53</v>
      </c>
      <c r="D271" s="13" t="s">
        <v>454</v>
      </c>
      <c r="E271" s="19" cm="1">
        <f t="array" aca="1" ref="E271" ca="1">IFERROR(_FV(A271,"Beta"),2)</f>
        <v>1.4387000000000001</v>
      </c>
      <c r="F271" s="13" t="str" cm="1">
        <f t="array" aca="1" ref="F271" ca="1">_FV(A271,"Instrument type",TRUE)</f>
        <v>Stock</v>
      </c>
      <c r="G271" s="18" cm="1">
        <f t="array" aca="1" ref="G271" ca="1">_FV(Table19[[#This Row],[Assets]],"Price")</f>
        <v>221.38499999999999</v>
      </c>
      <c r="H271" s="36" t="str">
        <f>IFERROR(VLOOKUP(Table19[[#This Row],[Assets]],Table25[#All],15,FALSE),"")</f>
        <v/>
      </c>
      <c r="I271" s="36">
        <f>IFERROR(VLOOKUP(Table19[[#This Row],[Assets]],Table25[#All],16,FALSE),0)</f>
        <v>0</v>
      </c>
      <c r="J271" s="84" t="str">
        <f ca="1">IFERROR((Table19[[#This Row],[Price]]-Table19[[#This Row],[Ave Entry]])/Table19[[#This Row],[Ave Entry]],"")</f>
        <v/>
      </c>
      <c r="K271" s="92">
        <f ca="1">IFERROR((Table19[[#This Row],[Price]]-Table19[[#This Row],[Ave Entry]])*Table19[[#This Row],[Num of Stocks]],0)</f>
        <v>0</v>
      </c>
      <c r="L271" s="38" cm="1">
        <f t="array" aca="1" ref="L271" ca="1">_FV(Table19[[#This Row],[Assets]],"Change (%)",TRUE)</f>
        <v>-1.8248E-2</v>
      </c>
      <c r="M271" s="36">
        <f>SUMIF(Table20[Asset],Table19[[#This Row],[Assets]],Table20[realized_profit])</f>
        <v>300</v>
      </c>
      <c r="N271" s="36">
        <f ca="1">SUMIF(Table20[[#All],[Asset]],Table19[[#This Row],[Assets]],Table20[[#All],[delta_exposure]])</f>
        <v>0</v>
      </c>
      <c r="O271" s="98">
        <f ca="1">Table19[[#This Row],[Option Exposure]]/$B$6</f>
        <v>0</v>
      </c>
      <c r="P271" s="51">
        <f>SUMIF(Table25[[#All],[Assets]],Table19[[#This Row],[Assets]],Table25[[#All],[Number of stocks]])</f>
        <v>0</v>
      </c>
      <c r="Q271" s="36">
        <f ca="1">Table19[[#This Row],[Num of Stocks]]*Table19[[#This Row],[Price]]</f>
        <v>0</v>
      </c>
      <c r="R271" s="36">
        <f ca="1">Table19[[#This Row],[Stock Exposure]]+Table19[[#This Row],[Option Exposure]]</f>
        <v>0</v>
      </c>
      <c r="S271" s="108" t="str">
        <f>IFERROR(Table19[[#This Row],[Num of Stocks]]*Table19[[#This Row],[Ave Entry]],"")</f>
        <v/>
      </c>
      <c r="T271" s="39">
        <f ca="1">Table19[[#This Row],[Combined Exposure]]/$C$8</f>
        <v>0</v>
      </c>
    </row>
    <row r="272" spans="1:20">
      <c r="A272" t="e" vm="48">
        <v>#VALUE!</v>
      </c>
      <c r="B272" s="13" t="str" cm="1">
        <f t="array" aca="1" ref="B272" ca="1">_FV(A272,"Ticker symbol",TRUE)</f>
        <v>BWXT</v>
      </c>
      <c r="C272" s="13" t="s">
        <v>136</v>
      </c>
      <c r="D272" s="13" t="s">
        <v>136</v>
      </c>
      <c r="E272" s="19" cm="1">
        <f t="array" aca="1" ref="E272" ca="1">IFERROR(_FV(A272,"Beta"),2)</f>
        <v>0.79600000000000004</v>
      </c>
      <c r="F272" s="13" t="str" cm="1">
        <f t="array" aca="1" ref="F272" ca="1">_FV(A272,"Instrument type",TRUE)</f>
        <v>Stock</v>
      </c>
      <c r="G272" s="18" cm="1">
        <f t="array" aca="1" ref="G272" ca="1">_FV(Table19[[#This Row],[Assets]],"Price")</f>
        <v>215.84</v>
      </c>
      <c r="H272" s="36" t="str">
        <f>IFERROR(VLOOKUP(Table19[[#This Row],[Assets]],Table25[#All],15,FALSE),"")</f>
        <v/>
      </c>
      <c r="I272" s="36">
        <f>IFERROR(VLOOKUP(Table19[[#This Row],[Assets]],Table25[#All],16,FALSE),0)</f>
        <v>0</v>
      </c>
      <c r="J272" s="84" t="str">
        <f ca="1">IFERROR((Table19[[#This Row],[Price]]-Table19[[#This Row],[Ave Entry]])/Table19[[#This Row],[Ave Entry]],"")</f>
        <v/>
      </c>
      <c r="K272" s="92">
        <f ca="1">IFERROR((Table19[[#This Row],[Price]]-Table19[[#This Row],[Ave Entry]])*Table19[[#This Row],[Num of Stocks]],0)</f>
        <v>0</v>
      </c>
      <c r="L272" s="38" cm="1">
        <f t="array" aca="1" ref="L272" ca="1">_FV(Table19[[#This Row],[Assets]],"Change (%)",TRUE)</f>
        <v>5.4112E-2</v>
      </c>
      <c r="M272" s="36">
        <f>SUMIF(Table20[Asset],Table19[[#This Row],[Assets]],Table20[realized_profit])</f>
        <v>0</v>
      </c>
      <c r="N272" s="36">
        <f>SUMIF(Table20[[#All],[Asset]],Table19[[#This Row],[Assets]],Table20[[#All],[delta_exposure]])</f>
        <v>0</v>
      </c>
      <c r="O272" s="38">
        <f ca="1">Table19[[#This Row],[Option Exposure]]/$B$6</f>
        <v>0</v>
      </c>
      <c r="P272" s="51">
        <f>SUMIF(Table25[[#All],[Assets]],Table19[[#This Row],[Assets]],Table25[[#All],[Number of stocks]])</f>
        <v>0</v>
      </c>
      <c r="Q272" s="36">
        <f ca="1">Table19[[#This Row],[Num of Stocks]]*Table19[[#This Row],[Price]]</f>
        <v>0</v>
      </c>
      <c r="R272" s="36">
        <f ca="1">Table19[[#This Row],[Stock Exposure]]+Table19[[#This Row],[Option Exposure]]</f>
        <v>0</v>
      </c>
      <c r="S272" s="108" t="str">
        <f>IFERROR(Table19[[#This Row],[Num of Stocks]]*Table19[[#This Row],[Ave Entry]],"")</f>
        <v/>
      </c>
      <c r="T272" s="39">
        <f ca="1">Table19[[#This Row],[Combined Exposure]]/$C$8</f>
        <v>0</v>
      </c>
    </row>
    <row r="273" spans="1:20">
      <c r="A273" t="e" vm="338">
        <v>#VALUE!</v>
      </c>
      <c r="B273" s="13" t="str" cm="1">
        <f t="array" aca="1" ref="B273" ca="1">_FV(A273,"Ticker symbol",TRUE)</f>
        <v>GLBE</v>
      </c>
      <c r="C273" s="13" t="s">
        <v>54</v>
      </c>
      <c r="D273" s="13" t="s">
        <v>457</v>
      </c>
      <c r="E273" s="19" cm="1">
        <f t="array" aca="1" ref="E273" ca="1">IFERROR(_FV(A273,"Beta"),2)</f>
        <v>1.2647999999999999</v>
      </c>
      <c r="F273" s="13" t="str" cm="1">
        <f t="array" aca="1" ref="F273" ca="1">_FV(A273,"Instrument type",TRUE)</f>
        <v>Stock</v>
      </c>
      <c r="G273" s="18" cm="1">
        <f t="array" aca="1" ref="G273" ca="1">_FV(Table19[[#This Row],[Assets]],"Price")</f>
        <v>32.200000000000003</v>
      </c>
      <c r="H273" s="36" t="str">
        <f>IFERROR(VLOOKUP(Table19[[#This Row],[Assets]],Table25[#All],15,FALSE),"")</f>
        <v/>
      </c>
      <c r="I273" s="36">
        <f>IFERROR(VLOOKUP(Table19[[#This Row],[Assets]],Table25[#All],16,FALSE),0)</f>
        <v>0</v>
      </c>
      <c r="J273" s="84" t="str">
        <f ca="1">IFERROR((Table19[[#This Row],[Price]]-Table19[[#This Row],[Ave Entry]])/Table19[[#This Row],[Ave Entry]],"")</f>
        <v/>
      </c>
      <c r="K273" s="92">
        <f ca="1">IFERROR((Table19[[#This Row],[Price]]-Table19[[#This Row],[Ave Entry]])*Table19[[#This Row],[Num of Stocks]],0)</f>
        <v>0</v>
      </c>
      <c r="L273" s="38" cm="1">
        <f t="array" aca="1" ref="L273" ca="1">_FV(Table19[[#This Row],[Assets]],"Change (%)",TRUE)</f>
        <v>1.5772999999999999E-2</v>
      </c>
      <c r="M273" s="36">
        <f>SUMIF(Table20[Asset],Table19[[#This Row],[Assets]],Table20[realized_profit])</f>
        <v>0</v>
      </c>
      <c r="N273" s="36">
        <f>SUMIF(Table20[[#All],[Asset]],Table19[[#This Row],[Assets]],Table20[[#All],[delta_exposure]])</f>
        <v>0</v>
      </c>
      <c r="O273" s="38">
        <f ca="1">Table19[[#This Row],[Option Exposure]]/$B$6</f>
        <v>0</v>
      </c>
      <c r="P273" s="51">
        <f>SUMIF(Table25[[#All],[Assets]],Table19[[#This Row],[Assets]],Table25[[#All],[Number of stocks]])</f>
        <v>0</v>
      </c>
      <c r="Q273" s="36">
        <f ca="1">Table19[[#This Row],[Num of Stocks]]*Table19[[#This Row],[Price]]</f>
        <v>0</v>
      </c>
      <c r="R273" s="36">
        <f ca="1">Table19[[#This Row],[Stock Exposure]]+Table19[[#This Row],[Option Exposure]]</f>
        <v>0</v>
      </c>
      <c r="S273" s="108" t="str">
        <f>IFERROR(Table19[[#This Row],[Num of Stocks]]*Table19[[#This Row],[Ave Entry]],"")</f>
        <v/>
      </c>
      <c r="T273" s="39">
        <f ca="1">Table19[[#This Row],[Combined Exposure]]/$C$8</f>
        <v>0</v>
      </c>
    </row>
    <row r="274" spans="1:20">
      <c r="A274" t="e" vm="339">
        <v>#VALUE!</v>
      </c>
      <c r="B274" s="13" t="str" cm="1">
        <f t="array" aca="1" ref="B274" ca="1">_FV(A274,"Ticker symbol",TRUE)</f>
        <v>CVAC</v>
      </c>
      <c r="C274" s="13" t="s">
        <v>53</v>
      </c>
      <c r="D274" s="13" t="s">
        <v>560</v>
      </c>
      <c r="E274" s="19" cm="1">
        <f t="array" aca="1" ref="E274" ca="1">IFERROR(_FV(A274,"Beta"),2)</f>
        <v>1.8737999999999999</v>
      </c>
      <c r="F274" s="13" t="str" cm="1">
        <f t="array" aca="1" ref="F274" ca="1">_FV(A274,"Instrument type",TRUE)</f>
        <v>Stock</v>
      </c>
      <c r="G274" s="18" cm="1">
        <f t="array" aca="1" ref="G274" ca="1">_FV(Table19[[#This Row],[Assets]],"Price")</f>
        <v>4.66</v>
      </c>
      <c r="H274" s="36">
        <f>IFERROR(VLOOKUP(Table19[[#This Row],[Assets]],Table25[#All],15,FALSE),"")</f>
        <v>4.99</v>
      </c>
      <c r="I274" s="36">
        <f>IFERROR(VLOOKUP(Table19[[#This Row],[Assets]],Table25[#All],16,FALSE),0)</f>
        <v>-152</v>
      </c>
      <c r="J274" s="84">
        <f ca="1">IFERROR((Table19[[#This Row],[Price]]-Table19[[#This Row],[Ave Entry]])/Table19[[#This Row],[Ave Entry]],"")</f>
        <v>-6.6132264529058127E-2</v>
      </c>
      <c r="K274" s="92">
        <f ca="1">IFERROR((Table19[[#This Row],[Price]]-Table19[[#This Row],[Ave Entry]])*Table19[[#This Row],[Num of Stocks]],0)</f>
        <v>0</v>
      </c>
      <c r="L274" s="38" cm="1">
        <f t="array" aca="1" ref="L274" ca="1">_FV(Table19[[#This Row],[Assets]],"Change (%)",TRUE)</f>
        <v>0</v>
      </c>
      <c r="M274" s="36">
        <f>SUMIF(Table20[Asset],Table19[[#This Row],[Assets]],Table20[realized_profit])</f>
        <v>0</v>
      </c>
      <c r="N274" s="36">
        <f>SUMIF(Table20[[#All],[Asset]],Table19[[#This Row],[Assets]],Table20[[#All],[delta_exposure]])</f>
        <v>0</v>
      </c>
      <c r="O274" s="38">
        <f ca="1">Table19[[#This Row],[Option Exposure]]/$B$6</f>
        <v>0</v>
      </c>
      <c r="P274" s="51">
        <f>SUMIF(Table25[[#All],[Assets]],Table19[[#This Row],[Assets]],Table25[[#All],[Number of stocks]])</f>
        <v>0</v>
      </c>
      <c r="Q274" s="36">
        <f ca="1">Table19[[#This Row],[Num of Stocks]]*Table19[[#This Row],[Price]]</f>
        <v>0</v>
      </c>
      <c r="R274" s="36">
        <f ca="1">Table19[[#This Row],[Stock Exposure]]+Table19[[#This Row],[Option Exposure]]</f>
        <v>0</v>
      </c>
      <c r="S274" s="108">
        <f>IFERROR(Table19[[#This Row],[Num of Stocks]]*Table19[[#This Row],[Ave Entry]],"")</f>
        <v>0</v>
      </c>
      <c r="T274" s="39">
        <f ca="1">Table19[[#This Row],[Combined Exposure]]/$C$8</f>
        <v>0</v>
      </c>
    </row>
    <row r="275" spans="1:20">
      <c r="A275" t="e" vm="340">
        <v>#VALUE!</v>
      </c>
      <c r="B275" s="13" t="str" cm="1">
        <f t="array" aca="1" ref="B275" ca="1">_FV(A275,"Ticker symbol",TRUE)</f>
        <v>PNTG</v>
      </c>
      <c r="C275" s="13" t="s">
        <v>326</v>
      </c>
      <c r="D275" s="13" t="s">
        <v>53</v>
      </c>
      <c r="E275" s="19" cm="1">
        <f t="array" aca="1" ref="E275" ca="1">IFERROR(_FV(A275,"Beta"),2)</f>
        <v>1.2916000000000001</v>
      </c>
      <c r="F275" s="13" t="str" cm="1">
        <f t="array" aca="1" ref="F275" ca="1">_FV(A275,"Instrument type",TRUE)</f>
        <v>Stock</v>
      </c>
      <c r="G275" s="18" cm="1">
        <f t="array" aca="1" ref="G275" ca="1">_FV(Table19[[#This Row],[Assets]],"Price")</f>
        <v>30.63</v>
      </c>
      <c r="H275" s="36">
        <f>IFERROR(VLOOKUP(Table19[[#This Row],[Assets]],Table25[#All],15,FALSE),"")</f>
        <v>29.2</v>
      </c>
      <c r="I275" s="36">
        <f>IFERROR(VLOOKUP(Table19[[#This Row],[Assets]],Table25[#All],16,FALSE),0)</f>
        <v>0</v>
      </c>
      <c r="J275" s="84">
        <f ca="1">IFERROR((Table19[[#This Row],[Price]]-Table19[[#This Row],[Ave Entry]])/Table19[[#This Row],[Ave Entry]],"")</f>
        <v>4.8972602739726021E-2</v>
      </c>
      <c r="K275" s="92">
        <f ca="1">IFERROR((Table19[[#This Row],[Price]]-Table19[[#This Row],[Ave Entry]])*Table19[[#This Row],[Num of Stocks]],0)</f>
        <v>0</v>
      </c>
      <c r="L275" s="38" cm="1">
        <f t="array" aca="1" ref="L275" ca="1">_FV(Table19[[#This Row],[Assets]],"Change (%)",TRUE)</f>
        <v>-1.2573000000000001E-2</v>
      </c>
      <c r="M275" s="36">
        <f>SUMIF(Table20[Asset],Table19[[#This Row],[Assets]],Table20[realized_profit])</f>
        <v>0</v>
      </c>
      <c r="N275" s="36">
        <f>SUMIF(Table20[[#All],[Asset]],Table19[[#This Row],[Assets]],Table20[[#All],[delta_exposure]])</f>
        <v>0</v>
      </c>
      <c r="O275" s="38">
        <f ca="1">Table19[[#This Row],[Option Exposure]]/$B$6</f>
        <v>0</v>
      </c>
      <c r="P275" s="51">
        <f>SUMIF(Table25[[#All],[Assets]],Table19[[#This Row],[Assets]],Table25[[#All],[Number of stocks]])</f>
        <v>0</v>
      </c>
      <c r="Q275" s="36">
        <f ca="1">Table19[[#This Row],[Num of Stocks]]*Table19[[#This Row],[Price]]</f>
        <v>0</v>
      </c>
      <c r="R275" s="36">
        <f ca="1">Table19[[#This Row],[Stock Exposure]]+Table19[[#This Row],[Option Exposure]]</f>
        <v>0</v>
      </c>
      <c r="S275" s="108">
        <f>IFERROR(Table19[[#This Row],[Num of Stocks]]*Table19[[#This Row],[Ave Entry]],"")</f>
        <v>0</v>
      </c>
      <c r="T275" s="39">
        <f ca="1">Table19[[#This Row],[Combined Exposure]]/$C$8</f>
        <v>0</v>
      </c>
    </row>
    <row r="276" spans="1:20">
      <c r="A276" t="e" vm="341">
        <v>#VALUE!</v>
      </c>
      <c r="B276" s="13" t="str" cm="1">
        <f t="array" aca="1" ref="B276" ca="1">_FV(A276,"Ticker symbol",TRUE)</f>
        <v>REGN</v>
      </c>
      <c r="C276" s="13" t="s">
        <v>53</v>
      </c>
      <c r="D276" s="13" t="s">
        <v>560</v>
      </c>
      <c r="E276" s="19" cm="1">
        <f t="array" aca="1" ref="E276" ca="1">IFERROR(_FV(A276,"Beta"),2)</f>
        <v>0.41699999999999998</v>
      </c>
      <c r="F276" s="13" t="str" cm="1">
        <f t="array" aca="1" ref="F276" ca="1">_FV(A276,"Instrument type",TRUE)</f>
        <v>Stock</v>
      </c>
      <c r="G276" s="18" cm="1">
        <f t="array" aca="1" ref="G276" ca="1">_FV(Table19[[#This Row],[Assets]],"Price")</f>
        <v>753.12</v>
      </c>
      <c r="H276" s="36" t="str">
        <f>IFERROR(VLOOKUP(Table19[[#This Row],[Assets]],Table25[#All],15,FALSE),"")</f>
        <v/>
      </c>
      <c r="I276" s="36">
        <f>IFERROR(VLOOKUP(Table19[[#This Row],[Assets]],Table25[#All],16,FALSE),0)</f>
        <v>0</v>
      </c>
      <c r="J276" s="84" t="str">
        <f ca="1">IFERROR((Table19[[#This Row],[Price]]-Table19[[#This Row],[Ave Entry]])/Table19[[#This Row],[Ave Entry]],"")</f>
        <v/>
      </c>
      <c r="K276" s="92">
        <f ca="1">IFERROR((Table19[[#This Row],[Price]]-Table19[[#This Row],[Ave Entry]])*Table19[[#This Row],[Num of Stocks]],0)</f>
        <v>0</v>
      </c>
      <c r="L276" s="38" cm="1">
        <f t="array" aca="1" ref="L276" ca="1">_FV(Table19[[#This Row],[Assets]],"Change (%)",TRUE)</f>
        <v>1.5410999999999999E-2</v>
      </c>
      <c r="M276" s="36">
        <f>SUMIF(Table20[Asset],Table19[[#This Row],[Assets]],Table20[realized_profit])</f>
        <v>0</v>
      </c>
      <c r="N276" s="36">
        <f>SUMIF(Table20[[#All],[Asset]],Table19[[#This Row],[Assets]],Table20[[#All],[delta_exposure]])</f>
        <v>0</v>
      </c>
      <c r="O276" s="38">
        <f ca="1">Table19[[#This Row],[Option Exposure]]/$B$6</f>
        <v>0</v>
      </c>
      <c r="P276" s="51">
        <f>SUMIF(Table25[[#All],[Assets]],Table19[[#This Row],[Assets]],Table25[[#All],[Number of stocks]])</f>
        <v>0</v>
      </c>
      <c r="Q276" s="36">
        <f ca="1">Table19[[#This Row],[Num of Stocks]]*Table19[[#This Row],[Price]]</f>
        <v>0</v>
      </c>
      <c r="R276" s="36">
        <f ca="1">Table19[[#This Row],[Stock Exposure]]+Table19[[#This Row],[Option Exposure]]</f>
        <v>0</v>
      </c>
      <c r="S276" s="108" t="str">
        <f>IFERROR(Table19[[#This Row],[Num of Stocks]]*Table19[[#This Row],[Ave Entry]],"")</f>
        <v/>
      </c>
      <c r="T276" s="39">
        <f ca="1">Table19[[#This Row],[Combined Exposure]]/$C$8</f>
        <v>0</v>
      </c>
    </row>
    <row r="277" spans="1:20">
      <c r="A277" t="e" vm="342">
        <v>#VALUE!</v>
      </c>
      <c r="B277" s="13" t="str" cm="1">
        <f t="array" aca="1" ref="B277" ca="1">_FV(A277,"Ticker symbol",TRUE)</f>
        <v>VKTX</v>
      </c>
      <c r="C277" s="13" t="s">
        <v>53</v>
      </c>
      <c r="D277" s="13" t="s">
        <v>560</v>
      </c>
      <c r="E277" s="19" cm="1">
        <f t="array" aca="1" ref="E277" ca="1">IFERROR(_FV(A277,"Beta"),2)</f>
        <v>0.82940000000000003</v>
      </c>
      <c r="F277" s="13" t="str" cm="1">
        <f t="array" aca="1" ref="F277" ca="1">_FV(A277,"Instrument type",TRUE)</f>
        <v>Stock</v>
      </c>
      <c r="G277" s="18" cm="1">
        <f t="array" aca="1" ref="G277" ca="1">_FV(Table19[[#This Row],[Assets]],"Price")</f>
        <v>33.65</v>
      </c>
      <c r="H277" s="36">
        <f>IFERROR(VLOOKUP(Table19[[#This Row],[Assets]],Table25[#All],15,FALSE),"")</f>
        <v>39.497837837837842</v>
      </c>
      <c r="I277" s="36">
        <f>IFERROR(VLOOKUP(Table19[[#This Row],[Assets]],Table25[#All],16,FALSE),0)</f>
        <v>84.77000000000001</v>
      </c>
      <c r="J277" s="84">
        <f ca="1">IFERROR((Table19[[#This Row],[Price]]-Table19[[#This Row],[Ave Entry]])/Table19[[#This Row],[Ave Entry]],"")</f>
        <v>-0.14805463179647205</v>
      </c>
      <c r="K277" s="92">
        <f ca="1">IFERROR((Table19[[#This Row],[Price]]-Table19[[#This Row],[Ave Entry]])*Table19[[#This Row],[Num of Stocks]],0)</f>
        <v>0</v>
      </c>
      <c r="L277" s="38" cm="1">
        <f t="array" aca="1" ref="L277" ca="1">_FV(Table19[[#This Row],[Assets]],"Change (%)",TRUE)</f>
        <v>4.6005999999999998E-2</v>
      </c>
      <c r="M277" s="36">
        <f>SUMIF(Table20[Asset],Table19[[#This Row],[Assets]],Table20[realized_profit])</f>
        <v>-300</v>
      </c>
      <c r="N277" s="36">
        <f ca="1">SUMIF(Table20[[#All],[Asset]],Table19[[#This Row],[Assets]],Table20[[#All],[delta_exposure]])</f>
        <v>0</v>
      </c>
      <c r="O277" s="98">
        <f ca="1">Table19[[#This Row],[Option Exposure]]/$B$6</f>
        <v>0</v>
      </c>
      <c r="P277" s="51">
        <f>SUMIF(Table25[[#All],[Assets]],Table19[[#This Row],[Assets]],Table25[[#All],[Number of stocks]])</f>
        <v>0</v>
      </c>
      <c r="Q277" s="36">
        <f ca="1">Table19[[#This Row],[Num of Stocks]]*Table19[[#This Row],[Price]]</f>
        <v>0</v>
      </c>
      <c r="R277" s="36">
        <f ca="1">Table19[[#This Row],[Stock Exposure]]+Table19[[#This Row],[Option Exposure]]</f>
        <v>0</v>
      </c>
      <c r="S277" s="108">
        <f>IFERROR(Table19[[#This Row],[Num of Stocks]]*Table19[[#This Row],[Ave Entry]],"")</f>
        <v>0</v>
      </c>
      <c r="T277" s="39">
        <f ca="1">Table19[[#This Row],[Combined Exposure]]/$C$8</f>
        <v>0</v>
      </c>
    </row>
    <row r="278" spans="1:20">
      <c r="A278" t="e" vm="343">
        <v>#VALUE!</v>
      </c>
      <c r="B278" s="13" t="str" cm="1">
        <f t="array" aca="1" ref="B278" ca="1">_FV(A278,"Ticker symbol",TRUE)</f>
        <v>ILMN</v>
      </c>
      <c r="C278" s="13" t="s">
        <v>53</v>
      </c>
      <c r="D278" s="13" t="s">
        <v>311</v>
      </c>
      <c r="E278" s="19" cm="1">
        <f t="array" aca="1" ref="E278" ca="1">IFERROR(_FV(A278,"Beta"),2)</f>
        <v>1.4927999999999999</v>
      </c>
      <c r="F278" s="13" t="str" cm="1">
        <f t="array" aca="1" ref="F278" ca="1">_FV(A278,"Instrument type",TRUE)</f>
        <v>Stock</v>
      </c>
      <c r="G278" s="18" cm="1">
        <f t="array" aca="1" ref="G278" ca="1">_FV(Table19[[#This Row],[Assets]],"Price")</f>
        <v>125.58</v>
      </c>
      <c r="H278" s="36">
        <f>IFERROR(VLOOKUP(Table19[[#This Row],[Assets]],Table25[#All],15,FALSE),"")</f>
        <v>133.6</v>
      </c>
      <c r="I278" s="36">
        <f>IFERROR(VLOOKUP(Table19[[#This Row],[Assets]],Table25[#All],16,FALSE),0)</f>
        <v>36.330000000000041</v>
      </c>
      <c r="J278" s="84">
        <f ca="1">IFERROR((Table19[[#This Row],[Price]]-Table19[[#This Row],[Ave Entry]])/Table19[[#This Row],[Ave Entry]],"")</f>
        <v>-6.0029940119760448E-2</v>
      </c>
      <c r="K278" s="92">
        <f ca="1">IFERROR((Table19[[#This Row],[Price]]-Table19[[#This Row],[Ave Entry]])*Table19[[#This Row],[Num of Stocks]],0)</f>
        <v>0</v>
      </c>
      <c r="L278" s="38" cm="1">
        <f t="array" aca="1" ref="L278" ca="1">_FV(Table19[[#This Row],[Assets]],"Change (%)",TRUE)</f>
        <v>-3.1749999999999999E-3</v>
      </c>
      <c r="M278" s="36">
        <f>SUMIF(Table20[Asset],Table19[[#This Row],[Assets]],Table20[realized_profit])</f>
        <v>0</v>
      </c>
      <c r="N278" s="36">
        <f>SUMIF(Table20[[#All],[Asset]],Table19[[#This Row],[Assets]],Table20[[#All],[delta_exposure]])</f>
        <v>0</v>
      </c>
      <c r="O278" s="38">
        <f ca="1">Table19[[#This Row],[Option Exposure]]/$B$6</f>
        <v>0</v>
      </c>
      <c r="P278" s="51">
        <f>SUMIF(Table25[[#All],[Assets]],Table19[[#This Row],[Assets]],Table25[[#All],[Number of stocks]])</f>
        <v>0</v>
      </c>
      <c r="Q278" s="36">
        <f ca="1">Table19[[#This Row],[Num of Stocks]]*Table19[[#This Row],[Price]]</f>
        <v>0</v>
      </c>
      <c r="R278" s="36">
        <f ca="1">Table19[[#This Row],[Stock Exposure]]+Table19[[#This Row],[Option Exposure]]</f>
        <v>0</v>
      </c>
      <c r="S278" s="108">
        <f>IFERROR(Table19[[#This Row],[Num of Stocks]]*Table19[[#This Row],[Ave Entry]],"")</f>
        <v>0</v>
      </c>
      <c r="T278" s="39">
        <f ca="1">Table19[[#This Row],[Combined Exposure]]/$C$8</f>
        <v>0</v>
      </c>
    </row>
    <row r="279" spans="1:20">
      <c r="A279" t="e" vm="344">
        <v>#VALUE!</v>
      </c>
      <c r="B279" s="13" t="str" cm="1">
        <f t="array" aca="1" ref="B279" ca="1">_FV(A279,"Ticker symbol",TRUE)</f>
        <v>QDEL</v>
      </c>
      <c r="C279" s="13" t="s">
        <v>53</v>
      </c>
      <c r="D279" s="13" t="s">
        <v>311</v>
      </c>
      <c r="E279" s="19" cm="1">
        <f t="array" aca="1" ref="E279" ca="1">IFERROR(_FV(A279,"Beta"),2)</f>
        <v>0.91420000000000001</v>
      </c>
      <c r="F279" s="13" t="str" cm="1">
        <f t="array" aca="1" ref="F279" ca="1">_FV(A279,"Instrument type",TRUE)</f>
        <v>Stock</v>
      </c>
      <c r="G279" s="18" cm="1">
        <f t="array" aca="1" ref="G279" ca="1">_FV(Table19[[#This Row],[Assets]],"Price")</f>
        <v>16.059999999999999</v>
      </c>
      <c r="H279" s="36">
        <f>IFERROR(VLOOKUP(Table19[[#This Row],[Assets]],Table25[#All],15,FALSE),"")</f>
        <v>44.173846153846156</v>
      </c>
      <c r="I279" s="36">
        <f>IFERROR(VLOOKUP(Table19[[#This Row],[Assets]],Table25[#All],16,FALSE),0)</f>
        <v>-113.78000000000004</v>
      </c>
      <c r="J279" s="84">
        <f ca="1">IFERROR((Table19[[#This Row],[Price]]-Table19[[#This Row],[Ave Entry]])/Table19[[#This Row],[Ave Entry]],"")</f>
        <v>-0.63643645735381194</v>
      </c>
      <c r="K279" s="92">
        <f ca="1">IFERROR((Table19[[#This Row],[Price]]-Table19[[#This Row],[Ave Entry]])*Table19[[#This Row],[Num of Stocks]],0)</f>
        <v>0</v>
      </c>
      <c r="L279" s="38" cm="1">
        <f t="array" aca="1" ref="L279" ca="1">_FV(Table19[[#This Row],[Assets]],"Change (%)",TRUE)</f>
        <v>-6.803E-3</v>
      </c>
      <c r="M279" s="36">
        <f>SUMIF(Table20[Asset],Table19[[#This Row],[Assets]],Table20[realized_profit])</f>
        <v>0</v>
      </c>
      <c r="N279" s="36">
        <f>SUMIF(Table20[[#All],[Asset]],Table19[[#This Row],[Assets]],Table20[[#All],[delta_exposure]])</f>
        <v>0</v>
      </c>
      <c r="O279" s="38">
        <f ca="1">Table19[[#This Row],[Option Exposure]]/$B$6</f>
        <v>0</v>
      </c>
      <c r="P279" s="51">
        <f>SUMIF(Table25[[#All],[Assets]],Table19[[#This Row],[Assets]],Table25[[#All],[Number of stocks]])</f>
        <v>0</v>
      </c>
      <c r="Q279" s="36">
        <f ca="1">Table19[[#This Row],[Num of Stocks]]*Table19[[#This Row],[Price]]</f>
        <v>0</v>
      </c>
      <c r="R279" s="36">
        <f ca="1">Table19[[#This Row],[Stock Exposure]]+Table19[[#This Row],[Option Exposure]]</f>
        <v>0</v>
      </c>
      <c r="S279" s="108">
        <f>IFERROR(Table19[[#This Row],[Num of Stocks]]*Table19[[#This Row],[Ave Entry]],"")</f>
        <v>0</v>
      </c>
      <c r="T279" s="39">
        <f ca="1">Table19[[#This Row],[Combined Exposure]]/$C$8</f>
        <v>0</v>
      </c>
    </row>
    <row r="280" spans="1:20">
      <c r="A280" t="e" vm="345">
        <v>#VALUE!</v>
      </c>
      <c r="B280" s="13" t="str" cm="1">
        <f t="array" aca="1" ref="B280" ca="1">_FV(A280,"Ticker symbol",TRUE)</f>
        <v>ROIV</v>
      </c>
      <c r="C280" s="13" t="s">
        <v>53</v>
      </c>
      <c r="D280" s="13" t="s">
        <v>560</v>
      </c>
      <c r="E280" s="19" cm="1">
        <f t="array" aca="1" ref="E280" ca="1">IFERROR(_FV(A280,"Beta"),2)</f>
        <v>1.2233000000000001</v>
      </c>
      <c r="F280" s="13" t="str" cm="1">
        <f t="array" aca="1" ref="F280" ca="1">_FV(A280,"Instrument type",TRUE)</f>
        <v>Stock</v>
      </c>
      <c r="G280" s="18" cm="1">
        <f t="array" aca="1" ref="G280" ca="1">_FV(Table19[[#This Row],[Assets]],"Price")</f>
        <v>27.88</v>
      </c>
      <c r="H280" s="36" t="str">
        <f>IFERROR(VLOOKUP(Table19[[#This Row],[Assets]],Table25[#All],15,FALSE),"")</f>
        <v/>
      </c>
      <c r="I280" s="36">
        <f>IFERROR(VLOOKUP(Table19[[#This Row],[Assets]],Table25[#All],16,FALSE),0)</f>
        <v>0</v>
      </c>
      <c r="J280" s="84" t="str">
        <f ca="1">IFERROR((Table19[[#This Row],[Price]]-Table19[[#This Row],[Ave Entry]])/Table19[[#This Row],[Ave Entry]],"")</f>
        <v/>
      </c>
      <c r="K280" s="92">
        <f ca="1">IFERROR((Table19[[#This Row],[Price]]-Table19[[#This Row],[Ave Entry]])*Table19[[#This Row],[Num of Stocks]],0)</f>
        <v>0</v>
      </c>
      <c r="L280" s="38" cm="1">
        <f t="array" aca="1" ref="L280" ca="1">_FV(Table19[[#This Row],[Assets]],"Change (%)",TRUE)</f>
        <v>3.7587999999999996E-2</v>
      </c>
      <c r="M280" s="36">
        <f>SUMIF(Table20[Asset],Table19[[#This Row],[Assets]],Table20[realized_profit])</f>
        <v>0</v>
      </c>
      <c r="N280" s="36">
        <f>SUMIF(Table20[[#All],[Asset]],Table19[[#This Row],[Assets]],Table20[[#All],[delta_exposure]])</f>
        <v>0</v>
      </c>
      <c r="O280" s="38">
        <f ca="1">Table19[[#This Row],[Option Exposure]]/$B$6</f>
        <v>0</v>
      </c>
      <c r="P280" s="51">
        <f>SUMIF(Table25[[#All],[Assets]],Table19[[#This Row],[Assets]],Table25[[#All],[Number of stocks]])</f>
        <v>0</v>
      </c>
      <c r="Q280" s="36">
        <f ca="1">Table19[[#This Row],[Num of Stocks]]*Table19[[#This Row],[Price]]</f>
        <v>0</v>
      </c>
      <c r="R280" s="36">
        <f ca="1">Table19[[#This Row],[Stock Exposure]]+Table19[[#This Row],[Option Exposure]]</f>
        <v>0</v>
      </c>
      <c r="S280" s="108" t="str">
        <f>IFERROR(Table19[[#This Row],[Num of Stocks]]*Table19[[#This Row],[Ave Entry]],"")</f>
        <v/>
      </c>
      <c r="T280" s="39">
        <f ca="1">Table19[[#This Row],[Combined Exposure]]/$C$8</f>
        <v>0</v>
      </c>
    </row>
    <row r="281" spans="1:20">
      <c r="A281" t="e" vm="346">
        <v>#VALUE!</v>
      </c>
      <c r="B281" s="13" t="str" cm="1">
        <f t="array" aca="1" ref="B281" ca="1">_FV(A281,"Ticker symbol",TRUE)</f>
        <v>BRKR</v>
      </c>
      <c r="C281" s="13" t="s">
        <v>53</v>
      </c>
      <c r="D281" s="13" t="s">
        <v>311</v>
      </c>
      <c r="E281" s="19" cm="1">
        <f t="array" aca="1" ref="E281" ca="1">IFERROR(_FV(A281,"Beta"),2)</f>
        <v>1.2060999999999999</v>
      </c>
      <c r="F281" s="13" t="str" cm="1">
        <f t="array" aca="1" ref="F281" ca="1">_FV(A281,"Instrument type",TRUE)</f>
        <v>Stock</v>
      </c>
      <c r="G281" s="18" cm="1">
        <f t="array" aca="1" ref="G281" ca="1">_FV(Table19[[#This Row],[Assets]],"Price")</f>
        <v>36.21</v>
      </c>
      <c r="H281" s="36" t="str">
        <f>IFERROR(VLOOKUP(Table19[[#This Row],[Assets]],Table25[#All],15,FALSE),"")</f>
        <v/>
      </c>
      <c r="I281" s="36">
        <f>IFERROR(VLOOKUP(Table19[[#This Row],[Assets]],Table25[#All],16,FALSE),0)</f>
        <v>0</v>
      </c>
      <c r="J281" s="84" t="str">
        <f ca="1">IFERROR((Table19[[#This Row],[Price]]-Table19[[#This Row],[Ave Entry]])/Table19[[#This Row],[Ave Entry]],"")</f>
        <v/>
      </c>
      <c r="K281" s="92">
        <f ca="1">IFERROR((Table19[[#This Row],[Price]]-Table19[[#This Row],[Ave Entry]])*Table19[[#This Row],[Num of Stocks]],0)</f>
        <v>0</v>
      </c>
      <c r="L281" s="38" cm="1">
        <f t="array" aca="1" ref="L281" ca="1">_FV(Table19[[#This Row],[Assets]],"Change (%)",TRUE)</f>
        <v>1.1169999999999999E-2</v>
      </c>
      <c r="M281" s="36">
        <f>SUMIF(Table20[Asset],Table19[[#This Row],[Assets]],Table20[realized_profit])</f>
        <v>0</v>
      </c>
      <c r="N281" s="36">
        <f>SUMIF(Table20[[#All],[Asset]],Table19[[#This Row],[Assets]],Table20[[#All],[delta_exposure]])</f>
        <v>0</v>
      </c>
      <c r="O281" s="38">
        <f ca="1">Table19[[#This Row],[Option Exposure]]/$B$6</f>
        <v>0</v>
      </c>
      <c r="P281" s="51">
        <f>SUMIF(Table25[[#All],[Assets]],Table19[[#This Row],[Assets]],Table25[[#All],[Number of stocks]])</f>
        <v>0</v>
      </c>
      <c r="Q281" s="36">
        <f ca="1">Table19[[#This Row],[Num of Stocks]]*Table19[[#This Row],[Price]]</f>
        <v>0</v>
      </c>
      <c r="R281" s="36">
        <f ca="1">Table19[[#This Row],[Stock Exposure]]+Table19[[#This Row],[Option Exposure]]</f>
        <v>0</v>
      </c>
      <c r="S281" s="108" t="str">
        <f>IFERROR(Table19[[#This Row],[Num of Stocks]]*Table19[[#This Row],[Ave Entry]],"")</f>
        <v/>
      </c>
      <c r="T281" s="39">
        <f ca="1">Table19[[#This Row],[Combined Exposure]]/$C$8</f>
        <v>0</v>
      </c>
    </row>
    <row r="282" spans="1:20">
      <c r="A282" t="e" vm="347">
        <v>#VALUE!</v>
      </c>
      <c r="B282" s="13" t="str" cm="1">
        <f t="array" aca="1" ref="B282" ca="1">_FV(A282,"Ticker symbol",TRUE)</f>
        <v>FNMA</v>
      </c>
      <c r="C282" s="13" t="s">
        <v>122</v>
      </c>
      <c r="D282" s="13" t="s">
        <v>54</v>
      </c>
      <c r="E282" s="19" cm="1">
        <f t="array" aca="1" ref="E282" ca="1">IFERROR(_FV(A282,"Beta"),2)</f>
        <v>1.8619000000000001</v>
      </c>
      <c r="F282" s="13" t="str" cm="1">
        <f t="array" aca="1" ref="F282" ca="1">_FV(A282,"Instrument type",TRUE)</f>
        <v>Stock</v>
      </c>
      <c r="G282" s="18" cm="1">
        <f t="array" aca="1" ref="G282" ca="1">_FV(Table19[[#This Row],[Assets]],"Price")</f>
        <v>5.4850000000000003</v>
      </c>
      <c r="H282" s="36" t="str">
        <f>IFERROR(VLOOKUP(Table19[[#This Row],[Assets]],Table25[#All],15,FALSE),"")</f>
        <v/>
      </c>
      <c r="I282" s="36">
        <f>IFERROR(VLOOKUP(Table19[[#This Row],[Assets]],Table25[#All],16,FALSE),0)</f>
        <v>0</v>
      </c>
      <c r="J282" s="84" t="str">
        <f ca="1">IFERROR((Table19[[#This Row],[Price]]-Table19[[#This Row],[Ave Entry]])/Table19[[#This Row],[Ave Entry]],"")</f>
        <v/>
      </c>
      <c r="K282" s="92">
        <f ca="1">IFERROR((Table19[[#This Row],[Price]]-Table19[[#This Row],[Ave Entry]])*Table19[[#This Row],[Num of Stocks]],0)</f>
        <v>0</v>
      </c>
      <c r="L282" s="38" cm="1">
        <f t="array" aca="1" ref="L282" ca="1">_FV(Table19[[#This Row],[Assets]],"Change (%)",TRUE)</f>
        <v>-2.7269999999999998E-3</v>
      </c>
      <c r="M282" s="36">
        <f>SUMIF(Table20[Asset],Table19[[#This Row],[Assets]],Table20[realized_profit])</f>
        <v>0</v>
      </c>
      <c r="N282" s="36">
        <f>SUMIF(Table20[[#All],[Asset]],Table19[[#This Row],[Assets]],Table20[[#All],[delta_exposure]])</f>
        <v>0</v>
      </c>
      <c r="O282" s="38">
        <f ca="1">Table19[[#This Row],[Option Exposure]]/$B$6</f>
        <v>0</v>
      </c>
      <c r="P282" s="51">
        <f>SUMIF(Table25[[#All],[Assets]],Table19[[#This Row],[Assets]],Table25[[#All],[Number of stocks]])</f>
        <v>0</v>
      </c>
      <c r="Q282" s="36">
        <f ca="1">Table19[[#This Row],[Num of Stocks]]*Table19[[#This Row],[Price]]</f>
        <v>0</v>
      </c>
      <c r="R282" s="36">
        <f ca="1">Table19[[#This Row],[Stock Exposure]]+Table19[[#This Row],[Option Exposure]]</f>
        <v>0</v>
      </c>
      <c r="S282" s="108" t="str">
        <f>IFERROR(Table19[[#This Row],[Num of Stocks]]*Table19[[#This Row],[Ave Entry]],"")</f>
        <v/>
      </c>
      <c r="T282" s="39">
        <f ca="1">Table19[[#This Row],[Combined Exposure]]/$C$8</f>
        <v>0</v>
      </c>
    </row>
    <row r="283" spans="1:20">
      <c r="A283" t="e" vm="160">
        <v>#VALUE!</v>
      </c>
      <c r="B283" s="13" t="str" cm="1">
        <f t="array" aca="1" ref="B283" ca="1">_FV(A283,"Ticker symbol",TRUE)</f>
        <v>VST</v>
      </c>
      <c r="C283" s="13" t="s">
        <v>58</v>
      </c>
      <c r="D283" s="13" t="s">
        <v>58</v>
      </c>
      <c r="E283" s="19" cm="1">
        <f t="array" aca="1" ref="E283" ca="1">IFERROR(_FV(A283,"Beta"),2)</f>
        <v>1.4912000000000001</v>
      </c>
      <c r="F283" s="13" t="str" cm="1">
        <f t="array" aca="1" ref="F283" ca="1">_FV(A283,"Instrument type",TRUE)</f>
        <v>Stock</v>
      </c>
      <c r="G283" s="18" cm="1">
        <f t="array" aca="1" ref="G283" ca="1">_FV(Table19[[#This Row],[Assets]],"Price")</f>
        <v>154.57</v>
      </c>
      <c r="H283" s="36">
        <f>IFERROR(VLOOKUP(Table19[[#This Row],[Assets]],Table25[#All],15,FALSE),"")</f>
        <v>77.611250000000013</v>
      </c>
      <c r="I283" s="36">
        <f>IFERROR(VLOOKUP(Table19[[#This Row],[Assets]],Table25[#All],16,FALSE),0)</f>
        <v>447.1099999999999</v>
      </c>
      <c r="J283" s="84">
        <f ca="1">IFERROR((Table19[[#This Row],[Price]]-Table19[[#This Row],[Ave Entry]])/Table19[[#This Row],[Ave Entry]],"")</f>
        <v>0.99159271368519342</v>
      </c>
      <c r="K283" s="92">
        <f ca="1">IFERROR((Table19[[#This Row],[Price]]-Table19[[#This Row],[Ave Entry]])*Table19[[#This Row],[Num of Stocks]],0)</f>
        <v>0</v>
      </c>
      <c r="L283" s="38" cm="1">
        <f t="array" aca="1" ref="L283" ca="1">_FV(Table19[[#This Row],[Assets]],"Change (%)",TRUE)</f>
        <v>1.2114E-2</v>
      </c>
      <c r="M283" s="36">
        <f>SUMIF(Table20[Asset],Table19[[#This Row],[Assets]],Table20[realized_profit])</f>
        <v>52.000000000000043</v>
      </c>
      <c r="N283" s="36">
        <f ca="1">SUMIF(Table20[[#All],[Asset]],Table19[[#This Row],[Assets]],Table20[[#All],[delta_exposure]])</f>
        <v>0</v>
      </c>
      <c r="O283" s="98">
        <f ca="1">Table19[[#This Row],[Option Exposure]]/$B$6</f>
        <v>0</v>
      </c>
      <c r="P283" s="51">
        <f>SUMIF(Table25[[#All],[Assets]],Table19[[#This Row],[Assets]],Table25[[#All],[Number of stocks]])</f>
        <v>0</v>
      </c>
      <c r="Q283" s="36">
        <f ca="1">Table19[[#This Row],[Num of Stocks]]*Table19[[#This Row],[Price]]</f>
        <v>0</v>
      </c>
      <c r="R283" s="36">
        <f ca="1">Table19[[#This Row],[Stock Exposure]]+Table19[[#This Row],[Option Exposure]]</f>
        <v>0</v>
      </c>
      <c r="S283" s="108">
        <f>IFERROR(Table19[[#This Row],[Num of Stocks]]*Table19[[#This Row],[Ave Entry]],"")</f>
        <v>0</v>
      </c>
      <c r="T283" s="39">
        <f ca="1">Table19[[#This Row],[Combined Exposure]]/$C$8</f>
        <v>0</v>
      </c>
    </row>
    <row r="284" spans="1:20">
      <c r="A284" t="e" vm="348">
        <v>#VALUE!</v>
      </c>
      <c r="B284" s="13" t="str" cm="1">
        <f t="array" aca="1" ref="B284" ca="1">_FV(A284,"Ticker symbol",TRUE)</f>
        <v>FOUR</v>
      </c>
      <c r="C284" s="13" t="s">
        <v>54</v>
      </c>
      <c r="D284" s="13" t="s">
        <v>457</v>
      </c>
      <c r="E284" s="19" cm="1">
        <f t="array" aca="1" ref="E284" ca="1">IFERROR(_FV(A284,"Beta"),2)</f>
        <v>1.5024999999999999</v>
      </c>
      <c r="F284" s="13" t="str" cm="1">
        <f t="array" aca="1" ref="F284" ca="1">_FV(A284,"Instrument type",TRUE)</f>
        <v>Stock</v>
      </c>
      <c r="G284" s="18" cm="1">
        <f t="array" aca="1" ref="G284" ca="1">_FV(Table19[[#This Row],[Assets]],"Price")</f>
        <v>53.22</v>
      </c>
      <c r="H284" s="36" t="str">
        <f>IFERROR(VLOOKUP(Table19[[#This Row],[Assets]],Table25[#All],15,FALSE),"")</f>
        <v/>
      </c>
      <c r="I284" s="36">
        <f>IFERROR(VLOOKUP(Table19[[#This Row],[Assets]],Table25[#All],16,FALSE),0)</f>
        <v>0</v>
      </c>
      <c r="J284" s="84" t="str">
        <f ca="1">IFERROR((Table19[[#This Row],[Price]]-Table19[[#This Row],[Ave Entry]])/Table19[[#This Row],[Ave Entry]],"")</f>
        <v/>
      </c>
      <c r="K284" s="92">
        <f ca="1">IFERROR((Table19[[#This Row],[Price]]-Table19[[#This Row],[Ave Entry]])*Table19[[#This Row],[Num of Stocks]],0)</f>
        <v>0</v>
      </c>
      <c r="L284" s="38" cm="1">
        <f t="array" aca="1" ref="L284" ca="1">_FV(Table19[[#This Row],[Assets]],"Change (%)",TRUE)</f>
        <v>1.3713999999999999E-2</v>
      </c>
      <c r="M284" s="36">
        <f>SUMIF(Table20[Asset],Table19[[#This Row],[Assets]],Table20[realized_profit])</f>
        <v>0</v>
      </c>
      <c r="N284" s="36">
        <f>SUMIF(Table20[[#All],[Asset]],Table19[[#This Row],[Assets]],Table20[[#All],[delta_exposure]])</f>
        <v>0</v>
      </c>
      <c r="O284" s="38">
        <f ca="1">Table19[[#This Row],[Option Exposure]]/$B$6</f>
        <v>0</v>
      </c>
      <c r="P284" s="51">
        <f>SUMIF(Table25[[#All],[Assets]],Table19[[#This Row],[Assets]],Table25[[#All],[Number of stocks]])</f>
        <v>0</v>
      </c>
      <c r="Q284" s="36">
        <f ca="1">Table19[[#This Row],[Num of Stocks]]*Table19[[#This Row],[Price]]</f>
        <v>0</v>
      </c>
      <c r="R284" s="36">
        <f ca="1">Table19[[#This Row],[Stock Exposure]]+Table19[[#This Row],[Option Exposure]]</f>
        <v>0</v>
      </c>
      <c r="S284" s="108" t="str">
        <f>IFERROR(Table19[[#This Row],[Num of Stocks]]*Table19[[#This Row],[Ave Entry]],"")</f>
        <v/>
      </c>
      <c r="T284" s="39">
        <f ca="1">Table19[[#This Row],[Combined Exposure]]/$C$8</f>
        <v>0</v>
      </c>
    </row>
    <row r="285" spans="1:20">
      <c r="A285" t="e" vm="349">
        <v>#VALUE!</v>
      </c>
      <c r="B285" s="13" t="str" cm="1">
        <f t="array" aca="1" ref="B285" ca="1">_FV(A285,"Ticker symbol",TRUE)</f>
        <v>ULH</v>
      </c>
      <c r="C285" s="13" t="s">
        <v>139</v>
      </c>
      <c r="D285" s="13" t="s">
        <v>56</v>
      </c>
      <c r="E285" s="19" cm="1">
        <f t="array" aca="1" ref="E285" ca="1">IFERROR(_FV(A285,"Beta"),2)</f>
        <v>0.77249999999999996</v>
      </c>
      <c r="F285" s="13" t="str" cm="1">
        <f t="array" aca="1" ref="F285" ca="1">_FV(A285,"Instrument type",TRUE)</f>
        <v>Stock</v>
      </c>
      <c r="G285" s="18" cm="1">
        <f t="array" aca="1" ref="G285" ca="1">_FV(Table19[[#This Row],[Assets]],"Price")</f>
        <v>21.15</v>
      </c>
      <c r="H285" s="36">
        <f>IFERROR(VLOOKUP(Table19[[#This Row],[Assets]],Table25[#All],15,FALSE),"")</f>
        <v>41.2</v>
      </c>
      <c r="I285" s="36">
        <f>IFERROR(VLOOKUP(Table19[[#This Row],[Assets]],Table25[#All],16,FALSE),0)</f>
        <v>23.649999999999984</v>
      </c>
      <c r="J285" s="84">
        <f ca="1">IFERROR((Table19[[#This Row],[Price]]-Table19[[#This Row],[Ave Entry]])/Table19[[#This Row],[Ave Entry]],"")</f>
        <v>-0.48665048543689327</v>
      </c>
      <c r="K285" s="92">
        <f ca="1">IFERROR((Table19[[#This Row],[Price]]-Table19[[#This Row],[Ave Entry]])*Table19[[#This Row],[Num of Stocks]],0)</f>
        <v>0</v>
      </c>
      <c r="L285" s="38" cm="1">
        <f t="array" aca="1" ref="L285" ca="1">_FV(Table19[[#This Row],[Assets]],"Change (%)",TRUE)</f>
        <v>7.9631999999999994E-2</v>
      </c>
      <c r="M285" s="36">
        <f>SUMIF(Table20[Asset],Table19[[#This Row],[Assets]],Table20[realized_profit])</f>
        <v>0</v>
      </c>
      <c r="N285" s="36">
        <f>SUMIF(Table20[[#All],[Asset]],Table19[[#This Row],[Assets]],Table20[[#All],[delta_exposure]])</f>
        <v>0</v>
      </c>
      <c r="O285" s="98">
        <f ca="1">Table19[[#This Row],[Option Exposure]]/$B$6</f>
        <v>0</v>
      </c>
      <c r="P285" s="51">
        <f>SUMIF(Table25[[#All],[Assets]],Table19[[#This Row],[Assets]],Table25[[#All],[Number of stocks]])</f>
        <v>0</v>
      </c>
      <c r="Q285" s="36">
        <f ca="1">Table19[[#This Row],[Num of Stocks]]*Table19[[#This Row],[Price]]</f>
        <v>0</v>
      </c>
      <c r="R285" s="36">
        <f ca="1">Table19[[#This Row],[Stock Exposure]]+Table19[[#This Row],[Option Exposure]]</f>
        <v>0</v>
      </c>
      <c r="S285" s="108">
        <f>IFERROR(Table19[[#This Row],[Num of Stocks]]*Table19[[#This Row],[Ave Entry]],"")</f>
        <v>0</v>
      </c>
      <c r="T285" s="39">
        <f ca="1">Table19[[#This Row],[Combined Exposure]]/$C$8</f>
        <v>0</v>
      </c>
    </row>
    <row r="286" spans="1:20">
      <c r="A286" t="e" vm="350">
        <v>#VALUE!</v>
      </c>
      <c r="B286" s="13" t="str" cm="1">
        <f t="array" aca="1" ref="B286" ca="1">_FV(A286,"Ticker symbol",TRUE)</f>
        <v>RHHBY</v>
      </c>
      <c r="C286" s="13" t="s">
        <v>53</v>
      </c>
      <c r="D286" s="13" t="s">
        <v>560</v>
      </c>
      <c r="E286" s="19" cm="1">
        <f t="array" aca="1" ref="E286" ca="1">IFERROR(_FV(A286,"Beta"),2)</f>
        <v>0.52610000000000001</v>
      </c>
      <c r="F286" s="13" t="str" cm="1">
        <f t="array" aca="1" ref="F286" ca="1">_FV(A286,"Instrument type",TRUE)</f>
        <v>Stock</v>
      </c>
      <c r="G286" s="18" cm="1">
        <f t="array" aca="1" ref="G286" ca="1">_FV(Table19[[#This Row],[Assets]],"Price")</f>
        <v>49.1</v>
      </c>
      <c r="H286" s="36" t="str">
        <f>IFERROR(VLOOKUP(Table19[[#This Row],[Assets]],Table25[#All],15,FALSE),"")</f>
        <v/>
      </c>
      <c r="I286" s="36">
        <f>IFERROR(VLOOKUP(Table19[[#This Row],[Assets]],Table25[#All],16,FALSE),0)</f>
        <v>0</v>
      </c>
      <c r="J286" s="84" t="str">
        <f ca="1">IFERROR((Table19[[#This Row],[Price]]-Table19[[#This Row],[Ave Entry]])/Table19[[#This Row],[Ave Entry]],"")</f>
        <v/>
      </c>
      <c r="K286" s="92">
        <f ca="1">IFERROR((Table19[[#This Row],[Price]]-Table19[[#This Row],[Ave Entry]])*Table19[[#This Row],[Num of Stocks]],0)</f>
        <v>0</v>
      </c>
      <c r="L286" s="38" cm="1">
        <f t="array" aca="1" ref="L286" ca="1">_FV(Table19[[#This Row],[Assets]],"Change (%)",TRUE)</f>
        <v>2.2277999999999999E-2</v>
      </c>
      <c r="M286" s="36">
        <f>SUMIF(Table20[Asset],Table19[[#This Row],[Assets]],Table20[realized_profit])</f>
        <v>0</v>
      </c>
      <c r="N286" s="36">
        <f>SUMIF(Table20[[#All],[Asset]],Table19[[#This Row],[Assets]],Table20[[#All],[delta_exposure]])</f>
        <v>0</v>
      </c>
      <c r="O286" s="38">
        <f ca="1">Table19[[#This Row],[Option Exposure]]/$B$6</f>
        <v>0</v>
      </c>
      <c r="P286" s="51">
        <f>SUMIF(Table25[[#All],[Assets]],Table19[[#This Row],[Assets]],Table25[[#All],[Number of stocks]])</f>
        <v>0</v>
      </c>
      <c r="Q286" s="36">
        <f ca="1">Table19[[#This Row],[Num of Stocks]]*Table19[[#This Row],[Price]]</f>
        <v>0</v>
      </c>
      <c r="R286" s="36">
        <f ca="1">Table19[[#This Row],[Stock Exposure]]+Table19[[#This Row],[Option Exposure]]</f>
        <v>0</v>
      </c>
      <c r="S286" s="108" t="str">
        <f>IFERROR(Table19[[#This Row],[Num of Stocks]]*Table19[[#This Row],[Ave Entry]],"")</f>
        <v/>
      </c>
      <c r="T286" s="39">
        <f ca="1">Table19[[#This Row],[Combined Exposure]]/$C$8</f>
        <v>0</v>
      </c>
    </row>
    <row r="287" spans="1:20">
      <c r="A287" t="e" vm="351">
        <v>#VALUE!</v>
      </c>
      <c r="B287" s="13" t="str" cm="1">
        <f t="array" aca="1" ref="B287" ca="1">_FV(A287,"Ticker symbol",TRUE)</f>
        <v>LVTX</v>
      </c>
      <c r="C287" s="13" t="s">
        <v>53</v>
      </c>
      <c r="D287" s="13" t="s">
        <v>560</v>
      </c>
      <c r="E287" s="19" cm="1">
        <f t="array" aca="1" ref="E287" ca="1">IFERROR(_FV(A287,"Beta"),2)</f>
        <v>0.4461</v>
      </c>
      <c r="F287" s="13" t="str" cm="1">
        <f t="array" aca="1" ref="F287" ca="1">_FV(A287,"Instrument type",TRUE)</f>
        <v>Stock</v>
      </c>
      <c r="G287" s="18" cm="1">
        <f t="array" aca="1" ref="G287" ca="1">_FV(Table19[[#This Row],[Assets]],"Price")</f>
        <v>1.74</v>
      </c>
      <c r="H287" s="36" t="str">
        <f>IFERROR(VLOOKUP(Table19[[#This Row],[Assets]],Table25[#All],15,FALSE),"")</f>
        <v/>
      </c>
      <c r="I287" s="36">
        <f>IFERROR(VLOOKUP(Table19[[#This Row],[Assets]],Table25[#All],16,FALSE),0)</f>
        <v>0</v>
      </c>
      <c r="J287" s="84" t="str">
        <f ca="1">IFERROR((Table19[[#This Row],[Price]]-Table19[[#This Row],[Ave Entry]])/Table19[[#This Row],[Ave Entry]],"")</f>
        <v/>
      </c>
      <c r="K287" s="92">
        <f ca="1">IFERROR((Table19[[#This Row],[Price]]-Table19[[#This Row],[Ave Entry]])*Table19[[#This Row],[Num of Stocks]],0)</f>
        <v>0</v>
      </c>
      <c r="L287" s="38" cm="1">
        <f t="array" aca="1" ref="L287" ca="1">_FV(Table19[[#This Row],[Assets]],"Change (%)",TRUE)</f>
        <v>0</v>
      </c>
      <c r="M287" s="36">
        <f>SUMIF(Table20[Asset],Table19[[#This Row],[Assets]],Table20[realized_profit])</f>
        <v>0</v>
      </c>
      <c r="N287" s="36">
        <f>SUMIF(Table20[[#All],[Asset]],Table19[[#This Row],[Assets]],Table20[[#All],[delta_exposure]])</f>
        <v>0</v>
      </c>
      <c r="O287" s="38">
        <f ca="1">Table19[[#This Row],[Option Exposure]]/$B$6</f>
        <v>0</v>
      </c>
      <c r="P287" s="51">
        <f>SUMIF(Table25[[#All],[Assets]],Table19[[#This Row],[Assets]],Table25[[#All],[Number of stocks]])</f>
        <v>0</v>
      </c>
      <c r="Q287" s="36">
        <f ca="1">Table19[[#This Row],[Num of Stocks]]*Table19[[#This Row],[Price]]</f>
        <v>0</v>
      </c>
      <c r="R287" s="36">
        <f ca="1">Table19[[#This Row],[Stock Exposure]]+Table19[[#This Row],[Option Exposure]]</f>
        <v>0</v>
      </c>
      <c r="S287" s="108" t="str">
        <f>IFERROR(Table19[[#This Row],[Num of Stocks]]*Table19[[#This Row],[Ave Entry]],"")</f>
        <v/>
      </c>
      <c r="T287" s="39">
        <f ca="1">Table19[[#This Row],[Combined Exposure]]/$C$8</f>
        <v>0</v>
      </c>
    </row>
    <row r="288" spans="1:20">
      <c r="A288" t="e" vm="352">
        <v>#VALUE!</v>
      </c>
      <c r="B288" s="13" t="str" cm="1">
        <f t="array" aca="1" ref="B288" ca="1">_FV(A288,"Ticker symbol",TRUE)</f>
        <v>EXTR</v>
      </c>
      <c r="C288" s="13" t="s">
        <v>258</v>
      </c>
      <c r="D288" s="13" t="s">
        <v>29</v>
      </c>
      <c r="E288" s="19" cm="1">
        <f t="array" aca="1" ref="E288" ca="1">IFERROR(_FV(A288,"Beta"),2)</f>
        <v>1.6244000000000001</v>
      </c>
      <c r="F288" s="13" t="str" cm="1">
        <f t="array" aca="1" ref="F288" ca="1">_FV(A288,"Instrument type",TRUE)</f>
        <v>Stock</v>
      </c>
      <c r="G288" s="18" cm="1">
        <f t="array" aca="1" ref="G288" ca="1">_FV(Table19[[#This Row],[Assets]],"Price")</f>
        <v>15.44</v>
      </c>
      <c r="H288" s="36" t="str">
        <f>IFERROR(VLOOKUP(Table19[[#This Row],[Assets]],Table25[#All],15,FALSE),"")</f>
        <v/>
      </c>
      <c r="I288" s="36">
        <f>IFERROR(VLOOKUP(Table19[[#This Row],[Assets]],Table25[#All],16,FALSE),0)</f>
        <v>0</v>
      </c>
      <c r="J288" s="84" t="str">
        <f ca="1">IFERROR((Table19[[#This Row],[Price]]-Table19[[#This Row],[Ave Entry]])/Table19[[#This Row],[Ave Entry]],"")</f>
        <v/>
      </c>
      <c r="K288" s="92">
        <f ca="1">IFERROR((Table19[[#This Row],[Price]]-Table19[[#This Row],[Ave Entry]])*Table19[[#This Row],[Num of Stocks]],0)</f>
        <v>0</v>
      </c>
      <c r="L288" s="38" cm="1">
        <f t="array" aca="1" ref="L288" ca="1">_FV(Table19[[#This Row],[Assets]],"Change (%)",TRUE)</f>
        <v>1.9141999999999999E-2</v>
      </c>
      <c r="M288" s="36">
        <f>SUMIF(Table20[Asset],Table19[[#This Row],[Assets]],Table20[realized_profit])</f>
        <v>0</v>
      </c>
      <c r="N288" s="36">
        <f>SUMIF(Table20[[#All],[Asset]],Table19[[#This Row],[Assets]],Table20[[#All],[delta_exposure]])</f>
        <v>0</v>
      </c>
      <c r="O288" s="38">
        <f ca="1">Table19[[#This Row],[Option Exposure]]/$B$6</f>
        <v>0</v>
      </c>
      <c r="P288" s="51">
        <f>SUMIF(Table25[[#All],[Assets]],Table19[[#This Row],[Assets]],Table25[[#All],[Number of stocks]])</f>
        <v>0</v>
      </c>
      <c r="Q288" s="36">
        <f ca="1">Table19[[#This Row],[Num of Stocks]]*Table19[[#This Row],[Price]]</f>
        <v>0</v>
      </c>
      <c r="R288" s="36">
        <f ca="1">Table19[[#This Row],[Stock Exposure]]+Table19[[#This Row],[Option Exposure]]</f>
        <v>0</v>
      </c>
      <c r="S288" s="108" t="str">
        <f>IFERROR(Table19[[#This Row],[Num of Stocks]]*Table19[[#This Row],[Ave Entry]],"")</f>
        <v/>
      </c>
      <c r="T288" s="39">
        <f ca="1">Table19[[#This Row],[Combined Exposure]]/$C$8</f>
        <v>0</v>
      </c>
    </row>
    <row r="289" spans="1:20">
      <c r="A289" t="e" vm="353">
        <v>#VALUE!</v>
      </c>
      <c r="B289" s="13" t="str" cm="1">
        <f t="array" aca="1" ref="B289" ca="1">_FV(A289,"Ticker symbol",TRUE)</f>
        <v>DGX</v>
      </c>
      <c r="C289" s="13" t="s">
        <v>53</v>
      </c>
      <c r="D289" s="13" t="s">
        <v>311</v>
      </c>
      <c r="E289" s="19" cm="1">
        <f t="array" aca="1" ref="E289" ca="1">IFERROR(_FV(A289,"Beta"),2)</f>
        <v>0.65410000000000001</v>
      </c>
      <c r="F289" s="13" t="str" cm="1">
        <f t="array" aca="1" ref="F289" ca="1">_FV(A289,"Instrument type",TRUE)</f>
        <v>Stock</v>
      </c>
      <c r="G289" s="18" cm="1">
        <f t="array" aca="1" ref="G289" ca="1">_FV(Table19[[#This Row],[Assets]],"Price")</f>
        <v>195.94499999999999</v>
      </c>
      <c r="H289" s="36" t="str">
        <f>IFERROR(VLOOKUP(Table19[[#This Row],[Assets]],Table25[#All],15,FALSE),"")</f>
        <v/>
      </c>
      <c r="I289" s="36">
        <f>IFERROR(VLOOKUP(Table19[[#This Row],[Assets]],Table25[#All],16,FALSE),0)</f>
        <v>0</v>
      </c>
      <c r="J289" s="84" t="str">
        <f ca="1">IFERROR((Table19[[#This Row],[Price]]-Table19[[#This Row],[Ave Entry]])/Table19[[#This Row],[Ave Entry]],"")</f>
        <v/>
      </c>
      <c r="K289" s="92">
        <f ca="1">IFERROR((Table19[[#This Row],[Price]]-Table19[[#This Row],[Ave Entry]])*Table19[[#This Row],[Num of Stocks]],0)</f>
        <v>0</v>
      </c>
      <c r="L289" s="38" cm="1">
        <f t="array" aca="1" ref="L289" ca="1">_FV(Table19[[#This Row],[Assets]],"Change (%)",TRUE)</f>
        <v>-6.8849999999999998E-4</v>
      </c>
      <c r="M289" s="36">
        <f>SUMIF(Table20[Asset],Table19[[#This Row],[Assets]],Table20[realized_profit])</f>
        <v>0</v>
      </c>
      <c r="N289" s="36">
        <f>SUMIF(Table20[[#All],[Asset]],Table19[[#This Row],[Assets]],Table20[[#All],[delta_exposure]])</f>
        <v>0</v>
      </c>
      <c r="O289" s="38">
        <f ca="1">Table19[[#This Row],[Option Exposure]]/$B$6</f>
        <v>0</v>
      </c>
      <c r="P289" s="51">
        <f>SUMIF(Table25[[#All],[Assets]],Table19[[#This Row],[Assets]],Table25[[#All],[Number of stocks]])</f>
        <v>0</v>
      </c>
      <c r="Q289" s="36">
        <f ca="1">Table19[[#This Row],[Num of Stocks]]*Table19[[#This Row],[Price]]</f>
        <v>0</v>
      </c>
      <c r="R289" s="36">
        <f ca="1">Table19[[#This Row],[Stock Exposure]]+Table19[[#This Row],[Option Exposure]]</f>
        <v>0</v>
      </c>
      <c r="S289" s="108" t="str">
        <f>IFERROR(Table19[[#This Row],[Num of Stocks]]*Table19[[#This Row],[Ave Entry]],"")</f>
        <v/>
      </c>
      <c r="T289" s="39">
        <f ca="1">Table19[[#This Row],[Combined Exposure]]/$C$8</f>
        <v>0</v>
      </c>
    </row>
    <row r="290" spans="1:20">
      <c r="A290" t="e" vm="353">
        <v>#VALUE!</v>
      </c>
      <c r="B290" s="13" t="str" cm="1">
        <f t="array" aca="1" ref="B290" ca="1">_FV(A290,"Ticker symbol",TRUE)</f>
        <v>DGX</v>
      </c>
      <c r="C290" s="13" t="s">
        <v>53</v>
      </c>
      <c r="D290" s="13" t="s">
        <v>353</v>
      </c>
      <c r="E290" s="19" cm="1">
        <f t="array" aca="1" ref="E290" ca="1">IFERROR(_FV(A290,"Beta"),2)</f>
        <v>0.65410000000000001</v>
      </c>
      <c r="F290" s="13" t="str" cm="1">
        <f t="array" aca="1" ref="F290" ca="1">_FV(A290,"Instrument type",TRUE)</f>
        <v>Stock</v>
      </c>
      <c r="G290" s="18" cm="1">
        <f t="array" aca="1" ref="G290" ca="1">_FV(Table19[[#This Row],[Assets]],"Price")</f>
        <v>195.94499999999999</v>
      </c>
      <c r="H290" s="36" t="str">
        <f>IFERROR(VLOOKUP(Table19[[#This Row],[Assets]],Table25[#All],15,FALSE),"")</f>
        <v/>
      </c>
      <c r="I290" s="36">
        <f>IFERROR(VLOOKUP(Table19[[#This Row],[Assets]],Table25[#All],16,FALSE),0)</f>
        <v>0</v>
      </c>
      <c r="J290" s="84" t="str">
        <f ca="1">IFERROR((Table19[[#This Row],[Price]]-Table19[[#This Row],[Ave Entry]])/Table19[[#This Row],[Ave Entry]],"")</f>
        <v/>
      </c>
      <c r="K290" s="92">
        <f ca="1">IFERROR((Table19[[#This Row],[Price]]-Table19[[#This Row],[Ave Entry]])*Table19[[#This Row],[Num of Stocks]],0)</f>
        <v>0</v>
      </c>
      <c r="L290" s="38" cm="1">
        <f t="array" aca="1" ref="L290" ca="1">_FV(Table19[[#This Row],[Assets]],"Change (%)",TRUE)</f>
        <v>-6.8849999999999998E-4</v>
      </c>
      <c r="M290" s="36">
        <f>SUMIF(Table20[Asset],Table19[[#This Row],[Assets]],Table20[realized_profit])</f>
        <v>0</v>
      </c>
      <c r="N290" s="36">
        <f>SUMIF(Table20[[#All],[Asset]],Table19[[#This Row],[Assets]],Table20[[#All],[delta_exposure]])</f>
        <v>0</v>
      </c>
      <c r="O290" s="38">
        <f ca="1">Table19[[#This Row],[Option Exposure]]/$B$6</f>
        <v>0</v>
      </c>
      <c r="P290" s="51">
        <f>SUMIF(Table25[[#All],[Assets]],Table19[[#This Row],[Assets]],Table25[[#All],[Number of stocks]])</f>
        <v>0</v>
      </c>
      <c r="Q290" s="36">
        <f ca="1">Table19[[#This Row],[Num of Stocks]]*Table19[[#This Row],[Price]]</f>
        <v>0</v>
      </c>
      <c r="R290" s="36">
        <f ca="1">Table19[[#This Row],[Stock Exposure]]+Table19[[#This Row],[Option Exposure]]</f>
        <v>0</v>
      </c>
      <c r="S290" s="108" t="str">
        <f>IFERROR(Table19[[#This Row],[Num of Stocks]]*Table19[[#This Row],[Ave Entry]],"")</f>
        <v/>
      </c>
      <c r="T290" s="39">
        <f ca="1">Table19[[#This Row],[Combined Exposure]]/$C$8</f>
        <v>0</v>
      </c>
    </row>
    <row r="291" spans="1:20">
      <c r="A291" t="e" vm="118">
        <v>#VALUE!</v>
      </c>
      <c r="B291" s="13" t="str" cm="1">
        <f t="array" aca="1" ref="B291" ca="1">_FV(A291,"Ticker symbol",TRUE)</f>
        <v>ANET</v>
      </c>
      <c r="C291" s="13" t="s">
        <v>258</v>
      </c>
      <c r="D291" s="13" t="s">
        <v>29</v>
      </c>
      <c r="E291" s="19" cm="1">
        <f t="array" aca="1" ref="E291" ca="1">IFERROR(_FV(A291,"Beta"),2)</f>
        <v>1.4474</v>
      </c>
      <c r="F291" s="13" t="str" cm="1">
        <f t="array" aca="1" ref="F291" ca="1">_FV(A291,"Instrument type",TRUE)</f>
        <v>Stock</v>
      </c>
      <c r="G291" s="18" cm="1">
        <f t="array" aca="1" ref="G291" ca="1">_FV(Table19[[#This Row],[Assets]],"Price")</f>
        <v>132.87</v>
      </c>
      <c r="H291" s="36" t="str">
        <f>IFERROR(VLOOKUP(Table19[[#This Row],[Assets]],Table25[#All],15,FALSE),"")</f>
        <v/>
      </c>
      <c r="I291" s="36">
        <f>IFERROR(VLOOKUP(Table19[[#This Row],[Assets]],Table25[#All],16,FALSE),0)</f>
        <v>0</v>
      </c>
      <c r="J291" s="84" t="str">
        <f ca="1">IFERROR((Table19[[#This Row],[Price]]-Table19[[#This Row],[Ave Entry]])/Table19[[#This Row],[Ave Entry]],"")</f>
        <v/>
      </c>
      <c r="K291" s="92">
        <f ca="1">IFERROR((Table19[[#This Row],[Price]]-Table19[[#This Row],[Ave Entry]])*Table19[[#This Row],[Num of Stocks]],0)</f>
        <v>0</v>
      </c>
      <c r="L291" s="38" cm="1">
        <f t="array" aca="1" ref="L291" ca="1">_FV(Table19[[#This Row],[Assets]],"Change (%)",TRUE)</f>
        <v>1.5826E-2</v>
      </c>
      <c r="M291" s="36">
        <f>SUMIF(Table20[Asset],Table19[[#This Row],[Assets]],Table20[realized_profit])</f>
        <v>0</v>
      </c>
      <c r="N291" s="36">
        <f>SUMIF(Table20[[#All],[Asset]],Table19[[#This Row],[Assets]],Table20[[#All],[delta_exposure]])</f>
        <v>0</v>
      </c>
      <c r="O291" s="38">
        <f ca="1">Table19[[#This Row],[Option Exposure]]/$B$6</f>
        <v>0</v>
      </c>
      <c r="P291" s="51">
        <f>SUMIF(Table25[[#All],[Assets]],Table19[[#This Row],[Assets]],Table25[[#All],[Number of stocks]])</f>
        <v>0</v>
      </c>
      <c r="Q291" s="36">
        <f ca="1">Table19[[#This Row],[Num of Stocks]]*Table19[[#This Row],[Price]]</f>
        <v>0</v>
      </c>
      <c r="R291" s="36">
        <f ca="1">Table19[[#This Row],[Stock Exposure]]+Table19[[#This Row],[Option Exposure]]</f>
        <v>0</v>
      </c>
      <c r="S291" s="108" t="str">
        <f>IFERROR(Table19[[#This Row],[Num of Stocks]]*Table19[[#This Row],[Ave Entry]],"")</f>
        <v/>
      </c>
      <c r="T291" s="39">
        <f ca="1">Table19[[#This Row],[Combined Exposure]]/$C$8</f>
        <v>0</v>
      </c>
    </row>
    <row r="292" spans="1:20">
      <c r="A292" t="e" vm="165">
        <v>#VALUE!</v>
      </c>
      <c r="B292" s="13" t="str" cm="1">
        <f t="array" aca="1" ref="B292" ca="1">_FV(A292,"Ticker symbol",TRUE)</f>
        <v>NET</v>
      </c>
      <c r="C292" s="13" t="s">
        <v>29</v>
      </c>
      <c r="D292" s="13" t="s">
        <v>121</v>
      </c>
      <c r="E292" s="19" cm="1">
        <f t="array" aca="1" ref="E292" ca="1">IFERROR(_FV(A292,"Beta"),2)</f>
        <v>1.8689</v>
      </c>
      <c r="F292" s="13" t="str" cm="1">
        <f t="array" aca="1" ref="F292" ca="1">_FV(A292,"Instrument type",TRUE)</f>
        <v>Stock</v>
      </c>
      <c r="G292" s="18" cm="1">
        <f t="array" aca="1" ref="G292" ca="1">_FV(Table19[[#This Row],[Assets]],"Price")</f>
        <v>223.83</v>
      </c>
      <c r="H292" s="36">
        <f>IFERROR(VLOOKUP(Table19[[#This Row],[Assets]],Table25[#All],15,FALSE),"")</f>
        <v>155.76</v>
      </c>
      <c r="I292" s="36">
        <f>IFERROR(VLOOKUP(Table19[[#This Row],[Assets]],Table25[#All],16,FALSE),0)</f>
        <v>-69.759999999999991</v>
      </c>
      <c r="J292" s="84">
        <f ca="1">IFERROR((Table19[[#This Row],[Price]]-Table19[[#This Row],[Ave Entry]])/Table19[[#This Row],[Ave Entry]],"")</f>
        <v>0.43701848998459186</v>
      </c>
      <c r="K292" s="92">
        <f ca="1">IFERROR((Table19[[#This Row],[Price]]-Table19[[#This Row],[Ave Entry]])*Table19[[#This Row],[Num of Stocks]],0)</f>
        <v>0</v>
      </c>
      <c r="L292" s="38" cm="1">
        <f t="array" aca="1" ref="L292" ca="1">_FV(Table19[[#This Row],[Assets]],"Change (%)",TRUE)</f>
        <v>5.0106000000000005E-2</v>
      </c>
      <c r="M292" s="36">
        <f>SUMIF(Table20[Asset],Table19[[#This Row],[Assets]],Table20[realized_profit])</f>
        <v>78.000000000000057</v>
      </c>
      <c r="N292" s="36">
        <f ca="1">SUMIF(Table20[[#All],[Asset]],Table19[[#This Row],[Assets]],Table20[[#All],[delta_exposure]])</f>
        <v>0</v>
      </c>
      <c r="O292" s="38">
        <f ca="1">Table19[[#This Row],[Option Exposure]]/$B$6</f>
        <v>0</v>
      </c>
      <c r="P292" s="51">
        <f>SUMIF(Table25[[#All],[Assets]],Table19[[#This Row],[Assets]],Table25[[#All],[Number of stocks]])</f>
        <v>0</v>
      </c>
      <c r="Q292" s="36">
        <f ca="1">Table19[[#This Row],[Num of Stocks]]*Table19[[#This Row],[Price]]</f>
        <v>0</v>
      </c>
      <c r="R292" s="36">
        <f ca="1">Table19[[#This Row],[Stock Exposure]]+Table19[[#This Row],[Option Exposure]]</f>
        <v>0</v>
      </c>
      <c r="S292" s="108">
        <f>IFERROR(Table19[[#This Row],[Num of Stocks]]*Table19[[#This Row],[Ave Entry]],"")</f>
        <v>0</v>
      </c>
      <c r="T292" s="39">
        <f ca="1">Table19[[#This Row],[Combined Exposure]]/$C$8</f>
        <v>0</v>
      </c>
    </row>
    <row r="293" spans="1:20">
      <c r="A293" t="e" vm="354">
        <v>#VALUE!</v>
      </c>
      <c r="B293" s="13" t="str" cm="1">
        <f t="array" aca="1" ref="B293" ca="1">_FV(A293,"Ticker symbol",TRUE)</f>
        <v>MDT</v>
      </c>
      <c r="C293" s="13" t="s">
        <v>53</v>
      </c>
      <c r="D293" s="13" t="s">
        <v>311</v>
      </c>
      <c r="E293" s="19" cm="1">
        <f t="array" aca="1" ref="E293" ca="1">IFERROR(_FV(A293,"Beta"),2)</f>
        <v>0.76370000000000005</v>
      </c>
      <c r="F293" s="13" t="str" cm="1">
        <f t="array" aca="1" ref="F293" ca="1">_FV(A293,"Instrument type",TRUE)</f>
        <v>Stock</v>
      </c>
      <c r="G293" s="18" cm="1">
        <f t="array" aca="1" ref="G293" ca="1">_FV(Table19[[#This Row],[Assets]],"Price")</f>
        <v>86.8</v>
      </c>
      <c r="H293" s="36">
        <f>IFERROR(VLOOKUP(Table19[[#This Row],[Assets]],Table25[#All],15,FALSE),"")</f>
        <v>84.93</v>
      </c>
      <c r="I293" s="36">
        <f>IFERROR(VLOOKUP(Table19[[#This Row],[Assets]],Table25[#All],16,FALSE),0)</f>
        <v>21.919999999999959</v>
      </c>
      <c r="J293" s="84">
        <f ca="1">IFERROR((Table19[[#This Row],[Price]]-Table19[[#This Row],[Ave Entry]])/Table19[[#This Row],[Ave Entry]],"")</f>
        <v>2.2018132579771463E-2</v>
      </c>
      <c r="K293" s="92">
        <f ca="1">IFERROR((Table19[[#This Row],[Price]]-Table19[[#This Row],[Ave Entry]])*Table19[[#This Row],[Num of Stocks]],0)</f>
        <v>0</v>
      </c>
      <c r="L293" s="38" cm="1">
        <f t="array" aca="1" ref="L293" ca="1">_FV(Table19[[#This Row],[Assets]],"Change (%)",TRUE)</f>
        <v>2.5409999999999999E-3</v>
      </c>
      <c r="M293" s="36">
        <f>SUMIF(Table20[Asset],Table19[[#This Row],[Assets]],Table20[realized_profit])</f>
        <v>0</v>
      </c>
      <c r="N293" s="36">
        <f>SUMIF(Table20[[#All],[Asset]],Table19[[#This Row],[Assets]],Table20[[#All],[delta_exposure]])</f>
        <v>0</v>
      </c>
      <c r="O293" s="38">
        <f ca="1">Table19[[#This Row],[Option Exposure]]/$B$6</f>
        <v>0</v>
      </c>
      <c r="P293" s="51">
        <f>SUMIF(Table25[[#All],[Assets]],Table19[[#This Row],[Assets]],Table25[[#All],[Number of stocks]])</f>
        <v>0</v>
      </c>
      <c r="Q293" s="36">
        <f ca="1">Table19[[#This Row],[Num of Stocks]]*Table19[[#This Row],[Price]]</f>
        <v>0</v>
      </c>
      <c r="R293" s="36">
        <f ca="1">Table19[[#This Row],[Stock Exposure]]+Table19[[#This Row],[Option Exposure]]</f>
        <v>0</v>
      </c>
      <c r="S293" s="108">
        <f>IFERROR(Table19[[#This Row],[Num of Stocks]]*Table19[[#This Row],[Ave Entry]],"")</f>
        <v>0</v>
      </c>
      <c r="T293" s="39">
        <f ca="1">Table19[[#This Row],[Combined Exposure]]/$C$8</f>
        <v>0</v>
      </c>
    </row>
    <row r="294" spans="1:20">
      <c r="A294" t="e" vm="355">
        <v>#VALUE!</v>
      </c>
      <c r="B294" s="13" t="str" cm="1">
        <f t="array" aca="1" ref="B294" ca="1">_FV(A294,"Ticker symbol",TRUE)</f>
        <v>SIA</v>
      </c>
      <c r="C294" s="13" t="s">
        <v>326</v>
      </c>
      <c r="D294" s="13" t="s">
        <v>53</v>
      </c>
      <c r="E294" s="19" cm="1">
        <f t="array" aca="1" ref="E294" ca="1">IFERROR(_FV(A294,"Beta"),2)</f>
        <v>1.038</v>
      </c>
      <c r="F294" s="13" t="str" cm="1">
        <f t="array" aca="1" ref="F294" ca="1">_FV(A294,"Instrument type",TRUE)</f>
        <v>Stock</v>
      </c>
      <c r="G294" s="18" cm="1">
        <f t="array" aca="1" ref="G294" ca="1">_FV(Table19[[#This Row],[Assets]],"Price")</f>
        <v>21.89</v>
      </c>
      <c r="H294" s="36" t="str">
        <f>IFERROR(VLOOKUP(Table19[[#This Row],[Assets]],Table25[#All],15,FALSE),"")</f>
        <v/>
      </c>
      <c r="I294" s="36">
        <f>IFERROR(VLOOKUP(Table19[[#This Row],[Assets]],Table25[#All],16,FALSE),0)</f>
        <v>0</v>
      </c>
      <c r="J294" s="84" t="str">
        <f ca="1">IFERROR((Table19[[#This Row],[Price]]-Table19[[#This Row],[Ave Entry]])/Table19[[#This Row],[Ave Entry]],"")</f>
        <v/>
      </c>
      <c r="K294" s="92">
        <f ca="1">IFERROR((Table19[[#This Row],[Price]]-Table19[[#This Row],[Ave Entry]])*Table19[[#This Row],[Num of Stocks]],0)</f>
        <v>0</v>
      </c>
      <c r="L294" s="38" cm="1">
        <f t="array" aca="1" ref="L294" ca="1">_FV(Table19[[#This Row],[Assets]],"Change (%)",TRUE)</f>
        <v>-3.1879999999999999E-3</v>
      </c>
      <c r="M294" s="36">
        <f>SUMIF(Table20[Asset],Table19[[#This Row],[Assets]],Table20[realized_profit])</f>
        <v>0</v>
      </c>
      <c r="N294" s="36">
        <f>SUMIF(Table20[[#All],[Asset]],Table19[[#This Row],[Assets]],Table20[[#All],[delta_exposure]])</f>
        <v>0</v>
      </c>
      <c r="O294" s="38">
        <f ca="1">Table19[[#This Row],[Option Exposure]]/$B$6</f>
        <v>0</v>
      </c>
      <c r="P294" s="51">
        <f>SUMIF(Table25[[#All],[Assets]],Table19[[#This Row],[Assets]],Table25[[#All],[Number of stocks]])</f>
        <v>0</v>
      </c>
      <c r="Q294" s="36">
        <f ca="1">Table19[[#This Row],[Num of Stocks]]*Table19[[#This Row],[Price]]</f>
        <v>0</v>
      </c>
      <c r="R294" s="36">
        <f ca="1">Table19[[#This Row],[Stock Exposure]]+Table19[[#This Row],[Option Exposure]]</f>
        <v>0</v>
      </c>
      <c r="S294" s="108" t="str">
        <f>IFERROR(Table19[[#This Row],[Num of Stocks]]*Table19[[#This Row],[Ave Entry]],"")</f>
        <v/>
      </c>
      <c r="T294" s="39">
        <f ca="1">Table19[[#This Row],[Combined Exposure]]/$C$8</f>
        <v>0</v>
      </c>
    </row>
    <row r="295" spans="1:20">
      <c r="A295" t="e" vm="356">
        <v>#VALUE!</v>
      </c>
      <c r="B295" s="13" t="str" cm="1">
        <f t="array" aca="1" ref="B295" ca="1">_FV(A295,"Ticker symbol",TRUE)</f>
        <v>KEYS</v>
      </c>
      <c r="C295" s="13" t="s">
        <v>258</v>
      </c>
      <c r="D295" s="13" t="s">
        <v>29</v>
      </c>
      <c r="E295" s="19" cm="1">
        <f t="array" aca="1" ref="E295" ca="1">IFERROR(_FV(A295,"Beta"),2)</f>
        <v>1.1275999999999999</v>
      </c>
      <c r="F295" s="13" t="str" cm="1">
        <f t="array" aca="1" ref="F295" ca="1">_FV(A295,"Instrument type",TRUE)</f>
        <v>Stock</v>
      </c>
      <c r="G295" s="18" cm="1">
        <f t="array" aca="1" ref="G295" ca="1">_FV(Table19[[#This Row],[Assets]],"Price")</f>
        <v>300.27999999999997</v>
      </c>
      <c r="H295" s="36" t="str">
        <f>IFERROR(VLOOKUP(Table19[[#This Row],[Assets]],Table25[#All],15,FALSE),"")</f>
        <v/>
      </c>
      <c r="I295" s="36">
        <f>IFERROR(VLOOKUP(Table19[[#This Row],[Assets]],Table25[#All],16,FALSE),0)</f>
        <v>0</v>
      </c>
      <c r="J295" s="84" t="str">
        <f ca="1">IFERROR((Table19[[#This Row],[Price]]-Table19[[#This Row],[Ave Entry]])/Table19[[#This Row],[Ave Entry]],"")</f>
        <v/>
      </c>
      <c r="K295" s="92">
        <f ca="1">IFERROR((Table19[[#This Row],[Price]]-Table19[[#This Row],[Ave Entry]])*Table19[[#This Row],[Num of Stocks]],0)</f>
        <v>0</v>
      </c>
      <c r="L295" s="38" cm="1">
        <f t="array" aca="1" ref="L295" ca="1">_FV(Table19[[#This Row],[Assets]],"Change (%)",TRUE)</f>
        <v>5.6940000000000003E-3</v>
      </c>
      <c r="M295" s="36">
        <f>SUMIF(Table20[Asset],Table19[[#This Row],[Assets]],Table20[realized_profit])</f>
        <v>0</v>
      </c>
      <c r="N295" s="36">
        <f>SUMIF(Table20[[#All],[Asset]],Table19[[#This Row],[Assets]],Table20[[#All],[delta_exposure]])</f>
        <v>0</v>
      </c>
      <c r="O295" s="38">
        <f ca="1">Table19[[#This Row],[Option Exposure]]/$B$6</f>
        <v>0</v>
      </c>
      <c r="P295" s="51">
        <f>SUMIF(Table25[[#All],[Assets]],Table19[[#This Row],[Assets]],Table25[[#All],[Number of stocks]])</f>
        <v>0</v>
      </c>
      <c r="Q295" s="36">
        <f ca="1">Table19[[#This Row],[Num of Stocks]]*Table19[[#This Row],[Price]]</f>
        <v>0</v>
      </c>
      <c r="R295" s="36">
        <f ca="1">Table19[[#This Row],[Stock Exposure]]+Table19[[#This Row],[Option Exposure]]</f>
        <v>0</v>
      </c>
      <c r="S295" s="108" t="str">
        <f>IFERROR(Table19[[#This Row],[Num of Stocks]]*Table19[[#This Row],[Ave Entry]],"")</f>
        <v/>
      </c>
      <c r="T295" s="39">
        <f ca="1">Table19[[#This Row],[Combined Exposure]]/$C$8</f>
        <v>0</v>
      </c>
    </row>
    <row r="296" spans="1:20">
      <c r="A296" t="e" vm="357">
        <v>#VALUE!</v>
      </c>
      <c r="B296" s="13" t="str" cm="1">
        <f t="array" aca="1" ref="B296" ca="1">_FV(A296,"Ticker symbol",TRUE)</f>
        <v>OPEN</v>
      </c>
      <c r="C296" s="13" t="s">
        <v>132</v>
      </c>
      <c r="D296" s="13" t="s">
        <v>132</v>
      </c>
      <c r="E296" s="19" cm="1">
        <f t="array" aca="1" ref="E296" ca="1">IFERROR(_FV(A296,"Beta"),2)</f>
        <v>3.7263999999999999</v>
      </c>
      <c r="F296" s="13" t="str" cm="1">
        <f t="array" aca="1" ref="F296" ca="1">_FV(A296,"Instrument type",TRUE)</f>
        <v>Stock</v>
      </c>
      <c r="G296" s="18" cm="1">
        <f t="array" aca="1" ref="G296" ca="1">_FV(Table19[[#This Row],[Assets]],"Price")</f>
        <v>5.2249999999999996</v>
      </c>
      <c r="H296" s="36" t="str">
        <f>IFERROR(VLOOKUP(Table19[[#This Row],[Assets]],Table25[#All],15,FALSE),"")</f>
        <v/>
      </c>
      <c r="I296" s="36">
        <f>IFERROR(VLOOKUP(Table19[[#This Row],[Assets]],Table25[#All],16,FALSE),0)</f>
        <v>0</v>
      </c>
      <c r="J296" s="84" t="str">
        <f ca="1">IFERROR((Table19[[#This Row],[Price]]-Table19[[#This Row],[Ave Entry]])/Table19[[#This Row],[Ave Entry]],"")</f>
        <v/>
      </c>
      <c r="K296" s="92">
        <f ca="1">IFERROR((Table19[[#This Row],[Price]]-Table19[[#This Row],[Ave Entry]])*Table19[[#This Row],[Num of Stocks]],0)</f>
        <v>0</v>
      </c>
      <c r="L296" s="38" cm="1">
        <f t="array" aca="1" ref="L296" ca="1">_FV(Table19[[#This Row],[Assets]],"Change (%)",TRUE)</f>
        <v>8.6870000000000003E-3</v>
      </c>
      <c r="M296" s="36">
        <f>SUMIF(Table20[Asset],Table19[[#This Row],[Assets]],Table20[realized_profit])</f>
        <v>-168.00000000000003</v>
      </c>
      <c r="N296" s="36">
        <f ca="1">SUMIF(Table20[[#All],[Asset]],Table19[[#This Row],[Assets]],Table20[[#All],[delta_exposure]])</f>
        <v>0</v>
      </c>
      <c r="O296" s="98">
        <f ca="1">Table19[[#This Row],[Option Exposure]]/$B$6</f>
        <v>0</v>
      </c>
      <c r="P296" s="51">
        <f>SUMIF(Table25[[#All],[Assets]],Table19[[#This Row],[Assets]],Table25[[#All],[Number of stocks]])</f>
        <v>0</v>
      </c>
      <c r="Q296" s="36">
        <f ca="1">Table19[[#This Row],[Num of Stocks]]*Table19[[#This Row],[Price]]</f>
        <v>0</v>
      </c>
      <c r="R296" s="36">
        <f ca="1">Table19[[#This Row],[Stock Exposure]]+Table19[[#This Row],[Option Exposure]]</f>
        <v>0</v>
      </c>
      <c r="S296" s="108" t="str">
        <f>IFERROR(Table19[[#This Row],[Num of Stocks]]*Table19[[#This Row],[Ave Entry]],"")</f>
        <v/>
      </c>
      <c r="T296" s="39">
        <f ca="1">Table19[[#This Row],[Combined Exposure]]/$C$8</f>
        <v>0</v>
      </c>
    </row>
    <row r="297" spans="1:20">
      <c r="A297" t="e" vm="358">
        <v>#VALUE!</v>
      </c>
      <c r="B297" s="13" t="str" cm="1">
        <f t="array" aca="1" ref="B297" ca="1">_FV(A297,"Ticker symbol",TRUE)</f>
        <v>GEV</v>
      </c>
      <c r="C297" s="13" t="s">
        <v>56</v>
      </c>
      <c r="D297" s="13" t="s">
        <v>56</v>
      </c>
      <c r="E297" s="19" cm="1">
        <f t="array" aca="1" ref="E297" ca="1">IFERROR(_FV(A297,"Beta"),2)</f>
        <v>1.3839999999999999</v>
      </c>
      <c r="F297" s="13" t="str" cm="1">
        <f t="array" aca="1" ref="F297" ca="1">_FV(A297,"Instrument type",TRUE)</f>
        <v>Stock</v>
      </c>
      <c r="G297" s="18" cm="1">
        <f t="array" aca="1" ref="G297" ca="1">_FV(Table19[[#This Row],[Assets]],"Price")</f>
        <v>942.43499999999995</v>
      </c>
      <c r="H297" s="36">
        <f>IFERROR(VLOOKUP(Table19[[#This Row],[Assets]],Table25[#All],15,FALSE),"")</f>
        <v>166.9</v>
      </c>
      <c r="I297" s="36">
        <f>IFERROR(VLOOKUP(Table19[[#This Row],[Assets]],Table25[#All],16,FALSE),0)</f>
        <v>105.16999999999999</v>
      </c>
      <c r="J297" s="84">
        <f ca="1">IFERROR((Table19[[#This Row],[Price]]-Table19[[#This Row],[Ave Entry]])/Table19[[#This Row],[Ave Entry]],"")</f>
        <v>4.6467046135410426</v>
      </c>
      <c r="K297" s="92">
        <f ca="1">IFERROR((Table19[[#This Row],[Price]]-Table19[[#This Row],[Ave Entry]])*Table19[[#This Row],[Num of Stocks]],0)</f>
        <v>0</v>
      </c>
      <c r="L297" s="38" cm="1">
        <f t="array" aca="1" ref="L297" ca="1">_FV(Table19[[#This Row],[Assets]],"Change (%)",TRUE)</f>
        <v>3.6315E-2</v>
      </c>
      <c r="M297" s="36">
        <f>SUMIF(Table20[Asset],Table19[[#This Row],[Assets]],Table20[realized_profit])</f>
        <v>0</v>
      </c>
      <c r="N297" s="36">
        <f>SUMIF(Table20[[#All],[Asset]],Table19[[#This Row],[Assets]],Table20[[#All],[delta_exposure]])</f>
        <v>0</v>
      </c>
      <c r="O297" s="98">
        <f ca="1">Table19[[#This Row],[Option Exposure]]/$B$6</f>
        <v>0</v>
      </c>
      <c r="P297" s="51">
        <f>SUMIF(Table25[[#All],[Assets]],Table19[[#This Row],[Assets]],Table25[[#All],[Number of stocks]])</f>
        <v>0</v>
      </c>
      <c r="Q297" s="36">
        <f ca="1">Table19[[#This Row],[Num of Stocks]]*Table19[[#This Row],[Price]]</f>
        <v>0</v>
      </c>
      <c r="R297" s="36">
        <f ca="1">Table19[[#This Row],[Stock Exposure]]+Table19[[#This Row],[Option Exposure]]</f>
        <v>0</v>
      </c>
      <c r="S297" s="108">
        <f>IFERROR(Table19[[#This Row],[Num of Stocks]]*Table19[[#This Row],[Ave Entry]],"")</f>
        <v>0</v>
      </c>
      <c r="T297" s="39">
        <f ca="1">Table19[[#This Row],[Combined Exposure]]/$C$8</f>
        <v>0</v>
      </c>
    </row>
    <row r="298" spans="1:20">
      <c r="A298" t="e" vm="359">
        <v>#VALUE!</v>
      </c>
      <c r="B298" s="13" t="str" cm="1">
        <f t="array" aca="1" ref="B298" ca="1">_FV(A298,"Ticker symbol",TRUE)</f>
        <v>BPOP</v>
      </c>
      <c r="C298" s="13" t="s">
        <v>54</v>
      </c>
      <c r="D298" s="13" t="s">
        <v>54</v>
      </c>
      <c r="E298" s="19" cm="1">
        <f t="array" aca="1" ref="E298" ca="1">IFERROR(_FV(A298,"Beta"),2)</f>
        <v>0.62039999999999995</v>
      </c>
      <c r="F298" s="13" t="str" cm="1">
        <f t="array" aca="1" ref="F298" ca="1">_FV(A298,"Instrument type",TRUE)</f>
        <v>Stock</v>
      </c>
      <c r="G298" s="18" cm="1">
        <f t="array" aca="1" ref="G298" ca="1">_FV(Table19[[#This Row],[Assets]],"Price")</f>
        <v>133.74</v>
      </c>
      <c r="H298" s="36" t="str">
        <f>IFERROR(VLOOKUP(Table19[[#This Row],[Assets]],Table25[#All],15,FALSE),"")</f>
        <v/>
      </c>
      <c r="I298" s="36">
        <f>IFERROR(VLOOKUP(Table19[[#This Row],[Assets]],Table25[#All],16,FALSE),0)</f>
        <v>0</v>
      </c>
      <c r="J298" s="84" t="str">
        <f ca="1">IFERROR((Table19[[#This Row],[Price]]-Table19[[#This Row],[Ave Entry]])/Table19[[#This Row],[Ave Entry]],"")</f>
        <v/>
      </c>
      <c r="K298" s="92">
        <f ca="1">IFERROR((Table19[[#This Row],[Price]]-Table19[[#This Row],[Ave Entry]])*Table19[[#This Row],[Num of Stocks]],0)</f>
        <v>0</v>
      </c>
      <c r="L298" s="38" cm="1">
        <f t="array" aca="1" ref="L298" ca="1">_FV(Table19[[#This Row],[Assets]],"Change (%)",TRUE)</f>
        <v>4.8840000000000003E-3</v>
      </c>
      <c r="M298" s="36">
        <f>SUMIF(Table20[Asset],Table19[[#This Row],[Assets]],Table20[realized_profit])</f>
        <v>0</v>
      </c>
      <c r="N298" s="36">
        <f>SUMIF(Table20[[#All],[Asset]],Table19[[#This Row],[Assets]],Table20[[#All],[delta_exposure]])</f>
        <v>0</v>
      </c>
      <c r="O298" s="38">
        <f ca="1">Table19[[#This Row],[Option Exposure]]/$B$6</f>
        <v>0</v>
      </c>
      <c r="P298" s="51">
        <f>SUMIF(Table25[[#All],[Assets]],Table19[[#This Row],[Assets]],Table25[[#All],[Number of stocks]])</f>
        <v>0</v>
      </c>
      <c r="Q298" s="36">
        <f ca="1">Table19[[#This Row],[Num of Stocks]]*Table19[[#This Row],[Price]]</f>
        <v>0</v>
      </c>
      <c r="R298" s="36">
        <f ca="1">Table19[[#This Row],[Stock Exposure]]+Table19[[#This Row],[Option Exposure]]</f>
        <v>0</v>
      </c>
      <c r="S298" s="108" t="str">
        <f>IFERROR(Table19[[#This Row],[Num of Stocks]]*Table19[[#This Row],[Ave Entry]],"")</f>
        <v/>
      </c>
      <c r="T298" s="39">
        <f ca="1">Table19[[#This Row],[Combined Exposure]]/$C$8</f>
        <v>0</v>
      </c>
    </row>
    <row r="299" spans="1:20">
      <c r="A299" t="e" vm="360">
        <v>#VALUE!</v>
      </c>
      <c r="B299" s="13" t="str" cm="1">
        <f t="array" aca="1" ref="B299" ca="1">_FV(A299,"Ticker symbol",TRUE)</f>
        <v>APOG</v>
      </c>
      <c r="C299" s="13" t="s">
        <v>122</v>
      </c>
      <c r="D299" s="13" t="s">
        <v>56</v>
      </c>
      <c r="E299" s="19" cm="1">
        <f t="array" aca="1" ref="E299" ca="1">IFERROR(_FV(A299,"Beta"),2)</f>
        <v>1.1184000000000001</v>
      </c>
      <c r="F299" s="13" t="str" cm="1">
        <f t="array" aca="1" ref="F299" ca="1">_FV(A299,"Instrument type",TRUE)</f>
        <v>Stock</v>
      </c>
      <c r="G299" s="18" cm="1">
        <f t="array" aca="1" ref="G299" ca="1">_FV(Table19[[#This Row],[Assets]],"Price")</f>
        <v>32.299999999999997</v>
      </c>
      <c r="H299" s="36">
        <f>IFERROR(VLOOKUP(Table19[[#This Row],[Assets]],Table25[#All],15,FALSE),"")</f>
        <v>61.95</v>
      </c>
      <c r="I299" s="36">
        <f>IFERROR(VLOOKUP(Table19[[#This Row],[Assets]],Table25[#All],16,FALSE),0)</f>
        <v>12.400000000000006</v>
      </c>
      <c r="J299" s="84">
        <f ca="1">IFERROR((Table19[[#This Row],[Price]]-Table19[[#This Row],[Ave Entry]])/Table19[[#This Row],[Ave Entry]],"")</f>
        <v>-0.47861178369652951</v>
      </c>
      <c r="K299" s="92">
        <f ca="1">IFERROR((Table19[[#This Row],[Price]]-Table19[[#This Row],[Ave Entry]])*Table19[[#This Row],[Num of Stocks]],0)</f>
        <v>0</v>
      </c>
      <c r="L299" s="38" cm="1">
        <f t="array" aca="1" ref="L299" ca="1">_FV(Table19[[#This Row],[Assets]],"Change (%)",TRUE)</f>
        <v>-3.7009999999999999E-3</v>
      </c>
      <c r="M299" s="36">
        <f>SUMIF(Table20[Asset],Table19[[#This Row],[Assets]],Table20[realized_profit])</f>
        <v>0</v>
      </c>
      <c r="N299" s="36">
        <f>SUMIF(Table20[[#All],[Asset]],Table19[[#This Row],[Assets]],Table20[[#All],[delta_exposure]])</f>
        <v>0</v>
      </c>
      <c r="O299" s="98">
        <f ca="1">Table19[[#This Row],[Option Exposure]]/$B$6</f>
        <v>0</v>
      </c>
      <c r="P299" s="51">
        <f>SUMIF(Table25[[#All],[Assets]],Table19[[#This Row],[Assets]],Table25[[#All],[Number of stocks]])</f>
        <v>0</v>
      </c>
      <c r="Q299" s="36">
        <f ca="1">Table19[[#This Row],[Num of Stocks]]*Table19[[#This Row],[Price]]</f>
        <v>0</v>
      </c>
      <c r="R299" s="36">
        <f ca="1">Table19[[#This Row],[Stock Exposure]]+Table19[[#This Row],[Option Exposure]]</f>
        <v>0</v>
      </c>
      <c r="S299" s="108">
        <f>IFERROR(Table19[[#This Row],[Num of Stocks]]*Table19[[#This Row],[Ave Entry]],"")</f>
        <v>0</v>
      </c>
      <c r="T299" s="39">
        <f ca="1">Table19[[#This Row],[Combined Exposure]]/$C$8</f>
        <v>0</v>
      </c>
    </row>
    <row r="300" spans="1:20">
      <c r="A300" t="e" vm="114">
        <v>#VALUE!</v>
      </c>
      <c r="B300" s="13" t="str" cm="1">
        <f t="array" aca="1" ref="B300" ca="1">_FV(A300,"Ticker symbol",TRUE)</f>
        <v>LRCX</v>
      </c>
      <c r="C300" s="13" t="s">
        <v>84</v>
      </c>
      <c r="D300" s="13" t="s">
        <v>84</v>
      </c>
      <c r="E300" s="19" cm="1">
        <f t="array" aca="1" ref="E300" ca="1">IFERROR(_FV(A300,"Beta"),2)</f>
        <v>1.7405999999999999</v>
      </c>
      <c r="F300" s="13" t="str" cm="1">
        <f t="array" aca="1" ref="F300" ca="1">_FV(A300,"Instrument type",TRUE)</f>
        <v>Stock</v>
      </c>
      <c r="G300" s="18" cm="1">
        <f t="array" aca="1" ref="G300" ca="1">_FV(Table19[[#This Row],[Assets]],"Price")</f>
        <v>235.46</v>
      </c>
      <c r="H300" s="36">
        <f>IFERROR(VLOOKUP(Table19[[#This Row],[Assets]],Table25[#All],15,FALSE),"")</f>
        <v>77.95</v>
      </c>
      <c r="I300" s="36">
        <f>IFERROR(VLOOKUP(Table19[[#This Row],[Assets]],Table25[#All],16,FALSE),0)</f>
        <v>-36.960000000000008</v>
      </c>
      <c r="J300" s="84">
        <f ca="1">IFERROR((Table19[[#This Row],[Price]]-Table19[[#This Row],[Ave Entry]])/Table19[[#This Row],[Ave Entry]],"")</f>
        <v>2.0206542655548425</v>
      </c>
      <c r="K300" s="92">
        <f ca="1">IFERROR((Table19[[#This Row],[Price]]-Table19[[#This Row],[Ave Entry]])*Table19[[#This Row],[Num of Stocks]],0)</f>
        <v>0</v>
      </c>
      <c r="L300" s="38" cm="1">
        <f t="array" aca="1" ref="L300" ca="1">_FV(Table19[[#This Row],[Assets]],"Change (%)",TRUE)</f>
        <v>-1.4152E-2</v>
      </c>
      <c r="M300" s="36">
        <f>SUMIF(Table20[Asset],Table19[[#This Row],[Assets]],Table20[realized_profit])</f>
        <v>0</v>
      </c>
      <c r="N300" s="36">
        <f>SUMIF(Table20[[#All],[Asset]],Table19[[#This Row],[Assets]],Table20[[#All],[delta_exposure]])</f>
        <v>0</v>
      </c>
      <c r="O300" s="38">
        <f ca="1">Table19[[#This Row],[Option Exposure]]/$B$6</f>
        <v>0</v>
      </c>
      <c r="P300" s="51">
        <f>SUMIF(Table25[[#All],[Assets]],Table19[[#This Row],[Assets]],Table25[[#All],[Number of stocks]])</f>
        <v>0</v>
      </c>
      <c r="Q300" s="36">
        <f ca="1">Table19[[#This Row],[Num of Stocks]]*Table19[[#This Row],[Price]]</f>
        <v>0</v>
      </c>
      <c r="R300" s="36">
        <f ca="1">Table19[[#This Row],[Stock Exposure]]+Table19[[#This Row],[Option Exposure]]</f>
        <v>0</v>
      </c>
      <c r="S300" s="108">
        <f>IFERROR(Table19[[#This Row],[Num of Stocks]]*Table19[[#This Row],[Ave Entry]],"")</f>
        <v>0</v>
      </c>
      <c r="T300" s="39">
        <f ca="1">Table19[[#This Row],[Combined Exposure]]/$C$8</f>
        <v>0</v>
      </c>
    </row>
    <row r="301" spans="1:20">
      <c r="A301" t="e" vm="361">
        <v>#VALUE!</v>
      </c>
      <c r="B301" s="13" t="str" cm="1">
        <f t="array" aca="1" ref="B301" ca="1">_FV(A301,"Ticker symbol",TRUE)</f>
        <v>BRC</v>
      </c>
      <c r="C301" s="13" t="s">
        <v>550</v>
      </c>
      <c r="D301" s="13" t="s">
        <v>56</v>
      </c>
      <c r="E301" s="19" cm="1">
        <f t="array" aca="1" ref="E301" ca="1">IFERROR(_FV(A301,"Beta"),2)</f>
        <v>0.63519999999999999</v>
      </c>
      <c r="F301" s="13" t="str" cm="1">
        <f t="array" aca="1" ref="F301" ca="1">_FV(A301,"Instrument type",TRUE)</f>
        <v>Stock</v>
      </c>
      <c r="G301" s="18" cm="1">
        <f t="array" aca="1" ref="G301" ca="1">_FV(Table19[[#This Row],[Assets]],"Price")</f>
        <v>83.555000000000007</v>
      </c>
      <c r="H301" s="36" t="str">
        <f>IFERROR(VLOOKUP(Table19[[#This Row],[Assets]],Table25[#All],15,FALSE),"")</f>
        <v/>
      </c>
      <c r="I301" s="36">
        <f>IFERROR(VLOOKUP(Table19[[#This Row],[Assets]],Table25[#All],16,FALSE),0)</f>
        <v>0</v>
      </c>
      <c r="J301" s="84" t="str">
        <f ca="1">IFERROR((Table19[[#This Row],[Price]]-Table19[[#This Row],[Ave Entry]])/Table19[[#This Row],[Ave Entry]],"")</f>
        <v/>
      </c>
      <c r="K301" s="92">
        <f ca="1">IFERROR((Table19[[#This Row],[Price]]-Table19[[#This Row],[Ave Entry]])*Table19[[#This Row],[Num of Stocks]],0)</f>
        <v>0</v>
      </c>
      <c r="L301" s="38" cm="1">
        <f t="array" aca="1" ref="L301" ca="1">_FV(Table19[[#This Row],[Assets]],"Change (%)",TRUE)</f>
        <v>-1.1360000000000001E-3</v>
      </c>
      <c r="M301" s="36">
        <f>SUMIF(Table20[Asset],Table19[[#This Row],[Assets]],Table20[realized_profit])</f>
        <v>0</v>
      </c>
      <c r="N301" s="36">
        <f>SUMIF(Table20[[#All],[Asset]],Table19[[#This Row],[Assets]],Table20[[#All],[delta_exposure]])</f>
        <v>0</v>
      </c>
      <c r="O301" s="38">
        <f ca="1">Table19[[#This Row],[Option Exposure]]/$B$6</f>
        <v>0</v>
      </c>
      <c r="P301" s="51">
        <f>SUMIF(Table25[[#All],[Assets]],Table19[[#This Row],[Assets]],Table25[[#All],[Number of stocks]])</f>
        <v>0</v>
      </c>
      <c r="Q301" s="36">
        <f ca="1">Table19[[#This Row],[Num of Stocks]]*Table19[[#This Row],[Price]]</f>
        <v>0</v>
      </c>
      <c r="R301" s="36">
        <f ca="1">Table19[[#This Row],[Stock Exposure]]+Table19[[#This Row],[Option Exposure]]</f>
        <v>0</v>
      </c>
      <c r="S301" s="108" t="str">
        <f>IFERROR(Table19[[#This Row],[Num of Stocks]]*Table19[[#This Row],[Ave Entry]],"")</f>
        <v/>
      </c>
      <c r="T301" s="39">
        <f ca="1">Table19[[#This Row],[Combined Exposure]]/$C$8</f>
        <v>0</v>
      </c>
    </row>
    <row r="302" spans="1:20">
      <c r="A302" t="e" vm="362">
        <v>#VALUE!</v>
      </c>
      <c r="B302" s="13" t="str" cm="1">
        <f t="array" aca="1" ref="B302" ca="1">_FV(A302,"Ticker symbol",TRUE)</f>
        <v>WMS</v>
      </c>
      <c r="C302" s="13" t="s">
        <v>134</v>
      </c>
      <c r="D302" s="13" t="s">
        <v>56</v>
      </c>
      <c r="E302" s="19" cm="1">
        <f t="array" aca="1" ref="E302" ca="1">IFERROR(_FV(A302,"Beta"),2)</f>
        <v>1.3751</v>
      </c>
      <c r="F302" s="13" t="str" cm="1">
        <f t="array" aca="1" ref="F302" ca="1">_FV(A302,"Instrument type",TRUE)</f>
        <v>Stock</v>
      </c>
      <c r="G302" s="18" cm="1">
        <f t="array" aca="1" ref="G302" ca="1">_FV(Table19[[#This Row],[Assets]],"Price")</f>
        <v>136.55000000000001</v>
      </c>
      <c r="H302" s="36" t="str">
        <f>IFERROR(VLOOKUP(Table19[[#This Row],[Assets]],Table25[#All],15,FALSE),"")</f>
        <v/>
      </c>
      <c r="I302" s="36">
        <f>IFERROR(VLOOKUP(Table19[[#This Row],[Assets]],Table25[#All],16,FALSE),0)</f>
        <v>0</v>
      </c>
      <c r="J302" s="84" t="str">
        <f ca="1">IFERROR((Table19[[#This Row],[Price]]-Table19[[#This Row],[Ave Entry]])/Table19[[#This Row],[Ave Entry]],"")</f>
        <v/>
      </c>
      <c r="K302" s="92">
        <f ca="1">IFERROR((Table19[[#This Row],[Price]]-Table19[[#This Row],[Ave Entry]])*Table19[[#This Row],[Num of Stocks]],0)</f>
        <v>0</v>
      </c>
      <c r="L302" s="38" cm="1">
        <f t="array" aca="1" ref="L302" ca="1">_FV(Table19[[#This Row],[Assets]],"Change (%)",TRUE)</f>
        <v>-1.4640000000000001E-4</v>
      </c>
      <c r="M302" s="36">
        <f>SUMIF(Table20[Asset],Table19[[#This Row],[Assets]],Table20[realized_profit])</f>
        <v>0</v>
      </c>
      <c r="N302" s="36">
        <f>SUMIF(Table20[[#All],[Asset]],Table19[[#This Row],[Assets]],Table20[[#All],[delta_exposure]])</f>
        <v>0</v>
      </c>
      <c r="O302" s="38">
        <f ca="1">Table19[[#This Row],[Option Exposure]]/$B$6</f>
        <v>0</v>
      </c>
      <c r="P302" s="51">
        <f>SUMIF(Table25[[#All],[Assets]],Table19[[#This Row],[Assets]],Table25[[#All],[Number of stocks]])</f>
        <v>0</v>
      </c>
      <c r="Q302" s="36">
        <f ca="1">Table19[[#This Row],[Num of Stocks]]*Table19[[#This Row],[Price]]</f>
        <v>0</v>
      </c>
      <c r="R302" s="36">
        <f ca="1">Table19[[#This Row],[Stock Exposure]]+Table19[[#This Row],[Option Exposure]]</f>
        <v>0</v>
      </c>
      <c r="S302" s="108" t="str">
        <f>IFERROR(Table19[[#This Row],[Num of Stocks]]*Table19[[#This Row],[Ave Entry]],"")</f>
        <v/>
      </c>
      <c r="T302" s="39">
        <f ca="1">Table19[[#This Row],[Combined Exposure]]/$C$8</f>
        <v>0</v>
      </c>
    </row>
    <row r="303" spans="1:20">
      <c r="A303" t="e" vm="363">
        <v>#VALUE!</v>
      </c>
      <c r="B303" s="13" t="str" cm="1">
        <f t="array" aca="1" ref="B303" ca="1">_FV(A303,"Ticker symbol",TRUE)</f>
        <v>LOPE</v>
      </c>
      <c r="C303" s="13" t="s">
        <v>550</v>
      </c>
      <c r="D303" s="13" t="s">
        <v>147</v>
      </c>
      <c r="E303" s="19" cm="1">
        <f t="array" aca="1" ref="E303" ca="1">IFERROR(_FV(A303,"Beta"),2)</f>
        <v>0.6825</v>
      </c>
      <c r="F303" s="13" t="str" cm="1">
        <f t="array" aca="1" ref="F303" ca="1">_FV(A303,"Instrument type",TRUE)</f>
        <v>Stock</v>
      </c>
      <c r="G303" s="18" cm="1">
        <f t="array" aca="1" ref="G303" ca="1">_FV(Table19[[#This Row],[Assets]],"Price")</f>
        <v>167.42500000000001</v>
      </c>
      <c r="H303" s="36" t="str">
        <f>IFERROR(VLOOKUP(Table19[[#This Row],[Assets]],Table25[#All],15,FALSE),"")</f>
        <v/>
      </c>
      <c r="I303" s="36">
        <f>IFERROR(VLOOKUP(Table19[[#This Row],[Assets]],Table25[#All],16,FALSE),0)</f>
        <v>0</v>
      </c>
      <c r="J303" s="84" t="str">
        <f ca="1">IFERROR((Table19[[#This Row],[Price]]-Table19[[#This Row],[Ave Entry]])/Table19[[#This Row],[Ave Entry]],"")</f>
        <v/>
      </c>
      <c r="K303" s="92">
        <f ca="1">IFERROR((Table19[[#This Row],[Price]]-Table19[[#This Row],[Ave Entry]])*Table19[[#This Row],[Num of Stocks]],0)</f>
        <v>0</v>
      </c>
      <c r="L303" s="38" cm="1">
        <f t="array" aca="1" ref="L303" ca="1">_FV(Table19[[#This Row],[Assets]],"Change (%)",TRUE)</f>
        <v>-3.2450000000000001E-3</v>
      </c>
      <c r="M303" s="36">
        <f>SUMIF(Table20[Asset],Table19[[#This Row],[Assets]],Table20[realized_profit])</f>
        <v>0</v>
      </c>
      <c r="N303" s="36">
        <f>SUMIF(Table20[[#All],[Asset]],Table19[[#This Row],[Assets]],Table20[[#All],[delta_exposure]])</f>
        <v>0</v>
      </c>
      <c r="O303" s="38">
        <f ca="1">Table19[[#This Row],[Option Exposure]]/$B$6</f>
        <v>0</v>
      </c>
      <c r="P303" s="51">
        <f>SUMIF(Table25[[#All],[Assets]],Table19[[#This Row],[Assets]],Table25[[#All],[Number of stocks]])</f>
        <v>0</v>
      </c>
      <c r="Q303" s="36">
        <f ca="1">Table19[[#This Row],[Num of Stocks]]*Table19[[#This Row],[Price]]</f>
        <v>0</v>
      </c>
      <c r="R303" s="36">
        <f ca="1">Table19[[#This Row],[Stock Exposure]]+Table19[[#This Row],[Option Exposure]]</f>
        <v>0</v>
      </c>
      <c r="S303" s="108" t="str">
        <f>IFERROR(Table19[[#This Row],[Num of Stocks]]*Table19[[#This Row],[Ave Entry]],"")</f>
        <v/>
      </c>
      <c r="T303" s="39">
        <f ca="1">Table19[[#This Row],[Combined Exposure]]/$C$8</f>
        <v>0</v>
      </c>
    </row>
    <row r="304" spans="1:20">
      <c r="A304" t="e" vm="364">
        <v>#VALUE!</v>
      </c>
      <c r="B304" s="13" t="str" cm="1">
        <f t="array" aca="1" ref="B304" ca="1">_FV(A304,"Ticker symbol",TRUE)</f>
        <v>OLN</v>
      </c>
      <c r="C304" s="13" t="s">
        <v>122</v>
      </c>
      <c r="D304" s="13" t="s">
        <v>59</v>
      </c>
      <c r="E304" s="19" cm="1">
        <f t="array" aca="1" ref="E304" ca="1">IFERROR(_FV(A304,"Beta"),2)</f>
        <v>1.4195</v>
      </c>
      <c r="F304" s="13" t="str" cm="1">
        <f t="array" aca="1" ref="F304" ca="1">_FV(A304,"Instrument type",TRUE)</f>
        <v>Stock</v>
      </c>
      <c r="G304" s="18" cm="1">
        <f t="array" aca="1" ref="G304" ca="1">_FV(Table19[[#This Row],[Assets]],"Price")</f>
        <v>28.13</v>
      </c>
      <c r="H304" s="36" t="str">
        <f>IFERROR(VLOOKUP(Table19[[#This Row],[Assets]],Table25[#All],15,FALSE),"")</f>
        <v/>
      </c>
      <c r="I304" s="36">
        <f>IFERROR(VLOOKUP(Table19[[#This Row],[Assets]],Table25[#All],16,FALSE),0)</f>
        <v>0</v>
      </c>
      <c r="J304" s="84" t="str">
        <f ca="1">IFERROR((Table19[[#This Row],[Price]]-Table19[[#This Row],[Ave Entry]])/Table19[[#This Row],[Ave Entry]],"")</f>
        <v/>
      </c>
      <c r="K304" s="92">
        <f ca="1">IFERROR((Table19[[#This Row],[Price]]-Table19[[#This Row],[Ave Entry]])*Table19[[#This Row],[Num of Stocks]],0)</f>
        <v>0</v>
      </c>
      <c r="L304" s="38" cm="1">
        <f t="array" aca="1" ref="L304" ca="1">_FV(Table19[[#This Row],[Assets]],"Change (%)",TRUE)</f>
        <v>1.9571999999999999E-2</v>
      </c>
      <c r="M304" s="36">
        <f>SUMIF(Table20[Asset],Table19[[#This Row],[Assets]],Table20[realized_profit])</f>
        <v>0</v>
      </c>
      <c r="N304" s="36">
        <f>SUMIF(Table20[[#All],[Asset]],Table19[[#This Row],[Assets]],Table20[[#All],[delta_exposure]])</f>
        <v>0</v>
      </c>
      <c r="O304" s="38">
        <f ca="1">Table19[[#This Row],[Option Exposure]]/$B$6</f>
        <v>0</v>
      </c>
      <c r="P304" s="51">
        <f>SUMIF(Table25[[#All],[Assets]],Table19[[#This Row],[Assets]],Table25[[#All],[Number of stocks]])</f>
        <v>0</v>
      </c>
      <c r="Q304" s="36">
        <f ca="1">Table19[[#This Row],[Num of Stocks]]*Table19[[#This Row],[Price]]</f>
        <v>0</v>
      </c>
      <c r="R304" s="36">
        <f ca="1">Table19[[#This Row],[Stock Exposure]]+Table19[[#This Row],[Option Exposure]]</f>
        <v>0</v>
      </c>
      <c r="S304" s="108" t="str">
        <f>IFERROR(Table19[[#This Row],[Num of Stocks]]*Table19[[#This Row],[Ave Entry]],"")</f>
        <v/>
      </c>
      <c r="T304" s="39">
        <f ca="1">Table19[[#This Row],[Combined Exposure]]/$C$8</f>
        <v>0</v>
      </c>
    </row>
    <row r="305" spans="1:20">
      <c r="A305" t="e" vm="365">
        <v>#VALUE!</v>
      </c>
      <c r="B305" s="13" t="str" cm="1">
        <f t="array" aca="1" ref="B305" ca="1">_FV(A305,"Ticker symbol",TRUE)</f>
        <v>ANGO</v>
      </c>
      <c r="C305" s="13" t="s">
        <v>53</v>
      </c>
      <c r="D305" s="13" t="s">
        <v>53</v>
      </c>
      <c r="E305" s="19" cm="1">
        <f t="array" aca="1" ref="E305" ca="1">IFERROR(_FV(A305,"Beta"),2)</f>
        <v>0.46910000000000002</v>
      </c>
      <c r="F305" s="13" t="str" cm="1">
        <f t="array" aca="1" ref="F305" ca="1">_FV(A305,"Instrument type",TRUE)</f>
        <v>Stock</v>
      </c>
      <c r="G305" s="18" cm="1">
        <f t="array" aca="1" ref="G305" ca="1">_FV(Table19[[#This Row],[Assets]],"Price")</f>
        <v>11.02</v>
      </c>
      <c r="H305" s="36">
        <f>IFERROR(VLOOKUP(Table19[[#This Row],[Assets]],Table25[#All],15,FALSE),"")</f>
        <v>7.45</v>
      </c>
      <c r="I305" s="36">
        <f>IFERROR(VLOOKUP(Table19[[#This Row],[Assets]],Table25[#All],16,FALSE),0)</f>
        <v>-41.000000000000014</v>
      </c>
      <c r="J305" s="84">
        <f ca="1">IFERROR((Table19[[#This Row],[Price]]-Table19[[#This Row],[Ave Entry]])/Table19[[#This Row],[Ave Entry]],"")</f>
        <v>0.47919463087248315</v>
      </c>
      <c r="K305" s="92">
        <f ca="1">IFERROR((Table19[[#This Row],[Price]]-Table19[[#This Row],[Ave Entry]])*Table19[[#This Row],[Num of Stocks]],0)</f>
        <v>0</v>
      </c>
      <c r="L305" s="38" cm="1">
        <f t="array" aca="1" ref="L305" ca="1">_FV(Table19[[#This Row],[Assets]],"Change (%)",TRUE)</f>
        <v>3.6688999999999999E-2</v>
      </c>
      <c r="M305" s="36">
        <f>SUMIF(Table20[Asset],Table19[[#This Row],[Assets]],Table20[realized_profit])</f>
        <v>0</v>
      </c>
      <c r="N305" s="36">
        <f>SUMIF(Table20[[#All],[Asset]],Table19[[#This Row],[Assets]],Table20[[#All],[delta_exposure]])</f>
        <v>0</v>
      </c>
      <c r="O305" s="38">
        <f ca="1">Table19[[#This Row],[Option Exposure]]/$B$6</f>
        <v>0</v>
      </c>
      <c r="P305" s="51">
        <f>SUMIF(Table25[[#All],[Assets]],Table19[[#This Row],[Assets]],Table25[[#All],[Number of stocks]])</f>
        <v>0</v>
      </c>
      <c r="Q305" s="36">
        <f ca="1">Table19[[#This Row],[Num of Stocks]]*Table19[[#This Row],[Price]]</f>
        <v>0</v>
      </c>
      <c r="R305" s="36">
        <f ca="1">Table19[[#This Row],[Stock Exposure]]+Table19[[#This Row],[Option Exposure]]</f>
        <v>0</v>
      </c>
      <c r="S305" s="108">
        <f>IFERROR(Table19[[#This Row],[Num of Stocks]]*Table19[[#This Row],[Ave Entry]],"")</f>
        <v>0</v>
      </c>
      <c r="T305" s="39">
        <f ca="1">Table19[[#This Row],[Combined Exposure]]/$C$8</f>
        <v>0</v>
      </c>
    </row>
    <row r="306" spans="1:20">
      <c r="A306" t="e" vm="366">
        <v>#VALUE!</v>
      </c>
      <c r="B306" s="13" t="str" cm="1">
        <f t="array" aca="1" ref="B306" ca="1">_FV(A306,"Ticker symbol",TRUE)</f>
        <v>SNV</v>
      </c>
      <c r="C306" s="13" t="s">
        <v>122</v>
      </c>
      <c r="D306" s="13" t="s">
        <v>54</v>
      </c>
      <c r="E306" s="19" cm="1">
        <f t="array" aca="1" ref="E306" ca="1">IFERROR(_FV(A306,"Beta"),2)</f>
        <v>1.2232000000000001</v>
      </c>
      <c r="F306" s="13" t="str" cm="1">
        <f t="array" aca="1" ref="F306" ca="1">_FV(A306,"Instrument type",TRUE)</f>
        <v>Stock</v>
      </c>
      <c r="G306" s="18" cm="1">
        <f t="array" aca="1" ref="G306" ca="1">_FV(Table19[[#This Row],[Assets]],"Price")</f>
        <v>50.03</v>
      </c>
      <c r="H306" s="36">
        <f>IFERROR(VLOOKUP(Table19[[#This Row],[Assets]],Table25[#All],15,FALSE),"")</f>
        <v>38.770000000000003</v>
      </c>
      <c r="I306" s="36">
        <f>IFERROR(VLOOKUP(Table19[[#This Row],[Assets]],Table25[#All],16,FALSE),0)</f>
        <v>66.299999999999955</v>
      </c>
      <c r="J306" s="84">
        <f ca="1">IFERROR((Table19[[#This Row],[Price]]-Table19[[#This Row],[Ave Entry]])/Table19[[#This Row],[Ave Entry]],"")</f>
        <v>0.29043074542171776</v>
      </c>
      <c r="K306" s="92">
        <f ca="1">IFERROR((Table19[[#This Row],[Price]]-Table19[[#This Row],[Ave Entry]])*Table19[[#This Row],[Num of Stocks]],0)</f>
        <v>0</v>
      </c>
      <c r="L306" s="38" cm="1">
        <f t="array" aca="1" ref="L306" ca="1">_FV(Table19[[#This Row],[Assets]],"Change (%)",TRUE)</f>
        <v>0</v>
      </c>
      <c r="M306" s="36">
        <f>SUMIF(Table20[Asset],Table19[[#This Row],[Assets]],Table20[realized_profit])</f>
        <v>0</v>
      </c>
      <c r="N306" s="36">
        <f>SUMIF(Table20[[#All],[Asset]],Table19[[#This Row],[Assets]],Table20[[#All],[delta_exposure]])</f>
        <v>0</v>
      </c>
      <c r="O306" s="38">
        <f ca="1">Table19[[#This Row],[Option Exposure]]/$B$6</f>
        <v>0</v>
      </c>
      <c r="P306" s="51">
        <f>SUMIF(Table25[[#All],[Assets]],Table19[[#This Row],[Assets]],Table25[[#All],[Number of stocks]])</f>
        <v>0</v>
      </c>
      <c r="Q306" s="36">
        <f ca="1">Table19[[#This Row],[Num of Stocks]]*Table19[[#This Row],[Price]]</f>
        <v>0</v>
      </c>
      <c r="R306" s="36">
        <f ca="1">Table19[[#This Row],[Stock Exposure]]+Table19[[#This Row],[Option Exposure]]</f>
        <v>0</v>
      </c>
      <c r="S306" s="108">
        <f>IFERROR(Table19[[#This Row],[Num of Stocks]]*Table19[[#This Row],[Ave Entry]],"")</f>
        <v>0</v>
      </c>
      <c r="T306" s="39">
        <f ca="1">Table19[[#This Row],[Combined Exposure]]/$C$8</f>
        <v>0</v>
      </c>
    </row>
    <row r="307" spans="1:20">
      <c r="A307" t="e" vm="367">
        <v>#VALUE!</v>
      </c>
      <c r="B307" s="13" t="str" cm="1">
        <f t="array" aca="1" ref="B307" ca="1">_FV(A307,"Ticker symbol",TRUE)</f>
        <v>OKTA</v>
      </c>
      <c r="C307" s="13" t="s">
        <v>29</v>
      </c>
      <c r="D307" s="13" t="s">
        <v>121</v>
      </c>
      <c r="E307" s="19" cm="1">
        <f t="array" aca="1" ref="E307" ca="1">IFERROR(_FV(A307,"Beta"),2)</f>
        <v>0.78120000000000001</v>
      </c>
      <c r="F307" s="13" t="str" cm="1">
        <f t="array" aca="1" ref="F307" ca="1">_FV(A307,"Instrument type",TRUE)</f>
        <v>Stock</v>
      </c>
      <c r="G307" s="18" cm="1">
        <f t="array" aca="1" ref="G307" ca="1">_FV(Table19[[#This Row],[Assets]],"Price")</f>
        <v>78.45</v>
      </c>
      <c r="H307" s="36">
        <f>IFERROR(VLOOKUP(Table19[[#This Row],[Assets]],Table25[#All],15,FALSE),"")</f>
        <v>88.87</v>
      </c>
      <c r="I307" s="36">
        <f>IFERROR(VLOOKUP(Table19[[#This Row],[Assets]],Table25[#All],16,FALSE),0)</f>
        <v>-9.5500000000000114</v>
      </c>
      <c r="J307" s="84">
        <f ca="1">IFERROR((Table19[[#This Row],[Price]]-Table19[[#This Row],[Ave Entry]])/Table19[[#This Row],[Ave Entry]],"")</f>
        <v>-0.11724991560706652</v>
      </c>
      <c r="K307" s="92">
        <f ca="1">IFERROR((Table19[[#This Row],[Price]]-Table19[[#This Row],[Ave Entry]])*Table19[[#This Row],[Num of Stocks]],0)</f>
        <v>0</v>
      </c>
      <c r="L307" s="38" cm="1">
        <f t="array" aca="1" ref="L307" ca="1">_FV(Table19[[#This Row],[Assets]],"Change (%)",TRUE)</f>
        <v>2.2017000000000002E-2</v>
      </c>
      <c r="M307" s="36">
        <f>SUMIF(Table20[Asset],Table19[[#This Row],[Assets]],Table20[realized_profit])</f>
        <v>-349.00000000000011</v>
      </c>
      <c r="N307" s="36">
        <f ca="1">SUMIF(Table20[[#All],[Asset]],Table19[[#This Row],[Assets]],Table20[[#All],[delta_exposure]])</f>
        <v>0</v>
      </c>
      <c r="O307" s="38">
        <f ca="1">Table19[[#This Row],[Option Exposure]]/$B$6</f>
        <v>0</v>
      </c>
      <c r="P307" s="51">
        <f>SUMIF(Table25[[#All],[Assets]],Table19[[#This Row],[Assets]],Table25[[#All],[Number of stocks]])</f>
        <v>0</v>
      </c>
      <c r="Q307" s="36">
        <f ca="1">Table19[[#This Row],[Num of Stocks]]*Table19[[#This Row],[Price]]</f>
        <v>0</v>
      </c>
      <c r="R307" s="36">
        <f ca="1">Table19[[#This Row],[Stock Exposure]]+Table19[[#This Row],[Option Exposure]]</f>
        <v>0</v>
      </c>
      <c r="S307" s="108">
        <f>IFERROR(Table19[[#This Row],[Num of Stocks]]*Table19[[#This Row],[Ave Entry]],"")</f>
        <v>0</v>
      </c>
      <c r="T307" s="39">
        <f ca="1">Table19[[#This Row],[Combined Exposure]]/$C$8</f>
        <v>0</v>
      </c>
    </row>
    <row r="308" spans="1:20">
      <c r="A308" t="e" vm="368">
        <v>#VALUE!</v>
      </c>
      <c r="B308" s="13" t="str" cm="1">
        <f t="array" aca="1" ref="B308" ca="1">_FV(A308,"Ticker symbol",TRUE)</f>
        <v>BKD</v>
      </c>
      <c r="C308" s="13" t="s">
        <v>122</v>
      </c>
      <c r="D308" s="13" t="s">
        <v>53</v>
      </c>
      <c r="E308" s="19" cm="1">
        <f t="array" aca="1" ref="E308" ca="1">IFERROR(_FV(A308,"Beta"),2)</f>
        <v>0.71950000000000003</v>
      </c>
      <c r="F308" s="13" t="str" cm="1">
        <f t="array" aca="1" ref="F308" ca="1">_FV(A308,"Instrument type",TRUE)</f>
        <v>Stock</v>
      </c>
      <c r="G308" s="18" cm="1">
        <f t="array" aca="1" ref="G308" ca="1">_FV(Table19[[#This Row],[Assets]],"Price")</f>
        <v>14.01</v>
      </c>
      <c r="H308" s="36">
        <f>IFERROR(VLOOKUP(Table19[[#This Row],[Assets]],Table25[#All],15,FALSE),"")</f>
        <v>7.31</v>
      </c>
      <c r="I308" s="36">
        <f>IFERROR(VLOOKUP(Table19[[#This Row],[Assets]],Table25[#All],16,FALSE),0)</f>
        <v>-9.1999999999999815</v>
      </c>
      <c r="J308" s="84">
        <f ca="1">IFERROR((Table19[[#This Row],[Price]]-Table19[[#This Row],[Ave Entry]])/Table19[[#This Row],[Ave Entry]],"")</f>
        <v>0.9165526675786595</v>
      </c>
      <c r="K308" s="92">
        <f ca="1">IFERROR((Table19[[#This Row],[Price]]-Table19[[#This Row],[Ave Entry]])*Table19[[#This Row],[Num of Stocks]],0)</f>
        <v>0</v>
      </c>
      <c r="L308" s="38" cm="1">
        <f t="array" aca="1" ref="L308" ca="1">_FV(Table19[[#This Row],[Assets]],"Change (%)",TRUE)</f>
        <v>4.3010000000000001E-3</v>
      </c>
      <c r="M308" s="36">
        <f>SUMIF(Table20[Asset],Table19[[#This Row],[Assets]],Table20[realized_profit])</f>
        <v>0</v>
      </c>
      <c r="N308" s="36">
        <f>SUMIF(Table20[[#All],[Asset]],Table19[[#This Row],[Assets]],Table20[[#All],[delta_exposure]])</f>
        <v>0</v>
      </c>
      <c r="O308" s="38">
        <f ca="1">Table19[[#This Row],[Option Exposure]]/$B$6</f>
        <v>0</v>
      </c>
      <c r="P308" s="51">
        <f>SUMIF(Table25[[#All],[Assets]],Table19[[#This Row],[Assets]],Table25[[#All],[Number of stocks]])</f>
        <v>0</v>
      </c>
      <c r="Q308" s="36">
        <f ca="1">Table19[[#This Row],[Num of Stocks]]*Table19[[#This Row],[Price]]</f>
        <v>0</v>
      </c>
      <c r="R308" s="36">
        <f ca="1">Table19[[#This Row],[Stock Exposure]]+Table19[[#This Row],[Option Exposure]]</f>
        <v>0</v>
      </c>
      <c r="S308" s="108">
        <f>IFERROR(Table19[[#This Row],[Num of Stocks]]*Table19[[#This Row],[Ave Entry]],"")</f>
        <v>0</v>
      </c>
      <c r="T308" s="39">
        <f ca="1">Table19[[#This Row],[Combined Exposure]]/$C$8</f>
        <v>0</v>
      </c>
    </row>
    <row r="309" spans="1:20">
      <c r="A309" t="e" vm="368">
        <v>#VALUE!</v>
      </c>
      <c r="B309" s="13" t="str" cm="1">
        <f t="array" aca="1" ref="B309" ca="1">_FV(A309,"Ticker symbol",TRUE)</f>
        <v>BKD</v>
      </c>
      <c r="C309" s="13" t="s">
        <v>326</v>
      </c>
      <c r="D309" s="13" t="s">
        <v>53</v>
      </c>
      <c r="E309" s="19" cm="1">
        <f t="array" aca="1" ref="E309" ca="1">IFERROR(_FV(A309,"Beta"),2)</f>
        <v>0.71950000000000003</v>
      </c>
      <c r="F309" s="13" t="str" cm="1">
        <f t="array" aca="1" ref="F309" ca="1">_FV(A309,"Instrument type",TRUE)</f>
        <v>Stock</v>
      </c>
      <c r="G309" s="18" cm="1">
        <f t="array" aca="1" ref="G309" ca="1">_FV(Table19[[#This Row],[Assets]],"Price")</f>
        <v>14.01</v>
      </c>
      <c r="H309" s="36">
        <f>IFERROR(VLOOKUP(Table19[[#This Row],[Assets]],Table25[#All],15,FALSE),"")</f>
        <v>7.31</v>
      </c>
      <c r="I309" s="36">
        <f>IFERROR(VLOOKUP(Table19[[#This Row],[Assets]],Table25[#All],16,FALSE),0)</f>
        <v>-9.1999999999999815</v>
      </c>
      <c r="J309" s="84">
        <f ca="1">IFERROR((Table19[[#This Row],[Price]]-Table19[[#This Row],[Ave Entry]])/Table19[[#This Row],[Ave Entry]],"")</f>
        <v>0.9165526675786595</v>
      </c>
      <c r="K309" s="92">
        <f ca="1">IFERROR((Table19[[#This Row],[Price]]-Table19[[#This Row],[Ave Entry]])*Table19[[#This Row],[Num of Stocks]],0)</f>
        <v>0</v>
      </c>
      <c r="L309" s="38" cm="1">
        <f t="array" aca="1" ref="L309" ca="1">_FV(Table19[[#This Row],[Assets]],"Change (%)",TRUE)</f>
        <v>4.3010000000000001E-3</v>
      </c>
      <c r="M309" s="36">
        <f>SUMIF(Table20[Asset],Table19[[#This Row],[Assets]],Table20[realized_profit])</f>
        <v>0</v>
      </c>
      <c r="N309" s="36">
        <f>SUMIF(Table20[[#All],[Asset]],Table19[[#This Row],[Assets]],Table20[[#All],[delta_exposure]])</f>
        <v>0</v>
      </c>
      <c r="O309" s="38">
        <f ca="1">Table19[[#This Row],[Option Exposure]]/$B$6</f>
        <v>0</v>
      </c>
      <c r="P309" s="51">
        <f>SUMIF(Table25[[#All],[Assets]],Table19[[#This Row],[Assets]],Table25[[#All],[Number of stocks]])</f>
        <v>0</v>
      </c>
      <c r="Q309" s="36">
        <f ca="1">Table19[[#This Row],[Num of Stocks]]*Table19[[#This Row],[Price]]</f>
        <v>0</v>
      </c>
      <c r="R309" s="36">
        <f ca="1">Table19[[#This Row],[Stock Exposure]]+Table19[[#This Row],[Option Exposure]]</f>
        <v>0</v>
      </c>
      <c r="S309" s="108">
        <f>IFERROR(Table19[[#This Row],[Num of Stocks]]*Table19[[#This Row],[Ave Entry]],"")</f>
        <v>0</v>
      </c>
      <c r="T309" s="39">
        <f ca="1">Table19[[#This Row],[Combined Exposure]]/$C$8</f>
        <v>0</v>
      </c>
    </row>
    <row r="310" spans="1:20">
      <c r="A310" t="e" vm="369">
        <v>#VALUE!</v>
      </c>
      <c r="B310" s="13" t="str" cm="1">
        <f t="array" aca="1" ref="B310" ca="1">_FV(A310,"Ticker symbol",TRUE)</f>
        <v>ARKF</v>
      </c>
      <c r="C310" s="13" t="s">
        <v>54</v>
      </c>
      <c r="D310" s="13" t="s">
        <v>86</v>
      </c>
      <c r="E310" s="19" cm="1">
        <f t="array" aca="1" ref="E310" ca="1">IFERROR(_FV(A310,"Beta"),2)</f>
        <v>1.9757</v>
      </c>
      <c r="F310" s="13" t="str" cm="1">
        <f t="array" aca="1" ref="F310" ca="1">_FV(A310,"Instrument type",TRUE)</f>
        <v>ETF</v>
      </c>
      <c r="G310" s="18" cm="1">
        <f t="array" aca="1" ref="G310" ca="1">_FV(Table19[[#This Row],[Assets]],"Price")</f>
        <v>39.5122</v>
      </c>
      <c r="H310" s="36">
        <f>IFERROR(VLOOKUP(Table19[[#This Row],[Assets]],Table25[#All],15,FALSE),"")</f>
        <v>29.92</v>
      </c>
      <c r="I310" s="36">
        <f>IFERROR(VLOOKUP(Table19[[#This Row],[Assets]],Table25[#All],16,FALSE),0)</f>
        <v>-2.8000000000000114</v>
      </c>
      <c r="J310" s="84">
        <f ca="1">IFERROR((Table19[[#This Row],[Price]]-Table19[[#This Row],[Ave Entry]])/Table19[[#This Row],[Ave Entry]],"")</f>
        <v>0.32059491978609617</v>
      </c>
      <c r="K310" s="92">
        <f ca="1">IFERROR((Table19[[#This Row],[Price]]-Table19[[#This Row],[Ave Entry]])*Table19[[#This Row],[Num of Stocks]],0)</f>
        <v>0</v>
      </c>
      <c r="L310" s="38" cm="1">
        <f t="array" aca="1" ref="L310" ca="1">_FV(Table19[[#This Row],[Assets]],"Change (%)",TRUE)</f>
        <v>2.496E-2</v>
      </c>
      <c r="M310" s="36">
        <f>SUMIF(Table20[Asset],Table19[[#This Row],[Assets]],Table20[realized_profit])</f>
        <v>0</v>
      </c>
      <c r="N310" s="36">
        <f>SUMIF(Table20[[#All],[Asset]],Table19[[#This Row],[Assets]],Table20[[#All],[delta_exposure]])</f>
        <v>0</v>
      </c>
      <c r="O310" s="98">
        <f ca="1">Table19[[#This Row],[Option Exposure]]/$B$6</f>
        <v>0</v>
      </c>
      <c r="P310" s="51">
        <f>SUMIF(Table25[[#All],[Assets]],Table19[[#This Row],[Assets]],Table25[[#All],[Number of stocks]])</f>
        <v>0</v>
      </c>
      <c r="Q310" s="36">
        <f ca="1">Table19[[#This Row],[Num of Stocks]]*Table19[[#This Row],[Price]]</f>
        <v>0</v>
      </c>
      <c r="R310" s="36">
        <f ca="1">Table19[[#This Row],[Stock Exposure]]+Table19[[#This Row],[Option Exposure]]</f>
        <v>0</v>
      </c>
      <c r="S310" s="108">
        <f>IFERROR(Table19[[#This Row],[Num of Stocks]]*Table19[[#This Row],[Ave Entry]],"")</f>
        <v>0</v>
      </c>
      <c r="T310" s="39">
        <f ca="1">Table19[[#This Row],[Combined Exposure]]/$C$8</f>
        <v>0</v>
      </c>
    </row>
    <row r="311" spans="1:20">
      <c r="A311" t="e" vm="141">
        <v>#VALUE!</v>
      </c>
      <c r="B311" s="13" t="str" cm="1">
        <f t="array" aca="1" ref="B311" ca="1">_FV(A311,"Ticker symbol",TRUE)</f>
        <v>WDAY</v>
      </c>
      <c r="C311" s="13" t="s">
        <v>29</v>
      </c>
      <c r="D311" s="13" t="s">
        <v>121</v>
      </c>
      <c r="E311" s="19" cm="1">
        <f t="array" aca="1" ref="E311" ca="1">IFERROR(_FV(A311,"Beta"),2)</f>
        <v>1.1478999999999999</v>
      </c>
      <c r="F311" s="13" t="str" cm="1">
        <f t="array" aca="1" ref="F311" ca="1">_FV(A311,"Instrument type",TRUE)</f>
        <v>Stock</v>
      </c>
      <c r="G311" s="18" cm="1">
        <f t="array" aca="1" ref="G311" ca="1">_FV(Table19[[#This Row],[Assets]],"Price")</f>
        <v>129.41</v>
      </c>
      <c r="H311" s="36" t="str">
        <f>IFERROR(VLOOKUP(Table19[[#This Row],[Assets]],Table25[#All],15,FALSE),"")</f>
        <v/>
      </c>
      <c r="I311" s="36">
        <f>IFERROR(VLOOKUP(Table19[[#This Row],[Assets]],Table25[#All],16,FALSE),0)</f>
        <v>0</v>
      </c>
      <c r="J311" s="84" t="str">
        <f ca="1">IFERROR((Table19[[#This Row],[Price]]-Table19[[#This Row],[Ave Entry]])/Table19[[#This Row],[Ave Entry]],"")</f>
        <v/>
      </c>
      <c r="K311" s="92">
        <f ca="1">IFERROR((Table19[[#This Row],[Price]]-Table19[[#This Row],[Ave Entry]])*Table19[[#This Row],[Num of Stocks]],0)</f>
        <v>0</v>
      </c>
      <c r="L311" s="38" cm="1">
        <f t="array" aca="1" ref="L311" ca="1">_FV(Table19[[#This Row],[Assets]],"Change (%)",TRUE)</f>
        <v>9.2810000000000006E-4</v>
      </c>
      <c r="M311" s="36">
        <f>SUMIF(Table20[Asset],Table19[[#This Row],[Assets]],Table20[realized_profit])</f>
        <v>0</v>
      </c>
      <c r="N311" s="36">
        <f>SUMIF(Table20[[#All],[Asset]],Table19[[#This Row],[Assets]],Table20[[#All],[delta_exposure]])</f>
        <v>0</v>
      </c>
      <c r="O311" s="38">
        <f ca="1">Table19[[#This Row],[Option Exposure]]/$B$6</f>
        <v>0</v>
      </c>
      <c r="P311" s="51">
        <f>SUMIF(Table25[[#All],[Assets]],Table19[[#This Row],[Assets]],Table25[[#All],[Number of stocks]])</f>
        <v>0</v>
      </c>
      <c r="Q311" s="36">
        <f ca="1">Table19[[#This Row],[Num of Stocks]]*Table19[[#This Row],[Price]]</f>
        <v>0</v>
      </c>
      <c r="R311" s="36">
        <f ca="1">Table19[[#This Row],[Stock Exposure]]+Table19[[#This Row],[Option Exposure]]</f>
        <v>0</v>
      </c>
      <c r="S311" s="108" t="str">
        <f>IFERROR(Table19[[#This Row],[Num of Stocks]]*Table19[[#This Row],[Ave Entry]],"")</f>
        <v/>
      </c>
      <c r="T311" s="39">
        <f ca="1">Table19[[#This Row],[Combined Exposure]]/$C$8</f>
        <v>0</v>
      </c>
    </row>
    <row r="312" spans="1:20">
      <c r="A312" t="e" vm="370">
        <v>#VALUE!</v>
      </c>
      <c r="B312" s="13" t="str" cm="1">
        <f t="array" aca="1" ref="B312" ca="1">_FV(A312,"Ticker symbol",TRUE)</f>
        <v>MBLY</v>
      </c>
      <c r="C312" s="13" t="s">
        <v>84</v>
      </c>
      <c r="D312" s="13" t="s">
        <v>120</v>
      </c>
      <c r="E312" s="19" cm="1">
        <f t="array" aca="1" ref="E312" ca="1">IFERROR(_FV(A312,"Beta"),2)</f>
        <v>0.7006</v>
      </c>
      <c r="F312" s="13" t="str" cm="1">
        <f t="array" aca="1" ref="F312" ca="1">_FV(A312,"Instrument type",TRUE)</f>
        <v>Stock</v>
      </c>
      <c r="G312" s="18" cm="1">
        <f t="array" aca="1" ref="G312" ca="1">_FV(Table19[[#This Row],[Assets]],"Price")</f>
        <v>6.8550000000000004</v>
      </c>
      <c r="H312" s="36" t="str">
        <f>IFERROR(VLOOKUP(Table19[[#This Row],[Assets]],Table25[#All],15,FALSE),"")</f>
        <v/>
      </c>
      <c r="I312" s="36">
        <f>IFERROR(VLOOKUP(Table19[[#This Row],[Assets]],Table25[#All],16,FALSE),0)</f>
        <v>0</v>
      </c>
      <c r="J312" s="84" t="str">
        <f ca="1">IFERROR((Table19[[#This Row],[Price]]-Table19[[#This Row],[Ave Entry]])/Table19[[#This Row],[Ave Entry]],"")</f>
        <v/>
      </c>
      <c r="K312" s="92">
        <f ca="1">IFERROR((Table19[[#This Row],[Price]]-Table19[[#This Row],[Ave Entry]])*Table19[[#This Row],[Num of Stocks]],0)</f>
        <v>0</v>
      </c>
      <c r="L312" s="38" cm="1">
        <f t="array" aca="1" ref="L312" ca="1">_FV(Table19[[#This Row],[Assets]],"Change (%)",TRUE)</f>
        <v>-3.7219000000000002E-2</v>
      </c>
      <c r="M312" s="36">
        <f>SUMIF(Table20[Asset],Table19[[#This Row],[Assets]],Table20[realized_profit])</f>
        <v>0</v>
      </c>
      <c r="N312" s="36">
        <f>SUMIF(Table20[[#All],[Asset]],Table19[[#This Row],[Assets]],Table20[[#All],[delta_exposure]])</f>
        <v>0</v>
      </c>
      <c r="O312" s="38">
        <f ca="1">Table19[[#This Row],[Option Exposure]]/$B$6</f>
        <v>0</v>
      </c>
      <c r="P312" s="51">
        <f>SUMIF(Table25[[#All],[Assets]],Table19[[#This Row],[Assets]],Table25[[#All],[Number of stocks]])</f>
        <v>0</v>
      </c>
      <c r="Q312" s="36">
        <f ca="1">Table19[[#This Row],[Num of Stocks]]*Table19[[#This Row],[Price]]</f>
        <v>0</v>
      </c>
      <c r="R312" s="36">
        <f ca="1">Table19[[#This Row],[Stock Exposure]]+Table19[[#This Row],[Option Exposure]]</f>
        <v>0</v>
      </c>
      <c r="S312" s="108" t="str">
        <f>IFERROR(Table19[[#This Row],[Num of Stocks]]*Table19[[#This Row],[Ave Entry]],"")</f>
        <v/>
      </c>
      <c r="T312" s="39">
        <f ca="1">Table19[[#This Row],[Combined Exposure]]/$C$8</f>
        <v>0</v>
      </c>
    </row>
    <row r="313" spans="1:20">
      <c r="A313" t="e" vm="371">
        <v>#VALUE!</v>
      </c>
      <c r="B313" s="13" t="str" cm="1">
        <f t="array" aca="1" ref="B313" ca="1">_FV(A313,"Ticker symbol",TRUE)</f>
        <v>USPH</v>
      </c>
      <c r="C313" s="13" t="s">
        <v>326</v>
      </c>
      <c r="D313" s="13" t="s">
        <v>53</v>
      </c>
      <c r="E313" s="19" cm="1">
        <f t="array" aca="1" ref="E313" ca="1">IFERROR(_FV(A313,"Beta"),2)</f>
        <v>1.3528</v>
      </c>
      <c r="F313" s="13" t="str" cm="1">
        <f t="array" aca="1" ref="F313" ca="1">_FV(A313,"Instrument type",TRUE)</f>
        <v>Stock</v>
      </c>
      <c r="G313" s="18" cm="1">
        <f t="array" aca="1" ref="G313" ca="1">_FV(Table19[[#This Row],[Assets]],"Price")</f>
        <v>75.209999999999994</v>
      </c>
      <c r="H313" s="36" t="str">
        <f>IFERROR(VLOOKUP(Table19[[#This Row],[Assets]],Table25[#All],15,FALSE),"")</f>
        <v/>
      </c>
      <c r="I313" s="36">
        <f>IFERROR(VLOOKUP(Table19[[#This Row],[Assets]],Table25[#All],16,FALSE),0)</f>
        <v>0</v>
      </c>
      <c r="J313" s="84" t="str">
        <f ca="1">IFERROR((Table19[[#This Row],[Price]]-Table19[[#This Row],[Ave Entry]])/Table19[[#This Row],[Ave Entry]],"")</f>
        <v/>
      </c>
      <c r="K313" s="92">
        <f ca="1">IFERROR((Table19[[#This Row],[Price]]-Table19[[#This Row],[Ave Entry]])*Table19[[#This Row],[Num of Stocks]],0)</f>
        <v>0</v>
      </c>
      <c r="L313" s="38" cm="1">
        <f t="array" aca="1" ref="L313" ca="1">_FV(Table19[[#This Row],[Assets]],"Change (%)",TRUE)</f>
        <v>6.8269999999999997E-3</v>
      </c>
      <c r="M313" s="36">
        <f>SUMIF(Table20[Asset],Table19[[#This Row],[Assets]],Table20[realized_profit])</f>
        <v>0</v>
      </c>
      <c r="N313" s="36">
        <f>SUMIF(Table20[[#All],[Asset]],Table19[[#This Row],[Assets]],Table20[[#All],[delta_exposure]])</f>
        <v>0</v>
      </c>
      <c r="O313" s="38">
        <f ca="1">Table19[[#This Row],[Option Exposure]]/$B$6</f>
        <v>0</v>
      </c>
      <c r="P313" s="51">
        <f>SUMIF(Table25[[#All],[Assets]],Table19[[#This Row],[Assets]],Table25[[#All],[Number of stocks]])</f>
        <v>0</v>
      </c>
      <c r="Q313" s="36">
        <f ca="1">Table19[[#This Row],[Num of Stocks]]*Table19[[#This Row],[Price]]</f>
        <v>0</v>
      </c>
      <c r="R313" s="36">
        <f ca="1">Table19[[#This Row],[Stock Exposure]]+Table19[[#This Row],[Option Exposure]]</f>
        <v>0</v>
      </c>
      <c r="S313" s="108" t="str">
        <f>IFERROR(Table19[[#This Row],[Num of Stocks]]*Table19[[#This Row],[Ave Entry]],"")</f>
        <v/>
      </c>
      <c r="T313" s="39">
        <f ca="1">Table19[[#This Row],[Combined Exposure]]/$C$8</f>
        <v>0</v>
      </c>
    </row>
    <row r="314" spans="1:20">
      <c r="A314" t="e" vm="372">
        <v>#VALUE!</v>
      </c>
      <c r="B314" s="13" t="str" cm="1">
        <f t="array" aca="1" ref="B314" ca="1">_FV(A314,"Ticker symbol",TRUE)</f>
        <v>AMKR</v>
      </c>
      <c r="C314" s="13" t="s">
        <v>83</v>
      </c>
      <c r="D314" s="13" t="s">
        <v>84</v>
      </c>
      <c r="E314" s="19" cm="1">
        <f t="array" aca="1" ref="E314" ca="1">IFERROR(_FV(A314,"Beta"),2)</f>
        <v>1.8975</v>
      </c>
      <c r="F314" s="13" t="str" cm="1">
        <f t="array" aca="1" ref="F314" ca="1">_FV(A314,"Instrument type",TRUE)</f>
        <v>Stock</v>
      </c>
      <c r="G314" s="18" cm="1">
        <f t="array" aca="1" ref="G314" ca="1">_FV(Table19[[#This Row],[Assets]],"Price")</f>
        <v>51.05</v>
      </c>
      <c r="H314" s="36">
        <f>IFERROR(VLOOKUP(Table19[[#This Row],[Assets]],Table25[#All],15,FALSE),"")</f>
        <v>48.072500000000005</v>
      </c>
      <c r="I314" s="36">
        <f>IFERROR(VLOOKUP(Table19[[#This Row],[Assets]],Table25[#All],16,FALSE),0)</f>
        <v>-138.36250000000004</v>
      </c>
      <c r="J314" s="84">
        <f ca="1">IFERROR((Table19[[#This Row],[Price]]-Table19[[#This Row],[Ave Entry]])/Table19[[#This Row],[Ave Entry]],"")</f>
        <v>6.1937698268240506E-2</v>
      </c>
      <c r="K314" s="92">
        <f ca="1">IFERROR((Table19[[#This Row],[Price]]-Table19[[#This Row],[Ave Entry]])*Table19[[#This Row],[Num of Stocks]],0)</f>
        <v>44.662499999999881</v>
      </c>
      <c r="L314" s="38" cm="1">
        <f t="array" aca="1" ref="L314" ca="1">_FV(Table19[[#This Row],[Assets]],"Change (%)",TRUE)</f>
        <v>1.5717999999999999E-2</v>
      </c>
      <c r="M314" s="36">
        <f>SUMIF(Table20[Asset],Table19[[#This Row],[Assets]],Table20[realized_profit])</f>
        <v>0</v>
      </c>
      <c r="N314" s="36">
        <f>SUMIF(Table20[[#All],[Asset]],Table19[[#This Row],[Assets]],Table20[[#All],[delta_exposure]])</f>
        <v>0</v>
      </c>
      <c r="O314" s="98">
        <f ca="1">Table19[[#This Row],[Option Exposure]]/$B$6</f>
        <v>0</v>
      </c>
      <c r="P314" s="51">
        <f>SUMIF(Table25[[#All],[Assets]],Table19[[#This Row],[Assets]],Table25[[#All],[Number of stocks]])</f>
        <v>15</v>
      </c>
      <c r="Q314" s="36">
        <f ca="1">Table19[[#This Row],[Num of Stocks]]*Table19[[#This Row],[Price]]</f>
        <v>765.75</v>
      </c>
      <c r="R314" s="36">
        <f ca="1">Table19[[#This Row],[Stock Exposure]]+Table19[[#This Row],[Option Exposure]]</f>
        <v>765.75</v>
      </c>
      <c r="S314" s="108">
        <f>IFERROR(Table19[[#This Row],[Num of Stocks]]*Table19[[#This Row],[Ave Entry]],"")</f>
        <v>721.08750000000009</v>
      </c>
      <c r="T314" s="39">
        <f ca="1">Table19[[#This Row],[Combined Exposure]]/$C$8</f>
        <v>4.826599082296869E-3</v>
      </c>
    </row>
    <row r="315" spans="1:20">
      <c r="A315" t="e" vm="33">
        <v>#VALUE!</v>
      </c>
      <c r="B315" s="13" t="str" cm="1">
        <f t="array" aca="1" ref="B315" ca="1">_FV(A315,"Ticker symbol",TRUE)</f>
        <v>CRDO</v>
      </c>
      <c r="C315" s="13" t="s">
        <v>83</v>
      </c>
      <c r="D315" s="13" t="s">
        <v>84</v>
      </c>
      <c r="E315" s="19" cm="1">
        <f t="array" aca="1" ref="E315" ca="1">IFERROR(_FV(A315,"Beta"),2)</f>
        <v>2.6899000000000002</v>
      </c>
      <c r="F315" s="13" t="str" cm="1">
        <f t="array" aca="1" ref="F315" ca="1">_FV(A315,"Instrument type",TRUE)</f>
        <v>Stock</v>
      </c>
      <c r="G315" s="18" cm="1">
        <f t="array" aca="1" ref="G315" ca="1">_FV(Table19[[#This Row],[Assets]],"Price")</f>
        <v>103.09</v>
      </c>
      <c r="H315" s="36">
        <f>IFERROR(VLOOKUP(Table19[[#This Row],[Assets]],Table25[#All],15,FALSE),"")</f>
        <v>27.941111111111109</v>
      </c>
      <c r="I315" s="36">
        <f>IFERROR(VLOOKUP(Table19[[#This Row],[Assets]],Table25[#All],16,FALSE),0)</f>
        <v>1792.0500000000011</v>
      </c>
      <c r="J315" s="84">
        <f ca="1">IFERROR((Table19[[#This Row],[Price]]-Table19[[#This Row],[Ave Entry]])/Table19[[#This Row],[Ave Entry]],"")</f>
        <v>2.6895454726209889</v>
      </c>
      <c r="K315" s="92">
        <f ca="1">IFERROR((Table19[[#This Row],[Price]]-Table19[[#This Row],[Ave Entry]])*Table19[[#This Row],[Num of Stocks]],0)</f>
        <v>0</v>
      </c>
      <c r="L315" s="38" cm="1">
        <f t="array" aca="1" ref="L315" ca="1">_FV(Table19[[#This Row],[Assets]],"Change (%)",TRUE)</f>
        <v>2.7816999999999998E-2</v>
      </c>
      <c r="M315" s="36">
        <f>SUMIF(Table20[Asset],Table19[[#This Row],[Assets]],Table20[realized_profit])</f>
        <v>306.99999999999994</v>
      </c>
      <c r="N315" s="36">
        <f ca="1">SUMIF(Table20[[#All],[Asset]],Table19[[#This Row],[Assets]],Table20[[#All],[delta_exposure]])</f>
        <v>0</v>
      </c>
      <c r="O315" s="98">
        <f ca="1">Table19[[#This Row],[Option Exposure]]/$B$6</f>
        <v>0</v>
      </c>
      <c r="P315" s="51">
        <f>SUMIF(Table25[[#All],[Assets]],Table19[[#This Row],[Assets]],Table25[[#All],[Number of stocks]])</f>
        <v>0</v>
      </c>
      <c r="Q315" s="36">
        <f ca="1">Table19[[#This Row],[Num of Stocks]]*Table19[[#This Row],[Price]]</f>
        <v>0</v>
      </c>
      <c r="R315" s="36">
        <f ca="1">Table19[[#This Row],[Stock Exposure]]+Table19[[#This Row],[Option Exposure]]</f>
        <v>0</v>
      </c>
      <c r="S315" s="108">
        <f>IFERROR(Table19[[#This Row],[Num of Stocks]]*Table19[[#This Row],[Ave Entry]],"")</f>
        <v>0</v>
      </c>
      <c r="T315" s="39">
        <f ca="1">Table19[[#This Row],[Combined Exposure]]/$C$8</f>
        <v>0</v>
      </c>
    </row>
    <row r="316" spans="1:20">
      <c r="A316" t="e" vm="373">
        <v>#VALUE!</v>
      </c>
      <c r="B316" s="13" t="str" cm="1">
        <f t="array" aca="1" ref="B316" ca="1">_FV(A316,"Ticker symbol",TRUE)</f>
        <v>XYL</v>
      </c>
      <c r="C316" s="13" t="s">
        <v>134</v>
      </c>
      <c r="D316" s="13" t="s">
        <v>56</v>
      </c>
      <c r="E316" s="19" cm="1">
        <f t="array" aca="1" ref="E316" ca="1">IFERROR(_FV(A316,"Beta"),2)</f>
        <v>1.173</v>
      </c>
      <c r="F316" s="13" t="str" cm="1">
        <f t="array" aca="1" ref="F316" ca="1">_FV(A316,"Instrument type",TRUE)</f>
        <v>Stock</v>
      </c>
      <c r="G316" s="18" cm="1">
        <f t="array" aca="1" ref="G316" ca="1">_FV(Table19[[#This Row],[Assets]],"Price")</f>
        <v>121.26</v>
      </c>
      <c r="H316" s="36">
        <f>IFERROR(VLOOKUP(Table19[[#This Row],[Assets]],Table25[#All],15,FALSE),"")</f>
        <v>131.83000000000001</v>
      </c>
      <c r="I316" s="36">
        <f>IFERROR(VLOOKUP(Table19[[#This Row],[Assets]],Table25[#All],16,FALSE),0)</f>
        <v>4.789999999999992</v>
      </c>
      <c r="J316" s="84">
        <f ca="1">IFERROR((Table19[[#This Row],[Price]]-Table19[[#This Row],[Ave Entry]])/Table19[[#This Row],[Ave Entry]],"")</f>
        <v>-8.0179018432830207E-2</v>
      </c>
      <c r="K316" s="92">
        <f ca="1">IFERROR((Table19[[#This Row],[Price]]-Table19[[#This Row],[Ave Entry]])*Table19[[#This Row],[Num of Stocks]],0)</f>
        <v>0</v>
      </c>
      <c r="L316" s="38" cm="1">
        <f t="array" aca="1" ref="L316" ca="1">_FV(Table19[[#This Row],[Assets]],"Change (%)",TRUE)</f>
        <v>6.7250000000000001E-3</v>
      </c>
      <c r="M316" s="36">
        <f>SUMIF(Table20[Asset],Table19[[#This Row],[Assets]],Table20[realized_profit])</f>
        <v>0</v>
      </c>
      <c r="N316" s="36">
        <f>SUMIF(Table20[[#All],[Asset]],Table19[[#This Row],[Assets]],Table20[[#All],[delta_exposure]])</f>
        <v>0</v>
      </c>
      <c r="O316" s="98">
        <f ca="1">Table19[[#This Row],[Option Exposure]]/$B$6</f>
        <v>0</v>
      </c>
      <c r="P316" s="51">
        <f>SUMIF(Table25[[#All],[Assets]],Table19[[#This Row],[Assets]],Table25[[#All],[Number of stocks]])</f>
        <v>0</v>
      </c>
      <c r="Q316" s="36">
        <f ca="1">Table19[[#This Row],[Num of Stocks]]*Table19[[#This Row],[Price]]</f>
        <v>0</v>
      </c>
      <c r="R316" s="36">
        <f ca="1">Table19[[#This Row],[Stock Exposure]]+Table19[[#This Row],[Option Exposure]]</f>
        <v>0</v>
      </c>
      <c r="S316" s="108">
        <f>IFERROR(Table19[[#This Row],[Num of Stocks]]*Table19[[#This Row],[Ave Entry]],"")</f>
        <v>0</v>
      </c>
      <c r="T316" s="39">
        <f ca="1">Table19[[#This Row],[Combined Exposure]]/$C$8</f>
        <v>0</v>
      </c>
    </row>
    <row r="317" spans="1:20">
      <c r="A317" t="e" vm="374">
        <v>#VALUE!</v>
      </c>
      <c r="B317" s="13" t="str" cm="1">
        <f t="array" aca="1" ref="B317" ca="1">_FV(A317,"Ticker symbol",TRUE)</f>
        <v>BJ</v>
      </c>
      <c r="C317" s="13" t="s">
        <v>122</v>
      </c>
      <c r="D317" s="13" t="s">
        <v>57</v>
      </c>
      <c r="E317" s="19" cm="1">
        <f t="array" aca="1" ref="E317" ca="1">IFERROR(_FV(A317,"Beta"),2)</f>
        <v>0.3357</v>
      </c>
      <c r="F317" s="13" t="str" cm="1">
        <f t="array" aca="1" ref="F317" ca="1">_FV(A317,"Instrument type",TRUE)</f>
        <v>Stock</v>
      </c>
      <c r="G317" s="18" cm="1">
        <f t="array" aca="1" ref="G317" ca="1">_FV(Table19[[#This Row],[Assets]],"Price")</f>
        <v>96.91</v>
      </c>
      <c r="H317" s="36" t="str">
        <f>IFERROR(VLOOKUP(Table19[[#This Row],[Assets]],Table25[#All],15,FALSE),"")</f>
        <v/>
      </c>
      <c r="I317" s="36">
        <f>IFERROR(VLOOKUP(Table19[[#This Row],[Assets]],Table25[#All],16,FALSE),0)</f>
        <v>0</v>
      </c>
      <c r="J317" s="84" t="str">
        <f ca="1">IFERROR((Table19[[#This Row],[Price]]-Table19[[#This Row],[Ave Entry]])/Table19[[#This Row],[Ave Entry]],"")</f>
        <v/>
      </c>
      <c r="K317" s="92">
        <f ca="1">IFERROR((Table19[[#This Row],[Price]]-Table19[[#This Row],[Ave Entry]])*Table19[[#This Row],[Num of Stocks]],0)</f>
        <v>0</v>
      </c>
      <c r="L317" s="38" cm="1">
        <f t="array" aca="1" ref="L317" ca="1">_FV(Table19[[#This Row],[Assets]],"Change (%)",TRUE)</f>
        <v>-9.1000000000000004E-3</v>
      </c>
      <c r="M317" s="36">
        <f>SUMIF(Table20[Asset],Table19[[#This Row],[Assets]],Table20[realized_profit])</f>
        <v>0</v>
      </c>
      <c r="N317" s="36">
        <f>SUMIF(Table20[[#All],[Asset]],Table19[[#This Row],[Assets]],Table20[[#All],[delta_exposure]])</f>
        <v>0</v>
      </c>
      <c r="O317" s="38">
        <f ca="1">Table19[[#This Row],[Option Exposure]]/$B$6</f>
        <v>0</v>
      </c>
      <c r="P317" s="51">
        <f>SUMIF(Table25[[#All],[Assets]],Table19[[#This Row],[Assets]],Table25[[#All],[Number of stocks]])</f>
        <v>0</v>
      </c>
      <c r="Q317" s="36">
        <f ca="1">Table19[[#This Row],[Num of Stocks]]*Table19[[#This Row],[Price]]</f>
        <v>0</v>
      </c>
      <c r="R317" s="36">
        <f ca="1">Table19[[#This Row],[Stock Exposure]]+Table19[[#This Row],[Option Exposure]]</f>
        <v>0</v>
      </c>
      <c r="S317" s="108" t="str">
        <f>IFERROR(Table19[[#This Row],[Num of Stocks]]*Table19[[#This Row],[Ave Entry]],"")</f>
        <v/>
      </c>
      <c r="T317" s="39">
        <f ca="1">Table19[[#This Row],[Combined Exposure]]/$C$8</f>
        <v>0</v>
      </c>
    </row>
    <row r="318" spans="1:20">
      <c r="A318" t="e" vm="132">
        <v>#VALUE!</v>
      </c>
      <c r="B318" s="13" t="str" cm="1">
        <f t="array" aca="1" ref="B318" ca="1">_FV(A318,"Ticker symbol",TRUE)</f>
        <v>XLI</v>
      </c>
      <c r="C318" s="13" t="s">
        <v>56</v>
      </c>
      <c r="D318" s="13" t="s">
        <v>56</v>
      </c>
      <c r="E318" s="19" cm="1">
        <f t="array" aca="1" ref="E318" ca="1">IFERROR(_FV(A318,"Beta"),2)</f>
        <v>0.99990000000000001</v>
      </c>
      <c r="F318" s="13" t="str" cm="1">
        <f t="array" aca="1" ref="F318" ca="1">_FV(A318,"Instrument type",TRUE)</f>
        <v>ETF</v>
      </c>
      <c r="G318" s="18" cm="1">
        <f t="array" aca="1" ref="G318" ca="1">_FV(Table19[[#This Row],[Assets]],"Price")</f>
        <v>165.13</v>
      </c>
      <c r="H318" s="36" t="str">
        <f>IFERROR(VLOOKUP(Table19[[#This Row],[Assets]],Table25[#All],15,FALSE),"")</f>
        <v/>
      </c>
      <c r="I318" s="36">
        <f>IFERROR(VLOOKUP(Table19[[#This Row],[Assets]],Table25[#All],16,FALSE),0)</f>
        <v>0</v>
      </c>
      <c r="J318" s="84" t="str">
        <f ca="1">IFERROR((Table19[[#This Row],[Price]]-Table19[[#This Row],[Ave Entry]])/Table19[[#This Row],[Ave Entry]],"")</f>
        <v/>
      </c>
      <c r="K318" s="92">
        <f ca="1">IFERROR((Table19[[#This Row],[Price]]-Table19[[#This Row],[Ave Entry]])*Table19[[#This Row],[Num of Stocks]],0)</f>
        <v>0</v>
      </c>
      <c r="L318" s="38" cm="1">
        <f t="array" aca="1" ref="L318" ca="1">_FV(Table19[[#This Row],[Assets]],"Change (%)",TRUE)</f>
        <v>6.8899999999999994E-3</v>
      </c>
      <c r="M318" s="36">
        <f>SUMIF(Table20[Asset],Table19[[#This Row],[Assets]],Table20[realized_profit])</f>
        <v>0</v>
      </c>
      <c r="N318" s="36">
        <f>SUMIF(Table20[[#All],[Asset]],Table19[[#This Row],[Assets]],Table20[[#All],[delta_exposure]])</f>
        <v>0</v>
      </c>
      <c r="O318" s="38">
        <f ca="1">Table19[[#This Row],[Option Exposure]]/$B$6</f>
        <v>0</v>
      </c>
      <c r="P318" s="51">
        <f>SUMIF(Table25[[#All],[Assets]],Table19[[#This Row],[Assets]],Table25[[#All],[Number of stocks]])</f>
        <v>0</v>
      </c>
      <c r="Q318" s="36">
        <f ca="1">Table19[[#This Row],[Num of Stocks]]*Table19[[#This Row],[Price]]</f>
        <v>0</v>
      </c>
      <c r="R318" s="36">
        <f ca="1">Table19[[#This Row],[Stock Exposure]]+Table19[[#This Row],[Option Exposure]]</f>
        <v>0</v>
      </c>
      <c r="S318" s="108" t="str">
        <f>IFERROR(Table19[[#This Row],[Num of Stocks]]*Table19[[#This Row],[Ave Entry]],"")</f>
        <v/>
      </c>
      <c r="T318" s="39">
        <f ca="1">Table19[[#This Row],[Combined Exposure]]/$C$8</f>
        <v>0</v>
      </c>
    </row>
    <row r="319" spans="1:20">
      <c r="A319" t="e" vm="375">
        <v>#VALUE!</v>
      </c>
      <c r="B319" s="13" t="str" cm="1">
        <f t="array" aca="1" ref="B319" ca="1">_FV(A319,"Ticker symbol",TRUE)</f>
        <v>TMO</v>
      </c>
      <c r="C319" s="13" t="s">
        <v>53</v>
      </c>
      <c r="D319" s="13" t="s">
        <v>53</v>
      </c>
      <c r="E319" s="19" cm="1">
        <f t="array" aca="1" ref="E319" ca="1">IFERROR(_FV(A319,"Beta"),2)</f>
        <v>0.97540000000000004</v>
      </c>
      <c r="F319" s="13" t="str" cm="1">
        <f t="array" aca="1" ref="F319" ca="1">_FV(A319,"Instrument type",TRUE)</f>
        <v>Stock</v>
      </c>
      <c r="G319" s="18" cm="1">
        <f t="array" aca="1" ref="G319" ca="1">_FV(Table19[[#This Row],[Assets]],"Price")</f>
        <v>490.85</v>
      </c>
      <c r="H319" s="36" t="str">
        <f>IFERROR(VLOOKUP(Table19[[#This Row],[Assets]],Table25[#All],15,FALSE),"")</f>
        <v/>
      </c>
      <c r="I319" s="36">
        <f>IFERROR(VLOOKUP(Table19[[#This Row],[Assets]],Table25[#All],16,FALSE),0)</f>
        <v>0</v>
      </c>
      <c r="J319" s="84" t="str">
        <f ca="1">IFERROR((Table19[[#This Row],[Price]]-Table19[[#This Row],[Ave Entry]])/Table19[[#This Row],[Ave Entry]],"")</f>
        <v/>
      </c>
      <c r="K319" s="92">
        <f ca="1">IFERROR((Table19[[#This Row],[Price]]-Table19[[#This Row],[Ave Entry]])*Table19[[#This Row],[Num of Stocks]],0)</f>
        <v>0</v>
      </c>
      <c r="L319" s="38" cm="1">
        <f t="array" aca="1" ref="L319" ca="1">_FV(Table19[[#This Row],[Assets]],"Change (%)",TRUE)</f>
        <v>1.142E-3</v>
      </c>
      <c r="M319" s="36">
        <f>SUMIF(Table20[Asset],Table19[[#This Row],[Assets]],Table20[realized_profit])</f>
        <v>0</v>
      </c>
      <c r="N319" s="36">
        <f>SUMIF(Table20[[#All],[Asset]],Table19[[#This Row],[Assets]],Table20[[#All],[delta_exposure]])</f>
        <v>0</v>
      </c>
      <c r="O319" s="38">
        <f ca="1">Table19[[#This Row],[Option Exposure]]/$B$6</f>
        <v>0</v>
      </c>
      <c r="P319" s="51">
        <f>SUMIF(Table25[[#All],[Assets]],Table19[[#This Row],[Assets]],Table25[[#All],[Number of stocks]])</f>
        <v>0</v>
      </c>
      <c r="Q319" s="36">
        <f ca="1">Table19[[#This Row],[Num of Stocks]]*Table19[[#This Row],[Price]]</f>
        <v>0</v>
      </c>
      <c r="R319" s="36">
        <f ca="1">Table19[[#This Row],[Stock Exposure]]+Table19[[#This Row],[Option Exposure]]</f>
        <v>0</v>
      </c>
      <c r="S319" s="108" t="str">
        <f>IFERROR(Table19[[#This Row],[Num of Stocks]]*Table19[[#This Row],[Ave Entry]],"")</f>
        <v/>
      </c>
      <c r="T319" s="39">
        <f ca="1">Table19[[#This Row],[Combined Exposure]]/$C$8</f>
        <v>0</v>
      </c>
    </row>
    <row r="320" spans="1:20">
      <c r="A320" t="e" vm="376">
        <v>#VALUE!</v>
      </c>
      <c r="B320" s="13" t="str" cm="1">
        <f t="array" aca="1" ref="B320" ca="1">_FV(A320,"Ticker symbol",TRUE)</f>
        <v>USB</v>
      </c>
      <c r="C320" s="13" t="s">
        <v>54</v>
      </c>
      <c r="D320" s="13" t="s">
        <v>54</v>
      </c>
      <c r="E320" s="19" cm="1">
        <f t="array" aca="1" ref="E320" ca="1">IFERROR(_FV(A320,"Beta"),2)</f>
        <v>1.0349999999999999</v>
      </c>
      <c r="F320" s="13" t="str" cm="1">
        <f t="array" aca="1" ref="F320" ca="1">_FV(A320,"Instrument type",TRUE)</f>
        <v>Stock</v>
      </c>
      <c r="G320" s="18" cm="1">
        <f t="array" aca="1" ref="G320" ca="1">_FV(Table19[[#This Row],[Assets]],"Price")</f>
        <v>52.085000000000001</v>
      </c>
      <c r="H320" s="36" t="str">
        <f>IFERROR(VLOOKUP(Table19[[#This Row],[Assets]],Table25[#All],15,FALSE),"")</f>
        <v/>
      </c>
      <c r="I320" s="36">
        <f>IFERROR(VLOOKUP(Table19[[#This Row],[Assets]],Table25[#All],16,FALSE),0)</f>
        <v>0</v>
      </c>
      <c r="J320" s="84" t="str">
        <f ca="1">IFERROR((Table19[[#This Row],[Price]]-Table19[[#This Row],[Ave Entry]])/Table19[[#This Row],[Ave Entry]],"")</f>
        <v/>
      </c>
      <c r="K320" s="92">
        <f ca="1">IFERROR((Table19[[#This Row],[Price]]-Table19[[#This Row],[Ave Entry]])*Table19[[#This Row],[Num of Stocks]],0)</f>
        <v>0</v>
      </c>
      <c r="L320" s="38" cm="1">
        <f t="array" aca="1" ref="L320" ca="1">_FV(Table19[[#This Row],[Assets]],"Change (%)",TRUE)</f>
        <v>-1.0549999999999999E-3</v>
      </c>
      <c r="M320" s="36">
        <f>SUMIF(Table20[Asset],Table19[[#This Row],[Assets]],Table20[realized_profit])</f>
        <v>0</v>
      </c>
      <c r="N320" s="36">
        <f>SUMIF(Table20[[#All],[Asset]],Table19[[#This Row],[Assets]],Table20[[#All],[delta_exposure]])</f>
        <v>0</v>
      </c>
      <c r="O320" s="38">
        <f ca="1">Table19[[#This Row],[Option Exposure]]/$B$6</f>
        <v>0</v>
      </c>
      <c r="P320" s="51">
        <f>SUMIF(Table25[[#All],[Assets]],Table19[[#This Row],[Assets]],Table25[[#All],[Number of stocks]])</f>
        <v>0</v>
      </c>
      <c r="Q320" s="36">
        <f ca="1">Table19[[#This Row],[Num of Stocks]]*Table19[[#This Row],[Price]]</f>
        <v>0</v>
      </c>
      <c r="R320" s="36">
        <f ca="1">Table19[[#This Row],[Stock Exposure]]+Table19[[#This Row],[Option Exposure]]</f>
        <v>0</v>
      </c>
      <c r="S320" s="108" t="str">
        <f>IFERROR(Table19[[#This Row],[Num of Stocks]]*Table19[[#This Row],[Ave Entry]],"")</f>
        <v/>
      </c>
      <c r="T320" s="39">
        <f ca="1">Table19[[#This Row],[Combined Exposure]]/$C$8</f>
        <v>0</v>
      </c>
    </row>
    <row r="321" spans="1:20">
      <c r="A321" t="e" vm="377">
        <v>#VALUE!</v>
      </c>
      <c r="B321" s="13" t="str" cm="1">
        <f t="array" aca="1" ref="B321" ca="1">_FV(A321,"Ticker symbol",TRUE)</f>
        <v>VLTO</v>
      </c>
      <c r="C321" s="13" t="s">
        <v>134</v>
      </c>
      <c r="D321" s="13" t="s">
        <v>56</v>
      </c>
      <c r="E321" s="19" cm="1">
        <f t="array" aca="1" ref="E321" ca="1">IFERROR(_FV(A321,"Beta"),2)</f>
        <v>0.73899999999999999</v>
      </c>
      <c r="F321" s="13" t="str" cm="1">
        <f t="array" aca="1" ref="F321" ca="1">_FV(A321,"Instrument type",TRUE)</f>
        <v>Stock</v>
      </c>
      <c r="G321" s="18" cm="1">
        <f t="array" aca="1" ref="G321" ca="1">_FV(Table19[[#This Row],[Assets]],"Price")</f>
        <v>86.094999999999999</v>
      </c>
      <c r="H321" s="36" t="str">
        <f>IFERROR(VLOOKUP(Table19[[#This Row],[Assets]],Table25[#All],15,FALSE),"")</f>
        <v/>
      </c>
      <c r="I321" s="36">
        <f>IFERROR(VLOOKUP(Table19[[#This Row],[Assets]],Table25[#All],16,FALSE),0)</f>
        <v>0</v>
      </c>
      <c r="J321" s="84" t="str">
        <f ca="1">IFERROR((Table19[[#This Row],[Price]]-Table19[[#This Row],[Ave Entry]])/Table19[[#This Row],[Ave Entry]],"")</f>
        <v/>
      </c>
      <c r="K321" s="92">
        <f ca="1">IFERROR((Table19[[#This Row],[Price]]-Table19[[#This Row],[Ave Entry]])*Table19[[#This Row],[Num of Stocks]],0)</f>
        <v>0</v>
      </c>
      <c r="L321" s="38" cm="1">
        <f t="array" aca="1" ref="L321" ca="1">_FV(Table19[[#This Row],[Assets]],"Change (%)",TRUE)</f>
        <v>-8.8070000000000006E-3</v>
      </c>
      <c r="M321" s="36">
        <f>SUMIF(Table20[Asset],Table19[[#This Row],[Assets]],Table20[realized_profit])</f>
        <v>0</v>
      </c>
      <c r="N321" s="36">
        <f>SUMIF(Table20[[#All],[Asset]],Table19[[#This Row],[Assets]],Table20[[#All],[delta_exposure]])</f>
        <v>0</v>
      </c>
      <c r="O321" s="38">
        <f ca="1">Table19[[#This Row],[Option Exposure]]/$B$6</f>
        <v>0</v>
      </c>
      <c r="P321" s="51">
        <f>SUMIF(Table25[[#All],[Assets]],Table19[[#This Row],[Assets]],Table25[[#All],[Number of stocks]])</f>
        <v>0</v>
      </c>
      <c r="Q321" s="36">
        <f ca="1">Table19[[#This Row],[Num of Stocks]]*Table19[[#This Row],[Price]]</f>
        <v>0</v>
      </c>
      <c r="R321" s="36">
        <f ca="1">Table19[[#This Row],[Stock Exposure]]+Table19[[#This Row],[Option Exposure]]</f>
        <v>0</v>
      </c>
      <c r="S321" s="108" t="str">
        <f>IFERROR(Table19[[#This Row],[Num of Stocks]]*Table19[[#This Row],[Ave Entry]],"")</f>
        <v/>
      </c>
      <c r="T321" s="39">
        <f ca="1">Table19[[#This Row],[Combined Exposure]]/$C$8</f>
        <v>0</v>
      </c>
    </row>
    <row r="322" spans="1:20">
      <c r="A322" t="e" vm="378">
        <v>#VALUE!</v>
      </c>
      <c r="B322" s="13" t="str" cm="1">
        <f t="array" aca="1" ref="B322" ca="1">_FV(A322,"Ticker symbol",TRUE)</f>
        <v>BMI</v>
      </c>
      <c r="C322" s="13" t="s">
        <v>134</v>
      </c>
      <c r="D322" s="13" t="s">
        <v>56</v>
      </c>
      <c r="E322" s="19" cm="1">
        <f t="array" aca="1" ref="E322" ca="1">IFERROR(_FV(A322,"Beta"),2)</f>
        <v>0.90610000000000002</v>
      </c>
      <c r="F322" s="13" t="str" cm="1">
        <f t="array" aca="1" ref="F322" ca="1">_FV(A322,"Instrument type",TRUE)</f>
        <v>Stock</v>
      </c>
      <c r="G322" s="18" cm="1">
        <f t="array" aca="1" ref="G322" ca="1">_FV(Table19[[#This Row],[Assets]],"Price")</f>
        <v>151.30000000000001</v>
      </c>
      <c r="H322" s="36">
        <f>IFERROR(VLOOKUP(Table19[[#This Row],[Assets]],Table25[#All],15,FALSE),"")</f>
        <v>194.67</v>
      </c>
      <c r="I322" s="36">
        <f>IFERROR(VLOOKUP(Table19[[#This Row],[Assets]],Table25[#All],16,FALSE),0)</f>
        <v>11.719999999999999</v>
      </c>
      <c r="J322" s="84">
        <f ca="1">IFERROR((Table19[[#This Row],[Price]]-Table19[[#This Row],[Ave Entry]])/Table19[[#This Row],[Ave Entry]],"")</f>
        <v>-0.22278728103970813</v>
      </c>
      <c r="K322" s="92">
        <f ca="1">IFERROR((Table19[[#This Row],[Price]]-Table19[[#This Row],[Ave Entry]])*Table19[[#This Row],[Num of Stocks]],0)</f>
        <v>0</v>
      </c>
      <c r="L322" s="38" cm="1">
        <f t="array" aca="1" ref="L322" ca="1">_FV(Table19[[#This Row],[Assets]],"Change (%)",TRUE)</f>
        <v>4.3809999999999995E-3</v>
      </c>
      <c r="M322" s="36">
        <f>SUMIF(Table20[Asset],Table19[[#This Row],[Assets]],Table20[realized_profit])</f>
        <v>0</v>
      </c>
      <c r="N322" s="36">
        <f>SUMIF(Table20[[#All],[Asset]],Table19[[#This Row],[Assets]],Table20[[#All],[delta_exposure]])</f>
        <v>0</v>
      </c>
      <c r="O322" s="98">
        <f ca="1">Table19[[#This Row],[Option Exposure]]/$B$6</f>
        <v>0</v>
      </c>
      <c r="P322" s="51">
        <f>SUMIF(Table25[[#All],[Assets]],Table19[[#This Row],[Assets]],Table25[[#All],[Number of stocks]])</f>
        <v>0</v>
      </c>
      <c r="Q322" s="36">
        <f ca="1">Table19[[#This Row],[Num of Stocks]]*Table19[[#This Row],[Price]]</f>
        <v>0</v>
      </c>
      <c r="R322" s="36">
        <f ca="1">Table19[[#This Row],[Stock Exposure]]+Table19[[#This Row],[Option Exposure]]</f>
        <v>0</v>
      </c>
      <c r="S322" s="108">
        <f>IFERROR(Table19[[#This Row],[Num of Stocks]]*Table19[[#This Row],[Ave Entry]],"")</f>
        <v>0</v>
      </c>
      <c r="T322" s="39">
        <f ca="1">Table19[[#This Row],[Combined Exposure]]/$C$8</f>
        <v>0</v>
      </c>
    </row>
    <row r="323" spans="1:20">
      <c r="A323" t="e" vm="379">
        <v>#VALUE!</v>
      </c>
      <c r="B323" s="13" t="str" cm="1">
        <f t="array" aca="1" ref="B323" ca="1">_FV(A323,"Ticker symbol",TRUE)</f>
        <v>WCN</v>
      </c>
      <c r="C323" s="13" t="s">
        <v>56</v>
      </c>
      <c r="D323" s="13" t="s">
        <v>56</v>
      </c>
      <c r="E323" s="19" cm="1">
        <f t="array" aca="1" ref="E323" ca="1">IFERROR(_FV(A323,"Beta"),2)</f>
        <v>0.45329999999999998</v>
      </c>
      <c r="F323" s="13" t="str" cm="1">
        <f t="array" aca="1" ref="F323" ca="1">_FV(A323,"Instrument type",TRUE)</f>
        <v>Stock</v>
      </c>
      <c r="G323" s="18" cm="1">
        <f t="array" aca="1" ref="G323" ca="1">_FV(Table19[[#This Row],[Assets]],"Price")</f>
        <v>214.36</v>
      </c>
      <c r="H323" s="36" t="str">
        <f>IFERROR(VLOOKUP(Table19[[#This Row],[Assets]],Table25[#All],15,FALSE),"")</f>
        <v/>
      </c>
      <c r="I323" s="36">
        <f>IFERROR(VLOOKUP(Table19[[#This Row],[Assets]],Table25[#All],16,FALSE),0)</f>
        <v>0</v>
      </c>
      <c r="J323" s="84" t="str">
        <f ca="1">IFERROR((Table19[[#This Row],[Price]]-Table19[[#This Row],[Ave Entry]])/Table19[[#This Row],[Ave Entry]],"")</f>
        <v/>
      </c>
      <c r="K323" s="92">
        <f ca="1">IFERROR((Table19[[#This Row],[Price]]-Table19[[#This Row],[Ave Entry]])*Table19[[#This Row],[Num of Stocks]],0)</f>
        <v>0</v>
      </c>
      <c r="L323" s="38" cm="1">
        <f t="array" aca="1" ref="L323" ca="1">_FV(Table19[[#This Row],[Assets]],"Change (%)",TRUE)</f>
        <v>-1.3439000000000001E-2</v>
      </c>
      <c r="M323" s="36">
        <f>SUMIF(Table20[Asset],Table19[[#This Row],[Assets]],Table20[realized_profit])</f>
        <v>-209.99999999999997</v>
      </c>
      <c r="N323" s="36">
        <f ca="1">SUMIF(Table20[[#All],[Asset]],Table19[[#This Row],[Assets]],Table20[[#All],[delta_exposure]])</f>
        <v>0</v>
      </c>
      <c r="O323" s="38">
        <f ca="1">Table19[[#This Row],[Option Exposure]]/$B$6</f>
        <v>0</v>
      </c>
      <c r="P323" s="51">
        <f>SUMIF(Table25[[#All],[Assets]],Table19[[#This Row],[Assets]],Table25[[#All],[Number of stocks]])</f>
        <v>0</v>
      </c>
      <c r="Q323" s="36">
        <f ca="1">Table19[[#This Row],[Num of Stocks]]*Table19[[#This Row],[Price]]</f>
        <v>0</v>
      </c>
      <c r="R323" s="36">
        <f ca="1">Table19[[#This Row],[Stock Exposure]]+Table19[[#This Row],[Option Exposure]]</f>
        <v>0</v>
      </c>
      <c r="S323" s="108" t="str">
        <f>IFERROR(Table19[[#This Row],[Num of Stocks]]*Table19[[#This Row],[Ave Entry]],"")</f>
        <v/>
      </c>
      <c r="T323" s="39">
        <f ca="1">Table19[[#This Row],[Combined Exposure]]/$C$8</f>
        <v>0</v>
      </c>
    </row>
    <row r="324" spans="1:20">
      <c r="A324" t="e" vm="149">
        <v>#VALUE!</v>
      </c>
      <c r="B324" s="13" t="str" cm="1">
        <f t="array" aca="1" ref="B324" ca="1">_FV(A324,"Ticker symbol",TRUE)</f>
        <v>XLV</v>
      </c>
      <c r="C324" s="13" t="s">
        <v>53</v>
      </c>
      <c r="D324" s="13" t="s">
        <v>53</v>
      </c>
      <c r="E324" s="19" cm="1">
        <f t="array" aca="1" ref="E324" ca="1">IFERROR(_FV(A324,"Beta"),2)</f>
        <v>0.99590000000000001</v>
      </c>
      <c r="F324" s="13" t="str" cm="1">
        <f t="array" aca="1" ref="F324" ca="1">_FV(A324,"Instrument type",TRUE)</f>
        <v>ETF</v>
      </c>
      <c r="G324" s="18" cm="1">
        <f t="array" aca="1" ref="G324" ca="1">_FV(Table19[[#This Row],[Assets]],"Price")</f>
        <v>146</v>
      </c>
      <c r="H324" s="36" t="str">
        <f>IFERROR(VLOOKUP(Table19[[#This Row],[Assets]],Table25[#All],15,FALSE),"")</f>
        <v/>
      </c>
      <c r="I324" s="36">
        <f>IFERROR(VLOOKUP(Table19[[#This Row],[Assets]],Table25[#All],16,FALSE),0)</f>
        <v>0</v>
      </c>
      <c r="J324" s="84" t="str">
        <f ca="1">IFERROR((Table19[[#This Row],[Price]]-Table19[[#This Row],[Ave Entry]])/Table19[[#This Row],[Ave Entry]],"")</f>
        <v/>
      </c>
      <c r="K324" s="92">
        <f ca="1">IFERROR((Table19[[#This Row],[Price]]-Table19[[#This Row],[Ave Entry]])*Table19[[#This Row],[Num of Stocks]],0)</f>
        <v>0</v>
      </c>
      <c r="L324" s="38" cm="1">
        <f t="array" aca="1" ref="L324" ca="1">_FV(Table19[[#This Row],[Assets]],"Change (%)",TRUE)</f>
        <v>8.3569999999999998E-3</v>
      </c>
      <c r="M324" s="36">
        <f>SUMIF(Table20[Asset],Table19[[#This Row],[Assets]],Table20[realized_profit])</f>
        <v>0</v>
      </c>
      <c r="N324" s="36">
        <f>SUMIF(Table20[[#All],[Asset]],Table19[[#This Row],[Assets]],Table20[[#All],[delta_exposure]])</f>
        <v>0</v>
      </c>
      <c r="O324" s="38">
        <f ca="1">Table19[[#This Row],[Option Exposure]]/$B$6</f>
        <v>0</v>
      </c>
      <c r="P324" s="51">
        <f>SUMIF(Table25[[#All],[Assets]],Table19[[#This Row],[Assets]],Table25[[#All],[Number of stocks]])</f>
        <v>0</v>
      </c>
      <c r="Q324" s="36">
        <f ca="1">Table19[[#This Row],[Num of Stocks]]*Table19[[#This Row],[Price]]</f>
        <v>0</v>
      </c>
      <c r="R324" s="36">
        <f ca="1">Table19[[#This Row],[Stock Exposure]]+Table19[[#This Row],[Option Exposure]]</f>
        <v>0</v>
      </c>
      <c r="S324" s="108" t="str">
        <f>IFERROR(Table19[[#This Row],[Num of Stocks]]*Table19[[#This Row],[Ave Entry]],"")</f>
        <v/>
      </c>
      <c r="T324" s="39">
        <f ca="1">Table19[[#This Row],[Combined Exposure]]/$C$8</f>
        <v>0</v>
      </c>
    </row>
    <row r="325" spans="1:20">
      <c r="A325" t="e" vm="380">
        <v>#VALUE!</v>
      </c>
      <c r="B325" s="13" t="str" cm="1">
        <f t="array" aca="1" ref="B325" ca="1">_FV(A325,"Ticker symbol",TRUE)</f>
        <v>OSPN</v>
      </c>
      <c r="C325" s="13" t="s">
        <v>54</v>
      </c>
      <c r="D325" s="13" t="s">
        <v>457</v>
      </c>
      <c r="E325" s="19" cm="1">
        <f t="array" aca="1" ref="E325" ca="1">IFERROR(_FV(A325,"Beta"),2)</f>
        <v>1.5065</v>
      </c>
      <c r="F325" s="13" t="str" cm="1">
        <f t="array" aca="1" ref="F325" ca="1">_FV(A325,"Instrument type",TRUE)</f>
        <v>Stock</v>
      </c>
      <c r="G325" s="18" cm="1">
        <f t="array" aca="1" ref="G325" ca="1">_FV(Table19[[#This Row],[Assets]],"Price")</f>
        <v>10.835000000000001</v>
      </c>
      <c r="H325" s="36" t="str">
        <f>IFERROR(VLOOKUP(Table19[[#This Row],[Assets]],Table25[#All],15,FALSE),"")</f>
        <v/>
      </c>
      <c r="I325" s="36">
        <f>IFERROR(VLOOKUP(Table19[[#This Row],[Assets]],Table25[#All],16,FALSE),0)</f>
        <v>0</v>
      </c>
      <c r="J325" s="84" t="str">
        <f ca="1">IFERROR((Table19[[#This Row],[Price]]-Table19[[#This Row],[Ave Entry]])/Table19[[#This Row],[Ave Entry]],"")</f>
        <v/>
      </c>
      <c r="K325" s="92">
        <f ca="1">IFERROR((Table19[[#This Row],[Price]]-Table19[[#This Row],[Ave Entry]])*Table19[[#This Row],[Num of Stocks]],0)</f>
        <v>0</v>
      </c>
      <c r="L325" s="38" cm="1">
        <f t="array" aca="1" ref="L325" ca="1">_FV(Table19[[#This Row],[Assets]],"Change (%)",TRUE)</f>
        <v>1.9285E-2</v>
      </c>
      <c r="M325" s="36">
        <f>SUMIF(Table20[Asset],Table19[[#This Row],[Assets]],Table20[realized_profit])</f>
        <v>0</v>
      </c>
      <c r="N325" s="36">
        <f>SUMIF(Table20[[#All],[Asset]],Table19[[#This Row],[Assets]],Table20[[#All],[delta_exposure]])</f>
        <v>0</v>
      </c>
      <c r="O325" s="38">
        <f ca="1">Table19[[#This Row],[Option Exposure]]/$B$6</f>
        <v>0</v>
      </c>
      <c r="P325" s="51">
        <f>SUMIF(Table25[[#All],[Assets]],Table19[[#This Row],[Assets]],Table25[[#All],[Number of stocks]])</f>
        <v>0</v>
      </c>
      <c r="Q325" s="36">
        <f ca="1">Table19[[#This Row],[Num of Stocks]]*Table19[[#This Row],[Price]]</f>
        <v>0</v>
      </c>
      <c r="R325" s="36">
        <f ca="1">Table19[[#This Row],[Stock Exposure]]+Table19[[#This Row],[Option Exposure]]</f>
        <v>0</v>
      </c>
      <c r="S325" s="108" t="str">
        <f>IFERROR(Table19[[#This Row],[Num of Stocks]]*Table19[[#This Row],[Ave Entry]],"")</f>
        <v/>
      </c>
      <c r="T325" s="39">
        <f ca="1">Table19[[#This Row],[Combined Exposure]]/$C$8</f>
        <v>0</v>
      </c>
    </row>
    <row r="326" spans="1:20">
      <c r="A326" t="e" vm="381">
        <v>#VALUE!</v>
      </c>
      <c r="B326" s="13" t="str" cm="1">
        <f t="array" aca="1" ref="B326" ca="1">_FV(A326,"Ticker symbol",TRUE)</f>
        <v>GEHC</v>
      </c>
      <c r="C326" s="13" t="s">
        <v>326</v>
      </c>
      <c r="D326" s="13" t="s">
        <v>53</v>
      </c>
      <c r="E326" s="19" cm="1">
        <f t="array" aca="1" ref="E326" ca="1">IFERROR(_FV(A326,"Beta"),2)</f>
        <v>1.3740000000000001</v>
      </c>
      <c r="F326" s="13" t="str" cm="1">
        <f t="array" aca="1" ref="F326" ca="1">_FV(A326,"Instrument type",TRUE)</f>
        <v>Stock</v>
      </c>
      <c r="G326" s="18" cm="1">
        <f t="array" aca="1" ref="G326" ca="1">_FV(Table19[[#This Row],[Assets]],"Price")</f>
        <v>72.89</v>
      </c>
      <c r="H326" s="36" t="str">
        <f>IFERROR(VLOOKUP(Table19[[#This Row],[Assets]],Table25[#All],15,FALSE),"")</f>
        <v/>
      </c>
      <c r="I326" s="36">
        <f>IFERROR(VLOOKUP(Table19[[#This Row],[Assets]],Table25[#All],16,FALSE),0)</f>
        <v>0</v>
      </c>
      <c r="J326" s="84" t="str">
        <f ca="1">IFERROR((Table19[[#This Row],[Price]]-Table19[[#This Row],[Ave Entry]])/Table19[[#This Row],[Ave Entry]],"")</f>
        <v/>
      </c>
      <c r="K326" s="92">
        <f ca="1">IFERROR((Table19[[#This Row],[Price]]-Table19[[#This Row],[Ave Entry]])*Table19[[#This Row],[Num of Stocks]],0)</f>
        <v>0</v>
      </c>
      <c r="L326" s="38" cm="1">
        <f t="array" aca="1" ref="L326" ca="1">_FV(Table19[[#This Row],[Assets]],"Change (%)",TRUE)</f>
        <v>2.7198000000000003E-2</v>
      </c>
      <c r="M326" s="36">
        <f>SUMIF(Table20[Asset],Table19[[#This Row],[Assets]],Table20[realized_profit])</f>
        <v>0</v>
      </c>
      <c r="N326" s="36">
        <f>SUMIF(Table20[[#All],[Asset]],Table19[[#This Row],[Assets]],Table20[[#All],[delta_exposure]])</f>
        <v>0</v>
      </c>
      <c r="O326" s="38">
        <f ca="1">Table19[[#This Row],[Option Exposure]]/$B$6</f>
        <v>0</v>
      </c>
      <c r="P326" s="51">
        <f>SUMIF(Table25[[#All],[Assets]],Table19[[#This Row],[Assets]],Table25[[#All],[Number of stocks]])</f>
        <v>0</v>
      </c>
      <c r="Q326" s="36">
        <f ca="1">Table19[[#This Row],[Num of Stocks]]*Table19[[#This Row],[Price]]</f>
        <v>0</v>
      </c>
      <c r="R326" s="36">
        <f ca="1">Table19[[#This Row],[Stock Exposure]]+Table19[[#This Row],[Option Exposure]]</f>
        <v>0</v>
      </c>
      <c r="S326" s="108" t="str">
        <f>IFERROR(Table19[[#This Row],[Num of Stocks]]*Table19[[#This Row],[Ave Entry]],"")</f>
        <v/>
      </c>
      <c r="T326" s="39">
        <f ca="1">Table19[[#This Row],[Combined Exposure]]/$C$8</f>
        <v>0</v>
      </c>
    </row>
    <row r="327" spans="1:20">
      <c r="A327" t="e" vm="382">
        <v>#VALUE!</v>
      </c>
      <c r="B327" s="13" t="str" cm="1">
        <f t="array" aca="1" ref="B327" ca="1">_FV(A327,"Ticker symbol",TRUE)</f>
        <v>VTR</v>
      </c>
      <c r="C327" s="13" t="s">
        <v>326</v>
      </c>
      <c r="D327" s="13" t="s">
        <v>53</v>
      </c>
      <c r="E327" s="19" cm="1">
        <f t="array" aca="1" ref="E327" ca="1">IFERROR(_FV(A327,"Beta"),2)</f>
        <v>0.76670000000000005</v>
      </c>
      <c r="F327" s="13" t="str" cm="1">
        <f t="array" aca="1" ref="F327" ca="1">_FV(A327,"Instrument type",TRUE)</f>
        <v>Stock</v>
      </c>
      <c r="G327" s="18" cm="1">
        <f t="array" aca="1" ref="G327" ca="1">_FV(Table19[[#This Row],[Assets]],"Price")</f>
        <v>82.73</v>
      </c>
      <c r="H327" s="36" t="str">
        <f>IFERROR(VLOOKUP(Table19[[#This Row],[Assets]],Table25[#All],15,FALSE),"")</f>
        <v/>
      </c>
      <c r="I327" s="36">
        <f>IFERROR(VLOOKUP(Table19[[#This Row],[Assets]],Table25[#All],16,FALSE),0)</f>
        <v>0</v>
      </c>
      <c r="J327" s="84" t="str">
        <f ca="1">IFERROR((Table19[[#This Row],[Price]]-Table19[[#This Row],[Ave Entry]])/Table19[[#This Row],[Ave Entry]],"")</f>
        <v/>
      </c>
      <c r="K327" s="92">
        <f ca="1">IFERROR((Table19[[#This Row],[Price]]-Table19[[#This Row],[Ave Entry]])*Table19[[#This Row],[Num of Stocks]],0)</f>
        <v>0</v>
      </c>
      <c r="L327" s="38" cm="1">
        <f t="array" aca="1" ref="L327" ca="1">_FV(Table19[[#This Row],[Assets]],"Change (%)",TRUE)</f>
        <v>6.6930000000000002E-3</v>
      </c>
      <c r="M327" s="36">
        <f>SUMIF(Table20[Asset],Table19[[#This Row],[Assets]],Table20[realized_profit])</f>
        <v>0</v>
      </c>
      <c r="N327" s="36">
        <f>SUMIF(Table20[[#All],[Asset]],Table19[[#This Row],[Assets]],Table20[[#All],[delta_exposure]])</f>
        <v>0</v>
      </c>
      <c r="O327" s="38">
        <f ca="1">Table19[[#This Row],[Option Exposure]]/$B$6</f>
        <v>0</v>
      </c>
      <c r="P327" s="51">
        <f>SUMIF(Table25[[#All],[Assets]],Table19[[#This Row],[Assets]],Table25[[#All],[Number of stocks]])</f>
        <v>0</v>
      </c>
      <c r="Q327" s="36">
        <f ca="1">Table19[[#This Row],[Num of Stocks]]*Table19[[#This Row],[Price]]</f>
        <v>0</v>
      </c>
      <c r="R327" s="36">
        <f ca="1">Table19[[#This Row],[Stock Exposure]]+Table19[[#This Row],[Option Exposure]]</f>
        <v>0</v>
      </c>
      <c r="S327" s="108" t="str">
        <f>IFERROR(Table19[[#This Row],[Num of Stocks]]*Table19[[#This Row],[Ave Entry]],"")</f>
        <v/>
      </c>
      <c r="T327" s="39">
        <f ca="1">Table19[[#This Row],[Combined Exposure]]/$C$8</f>
        <v>0</v>
      </c>
    </row>
    <row r="328" spans="1:20">
      <c r="A328" t="e" vm="383">
        <v>#VALUE!</v>
      </c>
      <c r="B328" s="13" t="str" cm="1">
        <f t="array" aca="1" ref="B328" ca="1">_FV(A328,"Ticker symbol",TRUE)</f>
        <v>JEF</v>
      </c>
      <c r="C328" s="13" t="s">
        <v>122</v>
      </c>
      <c r="D328" s="13" t="s">
        <v>54</v>
      </c>
      <c r="E328" s="19" cm="1">
        <f t="array" aca="1" ref="E328" ca="1">IFERROR(_FV(A328,"Beta"),2)</f>
        <v>1.5319</v>
      </c>
      <c r="F328" s="13" t="str" cm="1">
        <f t="array" aca="1" ref="F328" ca="1">_FV(A328,"Instrument type",TRUE)</f>
        <v>Stock</v>
      </c>
      <c r="G328" s="18" cm="1">
        <f t="array" aca="1" ref="G328" ca="1">_FV(Table19[[#This Row],[Assets]],"Price")</f>
        <v>40.575000000000003</v>
      </c>
      <c r="H328" s="36" t="str">
        <f>IFERROR(VLOOKUP(Table19[[#This Row],[Assets]],Table25[#All],15,FALSE),"")</f>
        <v/>
      </c>
      <c r="I328" s="36">
        <f>IFERROR(VLOOKUP(Table19[[#This Row],[Assets]],Table25[#All],16,FALSE),0)</f>
        <v>0</v>
      </c>
      <c r="J328" s="84" t="str">
        <f ca="1">IFERROR((Table19[[#This Row],[Price]]-Table19[[#This Row],[Ave Entry]])/Table19[[#This Row],[Ave Entry]],"")</f>
        <v/>
      </c>
      <c r="K328" s="92">
        <f ca="1">IFERROR((Table19[[#This Row],[Price]]-Table19[[#This Row],[Ave Entry]])*Table19[[#This Row],[Num of Stocks]],0)</f>
        <v>0</v>
      </c>
      <c r="L328" s="38" cm="1">
        <f t="array" aca="1" ref="L328" ca="1">_FV(Table19[[#This Row],[Assets]],"Change (%)",TRUE)</f>
        <v>6.1650000000000008E-4</v>
      </c>
      <c r="M328" s="36">
        <f>SUMIF(Table20[Asset],Table19[[#This Row],[Assets]],Table20[realized_profit])</f>
        <v>0</v>
      </c>
      <c r="N328" s="36">
        <f>SUMIF(Table20[[#All],[Asset]],Table19[[#This Row],[Assets]],Table20[[#All],[delta_exposure]])</f>
        <v>0</v>
      </c>
      <c r="O328" s="38">
        <f ca="1">Table19[[#This Row],[Option Exposure]]/$B$6</f>
        <v>0</v>
      </c>
      <c r="P328" s="51">
        <f>SUMIF(Table25[[#All],[Assets]],Table19[[#This Row],[Assets]],Table25[[#All],[Number of stocks]])</f>
        <v>0</v>
      </c>
      <c r="Q328" s="36">
        <f ca="1">Table19[[#This Row],[Num of Stocks]]*Table19[[#This Row],[Price]]</f>
        <v>0</v>
      </c>
      <c r="R328" s="36">
        <f ca="1">Table19[[#This Row],[Stock Exposure]]+Table19[[#This Row],[Option Exposure]]</f>
        <v>0</v>
      </c>
      <c r="S328" s="108" t="str">
        <f>IFERROR(Table19[[#This Row],[Num of Stocks]]*Table19[[#This Row],[Ave Entry]],"")</f>
        <v/>
      </c>
      <c r="T328" s="39">
        <f ca="1">Table19[[#This Row],[Combined Exposure]]/$C$8</f>
        <v>0</v>
      </c>
    </row>
    <row r="329" spans="1:20">
      <c r="A329" t="e" vm="384">
        <v>#VALUE!</v>
      </c>
      <c r="B329" s="13" t="str" cm="1">
        <f t="array" aca="1" ref="B329" ca="1">_FV(A329,"Ticker symbol",TRUE)</f>
        <v>ITRI</v>
      </c>
      <c r="C329" s="13" t="s">
        <v>134</v>
      </c>
      <c r="D329" s="13" t="s">
        <v>29</v>
      </c>
      <c r="E329" s="19" cm="1">
        <f t="array" aca="1" ref="E329" ca="1">IFERROR(_FV(A329,"Beta"),2)</f>
        <v>1.4872000000000001</v>
      </c>
      <c r="F329" s="13" t="str" cm="1">
        <f t="array" aca="1" ref="F329" ca="1">_FV(A329,"Instrument type",TRUE)</f>
        <v>Stock</v>
      </c>
      <c r="G329" s="18" cm="1">
        <f t="array" aca="1" ref="G329" ca="1">_FV(Table19[[#This Row],[Assets]],"Price")</f>
        <v>93.48</v>
      </c>
      <c r="H329" s="36">
        <f>IFERROR(VLOOKUP(Table19[[#This Row],[Assets]],Table25[#All],15,FALSE),"")</f>
        <v>107.34</v>
      </c>
      <c r="I329" s="36">
        <f>IFERROR(VLOOKUP(Table19[[#This Row],[Assets]],Table25[#All],16,FALSE),0)</f>
        <v>-14.520000000000039</v>
      </c>
      <c r="J329" s="84">
        <f ca="1">IFERROR((Table19[[#This Row],[Price]]-Table19[[#This Row],[Ave Entry]])/Table19[[#This Row],[Ave Entry]],"")</f>
        <v>-0.12912241475684738</v>
      </c>
      <c r="K329" s="92">
        <f ca="1">IFERROR((Table19[[#This Row],[Price]]-Table19[[#This Row],[Ave Entry]])*Table19[[#This Row],[Num of Stocks]],0)</f>
        <v>0</v>
      </c>
      <c r="L329" s="38" cm="1">
        <f t="array" aca="1" ref="L329" ca="1">_FV(Table19[[#This Row],[Assets]],"Change (%)",TRUE)</f>
        <v>8.5229999999999993E-3</v>
      </c>
      <c r="M329" s="36">
        <f>SUMIF(Table20[Asset],Table19[[#This Row],[Assets]],Table20[realized_profit])</f>
        <v>0</v>
      </c>
      <c r="N329" s="36">
        <f>SUMIF(Table20[[#All],[Asset]],Table19[[#This Row],[Assets]],Table20[[#All],[delta_exposure]])</f>
        <v>0</v>
      </c>
      <c r="O329" s="98">
        <f ca="1">Table19[[#This Row],[Option Exposure]]/$B$6</f>
        <v>0</v>
      </c>
      <c r="P329" s="51">
        <f>SUMIF(Table25[[#All],[Assets]],Table19[[#This Row],[Assets]],Table25[[#All],[Number of stocks]])</f>
        <v>0</v>
      </c>
      <c r="Q329" s="36">
        <f ca="1">Table19[[#This Row],[Num of Stocks]]*Table19[[#This Row],[Price]]</f>
        <v>0</v>
      </c>
      <c r="R329" s="36">
        <f ca="1">Table19[[#This Row],[Stock Exposure]]+Table19[[#This Row],[Option Exposure]]</f>
        <v>0</v>
      </c>
      <c r="S329" s="108">
        <f>IFERROR(Table19[[#This Row],[Num of Stocks]]*Table19[[#This Row],[Ave Entry]],"")</f>
        <v>0</v>
      </c>
      <c r="T329" s="39">
        <f ca="1">Table19[[#This Row],[Combined Exposure]]/$C$8</f>
        <v>0</v>
      </c>
    </row>
    <row r="330" spans="1:20">
      <c r="A330" t="e" vm="385">
        <v>#VALUE!</v>
      </c>
      <c r="B330" s="13" t="str" cm="1">
        <f t="array" aca="1" ref="B330" ca="1">_FV(A330,"Ticker symbol",TRUE)</f>
        <v>DORM</v>
      </c>
      <c r="C330" s="13" t="s">
        <v>550</v>
      </c>
      <c r="D330" s="13" t="s">
        <v>55</v>
      </c>
      <c r="E330" s="19" cm="1">
        <f t="array" aca="1" ref="E330" ca="1">IFERROR(_FV(A330,"Beta"),2)</f>
        <v>0.95230000000000004</v>
      </c>
      <c r="F330" s="13" t="str" cm="1">
        <f t="array" aca="1" ref="F330" ca="1">_FV(A330,"Instrument type",TRUE)</f>
        <v>Stock</v>
      </c>
      <c r="G330" s="18" cm="1">
        <f t="array" aca="1" ref="G330" ca="1">_FV(Table19[[#This Row],[Assets]],"Price")</f>
        <v>107.36</v>
      </c>
      <c r="H330" s="36" t="str">
        <f>IFERROR(VLOOKUP(Table19[[#This Row],[Assets]],Table25[#All],15,FALSE),"")</f>
        <v/>
      </c>
      <c r="I330" s="36">
        <f>IFERROR(VLOOKUP(Table19[[#This Row],[Assets]],Table25[#All],16,FALSE),0)</f>
        <v>0</v>
      </c>
      <c r="J330" s="84" t="str">
        <f ca="1">IFERROR((Table19[[#This Row],[Price]]-Table19[[#This Row],[Ave Entry]])/Table19[[#This Row],[Ave Entry]],"")</f>
        <v/>
      </c>
      <c r="K330" s="92">
        <f ca="1">IFERROR((Table19[[#This Row],[Price]]-Table19[[#This Row],[Ave Entry]])*Table19[[#This Row],[Num of Stocks]],0)</f>
        <v>0</v>
      </c>
      <c r="L330" s="38" cm="1">
        <f t="array" aca="1" ref="L330" ca="1">_FV(Table19[[#This Row],[Assets]],"Change (%)",TRUE)</f>
        <v>2.0628999999999998E-2</v>
      </c>
      <c r="M330" s="36">
        <f>SUMIF(Table20[Asset],Table19[[#This Row],[Assets]],Table20[realized_profit])</f>
        <v>0</v>
      </c>
      <c r="N330" s="36">
        <f>SUMIF(Table20[[#All],[Asset]],Table19[[#This Row],[Assets]],Table20[[#All],[delta_exposure]])</f>
        <v>0</v>
      </c>
      <c r="O330" s="38">
        <f ca="1">Table19[[#This Row],[Option Exposure]]/$B$6</f>
        <v>0</v>
      </c>
      <c r="P330" s="51">
        <f>SUMIF(Table25[[#All],[Assets]],Table19[[#This Row],[Assets]],Table25[[#All],[Number of stocks]])</f>
        <v>0</v>
      </c>
      <c r="Q330" s="36">
        <f ca="1">Table19[[#This Row],[Num of Stocks]]*Table19[[#This Row],[Price]]</f>
        <v>0</v>
      </c>
      <c r="R330" s="36">
        <f ca="1">Table19[[#This Row],[Stock Exposure]]+Table19[[#This Row],[Option Exposure]]</f>
        <v>0</v>
      </c>
      <c r="S330" s="108" t="str">
        <f>IFERROR(Table19[[#This Row],[Num of Stocks]]*Table19[[#This Row],[Ave Entry]],"")</f>
        <v/>
      </c>
      <c r="T330" s="39">
        <f ca="1">Table19[[#This Row],[Combined Exposure]]/$C$8</f>
        <v>0</v>
      </c>
    </row>
    <row r="331" spans="1:20">
      <c r="A331" t="e" vm="386">
        <v>#VALUE!</v>
      </c>
      <c r="B331" s="13" t="str" cm="1">
        <f t="array" aca="1" ref="B331" ca="1">_FV(A331,"Ticker symbol",TRUE)</f>
        <v>BSX</v>
      </c>
      <c r="C331" s="13" t="s">
        <v>53</v>
      </c>
      <c r="D331" s="13" t="s">
        <v>53</v>
      </c>
      <c r="E331" s="19" cm="1">
        <f t="array" aca="1" ref="E331" ca="1">IFERROR(_FV(A331,"Beta"),2)</f>
        <v>0.74329999999999996</v>
      </c>
      <c r="F331" s="13" t="str" cm="1">
        <f t="array" aca="1" ref="F331" ca="1">_FV(A331,"Instrument type",TRUE)</f>
        <v>Stock</v>
      </c>
      <c r="G331" s="18" cm="1">
        <f t="array" aca="1" ref="G331" ca="1">_FV(Table19[[#This Row],[Assets]],"Price")</f>
        <v>69.209999999999994</v>
      </c>
      <c r="H331" s="36">
        <f>IFERROR(VLOOKUP(Table19[[#This Row],[Assets]],Table25[#All],15,FALSE),"")</f>
        <v>78.47</v>
      </c>
      <c r="I331" s="36">
        <f>IFERROR(VLOOKUP(Table19[[#This Row],[Assets]],Table25[#All],16,FALSE),0)</f>
        <v>62.399999999999949</v>
      </c>
      <c r="J331" s="84">
        <f ca="1">IFERROR((Table19[[#This Row],[Price]]-Table19[[#This Row],[Ave Entry]])/Table19[[#This Row],[Ave Entry]],"")</f>
        <v>-0.11800688161080675</v>
      </c>
      <c r="K331" s="92">
        <f ca="1">IFERROR((Table19[[#This Row],[Price]]-Table19[[#This Row],[Ave Entry]])*Table19[[#This Row],[Num of Stocks]],0)</f>
        <v>0</v>
      </c>
      <c r="L331" s="38" cm="1">
        <f t="array" aca="1" ref="L331" ca="1">_FV(Table19[[#This Row],[Assets]],"Change (%)",TRUE)</f>
        <v>1.5553999999999998E-2</v>
      </c>
      <c r="M331" s="36">
        <f>SUMIF(Table20[Asset],Table19[[#This Row],[Assets]],Table20[realized_profit])</f>
        <v>0</v>
      </c>
      <c r="N331" s="36">
        <f>SUMIF(Table20[[#All],[Asset]],Table19[[#This Row],[Assets]],Table20[[#All],[delta_exposure]])</f>
        <v>0</v>
      </c>
      <c r="O331" s="38">
        <f ca="1">Table19[[#This Row],[Option Exposure]]/$B$6</f>
        <v>0</v>
      </c>
      <c r="P331" s="51">
        <f>SUMIF(Table25[[#All],[Assets]],Table19[[#This Row],[Assets]],Table25[[#All],[Number of stocks]])</f>
        <v>0</v>
      </c>
      <c r="Q331" s="36">
        <f ca="1">Table19[[#This Row],[Num of Stocks]]*Table19[[#This Row],[Price]]</f>
        <v>0</v>
      </c>
      <c r="R331" s="36">
        <f ca="1">Table19[[#This Row],[Stock Exposure]]+Table19[[#This Row],[Option Exposure]]</f>
        <v>0</v>
      </c>
      <c r="S331" s="108">
        <f>IFERROR(Table19[[#This Row],[Num of Stocks]]*Table19[[#This Row],[Ave Entry]],"")</f>
        <v>0</v>
      </c>
      <c r="T331" s="39">
        <f ca="1">Table19[[#This Row],[Combined Exposure]]/$C$8</f>
        <v>0</v>
      </c>
    </row>
    <row r="332" spans="1:20">
      <c r="A332" t="e" vm="121">
        <v>#VALUE!</v>
      </c>
      <c r="B332" s="13" t="str" cm="1">
        <f t="array" aca="1" ref="B332" ca="1">_FV(A332,"Ticker symbol",TRUE)</f>
        <v>IWM</v>
      </c>
      <c r="C332" s="13" t="s">
        <v>1</v>
      </c>
      <c r="D332" s="13" t="s">
        <v>1</v>
      </c>
      <c r="E332" s="19" cm="1">
        <f t="array" aca="1" ref="E332" ca="1">IFERROR(_FV(A332,"Beta"),2)</f>
        <v>0.999</v>
      </c>
      <c r="F332" s="13" t="str" cm="1">
        <f t="array" aca="1" ref="F332" ca="1">_FV(A332,"Instrument type",TRUE)</f>
        <v>ETF</v>
      </c>
      <c r="G332" s="18" cm="1">
        <f t="array" aca="1" ref="G332" ca="1">_FV(Table19[[#This Row],[Assets]],"Price")</f>
        <v>252.46010000000001</v>
      </c>
      <c r="H332" s="36">
        <f>IFERROR(VLOOKUP(Table19[[#This Row],[Assets]],Table25[#All],15,FALSE),"")</f>
        <v>201.76</v>
      </c>
      <c r="I332" s="36">
        <f>IFERROR(VLOOKUP(Table19[[#This Row],[Assets]],Table25[#All],16,FALSE),0)</f>
        <v>24.75</v>
      </c>
      <c r="J332" s="84">
        <f ca="1">IFERROR((Table19[[#This Row],[Price]]-Table19[[#This Row],[Ave Entry]])/Table19[[#This Row],[Ave Entry]],"")</f>
        <v>0.25128915543219676</v>
      </c>
      <c r="K332" s="92">
        <f ca="1">IFERROR((Table19[[#This Row],[Price]]-Table19[[#This Row],[Ave Entry]])*Table19[[#This Row],[Num of Stocks]],0)</f>
        <v>0</v>
      </c>
      <c r="L332" s="38" cm="1">
        <f t="array" aca="1" ref="L332" ca="1">_FV(Table19[[#This Row],[Assets]],"Change (%)",TRUE)</f>
        <v>1.4793000000000001E-2</v>
      </c>
      <c r="M332" s="36">
        <f>SUMIF(Table20[Asset],Table19[[#This Row],[Assets]],Table20[realized_profit])</f>
        <v>-331.99999999999994</v>
      </c>
      <c r="N332" s="36">
        <f ca="1">SUMIF(Table20[[#All],[Asset]],Table19[[#This Row],[Assets]],Table20[[#All],[delta_exposure]])</f>
        <v>0</v>
      </c>
      <c r="O332" s="98">
        <f ca="1">Table19[[#This Row],[Option Exposure]]/$B$6</f>
        <v>0</v>
      </c>
      <c r="P332" s="51">
        <f>SUMIF(Table25[[#All],[Assets]],Table19[[#This Row],[Assets]],Table25[[#All],[Number of stocks]])</f>
        <v>0</v>
      </c>
      <c r="Q332" s="36">
        <f ca="1">Table19[[#This Row],[Num of Stocks]]*Table19[[#This Row],[Price]]</f>
        <v>0</v>
      </c>
      <c r="R332" s="36">
        <f ca="1">Table19[[#This Row],[Stock Exposure]]+Table19[[#This Row],[Option Exposure]]</f>
        <v>0</v>
      </c>
      <c r="S332" s="108">
        <f>IFERROR(Table19[[#This Row],[Num of Stocks]]*Table19[[#This Row],[Ave Entry]],"")</f>
        <v>0</v>
      </c>
      <c r="T332" s="39">
        <f ca="1">Table19[[#This Row],[Combined Exposure]]/$C$8</f>
        <v>0</v>
      </c>
    </row>
    <row r="333" spans="1:20">
      <c r="A333" t="e" vm="387">
        <v>#VALUE!</v>
      </c>
      <c r="B333" s="13" t="str" cm="1">
        <f t="array" aca="1" ref="B333" ca="1">_FV(A333,"Ticker symbol",TRUE)</f>
        <v>ZWS</v>
      </c>
      <c r="C333" s="13" t="s">
        <v>134</v>
      </c>
      <c r="D333" s="13" t="s">
        <v>56</v>
      </c>
      <c r="E333" s="19" cm="1">
        <f t="array" aca="1" ref="E333" ca="1">IFERROR(_FV(A333,"Beta"),2)</f>
        <v>1.1236999999999999</v>
      </c>
      <c r="F333" s="13" t="str" cm="1">
        <f t="array" aca="1" ref="F333" ca="1">_FV(A333,"Instrument type",TRUE)</f>
        <v>Stock</v>
      </c>
      <c r="G333" s="18" cm="1">
        <f t="array" aca="1" ref="G333" ca="1">_FV(Table19[[#This Row],[Assets]],"Price")</f>
        <v>45.674999999999997</v>
      </c>
      <c r="H333" s="36">
        <f>IFERROR(VLOOKUP(Table19[[#This Row],[Assets]],Table25[#All],15,FALSE),"")</f>
        <v>32.53</v>
      </c>
      <c r="I333" s="36">
        <f>IFERROR(VLOOKUP(Table19[[#This Row],[Assets]],Table25[#All],16,FALSE),0)</f>
        <v>-0.27000000000000313</v>
      </c>
      <c r="J333" s="84">
        <f ca="1">IFERROR((Table19[[#This Row],[Price]]-Table19[[#This Row],[Ave Entry]])/Table19[[#This Row],[Ave Entry]],"")</f>
        <v>0.40408853366123565</v>
      </c>
      <c r="K333" s="92">
        <f ca="1">IFERROR((Table19[[#This Row],[Price]]-Table19[[#This Row],[Ave Entry]])*Table19[[#This Row],[Num of Stocks]],0)</f>
        <v>0</v>
      </c>
      <c r="L333" s="38" cm="1">
        <f t="array" aca="1" ref="L333" ca="1">_FV(Table19[[#This Row],[Assets]],"Change (%)",TRUE)</f>
        <v>4.5079999999999999E-3</v>
      </c>
      <c r="M333" s="36">
        <f>SUMIF(Table20[Asset],Table19[[#This Row],[Assets]],Table20[realized_profit])</f>
        <v>0</v>
      </c>
      <c r="N333" s="36">
        <f>SUMIF(Table20[[#All],[Asset]],Table19[[#This Row],[Assets]],Table20[[#All],[delta_exposure]])</f>
        <v>0</v>
      </c>
      <c r="O333" s="98">
        <f ca="1">Table19[[#This Row],[Option Exposure]]/$B$6</f>
        <v>0</v>
      </c>
      <c r="P333" s="51">
        <f>SUMIF(Table25[[#All],[Assets]],Table19[[#This Row],[Assets]],Table25[[#All],[Number of stocks]])</f>
        <v>0</v>
      </c>
      <c r="Q333" s="36">
        <f ca="1">Table19[[#This Row],[Num of Stocks]]*Table19[[#This Row],[Price]]</f>
        <v>0</v>
      </c>
      <c r="R333" s="36">
        <f ca="1">Table19[[#This Row],[Stock Exposure]]+Table19[[#This Row],[Option Exposure]]</f>
        <v>0</v>
      </c>
      <c r="S333" s="108">
        <f>IFERROR(Table19[[#This Row],[Num of Stocks]]*Table19[[#This Row],[Ave Entry]],"")</f>
        <v>0</v>
      </c>
      <c r="T333" s="39">
        <f ca="1">Table19[[#This Row],[Combined Exposure]]/$C$8</f>
        <v>0</v>
      </c>
    </row>
    <row r="334" spans="1:20">
      <c r="A334" t="e" vm="388">
        <v>#VALUE!</v>
      </c>
      <c r="B334" s="13" t="str" cm="1">
        <f t="array" aca="1" ref="B334" ca="1">_FV(A334,"Ticker symbol",TRUE)</f>
        <v>TMUS</v>
      </c>
      <c r="C334" s="13" t="s">
        <v>29</v>
      </c>
      <c r="D334" s="13" t="s">
        <v>562</v>
      </c>
      <c r="E334" s="19" cm="1">
        <f t="array" aca="1" ref="E334" ca="1">IFERROR(_FV(A334,"Beta"),2)</f>
        <v>0.4194</v>
      </c>
      <c r="F334" s="13" t="str" cm="1">
        <f t="array" aca="1" ref="F334" ca="1">_FV(A334,"Instrument type",TRUE)</f>
        <v>Stock</v>
      </c>
      <c r="G334" s="18" cm="1">
        <f t="array" aca="1" ref="G334" ca="1">_FV(Table19[[#This Row],[Assets]],"Price")</f>
        <v>210.66749999999999</v>
      </c>
      <c r="H334" s="36">
        <f>IFERROR(VLOOKUP(Table19[[#This Row],[Assets]],Table25[#All],15,FALSE),"")</f>
        <v>253.14</v>
      </c>
      <c r="I334" s="36">
        <f>IFERROR(VLOOKUP(Table19[[#This Row],[Assets]],Table25[#All],16,FALSE),0)</f>
        <v>-5.75</v>
      </c>
      <c r="J334" s="84">
        <f ca="1">IFERROR((Table19[[#This Row],[Price]]-Table19[[#This Row],[Ave Entry]])/Table19[[#This Row],[Ave Entry]],"")</f>
        <v>-0.16778264991704195</v>
      </c>
      <c r="K334" s="92">
        <f ca="1">IFERROR((Table19[[#This Row],[Price]]-Table19[[#This Row],[Ave Entry]])*Table19[[#This Row],[Num of Stocks]],0)</f>
        <v>0</v>
      </c>
      <c r="L334" s="38" cm="1">
        <f t="array" aca="1" ref="L334" ca="1">_FV(Table19[[#This Row],[Assets]],"Change (%)",TRUE)</f>
        <v>-2.8050000000000002E-3</v>
      </c>
      <c r="M334" s="36">
        <f>SUMIF(Table20[Asset],Table19[[#This Row],[Assets]],Table20[realized_profit])</f>
        <v>0</v>
      </c>
      <c r="N334" s="36">
        <f>SUMIF(Table20[[#All],[Asset]],Table19[[#This Row],[Assets]],Table20[[#All],[delta_exposure]])</f>
        <v>0</v>
      </c>
      <c r="O334" s="38">
        <f ca="1">Table19[[#This Row],[Option Exposure]]/$B$6</f>
        <v>0</v>
      </c>
      <c r="P334" s="51">
        <f>SUMIF(Table25[[#All],[Assets]],Table19[[#This Row],[Assets]],Table25[[#All],[Number of stocks]])</f>
        <v>0</v>
      </c>
      <c r="Q334" s="36">
        <f ca="1">Table19[[#This Row],[Num of Stocks]]*Table19[[#This Row],[Price]]</f>
        <v>0</v>
      </c>
      <c r="R334" s="36">
        <f ca="1">Table19[[#This Row],[Stock Exposure]]+Table19[[#This Row],[Option Exposure]]</f>
        <v>0</v>
      </c>
      <c r="S334" s="108">
        <f>IFERROR(Table19[[#This Row],[Num of Stocks]]*Table19[[#This Row],[Ave Entry]],"")</f>
        <v>0</v>
      </c>
      <c r="T334" s="39">
        <f ca="1">Table19[[#This Row],[Combined Exposure]]/$C$8</f>
        <v>0</v>
      </c>
    </row>
    <row r="335" spans="1:20">
      <c r="A335" t="e" vm="389">
        <v>#VALUE!</v>
      </c>
      <c r="B335" s="13" t="str" cm="1">
        <f t="array" aca="1" ref="B335" ca="1">_FV(A335,"Ticker symbol",TRUE)</f>
        <v>BPMC</v>
      </c>
      <c r="C335" s="13" t="s">
        <v>53</v>
      </c>
      <c r="D335" s="13" t="s">
        <v>560</v>
      </c>
      <c r="E335" s="19" cm="1">
        <f t="array" aca="1" ref="E335" ca="1">IFERROR(_FV(A335,"Beta"),2)</f>
        <v>0.9355</v>
      </c>
      <c r="F335" s="13" t="str" cm="1">
        <f t="array" aca="1" ref="F335" ca="1">_FV(A335,"Instrument type",TRUE)</f>
        <v>Stock</v>
      </c>
      <c r="G335" s="18" cm="1">
        <f t="array" aca="1" ref="G335" ca="1">_FV(Table19[[#This Row],[Assets]],"Price")</f>
        <v>129.46</v>
      </c>
      <c r="H335" s="36" t="str">
        <f>IFERROR(VLOOKUP(Table19[[#This Row],[Assets]],Table25[#All],15,FALSE),"")</f>
        <v/>
      </c>
      <c r="I335" s="36">
        <f>IFERROR(VLOOKUP(Table19[[#This Row],[Assets]],Table25[#All],16,FALSE),0)</f>
        <v>0</v>
      </c>
      <c r="J335" s="84" t="str">
        <f ca="1">IFERROR((Table19[[#This Row],[Price]]-Table19[[#This Row],[Ave Entry]])/Table19[[#This Row],[Ave Entry]],"")</f>
        <v/>
      </c>
      <c r="K335" s="92">
        <f ca="1">IFERROR((Table19[[#This Row],[Price]]-Table19[[#This Row],[Ave Entry]])*Table19[[#This Row],[Num of Stocks]],0)</f>
        <v>0</v>
      </c>
      <c r="L335" s="38" cm="1">
        <f t="array" aca="1" ref="L335" ca="1">_FV(Table19[[#This Row],[Assets]],"Change (%)",TRUE)</f>
        <v>0</v>
      </c>
      <c r="M335" s="36">
        <f>SUMIF(Table20[Asset],Table19[[#This Row],[Assets]],Table20[realized_profit])</f>
        <v>0</v>
      </c>
      <c r="N335" s="36">
        <f>SUMIF(Table20[[#All],[Asset]],Table19[[#This Row],[Assets]],Table20[[#All],[delta_exposure]])</f>
        <v>0</v>
      </c>
      <c r="O335" s="38">
        <f ca="1">Table19[[#This Row],[Option Exposure]]/$B$6</f>
        <v>0</v>
      </c>
      <c r="P335" s="51">
        <f>SUMIF(Table25[[#All],[Assets]],Table19[[#This Row],[Assets]],Table25[[#All],[Number of stocks]])</f>
        <v>0</v>
      </c>
      <c r="Q335" s="36">
        <f ca="1">Table19[[#This Row],[Num of Stocks]]*Table19[[#This Row],[Price]]</f>
        <v>0</v>
      </c>
      <c r="R335" s="36">
        <f ca="1">Table19[[#This Row],[Stock Exposure]]+Table19[[#This Row],[Option Exposure]]</f>
        <v>0</v>
      </c>
      <c r="S335" s="108" t="str">
        <f>IFERROR(Table19[[#This Row],[Num of Stocks]]*Table19[[#This Row],[Ave Entry]],"")</f>
        <v/>
      </c>
      <c r="T335" s="39">
        <f ca="1">Table19[[#This Row],[Combined Exposure]]/$C$8</f>
        <v>0</v>
      </c>
    </row>
    <row r="336" spans="1:20">
      <c r="A336" t="e" vm="390">
        <v>#VALUE!</v>
      </c>
      <c r="B336" s="13" t="str" cm="1">
        <f t="array" aca="1" ref="B336" ca="1">_FV(A336,"Ticker symbol",TRUE)</f>
        <v>WTFC</v>
      </c>
      <c r="C336" s="13" t="s">
        <v>54</v>
      </c>
      <c r="D336" s="13" t="s">
        <v>54</v>
      </c>
      <c r="E336" s="19" cm="1">
        <f t="array" aca="1" ref="E336" ca="1">IFERROR(_FV(A336,"Beta"),2)</f>
        <v>0.86639999999999995</v>
      </c>
      <c r="F336" s="13" t="str" cm="1">
        <f t="array" aca="1" ref="F336" ca="1">_FV(A336,"Instrument type",TRUE)</f>
        <v>Stock</v>
      </c>
      <c r="G336" s="18" cm="1">
        <f t="array" aca="1" ref="G336" ca="1">_FV(Table19[[#This Row],[Assets]],"Price")</f>
        <v>136.66</v>
      </c>
      <c r="H336" s="36" t="str">
        <f>IFERROR(VLOOKUP(Table19[[#This Row],[Assets]],Table25[#All],15,FALSE),"")</f>
        <v/>
      </c>
      <c r="I336" s="36">
        <f>IFERROR(VLOOKUP(Table19[[#This Row],[Assets]],Table25[#All],16,FALSE),0)</f>
        <v>0</v>
      </c>
      <c r="J336" s="84" t="str">
        <f ca="1">IFERROR((Table19[[#This Row],[Price]]-Table19[[#This Row],[Ave Entry]])/Table19[[#This Row],[Ave Entry]],"")</f>
        <v/>
      </c>
      <c r="K336" s="92">
        <f ca="1">IFERROR((Table19[[#This Row],[Price]]-Table19[[#This Row],[Ave Entry]])*Table19[[#This Row],[Num of Stocks]],0)</f>
        <v>0</v>
      </c>
      <c r="L336" s="38" cm="1">
        <f t="array" aca="1" ref="L336" ca="1">_FV(Table19[[#This Row],[Assets]],"Change (%)",TRUE)</f>
        <v>4.1149999999999997E-3</v>
      </c>
      <c r="M336" s="36">
        <f>SUMIF(Table20[Asset],Table19[[#This Row],[Assets]],Table20[realized_profit])</f>
        <v>0</v>
      </c>
      <c r="N336" s="36">
        <f>SUMIF(Table20[[#All],[Asset]],Table19[[#This Row],[Assets]],Table20[[#All],[delta_exposure]])</f>
        <v>0</v>
      </c>
      <c r="O336" s="38">
        <f ca="1">Table19[[#This Row],[Option Exposure]]/$B$6</f>
        <v>0</v>
      </c>
      <c r="P336" s="51">
        <f>SUMIF(Table25[[#All],[Assets]],Table19[[#This Row],[Assets]],Table25[[#All],[Number of stocks]])</f>
        <v>0</v>
      </c>
      <c r="Q336" s="36">
        <f ca="1">Table19[[#This Row],[Num of Stocks]]*Table19[[#This Row],[Price]]</f>
        <v>0</v>
      </c>
      <c r="R336" s="36">
        <f ca="1">Table19[[#This Row],[Stock Exposure]]+Table19[[#This Row],[Option Exposure]]</f>
        <v>0</v>
      </c>
      <c r="S336" s="108" t="str">
        <f>IFERROR(Table19[[#This Row],[Num of Stocks]]*Table19[[#This Row],[Ave Entry]],"")</f>
        <v/>
      </c>
      <c r="T336" s="39">
        <f ca="1">Table19[[#This Row],[Combined Exposure]]/$C$8</f>
        <v>0</v>
      </c>
    </row>
    <row r="337" spans="1:20">
      <c r="A337" t="e" vm="391">
        <v>#VALUE!</v>
      </c>
      <c r="B337" s="13" t="str" cm="1">
        <f t="array" aca="1" ref="B337" ca="1">_FV(A337,"Ticker symbol",TRUE)</f>
        <v>SQM</v>
      </c>
      <c r="C337" s="13" t="s">
        <v>56</v>
      </c>
      <c r="D337" s="13" t="s">
        <v>56</v>
      </c>
      <c r="E337" s="19" cm="1">
        <f t="array" aca="1" ref="E337" ca="1">IFERROR(_FV(A337,"Beta"),2)</f>
        <v>1.0212000000000001</v>
      </c>
      <c r="F337" s="13" t="str" cm="1">
        <f t="array" aca="1" ref="F337" ca="1">_FV(A337,"Instrument type",TRUE)</f>
        <v>Stock</v>
      </c>
      <c r="G337" s="18" cm="1">
        <f t="array" aca="1" ref="G337" ca="1">_FV(Table19[[#This Row],[Assets]],"Price")</f>
        <v>79.11</v>
      </c>
      <c r="H337" s="36">
        <f>IFERROR(VLOOKUP(Table19[[#This Row],[Assets]],Table25[#All],15,FALSE),"")</f>
        <v>45.38</v>
      </c>
      <c r="I337" s="36">
        <f>IFERROR(VLOOKUP(Table19[[#This Row],[Assets]],Table25[#All],16,FALSE),0)</f>
        <v>-11.52000000000001</v>
      </c>
      <c r="J337" s="84">
        <f ca="1">IFERROR((Table19[[#This Row],[Price]]-Table19[[#This Row],[Ave Entry]])/Table19[[#This Row],[Ave Entry]],"")</f>
        <v>0.74327897752313787</v>
      </c>
      <c r="K337" s="92">
        <f ca="1">IFERROR((Table19[[#This Row],[Price]]-Table19[[#This Row],[Ave Entry]])*Table19[[#This Row],[Num of Stocks]],0)</f>
        <v>0</v>
      </c>
      <c r="L337" s="38" cm="1">
        <f t="array" aca="1" ref="L337" ca="1">_FV(Table19[[#This Row],[Assets]],"Change (%)",TRUE)</f>
        <v>2.8203999999999996E-2</v>
      </c>
      <c r="M337" s="36">
        <f>SUMIF(Table20[Asset],Table19[[#This Row],[Assets]],Table20[realized_profit])</f>
        <v>0</v>
      </c>
      <c r="N337" s="36">
        <f>SUMIF(Table20[[#All],[Asset]],Table19[[#This Row],[Assets]],Table20[[#All],[delta_exposure]])</f>
        <v>0</v>
      </c>
      <c r="O337" s="98">
        <f ca="1">Table19[[#This Row],[Option Exposure]]/$B$6</f>
        <v>0</v>
      </c>
      <c r="P337" s="51">
        <f>SUMIF(Table25[[#All],[Assets]],Table19[[#This Row],[Assets]],Table25[[#All],[Number of stocks]])</f>
        <v>0</v>
      </c>
      <c r="Q337" s="36">
        <f ca="1">Table19[[#This Row],[Num of Stocks]]*Table19[[#This Row],[Price]]</f>
        <v>0</v>
      </c>
      <c r="R337" s="36">
        <f ca="1">Table19[[#This Row],[Stock Exposure]]+Table19[[#This Row],[Option Exposure]]</f>
        <v>0</v>
      </c>
      <c r="S337" s="108">
        <f>IFERROR(Table19[[#This Row],[Num of Stocks]]*Table19[[#This Row],[Ave Entry]],"")</f>
        <v>0</v>
      </c>
      <c r="T337" s="39">
        <f ca="1">Table19[[#This Row],[Combined Exposure]]/$C$8</f>
        <v>0</v>
      </c>
    </row>
    <row r="338" spans="1:20">
      <c r="A338" t="e" vm="392">
        <v>#VALUE!</v>
      </c>
      <c r="B338" s="13" t="str" cm="1">
        <f t="array" aca="1" ref="B338" ca="1">_FV(A338,"Ticker symbol",TRUE)</f>
        <v>SCI</v>
      </c>
      <c r="C338" s="13" t="s">
        <v>326</v>
      </c>
      <c r="D338" s="13" t="s">
        <v>53</v>
      </c>
      <c r="E338" s="19" cm="1">
        <f t="array" aca="1" ref="E338" ca="1">IFERROR(_FV(A338,"Beta"),2)</f>
        <v>1.0123</v>
      </c>
      <c r="F338" s="13" t="str" cm="1">
        <f t="array" aca="1" ref="F338" ca="1">_FV(A338,"Instrument type",TRUE)</f>
        <v>Stock</v>
      </c>
      <c r="G338" s="18" cm="1">
        <f t="array" aca="1" ref="G338" ca="1">_FV(Table19[[#This Row],[Assets]],"Price")</f>
        <v>77.89</v>
      </c>
      <c r="H338" s="36" t="str">
        <f>IFERROR(VLOOKUP(Table19[[#This Row],[Assets]],Table25[#All],15,FALSE),"")</f>
        <v/>
      </c>
      <c r="I338" s="36">
        <f>IFERROR(VLOOKUP(Table19[[#This Row],[Assets]],Table25[#All],16,FALSE),0)</f>
        <v>0</v>
      </c>
      <c r="J338" s="84" t="str">
        <f ca="1">IFERROR((Table19[[#This Row],[Price]]-Table19[[#This Row],[Ave Entry]])/Table19[[#This Row],[Ave Entry]],"")</f>
        <v/>
      </c>
      <c r="K338" s="92">
        <f ca="1">IFERROR((Table19[[#This Row],[Price]]-Table19[[#This Row],[Ave Entry]])*Table19[[#This Row],[Num of Stocks]],0)</f>
        <v>0</v>
      </c>
      <c r="L338" s="38" cm="1">
        <f t="array" aca="1" ref="L338" ca="1">_FV(Table19[[#This Row],[Assets]],"Change (%)",TRUE)</f>
        <v>5.2919999999999998E-3</v>
      </c>
      <c r="M338" s="36">
        <f>SUMIF(Table20[Asset],Table19[[#This Row],[Assets]],Table20[realized_profit])</f>
        <v>0</v>
      </c>
      <c r="N338" s="36">
        <f>SUMIF(Table20[[#All],[Asset]],Table19[[#This Row],[Assets]],Table20[[#All],[delta_exposure]])</f>
        <v>0</v>
      </c>
      <c r="O338" s="38">
        <f ca="1">Table19[[#This Row],[Option Exposure]]/$B$6</f>
        <v>0</v>
      </c>
      <c r="P338" s="51">
        <f>SUMIF(Table25[[#All],[Assets]],Table19[[#This Row],[Assets]],Table25[[#All],[Number of stocks]])</f>
        <v>0</v>
      </c>
      <c r="Q338" s="36">
        <f ca="1">Table19[[#This Row],[Num of Stocks]]*Table19[[#This Row],[Price]]</f>
        <v>0</v>
      </c>
      <c r="R338" s="36">
        <f ca="1">Table19[[#This Row],[Stock Exposure]]+Table19[[#This Row],[Option Exposure]]</f>
        <v>0</v>
      </c>
      <c r="S338" s="108" t="str">
        <f>IFERROR(Table19[[#This Row],[Num of Stocks]]*Table19[[#This Row],[Ave Entry]],"")</f>
        <v/>
      </c>
      <c r="T338" s="39">
        <f ca="1">Table19[[#This Row],[Combined Exposure]]/$C$8</f>
        <v>0</v>
      </c>
    </row>
    <row r="339" spans="1:20">
      <c r="A339" t="e" vm="139">
        <v>#VALUE!</v>
      </c>
      <c r="B339" s="13" t="str" cm="1">
        <f t="array" aca="1" ref="B339" ca="1">_FV(A339,"Ticker symbol",TRUE)</f>
        <v>WMT</v>
      </c>
      <c r="C339" s="13" t="s">
        <v>57</v>
      </c>
      <c r="D339" s="13" t="s">
        <v>57</v>
      </c>
      <c r="E339" s="19" cm="1">
        <f t="array" aca="1" ref="E339" ca="1">IFERROR(_FV(A339,"Beta"),2)</f>
        <v>0.67120000000000002</v>
      </c>
      <c r="F339" s="13" t="str" cm="1">
        <f t="array" aca="1" ref="F339" ca="1">_FV(A339,"Instrument type",TRUE)</f>
        <v>Stock</v>
      </c>
      <c r="G339" s="18" cm="1">
        <f t="array" aca="1" ref="G339" ca="1">_FV(Table19[[#This Row],[Assets]],"Price")</f>
        <v>122.55500000000001</v>
      </c>
      <c r="H339" s="36" t="str">
        <f>IFERROR(VLOOKUP(Table19[[#This Row],[Assets]],Table25[#All],15,FALSE),"")</f>
        <v/>
      </c>
      <c r="I339" s="36">
        <f>IFERROR(VLOOKUP(Table19[[#This Row],[Assets]],Table25[#All],16,FALSE),0)</f>
        <v>0</v>
      </c>
      <c r="J339" s="84" t="str">
        <f ca="1">IFERROR((Table19[[#This Row],[Price]]-Table19[[#This Row],[Ave Entry]])/Table19[[#This Row],[Ave Entry]],"")</f>
        <v/>
      </c>
      <c r="K339" s="92">
        <f ca="1">IFERROR((Table19[[#This Row],[Price]]-Table19[[#This Row],[Ave Entry]])*Table19[[#This Row],[Num of Stocks]],0)</f>
        <v>0</v>
      </c>
      <c r="L339" s="38" cm="1">
        <f t="array" aca="1" ref="L339" ca="1">_FV(Table19[[#This Row],[Assets]],"Change (%)",TRUE)</f>
        <v>4.1380000000000002E-3</v>
      </c>
      <c r="M339" s="36">
        <f>SUMIF(Table20[Asset],Table19[[#This Row],[Assets]],Table20[realized_profit])</f>
        <v>-838.16</v>
      </c>
      <c r="N339" s="36">
        <f ca="1">SUMIF(Table20[[#All],[Asset]],Table19[[#This Row],[Assets]],Table20[[#All],[delta_exposure]])</f>
        <v>0</v>
      </c>
      <c r="O339" s="38">
        <f ca="1">Table19[[#This Row],[Option Exposure]]/$B$6</f>
        <v>0</v>
      </c>
      <c r="P339" s="51">
        <f>SUMIF(Table25[[#All],[Assets]],Table19[[#This Row],[Assets]],Table25[[#All],[Number of stocks]])</f>
        <v>0</v>
      </c>
      <c r="Q339" s="36">
        <f ca="1">Table19[[#This Row],[Num of Stocks]]*Table19[[#This Row],[Price]]</f>
        <v>0</v>
      </c>
      <c r="R339" s="36">
        <f ca="1">Table19[[#This Row],[Stock Exposure]]+Table19[[#This Row],[Option Exposure]]</f>
        <v>0</v>
      </c>
      <c r="S339" s="108" t="str">
        <f>IFERROR(Table19[[#This Row],[Num of Stocks]]*Table19[[#This Row],[Ave Entry]],"")</f>
        <v/>
      </c>
      <c r="T339" s="39">
        <f ca="1">Table19[[#This Row],[Combined Exposure]]/$C$8</f>
        <v>0</v>
      </c>
    </row>
    <row r="340" spans="1:20">
      <c r="A340" t="e" vm="138">
        <v>#VALUE!</v>
      </c>
      <c r="B340" s="13" t="str" cm="1">
        <f t="array" aca="1" ref="B340" ca="1">_FV(A340,"Ticker symbol",TRUE)</f>
        <v>PRGS</v>
      </c>
      <c r="C340" s="13" t="s">
        <v>29</v>
      </c>
      <c r="D340" s="13" t="s">
        <v>121</v>
      </c>
      <c r="E340" s="19" cm="1">
        <f t="array" aca="1" ref="E340" ca="1">IFERROR(_FV(A340,"Beta"),2)</f>
        <v>0.70750000000000002</v>
      </c>
      <c r="F340" s="13" t="str" cm="1">
        <f t="array" aca="1" ref="F340" ca="1">_FV(A340,"Instrument type",TRUE)</f>
        <v>Stock</v>
      </c>
      <c r="G340" s="18" cm="1">
        <f t="array" aca="1" ref="G340" ca="1">_FV(Table19[[#This Row],[Assets]],"Price")</f>
        <v>28.2</v>
      </c>
      <c r="H340" s="36">
        <f>IFERROR(VLOOKUP(Table19[[#This Row],[Assets]],Table25[#All],15,FALSE),"")</f>
        <v>55.93</v>
      </c>
      <c r="I340" s="36">
        <f>IFERROR(VLOOKUP(Table19[[#This Row],[Assets]],Table25[#All],16,FALSE),0)</f>
        <v>1.2800000000000296</v>
      </c>
      <c r="J340" s="84">
        <f ca="1">IFERROR((Table19[[#This Row],[Price]]-Table19[[#This Row],[Ave Entry]])/Table19[[#This Row],[Ave Entry]],"")</f>
        <v>-0.49579831932773111</v>
      </c>
      <c r="K340" s="92">
        <f ca="1">IFERROR((Table19[[#This Row],[Price]]-Table19[[#This Row],[Ave Entry]])*Table19[[#This Row],[Num of Stocks]],0)</f>
        <v>0</v>
      </c>
      <c r="L340" s="38" cm="1">
        <f t="array" aca="1" ref="L340" ca="1">_FV(Table19[[#This Row],[Assets]],"Change (%)",TRUE)</f>
        <v>-1.9471000000000002E-2</v>
      </c>
      <c r="M340" s="36">
        <f>SUMIF(Table20[Asset],Table19[[#This Row],[Assets]],Table20[realized_profit])</f>
        <v>0</v>
      </c>
      <c r="N340" s="36">
        <f>SUMIF(Table20[[#All],[Asset]],Table19[[#This Row],[Assets]],Table20[[#All],[delta_exposure]])</f>
        <v>0</v>
      </c>
      <c r="O340" s="38">
        <f ca="1">Table19[[#This Row],[Option Exposure]]/$B$6</f>
        <v>0</v>
      </c>
      <c r="P340" s="51">
        <f>SUMIF(Table25[[#All],[Assets]],Table19[[#This Row],[Assets]],Table25[[#All],[Number of stocks]])</f>
        <v>0</v>
      </c>
      <c r="Q340" s="36">
        <f ca="1">Table19[[#This Row],[Num of Stocks]]*Table19[[#This Row],[Price]]</f>
        <v>0</v>
      </c>
      <c r="R340" s="36">
        <f ca="1">Table19[[#This Row],[Stock Exposure]]+Table19[[#This Row],[Option Exposure]]</f>
        <v>0</v>
      </c>
      <c r="S340" s="108">
        <f>IFERROR(Table19[[#This Row],[Num of Stocks]]*Table19[[#This Row],[Ave Entry]],"")</f>
        <v>0</v>
      </c>
      <c r="T340" s="39">
        <f ca="1">Table19[[#This Row],[Combined Exposure]]/$C$8</f>
        <v>0</v>
      </c>
    </row>
    <row r="341" spans="1:20">
      <c r="A341" t="e" vm="393">
        <v>#VALUE!</v>
      </c>
      <c r="B341" s="13" t="str" cm="1">
        <f t="array" aca="1" ref="B341" ca="1">_FV(A341,"Ticker symbol",TRUE)</f>
        <v>FLS</v>
      </c>
      <c r="C341" s="13" t="s">
        <v>134</v>
      </c>
      <c r="D341" s="13" t="s">
        <v>56</v>
      </c>
      <c r="E341" s="19" cm="1">
        <f t="array" aca="1" ref="E341" ca="1">IFERROR(_FV(A341,"Beta"),2)</f>
        <v>1.3290999999999999</v>
      </c>
      <c r="F341" s="13" t="str" cm="1">
        <f t="array" aca="1" ref="F341" ca="1">_FV(A341,"Instrument type",TRUE)</f>
        <v>Stock</v>
      </c>
      <c r="G341" s="18" cm="1">
        <f t="array" aca="1" ref="G341" ca="1">_FV(Table19[[#This Row],[Assets]],"Price")</f>
        <v>76.680000000000007</v>
      </c>
      <c r="H341" s="36" t="str">
        <f>IFERROR(VLOOKUP(Table19[[#This Row],[Assets]],Table25[#All],15,FALSE),"")</f>
        <v/>
      </c>
      <c r="I341" s="36">
        <f>IFERROR(VLOOKUP(Table19[[#This Row],[Assets]],Table25[#All],16,FALSE),0)</f>
        <v>0</v>
      </c>
      <c r="J341" s="84" t="str">
        <f ca="1">IFERROR((Table19[[#This Row],[Price]]-Table19[[#This Row],[Ave Entry]])/Table19[[#This Row],[Ave Entry]],"")</f>
        <v/>
      </c>
      <c r="K341" s="92">
        <f ca="1">IFERROR((Table19[[#This Row],[Price]]-Table19[[#This Row],[Ave Entry]])*Table19[[#This Row],[Num of Stocks]],0)</f>
        <v>0</v>
      </c>
      <c r="L341" s="38" cm="1">
        <f t="array" aca="1" ref="L341" ca="1">_FV(Table19[[#This Row],[Assets]],"Change (%)",TRUE)</f>
        <v>1.7111000000000001E-2</v>
      </c>
      <c r="M341" s="36">
        <f>SUMIF(Table20[Asset],Table19[[#This Row],[Assets]],Table20[realized_profit])</f>
        <v>0</v>
      </c>
      <c r="N341" s="36">
        <f>SUMIF(Table20[[#All],[Asset]],Table19[[#This Row],[Assets]],Table20[[#All],[delta_exposure]])</f>
        <v>0</v>
      </c>
      <c r="O341" s="38">
        <f ca="1">Table19[[#This Row],[Option Exposure]]/$B$6</f>
        <v>0</v>
      </c>
      <c r="P341" s="51">
        <f>SUMIF(Table25[[#All],[Assets]],Table19[[#This Row],[Assets]],Table25[[#All],[Number of stocks]])</f>
        <v>0</v>
      </c>
      <c r="Q341" s="36">
        <f ca="1">Table19[[#This Row],[Num of Stocks]]*Table19[[#This Row],[Price]]</f>
        <v>0</v>
      </c>
      <c r="R341" s="36">
        <f ca="1">Table19[[#This Row],[Stock Exposure]]+Table19[[#This Row],[Option Exposure]]</f>
        <v>0</v>
      </c>
      <c r="S341" s="108" t="str">
        <f>IFERROR(Table19[[#This Row],[Num of Stocks]]*Table19[[#This Row],[Ave Entry]],"")</f>
        <v/>
      </c>
      <c r="T341" s="39">
        <f ca="1">Table19[[#This Row],[Combined Exposure]]/$C$8</f>
        <v>0</v>
      </c>
    </row>
    <row r="342" spans="1:20">
      <c r="A342" t="e" vm="177">
        <v>#VALUE!</v>
      </c>
      <c r="B342" s="13" t="str" cm="1">
        <f t="array" aca="1" ref="B342" ca="1">_FV(A342,"Ticker symbol",TRUE)</f>
        <v>ACHC</v>
      </c>
      <c r="C342" s="13" t="s">
        <v>53</v>
      </c>
      <c r="D342" s="13" t="s">
        <v>53</v>
      </c>
      <c r="E342" s="19" cm="1">
        <f t="array" aca="1" ref="E342" ca="1">IFERROR(_FV(A342,"Beta"),2)</f>
        <v>0.72789999999999999</v>
      </c>
      <c r="F342" s="13" t="str" cm="1">
        <f t="array" aca="1" ref="F342" ca="1">_FV(A342,"Instrument type",TRUE)</f>
        <v>Stock</v>
      </c>
      <c r="G342" s="18" cm="1">
        <f t="array" aca="1" ref="G342" ca="1">_FV(Table19[[#This Row],[Assets]],"Price")</f>
        <v>23.78</v>
      </c>
      <c r="H342" s="36" t="str">
        <f>IFERROR(VLOOKUP(Table19[[#This Row],[Assets]],Table25[#All],15,FALSE),"")</f>
        <v/>
      </c>
      <c r="I342" s="36">
        <f>IFERROR(VLOOKUP(Table19[[#This Row],[Assets]],Table25[#All],16,FALSE),0)</f>
        <v>0</v>
      </c>
      <c r="J342" s="84" t="str">
        <f ca="1">IFERROR((Table19[[#This Row],[Price]]-Table19[[#This Row],[Ave Entry]])/Table19[[#This Row],[Ave Entry]],"")</f>
        <v/>
      </c>
      <c r="K342" s="92">
        <f ca="1">IFERROR((Table19[[#This Row],[Price]]-Table19[[#This Row],[Ave Entry]])*Table19[[#This Row],[Num of Stocks]],0)</f>
        <v>0</v>
      </c>
      <c r="L342" s="38" cm="1">
        <f t="array" aca="1" ref="L342" ca="1">_FV(Table19[[#This Row],[Assets]],"Change (%)",TRUE)</f>
        <v>4.8038999999999998E-2</v>
      </c>
      <c r="M342" s="36">
        <f>SUMIF(Table20[Asset],Table19[[#This Row],[Assets]],Table20[realized_profit])</f>
        <v>620</v>
      </c>
      <c r="N342" s="36">
        <f ca="1">SUMIF(Table20[[#All],[Asset]],Table19[[#This Row],[Assets]],Table20[[#All],[delta_exposure]])</f>
        <v>0</v>
      </c>
      <c r="O342" s="38">
        <f ca="1">Table19[[#This Row],[Option Exposure]]/$B$6</f>
        <v>0</v>
      </c>
      <c r="P342" s="51">
        <f>SUMIF(Table25[[#All],[Assets]],Table19[[#This Row],[Assets]],Table25[[#All],[Number of stocks]])</f>
        <v>0</v>
      </c>
      <c r="Q342" s="36">
        <f ca="1">Table19[[#This Row],[Num of Stocks]]*Table19[[#This Row],[Price]]</f>
        <v>0</v>
      </c>
      <c r="R342" s="36">
        <f ca="1">Table19[[#This Row],[Stock Exposure]]+Table19[[#This Row],[Option Exposure]]</f>
        <v>0</v>
      </c>
      <c r="S342" s="108" t="str">
        <f>IFERROR(Table19[[#This Row],[Num of Stocks]]*Table19[[#This Row],[Ave Entry]],"")</f>
        <v/>
      </c>
      <c r="T342" s="39">
        <f ca="1">Table19[[#This Row],[Combined Exposure]]/$C$8</f>
        <v>0</v>
      </c>
    </row>
    <row r="343" spans="1:20">
      <c r="A343" t="e" vm="124">
        <v>#VALUE!</v>
      </c>
      <c r="B343" s="13" t="str" cm="1">
        <f t="array" aca="1" ref="B343" ca="1">_FV(A343,"Ticker symbol",TRUE)</f>
        <v>S</v>
      </c>
      <c r="C343" s="13" t="s">
        <v>29</v>
      </c>
      <c r="D343" s="13" t="s">
        <v>302</v>
      </c>
      <c r="E343" s="19" cm="1">
        <f t="array" aca="1" ref="E343" ca="1">IFERROR(_FV(A343,"Beta"),2)</f>
        <v>0.75329999999999997</v>
      </c>
      <c r="F343" s="13" t="str" cm="1">
        <f t="array" aca="1" ref="F343" ca="1">_FV(A343,"Instrument type",TRUE)</f>
        <v>Stock</v>
      </c>
      <c r="G343" s="18" cm="1">
        <f t="array" aca="1" ref="G343" ca="1">_FV(Table19[[#This Row],[Assets]],"Price")</f>
        <v>13.605</v>
      </c>
      <c r="H343" s="36" t="str">
        <f>IFERROR(VLOOKUP(Table19[[#This Row],[Assets]],Table25[#All],15,FALSE),"")</f>
        <v/>
      </c>
      <c r="I343" s="36">
        <f>IFERROR(VLOOKUP(Table19[[#This Row],[Assets]],Table25[#All],16,FALSE),0)</f>
        <v>0</v>
      </c>
      <c r="J343" s="84" t="str">
        <f ca="1">IFERROR((Table19[[#This Row],[Price]]-Table19[[#This Row],[Ave Entry]])/Table19[[#This Row],[Ave Entry]],"")</f>
        <v/>
      </c>
      <c r="K343" s="92">
        <f ca="1">IFERROR((Table19[[#This Row],[Price]]-Table19[[#This Row],[Ave Entry]])*Table19[[#This Row],[Num of Stocks]],0)</f>
        <v>0</v>
      </c>
      <c r="L343" s="38" cm="1">
        <f t="array" aca="1" ref="L343" ca="1">_FV(Table19[[#This Row],[Assets]],"Change (%)",TRUE)</f>
        <v>4.3327999999999998E-2</v>
      </c>
      <c r="M343" s="36">
        <f>SUMIF(Table20[Asset],Table19[[#This Row],[Assets]],Table20[realized_profit])</f>
        <v>-185</v>
      </c>
      <c r="N343" s="36">
        <f ca="1">SUMIF(Table20[[#All],[Asset]],Table19[[#This Row],[Assets]],Table20[[#All],[delta_exposure]])</f>
        <v>0</v>
      </c>
      <c r="O343" s="98">
        <f ca="1">Table19[[#This Row],[Option Exposure]]/$B$6</f>
        <v>0</v>
      </c>
      <c r="P343" s="51">
        <f>SUMIF(Table25[[#All],[Assets]],Table19[[#This Row],[Assets]],Table25[[#All],[Number of stocks]])</f>
        <v>0</v>
      </c>
      <c r="Q343" s="36">
        <f ca="1">Table19[[#This Row],[Num of Stocks]]*Table19[[#This Row],[Price]]</f>
        <v>0</v>
      </c>
      <c r="R343" s="36">
        <f ca="1">Table19[[#This Row],[Stock Exposure]]+Table19[[#This Row],[Option Exposure]]</f>
        <v>0</v>
      </c>
      <c r="S343" s="108" t="str">
        <f>IFERROR(Table19[[#This Row],[Num of Stocks]]*Table19[[#This Row],[Ave Entry]],"")</f>
        <v/>
      </c>
      <c r="T343" s="39">
        <f ca="1">Table19[[#This Row],[Combined Exposure]]/$C$8</f>
        <v>0</v>
      </c>
    </row>
    <row r="344" spans="1:20">
      <c r="A344" t="e" vm="394">
        <v>#VALUE!</v>
      </c>
      <c r="B344" s="13" t="str" cm="1">
        <f t="array" aca="1" ref="B344" ca="1">_FV(A344,"Ticker symbol",TRUE)</f>
        <v>ARHS</v>
      </c>
      <c r="C344" s="13" t="s">
        <v>122</v>
      </c>
      <c r="D344" s="13" t="s">
        <v>55</v>
      </c>
      <c r="E344" s="19" cm="1">
        <f t="array" aca="1" ref="E344" ca="1">IFERROR(_FV(A344,"Beta"),2)</f>
        <v>2.5661999999999998</v>
      </c>
      <c r="F344" s="13" t="str" cm="1">
        <f t="array" aca="1" ref="F344" ca="1">_FV(A344,"Instrument type",TRUE)</f>
        <v>Stock</v>
      </c>
      <c r="G344" s="18" cm="1">
        <f t="array" aca="1" ref="G344" ca="1">_FV(Table19[[#This Row],[Assets]],"Price")</f>
        <v>6.7149999999999999</v>
      </c>
      <c r="H344" s="36" t="str">
        <f>IFERROR(VLOOKUP(Table19[[#This Row],[Assets]],Table25[#All],15,FALSE),"")</f>
        <v/>
      </c>
      <c r="I344" s="36">
        <f>IFERROR(VLOOKUP(Table19[[#This Row],[Assets]],Table25[#All],16,FALSE),0)</f>
        <v>0</v>
      </c>
      <c r="J344" s="84" t="str">
        <f ca="1">IFERROR((Table19[[#This Row],[Price]]-Table19[[#This Row],[Ave Entry]])/Table19[[#This Row],[Ave Entry]],"")</f>
        <v/>
      </c>
      <c r="K344" s="92">
        <f ca="1">IFERROR((Table19[[#This Row],[Price]]-Table19[[#This Row],[Ave Entry]])*Table19[[#This Row],[Num of Stocks]],0)</f>
        <v>0</v>
      </c>
      <c r="L344" s="38" cm="1">
        <f t="array" aca="1" ref="L344" ca="1">_FV(Table19[[#This Row],[Assets]],"Change (%)",TRUE)</f>
        <v>2.8330999999999999E-2</v>
      </c>
      <c r="M344" s="36">
        <f>SUMIF(Table20[Asset],Table19[[#This Row],[Assets]],Table20[realized_profit])</f>
        <v>0</v>
      </c>
      <c r="N344" s="36">
        <f>SUMIF(Table20[[#All],[Asset]],Table19[[#This Row],[Assets]],Table20[[#All],[delta_exposure]])</f>
        <v>0</v>
      </c>
      <c r="O344" s="38">
        <f ca="1">Table19[[#This Row],[Option Exposure]]/$B$6</f>
        <v>0</v>
      </c>
      <c r="P344" s="51">
        <f>SUMIF(Table25[[#All],[Assets]],Table19[[#This Row],[Assets]],Table25[[#All],[Number of stocks]])</f>
        <v>0</v>
      </c>
      <c r="Q344" s="36">
        <f ca="1">Table19[[#This Row],[Num of Stocks]]*Table19[[#This Row],[Price]]</f>
        <v>0</v>
      </c>
      <c r="R344" s="36">
        <f ca="1">Table19[[#This Row],[Stock Exposure]]+Table19[[#This Row],[Option Exposure]]</f>
        <v>0</v>
      </c>
      <c r="S344" s="108" t="str">
        <f>IFERROR(Table19[[#This Row],[Num of Stocks]]*Table19[[#This Row],[Ave Entry]],"")</f>
        <v/>
      </c>
      <c r="T344" s="39">
        <f ca="1">Table19[[#This Row],[Combined Exposure]]/$C$8</f>
        <v>0</v>
      </c>
    </row>
    <row r="345" spans="1:20">
      <c r="A345" t="e" vm="395">
        <v>#VALUE!</v>
      </c>
      <c r="B345" s="13" t="str" cm="1">
        <f t="array" aca="1" ref="B345" ca="1">_FV(A345,"Ticker symbol",TRUE)</f>
        <v>NKE</v>
      </c>
      <c r="C345" s="13" t="s">
        <v>55</v>
      </c>
      <c r="D345" s="13" t="s">
        <v>55</v>
      </c>
      <c r="E345" s="19" cm="1">
        <f t="array" aca="1" ref="E345" ca="1">IFERROR(_FV(A345,"Beta"),2)</f>
        <v>1.3145</v>
      </c>
      <c r="F345" s="13" t="str" cm="1">
        <f t="array" aca="1" ref="F345" ca="1">_FV(A345,"Instrument type",TRUE)</f>
        <v>Stock</v>
      </c>
      <c r="G345" s="18" cm="1">
        <f t="array" aca="1" ref="G345" ca="1">_FV(Table19[[#This Row],[Assets]],"Price")</f>
        <v>53.045000000000002</v>
      </c>
      <c r="H345" s="36" t="str">
        <f>IFERROR(VLOOKUP(Table19[[#This Row],[Assets]],Table25[#All],15,FALSE),"")</f>
        <v/>
      </c>
      <c r="I345" s="36">
        <f>IFERROR(VLOOKUP(Table19[[#This Row],[Assets]],Table25[#All],16,FALSE),0)</f>
        <v>0</v>
      </c>
      <c r="J345" s="84" t="str">
        <f ca="1">IFERROR((Table19[[#This Row],[Price]]-Table19[[#This Row],[Ave Entry]])/Table19[[#This Row],[Ave Entry]],"")</f>
        <v/>
      </c>
      <c r="K345" s="92">
        <f ca="1">IFERROR((Table19[[#This Row],[Price]]-Table19[[#This Row],[Ave Entry]])*Table19[[#This Row],[Num of Stocks]],0)</f>
        <v>0</v>
      </c>
      <c r="L345" s="38" cm="1">
        <f t="array" aca="1" ref="L345" ca="1">_FV(Table19[[#This Row],[Assets]],"Change (%)",TRUE)</f>
        <v>-8.319E-3</v>
      </c>
      <c r="M345" s="36">
        <f>SUMIF(Table20[Asset],Table19[[#This Row],[Assets]],Table20[realized_profit])</f>
        <v>0</v>
      </c>
      <c r="N345" s="36">
        <f>SUMIF(Table20[[#All],[Asset]],Table19[[#This Row],[Assets]],Table20[[#All],[delta_exposure]])</f>
        <v>0</v>
      </c>
      <c r="O345" s="38">
        <f ca="1">Table19[[#This Row],[Option Exposure]]/$B$6</f>
        <v>0</v>
      </c>
      <c r="P345" s="51">
        <f>SUMIF(Table25[[#All],[Assets]],Table19[[#This Row],[Assets]],Table25[[#All],[Number of stocks]])</f>
        <v>0</v>
      </c>
      <c r="Q345" s="36">
        <f ca="1">Table19[[#This Row],[Num of Stocks]]*Table19[[#This Row],[Price]]</f>
        <v>0</v>
      </c>
      <c r="R345" s="36">
        <f ca="1">Table19[[#This Row],[Stock Exposure]]+Table19[[#This Row],[Option Exposure]]</f>
        <v>0</v>
      </c>
      <c r="S345" s="108" t="str">
        <f>IFERROR(Table19[[#This Row],[Num of Stocks]]*Table19[[#This Row],[Ave Entry]],"")</f>
        <v/>
      </c>
      <c r="T345" s="39">
        <f ca="1">Table19[[#This Row],[Combined Exposure]]/$C$8</f>
        <v>0</v>
      </c>
    </row>
    <row r="346" spans="1:20">
      <c r="A346" t="e" vm="396">
        <v>#VALUE!</v>
      </c>
      <c r="B346" s="13" t="str" cm="1">
        <f t="array" aca="1" ref="B346" ca="1">_FV(A346,"Ticker symbol",TRUE)</f>
        <v>CNM</v>
      </c>
      <c r="C346" s="13" t="s">
        <v>134</v>
      </c>
      <c r="D346" s="13" t="s">
        <v>56</v>
      </c>
      <c r="E346" s="19" cm="1">
        <f t="array" aca="1" ref="E346" ca="1">IFERROR(_FV(A346,"Beta"),2)</f>
        <v>0.99209999999999998</v>
      </c>
      <c r="F346" s="13" t="str" cm="1">
        <f t="array" aca="1" ref="F346" ca="1">_FV(A346,"Instrument type",TRUE)</f>
        <v>Stock</v>
      </c>
      <c r="G346" s="18" cm="1">
        <f t="array" aca="1" ref="G346" ca="1">_FV(Table19[[#This Row],[Assets]],"Price")</f>
        <v>49.295000000000002</v>
      </c>
      <c r="H346" s="36" t="str">
        <f>IFERROR(VLOOKUP(Table19[[#This Row],[Assets]],Table25[#All],15,FALSE),"")</f>
        <v/>
      </c>
      <c r="I346" s="36">
        <f>IFERROR(VLOOKUP(Table19[[#This Row],[Assets]],Table25[#All],16,FALSE),0)</f>
        <v>0</v>
      </c>
      <c r="J346" s="84" t="str">
        <f ca="1">IFERROR((Table19[[#This Row],[Price]]-Table19[[#This Row],[Ave Entry]])/Table19[[#This Row],[Ave Entry]],"")</f>
        <v/>
      </c>
      <c r="K346" s="92">
        <f ca="1">IFERROR((Table19[[#This Row],[Price]]-Table19[[#This Row],[Ave Entry]])*Table19[[#This Row],[Num of Stocks]],0)</f>
        <v>0</v>
      </c>
      <c r="L346" s="38" cm="1">
        <f t="array" aca="1" ref="L346" ca="1">_FV(Table19[[#This Row],[Assets]],"Change (%)",TRUE)</f>
        <v>-2.5405E-2</v>
      </c>
      <c r="M346" s="36">
        <f>SUMIF(Table20[Asset],Table19[[#This Row],[Assets]],Table20[realized_profit])</f>
        <v>0</v>
      </c>
      <c r="N346" s="36">
        <f>SUMIF(Table20[[#All],[Asset]],Table19[[#This Row],[Assets]],Table20[[#All],[delta_exposure]])</f>
        <v>0</v>
      </c>
      <c r="O346" s="38">
        <f ca="1">Table19[[#This Row],[Option Exposure]]/$B$6</f>
        <v>0</v>
      </c>
      <c r="P346" s="51">
        <f>SUMIF(Table25[[#All],[Assets]],Table19[[#This Row],[Assets]],Table25[[#All],[Number of stocks]])</f>
        <v>0</v>
      </c>
      <c r="Q346" s="36">
        <f ca="1">Table19[[#This Row],[Num of Stocks]]*Table19[[#This Row],[Price]]</f>
        <v>0</v>
      </c>
      <c r="R346" s="36">
        <f ca="1">Table19[[#This Row],[Stock Exposure]]+Table19[[#This Row],[Option Exposure]]</f>
        <v>0</v>
      </c>
      <c r="S346" s="108" t="str">
        <f>IFERROR(Table19[[#This Row],[Num of Stocks]]*Table19[[#This Row],[Ave Entry]],"")</f>
        <v/>
      </c>
      <c r="T346" s="39">
        <f ca="1">Table19[[#This Row],[Combined Exposure]]/$C$8</f>
        <v>0</v>
      </c>
    </row>
    <row r="347" spans="1:20">
      <c r="A347" t="e" vm="113">
        <v>#VALUE!</v>
      </c>
      <c r="B347" s="13" t="str" cm="1">
        <f t="array" aca="1" ref="B347" ca="1">_FV(A347,"Ticker symbol",TRUE)</f>
        <v>XME</v>
      </c>
      <c r="C347" s="13" t="s">
        <v>133</v>
      </c>
      <c r="D347" s="13" t="s">
        <v>25</v>
      </c>
      <c r="E347" s="19" cm="1">
        <f t="array" aca="1" ref="E347" ca="1">IFERROR(_FV(A347,"Beta"),2)</f>
        <v>1.0518000000000001</v>
      </c>
      <c r="F347" s="13" t="str" cm="1">
        <f t="array" aca="1" ref="F347" ca="1">_FV(A347,"Instrument type",TRUE)</f>
        <v>ETF</v>
      </c>
      <c r="G347" s="18" cm="1">
        <f t="array" aca="1" ref="G347" ca="1">_FV(Table19[[#This Row],[Assets]],"Price")</f>
        <v>108.85</v>
      </c>
      <c r="H347" s="36" t="str">
        <f>IFERROR(VLOOKUP(Table19[[#This Row],[Assets]],Table25[#All],15,FALSE),"")</f>
        <v/>
      </c>
      <c r="I347" s="36">
        <f>IFERROR(VLOOKUP(Table19[[#This Row],[Assets]],Table25[#All],16,FALSE),0)</f>
        <v>0</v>
      </c>
      <c r="J347" s="84" t="str">
        <f ca="1">IFERROR((Table19[[#This Row],[Price]]-Table19[[#This Row],[Ave Entry]])/Table19[[#This Row],[Ave Entry]],"")</f>
        <v/>
      </c>
      <c r="K347" s="92">
        <f ca="1">IFERROR((Table19[[#This Row],[Price]]-Table19[[#This Row],[Ave Entry]])*Table19[[#This Row],[Num of Stocks]],0)</f>
        <v>0</v>
      </c>
      <c r="L347" s="38" cm="1">
        <f t="array" aca="1" ref="L347" ca="1">_FV(Table19[[#This Row],[Assets]],"Change (%)",TRUE)</f>
        <v>1.9004E-2</v>
      </c>
      <c r="M347" s="36">
        <f>SUMIF(Table20[Asset],Table19[[#This Row],[Assets]],Table20[realized_profit])</f>
        <v>0</v>
      </c>
      <c r="N347" s="36">
        <f>SUMIF(Table20[[#All],[Asset]],Table19[[#This Row],[Assets]],Table20[[#All],[delta_exposure]])</f>
        <v>0</v>
      </c>
      <c r="O347" s="38">
        <f ca="1">Table19[[#This Row],[Option Exposure]]/$B$6</f>
        <v>0</v>
      </c>
      <c r="P347" s="51">
        <f>SUMIF(Table25[[#All],[Assets]],Table19[[#This Row],[Assets]],Table25[[#All],[Number of stocks]])</f>
        <v>0</v>
      </c>
      <c r="Q347" s="36">
        <f ca="1">Table19[[#This Row],[Num of Stocks]]*Table19[[#This Row],[Price]]</f>
        <v>0</v>
      </c>
      <c r="R347" s="36">
        <f ca="1">Table19[[#This Row],[Stock Exposure]]+Table19[[#This Row],[Option Exposure]]</f>
        <v>0</v>
      </c>
      <c r="S347" s="108" t="str">
        <f>IFERROR(Table19[[#This Row],[Num of Stocks]]*Table19[[#This Row],[Ave Entry]],"")</f>
        <v/>
      </c>
      <c r="T347" s="39">
        <f ca="1">Table19[[#This Row],[Combined Exposure]]/$C$8</f>
        <v>0</v>
      </c>
    </row>
    <row r="348" spans="1:20">
      <c r="A348" t="e" vm="125">
        <v>#VALUE!</v>
      </c>
      <c r="B348" s="13" t="str" cm="1">
        <f t="array" aca="1" ref="B348" ca="1">_FV(A348,"Ticker symbol",TRUE)</f>
        <v>TEAM</v>
      </c>
      <c r="C348" s="13" t="s">
        <v>29</v>
      </c>
      <c r="D348" s="13" t="s">
        <v>121</v>
      </c>
      <c r="E348" s="19" cm="1">
        <f t="array" aca="1" ref="E348" ca="1">IFERROR(_FV(A348,"Beta"),2)</f>
        <v>0.99619999999999997</v>
      </c>
      <c r="F348" s="13" t="str" cm="1">
        <f t="array" aca="1" ref="F348" ca="1">_FV(A348,"Instrument type",TRUE)</f>
        <v>Stock</v>
      </c>
      <c r="G348" s="18" cm="1">
        <f t="array" aca="1" ref="G348" ca="1">_FV(Table19[[#This Row],[Assets]],"Price")</f>
        <v>68.885000000000005</v>
      </c>
      <c r="H348" s="36" t="str">
        <f>IFERROR(VLOOKUP(Table19[[#This Row],[Assets]],Table25[#All],15,FALSE),"")</f>
        <v/>
      </c>
      <c r="I348" s="36">
        <f>IFERROR(VLOOKUP(Table19[[#This Row],[Assets]],Table25[#All],16,FALSE),0)</f>
        <v>0</v>
      </c>
      <c r="J348" s="84" t="str">
        <f ca="1">IFERROR((Table19[[#This Row],[Price]]-Table19[[#This Row],[Ave Entry]])/Table19[[#This Row],[Ave Entry]],"")</f>
        <v/>
      </c>
      <c r="K348" s="92">
        <f ca="1">IFERROR((Table19[[#This Row],[Price]]-Table19[[#This Row],[Ave Entry]])*Table19[[#This Row],[Num of Stocks]],0)</f>
        <v>0</v>
      </c>
      <c r="L348" s="38" cm="1">
        <f t="array" aca="1" ref="L348" ca="1">_FV(Table19[[#This Row],[Assets]],"Change (%)",TRUE)</f>
        <v>1.0487999999999999E-2</v>
      </c>
      <c r="M348" s="36">
        <f>SUMIF(Table20[Asset],Table19[[#This Row],[Assets]],Table20[realized_profit])</f>
        <v>-270</v>
      </c>
      <c r="N348" s="36">
        <f ca="1">SUMIF(Table20[[#All],[Asset]],Table19[[#This Row],[Assets]],Table20[[#All],[delta_exposure]])</f>
        <v>0</v>
      </c>
      <c r="O348" s="38">
        <f ca="1">Table19[[#This Row],[Option Exposure]]/$B$6</f>
        <v>0</v>
      </c>
      <c r="P348" s="51">
        <f>SUMIF(Table25[[#All],[Assets]],Table19[[#This Row],[Assets]],Table25[[#All],[Number of stocks]])</f>
        <v>0</v>
      </c>
      <c r="Q348" s="36">
        <f ca="1">Table19[[#This Row],[Num of Stocks]]*Table19[[#This Row],[Price]]</f>
        <v>0</v>
      </c>
      <c r="R348" s="36">
        <f ca="1">Table19[[#This Row],[Stock Exposure]]+Table19[[#This Row],[Option Exposure]]</f>
        <v>0</v>
      </c>
      <c r="S348" s="108" t="str">
        <f>IFERROR(Table19[[#This Row],[Num of Stocks]]*Table19[[#This Row],[Ave Entry]],"")</f>
        <v/>
      </c>
      <c r="T348" s="39">
        <f ca="1">Table19[[#This Row],[Combined Exposure]]/$C$8</f>
        <v>0</v>
      </c>
    </row>
    <row r="349" spans="1:20">
      <c r="A349" t="e" vm="397">
        <v>#VALUE!</v>
      </c>
      <c r="B349" s="13" t="str" cm="1">
        <f t="array" aca="1" ref="B349" ca="1">_FV(A349,"Ticker symbol",TRUE)</f>
        <v>C</v>
      </c>
      <c r="C349" s="13" t="s">
        <v>54</v>
      </c>
      <c r="D349" s="13" t="s">
        <v>54</v>
      </c>
      <c r="E349" s="19" cm="1">
        <f t="array" aca="1" ref="E349" ca="1">IFERROR(_FV(A349,"Beta"),2)</f>
        <v>1.0886</v>
      </c>
      <c r="F349" s="13" t="str" cm="1">
        <f t="array" aca="1" ref="F349" ca="1">_FV(A349,"Instrument type",TRUE)</f>
        <v>Stock</v>
      </c>
      <c r="G349" s="18" cm="1">
        <f t="array" aca="1" ref="G349" ca="1">_FV(Table19[[#This Row],[Assets]],"Price")</f>
        <v>114.995</v>
      </c>
      <c r="H349" s="36" t="str">
        <f>IFERROR(VLOOKUP(Table19[[#This Row],[Assets]],Table25[#All],15,FALSE),"")</f>
        <v/>
      </c>
      <c r="I349" s="36">
        <f>IFERROR(VLOOKUP(Table19[[#This Row],[Assets]],Table25[#All],16,FALSE),0)</f>
        <v>0</v>
      </c>
      <c r="J349" s="84" t="str">
        <f ca="1">IFERROR((Table19[[#This Row],[Price]]-Table19[[#This Row],[Ave Entry]])/Table19[[#This Row],[Ave Entry]],"")</f>
        <v/>
      </c>
      <c r="K349" s="92">
        <f ca="1">IFERROR((Table19[[#This Row],[Price]]-Table19[[#This Row],[Ave Entry]])*Table19[[#This Row],[Num of Stocks]],0)</f>
        <v>0</v>
      </c>
      <c r="L349" s="38" cm="1">
        <f t="array" aca="1" ref="L349" ca="1">_FV(Table19[[#This Row],[Assets]],"Change (%)",TRUE)</f>
        <v>1.1033999999999999E-2</v>
      </c>
      <c r="M349" s="36">
        <f>SUMIF(Table20[Asset],Table19[[#This Row],[Assets]],Table20[realized_profit])</f>
        <v>0</v>
      </c>
      <c r="N349" s="36">
        <f>SUMIF(Table20[[#All],[Asset]],Table19[[#This Row],[Assets]],Table20[[#All],[delta_exposure]])</f>
        <v>0</v>
      </c>
      <c r="O349" s="38">
        <f ca="1">Table19[[#This Row],[Option Exposure]]/$B$6</f>
        <v>0</v>
      </c>
      <c r="P349" s="51">
        <f>SUMIF(Table25[[#All],[Assets]],Table19[[#This Row],[Assets]],Table25[[#All],[Number of stocks]])</f>
        <v>0</v>
      </c>
      <c r="Q349" s="36">
        <f ca="1">Table19[[#This Row],[Num of Stocks]]*Table19[[#This Row],[Price]]</f>
        <v>0</v>
      </c>
      <c r="R349" s="36">
        <f ca="1">Table19[[#This Row],[Stock Exposure]]+Table19[[#This Row],[Option Exposure]]</f>
        <v>0</v>
      </c>
      <c r="S349" s="108" t="str">
        <f>IFERROR(Table19[[#This Row],[Num of Stocks]]*Table19[[#This Row],[Ave Entry]],"")</f>
        <v/>
      </c>
      <c r="T349" s="39">
        <f ca="1">Table19[[#This Row],[Combined Exposure]]/$C$8</f>
        <v>0</v>
      </c>
    </row>
    <row r="350" spans="1:20">
      <c r="A350" t="e" vm="398">
        <v>#VALUE!</v>
      </c>
      <c r="B350" s="13" t="str" cm="1">
        <f t="array" aca="1" ref="B350" ca="1">_FV(A350,"Ticker symbol",TRUE)</f>
        <v>FISV</v>
      </c>
      <c r="C350" s="13" t="s">
        <v>54</v>
      </c>
      <c r="D350" s="13" t="s">
        <v>457</v>
      </c>
      <c r="E350" s="19" cm="1">
        <f t="array" aca="1" ref="E350" ca="1">IFERROR(_FV(A350,"Beta"),2)</f>
        <v>0.7833</v>
      </c>
      <c r="F350" s="13" t="str" cm="1">
        <f t="array" aca="1" ref="F350" ca="1">_FV(A350,"Instrument type",TRUE)</f>
        <v>Stock</v>
      </c>
      <c r="G350" s="18" cm="1">
        <f t="array" aca="1" ref="G350" ca="1">_FV(Table19[[#This Row],[Assets]],"Price")</f>
        <v>56.64</v>
      </c>
      <c r="H350" s="36" t="str">
        <f>IFERROR(VLOOKUP(Table19[[#This Row],[Assets]],Table25[#All],15,FALSE),"")</f>
        <v/>
      </c>
      <c r="I350" s="36">
        <f>IFERROR(VLOOKUP(Table19[[#This Row],[Assets]],Table25[#All],16,FALSE),0)</f>
        <v>0</v>
      </c>
      <c r="J350" s="84" t="str">
        <f ca="1">IFERROR((Table19[[#This Row],[Price]]-Table19[[#This Row],[Ave Entry]])/Table19[[#This Row],[Ave Entry]],"")</f>
        <v/>
      </c>
      <c r="K350" s="92">
        <f ca="1">IFERROR((Table19[[#This Row],[Price]]-Table19[[#This Row],[Ave Entry]])*Table19[[#This Row],[Num of Stocks]],0)</f>
        <v>0</v>
      </c>
      <c r="L350" s="38" cm="1">
        <f t="array" aca="1" ref="L350" ca="1">_FV(Table19[[#This Row],[Assets]],"Change (%)",TRUE)</f>
        <v>5.3249999999999999E-3</v>
      </c>
      <c r="M350" s="36">
        <f>SUMIF(Table20[Asset],Table19[[#This Row],[Assets]],Table20[realized_profit])</f>
        <v>0</v>
      </c>
      <c r="N350" s="36">
        <f>SUMIF(Table20[[#All],[Asset]],Table19[[#This Row],[Assets]],Table20[[#All],[delta_exposure]])</f>
        <v>0</v>
      </c>
      <c r="O350" s="38">
        <f ca="1">Table19[[#This Row],[Option Exposure]]/$B$6</f>
        <v>0</v>
      </c>
      <c r="P350" s="51">
        <f>SUMIF(Table25[[#All],[Assets]],Table19[[#This Row],[Assets]],Table25[[#All],[Number of stocks]])</f>
        <v>0</v>
      </c>
      <c r="Q350" s="36">
        <f ca="1">Table19[[#This Row],[Num of Stocks]]*Table19[[#This Row],[Price]]</f>
        <v>0</v>
      </c>
      <c r="R350" s="36">
        <f ca="1">Table19[[#This Row],[Stock Exposure]]+Table19[[#This Row],[Option Exposure]]</f>
        <v>0</v>
      </c>
      <c r="S350" s="108" t="str">
        <f>IFERROR(Table19[[#This Row],[Num of Stocks]]*Table19[[#This Row],[Ave Entry]],"")</f>
        <v/>
      </c>
      <c r="T350" s="39">
        <f ca="1">Table19[[#This Row],[Combined Exposure]]/$C$8</f>
        <v>0</v>
      </c>
    </row>
    <row r="351" spans="1:20">
      <c r="A351" t="e" vm="399">
        <v>#VALUE!</v>
      </c>
      <c r="B351" s="13" t="str" cm="1">
        <f t="array" aca="1" ref="B351" ca="1">_FV(A351,"Ticker symbol",TRUE)</f>
        <v>URI</v>
      </c>
      <c r="C351" s="13" t="s">
        <v>56</v>
      </c>
      <c r="D351" s="13" t="s">
        <v>56</v>
      </c>
      <c r="E351" s="19" cm="1">
        <f t="array" aca="1" ref="E351" ca="1">IFERROR(_FV(A351,"Beta"),2)</f>
        <v>1.6720999999999999</v>
      </c>
      <c r="F351" s="13" t="str" cm="1">
        <f t="array" aca="1" ref="F351" ca="1">_FV(A351,"Instrument type",TRUE)</f>
        <v>Stock</v>
      </c>
      <c r="G351" s="18" cm="1">
        <f t="array" aca="1" ref="G351" ca="1">_FV(Table19[[#This Row],[Assets]],"Price")</f>
        <v>748.94</v>
      </c>
      <c r="H351" s="36" t="str">
        <f>IFERROR(VLOOKUP(Table19[[#This Row],[Assets]],Table25[#All],15,FALSE),"")</f>
        <v/>
      </c>
      <c r="I351" s="36">
        <f>IFERROR(VLOOKUP(Table19[[#This Row],[Assets]],Table25[#All],16,FALSE),0)</f>
        <v>0</v>
      </c>
      <c r="J351" s="84" t="str">
        <f ca="1">IFERROR((Table19[[#This Row],[Price]]-Table19[[#This Row],[Ave Entry]])/Table19[[#This Row],[Ave Entry]],"")</f>
        <v/>
      </c>
      <c r="K351" s="92">
        <f ca="1">IFERROR((Table19[[#This Row],[Price]]-Table19[[#This Row],[Ave Entry]])*Table19[[#This Row],[Num of Stocks]],0)</f>
        <v>0</v>
      </c>
      <c r="L351" s="38" cm="1">
        <f t="array" aca="1" ref="L351" ca="1">_FV(Table19[[#This Row],[Assets]],"Change (%)",TRUE)</f>
        <v>2.8120000000000003E-3</v>
      </c>
      <c r="M351" s="36">
        <f>SUMIF(Table20[Asset],Table19[[#This Row],[Assets]],Table20[realized_profit])</f>
        <v>0</v>
      </c>
      <c r="N351" s="36">
        <f>SUMIF(Table20[[#All],[Asset]],Table19[[#This Row],[Assets]],Table20[[#All],[delta_exposure]])</f>
        <v>0</v>
      </c>
      <c r="O351" s="38">
        <f ca="1">Table19[[#This Row],[Option Exposure]]/$B$6</f>
        <v>0</v>
      </c>
      <c r="P351" s="51">
        <f>SUMIF(Table25[[#All],[Assets]],Table19[[#This Row],[Assets]],Table25[[#All],[Number of stocks]])</f>
        <v>0</v>
      </c>
      <c r="Q351" s="36">
        <f ca="1">Table19[[#This Row],[Num of Stocks]]*Table19[[#This Row],[Price]]</f>
        <v>0</v>
      </c>
      <c r="R351" s="36">
        <f ca="1">Table19[[#This Row],[Stock Exposure]]+Table19[[#This Row],[Option Exposure]]</f>
        <v>0</v>
      </c>
      <c r="S351" s="108" t="str">
        <f>IFERROR(Table19[[#This Row],[Num of Stocks]]*Table19[[#This Row],[Ave Entry]],"")</f>
        <v/>
      </c>
      <c r="T351" s="39">
        <f ca="1">Table19[[#This Row],[Combined Exposure]]/$C$8</f>
        <v>0</v>
      </c>
    </row>
    <row r="352" spans="1:20">
      <c r="A352" t="e" vm="400">
        <v>#VALUE!</v>
      </c>
      <c r="B352" s="13" t="str" cm="1">
        <f t="array" aca="1" ref="B352" ca="1">_FV(A352,"Ticker symbol",TRUE)</f>
        <v>CALX</v>
      </c>
      <c r="C352" s="13" t="s">
        <v>258</v>
      </c>
      <c r="D352" s="13" t="s">
        <v>29</v>
      </c>
      <c r="E352" s="19" cm="1">
        <f t="array" aca="1" ref="E352" ca="1">IFERROR(_FV(A352,"Beta"),2)</f>
        <v>1.4959</v>
      </c>
      <c r="F352" s="13" t="str" cm="1">
        <f t="array" aca="1" ref="F352" ca="1">_FV(A352,"Instrument type",TRUE)</f>
        <v>Stock</v>
      </c>
      <c r="G352" s="18" cm="1">
        <f t="array" aca="1" ref="G352" ca="1">_FV(Table19[[#This Row],[Assets]],"Price")</f>
        <v>54.76</v>
      </c>
      <c r="H352" s="36">
        <f>IFERROR(VLOOKUP(Table19[[#This Row],[Assets]],Table25[#All],15,FALSE),"")</f>
        <v>37.33</v>
      </c>
      <c r="I352" s="36">
        <f>IFERROR(VLOOKUP(Table19[[#This Row],[Assets]],Table25[#All],16,FALSE),0)</f>
        <v>-44.519999999999989</v>
      </c>
      <c r="J352" s="84">
        <f ca="1">IFERROR((Table19[[#This Row],[Price]]-Table19[[#This Row],[Ave Entry]])/Table19[[#This Row],[Ave Entry]],"")</f>
        <v>0.46691668899008842</v>
      </c>
      <c r="K352" s="92">
        <f ca="1">IFERROR((Table19[[#This Row],[Price]]-Table19[[#This Row],[Ave Entry]])*Table19[[#This Row],[Num of Stocks]],0)</f>
        <v>0</v>
      </c>
      <c r="L352" s="38" cm="1">
        <f t="array" aca="1" ref="L352" ca="1">_FV(Table19[[#This Row],[Assets]],"Change (%)",TRUE)</f>
        <v>2.7007E-2</v>
      </c>
      <c r="M352" s="36">
        <f>SUMIF(Table20[Asset],Table19[[#This Row],[Assets]],Table20[realized_profit])</f>
        <v>0</v>
      </c>
      <c r="N352" s="36">
        <f>SUMIF(Table20[[#All],[Asset]],Table19[[#This Row],[Assets]],Table20[[#All],[delta_exposure]])</f>
        <v>0</v>
      </c>
      <c r="O352" s="38">
        <f ca="1">Table19[[#This Row],[Option Exposure]]/$B$6</f>
        <v>0</v>
      </c>
      <c r="P352" s="51">
        <f>SUMIF(Table25[[#All],[Assets]],Table19[[#This Row],[Assets]],Table25[[#All],[Number of stocks]])</f>
        <v>0</v>
      </c>
      <c r="Q352" s="36">
        <f ca="1">Table19[[#This Row],[Num of Stocks]]*Table19[[#This Row],[Price]]</f>
        <v>0</v>
      </c>
      <c r="R352" s="36">
        <f ca="1">Table19[[#This Row],[Stock Exposure]]+Table19[[#This Row],[Option Exposure]]</f>
        <v>0</v>
      </c>
      <c r="S352" s="108">
        <f>IFERROR(Table19[[#This Row],[Num of Stocks]]*Table19[[#This Row],[Ave Entry]],"")</f>
        <v>0</v>
      </c>
      <c r="T352" s="39">
        <f ca="1">Table19[[#This Row],[Combined Exposure]]/$C$8</f>
        <v>0</v>
      </c>
    </row>
    <row r="353" spans="1:20">
      <c r="A353" t="e" vm="127">
        <v>#VALUE!</v>
      </c>
      <c r="B353" s="13" t="str" cm="1">
        <f t="array" aca="1" ref="B353" ca="1">_FV(A353,"Ticker symbol",TRUE)</f>
        <v>COST</v>
      </c>
      <c r="C353" s="13" t="s">
        <v>57</v>
      </c>
      <c r="D353" s="13" t="s">
        <v>57</v>
      </c>
      <c r="E353" s="19" cm="1">
        <f t="array" aca="1" ref="E353" ca="1">IFERROR(_FV(A353,"Beta"),2)</f>
        <v>1.0002</v>
      </c>
      <c r="F353" s="13" t="str" cm="1">
        <f t="array" aca="1" ref="F353" ca="1">_FV(A353,"Instrument type",TRUE)</f>
        <v>Stock</v>
      </c>
      <c r="G353" s="18" cm="1">
        <f t="array" aca="1" ref="G353" ca="1">_FV(Table19[[#This Row],[Assets]],"Price")</f>
        <v>970.86</v>
      </c>
      <c r="H353" s="36" t="str">
        <f>IFERROR(VLOOKUP(Table19[[#This Row],[Assets]],Table25[#All],15,FALSE),"")</f>
        <v/>
      </c>
      <c r="I353" s="36">
        <f>IFERROR(VLOOKUP(Table19[[#This Row],[Assets]],Table25[#All],16,FALSE),0)</f>
        <v>0</v>
      </c>
      <c r="J353" s="84" t="str">
        <f ca="1">IFERROR((Table19[[#This Row],[Price]]-Table19[[#This Row],[Ave Entry]])/Table19[[#This Row],[Ave Entry]],"")</f>
        <v/>
      </c>
      <c r="K353" s="92">
        <f ca="1">IFERROR((Table19[[#This Row],[Price]]-Table19[[#This Row],[Ave Entry]])*Table19[[#This Row],[Num of Stocks]],0)</f>
        <v>0</v>
      </c>
      <c r="L353" s="38" cm="1">
        <f t="array" aca="1" ref="L353" ca="1">_FV(Table19[[#This Row],[Assets]],"Change (%)",TRUE)</f>
        <v>-3.0399999999999997E-3</v>
      </c>
      <c r="M353" s="36">
        <f>SUMIF(Table20[Asset],Table19[[#This Row],[Assets]],Table20[realized_profit])</f>
        <v>1200.0000000000005</v>
      </c>
      <c r="N353" s="36">
        <f ca="1">SUMIF(Table20[[#All],[Asset]],Table19[[#This Row],[Assets]],Table20[[#All],[delta_exposure]])</f>
        <v>0</v>
      </c>
      <c r="O353" s="38">
        <f ca="1">Table19[[#This Row],[Option Exposure]]/$B$6</f>
        <v>0</v>
      </c>
      <c r="P353" s="51">
        <f>SUMIF(Table25[[#All],[Assets]],Table19[[#This Row],[Assets]],Table25[[#All],[Number of stocks]])</f>
        <v>0</v>
      </c>
      <c r="Q353" s="36">
        <f ca="1">Table19[[#This Row],[Num of Stocks]]*Table19[[#This Row],[Price]]</f>
        <v>0</v>
      </c>
      <c r="R353" s="36">
        <f ca="1">Table19[[#This Row],[Stock Exposure]]+Table19[[#This Row],[Option Exposure]]</f>
        <v>0</v>
      </c>
      <c r="S353" s="108" t="str">
        <f>IFERROR(Table19[[#This Row],[Num of Stocks]]*Table19[[#This Row],[Ave Entry]],"")</f>
        <v/>
      </c>
      <c r="T353" s="39">
        <f ca="1">Table19[[#This Row],[Combined Exposure]]/$C$8</f>
        <v>0</v>
      </c>
    </row>
    <row r="354" spans="1:20">
      <c r="A354" t="e" vm="401">
        <v>#VALUE!</v>
      </c>
      <c r="B354" s="13" t="str" cm="1">
        <f t="array" aca="1" ref="B354" ca="1">_FV(A354,"Ticker symbol",TRUE)</f>
        <v>ATMU</v>
      </c>
      <c r="C354" s="13" t="s">
        <v>134</v>
      </c>
      <c r="D354" s="13" t="s">
        <v>56</v>
      </c>
      <c r="E354" s="19" cm="1">
        <f t="array" aca="1" ref="E354" ca="1">IFERROR(_FV(A354,"Beta"),2)</f>
        <v>1.226</v>
      </c>
      <c r="F354" s="13" t="str" cm="1">
        <f t="array" aca="1" ref="F354" ca="1">_FV(A354,"Instrument type",TRUE)</f>
        <v>Stock</v>
      </c>
      <c r="G354" s="18" cm="1">
        <f t="array" aca="1" ref="G354" ca="1">_FV(Table19[[#This Row],[Assets]],"Price")</f>
        <v>60.26</v>
      </c>
      <c r="H354" s="36">
        <f>IFERROR(VLOOKUP(Table19[[#This Row],[Assets]],Table25[#All],15,FALSE),"")</f>
        <v>27.91</v>
      </c>
      <c r="I354" s="36">
        <f>IFERROR(VLOOKUP(Table19[[#This Row],[Assets]],Table25[#All],16,FALSE),0)</f>
        <v>12.439999999999998</v>
      </c>
      <c r="J354" s="84">
        <f ca="1">IFERROR((Table19[[#This Row],[Price]]-Table19[[#This Row],[Ave Entry]])/Table19[[#This Row],[Ave Entry]],"")</f>
        <v>1.1590827660336795</v>
      </c>
      <c r="K354" s="92">
        <f ca="1">IFERROR((Table19[[#This Row],[Price]]-Table19[[#This Row],[Ave Entry]])*Table19[[#This Row],[Num of Stocks]],0)</f>
        <v>0</v>
      </c>
      <c r="L354" s="38" cm="1">
        <f t="array" aca="1" ref="L354" ca="1">_FV(Table19[[#This Row],[Assets]],"Change (%)",TRUE)</f>
        <v>1.6532000000000002E-2</v>
      </c>
      <c r="M354" s="36">
        <f>SUMIF(Table20[Asset],Table19[[#This Row],[Assets]],Table20[realized_profit])</f>
        <v>0</v>
      </c>
      <c r="N354" s="36">
        <f>SUMIF(Table20[[#All],[Asset]],Table19[[#This Row],[Assets]],Table20[[#All],[delta_exposure]])</f>
        <v>0</v>
      </c>
      <c r="O354" s="98">
        <f ca="1">Table19[[#This Row],[Option Exposure]]/$B$6</f>
        <v>0</v>
      </c>
      <c r="P354" s="51">
        <f>SUMIF(Table25[[#All],[Assets]],Table19[[#This Row],[Assets]],Table25[[#All],[Number of stocks]])</f>
        <v>0</v>
      </c>
      <c r="Q354" s="36">
        <f ca="1">Table19[[#This Row],[Num of Stocks]]*Table19[[#This Row],[Price]]</f>
        <v>0</v>
      </c>
      <c r="R354" s="36">
        <f ca="1">Table19[[#This Row],[Stock Exposure]]+Table19[[#This Row],[Option Exposure]]</f>
        <v>0</v>
      </c>
      <c r="S354" s="108">
        <f>IFERROR(Table19[[#This Row],[Num of Stocks]]*Table19[[#This Row],[Ave Entry]],"")</f>
        <v>0</v>
      </c>
      <c r="T354" s="39">
        <f ca="1">Table19[[#This Row],[Combined Exposure]]/$C$8</f>
        <v>0</v>
      </c>
    </row>
    <row r="355" spans="1:20">
      <c r="A355" t="e" vm="172">
        <v>#VALUE!</v>
      </c>
      <c r="B355" s="13" t="str" cm="1">
        <f t="array" aca="1" ref="B355" ca="1">_FV(A355,"Ticker symbol",TRUE)</f>
        <v>WOLF</v>
      </c>
      <c r="C355" s="13" t="s">
        <v>84</v>
      </c>
      <c r="D355" s="13" t="s">
        <v>120</v>
      </c>
      <c r="E355" s="19" cm="1">
        <f t="array" aca="1" ref="E355" ca="1">IFERROR(_FV(A355,"Beta"),2)</f>
        <v>5.4096000000000002</v>
      </c>
      <c r="F355" s="13" t="str" cm="1">
        <f t="array" aca="1" ref="F355" ca="1">_FV(A355,"Instrument type",TRUE)</f>
        <v>Stock</v>
      </c>
      <c r="G355" s="18" cm="1">
        <f t="array" aca="1" ref="G355" ca="1">_FV(Table19[[#This Row],[Assets]],"Price")</f>
        <v>31.1</v>
      </c>
      <c r="H355" s="36">
        <f>IFERROR(VLOOKUP(Table19[[#This Row],[Assets]],Table25[#All],15,FALSE),"")</f>
        <v>3.9766666666666666</v>
      </c>
      <c r="I355" s="36">
        <f>IFERROR(VLOOKUP(Table19[[#This Row],[Assets]],Table25[#All],16,FALSE),0)</f>
        <v>145.30000000000064</v>
      </c>
      <c r="J355" s="84">
        <f ca="1">IFERROR((Table19[[#This Row],[Price]]-Table19[[#This Row],[Ave Entry]])/Table19[[#This Row],[Ave Entry]],"")</f>
        <v>6.8206202849958091</v>
      </c>
      <c r="K355" s="92">
        <f ca="1">IFERROR((Table19[[#This Row],[Price]]-Table19[[#This Row],[Ave Entry]])*Table19[[#This Row],[Num of Stocks]],0)</f>
        <v>0</v>
      </c>
      <c r="L355" s="38" cm="1">
        <f t="array" aca="1" ref="L355" ca="1">_FV(Table19[[#This Row],[Assets]],"Change (%)",TRUE)</f>
        <v>0</v>
      </c>
      <c r="M355" s="36">
        <f>SUMIF(Table20[Asset],Table19[[#This Row],[Assets]],Table20[realized_profit])</f>
        <v>0</v>
      </c>
      <c r="N355" s="36">
        <f>SUMIF(Table20[[#All],[Asset]],Table19[[#This Row],[Assets]],Table20[[#All],[delta_exposure]])</f>
        <v>0</v>
      </c>
      <c r="O355" s="38">
        <f ca="1">Table19[[#This Row],[Option Exposure]]/$B$6</f>
        <v>0</v>
      </c>
      <c r="P355" s="51">
        <f>SUMIF(Table25[[#All],[Assets]],Table19[[#This Row],[Assets]],Table25[[#All],[Number of stocks]])</f>
        <v>0</v>
      </c>
      <c r="Q355" s="36">
        <f ca="1">Table19[[#This Row],[Num of Stocks]]*Table19[[#This Row],[Price]]</f>
        <v>0</v>
      </c>
      <c r="R355" s="36">
        <f ca="1">Table19[[#This Row],[Stock Exposure]]+Table19[[#This Row],[Option Exposure]]</f>
        <v>0</v>
      </c>
      <c r="S355" s="108">
        <f>IFERROR(Table19[[#This Row],[Num of Stocks]]*Table19[[#This Row],[Ave Entry]],"")</f>
        <v>0</v>
      </c>
      <c r="T355" s="39">
        <f ca="1">Table19[[#This Row],[Combined Exposure]]/$C$8</f>
        <v>0</v>
      </c>
    </row>
    <row r="356" spans="1:20">
      <c r="A356" t="e" vm="402">
        <v>#VALUE!</v>
      </c>
      <c r="B356" s="13" t="str" cm="1">
        <f t="array" aca="1" ref="B356" ca="1">_FV(A356,"Ticker symbol",TRUE)</f>
        <v>ADUS</v>
      </c>
      <c r="C356" s="13" t="s">
        <v>326</v>
      </c>
      <c r="D356" s="13" t="s">
        <v>53</v>
      </c>
      <c r="E356" s="19" cm="1">
        <f t="array" aca="1" ref="E356" ca="1">IFERROR(_FV(A356,"Beta"),2)</f>
        <v>0.93159999999999998</v>
      </c>
      <c r="F356" s="13" t="str" cm="1">
        <f t="array" aca="1" ref="F356" ca="1">_FV(A356,"Instrument type",TRUE)</f>
        <v>Stock</v>
      </c>
      <c r="G356" s="18" cm="1">
        <f t="array" aca="1" ref="G356" ca="1">_FV(Table19[[#This Row],[Assets]],"Price")</f>
        <v>98.28</v>
      </c>
      <c r="H356" s="36" t="str">
        <f>IFERROR(VLOOKUP(Table19[[#This Row],[Assets]],Table25[#All],15,FALSE),"")</f>
        <v/>
      </c>
      <c r="I356" s="36">
        <f>IFERROR(VLOOKUP(Table19[[#This Row],[Assets]],Table25[#All],16,FALSE),0)</f>
        <v>0</v>
      </c>
      <c r="J356" s="84" t="str">
        <f ca="1">IFERROR((Table19[[#This Row],[Price]]-Table19[[#This Row],[Ave Entry]])/Table19[[#This Row],[Ave Entry]],"")</f>
        <v/>
      </c>
      <c r="K356" s="92">
        <f ca="1">IFERROR((Table19[[#This Row],[Price]]-Table19[[#This Row],[Ave Entry]])*Table19[[#This Row],[Num of Stocks]],0)</f>
        <v>0</v>
      </c>
      <c r="L356" s="38" cm="1">
        <f t="array" aca="1" ref="L356" ca="1">_FV(Table19[[#This Row],[Assets]],"Change (%)",TRUE)</f>
        <v>-1.0371999999999999E-2</v>
      </c>
      <c r="M356" s="36">
        <f>SUMIF(Table20[Asset],Table19[[#This Row],[Assets]],Table20[realized_profit])</f>
        <v>0</v>
      </c>
      <c r="N356" s="36">
        <f>SUMIF(Table20[[#All],[Asset]],Table19[[#This Row],[Assets]],Table20[[#All],[delta_exposure]])</f>
        <v>0</v>
      </c>
      <c r="O356" s="38">
        <f ca="1">Table19[[#This Row],[Option Exposure]]/$B$6</f>
        <v>0</v>
      </c>
      <c r="P356" s="51">
        <f>SUMIF(Table25[[#All],[Assets]],Table19[[#This Row],[Assets]],Table25[[#All],[Number of stocks]])</f>
        <v>0</v>
      </c>
      <c r="Q356" s="36">
        <f ca="1">Table19[[#This Row],[Num of Stocks]]*Table19[[#This Row],[Price]]</f>
        <v>0</v>
      </c>
      <c r="R356" s="36">
        <f ca="1">Table19[[#This Row],[Stock Exposure]]+Table19[[#This Row],[Option Exposure]]</f>
        <v>0</v>
      </c>
      <c r="S356" s="108" t="str">
        <f>IFERROR(Table19[[#This Row],[Num of Stocks]]*Table19[[#This Row],[Ave Entry]],"")</f>
        <v/>
      </c>
      <c r="T356" s="39">
        <f ca="1">Table19[[#This Row],[Combined Exposure]]/$C$8</f>
        <v>0</v>
      </c>
    </row>
    <row r="357" spans="1:20">
      <c r="A357" t="e" vm="167">
        <v>#VALUE!</v>
      </c>
      <c r="B357" s="13" t="str" cm="1">
        <f t="array" aca="1" ref="B357" ca="1">_FV(A357,"Ticker symbol",TRUE)</f>
        <v>INFY</v>
      </c>
      <c r="C357" s="13" t="s">
        <v>29</v>
      </c>
      <c r="D357" s="13" t="s">
        <v>121</v>
      </c>
      <c r="E357" s="19" cm="1">
        <f t="array" aca="1" ref="E357" ca="1">IFERROR(_FV(A357,"Beta"),2)</f>
        <v>0.99370000000000003</v>
      </c>
      <c r="F357" s="13" t="str" cm="1">
        <f t="array" aca="1" ref="F357" ca="1">_FV(A357,"Instrument type",TRUE)</f>
        <v>Stock</v>
      </c>
      <c r="G357" s="18" cm="1">
        <f t="array" aca="1" ref="G357" ca="1">_FV(Table19[[#This Row],[Assets]],"Price")</f>
        <v>13.2</v>
      </c>
      <c r="H357" s="36" t="str">
        <f>IFERROR(VLOOKUP(Table19[[#This Row],[Assets]],Table25[#All],15,FALSE),"")</f>
        <v/>
      </c>
      <c r="I357" s="36">
        <f>IFERROR(VLOOKUP(Table19[[#This Row],[Assets]],Table25[#All],16,FALSE),0)</f>
        <v>0</v>
      </c>
      <c r="J357" s="84" t="str">
        <f ca="1">IFERROR((Table19[[#This Row],[Price]]-Table19[[#This Row],[Ave Entry]])/Table19[[#This Row],[Ave Entry]],"")</f>
        <v/>
      </c>
      <c r="K357" s="92">
        <f ca="1">IFERROR((Table19[[#This Row],[Price]]-Table19[[#This Row],[Ave Entry]])*Table19[[#This Row],[Num of Stocks]],0)</f>
        <v>0</v>
      </c>
      <c r="L357" s="38" cm="1">
        <f t="array" aca="1" ref="L357" ca="1">_FV(Table19[[#This Row],[Assets]],"Change (%)",TRUE)</f>
        <v>9.1739999999999999E-3</v>
      </c>
      <c r="M357" s="36">
        <f>SUMIF(Table20[Asset],Table19[[#This Row],[Assets]],Table20[realized_profit])</f>
        <v>300</v>
      </c>
      <c r="N357" s="36">
        <f ca="1">SUMIF(Table20[[#All],[Asset]],Table19[[#This Row],[Assets]],Table20[[#All],[delta_exposure]])</f>
        <v>0</v>
      </c>
      <c r="O357" s="38">
        <f ca="1">Table19[[#This Row],[Option Exposure]]/$B$6</f>
        <v>0</v>
      </c>
      <c r="P357" s="51">
        <f>SUMIF(Table25[[#All],[Assets]],Table19[[#This Row],[Assets]],Table25[[#All],[Number of stocks]])</f>
        <v>0</v>
      </c>
      <c r="Q357" s="36">
        <f ca="1">Table19[[#This Row],[Num of Stocks]]*Table19[[#This Row],[Price]]</f>
        <v>0</v>
      </c>
      <c r="R357" s="36">
        <f ca="1">Table19[[#This Row],[Stock Exposure]]+Table19[[#This Row],[Option Exposure]]</f>
        <v>0</v>
      </c>
      <c r="S357" s="108" t="str">
        <f>IFERROR(Table19[[#This Row],[Num of Stocks]]*Table19[[#This Row],[Ave Entry]],"")</f>
        <v/>
      </c>
      <c r="T357" s="39">
        <f ca="1">Table19[[#This Row],[Combined Exposure]]/$C$8</f>
        <v>0</v>
      </c>
    </row>
    <row r="358" spans="1:20">
      <c r="A358" t="e" vm="161">
        <v>#VALUE!</v>
      </c>
      <c r="B358" s="13" t="str" cm="1">
        <f t="array" aca="1" ref="B358" ca="1">_FV(A358,"Ticker symbol",TRUE)</f>
        <v>FXI</v>
      </c>
      <c r="C358" s="13" t="s">
        <v>30</v>
      </c>
      <c r="D358" s="13" t="s">
        <v>30</v>
      </c>
      <c r="E358" s="19" cm="1">
        <f t="array" aca="1" ref="E358" ca="1">IFERROR(_FV(A358,"Beta"),2)</f>
        <v>1.0555000000000001</v>
      </c>
      <c r="F358" s="13" t="str" cm="1">
        <f t="array" aca="1" ref="F358" ca="1">_FV(A358,"Instrument type",TRUE)</f>
        <v>ETF</v>
      </c>
      <c r="G358" s="18" cm="1">
        <f t="array" aca="1" ref="G358" ca="1">_FV(Table19[[#This Row],[Assets]],"Price")</f>
        <v>36.049900000000001</v>
      </c>
      <c r="H358" s="36" t="str">
        <f>IFERROR(VLOOKUP(Table19[[#This Row],[Assets]],Table25[#All],15,FALSE),"")</f>
        <v/>
      </c>
      <c r="I358" s="36">
        <f>IFERROR(VLOOKUP(Table19[[#This Row],[Assets]],Table25[#All],16,FALSE),0)</f>
        <v>0</v>
      </c>
      <c r="J358" s="84" t="str">
        <f ca="1">IFERROR((Table19[[#This Row],[Price]]-Table19[[#This Row],[Ave Entry]])/Table19[[#This Row],[Ave Entry]],"")</f>
        <v/>
      </c>
      <c r="K358" s="92">
        <f ca="1">IFERROR((Table19[[#This Row],[Price]]-Table19[[#This Row],[Ave Entry]])*Table19[[#This Row],[Num of Stocks]],0)</f>
        <v>0</v>
      </c>
      <c r="L358" s="38" cm="1">
        <f t="array" aca="1" ref="L358" ca="1">_FV(Table19[[#This Row],[Assets]],"Change (%)",TRUE)</f>
        <v>2.0087999999999998E-2</v>
      </c>
      <c r="M358" s="36">
        <f>SUMIF(Table20[Asset],Table19[[#This Row],[Assets]],Table20[realized_profit])</f>
        <v>0</v>
      </c>
      <c r="N358" s="36">
        <f>SUMIF(Table20[[#All],[Asset]],Table19[[#This Row],[Assets]],Table20[[#All],[delta_exposure]])</f>
        <v>0</v>
      </c>
      <c r="O358" s="38">
        <f ca="1">Table19[[#This Row],[Option Exposure]]/$B$6</f>
        <v>0</v>
      </c>
      <c r="P358" s="51">
        <f>SUMIF(Table25[[#All],[Assets]],Table19[[#This Row],[Assets]],Table25[[#All],[Number of stocks]])</f>
        <v>0</v>
      </c>
      <c r="Q358" s="36">
        <f ca="1">Table19[[#This Row],[Num of Stocks]]*Table19[[#This Row],[Price]]</f>
        <v>0</v>
      </c>
      <c r="R358" s="36">
        <f ca="1">Table19[[#This Row],[Stock Exposure]]+Table19[[#This Row],[Option Exposure]]</f>
        <v>0</v>
      </c>
      <c r="S358" s="108" t="str">
        <f>IFERROR(Table19[[#This Row],[Num of Stocks]]*Table19[[#This Row],[Ave Entry]],"")</f>
        <v/>
      </c>
      <c r="T358" s="39">
        <f ca="1">Table19[[#This Row],[Combined Exposure]]/$C$8</f>
        <v>0</v>
      </c>
    </row>
    <row r="359" spans="1:20">
      <c r="A359" t="e" vm="403">
        <v>#VALUE!</v>
      </c>
      <c r="B359" s="13" t="str" cm="1">
        <f t="array" aca="1" ref="B359" ca="1">_FV(A359,"Ticker symbol",TRUE)</f>
        <v>CCOI</v>
      </c>
      <c r="C359" s="13" t="s">
        <v>258</v>
      </c>
      <c r="D359" s="13" t="s">
        <v>29</v>
      </c>
      <c r="E359" s="19" cm="1">
        <f t="array" aca="1" ref="E359" ca="1">IFERROR(_FV(A359,"Beta"),2)</f>
        <v>0.76170000000000004</v>
      </c>
      <c r="F359" s="13" t="str" cm="1">
        <f t="array" aca="1" ref="F359" ca="1">_FV(A359,"Instrument type",TRUE)</f>
        <v>Stock</v>
      </c>
      <c r="G359" s="18" cm="1">
        <f t="array" aca="1" ref="G359" ca="1">_FV(Table19[[#This Row],[Assets]],"Price")</f>
        <v>18.52</v>
      </c>
      <c r="H359" s="36">
        <f>IFERROR(VLOOKUP(Table19[[#This Row],[Assets]],Table25[#All],15,FALSE),"")</f>
        <v>69.849999999999994</v>
      </c>
      <c r="I359" s="36">
        <f>IFERROR(VLOOKUP(Table19[[#This Row],[Assets]],Table25[#All],16,FALSE),0)</f>
        <v>39.600000000000009</v>
      </c>
      <c r="J359" s="84">
        <f ca="1">IFERROR((Table19[[#This Row],[Price]]-Table19[[#This Row],[Ave Entry]])/Table19[[#This Row],[Ave Entry]],"")</f>
        <v>-0.73486041517537581</v>
      </c>
      <c r="K359" s="92">
        <f ca="1">IFERROR((Table19[[#This Row],[Price]]-Table19[[#This Row],[Ave Entry]])*Table19[[#This Row],[Num of Stocks]],0)</f>
        <v>0</v>
      </c>
      <c r="L359" s="38" cm="1">
        <f t="array" aca="1" ref="L359" ca="1">_FV(Table19[[#This Row],[Assets]],"Change (%)",TRUE)</f>
        <v>1.3684E-2</v>
      </c>
      <c r="M359" s="36">
        <f>SUMIF(Table20[Asset],Table19[[#This Row],[Assets]],Table20[realized_profit])</f>
        <v>0</v>
      </c>
      <c r="N359" s="36">
        <f>SUMIF(Table20[[#All],[Asset]],Table19[[#This Row],[Assets]],Table20[[#All],[delta_exposure]])</f>
        <v>0</v>
      </c>
      <c r="O359" s="38">
        <f ca="1">Table19[[#This Row],[Option Exposure]]/$B$6</f>
        <v>0</v>
      </c>
      <c r="P359" s="51">
        <f>SUMIF(Table25[[#All],[Assets]],Table19[[#This Row],[Assets]],Table25[[#All],[Number of stocks]])</f>
        <v>0</v>
      </c>
      <c r="Q359" s="36">
        <f ca="1">Table19[[#This Row],[Num of Stocks]]*Table19[[#This Row],[Price]]</f>
        <v>0</v>
      </c>
      <c r="R359" s="36">
        <f ca="1">Table19[[#This Row],[Stock Exposure]]+Table19[[#This Row],[Option Exposure]]</f>
        <v>0</v>
      </c>
      <c r="S359" s="108">
        <f>IFERROR(Table19[[#This Row],[Num of Stocks]]*Table19[[#This Row],[Ave Entry]],"")</f>
        <v>0</v>
      </c>
      <c r="T359" s="39">
        <f ca="1">Table19[[#This Row],[Combined Exposure]]/$C$8</f>
        <v>0</v>
      </c>
    </row>
    <row r="360" spans="1:20">
      <c r="A360" t="e" vm="168">
        <v>#VALUE!</v>
      </c>
      <c r="B360" s="13" t="str" cm="1">
        <f t="array" aca="1" ref="B360" ca="1">_FV(A360,"Ticker symbol",TRUE)</f>
        <v>PDD</v>
      </c>
      <c r="C360" s="13" t="s">
        <v>30</v>
      </c>
      <c r="D360" s="13" t="s">
        <v>30</v>
      </c>
      <c r="E360" s="19" cm="1">
        <f t="array" aca="1" ref="E360" ca="1">IFERROR(_FV(A360,"Beta"),2)</f>
        <v>7.6999999999999999E-2</v>
      </c>
      <c r="F360" s="13" t="str" cm="1">
        <f t="array" aca="1" ref="F360" ca="1">_FV(A360,"Instrument type",TRUE)</f>
        <v>Stock</v>
      </c>
      <c r="G360" s="18" cm="1">
        <f t="array" aca="1" ref="G360" ca="1">_FV(Table19[[#This Row],[Assets]],"Price")</f>
        <v>106.22</v>
      </c>
      <c r="H360" s="36">
        <f>IFERROR(VLOOKUP(Table19[[#This Row],[Assets]],Table25[#All],15,FALSE),"")</f>
        <v>92.05</v>
      </c>
      <c r="I360" s="36">
        <f>IFERROR(VLOOKUP(Table19[[#This Row],[Assets]],Table25[#All],16,FALSE),0)</f>
        <v>218.65000000000003</v>
      </c>
      <c r="J360" s="84">
        <f ca="1">IFERROR((Table19[[#This Row],[Price]]-Table19[[#This Row],[Ave Entry]])/Table19[[#This Row],[Ave Entry]],"")</f>
        <v>0.15393807713199351</v>
      </c>
      <c r="K360" s="92">
        <f ca="1">IFERROR((Table19[[#This Row],[Price]]-Table19[[#This Row],[Ave Entry]])*Table19[[#This Row],[Num of Stocks]],0)</f>
        <v>0</v>
      </c>
      <c r="L360" s="38" cm="1">
        <f t="array" aca="1" ref="L360" ca="1">_FV(Table19[[#This Row],[Assets]],"Change (%)",TRUE)</f>
        <v>8.2882999999999998E-2</v>
      </c>
      <c r="M360" s="36">
        <f>SUMIF(Table20[Asset],Table19[[#This Row],[Assets]],Table20[realized_profit])</f>
        <v>1390</v>
      </c>
      <c r="N360" s="36">
        <f ca="1">SUMIF(Table20[[#All],[Asset]],Table19[[#This Row],[Assets]],Table20[[#All],[delta_exposure]])</f>
        <v>0</v>
      </c>
      <c r="O360" s="98">
        <f ca="1">Table19[[#This Row],[Option Exposure]]/$B$6</f>
        <v>0</v>
      </c>
      <c r="P360" s="51">
        <f>SUMIF(Table25[[#All],[Assets]],Table19[[#This Row],[Assets]],Table25[[#All],[Number of stocks]])</f>
        <v>0</v>
      </c>
      <c r="Q360" s="36">
        <f ca="1">Table19[[#This Row],[Num of Stocks]]*Table19[[#This Row],[Price]]</f>
        <v>0</v>
      </c>
      <c r="R360" s="36">
        <f ca="1">Table19[[#This Row],[Stock Exposure]]+Table19[[#This Row],[Option Exposure]]</f>
        <v>0</v>
      </c>
      <c r="S360" s="108">
        <f>IFERROR(Table19[[#This Row],[Num of Stocks]]*Table19[[#This Row],[Ave Entry]],"")</f>
        <v>0</v>
      </c>
      <c r="T360" s="39">
        <f ca="1">Table19[[#This Row],[Combined Exposure]]/$C$8</f>
        <v>0</v>
      </c>
    </row>
    <row r="361" spans="1:20">
      <c r="A361" t="e" vm="404">
        <v>#VALUE!</v>
      </c>
      <c r="B361" s="13" t="str" cm="1">
        <f t="array" aca="1" ref="B361" ca="1">_FV(A361,"Ticker symbol",TRUE)</f>
        <v>AMR</v>
      </c>
      <c r="C361" s="13" t="s">
        <v>122</v>
      </c>
      <c r="D361" s="13" t="s">
        <v>88</v>
      </c>
      <c r="E361" s="19" cm="1">
        <f t="array" aca="1" ref="E361" ca="1">IFERROR(_FV(A361,"Beta"),2)</f>
        <v>0.70140000000000002</v>
      </c>
      <c r="F361" s="13" t="str" cm="1">
        <f t="array" aca="1" ref="F361" ca="1">_FV(A361,"Instrument type",TRUE)</f>
        <v>Stock</v>
      </c>
      <c r="G361" s="18" cm="1">
        <f t="array" aca="1" ref="G361" ca="1">_FV(Table19[[#This Row],[Assets]],"Price")</f>
        <v>220.79</v>
      </c>
      <c r="H361" s="36">
        <f>IFERROR(VLOOKUP(Table19[[#This Row],[Assets]],Table25[#All],15,FALSE),"")</f>
        <v>321.58999999999997</v>
      </c>
      <c r="I361" s="36">
        <f>IFERROR(VLOOKUP(Table19[[#This Row],[Assets]],Table25[#All],16,FALSE),0)</f>
        <v>-30.589999999999975</v>
      </c>
      <c r="J361" s="84">
        <f ca="1">IFERROR((Table19[[#This Row],[Price]]-Table19[[#This Row],[Ave Entry]])/Table19[[#This Row],[Ave Entry]],"")</f>
        <v>-0.31344258216984355</v>
      </c>
      <c r="K361" s="92">
        <f ca="1">IFERROR((Table19[[#This Row],[Price]]-Table19[[#This Row],[Ave Entry]])*Table19[[#This Row],[Num of Stocks]],0)</f>
        <v>0</v>
      </c>
      <c r="L361" s="38" cm="1">
        <f t="array" aca="1" ref="L361" ca="1">_FV(Table19[[#This Row],[Assets]],"Change (%)",TRUE)</f>
        <v>1.2938E-2</v>
      </c>
      <c r="M361" s="36">
        <f>SUMIF(Table20[Asset],Table19[[#This Row],[Assets]],Table20[realized_profit])</f>
        <v>0</v>
      </c>
      <c r="N361" s="36">
        <f>SUMIF(Table20[[#All],[Asset]],Table19[[#This Row],[Assets]],Table20[[#All],[delta_exposure]])</f>
        <v>0</v>
      </c>
      <c r="O361" s="98">
        <f ca="1">Table19[[#This Row],[Option Exposure]]/$B$6</f>
        <v>0</v>
      </c>
      <c r="P361" s="51">
        <f>SUMIF(Table25[[#All],[Assets]],Table19[[#This Row],[Assets]],Table25[[#All],[Number of stocks]])</f>
        <v>0</v>
      </c>
      <c r="Q361" s="36">
        <f ca="1">Table19[[#This Row],[Num of Stocks]]*Table19[[#This Row],[Price]]</f>
        <v>0</v>
      </c>
      <c r="R361" s="36">
        <f ca="1">Table19[[#This Row],[Stock Exposure]]+Table19[[#This Row],[Option Exposure]]</f>
        <v>0</v>
      </c>
      <c r="S361" s="108">
        <f>IFERROR(Table19[[#This Row],[Num of Stocks]]*Table19[[#This Row],[Ave Entry]],"")</f>
        <v>0</v>
      </c>
      <c r="T361" s="39">
        <f ca="1">Table19[[#This Row],[Combined Exposure]]/$C$8</f>
        <v>0</v>
      </c>
    </row>
    <row r="362" spans="1:20">
      <c r="A362" t="e" vm="405">
        <v>#VALUE!</v>
      </c>
      <c r="B362" s="13" t="str" cm="1">
        <f t="array" aca="1" ref="B362" ca="1">_FV(A362,"Ticker symbol",TRUE)</f>
        <v>ECL</v>
      </c>
      <c r="C362" s="13" t="s">
        <v>134</v>
      </c>
      <c r="D362" s="13" t="s">
        <v>59</v>
      </c>
      <c r="E362" s="19" cm="1">
        <f t="array" aca="1" ref="E362" ca="1">IFERROR(_FV(A362,"Beta"),2)</f>
        <v>1.0254000000000001</v>
      </c>
      <c r="F362" s="13" t="str" cm="1">
        <f t="array" aca="1" ref="F362" ca="1">_FV(A362,"Instrument type",TRUE)</f>
        <v>Stock</v>
      </c>
      <c r="G362" s="18" cm="1">
        <f t="array" aca="1" ref="G362" ca="1">_FV(Table19[[#This Row],[Assets]],"Price")</f>
        <v>267.2</v>
      </c>
      <c r="H362" s="36" t="str">
        <f>IFERROR(VLOOKUP(Table19[[#This Row],[Assets]],Table25[#All],15,FALSE),"")</f>
        <v/>
      </c>
      <c r="I362" s="36">
        <f>IFERROR(VLOOKUP(Table19[[#This Row],[Assets]],Table25[#All],16,FALSE),0)</f>
        <v>0</v>
      </c>
      <c r="J362" s="84" t="str">
        <f ca="1">IFERROR((Table19[[#This Row],[Price]]-Table19[[#This Row],[Ave Entry]])/Table19[[#This Row],[Ave Entry]],"")</f>
        <v/>
      </c>
      <c r="K362" s="92">
        <f ca="1">IFERROR((Table19[[#This Row],[Price]]-Table19[[#This Row],[Ave Entry]])*Table19[[#This Row],[Num of Stocks]],0)</f>
        <v>0</v>
      </c>
      <c r="L362" s="38" cm="1">
        <f t="array" aca="1" ref="L362" ca="1">_FV(Table19[[#This Row],[Assets]],"Change (%)",TRUE)</f>
        <v>1.0246E-2</v>
      </c>
      <c r="M362" s="36">
        <f>SUMIF(Table20[Asset],Table19[[#This Row],[Assets]],Table20[realized_profit])</f>
        <v>0</v>
      </c>
      <c r="N362" s="36">
        <f>SUMIF(Table20[[#All],[Asset]],Table19[[#This Row],[Assets]],Table20[[#All],[delta_exposure]])</f>
        <v>0</v>
      </c>
      <c r="O362" s="38">
        <f ca="1">Table19[[#This Row],[Option Exposure]]/$B$6</f>
        <v>0</v>
      </c>
      <c r="P362" s="51">
        <f>SUMIF(Table25[[#All],[Assets]],Table19[[#This Row],[Assets]],Table25[[#All],[Number of stocks]])</f>
        <v>0</v>
      </c>
      <c r="Q362" s="36">
        <f ca="1">Table19[[#This Row],[Num of Stocks]]*Table19[[#This Row],[Price]]</f>
        <v>0</v>
      </c>
      <c r="R362" s="36">
        <f ca="1">Table19[[#This Row],[Stock Exposure]]+Table19[[#This Row],[Option Exposure]]</f>
        <v>0</v>
      </c>
      <c r="S362" s="108" t="str">
        <f>IFERROR(Table19[[#This Row],[Num of Stocks]]*Table19[[#This Row],[Ave Entry]],"")</f>
        <v/>
      </c>
      <c r="T362" s="39">
        <f ca="1">Table19[[#This Row],[Combined Exposure]]/$C$8</f>
        <v>0</v>
      </c>
    </row>
    <row r="363" spans="1:20">
      <c r="A363" t="e" vm="406">
        <v>#VALUE!</v>
      </c>
      <c r="B363" s="13" t="str" cm="1">
        <f t="array" aca="1" ref="B363" ca="1">_FV(A363,"Ticker symbol",TRUE)</f>
        <v>JNJ</v>
      </c>
      <c r="C363" s="13" t="s">
        <v>53</v>
      </c>
      <c r="D363" s="13" t="s">
        <v>352</v>
      </c>
      <c r="E363" s="19" cm="1">
        <f t="array" aca="1" ref="E363" ca="1">IFERROR(_FV(A363,"Beta"),2)</f>
        <v>0.34749999999999998</v>
      </c>
      <c r="F363" s="13" t="str" cm="1">
        <f t="array" aca="1" ref="F363" ca="1">_FV(A363,"Instrument type",TRUE)</f>
        <v>Stock</v>
      </c>
      <c r="G363" s="18" cm="1">
        <f t="array" aca="1" ref="G363" ca="1">_FV(Table19[[#This Row],[Assets]],"Price")</f>
        <v>239.39500000000001</v>
      </c>
      <c r="H363" s="36" t="str">
        <f>IFERROR(VLOOKUP(Table19[[#This Row],[Assets]],Table25[#All],15,FALSE),"")</f>
        <v/>
      </c>
      <c r="I363" s="36">
        <f>IFERROR(VLOOKUP(Table19[[#This Row],[Assets]],Table25[#All],16,FALSE),0)</f>
        <v>0</v>
      </c>
      <c r="J363" s="84" t="str">
        <f ca="1">IFERROR((Table19[[#This Row],[Price]]-Table19[[#This Row],[Ave Entry]])/Table19[[#This Row],[Ave Entry]],"")</f>
        <v/>
      </c>
      <c r="K363" s="92">
        <f ca="1">IFERROR((Table19[[#This Row],[Price]]-Table19[[#This Row],[Ave Entry]])*Table19[[#This Row],[Num of Stocks]],0)</f>
        <v>0</v>
      </c>
      <c r="L363" s="38" cm="1">
        <f t="array" aca="1" ref="L363" ca="1">_FV(Table19[[#This Row],[Assets]],"Change (%)",TRUE)</f>
        <v>1.7533E-2</v>
      </c>
      <c r="M363" s="36">
        <f>SUMIF(Table20[Asset],Table19[[#This Row],[Assets]],Table20[realized_profit])</f>
        <v>0</v>
      </c>
      <c r="N363" s="36">
        <f>SUMIF(Table20[[#All],[Asset]],Table19[[#This Row],[Assets]],Table20[[#All],[delta_exposure]])</f>
        <v>0</v>
      </c>
      <c r="O363" s="38">
        <f ca="1">Table19[[#This Row],[Option Exposure]]/$B$6</f>
        <v>0</v>
      </c>
      <c r="P363" s="51">
        <f>SUMIF(Table25[[#All],[Assets]],Table19[[#This Row],[Assets]],Table25[[#All],[Number of stocks]])</f>
        <v>0</v>
      </c>
      <c r="Q363" s="36">
        <f ca="1">Table19[[#This Row],[Num of Stocks]]*Table19[[#This Row],[Price]]</f>
        <v>0</v>
      </c>
      <c r="R363" s="36">
        <f ca="1">Table19[[#This Row],[Stock Exposure]]+Table19[[#This Row],[Option Exposure]]</f>
        <v>0</v>
      </c>
      <c r="S363" s="108" t="str">
        <f>IFERROR(Table19[[#This Row],[Num of Stocks]]*Table19[[#This Row],[Ave Entry]],"")</f>
        <v/>
      </c>
      <c r="T363" s="39">
        <f ca="1">Table19[[#This Row],[Combined Exposure]]/$C$8</f>
        <v>0</v>
      </c>
    </row>
    <row r="364" spans="1:20">
      <c r="A364" t="e" vm="126">
        <v>#VALUE!</v>
      </c>
      <c r="B364" s="13" t="str" cm="1">
        <f t="array" aca="1" ref="B364" ca="1">_FV(A364,"Ticker symbol",TRUE)</f>
        <v>XLRE</v>
      </c>
      <c r="C364" s="13" t="s">
        <v>132</v>
      </c>
      <c r="D364" s="13" t="s">
        <v>132</v>
      </c>
      <c r="E364" s="19" cm="1">
        <f t="array" aca="1" ref="E364" ca="1">IFERROR(_FV(A364,"Beta"),2)</f>
        <v>1.002</v>
      </c>
      <c r="F364" s="13" t="str" cm="1">
        <f t="array" aca="1" ref="F364" ca="1">_FV(A364,"Instrument type",TRUE)</f>
        <v>ETF</v>
      </c>
      <c r="G364" s="18" cm="1">
        <f t="array" aca="1" ref="G364" ca="1">_FV(Table19[[#This Row],[Assets]],"Price")</f>
        <v>40.295000000000002</v>
      </c>
      <c r="H364" s="36" t="str">
        <f>IFERROR(VLOOKUP(Table19[[#This Row],[Assets]],Table25[#All],15,FALSE),"")</f>
        <v/>
      </c>
      <c r="I364" s="36">
        <f>IFERROR(VLOOKUP(Table19[[#This Row],[Assets]],Table25[#All],16,FALSE),0)</f>
        <v>0</v>
      </c>
      <c r="J364" s="84" t="str">
        <f ca="1">IFERROR((Table19[[#This Row],[Price]]-Table19[[#This Row],[Ave Entry]])/Table19[[#This Row],[Ave Entry]],"")</f>
        <v/>
      </c>
      <c r="K364" s="92">
        <f ca="1">IFERROR((Table19[[#This Row],[Price]]-Table19[[#This Row],[Ave Entry]])*Table19[[#This Row],[Num of Stocks]],0)</f>
        <v>0</v>
      </c>
      <c r="L364" s="38" cm="1">
        <f t="array" aca="1" ref="L364" ca="1">_FV(Table19[[#This Row],[Assets]],"Change (%)",TRUE)</f>
        <v>1.2409999999999998E-4</v>
      </c>
      <c r="M364" s="36">
        <f>SUMIF(Table20[Asset],Table19[[#This Row],[Assets]],Table20[realized_profit])</f>
        <v>0</v>
      </c>
      <c r="N364" s="36">
        <f>SUMIF(Table20[[#All],[Asset]],Table19[[#This Row],[Assets]],Table20[[#All],[delta_exposure]])</f>
        <v>0</v>
      </c>
      <c r="O364" s="38">
        <f ca="1">Table19[[#This Row],[Option Exposure]]/$B$6</f>
        <v>0</v>
      </c>
      <c r="P364" s="51">
        <f>SUMIF(Table25[[#All],[Assets]],Table19[[#This Row],[Assets]],Table25[[#All],[Number of stocks]])</f>
        <v>0</v>
      </c>
      <c r="Q364" s="36">
        <f ca="1">Table19[[#This Row],[Num of Stocks]]*Table19[[#This Row],[Price]]</f>
        <v>0</v>
      </c>
      <c r="R364" s="36">
        <f ca="1">Table19[[#This Row],[Stock Exposure]]+Table19[[#This Row],[Option Exposure]]</f>
        <v>0</v>
      </c>
      <c r="S364" s="108" t="str">
        <f>IFERROR(Table19[[#This Row],[Num of Stocks]]*Table19[[#This Row],[Ave Entry]],"")</f>
        <v/>
      </c>
      <c r="T364" s="39">
        <f ca="1">Table19[[#This Row],[Combined Exposure]]/$C$8</f>
        <v>0</v>
      </c>
    </row>
    <row r="365" spans="1:20">
      <c r="A365" t="e" vm="407">
        <v>#VALUE!</v>
      </c>
      <c r="B365" s="13" t="str" cm="1">
        <f t="array" aca="1" ref="B365" ca="1">_FV(A365,"Ticker symbol",TRUE)</f>
        <v>CCRN</v>
      </c>
      <c r="C365" s="13" t="s">
        <v>326</v>
      </c>
      <c r="D365" s="13" t="s">
        <v>53</v>
      </c>
      <c r="E365" s="19" cm="1">
        <f t="array" aca="1" ref="E365" ca="1">IFERROR(_FV(A365,"Beta"),2)</f>
        <v>0.3266</v>
      </c>
      <c r="F365" s="13" t="str" cm="1">
        <f t="array" aca="1" ref="F365" ca="1">_FV(A365,"Instrument type",TRUE)</f>
        <v>Stock</v>
      </c>
      <c r="G365" s="18" cm="1">
        <f t="array" aca="1" ref="G365" ca="1">_FV(Table19[[#This Row],[Assets]],"Price")</f>
        <v>9.6999999999999993</v>
      </c>
      <c r="H365" s="36" t="str">
        <f>IFERROR(VLOOKUP(Table19[[#This Row],[Assets]],Table25[#All],15,FALSE),"")</f>
        <v/>
      </c>
      <c r="I365" s="36">
        <f>IFERROR(VLOOKUP(Table19[[#This Row],[Assets]],Table25[#All],16,FALSE),0)</f>
        <v>0</v>
      </c>
      <c r="J365" s="84" t="str">
        <f ca="1">IFERROR((Table19[[#This Row],[Price]]-Table19[[#This Row],[Ave Entry]])/Table19[[#This Row],[Ave Entry]],"")</f>
        <v/>
      </c>
      <c r="K365" s="92">
        <f ca="1">IFERROR((Table19[[#This Row],[Price]]-Table19[[#This Row],[Ave Entry]])*Table19[[#This Row],[Num of Stocks]],0)</f>
        <v>0</v>
      </c>
      <c r="L365" s="38" cm="1">
        <f t="array" aca="1" ref="L365" ca="1">_FV(Table19[[#This Row],[Assets]],"Change (%)",TRUE)</f>
        <v>-5.1280000000000006E-3</v>
      </c>
      <c r="M365" s="36">
        <f>SUMIF(Table20[Asset],Table19[[#This Row],[Assets]],Table20[realized_profit])</f>
        <v>0</v>
      </c>
      <c r="N365" s="36">
        <f>SUMIF(Table20[[#All],[Asset]],Table19[[#This Row],[Assets]],Table20[[#All],[delta_exposure]])</f>
        <v>0</v>
      </c>
      <c r="O365" s="38">
        <f ca="1">Table19[[#This Row],[Option Exposure]]/$B$6</f>
        <v>0</v>
      </c>
      <c r="P365" s="51">
        <f>SUMIF(Table25[[#All],[Assets]],Table19[[#This Row],[Assets]],Table25[[#All],[Number of stocks]])</f>
        <v>0</v>
      </c>
      <c r="Q365" s="36">
        <f ca="1">Table19[[#This Row],[Num of Stocks]]*Table19[[#This Row],[Price]]</f>
        <v>0</v>
      </c>
      <c r="R365" s="36">
        <f ca="1">Table19[[#This Row],[Stock Exposure]]+Table19[[#This Row],[Option Exposure]]</f>
        <v>0</v>
      </c>
      <c r="S365" s="108" t="str">
        <f>IFERROR(Table19[[#This Row],[Num of Stocks]]*Table19[[#This Row],[Ave Entry]],"")</f>
        <v/>
      </c>
      <c r="T365" s="39">
        <f ca="1">Table19[[#This Row],[Combined Exposure]]/$C$8</f>
        <v>0</v>
      </c>
    </row>
    <row r="366" spans="1:20">
      <c r="A366" t="e" vm="408">
        <v>#VALUE!</v>
      </c>
      <c r="B366" s="13" t="str" cm="1">
        <f t="array" aca="1" ref="B366" ca="1">_FV(A366,"Ticker symbol",TRUE)</f>
        <v>DHR</v>
      </c>
      <c r="C366" s="13" t="s">
        <v>53</v>
      </c>
      <c r="D366" s="13" t="s">
        <v>53</v>
      </c>
      <c r="E366" s="19" cm="1">
        <f t="array" aca="1" ref="E366" ca="1">IFERROR(_FV(A366,"Beta"),2)</f>
        <v>0.95860000000000001</v>
      </c>
      <c r="F366" s="13" t="str" cm="1">
        <f t="array" aca="1" ref="F366" ca="1">_FV(A366,"Instrument type",TRUE)</f>
        <v>Stock</v>
      </c>
      <c r="G366" s="18" cm="1">
        <f t="array" aca="1" ref="G366" ca="1">_FV(Table19[[#This Row],[Assets]],"Price")</f>
        <v>188.185</v>
      </c>
      <c r="H366" s="36" t="str">
        <f>IFERROR(VLOOKUP(Table19[[#This Row],[Assets]],Table25[#All],15,FALSE),"")</f>
        <v/>
      </c>
      <c r="I366" s="36">
        <f>IFERROR(VLOOKUP(Table19[[#This Row],[Assets]],Table25[#All],16,FALSE),0)</f>
        <v>0</v>
      </c>
      <c r="J366" s="84" t="str">
        <f ca="1">IFERROR((Table19[[#This Row],[Price]]-Table19[[#This Row],[Ave Entry]])/Table19[[#This Row],[Ave Entry]],"")</f>
        <v/>
      </c>
      <c r="K366" s="92">
        <f ca="1">IFERROR((Table19[[#This Row],[Price]]-Table19[[#This Row],[Ave Entry]])*Table19[[#This Row],[Num of Stocks]],0)</f>
        <v>0</v>
      </c>
      <c r="L366" s="38" cm="1">
        <f t="array" aca="1" ref="L366" ca="1">_FV(Table19[[#This Row],[Assets]],"Change (%)",TRUE)</f>
        <v>-1.0074000000000001E-2</v>
      </c>
      <c r="M366" s="36">
        <f>SUMIF(Table20[Asset],Table19[[#This Row],[Assets]],Table20[realized_profit])</f>
        <v>0</v>
      </c>
      <c r="N366" s="36">
        <f>SUMIF(Table20[[#All],[Asset]],Table19[[#This Row],[Assets]],Table20[[#All],[delta_exposure]])</f>
        <v>0</v>
      </c>
      <c r="O366" s="38">
        <f ca="1">Table19[[#This Row],[Option Exposure]]/$B$6</f>
        <v>0</v>
      </c>
      <c r="P366" s="51">
        <f>SUMIF(Table25[[#All],[Assets]],Table19[[#This Row],[Assets]],Table25[[#All],[Number of stocks]])</f>
        <v>0</v>
      </c>
      <c r="Q366" s="36">
        <f ca="1">Table19[[#This Row],[Num of Stocks]]*Table19[[#This Row],[Price]]</f>
        <v>0</v>
      </c>
      <c r="R366" s="36">
        <f ca="1">Table19[[#This Row],[Stock Exposure]]+Table19[[#This Row],[Option Exposure]]</f>
        <v>0</v>
      </c>
      <c r="S366" s="108" t="str">
        <f>IFERROR(Table19[[#This Row],[Num of Stocks]]*Table19[[#This Row],[Ave Entry]],"")</f>
        <v/>
      </c>
      <c r="T366" s="39">
        <f ca="1">Table19[[#This Row],[Combined Exposure]]/$C$8</f>
        <v>0</v>
      </c>
    </row>
    <row r="367" spans="1:20">
      <c r="A367" t="e" vm="409">
        <v>#VALUE!</v>
      </c>
      <c r="B367" s="13" t="str" cm="1">
        <f t="array" aca="1" ref="B367" ca="1">_FV(A367,"Ticker symbol",TRUE)</f>
        <v>PIPR</v>
      </c>
      <c r="C367" s="13" t="s">
        <v>122</v>
      </c>
      <c r="D367" s="13" t="s">
        <v>54</v>
      </c>
      <c r="E367" s="19" cm="1">
        <f t="array" aca="1" ref="E367" ca="1">IFERROR(_FV(A367,"Beta"),2)</f>
        <v>1.4999</v>
      </c>
      <c r="F367" s="13" t="str" cm="1">
        <f t="array" aca="1" ref="F367" ca="1">_FV(A367,"Instrument type",TRUE)</f>
        <v>Stock</v>
      </c>
      <c r="G367" s="18" cm="1">
        <f t="array" aca="1" ref="G367" ca="1">_FV(Table19[[#This Row],[Assets]],"Price")</f>
        <v>74.16</v>
      </c>
      <c r="H367" s="36" t="str">
        <f>IFERROR(VLOOKUP(Table19[[#This Row],[Assets]],Table25[#All],15,FALSE),"")</f>
        <v/>
      </c>
      <c r="I367" s="36">
        <f>IFERROR(VLOOKUP(Table19[[#This Row],[Assets]],Table25[#All],16,FALSE),0)</f>
        <v>0</v>
      </c>
      <c r="J367" s="84" t="str">
        <f ca="1">IFERROR((Table19[[#This Row],[Price]]-Table19[[#This Row],[Ave Entry]])/Table19[[#This Row],[Ave Entry]],"")</f>
        <v/>
      </c>
      <c r="K367" s="92">
        <f ca="1">IFERROR((Table19[[#This Row],[Price]]-Table19[[#This Row],[Ave Entry]])*Table19[[#This Row],[Num of Stocks]],0)</f>
        <v>0</v>
      </c>
      <c r="L367" s="38" cm="1">
        <f t="array" aca="1" ref="L367" ca="1">_FV(Table19[[#This Row],[Assets]],"Change (%)",TRUE)</f>
        <v>4.7419999999999997E-3</v>
      </c>
      <c r="M367" s="36">
        <f>SUMIF(Table20[Asset],Table19[[#This Row],[Assets]],Table20[realized_profit])</f>
        <v>0</v>
      </c>
      <c r="N367" s="36">
        <f>SUMIF(Table20[[#All],[Asset]],Table19[[#This Row],[Assets]],Table20[[#All],[delta_exposure]])</f>
        <v>0</v>
      </c>
      <c r="O367" s="38">
        <f ca="1">Table19[[#This Row],[Option Exposure]]/$B$6</f>
        <v>0</v>
      </c>
      <c r="P367" s="51">
        <f>SUMIF(Table25[[#All],[Assets]],Table19[[#This Row],[Assets]],Table25[[#All],[Number of stocks]])</f>
        <v>0</v>
      </c>
      <c r="Q367" s="36">
        <f ca="1">Table19[[#This Row],[Num of Stocks]]*Table19[[#This Row],[Price]]</f>
        <v>0</v>
      </c>
      <c r="R367" s="36">
        <f ca="1">Table19[[#This Row],[Stock Exposure]]+Table19[[#This Row],[Option Exposure]]</f>
        <v>0</v>
      </c>
      <c r="S367" s="108" t="str">
        <f>IFERROR(Table19[[#This Row],[Num of Stocks]]*Table19[[#This Row],[Ave Entry]],"")</f>
        <v/>
      </c>
      <c r="T367" s="39">
        <f ca="1">Table19[[#This Row],[Combined Exposure]]/$C$8</f>
        <v>0</v>
      </c>
    </row>
    <row r="368" spans="1:20">
      <c r="A368" t="e" vm="50">
        <v>#VALUE!</v>
      </c>
      <c r="B368" s="13" t="str" cm="1">
        <f t="array" aca="1" ref="B368" ca="1">_FV(A368,"Ticker symbol",TRUE)</f>
        <v>SO</v>
      </c>
      <c r="C368" s="13" t="s">
        <v>136</v>
      </c>
      <c r="D368" s="13" t="s">
        <v>58</v>
      </c>
      <c r="E368" s="19" cm="1">
        <f t="array" aca="1" ref="E368" ca="1">IFERROR(_FV(A368,"Beta"),2)</f>
        <v>0.42009999999999997</v>
      </c>
      <c r="F368" s="13" t="str" cm="1">
        <f t="array" aca="1" ref="F368" ca="1">_FV(A368,"Instrument type",TRUE)</f>
        <v>Stock</v>
      </c>
      <c r="G368" s="18" cm="1">
        <f t="array" aca="1" ref="G368" ca="1">_FV(Table19[[#This Row],[Assets]],"Price")</f>
        <v>94.3</v>
      </c>
      <c r="H368" s="36" t="str">
        <f>IFERROR(VLOOKUP(Table19[[#This Row],[Assets]],Table25[#All],15,FALSE),"")</f>
        <v/>
      </c>
      <c r="I368" s="36">
        <f>IFERROR(VLOOKUP(Table19[[#This Row],[Assets]],Table25[#All],16,FALSE),0)</f>
        <v>0</v>
      </c>
      <c r="J368" s="84" t="str">
        <f ca="1">IFERROR((Table19[[#This Row],[Price]]-Table19[[#This Row],[Ave Entry]])/Table19[[#This Row],[Ave Entry]],"")</f>
        <v/>
      </c>
      <c r="K368" s="92">
        <f ca="1">IFERROR((Table19[[#This Row],[Price]]-Table19[[#This Row],[Ave Entry]])*Table19[[#This Row],[Num of Stocks]],0)</f>
        <v>0</v>
      </c>
      <c r="L368" s="38" cm="1">
        <f t="array" aca="1" ref="L368" ca="1">_FV(Table19[[#This Row],[Assets]],"Change (%)",TRUE)</f>
        <v>3.405E-3</v>
      </c>
      <c r="M368" s="36">
        <f>SUMIF(Table20[Asset],Table19[[#This Row],[Assets]],Table20[realized_profit])</f>
        <v>0</v>
      </c>
      <c r="N368" s="36">
        <f>SUMIF(Table20[[#All],[Asset]],Table19[[#This Row],[Assets]],Table20[[#All],[delta_exposure]])</f>
        <v>0</v>
      </c>
      <c r="O368" s="38">
        <f ca="1">Table19[[#This Row],[Option Exposure]]/$B$6</f>
        <v>0</v>
      </c>
      <c r="P368" s="51">
        <f>SUMIF(Table25[[#All],[Assets]],Table19[[#This Row],[Assets]],Table25[[#All],[Number of stocks]])</f>
        <v>0</v>
      </c>
      <c r="Q368" s="36">
        <f ca="1">Table19[[#This Row],[Num of Stocks]]*Table19[[#This Row],[Price]]</f>
        <v>0</v>
      </c>
      <c r="R368" s="36">
        <f ca="1">Table19[[#This Row],[Stock Exposure]]+Table19[[#This Row],[Option Exposure]]</f>
        <v>0</v>
      </c>
      <c r="S368" s="108" t="str">
        <f>IFERROR(Table19[[#This Row],[Num of Stocks]]*Table19[[#This Row],[Ave Entry]],"")</f>
        <v/>
      </c>
      <c r="T368" s="39">
        <f ca="1">Table19[[#This Row],[Combined Exposure]]/$C$8</f>
        <v>0</v>
      </c>
    </row>
    <row r="369" spans="1:20">
      <c r="A369" t="e" vm="410">
        <v>#VALUE!</v>
      </c>
      <c r="B369" s="13" t="str" cm="1">
        <f t="array" aca="1" ref="B369" ca="1">_FV(A369,"Ticker symbol",TRUE)</f>
        <v>DECK</v>
      </c>
      <c r="C369" s="13" t="s">
        <v>122</v>
      </c>
      <c r="D369" s="13" t="s">
        <v>55</v>
      </c>
      <c r="E369" s="19" cm="1">
        <f t="array" aca="1" ref="E369" ca="1">IFERROR(_FV(A369,"Beta"),2)</f>
        <v>1.2045999999999999</v>
      </c>
      <c r="F369" s="13" t="str" cm="1">
        <f t="array" aca="1" ref="F369" ca="1">_FV(A369,"Instrument type",TRUE)</f>
        <v>Stock</v>
      </c>
      <c r="G369" s="18" cm="1">
        <f t="array" aca="1" ref="G369" ca="1">_FV(Table19[[#This Row],[Assets]],"Price")</f>
        <v>100.02</v>
      </c>
      <c r="H369" s="36" t="str">
        <f>IFERROR(VLOOKUP(Table19[[#This Row],[Assets]],Table25[#All],15,FALSE),"")</f>
        <v/>
      </c>
      <c r="I369" s="36">
        <f>IFERROR(VLOOKUP(Table19[[#This Row],[Assets]],Table25[#All],16,FALSE),0)</f>
        <v>0</v>
      </c>
      <c r="J369" s="84" t="str">
        <f ca="1">IFERROR((Table19[[#This Row],[Price]]-Table19[[#This Row],[Ave Entry]])/Table19[[#This Row],[Ave Entry]],"")</f>
        <v/>
      </c>
      <c r="K369" s="92">
        <f ca="1">IFERROR((Table19[[#This Row],[Price]]-Table19[[#This Row],[Ave Entry]])*Table19[[#This Row],[Num of Stocks]],0)</f>
        <v>0</v>
      </c>
      <c r="L369" s="38" cm="1">
        <f t="array" aca="1" ref="L369" ca="1">_FV(Table19[[#This Row],[Assets]],"Change (%)",TRUE)</f>
        <v>-1.3512E-2</v>
      </c>
      <c r="M369" s="36">
        <f>SUMIF(Table20[Asset],Table19[[#This Row],[Assets]],Table20[realized_profit])</f>
        <v>0</v>
      </c>
      <c r="N369" s="36">
        <f>SUMIF(Table20[[#All],[Asset]],Table19[[#This Row],[Assets]],Table20[[#All],[delta_exposure]])</f>
        <v>0</v>
      </c>
      <c r="O369" s="38">
        <f ca="1">Table19[[#This Row],[Option Exposure]]/$B$6</f>
        <v>0</v>
      </c>
      <c r="P369" s="51">
        <f>SUMIF(Table25[[#All],[Assets]],Table19[[#This Row],[Assets]],Table25[[#All],[Number of stocks]])</f>
        <v>0</v>
      </c>
      <c r="Q369" s="36">
        <f ca="1">Table19[[#This Row],[Num of Stocks]]*Table19[[#This Row],[Price]]</f>
        <v>0</v>
      </c>
      <c r="R369" s="36">
        <f ca="1">Table19[[#This Row],[Stock Exposure]]+Table19[[#This Row],[Option Exposure]]</f>
        <v>0</v>
      </c>
      <c r="S369" s="108" t="str">
        <f>IFERROR(Table19[[#This Row],[Num of Stocks]]*Table19[[#This Row],[Ave Entry]],"")</f>
        <v/>
      </c>
      <c r="T369" s="39">
        <f ca="1">Table19[[#This Row],[Combined Exposure]]/$C$8</f>
        <v>0</v>
      </c>
    </row>
    <row r="370" spans="1:20">
      <c r="A370" t="e" vm="155">
        <v>#VALUE!</v>
      </c>
      <c r="B370" s="13" t="str" cm="1">
        <f t="array" aca="1" ref="B370" ca="1">_FV(A370,"Ticker symbol",TRUE)</f>
        <v>STX</v>
      </c>
      <c r="C370" s="13" t="s">
        <v>446</v>
      </c>
      <c r="D370" s="13" t="s">
        <v>257</v>
      </c>
      <c r="E370" s="19" cm="1">
        <f t="array" aca="1" ref="E370" ca="1">IFERROR(_FV(A370,"Beta"),2)</f>
        <v>1.5987</v>
      </c>
      <c r="F370" s="13" t="str" cm="1">
        <f t="array" aca="1" ref="F370" ca="1">_FV(A370,"Instrument type",TRUE)</f>
        <v>Stock</v>
      </c>
      <c r="G370" s="18" cm="1">
        <f t="array" aca="1" ref="G370" ca="1">_FV(Table19[[#This Row],[Assets]],"Price")</f>
        <v>417.24</v>
      </c>
      <c r="H370" s="36" t="str">
        <f>IFERROR(VLOOKUP(Table19[[#This Row],[Assets]],Table25[#All],15,FALSE),"")</f>
        <v/>
      </c>
      <c r="I370" s="36">
        <f>IFERROR(VLOOKUP(Table19[[#This Row],[Assets]],Table25[#All],16,FALSE),0)</f>
        <v>0</v>
      </c>
      <c r="J370" s="84" t="str">
        <f ca="1">IFERROR((Table19[[#This Row],[Price]]-Table19[[#This Row],[Ave Entry]])/Table19[[#This Row],[Ave Entry]],"")</f>
        <v/>
      </c>
      <c r="K370" s="92">
        <f ca="1">IFERROR((Table19[[#This Row],[Price]]-Table19[[#This Row],[Ave Entry]])*Table19[[#This Row],[Num of Stocks]],0)</f>
        <v>0</v>
      </c>
      <c r="L370" s="38" cm="1">
        <f t="array" aca="1" ref="L370" ca="1">_FV(Table19[[#This Row],[Assets]],"Change (%)",TRUE)</f>
        <v>-1.6454E-2</v>
      </c>
      <c r="M370" s="36">
        <f>SUMIF(Table20[Asset],Table19[[#This Row],[Assets]],Table20[realized_profit])</f>
        <v>0</v>
      </c>
      <c r="N370" s="36">
        <f>SUMIF(Table20[[#All],[Asset]],Table19[[#This Row],[Assets]],Table20[[#All],[delta_exposure]])</f>
        <v>0</v>
      </c>
      <c r="O370" s="38">
        <f ca="1">Table19[[#This Row],[Option Exposure]]/$B$6</f>
        <v>0</v>
      </c>
      <c r="P370" s="51">
        <f>SUMIF(Table25[[#All],[Assets]],Table19[[#This Row],[Assets]],Table25[[#All],[Number of stocks]])</f>
        <v>0</v>
      </c>
      <c r="Q370" s="36">
        <f ca="1">Table19[[#This Row],[Num of Stocks]]*Table19[[#This Row],[Price]]</f>
        <v>0</v>
      </c>
      <c r="R370" s="36">
        <f ca="1">Table19[[#This Row],[Stock Exposure]]+Table19[[#This Row],[Option Exposure]]</f>
        <v>0</v>
      </c>
      <c r="S370" s="108" t="str">
        <f>IFERROR(Table19[[#This Row],[Num of Stocks]]*Table19[[#This Row],[Ave Entry]],"")</f>
        <v/>
      </c>
      <c r="T370" s="39">
        <f ca="1">Table19[[#This Row],[Combined Exposure]]/$C$8</f>
        <v>0</v>
      </c>
    </row>
    <row r="371" spans="1:20">
      <c r="A371" t="e" vm="411">
        <v>#VALUE!</v>
      </c>
      <c r="B371" s="13" t="str" cm="1">
        <f t="array" aca="1" ref="B371" ca="1">_FV(A371,"Ticker symbol",TRUE)</f>
        <v>BHVN</v>
      </c>
      <c r="C371" s="13" t="s">
        <v>53</v>
      </c>
      <c r="D371" s="13" t="s">
        <v>560</v>
      </c>
      <c r="E371" s="19" cm="1">
        <f t="array" aca="1" ref="E371" ca="1">IFERROR(_FV(A371,"Beta"),2)</f>
        <v>3.6358999999999999</v>
      </c>
      <c r="F371" s="13" t="str" cm="1">
        <f t="array" aca="1" ref="F371" ca="1">_FV(A371,"Instrument type",TRUE)</f>
        <v>Stock</v>
      </c>
      <c r="G371" s="18" cm="1">
        <f t="array" aca="1" ref="G371" ca="1">_FV(Table19[[#This Row],[Assets]],"Price")</f>
        <v>8.7149999999999999</v>
      </c>
      <c r="H371" s="36" t="str">
        <f>IFERROR(VLOOKUP(Table19[[#This Row],[Assets]],Table25[#All],15,FALSE),"")</f>
        <v/>
      </c>
      <c r="I371" s="36">
        <f>IFERROR(VLOOKUP(Table19[[#This Row],[Assets]],Table25[#All],16,FALSE),0)</f>
        <v>0</v>
      </c>
      <c r="J371" s="84" t="str">
        <f ca="1">IFERROR((Table19[[#This Row],[Price]]-Table19[[#This Row],[Ave Entry]])/Table19[[#This Row],[Ave Entry]],"")</f>
        <v/>
      </c>
      <c r="K371" s="92">
        <f ca="1">IFERROR((Table19[[#This Row],[Price]]-Table19[[#This Row],[Ave Entry]])*Table19[[#This Row],[Num of Stocks]],0)</f>
        <v>0</v>
      </c>
      <c r="L371" s="38" cm="1">
        <f t="array" aca="1" ref="L371" ca="1">_FV(Table19[[#This Row],[Assets]],"Change (%)",TRUE)</f>
        <v>3.8737000000000001E-2</v>
      </c>
      <c r="M371" s="36">
        <f>SUMIF(Table20[Asset],Table19[[#This Row],[Assets]],Table20[realized_profit])</f>
        <v>0</v>
      </c>
      <c r="N371" s="36">
        <f>SUMIF(Table20[[#All],[Asset]],Table19[[#This Row],[Assets]],Table20[[#All],[delta_exposure]])</f>
        <v>0</v>
      </c>
      <c r="O371" s="38">
        <f ca="1">Table19[[#This Row],[Option Exposure]]/$B$6</f>
        <v>0</v>
      </c>
      <c r="P371" s="51">
        <f>SUMIF(Table25[[#All],[Assets]],Table19[[#This Row],[Assets]],Table25[[#All],[Number of stocks]])</f>
        <v>0</v>
      </c>
      <c r="Q371" s="36">
        <f ca="1">Table19[[#This Row],[Num of Stocks]]*Table19[[#This Row],[Price]]</f>
        <v>0</v>
      </c>
      <c r="R371" s="36">
        <f ca="1">Table19[[#This Row],[Stock Exposure]]+Table19[[#This Row],[Option Exposure]]</f>
        <v>0</v>
      </c>
      <c r="S371" s="108" t="str">
        <f>IFERROR(Table19[[#This Row],[Num of Stocks]]*Table19[[#This Row],[Ave Entry]],"")</f>
        <v/>
      </c>
      <c r="T371" s="39">
        <f ca="1">Table19[[#This Row],[Combined Exposure]]/$C$8</f>
        <v>0</v>
      </c>
    </row>
    <row r="372" spans="1:20">
      <c r="A372" t="e" vm="412">
        <v>#VALUE!</v>
      </c>
      <c r="B372" s="13" t="str" cm="1">
        <f t="array" aca="1" ref="B372" ca="1">_FV(A372,"Ticker symbol",TRUE)</f>
        <v>OHI</v>
      </c>
      <c r="C372" s="13" t="s">
        <v>326</v>
      </c>
      <c r="D372" s="13" t="s">
        <v>53</v>
      </c>
      <c r="E372" s="19" cm="1">
        <f t="array" aca="1" ref="E372" ca="1">IFERROR(_FV(A372,"Beta"),2)</f>
        <v>0.56999999999999995</v>
      </c>
      <c r="F372" s="13" t="str" cm="1">
        <f t="array" aca="1" ref="F372" ca="1">_FV(A372,"Instrument type",TRUE)</f>
        <v>Stock</v>
      </c>
      <c r="G372" s="18" cm="1">
        <f t="array" aca="1" ref="G372" ca="1">_FV(Table19[[#This Row],[Assets]],"Price")</f>
        <v>44.86</v>
      </c>
      <c r="H372" s="36">
        <f>IFERROR(VLOOKUP(Table19[[#This Row],[Assets]],Table25[#All],15,FALSE),"")</f>
        <v>37.43</v>
      </c>
      <c r="I372" s="36">
        <f>IFERROR(VLOOKUP(Table19[[#This Row],[Assets]],Table25[#All],16,FALSE),0)</f>
        <v>16.720000000000027</v>
      </c>
      <c r="J372" s="84">
        <f ca="1">IFERROR((Table19[[#This Row],[Price]]-Table19[[#This Row],[Ave Entry]])/Table19[[#This Row],[Ave Entry]],"")</f>
        <v>0.19850387389794283</v>
      </c>
      <c r="K372" s="92">
        <f ca="1">IFERROR((Table19[[#This Row],[Price]]-Table19[[#This Row],[Ave Entry]])*Table19[[#This Row],[Num of Stocks]],0)</f>
        <v>0</v>
      </c>
      <c r="L372" s="38" cm="1">
        <f t="array" aca="1" ref="L372" ca="1">_FV(Table19[[#This Row],[Assets]],"Change (%)",TRUE)</f>
        <v>2.9060000000000002E-3</v>
      </c>
      <c r="M372" s="36">
        <f>SUMIF(Table20[Asset],Table19[[#This Row],[Assets]],Table20[realized_profit])</f>
        <v>0</v>
      </c>
      <c r="N372" s="36">
        <f>SUMIF(Table20[[#All],[Asset]],Table19[[#This Row],[Assets]],Table20[[#All],[delta_exposure]])</f>
        <v>0</v>
      </c>
      <c r="O372" s="38">
        <f ca="1">Table19[[#This Row],[Option Exposure]]/$B$6</f>
        <v>0</v>
      </c>
      <c r="P372" s="51">
        <f>SUMIF(Table25[[#All],[Assets]],Table19[[#This Row],[Assets]],Table25[[#All],[Number of stocks]])</f>
        <v>0</v>
      </c>
      <c r="Q372" s="36">
        <f ca="1">Table19[[#This Row],[Num of Stocks]]*Table19[[#This Row],[Price]]</f>
        <v>0</v>
      </c>
      <c r="R372" s="36">
        <f ca="1">Table19[[#This Row],[Stock Exposure]]+Table19[[#This Row],[Option Exposure]]</f>
        <v>0</v>
      </c>
      <c r="S372" s="108">
        <f>IFERROR(Table19[[#This Row],[Num of Stocks]]*Table19[[#This Row],[Ave Entry]],"")</f>
        <v>0</v>
      </c>
      <c r="T372" s="39">
        <f ca="1">Table19[[#This Row],[Combined Exposure]]/$C$8</f>
        <v>0</v>
      </c>
    </row>
    <row r="373" spans="1:20">
      <c r="A373" t="e" vm="413">
        <v>#VALUE!</v>
      </c>
      <c r="B373" s="13" t="str" cm="1">
        <f t="array" aca="1" ref="B373" ca="1">_FV(A373,"Ticker symbol",TRUE)</f>
        <v>ALXO</v>
      </c>
      <c r="C373" s="13" t="s">
        <v>53</v>
      </c>
      <c r="D373" s="13" t="s">
        <v>560</v>
      </c>
      <c r="E373" s="19" cm="1">
        <f t="array" aca="1" ref="E373" ca="1">IFERROR(_FV(A373,"Beta"),2)</f>
        <v>0.49619999999999997</v>
      </c>
      <c r="F373" s="13" t="str" cm="1">
        <f t="array" aca="1" ref="F373" ca="1">_FV(A373,"Instrument type",TRUE)</f>
        <v>Stock</v>
      </c>
      <c r="G373" s="18" cm="1">
        <f t="array" aca="1" ref="G373" ca="1">_FV(Table19[[#This Row],[Assets]],"Price")</f>
        <v>2.145</v>
      </c>
      <c r="H373" s="36" t="str">
        <f>IFERROR(VLOOKUP(Table19[[#This Row],[Assets]],Table25[#All],15,FALSE),"")</f>
        <v/>
      </c>
      <c r="I373" s="36">
        <f>IFERROR(VLOOKUP(Table19[[#This Row],[Assets]],Table25[#All],16,FALSE),0)</f>
        <v>0</v>
      </c>
      <c r="J373" s="84" t="str">
        <f ca="1">IFERROR((Table19[[#This Row],[Price]]-Table19[[#This Row],[Ave Entry]])/Table19[[#This Row],[Ave Entry]],"")</f>
        <v/>
      </c>
      <c r="K373" s="92">
        <f ca="1">IFERROR((Table19[[#This Row],[Price]]-Table19[[#This Row],[Ave Entry]])*Table19[[#This Row],[Num of Stocks]],0)</f>
        <v>0</v>
      </c>
      <c r="L373" s="38" cm="1">
        <f t="array" aca="1" ref="L373" ca="1">_FV(Table19[[#This Row],[Assets]],"Change (%)",TRUE)</f>
        <v>5.1471000000000003E-2</v>
      </c>
      <c r="M373" s="36">
        <f>SUMIF(Table20[Asset],Table19[[#This Row],[Assets]],Table20[realized_profit])</f>
        <v>0</v>
      </c>
      <c r="N373" s="36">
        <f>SUMIF(Table20[[#All],[Asset]],Table19[[#This Row],[Assets]],Table20[[#All],[delta_exposure]])</f>
        <v>0</v>
      </c>
      <c r="O373" s="38">
        <f ca="1">Table19[[#This Row],[Option Exposure]]/$B$6</f>
        <v>0</v>
      </c>
      <c r="P373" s="51">
        <f>SUMIF(Table25[[#All],[Assets]],Table19[[#This Row],[Assets]],Table25[[#All],[Number of stocks]])</f>
        <v>0</v>
      </c>
      <c r="Q373" s="36">
        <f ca="1">Table19[[#This Row],[Num of Stocks]]*Table19[[#This Row],[Price]]</f>
        <v>0</v>
      </c>
      <c r="R373" s="36">
        <f ca="1">Table19[[#This Row],[Stock Exposure]]+Table19[[#This Row],[Option Exposure]]</f>
        <v>0</v>
      </c>
      <c r="S373" s="108" t="str">
        <f>IFERROR(Table19[[#This Row],[Num of Stocks]]*Table19[[#This Row],[Ave Entry]],"")</f>
        <v/>
      </c>
      <c r="T373" s="39">
        <f ca="1">Table19[[#This Row],[Combined Exposure]]/$C$8</f>
        <v>0</v>
      </c>
    </row>
    <row r="374" spans="1:20">
      <c r="A374" t="e" vm="414">
        <v>#VALUE!</v>
      </c>
      <c r="B374" s="13" t="str" cm="1">
        <f t="array" aca="1" ref="B374" ca="1">_FV(A374,"Ticker symbol",TRUE)</f>
        <v>EVR</v>
      </c>
      <c r="C374" s="13" t="s">
        <v>122</v>
      </c>
      <c r="D374" s="13" t="s">
        <v>54</v>
      </c>
      <c r="E374" s="19" cm="1">
        <f t="array" aca="1" ref="E374" ca="1">IFERROR(_FV(A374,"Beta"),2)</f>
        <v>1.5886</v>
      </c>
      <c r="F374" s="13" t="str" cm="1">
        <f t="array" aca="1" ref="F374" ca="1">_FV(A374,"Instrument type",TRUE)</f>
        <v>Stock</v>
      </c>
      <c r="G374" s="18" cm="1">
        <f t="array" aca="1" ref="G374" ca="1">_FV(Table19[[#This Row],[Assets]],"Price")</f>
        <v>283.47000000000003</v>
      </c>
      <c r="H374" s="36" t="str">
        <f>IFERROR(VLOOKUP(Table19[[#This Row],[Assets]],Table25[#All],15,FALSE),"")</f>
        <v/>
      </c>
      <c r="I374" s="36">
        <f>IFERROR(VLOOKUP(Table19[[#This Row],[Assets]],Table25[#All],16,FALSE),0)</f>
        <v>0</v>
      </c>
      <c r="J374" s="84" t="str">
        <f ca="1">IFERROR((Table19[[#This Row],[Price]]-Table19[[#This Row],[Ave Entry]])/Table19[[#This Row],[Ave Entry]],"")</f>
        <v/>
      </c>
      <c r="K374" s="92">
        <f ca="1">IFERROR((Table19[[#This Row],[Price]]-Table19[[#This Row],[Ave Entry]])*Table19[[#This Row],[Num of Stocks]],0)</f>
        <v>0</v>
      </c>
      <c r="L374" s="38" cm="1">
        <f t="array" aca="1" ref="L374" ca="1">_FV(Table19[[#This Row],[Assets]],"Change (%)",TRUE)</f>
        <v>1.8100999999999999E-2</v>
      </c>
      <c r="M374" s="36">
        <f>SUMIF(Table20[Asset],Table19[[#This Row],[Assets]],Table20[realized_profit])</f>
        <v>0</v>
      </c>
      <c r="N374" s="36">
        <f>SUMIF(Table20[[#All],[Asset]],Table19[[#This Row],[Assets]],Table20[[#All],[delta_exposure]])</f>
        <v>0</v>
      </c>
      <c r="O374" s="38">
        <f ca="1">Table19[[#This Row],[Option Exposure]]/$B$6</f>
        <v>0</v>
      </c>
      <c r="P374" s="51">
        <f>SUMIF(Table25[[#All],[Assets]],Table19[[#This Row],[Assets]],Table25[[#All],[Number of stocks]])</f>
        <v>0</v>
      </c>
      <c r="Q374" s="36">
        <f ca="1">Table19[[#This Row],[Num of Stocks]]*Table19[[#This Row],[Price]]</f>
        <v>0</v>
      </c>
      <c r="R374" s="36">
        <f ca="1">Table19[[#This Row],[Stock Exposure]]+Table19[[#This Row],[Option Exposure]]</f>
        <v>0</v>
      </c>
      <c r="S374" s="108" t="str">
        <f>IFERROR(Table19[[#This Row],[Num of Stocks]]*Table19[[#This Row],[Ave Entry]],"")</f>
        <v/>
      </c>
      <c r="T374" s="39">
        <f ca="1">Table19[[#This Row],[Combined Exposure]]/$C$8</f>
        <v>0</v>
      </c>
    </row>
    <row r="375" spans="1:20">
      <c r="A375" t="e" vm="415">
        <v>#VALUE!</v>
      </c>
      <c r="B375" s="13" t="str" cm="1">
        <f t="array" aca="1" ref="B375" ca="1">_FV(A375,"Ticker symbol",TRUE)</f>
        <v>TUA</v>
      </c>
      <c r="C375" s="13" t="s">
        <v>126</v>
      </c>
      <c r="D375" s="13" t="s">
        <v>126</v>
      </c>
      <c r="E375" s="19" cm="1">
        <f t="array" aca="1" ref="E375" ca="1">IFERROR(_FV(A375,"Beta"),2)</f>
        <v>5.6577000000000002</v>
      </c>
      <c r="F375" s="13" t="str" cm="1">
        <f t="array" aca="1" ref="F375" ca="1">_FV(A375,"Instrument type",TRUE)</f>
        <v>ETF</v>
      </c>
      <c r="G375" s="18" cm="1">
        <f t="array" aca="1" ref="G375" ca="1">_FV(Table19[[#This Row],[Assets]],"Price")</f>
        <v>20.975000000000001</v>
      </c>
      <c r="H375" s="36">
        <f>IFERROR(VLOOKUP(Table19[[#This Row],[Assets]],Table25[#All],15,FALSE),"")</f>
        <v>22.338846153846156</v>
      </c>
      <c r="I375" s="36">
        <f>IFERROR(VLOOKUP(Table19[[#This Row],[Assets]],Table25[#All],16,FALSE),0)</f>
        <v>-19.130000000000322</v>
      </c>
      <c r="J375" s="84">
        <f ca="1">IFERROR((Table19[[#This Row],[Price]]-Table19[[#This Row],[Ave Entry]])/Table19[[#This Row],[Ave Entry]],"")</f>
        <v>-6.1052667825967195E-2</v>
      </c>
      <c r="K375" s="92">
        <f ca="1">IFERROR((Table19[[#This Row],[Price]]-Table19[[#This Row],[Ave Entry]])*Table19[[#This Row],[Num of Stocks]],0)</f>
        <v>0</v>
      </c>
      <c r="L375" s="38" cm="1">
        <f t="array" aca="1" ref="L375" ca="1">_FV(Table19[[#This Row],[Assets]],"Change (%)",TRUE)</f>
        <v>5.2719999999999998E-3</v>
      </c>
      <c r="M375" s="36">
        <f>SUMIF(Table20[Asset],Table19[[#This Row],[Assets]],Table20[realized_profit])</f>
        <v>0</v>
      </c>
      <c r="N375" s="36">
        <f>SUMIF(Table20[[#All],[Asset]],Table19[[#This Row],[Assets]],Table20[[#All],[delta_exposure]])</f>
        <v>0</v>
      </c>
      <c r="O375" s="98">
        <f ca="1">Table19[[#This Row],[Option Exposure]]/$B$6</f>
        <v>0</v>
      </c>
      <c r="P375" s="51">
        <f>SUMIF(Table25[[#All],[Assets]],Table19[[#This Row],[Assets]],Table25[[#All],[Number of stocks]])</f>
        <v>0</v>
      </c>
      <c r="Q375" s="36">
        <f ca="1">Table19[[#This Row],[Num of Stocks]]*Table19[[#This Row],[Price]]</f>
        <v>0</v>
      </c>
      <c r="R375" s="36">
        <f ca="1">Table19[[#This Row],[Stock Exposure]]+Table19[[#This Row],[Option Exposure]]</f>
        <v>0</v>
      </c>
      <c r="S375" s="108">
        <f>IFERROR(Table19[[#This Row],[Num of Stocks]]*Table19[[#This Row],[Ave Entry]],"")</f>
        <v>0</v>
      </c>
      <c r="T375" s="39">
        <f ca="1">Table19[[#This Row],[Combined Exposure]]/$C$8</f>
        <v>0</v>
      </c>
    </row>
    <row r="376" spans="1:20">
      <c r="A376" t="e" vm="416">
        <v>#VALUE!</v>
      </c>
      <c r="B376" s="13" t="str" cm="1">
        <f t="array" aca="1" ref="B376" ca="1">_FV(A376,"Ticker symbol",TRUE)</f>
        <v>RSI</v>
      </c>
      <c r="C376" s="13" t="s">
        <v>550</v>
      </c>
      <c r="D376" s="13" t="s">
        <v>55</v>
      </c>
      <c r="E376" s="19" cm="1">
        <f t="array" aca="1" ref="E376" ca="1">IFERROR(_FV(A376,"Beta"),2)</f>
        <v>1.4562999999999999</v>
      </c>
      <c r="F376" s="13" t="str" cm="1">
        <f t="array" aca="1" ref="F376" ca="1">_FV(A376,"Instrument type",TRUE)</f>
        <v>Stock</v>
      </c>
      <c r="G376" s="18" cm="1">
        <f t="array" aca="1" ref="G376" ca="1">_FV(Table19[[#This Row],[Assets]],"Price")</f>
        <v>22.28</v>
      </c>
      <c r="H376" s="36" t="str">
        <f>IFERROR(VLOOKUP(Table19[[#This Row],[Assets]],Table25[#All],15,FALSE),"")</f>
        <v/>
      </c>
      <c r="I376" s="36">
        <f>IFERROR(VLOOKUP(Table19[[#This Row],[Assets]],Table25[#All],16,FALSE),0)</f>
        <v>0</v>
      </c>
      <c r="J376" s="84" t="str">
        <f ca="1">IFERROR((Table19[[#This Row],[Price]]-Table19[[#This Row],[Ave Entry]])/Table19[[#This Row],[Ave Entry]],"")</f>
        <v/>
      </c>
      <c r="K376" s="92">
        <f ca="1">IFERROR((Table19[[#This Row],[Price]]-Table19[[#This Row],[Ave Entry]])*Table19[[#This Row],[Num of Stocks]],0)</f>
        <v>0</v>
      </c>
      <c r="L376" s="38" cm="1">
        <f t="array" aca="1" ref="L376" ca="1">_FV(Table19[[#This Row],[Assets]],"Change (%)",TRUE)</f>
        <v>5.4149999999999997E-3</v>
      </c>
      <c r="M376" s="36">
        <f>SUMIF(Table20[Asset],Table19[[#This Row],[Assets]],Table20[realized_profit])</f>
        <v>0</v>
      </c>
      <c r="N376" s="36">
        <f>SUMIF(Table20[[#All],[Asset]],Table19[[#This Row],[Assets]],Table20[[#All],[delta_exposure]])</f>
        <v>0</v>
      </c>
      <c r="O376" s="38">
        <f ca="1">Table19[[#This Row],[Option Exposure]]/$B$6</f>
        <v>0</v>
      </c>
      <c r="P376" s="51">
        <f>SUMIF(Table25[[#All],[Assets]],Table19[[#This Row],[Assets]],Table25[[#All],[Number of stocks]])</f>
        <v>0</v>
      </c>
      <c r="Q376" s="36">
        <f ca="1">Table19[[#This Row],[Num of Stocks]]*Table19[[#This Row],[Price]]</f>
        <v>0</v>
      </c>
      <c r="R376" s="36">
        <f ca="1">Table19[[#This Row],[Stock Exposure]]+Table19[[#This Row],[Option Exposure]]</f>
        <v>0</v>
      </c>
      <c r="S376" s="108" t="str">
        <f>IFERROR(Table19[[#This Row],[Num of Stocks]]*Table19[[#This Row],[Ave Entry]],"")</f>
        <v/>
      </c>
      <c r="T376" s="39">
        <f ca="1">Table19[[#This Row],[Combined Exposure]]/$C$8</f>
        <v>0</v>
      </c>
    </row>
    <row r="377" spans="1:20">
      <c r="A377" t="e" vm="115">
        <v>#VALUE!</v>
      </c>
      <c r="B377" s="13" t="str" cm="1">
        <f t="array" aca="1" ref="B377" ca="1">_FV(A377,"Ticker symbol",TRUE)</f>
        <v>QQQ</v>
      </c>
      <c r="C377" s="13" t="s">
        <v>1</v>
      </c>
      <c r="D377" s="13" t="s">
        <v>1</v>
      </c>
      <c r="E377" s="19" cm="1">
        <f t="array" aca="1" ref="E377" ca="1">IFERROR(_FV(A377,"Beta"),2)</f>
        <v>0.97199999999999998</v>
      </c>
      <c r="F377" s="13" t="str" cm="1">
        <f t="array" aca="1" ref="F377" ca="1">_FV(A377,"Instrument type",TRUE)</f>
        <v>ETF</v>
      </c>
      <c r="G377" s="18" cm="1">
        <f t="array" aca="1" ref="G377" ca="1">_FV(Table19[[#This Row],[Assets]],"Price")</f>
        <v>590.62</v>
      </c>
      <c r="H377" s="36" t="str">
        <f>IFERROR(VLOOKUP(Table19[[#This Row],[Assets]],Table25[#All],15,FALSE),"")</f>
        <v/>
      </c>
      <c r="I377" s="36">
        <f>IFERROR(VLOOKUP(Table19[[#This Row],[Assets]],Table25[#All],16,FALSE),0)</f>
        <v>0</v>
      </c>
      <c r="J377" s="84" t="str">
        <f ca="1">IFERROR((Table19[[#This Row],[Price]]-Table19[[#This Row],[Ave Entry]])/Table19[[#This Row],[Ave Entry]],"")</f>
        <v/>
      </c>
      <c r="K377" s="92">
        <f ca="1">IFERROR((Table19[[#This Row],[Price]]-Table19[[#This Row],[Ave Entry]])*Table19[[#This Row],[Num of Stocks]],0)</f>
        <v>0</v>
      </c>
      <c r="L377" s="38" cm="1">
        <f t="array" aca="1" ref="L377" ca="1">_FV(Table19[[#This Row],[Assets]],"Change (%)",TRUE)</f>
        <v>1.137E-2</v>
      </c>
      <c r="M377" s="36">
        <f>SUMIF(Table20[Asset],Table19[[#This Row],[Assets]],Table20[realized_profit])</f>
        <v>-1212</v>
      </c>
      <c r="N377" s="36">
        <f ca="1">SUMIF(Table20[[#All],[Asset]],Table19[[#This Row],[Assets]],Table20[[#All],[delta_exposure]])</f>
        <v>0</v>
      </c>
      <c r="O377" s="38">
        <f ca="1">Table19[[#This Row],[Option Exposure]]/$B$6</f>
        <v>0</v>
      </c>
      <c r="P377" s="51">
        <f>SUMIF(Table25[[#All],[Assets]],Table19[[#This Row],[Assets]],Table25[[#All],[Number of stocks]])</f>
        <v>0</v>
      </c>
      <c r="Q377" s="36">
        <f ca="1">Table19[[#This Row],[Num of Stocks]]*Table19[[#This Row],[Price]]</f>
        <v>0</v>
      </c>
      <c r="R377" s="36">
        <f ca="1">Table19[[#This Row],[Stock Exposure]]+Table19[[#This Row],[Option Exposure]]</f>
        <v>0</v>
      </c>
      <c r="S377" s="108" t="str">
        <f>IFERROR(Table19[[#This Row],[Num of Stocks]]*Table19[[#This Row],[Ave Entry]],"")</f>
        <v/>
      </c>
      <c r="T377" s="39">
        <f ca="1">Table19[[#This Row],[Combined Exposure]]/$C$8</f>
        <v>0</v>
      </c>
    </row>
    <row r="378" spans="1:20">
      <c r="A378" t="e" vm="417">
        <v>#VALUE!</v>
      </c>
      <c r="B378" s="13" t="str" cm="1">
        <f t="array" aca="1" ref="B378" ca="1">_FV(A378,"Ticker symbol",TRUE)</f>
        <v>JCI</v>
      </c>
      <c r="C378" s="13" t="s">
        <v>56</v>
      </c>
      <c r="D378" s="13" t="s">
        <v>56</v>
      </c>
      <c r="E378" s="19" cm="1">
        <f t="array" aca="1" ref="E378" ca="1">IFERROR(_FV(A378,"Beta"),2)</f>
        <v>1.3849</v>
      </c>
      <c r="F378" s="13" t="str" cm="1">
        <f t="array" aca="1" ref="F378" ca="1">_FV(A378,"Instrument type",TRUE)</f>
        <v>Stock</v>
      </c>
      <c r="G378" s="18" cm="1">
        <f t="array" aca="1" ref="G378" ca="1">_FV(Table19[[#This Row],[Assets]],"Price")</f>
        <v>137.51499999999999</v>
      </c>
      <c r="H378" s="36">
        <f>IFERROR(VLOOKUP(Table19[[#This Row],[Assets]],Table25[#All],15,FALSE),"")</f>
        <v>70.319999999999993</v>
      </c>
      <c r="I378" s="36">
        <f>IFERROR(VLOOKUP(Table19[[#This Row],[Assets]],Table25[#All],16,FALSE),0)</f>
        <v>4.960000000000008</v>
      </c>
      <c r="J378" s="84">
        <f ca="1">IFERROR((Table19[[#This Row],[Price]]-Table19[[#This Row],[Ave Entry]])/Table19[[#This Row],[Ave Entry]],"")</f>
        <v>0.95556029579067125</v>
      </c>
      <c r="K378" s="92">
        <f ca="1">IFERROR((Table19[[#This Row],[Price]]-Table19[[#This Row],[Ave Entry]])*Table19[[#This Row],[Num of Stocks]],0)</f>
        <v>0</v>
      </c>
      <c r="L378" s="38" cm="1">
        <f t="array" aca="1" ref="L378" ca="1">_FV(Table19[[#This Row],[Assets]],"Change (%)",TRUE)</f>
        <v>7.953E-3</v>
      </c>
      <c r="M378" s="36">
        <f>SUMIF(Table20[Asset],Table19[[#This Row],[Assets]],Table20[realized_profit])</f>
        <v>0</v>
      </c>
      <c r="N378" s="36">
        <f>SUMIF(Table20[[#All],[Asset]],Table19[[#This Row],[Assets]],Table20[[#All],[delta_exposure]])</f>
        <v>0</v>
      </c>
      <c r="O378" s="98">
        <f ca="1">Table19[[#This Row],[Option Exposure]]/$B$6</f>
        <v>0</v>
      </c>
      <c r="P378" s="51">
        <f>SUMIF(Table25[[#All],[Assets]],Table19[[#This Row],[Assets]],Table25[[#All],[Number of stocks]])</f>
        <v>0</v>
      </c>
      <c r="Q378" s="36">
        <f ca="1">Table19[[#This Row],[Num of Stocks]]*Table19[[#This Row],[Price]]</f>
        <v>0</v>
      </c>
      <c r="R378" s="36">
        <f ca="1">Table19[[#This Row],[Stock Exposure]]+Table19[[#This Row],[Option Exposure]]</f>
        <v>0</v>
      </c>
      <c r="S378" s="108">
        <f>IFERROR(Table19[[#This Row],[Num of Stocks]]*Table19[[#This Row],[Ave Entry]],"")</f>
        <v>0</v>
      </c>
      <c r="T378" s="39">
        <f ca="1">Table19[[#This Row],[Combined Exposure]]/$C$8</f>
        <v>0</v>
      </c>
    </row>
    <row r="379" spans="1:20">
      <c r="A379" t="e" vm="418">
        <v>#VALUE!</v>
      </c>
      <c r="B379" s="13" t="str" cm="1">
        <f t="array" aca="1" ref="B379" ca="1">_FV(A379,"Ticker symbol",TRUE)</f>
        <v>WTRG</v>
      </c>
      <c r="C379" s="13" t="s">
        <v>134</v>
      </c>
      <c r="D379" s="13" t="s">
        <v>58</v>
      </c>
      <c r="E379" s="19" cm="1">
        <f t="array" aca="1" ref="E379" ca="1">IFERROR(_FV(A379,"Beta"),2)</f>
        <v>0.77780000000000005</v>
      </c>
      <c r="F379" s="13" t="str" cm="1">
        <f t="array" aca="1" ref="F379" ca="1">_FV(A379,"Instrument type",TRUE)</f>
        <v>Stock</v>
      </c>
      <c r="G379" s="18" cm="1">
        <f t="array" aca="1" ref="G379" ca="1">_FV(Table19[[#This Row],[Assets]],"Price")</f>
        <v>39.369999999999997</v>
      </c>
      <c r="H379" s="36">
        <f>IFERROR(VLOOKUP(Table19[[#This Row],[Assets]],Table25[#All],15,FALSE),"")</f>
        <v>37.26</v>
      </c>
      <c r="I379" s="36">
        <f>IFERROR(VLOOKUP(Table19[[#This Row],[Assets]],Table25[#All],16,FALSE),0)</f>
        <v>16.350000000000016</v>
      </c>
      <c r="J379" s="84">
        <f ca="1">IFERROR((Table19[[#This Row],[Price]]-Table19[[#This Row],[Ave Entry]])/Table19[[#This Row],[Ave Entry]],"")</f>
        <v>5.6629092860976907E-2</v>
      </c>
      <c r="K379" s="92">
        <f ca="1">IFERROR((Table19[[#This Row],[Price]]-Table19[[#This Row],[Ave Entry]])*Table19[[#This Row],[Num of Stocks]],0)</f>
        <v>0</v>
      </c>
      <c r="L379" s="38" cm="1">
        <f t="array" aca="1" ref="L379" ca="1">_FV(Table19[[#This Row],[Assets]],"Change (%)",TRUE)</f>
        <v>-8.3119999999999999E-3</v>
      </c>
      <c r="M379" s="36">
        <f>SUMIF(Table20[Asset],Table19[[#This Row],[Assets]],Table20[realized_profit])</f>
        <v>0</v>
      </c>
      <c r="N379" s="36">
        <f>SUMIF(Table20[[#All],[Asset]],Table19[[#This Row],[Assets]],Table20[[#All],[delta_exposure]])</f>
        <v>0</v>
      </c>
      <c r="O379" s="98">
        <f ca="1">Table19[[#This Row],[Option Exposure]]/$B$6</f>
        <v>0</v>
      </c>
      <c r="P379" s="51">
        <f>SUMIF(Table25[[#All],[Assets]],Table19[[#This Row],[Assets]],Table25[[#All],[Number of stocks]])</f>
        <v>0</v>
      </c>
      <c r="Q379" s="36">
        <f ca="1">Table19[[#This Row],[Num of Stocks]]*Table19[[#This Row],[Price]]</f>
        <v>0</v>
      </c>
      <c r="R379" s="36">
        <f ca="1">Table19[[#This Row],[Stock Exposure]]+Table19[[#This Row],[Option Exposure]]</f>
        <v>0</v>
      </c>
      <c r="S379" s="108">
        <f>IFERROR(Table19[[#This Row],[Num of Stocks]]*Table19[[#This Row],[Ave Entry]],"")</f>
        <v>0</v>
      </c>
      <c r="T379" s="39">
        <f ca="1">Table19[[#This Row],[Combined Exposure]]/$C$8</f>
        <v>0</v>
      </c>
    </row>
    <row r="380" spans="1:20">
      <c r="A380" t="e" vm="419">
        <v>#VALUE!</v>
      </c>
      <c r="B380" s="13" t="str" cm="1">
        <f t="array" aca="1" ref="B380" ca="1">_FV(A380,"Ticker symbol",TRUE)</f>
        <v>TEL</v>
      </c>
      <c r="C380" s="13" t="s">
        <v>258</v>
      </c>
      <c r="D380" s="13" t="s">
        <v>29</v>
      </c>
      <c r="E380" s="19" cm="1">
        <f t="array" aca="1" ref="E380" ca="1">IFERROR(_FV(A380,"Beta"),2)</f>
        <v>1.2666999999999999</v>
      </c>
      <c r="F380" s="13" t="str" cm="1">
        <f t="array" aca="1" ref="F380" ca="1">_FV(A380,"Instrument type",TRUE)</f>
        <v>Stock</v>
      </c>
      <c r="G380" s="18" cm="1">
        <f t="array" aca="1" ref="G380" ca="1">_FV(Table19[[#This Row],[Assets]],"Price")</f>
        <v>209.505</v>
      </c>
      <c r="H380" s="36" t="str">
        <f>IFERROR(VLOOKUP(Table19[[#This Row],[Assets]],Table25[#All],15,FALSE),"")</f>
        <v/>
      </c>
      <c r="I380" s="36">
        <f>IFERROR(VLOOKUP(Table19[[#This Row],[Assets]],Table25[#All],16,FALSE),0)</f>
        <v>0</v>
      </c>
      <c r="J380" s="84" t="str">
        <f ca="1">IFERROR((Table19[[#This Row],[Price]]-Table19[[#This Row],[Ave Entry]])/Table19[[#This Row],[Ave Entry]],"")</f>
        <v/>
      </c>
      <c r="K380" s="92">
        <f ca="1">IFERROR((Table19[[#This Row],[Price]]-Table19[[#This Row],[Ave Entry]])*Table19[[#This Row],[Num of Stocks]],0)</f>
        <v>0</v>
      </c>
      <c r="L380" s="38" cm="1">
        <f t="array" aca="1" ref="L380" ca="1">_FV(Table19[[#This Row],[Assets]],"Change (%)",TRUE)</f>
        <v>1.5191E-2</v>
      </c>
      <c r="M380" s="36">
        <f>SUMIF(Table20[Asset],Table19[[#This Row],[Assets]],Table20[realized_profit])</f>
        <v>0</v>
      </c>
      <c r="N380" s="36">
        <f>SUMIF(Table20[[#All],[Asset]],Table19[[#This Row],[Assets]],Table20[[#All],[delta_exposure]])</f>
        <v>0</v>
      </c>
      <c r="O380" s="38">
        <f ca="1">Table19[[#This Row],[Option Exposure]]/$B$6</f>
        <v>0</v>
      </c>
      <c r="P380" s="51">
        <f>SUMIF(Table25[[#All],[Assets]],Table19[[#This Row],[Assets]],Table25[[#All],[Number of stocks]])</f>
        <v>0</v>
      </c>
      <c r="Q380" s="36">
        <f ca="1">Table19[[#This Row],[Num of Stocks]]*Table19[[#This Row],[Price]]</f>
        <v>0</v>
      </c>
      <c r="R380" s="36">
        <f ca="1">Table19[[#This Row],[Stock Exposure]]+Table19[[#This Row],[Option Exposure]]</f>
        <v>0</v>
      </c>
      <c r="S380" s="108" t="str">
        <f>IFERROR(Table19[[#This Row],[Num of Stocks]]*Table19[[#This Row],[Ave Entry]],"")</f>
        <v/>
      </c>
      <c r="T380" s="39">
        <f ca="1">Table19[[#This Row],[Combined Exposure]]/$C$8</f>
        <v>0</v>
      </c>
    </row>
    <row r="381" spans="1:20">
      <c r="A381" t="e" vm="420">
        <v>#VALUE!</v>
      </c>
      <c r="B381" s="13" t="str" cm="1">
        <f t="array" aca="1" ref="B381" ca="1">_FV(A381,"Ticker symbol",TRUE)</f>
        <v>VZ</v>
      </c>
      <c r="C381" s="13" t="s">
        <v>29</v>
      </c>
      <c r="D381" s="13" t="s">
        <v>562</v>
      </c>
      <c r="E381" s="19" cm="1">
        <f t="array" aca="1" ref="E381" ca="1">IFERROR(_FV(A381,"Beta"),2)</f>
        <v>0.26519999999999999</v>
      </c>
      <c r="F381" s="13" t="str" cm="1">
        <f t="array" aca="1" ref="F381" ca="1">_FV(A381,"Instrument type",TRUE)</f>
        <v>Stock</v>
      </c>
      <c r="G381" s="18" cm="1">
        <f t="array" aca="1" ref="G381" ca="1">_FV(Table19[[#This Row],[Assets]],"Price")</f>
        <v>50.725000000000001</v>
      </c>
      <c r="H381" s="36" t="str">
        <f>IFERROR(VLOOKUP(Table19[[#This Row],[Assets]],Table25[#All],15,FALSE),"")</f>
        <v/>
      </c>
      <c r="I381" s="36">
        <f>IFERROR(VLOOKUP(Table19[[#This Row],[Assets]],Table25[#All],16,FALSE),0)</f>
        <v>0</v>
      </c>
      <c r="J381" s="84" t="str">
        <f ca="1">IFERROR((Table19[[#This Row],[Price]]-Table19[[#This Row],[Ave Entry]])/Table19[[#This Row],[Ave Entry]],"")</f>
        <v/>
      </c>
      <c r="K381" s="92">
        <f ca="1">IFERROR((Table19[[#This Row],[Price]]-Table19[[#This Row],[Ave Entry]])*Table19[[#This Row],[Num of Stocks]],0)</f>
        <v>0</v>
      </c>
      <c r="L381" s="38" cm="1">
        <f t="array" aca="1" ref="L381" ca="1">_FV(Table19[[#This Row],[Assets]],"Change (%)",TRUE)</f>
        <v>-3.6340000000000001E-3</v>
      </c>
      <c r="M381" s="36">
        <f>SUMIF(Table20[Asset],Table19[[#This Row],[Assets]],Table20[realized_profit])</f>
        <v>0</v>
      </c>
      <c r="N381" s="36">
        <f>SUMIF(Table20[[#All],[Asset]],Table19[[#This Row],[Assets]],Table20[[#All],[delta_exposure]])</f>
        <v>0</v>
      </c>
      <c r="O381" s="38">
        <f ca="1">Table19[[#This Row],[Option Exposure]]/$B$6</f>
        <v>0</v>
      </c>
      <c r="P381" s="51">
        <f>SUMIF(Table25[[#All],[Assets]],Table19[[#This Row],[Assets]],Table25[[#All],[Number of stocks]])</f>
        <v>0</v>
      </c>
      <c r="Q381" s="36">
        <f ca="1">Table19[[#This Row],[Num of Stocks]]*Table19[[#This Row],[Price]]</f>
        <v>0</v>
      </c>
      <c r="R381" s="36">
        <f ca="1">Table19[[#This Row],[Stock Exposure]]+Table19[[#This Row],[Option Exposure]]</f>
        <v>0</v>
      </c>
      <c r="S381" s="108" t="str">
        <f>IFERROR(Table19[[#This Row],[Num of Stocks]]*Table19[[#This Row],[Ave Entry]],"")</f>
        <v/>
      </c>
      <c r="T381" s="39">
        <f ca="1">Table19[[#This Row],[Combined Exposure]]/$C$8</f>
        <v>0</v>
      </c>
    </row>
    <row r="382" spans="1:20">
      <c r="A382" t="e" vm="421">
        <v>#VALUE!</v>
      </c>
      <c r="B382" s="13" t="str" cm="1">
        <f t="array" aca="1" ref="B382" ca="1">_FV(A382,"Ticker symbol",TRUE)</f>
        <v>PNC</v>
      </c>
      <c r="C382" s="13" t="s">
        <v>54</v>
      </c>
      <c r="D382" s="13" t="s">
        <v>54</v>
      </c>
      <c r="E382" s="19" cm="1">
        <f t="array" aca="1" ref="E382" ca="1">IFERROR(_FV(A382,"Beta"),2)</f>
        <v>0.96360000000000001</v>
      </c>
      <c r="F382" s="13" t="str" cm="1">
        <f t="array" aca="1" ref="F382" ca="1">_FV(A382,"Instrument type",TRUE)</f>
        <v>Stock</v>
      </c>
      <c r="G382" s="18" cm="1">
        <f t="array" aca="1" ref="G382" ca="1">_FV(Table19[[#This Row],[Assets]],"Price")</f>
        <v>207.01</v>
      </c>
      <c r="H382" s="36" t="str">
        <f>IFERROR(VLOOKUP(Table19[[#This Row],[Assets]],Table25[#All],15,FALSE),"")</f>
        <v/>
      </c>
      <c r="I382" s="36">
        <f>IFERROR(VLOOKUP(Table19[[#This Row],[Assets]],Table25[#All],16,FALSE),0)</f>
        <v>0</v>
      </c>
      <c r="J382" s="84" t="str">
        <f ca="1">IFERROR((Table19[[#This Row],[Price]]-Table19[[#This Row],[Ave Entry]])/Table19[[#This Row],[Ave Entry]],"")</f>
        <v/>
      </c>
      <c r="K382" s="92">
        <f ca="1">IFERROR((Table19[[#This Row],[Price]]-Table19[[#This Row],[Ave Entry]])*Table19[[#This Row],[Num of Stocks]],0)</f>
        <v>0</v>
      </c>
      <c r="L382" s="38" cm="1">
        <f t="array" aca="1" ref="L382" ca="1">_FV(Table19[[#This Row],[Assets]],"Change (%)",TRUE)</f>
        <v>3.1979999999999999E-3</v>
      </c>
      <c r="M382" s="36">
        <f>SUMIF(Table20[Asset],Table19[[#This Row],[Assets]],Table20[realized_profit])</f>
        <v>0</v>
      </c>
      <c r="N382" s="36">
        <f>SUMIF(Table20[[#All],[Asset]],Table19[[#This Row],[Assets]],Table20[[#All],[delta_exposure]])</f>
        <v>0</v>
      </c>
      <c r="O382" s="38">
        <f ca="1">Table19[[#This Row],[Option Exposure]]/$B$6</f>
        <v>0</v>
      </c>
      <c r="P382" s="51">
        <f>SUMIF(Table25[[#All],[Assets]],Table19[[#This Row],[Assets]],Table25[[#All],[Number of stocks]])</f>
        <v>0</v>
      </c>
      <c r="Q382" s="36">
        <f ca="1">Table19[[#This Row],[Num of Stocks]]*Table19[[#This Row],[Price]]</f>
        <v>0</v>
      </c>
      <c r="R382" s="36">
        <f ca="1">Table19[[#This Row],[Stock Exposure]]+Table19[[#This Row],[Option Exposure]]</f>
        <v>0</v>
      </c>
      <c r="S382" s="108" t="str">
        <f>IFERROR(Table19[[#This Row],[Num of Stocks]]*Table19[[#This Row],[Ave Entry]],"")</f>
        <v/>
      </c>
      <c r="T382" s="39">
        <f ca="1">Table19[[#This Row],[Combined Exposure]]/$C$8</f>
        <v>0</v>
      </c>
    </row>
    <row r="383" spans="1:20">
      <c r="A383" t="e" vm="422">
        <v>#VALUE!</v>
      </c>
      <c r="B383" s="13" t="str" cm="1">
        <f t="array" aca="1" ref="B383" ca="1">_FV(A383,"Ticker symbol",TRUE)</f>
        <v>VALE</v>
      </c>
      <c r="C383" s="13" t="s">
        <v>88</v>
      </c>
      <c r="D383" s="13" t="s">
        <v>25</v>
      </c>
      <c r="E383" s="19" cm="1">
        <f t="array" aca="1" ref="E383" ca="1">IFERROR(_FV(A383,"Beta"),2)</f>
        <v>0.60240000000000005</v>
      </c>
      <c r="F383" s="13" t="str" cm="1">
        <f t="array" aca="1" ref="F383" ca="1">_FV(A383,"Instrument type",TRUE)</f>
        <v>Stock</v>
      </c>
      <c r="G383" s="18" cm="1">
        <f t="array" aca="1" ref="G383" ca="1">_FV(Table19[[#This Row],[Assets]],"Price")</f>
        <v>15.25</v>
      </c>
      <c r="H383" s="36" t="str">
        <f>IFERROR(VLOOKUP(Table19[[#This Row],[Assets]],Table25[#All],15,FALSE),"")</f>
        <v/>
      </c>
      <c r="I383" s="36">
        <f>IFERROR(VLOOKUP(Table19[[#This Row],[Assets]],Table25[#All],16,FALSE),0)</f>
        <v>0</v>
      </c>
      <c r="J383" s="84" t="str">
        <f ca="1">IFERROR((Table19[[#This Row],[Price]]-Table19[[#This Row],[Ave Entry]])/Table19[[#This Row],[Ave Entry]],"")</f>
        <v/>
      </c>
      <c r="K383" s="92">
        <f ca="1">IFERROR((Table19[[#This Row],[Price]]-Table19[[#This Row],[Ave Entry]])*Table19[[#This Row],[Num of Stocks]],0)</f>
        <v>0</v>
      </c>
      <c r="L383" s="38" cm="1">
        <f t="array" aca="1" ref="L383" ca="1">_FV(Table19[[#This Row],[Assets]],"Change (%)",TRUE)</f>
        <v>2.5554999999999998E-2</v>
      </c>
      <c r="M383" s="36">
        <f>SUMIF(Table20[Asset],Table19[[#This Row],[Assets]],Table20[realized_profit])</f>
        <v>-365</v>
      </c>
      <c r="N383" s="36">
        <f ca="1">SUMIF(Table20[[#All],[Asset]],Table19[[#This Row],[Assets]],Table20[[#All],[delta_exposure]])</f>
        <v>0</v>
      </c>
      <c r="O383" s="98">
        <f ca="1">Table19[[#This Row],[Option Exposure]]/$B$6</f>
        <v>0</v>
      </c>
      <c r="P383" s="51">
        <f>SUMIF(Table25[[#All],[Assets]],Table19[[#This Row],[Assets]],Table25[[#All],[Number of stocks]])</f>
        <v>0</v>
      </c>
      <c r="Q383" s="36">
        <f ca="1">Table19[[#This Row],[Num of Stocks]]*Table19[[#This Row],[Price]]</f>
        <v>0</v>
      </c>
      <c r="R383" s="36">
        <f ca="1">Table19[[#This Row],[Stock Exposure]]+Table19[[#This Row],[Option Exposure]]</f>
        <v>0</v>
      </c>
      <c r="S383" s="108" t="str">
        <f>IFERROR(Table19[[#This Row],[Num of Stocks]]*Table19[[#This Row],[Ave Entry]],"")</f>
        <v/>
      </c>
      <c r="T383" s="39">
        <f ca="1">Table19[[#This Row],[Combined Exposure]]/$C$8</f>
        <v>0</v>
      </c>
    </row>
    <row r="384" spans="1:20">
      <c r="A384" t="e" vm="423">
        <v>#VALUE!</v>
      </c>
      <c r="B384" s="13" t="str" cm="1">
        <f t="array" aca="1" ref="B384" ca="1">_FV(A384,"Ticker symbol",TRUE)</f>
        <v>ABT</v>
      </c>
      <c r="C384" s="13" t="s">
        <v>53</v>
      </c>
      <c r="D384" s="13" t="s">
        <v>352</v>
      </c>
      <c r="E384" s="19" cm="1">
        <f t="array" aca="1" ref="E384" ca="1">IFERROR(_FV(A384,"Beta"),2)</f>
        <v>0.77569999999999995</v>
      </c>
      <c r="F384" s="13" t="str" cm="1">
        <f t="array" aca="1" ref="F384" ca="1">_FV(A384,"Instrument type",TRUE)</f>
        <v>Stock</v>
      </c>
      <c r="G384" s="18" cm="1">
        <f t="array" aca="1" ref="G384" ca="1">_FV(Table19[[#This Row],[Assets]],"Price")</f>
        <v>104.61</v>
      </c>
      <c r="H384" s="36" t="str">
        <f>IFERROR(VLOOKUP(Table19[[#This Row],[Assets]],Table25[#All],15,FALSE),"")</f>
        <v/>
      </c>
      <c r="I384" s="36">
        <f>IFERROR(VLOOKUP(Table19[[#This Row],[Assets]],Table25[#All],16,FALSE),0)</f>
        <v>0</v>
      </c>
      <c r="J384" s="84" t="str">
        <f ca="1">IFERROR((Table19[[#This Row],[Price]]-Table19[[#This Row],[Ave Entry]])/Table19[[#This Row],[Ave Entry]],"")</f>
        <v/>
      </c>
      <c r="K384" s="92">
        <f ca="1">IFERROR((Table19[[#This Row],[Price]]-Table19[[#This Row],[Ave Entry]])*Table19[[#This Row],[Num of Stocks]],0)</f>
        <v>0</v>
      </c>
      <c r="L384" s="38" cm="1">
        <f t="array" aca="1" ref="L384" ca="1">_FV(Table19[[#This Row],[Assets]],"Change (%)",TRUE)</f>
        <v>5.2849999999999998E-3</v>
      </c>
      <c r="M384" s="36">
        <f>SUMIF(Table20[Asset],Table19[[#This Row],[Assets]],Table20[realized_profit])</f>
        <v>0</v>
      </c>
      <c r="N384" s="36">
        <f>SUMIF(Table20[[#All],[Asset]],Table19[[#This Row],[Assets]],Table20[[#All],[delta_exposure]])</f>
        <v>0</v>
      </c>
      <c r="O384" s="38">
        <f ca="1">Table19[[#This Row],[Option Exposure]]/$B$6</f>
        <v>0</v>
      </c>
      <c r="P384" s="51">
        <f>SUMIF(Table25[[#All],[Assets]],Table19[[#This Row],[Assets]],Table25[[#All],[Number of stocks]])</f>
        <v>0</v>
      </c>
      <c r="Q384" s="36">
        <f ca="1">Table19[[#This Row],[Num of Stocks]]*Table19[[#This Row],[Price]]</f>
        <v>0</v>
      </c>
      <c r="R384" s="36">
        <f ca="1">Table19[[#This Row],[Stock Exposure]]+Table19[[#This Row],[Option Exposure]]</f>
        <v>0</v>
      </c>
      <c r="S384" s="108" t="str">
        <f>IFERROR(Table19[[#This Row],[Num of Stocks]]*Table19[[#This Row],[Ave Entry]],"")</f>
        <v/>
      </c>
      <c r="T384" s="39">
        <f ca="1">Table19[[#This Row],[Combined Exposure]]/$C$8</f>
        <v>0</v>
      </c>
    </row>
    <row r="385" spans="1:20">
      <c r="A385" t="e" vm="424">
        <v>#VALUE!</v>
      </c>
      <c r="B385" s="13" t="str" cm="1">
        <f t="array" aca="1" ref="B385" ca="1">_FV(A385,"Ticker symbol",TRUE)</f>
        <v>VISN</v>
      </c>
      <c r="C385" s="13" t="s">
        <v>258</v>
      </c>
      <c r="D385" s="13" t="s">
        <v>29</v>
      </c>
      <c r="E385" s="19" cm="1">
        <f t="array" aca="1" ref="E385" ca="1">IFERROR(_FV(A385,"Beta"),2)</f>
        <v>2.395</v>
      </c>
      <c r="F385" s="13" t="str" cm="1">
        <f t="array" aca="1" ref="F385" ca="1">_FV(A385,"Instrument type",TRUE)</f>
        <v>Stock</v>
      </c>
      <c r="G385" s="18" cm="1">
        <f t="array" aca="1" ref="G385" ca="1">_FV(Table19[[#This Row],[Assets]],"Price")</f>
        <v>18.8</v>
      </c>
      <c r="H385" s="36">
        <f>IFERROR(VLOOKUP(Table19[[#This Row],[Assets]],Table25[#All],15,FALSE),"")</f>
        <v>5.12</v>
      </c>
      <c r="I385" s="36">
        <f>IFERROR(VLOOKUP(Table19[[#This Row],[Assets]],Table25[#All],16,FALSE),0)</f>
        <v>6.999999999999984</v>
      </c>
      <c r="J385" s="84">
        <f ca="1">IFERROR((Table19[[#This Row],[Price]]-Table19[[#This Row],[Ave Entry]])/Table19[[#This Row],[Ave Entry]],"")</f>
        <v>2.671875</v>
      </c>
      <c r="K385" s="92">
        <f ca="1">IFERROR((Table19[[#This Row],[Price]]-Table19[[#This Row],[Ave Entry]])*Table19[[#This Row],[Num of Stocks]],0)</f>
        <v>0</v>
      </c>
      <c r="L385" s="38" cm="1">
        <f t="array" aca="1" ref="L385" ca="1">_FV(Table19[[#This Row],[Assets]],"Change (%)",TRUE)</f>
        <v>3.5813000000000005E-2</v>
      </c>
      <c r="M385" s="36">
        <f>SUMIF(Table20[Asset],Table19[[#This Row],[Assets]],Table20[realized_profit])</f>
        <v>0</v>
      </c>
      <c r="N385" s="36">
        <f>SUMIF(Table20[[#All],[Asset]],Table19[[#This Row],[Assets]],Table20[[#All],[delta_exposure]])</f>
        <v>0</v>
      </c>
      <c r="O385" s="38">
        <f ca="1">Table19[[#This Row],[Option Exposure]]/$B$6</f>
        <v>0</v>
      </c>
      <c r="P385" s="51">
        <f>SUMIF(Table25[[#All],[Assets]],Table19[[#This Row],[Assets]],Table25[[#All],[Number of stocks]])</f>
        <v>0</v>
      </c>
      <c r="Q385" s="36">
        <f ca="1">Table19[[#This Row],[Num of Stocks]]*Table19[[#This Row],[Price]]</f>
        <v>0</v>
      </c>
      <c r="R385" s="36">
        <f ca="1">Table19[[#This Row],[Stock Exposure]]+Table19[[#This Row],[Option Exposure]]</f>
        <v>0</v>
      </c>
      <c r="S385" s="108">
        <f>IFERROR(Table19[[#This Row],[Num of Stocks]]*Table19[[#This Row],[Ave Entry]],"")</f>
        <v>0</v>
      </c>
      <c r="T385" s="39">
        <f ca="1">Table19[[#This Row],[Combined Exposure]]/$C$8</f>
        <v>0</v>
      </c>
    </row>
    <row r="386" spans="1:20">
      <c r="A386" t="e" vm="425">
        <v>#VALUE!</v>
      </c>
      <c r="B386" s="13" t="str" cm="1">
        <f t="array" aca="1" ref="B386" ca="1">_FV(A386,"Ticker symbol",TRUE)</f>
        <v>SBUX</v>
      </c>
      <c r="C386" s="13" t="s">
        <v>55</v>
      </c>
      <c r="D386" s="13" t="s">
        <v>456</v>
      </c>
      <c r="E386" s="19" cm="1">
        <f t="array" aca="1" ref="E386" ca="1">IFERROR(_FV(A386,"Beta"),2)</f>
        <v>0.93330000000000002</v>
      </c>
      <c r="F386" s="13" t="str" cm="1">
        <f t="array" aca="1" ref="F386" ca="1">_FV(A386,"Instrument type",TRUE)</f>
        <v>Stock</v>
      </c>
      <c r="G386" s="18" cm="1">
        <f t="array" aca="1" ref="G386" ca="1">_FV(Table19[[#This Row],[Assets]],"Price")</f>
        <v>92.6</v>
      </c>
      <c r="H386" s="36" t="str">
        <f>IFERROR(VLOOKUP(Table19[[#This Row],[Assets]],Table25[#All],15,FALSE),"")</f>
        <v/>
      </c>
      <c r="I386" s="36">
        <f>IFERROR(VLOOKUP(Table19[[#This Row],[Assets]],Table25[#All],16,FALSE),0)</f>
        <v>0</v>
      </c>
      <c r="J386" s="84" t="str">
        <f ca="1">IFERROR((Table19[[#This Row],[Price]]-Table19[[#This Row],[Ave Entry]])/Table19[[#This Row],[Ave Entry]],"")</f>
        <v/>
      </c>
      <c r="K386" s="92">
        <f ca="1">IFERROR((Table19[[#This Row],[Price]]-Table19[[#This Row],[Ave Entry]])*Table19[[#This Row],[Num of Stocks]],0)</f>
        <v>0</v>
      </c>
      <c r="L386" s="38" cm="1">
        <f t="array" aca="1" ref="L386" ca="1">_FV(Table19[[#This Row],[Assets]],"Change (%)",TRUE)</f>
        <v>6.7410000000000005E-3</v>
      </c>
      <c r="M386" s="36">
        <f>SUMIF(Table20[Asset],Table19[[#This Row],[Assets]],Table20[realized_profit])</f>
        <v>-251.00000000000006</v>
      </c>
      <c r="N386" s="36">
        <f ca="1">SUMIF(Table20[[#All],[Asset]],Table19[[#This Row],[Assets]],Table20[[#All],[delta_exposure]])</f>
        <v>0</v>
      </c>
      <c r="O386" s="98">
        <f ca="1">Table19[[#This Row],[Option Exposure]]/$B$6</f>
        <v>0</v>
      </c>
      <c r="P386" s="51">
        <f>SUMIF(Table25[[#All],[Assets]],Table19[[#This Row],[Assets]],Table25[[#All],[Number of stocks]])</f>
        <v>0</v>
      </c>
      <c r="Q386" s="36">
        <f ca="1">Table19[[#This Row],[Num of Stocks]]*Table19[[#This Row],[Price]]</f>
        <v>0</v>
      </c>
      <c r="R386" s="36">
        <f ca="1">Table19[[#This Row],[Stock Exposure]]+Table19[[#This Row],[Option Exposure]]</f>
        <v>0</v>
      </c>
      <c r="S386" s="108" t="str">
        <f>IFERROR(Table19[[#This Row],[Num of Stocks]]*Table19[[#This Row],[Ave Entry]],"")</f>
        <v/>
      </c>
      <c r="T386" s="39">
        <f ca="1">Table19[[#This Row],[Combined Exposure]]/$C$8</f>
        <v>0</v>
      </c>
    </row>
    <row r="387" spans="1:20">
      <c r="A387" t="e" vm="426">
        <v>#VALUE!</v>
      </c>
      <c r="B387" s="13" t="str" cm="1">
        <f t="array" aca="1" ref="B387" ca="1">_FV(A387,"Ticker symbol",TRUE)</f>
        <v>FCNCA</v>
      </c>
      <c r="C387" s="13" t="s">
        <v>54</v>
      </c>
      <c r="D387" s="13" t="s">
        <v>54</v>
      </c>
      <c r="E387" s="19" cm="1">
        <f t="array" aca="1" ref="E387" ca="1">IFERROR(_FV(A387,"Beta"),2)</f>
        <v>0.65559999999999996</v>
      </c>
      <c r="F387" s="13" t="str" cm="1">
        <f t="array" aca="1" ref="F387" ca="1">_FV(A387,"Instrument type",TRUE)</f>
        <v>Stock</v>
      </c>
      <c r="G387" s="18" cm="1">
        <f t="array" aca="1" ref="G387" ca="1">_FV(Table19[[#This Row],[Assets]],"Price")</f>
        <v>1872.07</v>
      </c>
      <c r="H387" s="36" t="str">
        <f>IFERROR(VLOOKUP(Table19[[#This Row],[Assets]],Table25[#All],15,FALSE),"")</f>
        <v/>
      </c>
      <c r="I387" s="36">
        <f>IFERROR(VLOOKUP(Table19[[#This Row],[Assets]],Table25[#All],16,FALSE),0)</f>
        <v>0</v>
      </c>
      <c r="J387" s="84" t="str">
        <f ca="1">IFERROR((Table19[[#This Row],[Price]]-Table19[[#This Row],[Ave Entry]])/Table19[[#This Row],[Ave Entry]],"")</f>
        <v/>
      </c>
      <c r="K387" s="92">
        <f ca="1">IFERROR((Table19[[#This Row],[Price]]-Table19[[#This Row],[Ave Entry]])*Table19[[#This Row],[Num of Stocks]],0)</f>
        <v>0</v>
      </c>
      <c r="L387" s="38" cm="1">
        <f t="array" aca="1" ref="L387" ca="1">_FV(Table19[[#This Row],[Assets]],"Change (%)",TRUE)</f>
        <v>7.8869999999999999E-3</v>
      </c>
      <c r="M387" s="36">
        <f>SUMIF(Table20[Asset],Table19[[#This Row],[Assets]],Table20[realized_profit])</f>
        <v>0</v>
      </c>
      <c r="N387" s="36">
        <f>SUMIF(Table20[[#All],[Asset]],Table19[[#This Row],[Assets]],Table20[[#All],[delta_exposure]])</f>
        <v>0</v>
      </c>
      <c r="O387" s="38">
        <f ca="1">Table19[[#This Row],[Option Exposure]]/$B$6</f>
        <v>0</v>
      </c>
      <c r="P387" s="51">
        <f>SUMIF(Table25[[#All],[Assets]],Table19[[#This Row],[Assets]],Table25[[#All],[Number of stocks]])</f>
        <v>0</v>
      </c>
      <c r="Q387" s="36">
        <f ca="1">Table19[[#This Row],[Num of Stocks]]*Table19[[#This Row],[Price]]</f>
        <v>0</v>
      </c>
      <c r="R387" s="36">
        <f ca="1">Table19[[#This Row],[Stock Exposure]]+Table19[[#This Row],[Option Exposure]]</f>
        <v>0</v>
      </c>
      <c r="S387" s="108" t="str">
        <f>IFERROR(Table19[[#This Row],[Num of Stocks]]*Table19[[#This Row],[Ave Entry]],"")</f>
        <v/>
      </c>
      <c r="T387" s="39">
        <f ca="1">Table19[[#This Row],[Combined Exposure]]/$C$8</f>
        <v>0</v>
      </c>
    </row>
    <row r="388" spans="1:20">
      <c r="A388" t="e" vm="427">
        <v>#VALUE!</v>
      </c>
      <c r="B388" s="13" t="str" cm="1">
        <f t="array" aca="1" ref="B388" ca="1">_FV(A388,"Ticker symbol",TRUE)</f>
        <v>TPL</v>
      </c>
      <c r="C388" s="13" t="s">
        <v>31</v>
      </c>
      <c r="D388" s="13" t="s">
        <v>31</v>
      </c>
      <c r="E388" s="19" cm="1">
        <f t="array" aca="1" ref="E388" ca="1">IFERROR(_FV(A388,"Beta"),2)</f>
        <v>0.70530000000000004</v>
      </c>
      <c r="F388" s="13" t="str" cm="1">
        <f t="array" aca="1" ref="F388" ca="1">_FV(A388,"Instrument type",TRUE)</f>
        <v>Stock</v>
      </c>
      <c r="G388" s="18" cm="1">
        <f t="array" aca="1" ref="G388" ca="1">_FV(Table19[[#This Row],[Assets]],"Price")</f>
        <v>535.02</v>
      </c>
      <c r="H388" s="36" t="str">
        <f>IFERROR(VLOOKUP(Table19[[#This Row],[Assets]],Table25[#All],15,FALSE),"")</f>
        <v/>
      </c>
      <c r="I388" s="36">
        <f>IFERROR(VLOOKUP(Table19[[#This Row],[Assets]],Table25[#All],16,FALSE),0)</f>
        <v>0</v>
      </c>
      <c r="J388" s="84" t="str">
        <f ca="1">IFERROR((Table19[[#This Row],[Price]]-Table19[[#This Row],[Ave Entry]])/Table19[[#This Row],[Ave Entry]],"")</f>
        <v/>
      </c>
      <c r="K388" s="92">
        <f ca="1">IFERROR((Table19[[#This Row],[Price]]-Table19[[#This Row],[Ave Entry]])*Table19[[#This Row],[Num of Stocks]],0)</f>
        <v>0</v>
      </c>
      <c r="L388" s="38" cm="1">
        <f t="array" aca="1" ref="L388" ca="1">_FV(Table19[[#This Row],[Assets]],"Change (%)",TRUE)</f>
        <v>-4.484E-4</v>
      </c>
      <c r="M388" s="36">
        <f>SUMIF(Table20[Asset],Table19[[#This Row],[Assets]],Table20[realized_profit])</f>
        <v>0</v>
      </c>
      <c r="N388" s="36">
        <f>SUMIF(Table20[[#All],[Asset]],Table19[[#This Row],[Assets]],Table20[[#All],[delta_exposure]])</f>
        <v>0</v>
      </c>
      <c r="O388" s="38">
        <f ca="1">Table19[[#This Row],[Option Exposure]]/$B$6</f>
        <v>0</v>
      </c>
      <c r="P388" s="51">
        <f>SUMIF(Table25[[#All],[Assets]],Table19[[#This Row],[Assets]],Table25[[#All],[Number of stocks]])</f>
        <v>0</v>
      </c>
      <c r="Q388" s="36">
        <f ca="1">Table19[[#This Row],[Num of Stocks]]*Table19[[#This Row],[Price]]</f>
        <v>0</v>
      </c>
      <c r="R388" s="36">
        <f ca="1">Table19[[#This Row],[Stock Exposure]]+Table19[[#This Row],[Option Exposure]]</f>
        <v>0</v>
      </c>
      <c r="S388" s="108" t="str">
        <f>IFERROR(Table19[[#This Row],[Num of Stocks]]*Table19[[#This Row],[Ave Entry]],"")</f>
        <v/>
      </c>
      <c r="T388" s="39">
        <f ca="1">Table19[[#This Row],[Combined Exposure]]/$C$8</f>
        <v>0</v>
      </c>
    </row>
    <row r="389" spans="1:20">
      <c r="A389" t="e" vm="428">
        <v>#VALUE!</v>
      </c>
      <c r="B389" s="13" t="str" cm="1">
        <f t="array" aca="1" ref="B389" ca="1">_FV(A389,"Ticker symbol",TRUE)</f>
        <v>PCRX</v>
      </c>
      <c r="C389" s="13" t="s">
        <v>53</v>
      </c>
      <c r="D389" s="13" t="s">
        <v>53</v>
      </c>
      <c r="E389" s="19" cm="1">
        <f t="array" aca="1" ref="E389" ca="1">IFERROR(_FV(A389,"Beta"),2)</f>
        <v>0.18440000000000001</v>
      </c>
      <c r="F389" s="13" t="str" cm="1">
        <f t="array" aca="1" ref="F389" ca="1">_FV(A389,"Instrument type",TRUE)</f>
        <v>Stock</v>
      </c>
      <c r="G389" s="18" cm="1">
        <f t="array" aca="1" ref="G389" ca="1">_FV(Table19[[#This Row],[Assets]],"Price")</f>
        <v>23.34</v>
      </c>
      <c r="H389" s="36">
        <f>IFERROR(VLOOKUP(Table19[[#This Row],[Assets]],Table25[#All],15,FALSE),"")</f>
        <v>26.809999999999995</v>
      </c>
      <c r="I389" s="36">
        <f>IFERROR(VLOOKUP(Table19[[#This Row],[Assets]],Table25[#All],16,FALSE),0)</f>
        <v>-27.499999999999964</v>
      </c>
      <c r="J389" s="84">
        <f ca="1">IFERROR((Table19[[#This Row],[Price]]-Table19[[#This Row],[Ave Entry]])/Table19[[#This Row],[Ave Entry]],"")</f>
        <v>-0.1294293174188734</v>
      </c>
      <c r="K389" s="92">
        <f ca="1">IFERROR((Table19[[#This Row],[Price]]-Table19[[#This Row],[Ave Entry]])*Table19[[#This Row],[Num of Stocks]],0)</f>
        <v>0</v>
      </c>
      <c r="L389" s="38" cm="1">
        <f t="array" aca="1" ref="L389" ca="1">_FV(Table19[[#This Row],[Assets]],"Change (%)",TRUE)</f>
        <v>6.0340000000000003E-3</v>
      </c>
      <c r="M389" s="36">
        <f>SUMIF(Table20[Asset],Table19[[#This Row],[Assets]],Table20[realized_profit])</f>
        <v>0</v>
      </c>
      <c r="N389" s="36">
        <f>SUMIF(Table20[[#All],[Asset]],Table19[[#This Row],[Assets]],Table20[[#All],[delta_exposure]])</f>
        <v>0</v>
      </c>
      <c r="O389" s="38">
        <f ca="1">Table19[[#This Row],[Option Exposure]]/$B$6</f>
        <v>0</v>
      </c>
      <c r="P389" s="51">
        <f>SUMIF(Table25[[#All],[Assets]],Table19[[#This Row],[Assets]],Table25[[#All],[Number of stocks]])</f>
        <v>0</v>
      </c>
      <c r="Q389" s="36">
        <f ca="1">Table19[[#This Row],[Num of Stocks]]*Table19[[#This Row],[Price]]</f>
        <v>0</v>
      </c>
      <c r="R389" s="36">
        <f ca="1">Table19[[#This Row],[Stock Exposure]]+Table19[[#This Row],[Option Exposure]]</f>
        <v>0</v>
      </c>
      <c r="S389" s="108">
        <f>IFERROR(Table19[[#This Row],[Num of Stocks]]*Table19[[#This Row],[Ave Entry]],"")</f>
        <v>0</v>
      </c>
      <c r="T389" s="39">
        <f ca="1">Table19[[#This Row],[Combined Exposure]]/$C$8</f>
        <v>0</v>
      </c>
    </row>
    <row r="390" spans="1:20">
      <c r="A390" t="e" vm="429">
        <v>#VALUE!</v>
      </c>
      <c r="B390" s="13" t="str" cm="1">
        <f t="array" aca="1" ref="B390" ca="1">_FV(A390,"Ticker symbol",TRUE)</f>
        <v>PAYX</v>
      </c>
      <c r="C390" s="13" t="s">
        <v>54</v>
      </c>
      <c r="D390" s="13" t="s">
        <v>457</v>
      </c>
      <c r="E390" s="19" cm="1">
        <f t="array" aca="1" ref="E390" ca="1">IFERROR(_FV(A390,"Beta"),2)</f>
        <v>0.88009999999999999</v>
      </c>
      <c r="F390" s="13" t="str" cm="1">
        <f t="array" aca="1" ref="F390" ca="1">_FV(A390,"Instrument type",TRUE)</f>
        <v>Stock</v>
      </c>
      <c r="G390" s="18" cm="1">
        <f t="array" aca="1" ref="G390" ca="1">_FV(Table19[[#This Row],[Assets]],"Price")</f>
        <v>90.12</v>
      </c>
      <c r="H390" s="36" t="str">
        <f>IFERROR(VLOOKUP(Table19[[#This Row],[Assets]],Table25[#All],15,FALSE),"")</f>
        <v/>
      </c>
      <c r="I390" s="36">
        <f>IFERROR(VLOOKUP(Table19[[#This Row],[Assets]],Table25[#All],16,FALSE),0)</f>
        <v>0</v>
      </c>
      <c r="J390" s="84" t="str">
        <f ca="1">IFERROR((Table19[[#This Row],[Price]]-Table19[[#This Row],[Ave Entry]])/Table19[[#This Row],[Ave Entry]],"")</f>
        <v/>
      </c>
      <c r="K390" s="92">
        <f ca="1">IFERROR((Table19[[#This Row],[Price]]-Table19[[#This Row],[Ave Entry]])*Table19[[#This Row],[Num of Stocks]],0)</f>
        <v>0</v>
      </c>
      <c r="L390" s="38" cm="1">
        <f t="array" aca="1" ref="L390" ca="1">_FV(Table19[[#This Row],[Assets]],"Change (%)",TRUE)</f>
        <v>-5.4079999999999996E-3</v>
      </c>
      <c r="M390" s="36">
        <f>SUMIF(Table20[Asset],Table19[[#This Row],[Assets]],Table20[realized_profit])</f>
        <v>0</v>
      </c>
      <c r="N390" s="36">
        <f>SUMIF(Table20[[#All],[Asset]],Table19[[#This Row],[Assets]],Table20[[#All],[delta_exposure]])</f>
        <v>0</v>
      </c>
      <c r="O390" s="38">
        <f ca="1">Table19[[#This Row],[Option Exposure]]/$B$6</f>
        <v>0</v>
      </c>
      <c r="P390" s="51">
        <f>SUMIF(Table25[[#All],[Assets]],Table19[[#This Row],[Assets]],Table25[[#All],[Number of stocks]])</f>
        <v>0</v>
      </c>
      <c r="Q390" s="36">
        <f ca="1">Table19[[#This Row],[Num of Stocks]]*Table19[[#This Row],[Price]]</f>
        <v>0</v>
      </c>
      <c r="R390" s="36">
        <f ca="1">Table19[[#This Row],[Stock Exposure]]+Table19[[#This Row],[Option Exposure]]</f>
        <v>0</v>
      </c>
      <c r="S390" s="108" t="str">
        <f>IFERROR(Table19[[#This Row],[Num of Stocks]]*Table19[[#This Row],[Ave Entry]],"")</f>
        <v/>
      </c>
      <c r="T390" s="39">
        <f ca="1">Table19[[#This Row],[Combined Exposure]]/$C$8</f>
        <v>0</v>
      </c>
    </row>
    <row r="391" spans="1:20">
      <c r="A391" t="e" vm="430">
        <v>#VALUE!</v>
      </c>
      <c r="B391" s="13" t="str" cm="1">
        <f t="array" aca="1" ref="B391" ca="1">_FV(A391,"Ticker symbol",TRUE)</f>
        <v>CHE</v>
      </c>
      <c r="C391" s="13" t="s">
        <v>326</v>
      </c>
      <c r="D391" s="13" t="s">
        <v>53</v>
      </c>
      <c r="E391" s="19" cm="1">
        <f t="array" aca="1" ref="E391" ca="1">IFERROR(_FV(A391,"Beta"),2)</f>
        <v>0.48830000000000001</v>
      </c>
      <c r="F391" s="13" t="str" cm="1">
        <f t="array" aca="1" ref="F391" ca="1">_FV(A391,"Instrument type",TRUE)</f>
        <v>Stock</v>
      </c>
      <c r="G391" s="18" cm="1">
        <f t="array" aca="1" ref="G391" ca="1">_FV(Table19[[#This Row],[Assets]],"Price")</f>
        <v>371.69</v>
      </c>
      <c r="H391" s="36" t="str">
        <f>IFERROR(VLOOKUP(Table19[[#This Row],[Assets]],Table25[#All],15,FALSE),"")</f>
        <v/>
      </c>
      <c r="I391" s="36">
        <f>IFERROR(VLOOKUP(Table19[[#This Row],[Assets]],Table25[#All],16,FALSE),0)</f>
        <v>0</v>
      </c>
      <c r="J391" s="84" t="str">
        <f ca="1">IFERROR((Table19[[#This Row],[Price]]-Table19[[#This Row],[Ave Entry]])/Table19[[#This Row],[Ave Entry]],"")</f>
        <v/>
      </c>
      <c r="K391" s="92">
        <f ca="1">IFERROR((Table19[[#This Row],[Price]]-Table19[[#This Row],[Ave Entry]])*Table19[[#This Row],[Num of Stocks]],0)</f>
        <v>0</v>
      </c>
      <c r="L391" s="38" cm="1">
        <f t="array" aca="1" ref="L391" ca="1">_FV(Table19[[#This Row],[Assets]],"Change (%)",TRUE)</f>
        <v>-5.8840000000000003E-3</v>
      </c>
      <c r="M391" s="36">
        <f>SUMIF(Table20[Asset],Table19[[#This Row],[Assets]],Table20[realized_profit])</f>
        <v>0</v>
      </c>
      <c r="N391" s="36">
        <f>SUMIF(Table20[[#All],[Asset]],Table19[[#This Row],[Assets]],Table20[[#All],[delta_exposure]])</f>
        <v>0</v>
      </c>
      <c r="O391" s="38">
        <f ca="1">Table19[[#This Row],[Option Exposure]]/$B$6</f>
        <v>0</v>
      </c>
      <c r="P391" s="51">
        <f>SUMIF(Table25[[#All],[Assets]],Table19[[#This Row],[Assets]],Table25[[#All],[Number of stocks]])</f>
        <v>0</v>
      </c>
      <c r="Q391" s="36">
        <f ca="1">Table19[[#This Row],[Num of Stocks]]*Table19[[#This Row],[Price]]</f>
        <v>0</v>
      </c>
      <c r="R391" s="36">
        <f ca="1">Table19[[#This Row],[Stock Exposure]]+Table19[[#This Row],[Option Exposure]]</f>
        <v>0</v>
      </c>
      <c r="S391" s="108" t="str">
        <f>IFERROR(Table19[[#This Row],[Num of Stocks]]*Table19[[#This Row],[Ave Entry]],"")</f>
        <v/>
      </c>
      <c r="T391" s="39">
        <f ca="1">Table19[[#This Row],[Combined Exposure]]/$C$8</f>
        <v>0</v>
      </c>
    </row>
    <row r="392" spans="1:20">
      <c r="A392" t="e" vm="431">
        <v>#VALUE!</v>
      </c>
      <c r="B392" s="13" t="str" cm="1">
        <f t="array" aca="1" ref="B392" ca="1">_FV(A392,"Ticker symbol",TRUE)</f>
        <v>PRIM</v>
      </c>
      <c r="C392" s="13" t="s">
        <v>56</v>
      </c>
      <c r="D392" s="13" t="s">
        <v>56</v>
      </c>
      <c r="E392" s="19" cm="1">
        <f t="array" aca="1" ref="E392" ca="1">IFERROR(_FV(A392,"Beta"),2)</f>
        <v>1.3798999999999999</v>
      </c>
      <c r="F392" s="13" t="str" cm="1">
        <f t="array" aca="1" ref="F392" ca="1">_FV(A392,"Instrument type",TRUE)</f>
        <v>Stock</v>
      </c>
      <c r="G392" s="18" cm="1">
        <f t="array" aca="1" ref="G392" ca="1">_FV(Table19[[#This Row],[Assets]],"Price")</f>
        <v>149.15</v>
      </c>
      <c r="H392" s="36">
        <f>IFERROR(VLOOKUP(Table19[[#This Row],[Assets]],Table25[#All],15,FALSE),"")</f>
        <v>53.36</v>
      </c>
      <c r="I392" s="36">
        <f>IFERROR(VLOOKUP(Table19[[#This Row],[Assets]],Table25[#All],16,FALSE),0)</f>
        <v>116</v>
      </c>
      <c r="J392" s="84">
        <f ca="1">IFERROR((Table19[[#This Row],[Price]]-Table19[[#This Row],[Ave Entry]])/Table19[[#This Row],[Ave Entry]],"")</f>
        <v>1.7951649175412294</v>
      </c>
      <c r="K392" s="92">
        <f ca="1">IFERROR((Table19[[#This Row],[Price]]-Table19[[#This Row],[Ave Entry]])*Table19[[#This Row],[Num of Stocks]],0)</f>
        <v>0</v>
      </c>
      <c r="L392" s="38" cm="1">
        <f t="array" aca="1" ref="L392" ca="1">_FV(Table19[[#This Row],[Assets]],"Change (%)",TRUE)</f>
        <v>1.4212000000000001E-2</v>
      </c>
      <c r="M392" s="36">
        <f>SUMIF(Table20[Asset],Table19[[#This Row],[Assets]],Table20[realized_profit])</f>
        <v>0</v>
      </c>
      <c r="N392" s="36">
        <f>SUMIF(Table20[[#All],[Asset]],Table19[[#This Row],[Assets]],Table20[[#All],[delta_exposure]])</f>
        <v>0</v>
      </c>
      <c r="O392" s="98">
        <f ca="1">Table19[[#This Row],[Option Exposure]]/$B$6</f>
        <v>0</v>
      </c>
      <c r="P392" s="51">
        <f>SUMIF(Table25[[#All],[Assets]],Table19[[#This Row],[Assets]],Table25[[#All],[Number of stocks]])</f>
        <v>0</v>
      </c>
      <c r="Q392" s="36">
        <f ca="1">Table19[[#This Row],[Num of Stocks]]*Table19[[#This Row],[Price]]</f>
        <v>0</v>
      </c>
      <c r="R392" s="36">
        <f ca="1">Table19[[#This Row],[Stock Exposure]]+Table19[[#This Row],[Option Exposure]]</f>
        <v>0</v>
      </c>
      <c r="S392" s="108">
        <f>IFERROR(Table19[[#This Row],[Num of Stocks]]*Table19[[#This Row],[Ave Entry]],"")</f>
        <v>0</v>
      </c>
      <c r="T392" s="39">
        <f ca="1">Table19[[#This Row],[Combined Exposure]]/$C$8</f>
        <v>0</v>
      </c>
    </row>
    <row r="393" spans="1:20">
      <c r="A393" t="e" vm="432">
        <v>#VALUE!</v>
      </c>
      <c r="B393" s="13" t="str" cm="1">
        <f t="array" aca="1" ref="B393" ca="1">_FV(A393,"Ticker symbol",TRUE)</f>
        <v>AIG</v>
      </c>
      <c r="C393" s="13" t="s">
        <v>408</v>
      </c>
      <c r="D393" s="13" t="s">
        <v>408</v>
      </c>
      <c r="E393" s="19" cm="1">
        <f t="array" aca="1" ref="E393" ca="1">IFERROR(_FV(A393,"Beta"),2)</f>
        <v>0.60709999999999997</v>
      </c>
      <c r="F393" s="13" t="str" cm="1">
        <f t="array" aca="1" ref="F393" ca="1">_FV(A393,"Instrument type",TRUE)</f>
        <v>Stock</v>
      </c>
      <c r="G393" s="18" cm="1">
        <f t="array" aca="1" ref="G393" ca="1">_FV(Table19[[#This Row],[Assets]],"Price")</f>
        <v>75.099999999999994</v>
      </c>
      <c r="H393" s="36" t="str">
        <f>IFERROR(VLOOKUP(Table19[[#This Row],[Assets]],Table25[#All],15,FALSE),"")</f>
        <v/>
      </c>
      <c r="I393" s="36">
        <f>IFERROR(VLOOKUP(Table19[[#This Row],[Assets]],Table25[#All],16,FALSE),0)</f>
        <v>0</v>
      </c>
      <c r="J393" s="84" t="str">
        <f ca="1">IFERROR((Table19[[#This Row],[Price]]-Table19[[#This Row],[Ave Entry]])/Table19[[#This Row],[Ave Entry]],"")</f>
        <v/>
      </c>
      <c r="K393" s="92">
        <f ca="1">IFERROR((Table19[[#This Row],[Price]]-Table19[[#This Row],[Ave Entry]])*Table19[[#This Row],[Num of Stocks]],0)</f>
        <v>0</v>
      </c>
      <c r="L393" s="38" cm="1">
        <f t="array" aca="1" ref="L393" ca="1">_FV(Table19[[#This Row],[Assets]],"Change (%)",TRUE)</f>
        <v>1.0222999999999999E-2</v>
      </c>
      <c r="M393" s="36">
        <f>SUMIF(Table20[Asset],Table19[[#This Row],[Assets]],Table20[realized_profit])</f>
        <v>-170</v>
      </c>
      <c r="N393" s="36">
        <f ca="1">SUMIF(Table20[[#All],[Asset]],Table19[[#This Row],[Assets]],Table20[[#All],[delta_exposure]])</f>
        <v>0</v>
      </c>
      <c r="O393" s="38">
        <f ca="1">Table19[[#This Row],[Option Exposure]]/$B$6</f>
        <v>0</v>
      </c>
      <c r="P393" s="51">
        <f>SUMIF(Table25[[#All],[Assets]],Table19[[#This Row],[Assets]],Table25[[#All],[Number of stocks]])</f>
        <v>0</v>
      </c>
      <c r="Q393" s="36">
        <f ca="1">Table19[[#This Row],[Num of Stocks]]*Table19[[#This Row],[Price]]</f>
        <v>0</v>
      </c>
      <c r="R393" s="36">
        <f ca="1">Table19[[#This Row],[Stock Exposure]]+Table19[[#This Row],[Option Exposure]]</f>
        <v>0</v>
      </c>
      <c r="S393" s="108" t="str">
        <f>IFERROR(Table19[[#This Row],[Num of Stocks]]*Table19[[#This Row],[Ave Entry]],"")</f>
        <v/>
      </c>
      <c r="T393" s="39">
        <f ca="1">Table19[[#This Row],[Combined Exposure]]/$C$8</f>
        <v>0</v>
      </c>
    </row>
    <row r="394" spans="1:20">
      <c r="A394" t="e" vm="433">
        <v>#VALUE!</v>
      </c>
      <c r="B394" s="13" t="str" cm="1">
        <f t="array" aca="1" ref="B394" ca="1">_FV(A394,"Ticker symbol",TRUE)</f>
        <v>SHIP</v>
      </c>
      <c r="C394" s="13" t="s">
        <v>433</v>
      </c>
      <c r="D394" s="13" t="s">
        <v>56</v>
      </c>
      <c r="E394" s="19" cm="1">
        <f t="array" aca="1" ref="E394" ca="1">IFERROR(_FV(A394,"Beta"),2)</f>
        <v>0.97299999999999998</v>
      </c>
      <c r="F394" s="13" t="str" cm="1">
        <f t="array" aca="1" ref="F394" ca="1">_FV(A394,"Instrument type",TRUE)</f>
        <v>Stock</v>
      </c>
      <c r="G394" s="18" cm="1">
        <f t="array" aca="1" ref="G394" ca="1">_FV(Table19[[#This Row],[Assets]],"Price")</f>
        <v>13.2</v>
      </c>
      <c r="H394" s="36" t="str">
        <f>IFERROR(VLOOKUP(Table19[[#This Row],[Assets]],Table25[#All],15,FALSE),"")</f>
        <v/>
      </c>
      <c r="I394" s="36">
        <f>IFERROR(VLOOKUP(Table19[[#This Row],[Assets]],Table25[#All],16,FALSE),0)</f>
        <v>0</v>
      </c>
      <c r="J394" s="84" t="str">
        <f ca="1">IFERROR((Table19[[#This Row],[Price]]-Table19[[#This Row],[Ave Entry]])/Table19[[#This Row],[Ave Entry]],"")</f>
        <v/>
      </c>
      <c r="K394" s="92">
        <f ca="1">IFERROR((Table19[[#This Row],[Price]]-Table19[[#This Row],[Ave Entry]])*Table19[[#This Row],[Num of Stocks]],0)</f>
        <v>0</v>
      </c>
      <c r="L394" s="38" cm="1">
        <f t="array" aca="1" ref="L394" ca="1">_FV(Table19[[#This Row],[Assets]],"Change (%)",TRUE)</f>
        <v>-1.1235999999999999E-2</v>
      </c>
      <c r="M394" s="36">
        <f>SUMIF(Table20[Asset],Table19[[#This Row],[Assets]],Table20[realized_profit])</f>
        <v>0</v>
      </c>
      <c r="N394" s="36">
        <f>SUMIF(Table20[[#All],[Asset]],Table19[[#This Row],[Assets]],Table20[[#All],[delta_exposure]])</f>
        <v>0</v>
      </c>
      <c r="O394" s="38">
        <f ca="1">Table19[[#This Row],[Option Exposure]]/$B$6</f>
        <v>0</v>
      </c>
      <c r="P394" s="51">
        <f>SUMIF(Table25[[#All],[Assets]],Table19[[#This Row],[Assets]],Table25[[#All],[Number of stocks]])</f>
        <v>0</v>
      </c>
      <c r="Q394" s="36">
        <f ca="1">Table19[[#This Row],[Num of Stocks]]*Table19[[#This Row],[Price]]</f>
        <v>0</v>
      </c>
      <c r="R394" s="36">
        <f ca="1">Table19[[#This Row],[Stock Exposure]]+Table19[[#This Row],[Option Exposure]]</f>
        <v>0</v>
      </c>
      <c r="S394" s="108" t="str">
        <f>IFERROR(Table19[[#This Row],[Num of Stocks]]*Table19[[#This Row],[Ave Entry]],"")</f>
        <v/>
      </c>
      <c r="T394" s="39">
        <f ca="1">Table19[[#This Row],[Combined Exposure]]/$C$8</f>
        <v>0</v>
      </c>
    </row>
    <row r="395" spans="1:20">
      <c r="A395" t="e" vm="434">
        <v>#VALUE!</v>
      </c>
      <c r="B395" s="13" t="str" cm="1">
        <f t="array" aca="1" ref="B395" ca="1">_FV(A395,"Ticker symbol",TRUE)</f>
        <v>EWZ</v>
      </c>
      <c r="C395" s="13" t="s">
        <v>87</v>
      </c>
      <c r="D395" s="13" t="s">
        <v>87</v>
      </c>
      <c r="E395" s="19" cm="1">
        <f t="array" aca="1" ref="E395" ca="1">IFERROR(_FV(A395,"Beta"),2)</f>
        <v>1.1205000000000001</v>
      </c>
      <c r="F395" s="13" t="str" cm="1">
        <f t="array" aca="1" ref="F395" ca="1">_FV(A395,"Instrument type",TRUE)</f>
        <v>ETF</v>
      </c>
      <c r="G395" s="18" cm="1">
        <f t="array" aca="1" ref="G395" ca="1">_FV(Table19[[#This Row],[Assets]],"Price")</f>
        <v>37.560099999999998</v>
      </c>
      <c r="H395" s="36" t="str">
        <f>IFERROR(VLOOKUP(Table19[[#This Row],[Assets]],Table25[#All],15,FALSE),"")</f>
        <v/>
      </c>
      <c r="I395" s="36">
        <f>IFERROR(VLOOKUP(Table19[[#This Row],[Assets]],Table25[#All],16,FALSE),0)</f>
        <v>0</v>
      </c>
      <c r="J395" s="84" t="str">
        <f ca="1">IFERROR((Table19[[#This Row],[Price]]-Table19[[#This Row],[Ave Entry]])/Table19[[#This Row],[Ave Entry]],"")</f>
        <v/>
      </c>
      <c r="K395" s="92">
        <f ca="1">IFERROR((Table19[[#This Row],[Price]]-Table19[[#This Row],[Ave Entry]])*Table19[[#This Row],[Num of Stocks]],0)</f>
        <v>0</v>
      </c>
      <c r="L395" s="38" cm="1">
        <f t="array" aca="1" ref="L395" ca="1">_FV(Table19[[#This Row],[Assets]],"Change (%)",TRUE)</f>
        <v>2.4272999999999999E-2</v>
      </c>
      <c r="M395" s="36">
        <f>SUMIF(Table20[Asset],Table19[[#This Row],[Assets]],Table20[realized_profit])</f>
        <v>0</v>
      </c>
      <c r="N395" s="36">
        <f>SUMIF(Table20[[#All],[Asset]],Table19[[#This Row],[Assets]],Table20[[#All],[delta_exposure]])</f>
        <v>0</v>
      </c>
      <c r="O395" s="38">
        <f ca="1">Table19[[#This Row],[Option Exposure]]/$B$6</f>
        <v>0</v>
      </c>
      <c r="P395" s="51">
        <f>SUMIF(Table25[[#All],[Assets]],Table19[[#This Row],[Assets]],Table25[[#All],[Number of stocks]])</f>
        <v>0</v>
      </c>
      <c r="Q395" s="36">
        <f ca="1">Table19[[#This Row],[Num of Stocks]]*Table19[[#This Row],[Price]]</f>
        <v>0</v>
      </c>
      <c r="R395" s="36">
        <f ca="1">Table19[[#This Row],[Stock Exposure]]+Table19[[#This Row],[Option Exposure]]</f>
        <v>0</v>
      </c>
      <c r="S395" s="108" t="str">
        <f>IFERROR(Table19[[#This Row],[Num of Stocks]]*Table19[[#This Row],[Ave Entry]],"")</f>
        <v/>
      </c>
      <c r="T395" s="39">
        <f ca="1">Table19[[#This Row],[Combined Exposure]]/$C$8</f>
        <v>0</v>
      </c>
    </row>
    <row r="396" spans="1:20">
      <c r="A396" t="e" vm="435">
        <v>#VALUE!</v>
      </c>
      <c r="B396" s="13" t="str" cm="1">
        <f t="array" aca="1" ref="B396" ca="1">_FV(A396,"Ticker symbol",TRUE)</f>
        <v>CXW</v>
      </c>
      <c r="C396" s="13" t="s">
        <v>122</v>
      </c>
      <c r="D396" s="13" t="s">
        <v>123</v>
      </c>
      <c r="E396" s="19" cm="1">
        <f t="array" aca="1" ref="E396" ca="1">IFERROR(_FV(A396,"Beta"),2)</f>
        <v>0.58389999999999997</v>
      </c>
      <c r="F396" s="13" t="str" cm="1">
        <f t="array" aca="1" ref="F396" ca="1">_FV(A396,"Instrument type",TRUE)</f>
        <v>Stock</v>
      </c>
      <c r="G396" s="18" cm="1">
        <f t="array" aca="1" ref="G396" ca="1">_FV(Table19[[#This Row],[Assets]],"Price")</f>
        <v>20.245000000000001</v>
      </c>
      <c r="H396" s="36" t="str">
        <f>IFERROR(VLOOKUP(Table19[[#This Row],[Assets]],Table25[#All],15,FALSE),"")</f>
        <v/>
      </c>
      <c r="I396" s="36">
        <f>IFERROR(VLOOKUP(Table19[[#This Row],[Assets]],Table25[#All],16,FALSE),0)</f>
        <v>0</v>
      </c>
      <c r="J396" s="84" t="str">
        <f ca="1">IFERROR((Table19[[#This Row],[Price]]-Table19[[#This Row],[Ave Entry]])/Table19[[#This Row],[Ave Entry]],"")</f>
        <v/>
      </c>
      <c r="K396" s="92">
        <f ca="1">IFERROR((Table19[[#This Row],[Price]]-Table19[[#This Row],[Ave Entry]])*Table19[[#This Row],[Num of Stocks]],0)</f>
        <v>0</v>
      </c>
      <c r="L396" s="38" cm="1">
        <f t="array" aca="1" ref="L396" ca="1">_FV(Table19[[#This Row],[Assets]],"Change (%)",TRUE)</f>
        <v>1.5296000000000001E-2</v>
      </c>
      <c r="M396" s="36">
        <f>SUMIF(Table20[Asset],Table19[[#This Row],[Assets]],Table20[realized_profit])</f>
        <v>0</v>
      </c>
      <c r="N396" s="36">
        <f>SUMIF(Table20[[#All],[Asset]],Table19[[#This Row],[Assets]],Table20[[#All],[delta_exposure]])</f>
        <v>0</v>
      </c>
      <c r="O396" s="38">
        <f ca="1">Table19[[#This Row],[Option Exposure]]/$B$6</f>
        <v>0</v>
      </c>
      <c r="P396" s="51">
        <f>SUMIF(Table25[[#All],[Assets]],Table19[[#This Row],[Assets]],Table25[[#All],[Number of stocks]])</f>
        <v>0</v>
      </c>
      <c r="Q396" s="36">
        <f ca="1">Table19[[#This Row],[Num of Stocks]]*Table19[[#This Row],[Price]]</f>
        <v>0</v>
      </c>
      <c r="R396" s="36">
        <f ca="1">Table19[[#This Row],[Stock Exposure]]+Table19[[#This Row],[Option Exposure]]</f>
        <v>0</v>
      </c>
      <c r="S396" s="108" t="str">
        <f>IFERROR(Table19[[#This Row],[Num of Stocks]]*Table19[[#This Row],[Ave Entry]],"")</f>
        <v/>
      </c>
      <c r="T396" s="39">
        <f ca="1">Table19[[#This Row],[Combined Exposure]]/$C$8</f>
        <v>0</v>
      </c>
    </row>
    <row r="397" spans="1:20">
      <c r="A397" t="e" vm="104">
        <v>#VALUE!</v>
      </c>
      <c r="B397" s="13" t="str" cm="1">
        <f t="array" aca="1" ref="B397" ca="1">_FV(A397,"Ticker symbol",TRUE)</f>
        <v>V</v>
      </c>
      <c r="C397" s="13" t="s">
        <v>54</v>
      </c>
      <c r="D397" s="13" t="s">
        <v>54</v>
      </c>
      <c r="E397" s="19" cm="1">
        <f t="array" aca="1" ref="E397" ca="1">IFERROR(_FV(A397,"Beta"),2)</f>
        <v>0.79769999999999996</v>
      </c>
      <c r="F397" s="13" t="str" cm="1">
        <f t="array" aca="1" ref="F397" ca="1">_FV(A397,"Instrument type",TRUE)</f>
        <v>Stock</v>
      </c>
      <c r="G397" s="18" cm="1">
        <f t="array" aca="1" ref="G397" ca="1">_FV(Table19[[#This Row],[Assets]],"Price")</f>
        <v>304.54000000000002</v>
      </c>
      <c r="H397" s="36" t="str">
        <f>IFERROR(VLOOKUP(Table19[[#This Row],[Assets]],Table25[#All],15,FALSE),"")</f>
        <v/>
      </c>
      <c r="I397" s="36">
        <f>IFERROR(VLOOKUP(Table19[[#This Row],[Assets]],Table25[#All],16,FALSE),0)</f>
        <v>0</v>
      </c>
      <c r="J397" s="84" t="str">
        <f ca="1">IFERROR((Table19[[#This Row],[Price]]-Table19[[#This Row],[Ave Entry]])/Table19[[#This Row],[Ave Entry]],"")</f>
        <v/>
      </c>
      <c r="K397" s="92">
        <f ca="1">IFERROR((Table19[[#This Row],[Price]]-Table19[[#This Row],[Ave Entry]])*Table19[[#This Row],[Num of Stocks]],0)</f>
        <v>0</v>
      </c>
      <c r="L397" s="38" cm="1">
        <f t="array" aca="1" ref="L397" ca="1">_FV(Table19[[#This Row],[Assets]],"Change (%)",TRUE)</f>
        <v>2.5679999999999995E-3</v>
      </c>
      <c r="M397" s="36">
        <f>SUMIF(Table20[Asset],Table19[[#This Row],[Assets]],Table20[realized_profit])</f>
        <v>11</v>
      </c>
      <c r="N397" s="36">
        <f ca="1">SUMIF(Table20[[#All],[Asset]],Table19[[#This Row],[Assets]],Table20[[#All],[delta_exposure]])</f>
        <v>0</v>
      </c>
      <c r="O397" s="38">
        <f ca="1">Table19[[#This Row],[Option Exposure]]/$B$6</f>
        <v>0</v>
      </c>
      <c r="P397" s="51">
        <f>SUMIF(Table25[[#All],[Assets]],Table19[[#This Row],[Assets]],Table25[[#All],[Number of stocks]])</f>
        <v>0</v>
      </c>
      <c r="Q397" s="36">
        <f ca="1">Table19[[#This Row],[Num of Stocks]]*Table19[[#This Row],[Price]]</f>
        <v>0</v>
      </c>
      <c r="R397" s="36">
        <f ca="1">Table19[[#This Row],[Stock Exposure]]+Table19[[#This Row],[Option Exposure]]</f>
        <v>0</v>
      </c>
      <c r="S397" s="108" t="str">
        <f>IFERROR(Table19[[#This Row],[Num of Stocks]]*Table19[[#This Row],[Ave Entry]],"")</f>
        <v/>
      </c>
      <c r="T397" s="39">
        <f ca="1">Table19[[#This Row],[Combined Exposure]]/$C$8</f>
        <v>0</v>
      </c>
    </row>
    <row r="398" spans="1:20">
      <c r="A398" t="e" vm="436">
        <v>#VALUE!</v>
      </c>
      <c r="B398" s="13" t="str" cm="1">
        <f t="array" aca="1" ref="B398" ca="1">_FV(A398,"Ticker symbol",TRUE)</f>
        <v>WELL</v>
      </c>
      <c r="C398" s="13" t="s">
        <v>326</v>
      </c>
      <c r="D398" s="13" t="s">
        <v>53</v>
      </c>
      <c r="E398" s="19" cm="1">
        <f t="array" aca="1" ref="E398" ca="1">IFERROR(_FV(A398,"Beta"),2)</f>
        <v>0.82499999999999996</v>
      </c>
      <c r="F398" s="13" t="str" cm="1">
        <f t="array" aca="1" ref="F398" ca="1">_FV(A398,"Instrument type",TRUE)</f>
        <v>Stock</v>
      </c>
      <c r="G398" s="18" cm="1">
        <f t="array" aca="1" ref="G398" ca="1">_FV(Table19[[#This Row],[Assets]],"Price")</f>
        <v>197.625</v>
      </c>
      <c r="H398" s="36" t="str">
        <f>IFERROR(VLOOKUP(Table19[[#This Row],[Assets]],Table25[#All],15,FALSE),"")</f>
        <v/>
      </c>
      <c r="I398" s="36">
        <f>IFERROR(VLOOKUP(Table19[[#This Row],[Assets]],Table25[#All],16,FALSE),0)</f>
        <v>0</v>
      </c>
      <c r="J398" s="84" t="str">
        <f ca="1">IFERROR((Table19[[#This Row],[Price]]-Table19[[#This Row],[Ave Entry]])/Table19[[#This Row],[Ave Entry]],"")</f>
        <v/>
      </c>
      <c r="K398" s="92">
        <f ca="1">IFERROR((Table19[[#This Row],[Price]]-Table19[[#This Row],[Ave Entry]])*Table19[[#This Row],[Num of Stocks]],0)</f>
        <v>0</v>
      </c>
      <c r="L398" s="38" cm="1">
        <f t="array" aca="1" ref="L398" ca="1">_FV(Table19[[#This Row],[Assets]],"Change (%)",TRUE)</f>
        <v>5.1630000000000001E-3</v>
      </c>
      <c r="M398" s="36">
        <f>SUMIF(Table20[Asset],Table19[[#This Row],[Assets]],Table20[realized_profit])</f>
        <v>0</v>
      </c>
      <c r="N398" s="36">
        <f>SUMIF(Table20[[#All],[Asset]],Table19[[#This Row],[Assets]],Table20[[#All],[delta_exposure]])</f>
        <v>0</v>
      </c>
      <c r="O398" s="38">
        <f ca="1">Table19[[#This Row],[Option Exposure]]/$B$6</f>
        <v>0</v>
      </c>
      <c r="P398" s="51">
        <f>SUMIF(Table25[[#All],[Assets]],Table19[[#This Row],[Assets]],Table25[[#All],[Number of stocks]])</f>
        <v>0</v>
      </c>
      <c r="Q398" s="36">
        <f ca="1">Table19[[#This Row],[Num of Stocks]]*Table19[[#This Row],[Price]]</f>
        <v>0</v>
      </c>
      <c r="R398" s="36">
        <f ca="1">Table19[[#This Row],[Stock Exposure]]+Table19[[#This Row],[Option Exposure]]</f>
        <v>0</v>
      </c>
      <c r="S398" s="108" t="str">
        <f>IFERROR(Table19[[#This Row],[Num of Stocks]]*Table19[[#This Row],[Ave Entry]],"")</f>
        <v/>
      </c>
      <c r="T398" s="39">
        <f ca="1">Table19[[#This Row],[Combined Exposure]]/$C$8</f>
        <v>0</v>
      </c>
    </row>
    <row r="399" spans="1:20">
      <c r="A399" t="e" vm="437">
        <v>#VALUE!</v>
      </c>
      <c r="B399" s="13" t="str" cm="1">
        <f t="array" aca="1" ref="B399" ca="1">_FV(A399,"Ticker symbol",TRUE)</f>
        <v>EMXC</v>
      </c>
      <c r="C399" s="13" t="s">
        <v>293</v>
      </c>
      <c r="D399" s="13" t="s">
        <v>293</v>
      </c>
      <c r="E399" s="19" cm="1">
        <f t="array" aca="1" ref="E399" ca="1">IFERROR(_FV(A399,"Beta"),2)</f>
        <v>1.0906</v>
      </c>
      <c r="F399" s="13" t="str" cm="1">
        <f t="array" aca="1" ref="F399" ca="1">_FV(A399,"Instrument type",TRUE)</f>
        <v>ETF</v>
      </c>
      <c r="G399" s="18" cm="1">
        <f t="array" aca="1" ref="G399" ca="1">_FV(Table19[[#This Row],[Assets]],"Price")</f>
        <v>80.045000000000002</v>
      </c>
      <c r="H399" s="36">
        <f>IFERROR(VLOOKUP(Table19[[#This Row],[Assets]],Table25[#All],15,FALSE),"")</f>
        <v>60.839999999999996</v>
      </c>
      <c r="I399" s="36">
        <f>IFERROR(VLOOKUP(Table19[[#This Row],[Assets]],Table25[#All],16,FALSE),0)</f>
        <v>-0.9799999999999045</v>
      </c>
      <c r="J399" s="84">
        <f ca="1">IFERROR((Table19[[#This Row],[Price]]-Table19[[#This Row],[Ave Entry]])/Table19[[#This Row],[Ave Entry]],"")</f>
        <v>0.31566403681788308</v>
      </c>
      <c r="K399" s="92">
        <f ca="1">IFERROR((Table19[[#This Row],[Price]]-Table19[[#This Row],[Ave Entry]])*Table19[[#This Row],[Num of Stocks]],0)</f>
        <v>0</v>
      </c>
      <c r="L399" s="38" cm="1">
        <f t="array" aca="1" ref="L399" ca="1">_FV(Table19[[#This Row],[Assets]],"Change (%)",TRUE)</f>
        <v>1.7606999999999998E-2</v>
      </c>
      <c r="M399" s="36">
        <f>SUMIF(Table20[Asset],Table19[[#This Row],[Assets]],Table20[realized_profit])</f>
        <v>0</v>
      </c>
      <c r="N399" s="36">
        <f>SUMIF(Table20[[#All],[Asset]],Table19[[#This Row],[Assets]],Table20[[#All],[delta_exposure]])</f>
        <v>0</v>
      </c>
      <c r="O399" s="98">
        <f ca="1">Table19[[#This Row],[Option Exposure]]/$B$6</f>
        <v>0</v>
      </c>
      <c r="P399" s="51">
        <f>SUMIF(Table25[[#All],[Assets]],Table19[[#This Row],[Assets]],Table25[[#All],[Number of stocks]])</f>
        <v>0</v>
      </c>
      <c r="Q399" s="36">
        <f ca="1">Table19[[#This Row],[Num of Stocks]]*Table19[[#This Row],[Price]]</f>
        <v>0</v>
      </c>
      <c r="R399" s="36">
        <f ca="1">Table19[[#This Row],[Stock Exposure]]+Table19[[#This Row],[Option Exposure]]</f>
        <v>0</v>
      </c>
      <c r="S399" s="108">
        <f>IFERROR(Table19[[#This Row],[Num of Stocks]]*Table19[[#This Row],[Ave Entry]],"")</f>
        <v>0</v>
      </c>
      <c r="T399" s="39">
        <f ca="1">Table19[[#This Row],[Combined Exposure]]/$C$8</f>
        <v>0</v>
      </c>
    </row>
    <row r="400" spans="1:20">
      <c r="A400" t="e" vm="15">
        <v>#VALUE!</v>
      </c>
      <c r="B400" s="13" t="str" cm="1">
        <f t="array" aca="1" ref="B400" ca="1">_FV(A400,"Ticker symbol",TRUE)</f>
        <v>INDI</v>
      </c>
      <c r="C400" s="13" t="s">
        <v>84</v>
      </c>
      <c r="D400" s="13" t="s">
        <v>120</v>
      </c>
      <c r="E400" s="19" cm="1">
        <f t="array" aca="1" ref="E400" ca="1">IFERROR(_FV(A400,"Beta"),2)</f>
        <v>2.6059000000000001</v>
      </c>
      <c r="F400" s="13" t="str" cm="1">
        <f t="array" aca="1" ref="F400" ca="1">_FV(A400,"Instrument type",TRUE)</f>
        <v>Stock</v>
      </c>
      <c r="G400" s="18" cm="1">
        <f t="array" aca="1" ref="G400" ca="1">_FV(Table19[[#This Row],[Assets]],"Price")</f>
        <v>3.2</v>
      </c>
      <c r="H400" s="36">
        <f>IFERROR(VLOOKUP(Table19[[#This Row],[Assets]],Table25[#All],15,FALSE),"")</f>
        <v>4.8303448275862069</v>
      </c>
      <c r="I400" s="36">
        <f>IFERROR(VLOOKUP(Table19[[#This Row],[Assets]],Table25[#All],16,FALSE),0)</f>
        <v>-198.60000000000028</v>
      </c>
      <c r="J400" s="84">
        <f ca="1">IFERROR((Table19[[#This Row],[Price]]-Table19[[#This Row],[Ave Entry]])/Table19[[#This Row],[Ave Entry]],"")</f>
        <v>-0.33752141633352367</v>
      </c>
      <c r="K400" s="92">
        <f ca="1">IFERROR((Table19[[#This Row],[Price]]-Table19[[#This Row],[Ave Entry]])*Table19[[#This Row],[Num of Stocks]],0)</f>
        <v>0</v>
      </c>
      <c r="L400" s="38" cm="1">
        <f t="array" aca="1" ref="L400" ca="1">_FV(Table19[[#This Row],[Assets]],"Change (%)",TRUE)</f>
        <v>9.2149999999999996E-2</v>
      </c>
      <c r="M400" s="36">
        <f>SUMIF(Table20[Asset],Table19[[#This Row],[Assets]],Table20[realized_profit])</f>
        <v>0</v>
      </c>
      <c r="N400" s="36">
        <f>SUMIF(Table20[[#All],[Asset]],Table19[[#This Row],[Assets]],Table20[[#All],[delta_exposure]])</f>
        <v>0</v>
      </c>
      <c r="O400" s="38">
        <f ca="1">Table19[[#This Row],[Option Exposure]]/$B$6</f>
        <v>0</v>
      </c>
      <c r="P400" s="51">
        <f>SUMIF(Table25[[#All],[Assets]],Table19[[#This Row],[Assets]],Table25[[#All],[Number of stocks]])</f>
        <v>0</v>
      </c>
      <c r="Q400" s="36">
        <f ca="1">Table19[[#This Row],[Num of Stocks]]*Table19[[#This Row],[Price]]</f>
        <v>0</v>
      </c>
      <c r="R400" s="36">
        <f ca="1">Table19[[#This Row],[Stock Exposure]]+Table19[[#This Row],[Option Exposure]]</f>
        <v>0</v>
      </c>
      <c r="S400" s="108">
        <f>IFERROR(Table19[[#This Row],[Num of Stocks]]*Table19[[#This Row],[Ave Entry]],"")</f>
        <v>0</v>
      </c>
      <c r="T400" s="39">
        <f ca="1">Table19[[#This Row],[Combined Exposure]]/$C$8</f>
        <v>0</v>
      </c>
    </row>
    <row r="401" spans="1:20">
      <c r="A401" t="e" vm="438">
        <v>#VALUE!</v>
      </c>
      <c r="B401" s="13" t="str" cm="1">
        <f t="array" aca="1" ref="B401" ca="1">_FV(A401,"Ticker symbol",TRUE)</f>
        <v>RIO</v>
      </c>
      <c r="C401" s="13" t="s">
        <v>26</v>
      </c>
      <c r="D401" s="13" t="s">
        <v>25</v>
      </c>
      <c r="E401" s="19" cm="1">
        <f t="array" aca="1" ref="E401" ca="1">IFERROR(_FV(A401,"Beta"),2)</f>
        <v>0.61599999999999999</v>
      </c>
      <c r="F401" s="13" t="str" cm="1">
        <f t="array" aca="1" ref="F401" ca="1">_FV(A401,"Instrument type",TRUE)</f>
        <v>Stock</v>
      </c>
      <c r="G401" s="18" cm="1">
        <f t="array" aca="1" ref="G401" ca="1">_FV(Table19[[#This Row],[Assets]],"Price")</f>
        <v>88</v>
      </c>
      <c r="H401" s="36">
        <f>IFERROR(VLOOKUP(Table19[[#This Row],[Assets]],Table25[#All],15,FALSE),"")</f>
        <v>70.03</v>
      </c>
      <c r="I401" s="36">
        <f>IFERROR(VLOOKUP(Table19[[#This Row],[Assets]],Table25[#All],16,FALSE),0)</f>
        <v>-135.60000000000002</v>
      </c>
      <c r="J401" s="84">
        <f ca="1">IFERROR((Table19[[#This Row],[Price]]-Table19[[#This Row],[Ave Entry]])/Table19[[#This Row],[Ave Entry]],"")</f>
        <v>0.25660431243752674</v>
      </c>
      <c r="K401" s="92">
        <f ca="1">IFERROR((Table19[[#This Row],[Price]]-Table19[[#This Row],[Ave Entry]])*Table19[[#This Row],[Num of Stocks]],0)</f>
        <v>0</v>
      </c>
      <c r="L401" s="38" cm="1">
        <f t="array" aca="1" ref="L401" ca="1">_FV(Table19[[#This Row],[Assets]],"Change (%)",TRUE)</f>
        <v>1.4175E-2</v>
      </c>
      <c r="M401" s="36">
        <f>SUMIF(Table20[Asset],Table19[[#This Row],[Assets]],Table20[realized_profit])</f>
        <v>0</v>
      </c>
      <c r="N401" s="36">
        <f>SUMIF(Table20[[#All],[Asset]],Table19[[#This Row],[Assets]],Table20[[#All],[delta_exposure]])</f>
        <v>0</v>
      </c>
      <c r="O401" s="98">
        <f ca="1">Table19[[#This Row],[Option Exposure]]/$B$6</f>
        <v>0</v>
      </c>
      <c r="P401" s="51">
        <f>SUMIF(Table25[[#All],[Assets]],Table19[[#This Row],[Assets]],Table25[[#All],[Number of stocks]])</f>
        <v>0</v>
      </c>
      <c r="Q401" s="36">
        <f ca="1">Table19[[#This Row],[Num of Stocks]]*Table19[[#This Row],[Price]]</f>
        <v>0</v>
      </c>
      <c r="R401" s="36">
        <f ca="1">Table19[[#This Row],[Stock Exposure]]+Table19[[#This Row],[Option Exposure]]</f>
        <v>0</v>
      </c>
      <c r="S401" s="108">
        <f>IFERROR(Table19[[#This Row],[Num of Stocks]]*Table19[[#This Row],[Ave Entry]],"")</f>
        <v>0</v>
      </c>
      <c r="T401" s="39">
        <f ca="1">Table19[[#This Row],[Combined Exposure]]/$C$8</f>
        <v>0</v>
      </c>
    </row>
    <row r="402" spans="1:20">
      <c r="A402" t="e" vm="107">
        <v>#VALUE!</v>
      </c>
      <c r="B402" s="13" t="str" cm="1">
        <f t="array" aca="1" ref="B402" ca="1">_FV(A402,"Ticker symbol",TRUE)</f>
        <v>MA</v>
      </c>
      <c r="C402" s="13" t="s">
        <v>54</v>
      </c>
      <c r="D402" s="13" t="s">
        <v>457</v>
      </c>
      <c r="E402" s="19" cm="1">
        <f t="array" aca="1" ref="E402" ca="1">IFERROR(_FV(A402,"Beta"),2)</f>
        <v>0.83350000000000002</v>
      </c>
      <c r="F402" s="13" t="str" cm="1">
        <f t="array" aca="1" ref="F402" ca="1">_FV(A402,"Instrument type",TRUE)</f>
        <v>Stock</v>
      </c>
      <c r="G402" s="18" cm="1">
        <f t="array" aca="1" ref="G402" ca="1">_FV(Table19[[#This Row],[Assets]],"Price")</f>
        <v>499.49</v>
      </c>
      <c r="H402" s="36" t="str">
        <f>IFERROR(VLOOKUP(Table19[[#This Row],[Assets]],Table25[#All],15,FALSE),"")</f>
        <v/>
      </c>
      <c r="I402" s="36">
        <f>IFERROR(VLOOKUP(Table19[[#This Row],[Assets]],Table25[#All],16,FALSE),0)</f>
        <v>0</v>
      </c>
      <c r="J402" s="84" t="str">
        <f ca="1">IFERROR((Table19[[#This Row],[Price]]-Table19[[#This Row],[Ave Entry]])/Table19[[#This Row],[Ave Entry]],"")</f>
        <v/>
      </c>
      <c r="K402" s="92">
        <f ca="1">IFERROR((Table19[[#This Row],[Price]]-Table19[[#This Row],[Ave Entry]])*Table19[[#This Row],[Num of Stocks]],0)</f>
        <v>0</v>
      </c>
      <c r="L402" s="38" cm="1">
        <f t="array" aca="1" ref="L402" ca="1">_FV(Table19[[#This Row],[Assets]],"Change (%)",TRUE)</f>
        <v>1.122E-3</v>
      </c>
      <c r="M402" s="36">
        <f>SUMIF(Table20[Asset],Table19[[#This Row],[Assets]],Table20[realized_profit])</f>
        <v>0</v>
      </c>
      <c r="N402" s="36">
        <f>SUMIF(Table20[[#All],[Asset]],Table19[[#This Row],[Assets]],Table20[[#All],[delta_exposure]])</f>
        <v>0</v>
      </c>
      <c r="O402" s="38">
        <f ca="1">Table19[[#This Row],[Option Exposure]]/$B$6</f>
        <v>0</v>
      </c>
      <c r="P402" s="51">
        <f>SUMIF(Table25[[#All],[Assets]],Table19[[#This Row],[Assets]],Table25[[#All],[Number of stocks]])</f>
        <v>0</v>
      </c>
      <c r="Q402" s="36">
        <f ca="1">Table19[[#This Row],[Num of Stocks]]*Table19[[#This Row],[Price]]</f>
        <v>0</v>
      </c>
      <c r="R402" s="36">
        <f ca="1">Table19[[#This Row],[Stock Exposure]]+Table19[[#This Row],[Option Exposure]]</f>
        <v>0</v>
      </c>
      <c r="S402" s="108" t="str">
        <f>IFERROR(Table19[[#This Row],[Num of Stocks]]*Table19[[#This Row],[Ave Entry]],"")</f>
        <v/>
      </c>
      <c r="T402" s="39">
        <f ca="1">Table19[[#This Row],[Combined Exposure]]/$C$8</f>
        <v>0</v>
      </c>
    </row>
    <row r="403" spans="1:20">
      <c r="A403" t="e" vm="439">
        <v>#VALUE!</v>
      </c>
      <c r="B403" s="13" t="str" cm="1">
        <f t="array" aca="1" ref="B403" ca="1">_FV(A403,"Ticker symbol",TRUE)</f>
        <v>ADI</v>
      </c>
      <c r="C403" s="13" t="s">
        <v>120</v>
      </c>
      <c r="D403" s="13" t="s">
        <v>84</v>
      </c>
      <c r="E403" s="19" cm="1">
        <f t="array" aca="1" ref="E403" ca="1">IFERROR(_FV(A403,"Beta"),2)</f>
        <v>1.0478000000000001</v>
      </c>
      <c r="F403" s="13" t="str" cm="1">
        <f t="array" aca="1" ref="F403" ca="1">_FV(A403,"Instrument type",TRUE)</f>
        <v>Stock</v>
      </c>
      <c r="G403" s="18" cm="1">
        <f t="array" aca="1" ref="G403" ca="1">_FV(Table19[[#This Row],[Assets]],"Price")</f>
        <v>324.39</v>
      </c>
      <c r="H403" s="36" t="str">
        <f>IFERROR(VLOOKUP(Table19[[#This Row],[Assets]],Table25[#All],15,FALSE),"")</f>
        <v/>
      </c>
      <c r="I403" s="36">
        <f>IFERROR(VLOOKUP(Table19[[#This Row],[Assets]],Table25[#All],16,FALSE),0)</f>
        <v>0</v>
      </c>
      <c r="J403" s="84" t="str">
        <f ca="1">IFERROR((Table19[[#This Row],[Price]]-Table19[[#This Row],[Ave Entry]])/Table19[[#This Row],[Ave Entry]],"")</f>
        <v/>
      </c>
      <c r="K403" s="92">
        <f ca="1">IFERROR((Table19[[#This Row],[Price]]-Table19[[#This Row],[Ave Entry]])*Table19[[#This Row],[Num of Stocks]],0)</f>
        <v>0</v>
      </c>
      <c r="L403" s="38" cm="1">
        <f t="array" aca="1" ref="L403" ca="1">_FV(Table19[[#This Row],[Assets]],"Change (%)",TRUE)</f>
        <v>7.9550000000000003E-3</v>
      </c>
      <c r="M403" s="36">
        <f>SUMIF(Table20[Asset],Table19[[#This Row],[Assets]],Table20[realized_profit])</f>
        <v>0</v>
      </c>
      <c r="N403" s="36">
        <f>SUMIF(Table20[[#All],[Asset]],Table19[[#This Row],[Assets]],Table20[[#All],[delta_exposure]])</f>
        <v>0</v>
      </c>
      <c r="O403" s="38">
        <f ca="1">Table19[[#This Row],[Option Exposure]]/$B$6</f>
        <v>0</v>
      </c>
      <c r="P403" s="51">
        <f>SUMIF(Table25[[#All],[Assets]],Table19[[#This Row],[Assets]],Table25[[#All],[Number of stocks]])</f>
        <v>0</v>
      </c>
      <c r="Q403" s="36">
        <f ca="1">Table19[[#This Row],[Num of Stocks]]*Table19[[#This Row],[Price]]</f>
        <v>0</v>
      </c>
      <c r="R403" s="36">
        <f ca="1">Table19[[#This Row],[Stock Exposure]]+Table19[[#This Row],[Option Exposure]]</f>
        <v>0</v>
      </c>
      <c r="S403" s="108" t="str">
        <f>IFERROR(Table19[[#This Row],[Num of Stocks]]*Table19[[#This Row],[Ave Entry]],"")</f>
        <v/>
      </c>
      <c r="T403" s="39">
        <f ca="1">Table19[[#This Row],[Combined Exposure]]/$C$8</f>
        <v>0</v>
      </c>
    </row>
    <row r="404" spans="1:20">
      <c r="A404" t="e" vm="109">
        <v>#VALUE!</v>
      </c>
      <c r="B404" s="13" t="str" cm="1">
        <f t="array" aca="1" ref="B404" ca="1">_FV(A404,"Ticker symbol",TRUE)</f>
        <v>XLF</v>
      </c>
      <c r="C404" s="13" t="s">
        <v>54</v>
      </c>
      <c r="D404" s="13" t="s">
        <v>54</v>
      </c>
      <c r="E404" s="19" cm="1">
        <f t="array" aca="1" ref="E404" ca="1">IFERROR(_FV(A404,"Beta"),2)</f>
        <v>0.998</v>
      </c>
      <c r="F404" s="13" t="str" cm="1">
        <f t="array" aca="1" ref="F404" ca="1">_FV(A404,"Instrument type",TRUE)</f>
        <v>ETF</v>
      </c>
      <c r="G404" s="18" cm="1">
        <f t="array" aca="1" ref="G404" ca="1">_FV(Table19[[#This Row],[Assets]],"Price")</f>
        <v>49.465000000000003</v>
      </c>
      <c r="H404" s="36">
        <f>IFERROR(VLOOKUP(Table19[[#This Row],[Assets]],Table25[#All],15,FALSE),"")</f>
        <v>37.643749999999997</v>
      </c>
      <c r="I404" s="36">
        <f>IFERROR(VLOOKUP(Table19[[#This Row],[Assets]],Table25[#All],16,FALSE),0)</f>
        <v>49.010000000000048</v>
      </c>
      <c r="J404" s="84">
        <f ca="1">IFERROR((Table19[[#This Row],[Price]]-Table19[[#This Row],[Ave Entry]])/Table19[[#This Row],[Ave Entry]],"")</f>
        <v>0.31402955337871513</v>
      </c>
      <c r="K404" s="92">
        <f ca="1">IFERROR((Table19[[#This Row],[Price]]-Table19[[#This Row],[Ave Entry]])*Table19[[#This Row],[Num of Stocks]],0)</f>
        <v>0</v>
      </c>
      <c r="L404" s="38" cm="1">
        <f t="array" aca="1" ref="L404" ca="1">_FV(Table19[[#This Row],[Assets]],"Change (%)",TRUE)</f>
        <v>3.754E-3</v>
      </c>
      <c r="M404" s="36">
        <f>SUMIF(Table20[Asset],Table19[[#This Row],[Assets]],Table20[realized_profit])</f>
        <v>-64.999999999999943</v>
      </c>
      <c r="N404" s="36">
        <f ca="1">SUMIF(Table20[[#All],[Asset]],Table19[[#This Row],[Assets]],Table20[[#All],[delta_exposure]])</f>
        <v>0</v>
      </c>
      <c r="O404" s="98">
        <f ca="1">Table19[[#This Row],[Option Exposure]]/$B$6</f>
        <v>0</v>
      </c>
      <c r="P404" s="51">
        <f>SUMIF(Table25[[#All],[Assets]],Table19[[#This Row],[Assets]],Table25[[#All],[Number of stocks]])</f>
        <v>0</v>
      </c>
      <c r="Q404" s="36">
        <f ca="1">Table19[[#This Row],[Num of Stocks]]*Table19[[#This Row],[Price]]</f>
        <v>0</v>
      </c>
      <c r="R404" s="36">
        <f ca="1">Table19[[#This Row],[Stock Exposure]]+Table19[[#This Row],[Option Exposure]]</f>
        <v>0</v>
      </c>
      <c r="S404" s="108">
        <f>IFERROR(Table19[[#This Row],[Num of Stocks]]*Table19[[#This Row],[Ave Entry]],"")</f>
        <v>0</v>
      </c>
      <c r="T404" s="39">
        <f ca="1">Table19[[#This Row],[Combined Exposure]]/$C$8</f>
        <v>0</v>
      </c>
    </row>
    <row r="405" spans="1:20">
      <c r="A405" t="e" vm="440">
        <v>#VALUE!</v>
      </c>
      <c r="B405" s="13" t="str" cm="1">
        <f t="array" aca="1" ref="B405" ca="1">_FV(A405,"Ticker symbol",TRUE)</f>
        <v>CVCO</v>
      </c>
      <c r="C405" s="13" t="s">
        <v>550</v>
      </c>
      <c r="D405" s="13" t="s">
        <v>146</v>
      </c>
      <c r="E405" s="19" cm="1">
        <f t="array" aca="1" ref="E405" ca="1">IFERROR(_FV(A405,"Beta"),2)</f>
        <v>1.3373999999999999</v>
      </c>
      <c r="F405" s="13" t="str" cm="1">
        <f t="array" aca="1" ref="F405" ca="1">_FV(A405,"Instrument type",TRUE)</f>
        <v>Stock</v>
      </c>
      <c r="G405" s="18" cm="1">
        <f t="array" aca="1" ref="G405" ca="1">_FV(Table19[[#This Row],[Assets]],"Price")</f>
        <v>475.7</v>
      </c>
      <c r="H405" s="36" t="str">
        <f>IFERROR(VLOOKUP(Table19[[#This Row],[Assets]],Table25[#All],15,FALSE),"")</f>
        <v/>
      </c>
      <c r="I405" s="36">
        <f>IFERROR(VLOOKUP(Table19[[#This Row],[Assets]],Table25[#All],16,FALSE),0)</f>
        <v>0</v>
      </c>
      <c r="J405" s="84" t="str">
        <f ca="1">IFERROR((Table19[[#This Row],[Price]]-Table19[[#This Row],[Ave Entry]])/Table19[[#This Row],[Ave Entry]],"")</f>
        <v/>
      </c>
      <c r="K405" s="92">
        <f ca="1">IFERROR((Table19[[#This Row],[Price]]-Table19[[#This Row],[Ave Entry]])*Table19[[#This Row],[Num of Stocks]],0)</f>
        <v>0</v>
      </c>
      <c r="L405" s="38" cm="1">
        <f t="array" aca="1" ref="L405" ca="1">_FV(Table19[[#This Row],[Assets]],"Change (%)",TRUE)</f>
        <v>9.6790000000000005E-4</v>
      </c>
      <c r="M405" s="36">
        <f>SUMIF(Table20[Asset],Table19[[#This Row],[Assets]],Table20[realized_profit])</f>
        <v>0</v>
      </c>
      <c r="N405" s="36">
        <f>SUMIF(Table20[[#All],[Asset]],Table19[[#This Row],[Assets]],Table20[[#All],[delta_exposure]])</f>
        <v>0</v>
      </c>
      <c r="O405" s="38">
        <f ca="1">Table19[[#This Row],[Option Exposure]]/$B$6</f>
        <v>0</v>
      </c>
      <c r="P405" s="51">
        <f>SUMIF(Table25[[#All],[Assets]],Table19[[#This Row],[Assets]],Table25[[#All],[Number of stocks]])</f>
        <v>0</v>
      </c>
      <c r="Q405" s="36">
        <f ca="1">Table19[[#This Row],[Num of Stocks]]*Table19[[#This Row],[Price]]</f>
        <v>0</v>
      </c>
      <c r="R405" s="36">
        <f ca="1">Table19[[#This Row],[Stock Exposure]]+Table19[[#This Row],[Option Exposure]]</f>
        <v>0</v>
      </c>
      <c r="S405" s="108" t="str">
        <f>IFERROR(Table19[[#This Row],[Num of Stocks]]*Table19[[#This Row],[Ave Entry]],"")</f>
        <v/>
      </c>
      <c r="T405" s="39">
        <f ca="1">Table19[[#This Row],[Combined Exposure]]/$C$8</f>
        <v>0</v>
      </c>
    </row>
    <row r="406" spans="1:20">
      <c r="A406" t="e" vm="441">
        <v>#VALUE!</v>
      </c>
      <c r="B406" s="13" t="str" cm="1">
        <f t="array" aca="1" ref="B406" ca="1">_FV(A406,"Ticker symbol",TRUE)</f>
        <v>EWBC</v>
      </c>
      <c r="C406" s="13" t="s">
        <v>54</v>
      </c>
      <c r="D406" s="13" t="s">
        <v>54</v>
      </c>
      <c r="E406" s="19" cm="1">
        <f t="array" aca="1" ref="E406" ca="1">IFERROR(_FV(A406,"Beta"),2)</f>
        <v>0.89439999999999997</v>
      </c>
      <c r="F406" s="13" t="str" cm="1">
        <f t="array" aca="1" ref="F406" ca="1">_FV(A406,"Instrument type",TRUE)</f>
        <v>Stock</v>
      </c>
      <c r="G406" s="18" cm="1">
        <f t="array" aca="1" ref="G406" ca="1">_FV(Table19[[#This Row],[Assets]],"Price")</f>
        <v>106.99</v>
      </c>
      <c r="H406" s="36" t="str">
        <f>IFERROR(VLOOKUP(Table19[[#This Row],[Assets]],Table25[#All],15,FALSE),"")</f>
        <v/>
      </c>
      <c r="I406" s="36">
        <f>IFERROR(VLOOKUP(Table19[[#This Row],[Assets]],Table25[#All],16,FALSE),0)</f>
        <v>0</v>
      </c>
      <c r="J406" s="84" t="str">
        <f ca="1">IFERROR((Table19[[#This Row],[Price]]-Table19[[#This Row],[Ave Entry]])/Table19[[#This Row],[Ave Entry]],"")</f>
        <v/>
      </c>
      <c r="K406" s="92">
        <f ca="1">IFERROR((Table19[[#This Row],[Price]]-Table19[[#This Row],[Ave Entry]])*Table19[[#This Row],[Num of Stocks]],0)</f>
        <v>0</v>
      </c>
      <c r="L406" s="38" cm="1">
        <f t="array" aca="1" ref="L406" ca="1">_FV(Table19[[#This Row],[Assets]],"Change (%)",TRUE)</f>
        <v>1.1343000000000001E-2</v>
      </c>
      <c r="M406" s="36">
        <f>SUMIF(Table20[Asset],Table19[[#This Row],[Assets]],Table20[realized_profit])</f>
        <v>0</v>
      </c>
      <c r="N406" s="36">
        <f>SUMIF(Table20[[#All],[Asset]],Table19[[#This Row],[Assets]],Table20[[#All],[delta_exposure]])</f>
        <v>0</v>
      </c>
      <c r="O406" s="38">
        <f ca="1">Table19[[#This Row],[Option Exposure]]/$B$6</f>
        <v>0</v>
      </c>
      <c r="P406" s="51">
        <f>SUMIF(Table25[[#All],[Assets]],Table19[[#This Row],[Assets]],Table25[[#All],[Number of stocks]])</f>
        <v>0</v>
      </c>
      <c r="Q406" s="36">
        <f ca="1">Table19[[#This Row],[Num of Stocks]]*Table19[[#This Row],[Price]]</f>
        <v>0</v>
      </c>
      <c r="R406" s="36">
        <f ca="1">Table19[[#This Row],[Stock Exposure]]+Table19[[#This Row],[Option Exposure]]</f>
        <v>0</v>
      </c>
      <c r="S406" s="108" t="str">
        <f>IFERROR(Table19[[#This Row],[Num of Stocks]]*Table19[[#This Row],[Ave Entry]],"")</f>
        <v/>
      </c>
      <c r="T406" s="39">
        <f ca="1">Table19[[#This Row],[Combined Exposure]]/$C$8</f>
        <v>0</v>
      </c>
    </row>
    <row r="407" spans="1:20">
      <c r="A407" t="e" vm="106">
        <v>#VALUE!</v>
      </c>
      <c r="B407" s="13" t="str" cm="1">
        <f t="array" aca="1" ref="B407" ca="1">_FV(A407,"Ticker symbol",TRUE)</f>
        <v>GLD</v>
      </c>
      <c r="C407" s="13" t="s">
        <v>133</v>
      </c>
      <c r="D407" s="13" t="s">
        <v>25</v>
      </c>
      <c r="E407" s="19" cm="1">
        <f t="array" aca="1" ref="E407" ca="1">IFERROR(_FV(A407,"Beta"),2)</f>
        <v>0.80079999999999996</v>
      </c>
      <c r="F407" s="13" t="str" cm="1">
        <f t="array" aca="1" ref="F407" ca="1">_FV(A407,"Instrument type",TRUE)</f>
        <v>ETF</v>
      </c>
      <c r="G407" s="18" cm="1">
        <f t="array" aca="1" ref="G407" ca="1">_FV(Table19[[#This Row],[Assets]],"Price")</f>
        <v>419.54</v>
      </c>
      <c r="H407" s="36" t="str">
        <f>IFERROR(VLOOKUP(Table19[[#This Row],[Assets]],Table25[#All],15,FALSE),"")</f>
        <v/>
      </c>
      <c r="I407" s="36">
        <f>IFERROR(VLOOKUP(Table19[[#This Row],[Assets]],Table25[#All],16,FALSE),0)</f>
        <v>0</v>
      </c>
      <c r="J407" s="84" t="str">
        <f ca="1">IFERROR((Table19[[#This Row],[Price]]-Table19[[#This Row],[Ave Entry]])/Table19[[#This Row],[Ave Entry]],"")</f>
        <v/>
      </c>
      <c r="K407" s="92">
        <f ca="1">IFERROR((Table19[[#This Row],[Price]]-Table19[[#This Row],[Ave Entry]])*Table19[[#This Row],[Num of Stocks]],0)</f>
        <v>0</v>
      </c>
      <c r="L407" s="38" cm="1">
        <f t="array" aca="1" ref="L407" ca="1">_FV(Table19[[#This Row],[Assets]],"Change (%)",TRUE)</f>
        <v>3.8130999999999998E-2</v>
      </c>
      <c r="M407" s="36">
        <f>SUMIF(Table20[Asset],Table19[[#This Row],[Assets]],Table20[realized_profit])</f>
        <v>228</v>
      </c>
      <c r="N407" s="36">
        <f ca="1">SUMIF(Table20[[#All],[Asset]],Table19[[#This Row],[Assets]],Table20[[#All],[delta_exposure]])</f>
        <v>0</v>
      </c>
      <c r="O407" s="38">
        <f ca="1">Table19[[#This Row],[Option Exposure]]/$B$6</f>
        <v>0</v>
      </c>
      <c r="P407" s="51">
        <f>SUMIF(Table25[[#All],[Assets]],Table19[[#This Row],[Assets]],Table25[[#All],[Number of stocks]])</f>
        <v>0</v>
      </c>
      <c r="Q407" s="36">
        <f ca="1">Table19[[#This Row],[Num of Stocks]]*Table19[[#This Row],[Price]]</f>
        <v>0</v>
      </c>
      <c r="R407" s="36">
        <f ca="1">Table19[[#This Row],[Stock Exposure]]+Table19[[#This Row],[Option Exposure]]</f>
        <v>0</v>
      </c>
      <c r="S407" s="108" t="str">
        <f>IFERROR(Table19[[#This Row],[Num of Stocks]]*Table19[[#This Row],[Ave Entry]],"")</f>
        <v/>
      </c>
      <c r="T407" s="39">
        <f ca="1">Table19[[#This Row],[Combined Exposure]]/$C$8</f>
        <v>0</v>
      </c>
    </row>
    <row r="408" spans="1:20">
      <c r="A408" t="e" vm="442">
        <v>#VALUE!</v>
      </c>
      <c r="B408" s="13" t="str" cm="1">
        <f t="array" aca="1" ref="B408" ca="1">_FV(A408,"Ticker symbol",TRUE)</f>
        <v>MSI</v>
      </c>
      <c r="C408" s="13" t="s">
        <v>258</v>
      </c>
      <c r="D408" s="13" t="s">
        <v>29</v>
      </c>
      <c r="E408" s="19" cm="1">
        <f t="array" aca="1" ref="E408" ca="1">IFERROR(_FV(A408,"Beta"),2)</f>
        <v>0.97050000000000003</v>
      </c>
      <c r="F408" s="13" t="str" cm="1">
        <f t="array" aca="1" ref="F408" ca="1">_FV(A408,"Instrument type",TRUE)</f>
        <v>Stock</v>
      </c>
      <c r="G408" s="18" cm="1">
        <f t="array" aca="1" ref="G408" ca="1">_FV(Table19[[#This Row],[Assets]],"Price")</f>
        <v>444.38499999999999</v>
      </c>
      <c r="H408" s="36" t="str">
        <f>IFERROR(VLOOKUP(Table19[[#This Row],[Assets]],Table25[#All],15,FALSE),"")</f>
        <v/>
      </c>
      <c r="I408" s="36">
        <f>IFERROR(VLOOKUP(Table19[[#This Row],[Assets]],Table25[#All],16,FALSE),0)</f>
        <v>0</v>
      </c>
      <c r="J408" s="84" t="str">
        <f ca="1">IFERROR((Table19[[#This Row],[Price]]-Table19[[#This Row],[Ave Entry]])/Table19[[#This Row],[Ave Entry]],"")</f>
        <v/>
      </c>
      <c r="K408" s="92">
        <f ca="1">IFERROR((Table19[[#This Row],[Price]]-Table19[[#This Row],[Ave Entry]])*Table19[[#This Row],[Num of Stocks]],0)</f>
        <v>0</v>
      </c>
      <c r="L408" s="38" cm="1">
        <f t="array" aca="1" ref="L408" ca="1">_FV(Table19[[#This Row],[Assets]],"Change (%)",TRUE)</f>
        <v>-2.2793000000000001E-2</v>
      </c>
      <c r="M408" s="36">
        <f>SUMIF(Table20[Asset],Table19[[#This Row],[Assets]],Table20[realized_profit])</f>
        <v>0</v>
      </c>
      <c r="N408" s="36">
        <f>SUMIF(Table20[[#All],[Asset]],Table19[[#This Row],[Assets]],Table20[[#All],[delta_exposure]])</f>
        <v>0</v>
      </c>
      <c r="O408" s="38">
        <f ca="1">Table19[[#This Row],[Option Exposure]]/$B$6</f>
        <v>0</v>
      </c>
      <c r="P408" s="51">
        <f>SUMIF(Table25[[#All],[Assets]],Table19[[#This Row],[Assets]],Table25[[#All],[Number of stocks]])</f>
        <v>0</v>
      </c>
      <c r="Q408" s="36">
        <f ca="1">Table19[[#This Row],[Num of Stocks]]*Table19[[#This Row],[Price]]</f>
        <v>0</v>
      </c>
      <c r="R408" s="36">
        <f ca="1">Table19[[#This Row],[Stock Exposure]]+Table19[[#This Row],[Option Exposure]]</f>
        <v>0</v>
      </c>
      <c r="S408" s="108" t="str">
        <f>IFERROR(Table19[[#This Row],[Num of Stocks]]*Table19[[#This Row],[Ave Entry]],"")</f>
        <v/>
      </c>
      <c r="T408" s="39">
        <f ca="1">Table19[[#This Row],[Combined Exposure]]/$C$8</f>
        <v>0</v>
      </c>
    </row>
    <row r="409" spans="1:20">
      <c r="A409" t="e" vm="443">
        <v>#VALUE!</v>
      </c>
      <c r="B409" s="13" t="str" cm="1">
        <f t="array" aca="1" ref="B409" ca="1">_FV(A409,"Ticker symbol",TRUE)</f>
        <v>MRK</v>
      </c>
      <c r="C409" s="13" t="s">
        <v>53</v>
      </c>
      <c r="D409" s="13" t="s">
        <v>353</v>
      </c>
      <c r="E409" s="19" cm="1">
        <f t="array" aca="1" ref="E409" ca="1">IFERROR(_FV(A409,"Beta"),2)</f>
        <v>0.29670000000000002</v>
      </c>
      <c r="F409" s="13" t="str" cm="1">
        <f t="array" aca="1" ref="F409" ca="1">_FV(A409,"Instrument type",TRUE)</f>
        <v>Stock</v>
      </c>
      <c r="G409" s="18" cm="1">
        <f t="array" aca="1" ref="G409" ca="1">_FV(Table19[[#This Row],[Assets]],"Price")</f>
        <v>118.85</v>
      </c>
      <c r="H409" s="36">
        <f>IFERROR(VLOOKUP(Table19[[#This Row],[Assets]],Table25[#All],15,FALSE),"")</f>
        <v>113.6</v>
      </c>
      <c r="I409" s="36">
        <f>IFERROR(VLOOKUP(Table19[[#This Row],[Assets]],Table25[#All],16,FALSE),0)</f>
        <v>-28.050000000000068</v>
      </c>
      <c r="J409" s="84">
        <f ca="1">IFERROR((Table19[[#This Row],[Price]]-Table19[[#This Row],[Ave Entry]])/Table19[[#This Row],[Ave Entry]],"")</f>
        <v>4.6214788732394367E-2</v>
      </c>
      <c r="K409" s="92">
        <f ca="1">IFERROR((Table19[[#This Row],[Price]]-Table19[[#This Row],[Ave Entry]])*Table19[[#This Row],[Num of Stocks]],0)</f>
        <v>0</v>
      </c>
      <c r="L409" s="38" cm="1">
        <f t="array" aca="1" ref="L409" ca="1">_FV(Table19[[#This Row],[Assets]],"Change (%)",TRUE)</f>
        <v>2.1311E-2</v>
      </c>
      <c r="M409" s="36">
        <f>SUMIF(Table20[Asset],Table19[[#This Row],[Assets]],Table20[realized_profit])</f>
        <v>0</v>
      </c>
      <c r="N409" s="36">
        <f>SUMIF(Table20[[#All],[Asset]],Table19[[#This Row],[Assets]],Table20[[#All],[delta_exposure]])</f>
        <v>0</v>
      </c>
      <c r="O409" s="38">
        <f ca="1">Table19[[#This Row],[Option Exposure]]/$B$6</f>
        <v>0</v>
      </c>
      <c r="P409" s="51">
        <f>SUMIF(Table25[[#All],[Assets]],Table19[[#This Row],[Assets]],Table25[[#All],[Number of stocks]])</f>
        <v>0</v>
      </c>
      <c r="Q409" s="36">
        <f ca="1">Table19[[#This Row],[Num of Stocks]]*Table19[[#This Row],[Price]]</f>
        <v>0</v>
      </c>
      <c r="R409" s="36">
        <f ca="1">Table19[[#This Row],[Stock Exposure]]+Table19[[#This Row],[Option Exposure]]</f>
        <v>0</v>
      </c>
      <c r="S409" s="108">
        <f>IFERROR(Table19[[#This Row],[Num of Stocks]]*Table19[[#This Row],[Ave Entry]],"")</f>
        <v>0</v>
      </c>
      <c r="T409" s="39">
        <f ca="1">Table19[[#This Row],[Combined Exposure]]/$C$8</f>
        <v>0</v>
      </c>
    </row>
    <row r="410" spans="1:20">
      <c r="A410" t="e" vm="444">
        <v>#VALUE!</v>
      </c>
      <c r="B410" s="13" t="str" cm="1">
        <f t="array" aca="1" ref="B410" ca="1">_FV(A410,"Ticker symbol",TRUE)</f>
        <v>BX</v>
      </c>
      <c r="C410" s="13" t="s">
        <v>122</v>
      </c>
      <c r="D410" s="13" t="s">
        <v>54</v>
      </c>
      <c r="E410" s="19" cm="1">
        <f t="array" aca="1" ref="E410" ca="1">IFERROR(_FV(A410,"Beta"),2)</f>
        <v>1.7726</v>
      </c>
      <c r="F410" s="13" t="str" cm="1">
        <f t="array" aca="1" ref="F410" ca="1">_FV(A410,"Instrument type",TRUE)</f>
        <v>Stock</v>
      </c>
      <c r="G410" s="18" cm="1">
        <f t="array" aca="1" ref="G410" ca="1">_FV(Table19[[#This Row],[Assets]],"Price")</f>
        <v>110.035</v>
      </c>
      <c r="H410" s="36" t="str">
        <f>IFERROR(VLOOKUP(Table19[[#This Row],[Assets]],Table25[#All],15,FALSE),"")</f>
        <v/>
      </c>
      <c r="I410" s="36">
        <f>IFERROR(VLOOKUP(Table19[[#This Row],[Assets]],Table25[#All],16,FALSE),0)</f>
        <v>0</v>
      </c>
      <c r="J410" s="84" t="str">
        <f ca="1">IFERROR((Table19[[#This Row],[Price]]-Table19[[#This Row],[Ave Entry]])/Table19[[#This Row],[Ave Entry]],"")</f>
        <v/>
      </c>
      <c r="K410" s="92">
        <f ca="1">IFERROR((Table19[[#This Row],[Price]]-Table19[[#This Row],[Ave Entry]])*Table19[[#This Row],[Num of Stocks]],0)</f>
        <v>0</v>
      </c>
      <c r="L410" s="38" cm="1">
        <f t="array" aca="1" ref="L410" ca="1">_FV(Table19[[#This Row],[Assets]],"Change (%)",TRUE)</f>
        <v>1.9030999999999999E-2</v>
      </c>
      <c r="M410" s="36">
        <f>SUMIF(Table20[Asset],Table19[[#This Row],[Assets]],Table20[realized_profit])</f>
        <v>0</v>
      </c>
      <c r="N410" s="36">
        <f>SUMIF(Table20[[#All],[Asset]],Table19[[#This Row],[Assets]],Table20[[#All],[delta_exposure]])</f>
        <v>0</v>
      </c>
      <c r="O410" s="38">
        <f ca="1">Table19[[#This Row],[Option Exposure]]/$B$6</f>
        <v>0</v>
      </c>
      <c r="P410" s="51">
        <f>SUMIF(Table25[[#All],[Assets]],Table19[[#This Row],[Assets]],Table25[[#All],[Number of stocks]])</f>
        <v>0</v>
      </c>
      <c r="Q410" s="36">
        <f ca="1">Table19[[#This Row],[Num of Stocks]]*Table19[[#This Row],[Price]]</f>
        <v>0</v>
      </c>
      <c r="R410" s="36">
        <f ca="1">Table19[[#This Row],[Stock Exposure]]+Table19[[#This Row],[Option Exposure]]</f>
        <v>0</v>
      </c>
      <c r="S410" s="108" t="str">
        <f>IFERROR(Table19[[#This Row],[Num of Stocks]]*Table19[[#This Row],[Ave Entry]],"")</f>
        <v/>
      </c>
      <c r="T410" s="39">
        <f ca="1">Table19[[#This Row],[Combined Exposure]]/$C$8</f>
        <v>0</v>
      </c>
    </row>
    <row r="411" spans="1:20">
      <c r="A411" t="e" vm="445">
        <v>#VALUE!</v>
      </c>
      <c r="B411" s="13" t="str" cm="1">
        <f t="array" aca="1" ref="B411" ca="1">_FV(A411,"Ticker symbol",TRUE)</f>
        <v>NOV</v>
      </c>
      <c r="C411" s="13" t="s">
        <v>128</v>
      </c>
      <c r="D411" s="13" t="s">
        <v>31</v>
      </c>
      <c r="E411" s="19" cm="1">
        <f t="array" aca="1" ref="E411" ca="1">IFERROR(_FV(A411,"Beta"),2)</f>
        <v>0.93389999999999995</v>
      </c>
      <c r="F411" s="13" t="str" cm="1">
        <f t="array" aca="1" ref="F411" ca="1">_FV(A411,"Instrument type",TRUE)</f>
        <v>Stock</v>
      </c>
      <c r="G411" s="18" cm="1">
        <f t="array" aca="1" ref="G411" ca="1">_FV(Table19[[#This Row],[Assets]],"Price")</f>
        <v>19.684699999999999</v>
      </c>
      <c r="H411" s="36" t="str">
        <f>IFERROR(VLOOKUP(Table19[[#This Row],[Assets]],Table25[#All],15,FALSE),"")</f>
        <v/>
      </c>
      <c r="I411" s="36">
        <f>IFERROR(VLOOKUP(Table19[[#This Row],[Assets]],Table25[#All],16,FALSE),0)</f>
        <v>0</v>
      </c>
      <c r="J411" s="84" t="str">
        <f ca="1">IFERROR((Table19[[#This Row],[Price]]-Table19[[#This Row],[Ave Entry]])/Table19[[#This Row],[Ave Entry]],"")</f>
        <v/>
      </c>
      <c r="K411" s="92">
        <f ca="1">IFERROR((Table19[[#This Row],[Price]]-Table19[[#This Row],[Ave Entry]])*Table19[[#This Row],[Num of Stocks]],0)</f>
        <v>0</v>
      </c>
      <c r="L411" s="38" cm="1">
        <f t="array" aca="1" ref="L411" ca="1">_FV(Table19[[#This Row],[Assets]],"Change (%)",TRUE)</f>
        <v>8.9540000000000002E-3</v>
      </c>
      <c r="M411" s="36">
        <f>SUMIF(Table20[Asset],Table19[[#This Row],[Assets]],Table20[realized_profit])</f>
        <v>-120</v>
      </c>
      <c r="N411" s="36">
        <f ca="1">SUMIF(Table20[[#All],[Asset]],Table19[[#This Row],[Assets]],Table20[[#All],[delta_exposure]])</f>
        <v>0</v>
      </c>
      <c r="O411" s="98">
        <f ca="1">Table19[[#This Row],[Option Exposure]]/$B$6</f>
        <v>0</v>
      </c>
      <c r="P411" s="51">
        <f>SUMIF(Table25[[#All],[Assets]],Table19[[#This Row],[Assets]],Table25[[#All],[Number of stocks]])</f>
        <v>0</v>
      </c>
      <c r="Q411" s="36">
        <f ca="1">Table19[[#This Row],[Num of Stocks]]*Table19[[#This Row],[Price]]</f>
        <v>0</v>
      </c>
      <c r="R411" s="36">
        <f ca="1">Table19[[#This Row],[Stock Exposure]]+Table19[[#This Row],[Option Exposure]]</f>
        <v>0</v>
      </c>
      <c r="S411" s="108" t="str">
        <f>IFERROR(Table19[[#This Row],[Num of Stocks]]*Table19[[#This Row],[Ave Entry]],"")</f>
        <v/>
      </c>
      <c r="T411" s="39">
        <f ca="1">Table19[[#This Row],[Combined Exposure]]/$C$8</f>
        <v>0</v>
      </c>
    </row>
    <row r="412" spans="1:20">
      <c r="A412" t="e" vm="446">
        <v>#VALUE!</v>
      </c>
      <c r="B412" s="13" t="str" cm="1">
        <f t="array" aca="1" ref="B412" ca="1">_FV(A412,"Ticker symbol",TRUE)</f>
        <v>RDDT</v>
      </c>
      <c r="C412" s="13" t="s">
        <v>29</v>
      </c>
      <c r="D412" s="13" t="s">
        <v>121</v>
      </c>
      <c r="E412" s="19" cm="1">
        <f t="array" aca="1" ref="E412" ca="1">IFERROR(_FV(A412,"Beta"),2)</f>
        <v>2.3690000000000002</v>
      </c>
      <c r="F412" s="13" t="str" cm="1">
        <f t="array" aca="1" ref="F412" ca="1">_FV(A412,"Instrument type",TRUE)</f>
        <v>Stock</v>
      </c>
      <c r="G412" s="18" cm="1">
        <f t="array" aca="1" ref="G412" ca="1">_FV(Table19[[#This Row],[Assets]],"Price")</f>
        <v>143.06</v>
      </c>
      <c r="H412" s="36" t="str">
        <f>IFERROR(VLOOKUP(Table19[[#This Row],[Assets]],Table25[#All],15,FALSE),"")</f>
        <v/>
      </c>
      <c r="I412" s="36">
        <f>IFERROR(VLOOKUP(Table19[[#This Row],[Assets]],Table25[#All],16,FALSE),0)</f>
        <v>0</v>
      </c>
      <c r="J412" s="84" t="str">
        <f ca="1">IFERROR((Table19[[#This Row],[Price]]-Table19[[#This Row],[Ave Entry]])/Table19[[#This Row],[Ave Entry]],"")</f>
        <v/>
      </c>
      <c r="K412" s="92">
        <f ca="1">IFERROR((Table19[[#This Row],[Price]]-Table19[[#This Row],[Ave Entry]])*Table19[[#This Row],[Num of Stocks]],0)</f>
        <v>0</v>
      </c>
      <c r="L412" s="38" cm="1">
        <f t="array" aca="1" ref="L412" ca="1">_FV(Table19[[#This Row],[Assets]],"Change (%)",TRUE)</f>
        <v>5.0984000000000002E-2</v>
      </c>
      <c r="M412" s="36">
        <f>SUMIF(Table20[Asset],Table19[[#This Row],[Assets]],Table20[realized_profit])</f>
        <v>1766.0000000000002</v>
      </c>
      <c r="N412" s="36">
        <f ca="1">SUMIF(Table20[[#All],[Asset]],Table19[[#This Row],[Assets]],Table20[[#All],[delta_exposure]])</f>
        <v>0</v>
      </c>
      <c r="O412" s="38">
        <f ca="1">Table19[[#This Row],[Option Exposure]]/$B$6</f>
        <v>0</v>
      </c>
      <c r="P412" s="51">
        <f>SUMIF(Table25[[#All],[Assets]],Table19[[#This Row],[Assets]],Table25[[#All],[Number of stocks]])</f>
        <v>0</v>
      </c>
      <c r="Q412" s="36">
        <f ca="1">Table19[[#This Row],[Num of Stocks]]*Table19[[#This Row],[Price]]</f>
        <v>0</v>
      </c>
      <c r="R412" s="36">
        <f ca="1">Table19[[#This Row],[Stock Exposure]]+Table19[[#This Row],[Option Exposure]]</f>
        <v>0</v>
      </c>
      <c r="S412" s="108" t="str">
        <f>IFERROR(Table19[[#This Row],[Num of Stocks]]*Table19[[#This Row],[Ave Entry]],"")</f>
        <v/>
      </c>
      <c r="T412" s="39">
        <f ca="1">Table19[[#This Row],[Combined Exposure]]/$C$8</f>
        <v>0</v>
      </c>
    </row>
    <row r="413" spans="1:20">
      <c r="A413" t="e" vm="447">
        <v>#VALUE!</v>
      </c>
      <c r="B413" s="13" t="str" cm="1">
        <f t="array" aca="1" ref="B413" ca="1">_FV(A413,"Ticker symbol",TRUE)</f>
        <v>BRK.B</v>
      </c>
      <c r="C413" s="13" t="s">
        <v>54</v>
      </c>
      <c r="D413" s="13" t="s">
        <v>54</v>
      </c>
      <c r="E413" s="19" cm="1">
        <f t="array" aca="1" ref="E413" ca="1">IFERROR(_FV(A413,"Beta"),2)</f>
        <v>0.69979999999999998</v>
      </c>
      <c r="F413" s="13" t="str" cm="1">
        <f t="array" aca="1" ref="F413" ca="1">_FV(A413,"Instrument type",TRUE)</f>
        <v>Stock</v>
      </c>
      <c r="G413" s="18" cm="1">
        <f t="array" aca="1" ref="G413" ca="1">_FV(Table19[[#This Row],[Assets]],"Price")</f>
        <v>478.315</v>
      </c>
      <c r="H413" s="36" t="str">
        <f>IFERROR(VLOOKUP(Table19[[#This Row],[Assets]],Table25[#All],15,FALSE),"")</f>
        <v/>
      </c>
      <c r="I413" s="36">
        <f>IFERROR(VLOOKUP(Table19[[#This Row],[Assets]],Table25[#All],16,FALSE),0)</f>
        <v>0</v>
      </c>
      <c r="J413" s="84" t="str">
        <f ca="1">IFERROR((Table19[[#This Row],[Price]]-Table19[[#This Row],[Ave Entry]])/Table19[[#This Row],[Ave Entry]],"")</f>
        <v/>
      </c>
      <c r="K413" s="92">
        <f ca="1">IFERROR((Table19[[#This Row],[Price]]-Table19[[#This Row],[Ave Entry]])*Table19[[#This Row],[Num of Stocks]],0)</f>
        <v>0</v>
      </c>
      <c r="L413" s="38" cm="1">
        <f t="array" aca="1" ref="L413" ca="1">_FV(Table19[[#This Row],[Assets]],"Change (%)",TRUE)</f>
        <v>-2.1180000000000001E-3</v>
      </c>
      <c r="M413" s="36">
        <f>SUMIF(Table20[Asset],Table19[[#This Row],[Assets]],Table20[realized_profit])</f>
        <v>0</v>
      </c>
      <c r="N413" s="36">
        <f>SUMIF(Table20[[#All],[Asset]],Table19[[#This Row],[Assets]],Table20[[#All],[delta_exposure]])</f>
        <v>0</v>
      </c>
      <c r="O413" s="38">
        <f ca="1">Table19[[#This Row],[Option Exposure]]/$B$6</f>
        <v>0</v>
      </c>
      <c r="P413" s="51">
        <f>SUMIF(Table25[[#All],[Assets]],Table19[[#This Row],[Assets]],Table25[[#All],[Number of stocks]])</f>
        <v>0</v>
      </c>
      <c r="Q413" s="36">
        <f ca="1">Table19[[#This Row],[Num of Stocks]]*Table19[[#This Row],[Price]]</f>
        <v>0</v>
      </c>
      <c r="R413" s="36">
        <f ca="1">Table19[[#This Row],[Stock Exposure]]+Table19[[#This Row],[Option Exposure]]</f>
        <v>0</v>
      </c>
      <c r="S413" s="108" t="str">
        <f>IFERROR(Table19[[#This Row],[Num of Stocks]]*Table19[[#This Row],[Ave Entry]],"")</f>
        <v/>
      </c>
      <c r="T413" s="39">
        <f ca="1">Table19[[#This Row],[Combined Exposure]]/$C$8</f>
        <v>0</v>
      </c>
    </row>
    <row r="414" spans="1:20">
      <c r="A414" t="e" vm="448">
        <v>#VALUE!</v>
      </c>
      <c r="B414" s="13" t="str" cm="1">
        <f t="array" aca="1" ref="B414" ca="1">_FV(A414,"Ticker symbol",TRUE)</f>
        <v>AZZ</v>
      </c>
      <c r="C414" s="13" t="s">
        <v>56</v>
      </c>
      <c r="D414" s="13" t="s">
        <v>56</v>
      </c>
      <c r="E414" s="19" cm="1">
        <f t="array" aca="1" ref="E414" ca="1">IFERROR(_FV(A414,"Beta"),2)</f>
        <v>1.1474</v>
      </c>
      <c r="F414" s="13" t="str" cm="1">
        <f t="array" aca="1" ref="F414" ca="1">_FV(A414,"Instrument type",TRUE)</f>
        <v>Stock</v>
      </c>
      <c r="G414" s="18" cm="1">
        <f t="array" aca="1" ref="G414" ca="1">_FV(Table19[[#This Row],[Assets]],"Price")</f>
        <v>126.295</v>
      </c>
      <c r="H414" s="36">
        <f>IFERROR(VLOOKUP(Table19[[#This Row],[Assets]],Table25[#All],15,FALSE),"")</f>
        <v>79.069999999999993</v>
      </c>
      <c r="I414" s="36">
        <f>IFERROR(VLOOKUP(Table19[[#This Row],[Assets]],Table25[#All],16,FALSE),0)</f>
        <v>27.400000000000091</v>
      </c>
      <c r="J414" s="84">
        <f ca="1">IFERROR((Table19[[#This Row],[Price]]-Table19[[#This Row],[Ave Entry]])/Table19[[#This Row],[Ave Entry]],"")</f>
        <v>0.59725559630706981</v>
      </c>
      <c r="K414" s="92">
        <f ca="1">IFERROR((Table19[[#This Row],[Price]]-Table19[[#This Row],[Ave Entry]])*Table19[[#This Row],[Num of Stocks]],0)</f>
        <v>0</v>
      </c>
      <c r="L414" s="38" cm="1">
        <f t="array" aca="1" ref="L414" ca="1">_FV(Table19[[#This Row],[Assets]],"Change (%)",TRUE)</f>
        <v>1.4744E-2</v>
      </c>
      <c r="M414" s="36">
        <f>SUMIF(Table20[Asset],Table19[[#This Row],[Assets]],Table20[realized_profit])</f>
        <v>0</v>
      </c>
      <c r="N414" s="36">
        <f>SUMIF(Table20[[#All],[Asset]],Table19[[#This Row],[Assets]],Table20[[#All],[delta_exposure]])</f>
        <v>0</v>
      </c>
      <c r="O414" s="98">
        <f ca="1">Table19[[#This Row],[Option Exposure]]/$B$6</f>
        <v>0</v>
      </c>
      <c r="P414" s="51">
        <f>SUMIF(Table25[[#All],[Assets]],Table19[[#This Row],[Assets]],Table25[[#All],[Number of stocks]])</f>
        <v>0</v>
      </c>
      <c r="Q414" s="36">
        <f ca="1">Table19[[#This Row],[Num of Stocks]]*Table19[[#This Row],[Price]]</f>
        <v>0</v>
      </c>
      <c r="R414" s="36">
        <f ca="1">Table19[[#This Row],[Stock Exposure]]+Table19[[#This Row],[Option Exposure]]</f>
        <v>0</v>
      </c>
      <c r="S414" s="108">
        <f>IFERROR(Table19[[#This Row],[Num of Stocks]]*Table19[[#This Row],[Ave Entry]],"")</f>
        <v>0</v>
      </c>
      <c r="T414" s="39">
        <f ca="1">Table19[[#This Row],[Combined Exposure]]/$C$8</f>
        <v>0</v>
      </c>
    </row>
    <row r="415" spans="1:20">
      <c r="A415" t="e" vm="449">
        <v>#VALUE!</v>
      </c>
      <c r="B415" s="13" t="str" cm="1">
        <f t="array" aca="1" ref="B415" ca="1">_FV(A415,"Ticker symbol",TRUE)</f>
        <v>CPAY</v>
      </c>
      <c r="C415" s="13" t="s">
        <v>54</v>
      </c>
      <c r="D415" s="13" t="s">
        <v>457</v>
      </c>
      <c r="E415" s="19" cm="1">
        <f t="array" aca="1" ref="E415" ca="1">IFERROR(_FV(A415,"Beta"),2)</f>
        <v>0.84670000000000001</v>
      </c>
      <c r="F415" s="13" t="str" cm="1">
        <f t="array" aca="1" ref="F415" ca="1">_FV(A415,"Instrument type",TRUE)</f>
        <v>Stock</v>
      </c>
      <c r="G415" s="18" cm="1">
        <f t="array" aca="1" ref="G415" ca="1">_FV(Table19[[#This Row],[Assets]],"Price")</f>
        <v>294.86</v>
      </c>
      <c r="H415" s="36" t="str">
        <f>IFERROR(VLOOKUP(Table19[[#This Row],[Assets]],Table25[#All],15,FALSE),"")</f>
        <v/>
      </c>
      <c r="I415" s="36">
        <f>IFERROR(VLOOKUP(Table19[[#This Row],[Assets]],Table25[#All],16,FALSE),0)</f>
        <v>0</v>
      </c>
      <c r="J415" s="84" t="str">
        <f ca="1">IFERROR((Table19[[#This Row],[Price]]-Table19[[#This Row],[Ave Entry]])/Table19[[#This Row],[Ave Entry]],"")</f>
        <v/>
      </c>
      <c r="K415" s="92">
        <f ca="1">IFERROR((Table19[[#This Row],[Price]]-Table19[[#This Row],[Ave Entry]])*Table19[[#This Row],[Num of Stocks]],0)</f>
        <v>0</v>
      </c>
      <c r="L415" s="38" cm="1">
        <f t="array" aca="1" ref="L415" ca="1">_FV(Table19[[#This Row],[Assets]],"Change (%)",TRUE)</f>
        <v>3.5049999999999999E-3</v>
      </c>
      <c r="M415" s="36">
        <f>SUMIF(Table20[Asset],Table19[[#This Row],[Assets]],Table20[realized_profit])</f>
        <v>0</v>
      </c>
      <c r="N415" s="36">
        <f>SUMIF(Table20[[#All],[Asset]],Table19[[#This Row],[Assets]],Table20[[#All],[delta_exposure]])</f>
        <v>0</v>
      </c>
      <c r="O415" s="38">
        <f ca="1">Table19[[#This Row],[Option Exposure]]/$B$6</f>
        <v>0</v>
      </c>
      <c r="P415" s="51">
        <f>SUMIF(Table25[[#All],[Assets]],Table19[[#This Row],[Assets]],Table25[[#All],[Number of stocks]])</f>
        <v>0</v>
      </c>
      <c r="Q415" s="36">
        <f ca="1">Table19[[#This Row],[Num of Stocks]]*Table19[[#This Row],[Price]]</f>
        <v>0</v>
      </c>
      <c r="R415" s="36">
        <f ca="1">Table19[[#This Row],[Stock Exposure]]+Table19[[#This Row],[Option Exposure]]</f>
        <v>0</v>
      </c>
      <c r="S415" s="108" t="str">
        <f>IFERROR(Table19[[#This Row],[Num of Stocks]]*Table19[[#This Row],[Ave Entry]],"")</f>
        <v/>
      </c>
      <c r="T415" s="39">
        <f ca="1">Table19[[#This Row],[Combined Exposure]]/$C$8</f>
        <v>0</v>
      </c>
    </row>
    <row r="416" spans="1:20">
      <c r="A416" t="e" vm="450">
        <v>#VALUE!</v>
      </c>
      <c r="B416" s="13" t="str" cm="1">
        <f t="array" aca="1" ref="B416" ca="1">_FV(A416,"Ticker symbol",TRUE)</f>
        <v>KIE</v>
      </c>
      <c r="C416" s="13" t="s">
        <v>408</v>
      </c>
      <c r="D416" s="13" t="s">
        <v>408</v>
      </c>
      <c r="E416" s="19" cm="1">
        <f t="array" aca="1" ref="E416" ca="1">IFERROR(_FV(A416,"Beta"),2)</f>
        <v>1.0347999999999999</v>
      </c>
      <c r="F416" s="13" t="str" cm="1">
        <f t="array" aca="1" ref="F416" ca="1">_FV(A416,"Instrument type",TRUE)</f>
        <v>ETF</v>
      </c>
      <c r="G416" s="18" cm="1">
        <f t="array" aca="1" ref="G416" ca="1">_FV(Table19[[#This Row],[Assets]],"Price")</f>
        <v>54.715000000000003</v>
      </c>
      <c r="H416" s="36" t="str">
        <f>IFERROR(VLOOKUP(Table19[[#This Row],[Assets]],Table25[#All],15,FALSE),"")</f>
        <v/>
      </c>
      <c r="I416" s="36">
        <f>IFERROR(VLOOKUP(Table19[[#This Row],[Assets]],Table25[#All],16,FALSE),0)</f>
        <v>0</v>
      </c>
      <c r="J416" s="84" t="str">
        <f ca="1">IFERROR((Table19[[#This Row],[Price]]-Table19[[#This Row],[Ave Entry]])/Table19[[#This Row],[Ave Entry]],"")</f>
        <v/>
      </c>
      <c r="K416" s="92">
        <f ca="1">IFERROR((Table19[[#This Row],[Price]]-Table19[[#This Row],[Ave Entry]])*Table19[[#This Row],[Num of Stocks]],0)</f>
        <v>0</v>
      </c>
      <c r="L416" s="38" cm="1">
        <f t="array" aca="1" ref="L416" ca="1">_FV(Table19[[#This Row],[Assets]],"Change (%)",TRUE)</f>
        <v>-9.1369999999999987E-5</v>
      </c>
      <c r="M416" s="36">
        <f>SUMIF(Table20[Asset],Table19[[#This Row],[Assets]],Table20[realized_profit])</f>
        <v>0</v>
      </c>
      <c r="N416" s="36">
        <f>SUMIF(Table20[[#All],[Asset]],Table19[[#This Row],[Assets]],Table20[[#All],[delta_exposure]])</f>
        <v>0</v>
      </c>
      <c r="O416" s="38">
        <f ca="1">Table19[[#This Row],[Option Exposure]]/$B$6</f>
        <v>0</v>
      </c>
      <c r="P416" s="51">
        <f>SUMIF(Table25[[#All],[Assets]],Table19[[#This Row],[Assets]],Table25[[#All],[Number of stocks]])</f>
        <v>0</v>
      </c>
      <c r="Q416" s="36">
        <f ca="1">Table19[[#This Row],[Num of Stocks]]*Table19[[#This Row],[Price]]</f>
        <v>0</v>
      </c>
      <c r="R416" s="36">
        <f ca="1">Table19[[#This Row],[Stock Exposure]]+Table19[[#This Row],[Option Exposure]]</f>
        <v>0</v>
      </c>
      <c r="S416" s="108" t="str">
        <f>IFERROR(Table19[[#This Row],[Num of Stocks]]*Table19[[#This Row],[Ave Entry]],"")</f>
        <v/>
      </c>
      <c r="T416" s="39">
        <f ca="1">Table19[[#This Row],[Combined Exposure]]/$C$8</f>
        <v>0</v>
      </c>
    </row>
    <row r="417" spans="1:20">
      <c r="A417" t="e" vm="451">
        <v>#VALUE!</v>
      </c>
      <c r="B417" s="13" t="str" cm="1">
        <f t="array" aca="1" ref="B417" ca="1">_FV(A417,"Ticker symbol",TRUE)</f>
        <v>AVDX</v>
      </c>
      <c r="C417" s="13" t="s">
        <v>54</v>
      </c>
      <c r="D417" s="13" t="s">
        <v>457</v>
      </c>
      <c r="E417" s="19" cm="1">
        <f t="array" aca="1" ref="E417" ca="1">IFERROR(_FV(A417,"Beta"),2)</f>
        <v>1.1903999999999999</v>
      </c>
      <c r="F417" s="13" t="str" cm="1">
        <f t="array" aca="1" ref="F417" ca="1">_FV(A417,"Instrument type",TRUE)</f>
        <v>Stock</v>
      </c>
      <c r="G417" s="18" cm="1">
        <f t="array" aca="1" ref="G417" ca="1">_FV(Table19[[#This Row],[Assets]],"Price")</f>
        <v>10</v>
      </c>
      <c r="H417" s="36" t="str">
        <f>IFERROR(VLOOKUP(Table19[[#This Row],[Assets]],Table25[#All],15,FALSE),"")</f>
        <v/>
      </c>
      <c r="I417" s="36">
        <f>IFERROR(VLOOKUP(Table19[[#This Row],[Assets]],Table25[#All],16,FALSE),0)</f>
        <v>0</v>
      </c>
      <c r="J417" s="84" t="str">
        <f ca="1">IFERROR((Table19[[#This Row],[Price]]-Table19[[#This Row],[Ave Entry]])/Table19[[#This Row],[Ave Entry]],"")</f>
        <v/>
      </c>
      <c r="K417" s="92">
        <f ca="1">IFERROR((Table19[[#This Row],[Price]]-Table19[[#This Row],[Ave Entry]])*Table19[[#This Row],[Num of Stocks]],0)</f>
        <v>0</v>
      </c>
      <c r="L417" s="38" cm="1">
        <f t="array" aca="1" ref="L417" ca="1">_FV(Table19[[#This Row],[Assets]],"Change (%)",TRUE)</f>
        <v>0</v>
      </c>
      <c r="M417" s="36">
        <f>SUMIF(Table20[Asset],Table19[[#This Row],[Assets]],Table20[realized_profit])</f>
        <v>0</v>
      </c>
      <c r="N417" s="36">
        <f>SUMIF(Table20[[#All],[Asset]],Table19[[#This Row],[Assets]],Table20[[#All],[delta_exposure]])</f>
        <v>0</v>
      </c>
      <c r="O417" s="38">
        <f ca="1">Table19[[#This Row],[Option Exposure]]/$B$6</f>
        <v>0</v>
      </c>
      <c r="P417" s="51">
        <f>SUMIF(Table25[[#All],[Assets]],Table19[[#This Row],[Assets]],Table25[[#All],[Number of stocks]])</f>
        <v>0</v>
      </c>
      <c r="Q417" s="36">
        <f ca="1">Table19[[#This Row],[Num of Stocks]]*Table19[[#This Row],[Price]]</f>
        <v>0</v>
      </c>
      <c r="R417" s="36">
        <f ca="1">Table19[[#This Row],[Stock Exposure]]+Table19[[#This Row],[Option Exposure]]</f>
        <v>0</v>
      </c>
      <c r="S417" s="108" t="str">
        <f>IFERROR(Table19[[#This Row],[Num of Stocks]]*Table19[[#This Row],[Ave Entry]],"")</f>
        <v/>
      </c>
      <c r="T417" s="39">
        <f ca="1">Table19[[#This Row],[Combined Exposure]]/$C$8</f>
        <v>0</v>
      </c>
    </row>
    <row r="418" spans="1:20">
      <c r="A418" t="e" vm="452">
        <v>#VALUE!</v>
      </c>
      <c r="B418" s="13" t="str" cm="1">
        <f t="array" aca="1" ref="B418" ca="1">_FV(A418,"Ticker symbol",TRUE)</f>
        <v>SNDA</v>
      </c>
      <c r="C418" s="13" t="s">
        <v>326</v>
      </c>
      <c r="D418" s="13" t="s">
        <v>53</v>
      </c>
      <c r="E418" s="19" cm="1">
        <f t="array" aca="1" ref="E418" ca="1">IFERROR(_FV(A418,"Beta"),2)</f>
        <v>0.75770000000000004</v>
      </c>
      <c r="F418" s="13" t="str" cm="1">
        <f t="array" aca="1" ref="F418" ca="1">_FV(A418,"Instrument type",TRUE)</f>
        <v>Stock</v>
      </c>
      <c r="G418" s="18" cm="1">
        <f t="array" aca="1" ref="G418" ca="1">_FV(Table19[[#This Row],[Assets]],"Price")</f>
        <v>31.4055</v>
      </c>
      <c r="H418" s="36" t="str">
        <f>IFERROR(VLOOKUP(Table19[[#This Row],[Assets]],Table25[#All],15,FALSE),"")</f>
        <v/>
      </c>
      <c r="I418" s="36">
        <f>IFERROR(VLOOKUP(Table19[[#This Row],[Assets]],Table25[#All],16,FALSE),0)</f>
        <v>0</v>
      </c>
      <c r="J418" s="84" t="str">
        <f ca="1">IFERROR((Table19[[#This Row],[Price]]-Table19[[#This Row],[Ave Entry]])/Table19[[#This Row],[Ave Entry]],"")</f>
        <v/>
      </c>
      <c r="K418" s="92">
        <f ca="1">IFERROR((Table19[[#This Row],[Price]]-Table19[[#This Row],[Ave Entry]])*Table19[[#This Row],[Num of Stocks]],0)</f>
        <v>0</v>
      </c>
      <c r="L418" s="38" cm="1">
        <f t="array" aca="1" ref="L418" ca="1">_FV(Table19[[#This Row],[Assets]],"Change (%)",TRUE)</f>
        <v>-4.2640000000000004E-3</v>
      </c>
      <c r="M418" s="36">
        <f>SUMIF(Table20[Asset],Table19[[#This Row],[Assets]],Table20[realized_profit])</f>
        <v>0</v>
      </c>
      <c r="N418" s="36">
        <f>SUMIF(Table20[[#All],[Asset]],Table19[[#This Row],[Assets]],Table20[[#All],[delta_exposure]])</f>
        <v>0</v>
      </c>
      <c r="O418" s="38">
        <f ca="1">Table19[[#This Row],[Option Exposure]]/$B$6</f>
        <v>0</v>
      </c>
      <c r="P418" s="51">
        <f>SUMIF(Table25[[#All],[Assets]],Table19[[#This Row],[Assets]],Table25[[#All],[Number of stocks]])</f>
        <v>0</v>
      </c>
      <c r="Q418" s="36">
        <f ca="1">Table19[[#This Row],[Num of Stocks]]*Table19[[#This Row],[Price]]</f>
        <v>0</v>
      </c>
      <c r="R418" s="36">
        <f ca="1">Table19[[#This Row],[Stock Exposure]]+Table19[[#This Row],[Option Exposure]]</f>
        <v>0</v>
      </c>
      <c r="S418" s="108" t="str">
        <f>IFERROR(Table19[[#This Row],[Num of Stocks]]*Table19[[#This Row],[Ave Entry]],"")</f>
        <v/>
      </c>
      <c r="T418" s="39">
        <f ca="1">Table19[[#This Row],[Combined Exposure]]/$C$8</f>
        <v>0</v>
      </c>
    </row>
    <row r="419" spans="1:20">
      <c r="A419" t="e" vm="453">
        <v>#VALUE!</v>
      </c>
      <c r="B419" s="13" t="str" cm="1">
        <f t="array" aca="1" ref="B419" ca="1">_FV(A419,"Ticker symbol",TRUE)</f>
        <v>NWPX</v>
      </c>
      <c r="C419" s="13" t="s">
        <v>134</v>
      </c>
      <c r="D419" s="13" t="s">
        <v>56</v>
      </c>
      <c r="E419" s="19" cm="1">
        <f t="array" aca="1" ref="E419" ca="1">IFERROR(_FV(A419,"Beta"),2)</f>
        <v>0.91759999999999997</v>
      </c>
      <c r="F419" s="13" t="str" cm="1">
        <f t="array" aca="1" ref="F419" ca="1">_FV(A419,"Instrument type",TRUE)</f>
        <v>Stock</v>
      </c>
      <c r="G419" s="18" cm="1">
        <f t="array" aca="1" ref="G419" ca="1">_FV(Table19[[#This Row],[Assets]],"Price")</f>
        <v>80.105000000000004</v>
      </c>
      <c r="H419" s="36">
        <f>IFERROR(VLOOKUP(Table19[[#This Row],[Assets]],Table25[#All],15,FALSE),"")</f>
        <v>35.75</v>
      </c>
      <c r="I419" s="36">
        <f>IFERROR(VLOOKUP(Table19[[#This Row],[Assets]],Table25[#All],16,FALSE),0)</f>
        <v>18.599999999999994</v>
      </c>
      <c r="J419" s="84">
        <f ca="1">IFERROR((Table19[[#This Row],[Price]]-Table19[[#This Row],[Ave Entry]])/Table19[[#This Row],[Ave Entry]],"")</f>
        <v>1.2406993006993008</v>
      </c>
      <c r="K419" s="92">
        <f ca="1">IFERROR((Table19[[#This Row],[Price]]-Table19[[#This Row],[Ave Entry]])*Table19[[#This Row],[Num of Stocks]],0)</f>
        <v>0</v>
      </c>
      <c r="L419" s="38" cm="1">
        <f t="array" aca="1" ref="L419" ca="1">_FV(Table19[[#This Row],[Assets]],"Change (%)",TRUE)</f>
        <v>1.8110999999999999E-2</v>
      </c>
      <c r="M419" s="36">
        <f>SUMIF(Table20[Asset],Table19[[#This Row],[Assets]],Table20[realized_profit])</f>
        <v>0</v>
      </c>
      <c r="N419" s="36">
        <f>SUMIF(Table20[[#All],[Asset]],Table19[[#This Row],[Assets]],Table20[[#All],[delta_exposure]])</f>
        <v>0</v>
      </c>
      <c r="O419" s="98">
        <f ca="1">Table19[[#This Row],[Option Exposure]]/$B$6</f>
        <v>0</v>
      </c>
      <c r="P419" s="51">
        <f>SUMIF(Table25[[#All],[Assets]],Table19[[#This Row],[Assets]],Table25[[#All],[Number of stocks]])</f>
        <v>0</v>
      </c>
      <c r="Q419" s="36">
        <f ca="1">Table19[[#This Row],[Num of Stocks]]*Table19[[#This Row],[Price]]</f>
        <v>0</v>
      </c>
      <c r="R419" s="36">
        <f ca="1">Table19[[#This Row],[Stock Exposure]]+Table19[[#This Row],[Option Exposure]]</f>
        <v>0</v>
      </c>
      <c r="S419" s="108">
        <f>IFERROR(Table19[[#This Row],[Num of Stocks]]*Table19[[#This Row],[Ave Entry]],"")</f>
        <v>0</v>
      </c>
      <c r="T419" s="39">
        <f ca="1">Table19[[#This Row],[Combined Exposure]]/$C$8</f>
        <v>0</v>
      </c>
    </row>
    <row r="420" spans="1:20">
      <c r="A420" t="e" vm="454">
        <v>#VALUE!</v>
      </c>
      <c r="B420" s="13" t="str" cm="1">
        <f t="array" aca="1" ref="B420" ca="1">_FV(A420,"Ticker symbol",TRUE)</f>
        <v>T</v>
      </c>
      <c r="C420" s="13" t="s">
        <v>258</v>
      </c>
      <c r="D420" s="13" t="s">
        <v>29</v>
      </c>
      <c r="E420" s="19" cm="1">
        <f t="array" aca="1" ref="E420" ca="1">IFERROR(_FV(A420,"Beta"),2)</f>
        <v>0.32369999999999999</v>
      </c>
      <c r="F420" s="13" t="str" cm="1">
        <f t="array" aca="1" ref="F420" ca="1">_FV(A420,"Instrument type",TRUE)</f>
        <v>Stock</v>
      </c>
      <c r="G420" s="18" cm="1">
        <f t="array" aca="1" ref="G420" ca="1">_FV(Table19[[#This Row],[Assets]],"Price")</f>
        <v>28.914999999999999</v>
      </c>
      <c r="H420" s="36" t="str">
        <f>IFERROR(VLOOKUP(Table19[[#This Row],[Assets]],Table25[#All],15,FALSE),"")</f>
        <v/>
      </c>
      <c r="I420" s="36">
        <f>IFERROR(VLOOKUP(Table19[[#This Row],[Assets]],Table25[#All],16,FALSE),0)</f>
        <v>0</v>
      </c>
      <c r="J420" s="84" t="str">
        <f ca="1">IFERROR((Table19[[#This Row],[Price]]-Table19[[#This Row],[Ave Entry]])/Table19[[#This Row],[Ave Entry]],"")</f>
        <v/>
      </c>
      <c r="K420" s="92">
        <f ca="1">IFERROR((Table19[[#This Row],[Price]]-Table19[[#This Row],[Ave Entry]])*Table19[[#This Row],[Num of Stocks]],0)</f>
        <v>0</v>
      </c>
      <c r="L420" s="38" cm="1">
        <f t="array" aca="1" ref="L420" ca="1">_FV(Table19[[#This Row],[Assets]],"Change (%)",TRUE)</f>
        <v>1.5590000000000001E-3</v>
      </c>
      <c r="M420" s="36">
        <f>SUMIF(Table20[Asset],Table19[[#This Row],[Assets]],Table20[realized_profit])</f>
        <v>0</v>
      </c>
      <c r="N420" s="36">
        <f>SUMIF(Table20[[#All],[Asset]],Table19[[#This Row],[Assets]],Table20[[#All],[delta_exposure]])</f>
        <v>0</v>
      </c>
      <c r="O420" s="38">
        <f ca="1">Table19[[#This Row],[Option Exposure]]/$B$6</f>
        <v>0</v>
      </c>
      <c r="P420" s="51">
        <f>SUMIF(Table25[[#All],[Assets]],Table19[[#This Row],[Assets]],Table25[[#All],[Number of stocks]])</f>
        <v>0</v>
      </c>
      <c r="Q420" s="36">
        <f ca="1">Table19[[#This Row],[Num of Stocks]]*Table19[[#This Row],[Price]]</f>
        <v>0</v>
      </c>
      <c r="R420" s="36">
        <f ca="1">Table19[[#This Row],[Stock Exposure]]+Table19[[#This Row],[Option Exposure]]</f>
        <v>0</v>
      </c>
      <c r="S420" s="108" t="str">
        <f>IFERROR(Table19[[#This Row],[Num of Stocks]]*Table19[[#This Row],[Ave Entry]],"")</f>
        <v/>
      </c>
      <c r="T420" s="39">
        <f ca="1">Table19[[#This Row],[Combined Exposure]]/$C$8</f>
        <v>0</v>
      </c>
    </row>
    <row r="421" spans="1:20">
      <c r="A421" t="e" vm="455">
        <v>#VALUE!</v>
      </c>
      <c r="B421" s="13" t="str" cm="1">
        <f t="array" aca="1" ref="B421" ca="1">_FV(A421,"Ticker symbol",TRUE)</f>
        <v>SGOV</v>
      </c>
      <c r="C421" s="13" t="s">
        <v>131</v>
      </c>
      <c r="D421" s="13" t="s">
        <v>131</v>
      </c>
      <c r="E421" s="19" cm="1">
        <f t="array" aca="1" ref="E421" ca="1">IFERROR(_FV(A421,"Beta"),2)</f>
        <v>0.60440000000000005</v>
      </c>
      <c r="F421" s="13" t="str" cm="1">
        <f t="array" aca="1" ref="F421" ca="1">_FV(A421,"Instrument type",TRUE)</f>
        <v>ETF</v>
      </c>
      <c r="G421" s="18" cm="1">
        <f t="array" aca="1" ref="G421" ca="1">_FV(Table19[[#This Row],[Assets]],"Price")</f>
        <v>100.6099</v>
      </c>
      <c r="H421" s="36">
        <f>IFERROR(VLOOKUP(Table19[[#This Row],[Assets]],Table25[#All],15,FALSE),"")</f>
        <v>100.63916666666667</v>
      </c>
      <c r="I421" s="36">
        <f>IFERROR(VLOOKUP(Table19[[#This Row],[Assets]],Table25[#All],16,FALSE),0)</f>
        <v>-60.420000000000982</v>
      </c>
      <c r="J421" s="84">
        <f ca="1">IFERROR((Table19[[#This Row],[Price]]-Table19[[#This Row],[Ave Entry]])/Table19[[#This Row],[Ave Entry]],"")</f>
        <v>-2.9080791938200219E-4</v>
      </c>
      <c r="K421" s="92">
        <f ca="1">IFERROR((Table19[[#This Row],[Price]]-Table19[[#This Row],[Ave Entry]])*Table19[[#This Row],[Num of Stocks]],0)</f>
        <v>0</v>
      </c>
      <c r="L421" s="38" cm="1">
        <f t="array" aca="1" ref="L421" ca="1">_FV(Table19[[#This Row],[Assets]],"Change (%)",TRUE)</f>
        <v>-9.9389999999999992E-7</v>
      </c>
      <c r="M421" s="36">
        <f>SUMIF(Table20[Asset],Table19[[#This Row],[Assets]],Table20[realized_profit])</f>
        <v>0</v>
      </c>
      <c r="N421" s="36">
        <f>SUMIF(Table20[[#All],[Asset]],Table19[[#This Row],[Assets]],Table20[[#All],[delta_exposure]])</f>
        <v>0</v>
      </c>
      <c r="O421" s="38">
        <f ca="1">Table19[[#This Row],[Option Exposure]]/$B$6</f>
        <v>0</v>
      </c>
      <c r="P421" s="51">
        <f>SUMIF(Table25[[#All],[Assets]],Table19[[#This Row],[Assets]],Table25[[#All],[Number of stocks]])</f>
        <v>0</v>
      </c>
      <c r="Q421" s="36">
        <f ca="1">Table19[[#This Row],[Num of Stocks]]*Table19[[#This Row],[Price]]</f>
        <v>0</v>
      </c>
      <c r="R421" s="36">
        <f ca="1">Table19[[#This Row],[Stock Exposure]]+Table19[[#This Row],[Option Exposure]]</f>
        <v>0</v>
      </c>
      <c r="S421" s="108">
        <f>IFERROR(Table19[[#This Row],[Num of Stocks]]*Table19[[#This Row],[Ave Entry]],"")</f>
        <v>0</v>
      </c>
      <c r="T421" s="39">
        <f ca="1">Table19[[#This Row],[Combined Exposure]]/$C$8</f>
        <v>0</v>
      </c>
    </row>
    <row r="422" spans="1:20">
      <c r="A422" t="e" vm="456">
        <v>#VALUE!</v>
      </c>
      <c r="B422" s="13" t="str" cm="1">
        <f t="array" aca="1" ref="B422" ca="1">_FV(A422,"Ticker symbol",TRUE)</f>
        <v>BIL</v>
      </c>
      <c r="C422" s="13" t="s">
        <v>131</v>
      </c>
      <c r="D422" s="13" t="s">
        <v>131</v>
      </c>
      <c r="E422" s="19" cm="1">
        <f t="array" aca="1" ref="E422" ca="1">IFERROR(_FV(A422,"Beta"),2)</f>
        <v>0.72119999999999995</v>
      </c>
      <c r="F422" s="13" t="str" cm="1">
        <f t="array" aca="1" ref="F422" ca="1">_FV(A422,"Instrument type",TRUE)</f>
        <v>ETF</v>
      </c>
      <c r="G422" s="18" cm="1">
        <f t="array" aca="1" ref="G422" ca="1">_FV(Table19[[#This Row],[Assets]],"Price")</f>
        <v>91.590199999999996</v>
      </c>
      <c r="H422" s="36">
        <f>IFERROR(VLOOKUP(Table19[[#This Row],[Assets]],Table25[#All],15,FALSE),"")</f>
        <v>92.017947494033422</v>
      </c>
      <c r="I422" s="36">
        <f>IFERROR(VLOOKUP(Table19[[#This Row],[Assets]],Table25[#All],16,FALSE),0)</f>
        <v>-183.5200000000051</v>
      </c>
      <c r="J422" s="84">
        <f ca="1">IFERROR((Table19[[#This Row],[Price]]-Table19[[#This Row],[Ave Entry]])/Table19[[#This Row],[Ave Entry]],"")</f>
        <v>-4.6485224424415855E-3</v>
      </c>
      <c r="K422" s="92">
        <f ca="1">IFERROR((Table19[[#This Row],[Price]]-Table19[[#This Row],[Ave Entry]])*Table19[[#This Row],[Num of Stocks]],0)</f>
        <v>0</v>
      </c>
      <c r="L422" s="38" cm="1">
        <f t="array" aca="1" ref="L422" ca="1">_FV(Table19[[#This Row],[Assets]],"Change (%)",TRUE)</f>
        <v>2.1839999999999998E-6</v>
      </c>
      <c r="M422" s="36">
        <f>SUMIF(Table20[Asset],Table19[[#This Row],[Assets]],Table20[realized_profit])</f>
        <v>0</v>
      </c>
      <c r="N422" s="36">
        <f>SUMIF(Table20[[#All],[Asset]],Table19[[#This Row],[Assets]],Table20[[#All],[delta_exposure]])</f>
        <v>0</v>
      </c>
      <c r="O422" s="98">
        <f ca="1">Table19[[#This Row],[Option Exposure]]/$B$6</f>
        <v>0</v>
      </c>
      <c r="P422" s="51">
        <f>SUMIF(Table25[[#All],[Assets]],Table19[[#This Row],[Assets]],Table25[[#All],[Number of stocks]])</f>
        <v>0</v>
      </c>
      <c r="Q422" s="36">
        <f ca="1">Table19[[#This Row],[Num of Stocks]]*Table19[[#This Row],[Price]]</f>
        <v>0</v>
      </c>
      <c r="R422" s="36">
        <f ca="1">Table19[[#This Row],[Stock Exposure]]+Table19[[#This Row],[Option Exposure]]</f>
        <v>0</v>
      </c>
      <c r="S422" s="108">
        <f>IFERROR(Table19[[#This Row],[Num of Stocks]]*Table19[[#This Row],[Ave Entry]],"")</f>
        <v>0</v>
      </c>
      <c r="T422" s="39">
        <f ca="1">Table19[[#This Row],[Combined Exposure]]/$C$8</f>
        <v>0</v>
      </c>
    </row>
    <row r="423" spans="1:20">
      <c r="A423" t="e" vm="457">
        <v>#VALUE!</v>
      </c>
      <c r="B423" s="13" t="str" cm="1">
        <f t="array" aca="1" ref="B423" ca="1">_FV(A423,"Ticker symbol",TRUE)</f>
        <v>EWW</v>
      </c>
      <c r="C423" s="13" t="s">
        <v>122</v>
      </c>
      <c r="D423" s="13" t="s">
        <v>141</v>
      </c>
      <c r="E423" s="19" cm="1">
        <f t="array" aca="1" ref="E423" ca="1">IFERROR(_FV(A423,"Beta"),2)</f>
        <v>1.1741999999999999</v>
      </c>
      <c r="F423" s="13" t="str" cm="1">
        <f t="array" aca="1" ref="F423" ca="1">_FV(A423,"Instrument type",TRUE)</f>
        <v>ETF</v>
      </c>
      <c r="G423" s="18" cm="1">
        <f t="array" aca="1" ref="G423" ca="1">_FV(Table19[[#This Row],[Assets]],"Price")</f>
        <v>73.819999999999993</v>
      </c>
      <c r="H423" s="36" t="str">
        <f>IFERROR(VLOOKUP(Table19[[#This Row],[Assets]],Table25[#All],15,FALSE),"")</f>
        <v/>
      </c>
      <c r="I423" s="36">
        <f>IFERROR(VLOOKUP(Table19[[#This Row],[Assets]],Table25[#All],16,FALSE),0)</f>
        <v>0</v>
      </c>
      <c r="J423" s="84" t="str">
        <f ca="1">IFERROR((Table19[[#This Row],[Price]]-Table19[[#This Row],[Ave Entry]])/Table19[[#This Row],[Ave Entry]],"")</f>
        <v/>
      </c>
      <c r="K423" s="92">
        <f ca="1">IFERROR((Table19[[#This Row],[Price]]-Table19[[#This Row],[Ave Entry]])*Table19[[#This Row],[Num of Stocks]],0)</f>
        <v>0</v>
      </c>
      <c r="L423" s="38" cm="1">
        <f t="array" aca="1" ref="L423" ca="1">_FV(Table19[[#This Row],[Assets]],"Change (%)",TRUE)</f>
        <v>1.8769000000000001E-2</v>
      </c>
      <c r="M423" s="36">
        <f>SUMIF(Table20[Asset],Table19[[#This Row],[Assets]],Table20[realized_profit])</f>
        <v>0</v>
      </c>
      <c r="N423" s="36">
        <f>SUMIF(Table20[[#All],[Asset]],Table19[[#This Row],[Assets]],Table20[[#All],[delta_exposure]])</f>
        <v>0</v>
      </c>
      <c r="O423" s="38">
        <f ca="1">Table19[[#This Row],[Option Exposure]]/$B$6</f>
        <v>0</v>
      </c>
      <c r="P423" s="51">
        <f>SUMIF(Table25[[#All],[Assets]],Table19[[#This Row],[Assets]],Table25[[#All],[Number of stocks]])</f>
        <v>0</v>
      </c>
      <c r="Q423" s="36">
        <f ca="1">Table19[[#This Row],[Num of Stocks]]*Table19[[#This Row],[Price]]</f>
        <v>0</v>
      </c>
      <c r="R423" s="36">
        <f ca="1">Table19[[#This Row],[Stock Exposure]]+Table19[[#This Row],[Option Exposure]]</f>
        <v>0</v>
      </c>
      <c r="S423" s="108" t="str">
        <f>IFERROR(Table19[[#This Row],[Num of Stocks]]*Table19[[#This Row],[Ave Entry]],"")</f>
        <v/>
      </c>
      <c r="T423" s="39">
        <f ca="1">Table19[[#This Row],[Combined Exposure]]/$C$8</f>
        <v>0</v>
      </c>
    </row>
    <row r="424" spans="1:20">
      <c r="A424" t="e" vm="458">
        <v>#VALUE!</v>
      </c>
      <c r="B424" s="13" t="str" cm="1">
        <f t="array" aca="1" ref="B424" ca="1">_FV(A424,"Ticker symbol",TRUE)</f>
        <v>OPCH</v>
      </c>
      <c r="C424" s="13" t="s">
        <v>326</v>
      </c>
      <c r="D424" s="13" t="s">
        <v>53</v>
      </c>
      <c r="E424" s="19" cm="1">
        <f t="array" aca="1" ref="E424" ca="1">IFERROR(_FV(A424,"Beta"),2)</f>
        <v>0.92720000000000002</v>
      </c>
      <c r="F424" s="13" t="str" cm="1">
        <f t="array" aca="1" ref="F424" ca="1">_FV(A424,"Instrument type",TRUE)</f>
        <v>Stock</v>
      </c>
      <c r="G424" s="18" cm="1">
        <f t="array" aca="1" ref="G424" ca="1">_FV(Table19[[#This Row],[Assets]],"Price")</f>
        <v>28.614999999999998</v>
      </c>
      <c r="H424" s="36" t="str">
        <f>IFERROR(VLOOKUP(Table19[[#This Row],[Assets]],Table25[#All],15,FALSE),"")</f>
        <v/>
      </c>
      <c r="I424" s="36">
        <f>IFERROR(VLOOKUP(Table19[[#This Row],[Assets]],Table25[#All],16,FALSE),0)</f>
        <v>0</v>
      </c>
      <c r="J424" s="84" t="str">
        <f ca="1">IFERROR((Table19[[#This Row],[Price]]-Table19[[#This Row],[Ave Entry]])/Table19[[#This Row],[Ave Entry]],"")</f>
        <v/>
      </c>
      <c r="K424" s="92">
        <f ca="1">IFERROR((Table19[[#This Row],[Price]]-Table19[[#This Row],[Ave Entry]])*Table19[[#This Row],[Num of Stocks]],0)</f>
        <v>0</v>
      </c>
      <c r="L424" s="38" cm="1">
        <f t="array" aca="1" ref="L424" ca="1">_FV(Table19[[#This Row],[Assets]],"Change (%)",TRUE)</f>
        <v>7.2160000000000002E-3</v>
      </c>
      <c r="M424" s="36">
        <f>SUMIF(Table20[Asset],Table19[[#This Row],[Assets]],Table20[realized_profit])</f>
        <v>0</v>
      </c>
      <c r="N424" s="36">
        <f>SUMIF(Table20[[#All],[Asset]],Table19[[#This Row],[Assets]],Table20[[#All],[delta_exposure]])</f>
        <v>0</v>
      </c>
      <c r="O424" s="38">
        <f ca="1">Table19[[#This Row],[Option Exposure]]/$B$6</f>
        <v>0</v>
      </c>
      <c r="P424" s="51">
        <f>SUMIF(Table25[[#All],[Assets]],Table19[[#This Row],[Assets]],Table25[[#All],[Number of stocks]])</f>
        <v>0</v>
      </c>
      <c r="Q424" s="36">
        <f ca="1">Table19[[#This Row],[Num of Stocks]]*Table19[[#This Row],[Price]]</f>
        <v>0</v>
      </c>
      <c r="R424" s="36">
        <f ca="1">Table19[[#This Row],[Stock Exposure]]+Table19[[#This Row],[Option Exposure]]</f>
        <v>0</v>
      </c>
      <c r="S424" s="108" t="str">
        <f>IFERROR(Table19[[#This Row],[Num of Stocks]]*Table19[[#This Row],[Ave Entry]],"")</f>
        <v/>
      </c>
      <c r="T424" s="39">
        <f ca="1">Table19[[#This Row],[Combined Exposure]]/$C$8</f>
        <v>0</v>
      </c>
    </row>
    <row r="425" spans="1:20">
      <c r="A425" t="e" vm="143">
        <v>#VALUE!</v>
      </c>
      <c r="B425" s="13" t="str" cm="1">
        <f t="array" aca="1" ref="B425" ca="1">_FV(A425,"Ticker symbol",TRUE)</f>
        <v>CAT</v>
      </c>
      <c r="C425" s="13" t="s">
        <v>56</v>
      </c>
      <c r="D425" s="13" t="s">
        <v>56</v>
      </c>
      <c r="E425" s="19" cm="1">
        <f t="array" aca="1" ref="E425" ca="1">IFERROR(_FV(A425,"Beta"),2)</f>
        <v>1.5173000000000001</v>
      </c>
      <c r="F425" s="13" t="str" cm="1">
        <f t="array" aca="1" ref="F425" ca="1">_FV(A425,"Instrument type",TRUE)</f>
        <v>Stock</v>
      </c>
      <c r="G425" s="18" cm="1">
        <f t="array" aca="1" ref="G425" ca="1">_FV(Table19[[#This Row],[Assets]],"Price")</f>
        <v>724.255</v>
      </c>
      <c r="H425" s="36" t="str">
        <f>IFERROR(VLOOKUP(Table19[[#This Row],[Assets]],Table25[#All],15,FALSE),"")</f>
        <v/>
      </c>
      <c r="I425" s="36">
        <f>IFERROR(VLOOKUP(Table19[[#This Row],[Assets]],Table25[#All],16,FALSE),0)</f>
        <v>0</v>
      </c>
      <c r="J425" s="84" t="str">
        <f ca="1">IFERROR((Table19[[#This Row],[Price]]-Table19[[#This Row],[Ave Entry]])/Table19[[#This Row],[Ave Entry]],"")</f>
        <v/>
      </c>
      <c r="K425" s="92">
        <f ca="1">IFERROR((Table19[[#This Row],[Price]]-Table19[[#This Row],[Ave Entry]])*Table19[[#This Row],[Num of Stocks]],0)</f>
        <v>0</v>
      </c>
      <c r="L425" s="38" cm="1">
        <f t="array" aca="1" ref="L425" ca="1">_FV(Table19[[#This Row],[Assets]],"Change (%)",TRUE)</f>
        <v>1.064E-2</v>
      </c>
      <c r="M425" s="36">
        <f>SUMIF(Table20[Asset],Table19[[#This Row],[Assets]],Table20[realized_profit])</f>
        <v>0</v>
      </c>
      <c r="N425" s="36">
        <f>SUMIF(Table20[[#All],[Asset]],Table19[[#This Row],[Assets]],Table20[[#All],[delta_exposure]])</f>
        <v>0</v>
      </c>
      <c r="O425" s="38">
        <f ca="1">Table19[[#This Row],[Option Exposure]]/$B$6</f>
        <v>0</v>
      </c>
      <c r="P425" s="51">
        <f>SUMIF(Table25[[#All],[Assets]],Table19[[#This Row],[Assets]],Table25[[#All],[Number of stocks]])</f>
        <v>0</v>
      </c>
      <c r="Q425" s="36">
        <f ca="1">Table19[[#This Row],[Num of Stocks]]*Table19[[#This Row],[Price]]</f>
        <v>0</v>
      </c>
      <c r="R425" s="36">
        <f ca="1">Table19[[#This Row],[Stock Exposure]]+Table19[[#This Row],[Option Exposure]]</f>
        <v>0</v>
      </c>
      <c r="S425" s="108" t="str">
        <f>IFERROR(Table19[[#This Row],[Num of Stocks]]*Table19[[#This Row],[Ave Entry]],"")</f>
        <v/>
      </c>
      <c r="T425" s="39">
        <f ca="1">Table19[[#This Row],[Combined Exposure]]/$C$8</f>
        <v>0</v>
      </c>
    </row>
    <row r="426" spans="1:20">
      <c r="A426" t="e" vm="459">
        <v>#VALUE!</v>
      </c>
      <c r="B426" s="13" t="str" cm="1">
        <f t="array" aca="1" ref="B426" ca="1">_FV(A426,"Ticker symbol",TRUE)</f>
        <v>BAC</v>
      </c>
      <c r="C426" s="13" t="s">
        <v>54</v>
      </c>
      <c r="D426" s="13" t="s">
        <v>54</v>
      </c>
      <c r="E426" s="19" cm="1">
        <f t="array" aca="1" ref="E426" ca="1">IFERROR(_FV(A426,"Beta"),2)</f>
        <v>1.2474000000000001</v>
      </c>
      <c r="F426" s="13" t="str" cm="1">
        <f t="array" aca="1" ref="F426" ca="1">_FV(A426,"Instrument type",TRUE)</f>
        <v>Stock</v>
      </c>
      <c r="G426" s="18" cm="1">
        <f t="array" aca="1" ref="G426" ca="1">_FV(Table19[[#This Row],[Assets]],"Price")</f>
        <v>48.715000000000003</v>
      </c>
      <c r="H426" s="36" t="str">
        <f>IFERROR(VLOOKUP(Table19[[#This Row],[Assets]],Table25[#All],15,FALSE),"")</f>
        <v/>
      </c>
      <c r="I426" s="36">
        <f>IFERROR(VLOOKUP(Table19[[#This Row],[Assets]],Table25[#All],16,FALSE),0)</f>
        <v>0</v>
      </c>
      <c r="J426" s="84" t="str">
        <f ca="1">IFERROR((Table19[[#This Row],[Price]]-Table19[[#This Row],[Ave Entry]])/Table19[[#This Row],[Ave Entry]],"")</f>
        <v/>
      </c>
      <c r="K426" s="92">
        <f ca="1">IFERROR((Table19[[#This Row],[Price]]-Table19[[#This Row],[Ave Entry]])*Table19[[#This Row],[Num of Stocks]],0)</f>
        <v>0</v>
      </c>
      <c r="L426" s="38" cm="1">
        <f t="array" aca="1" ref="L426" ca="1">_FV(Table19[[#This Row],[Assets]],"Change (%)",TRUE)</f>
        <v>1.1944E-2</v>
      </c>
      <c r="M426" s="36">
        <f>SUMIF(Table20[Asset],Table19[[#This Row],[Assets]],Table20[realized_profit])</f>
        <v>0</v>
      </c>
      <c r="N426" s="36">
        <f>SUMIF(Table20[[#All],[Asset]],Table19[[#This Row],[Assets]],Table20[[#All],[delta_exposure]])</f>
        <v>0</v>
      </c>
      <c r="O426" s="38">
        <f ca="1">Table19[[#This Row],[Option Exposure]]/$B$6</f>
        <v>0</v>
      </c>
      <c r="P426" s="51">
        <f>SUMIF(Table25[[#All],[Assets]],Table19[[#This Row],[Assets]],Table25[[#All],[Number of stocks]])</f>
        <v>0</v>
      </c>
      <c r="Q426" s="36">
        <f ca="1">Table19[[#This Row],[Num of Stocks]]*Table19[[#This Row],[Price]]</f>
        <v>0</v>
      </c>
      <c r="R426" s="36">
        <f ca="1">Table19[[#This Row],[Stock Exposure]]+Table19[[#This Row],[Option Exposure]]</f>
        <v>0</v>
      </c>
      <c r="S426" s="108" t="str">
        <f>IFERROR(Table19[[#This Row],[Num of Stocks]]*Table19[[#This Row],[Ave Entry]],"")</f>
        <v/>
      </c>
      <c r="T426" s="39">
        <f ca="1">Table19[[#This Row],[Combined Exposure]]/$C$8</f>
        <v>0</v>
      </c>
    </row>
    <row r="427" spans="1:20">
      <c r="A427" t="e" vm="460">
        <v>#VALUE!</v>
      </c>
      <c r="B427" s="13" t="str" cm="1">
        <f t="array" aca="1" ref="B427" ca="1">_FV(A427,"Ticker symbol",TRUE)</f>
        <v>PAYO</v>
      </c>
      <c r="C427" s="13" t="s">
        <v>54</v>
      </c>
      <c r="D427" s="13" t="s">
        <v>457</v>
      </c>
      <c r="E427" s="19" cm="1">
        <f t="array" aca="1" ref="E427" ca="1">IFERROR(_FV(A427,"Beta"),2)</f>
        <v>1.0537000000000001</v>
      </c>
      <c r="F427" s="13" t="str" cm="1">
        <f t="array" aca="1" ref="F427" ca="1">_FV(A427,"Instrument type",TRUE)</f>
        <v>Stock</v>
      </c>
      <c r="G427" s="18" cm="1">
        <f t="array" aca="1" ref="G427" ca="1">_FV(Table19[[#This Row],[Assets]],"Price")</f>
        <v>4.8099999999999996</v>
      </c>
      <c r="H427" s="36" t="str">
        <f>IFERROR(VLOOKUP(Table19[[#This Row],[Assets]],Table25[#All],15,FALSE),"")</f>
        <v/>
      </c>
      <c r="I427" s="36">
        <f>IFERROR(VLOOKUP(Table19[[#This Row],[Assets]],Table25[#All],16,FALSE),0)</f>
        <v>0</v>
      </c>
      <c r="J427" s="84" t="str">
        <f ca="1">IFERROR((Table19[[#This Row],[Price]]-Table19[[#This Row],[Ave Entry]])/Table19[[#This Row],[Ave Entry]],"")</f>
        <v/>
      </c>
      <c r="K427" s="92">
        <f ca="1">IFERROR((Table19[[#This Row],[Price]]-Table19[[#This Row],[Ave Entry]])*Table19[[#This Row],[Num of Stocks]],0)</f>
        <v>0</v>
      </c>
      <c r="L427" s="38" cm="1">
        <f t="array" aca="1" ref="L427" ca="1">_FV(Table19[[#This Row],[Assets]],"Change (%)",TRUE)</f>
        <v>1.6913000000000001E-2</v>
      </c>
      <c r="M427" s="36">
        <f>SUMIF(Table20[Asset],Table19[[#This Row],[Assets]],Table20[realized_profit])</f>
        <v>0</v>
      </c>
      <c r="N427" s="36">
        <f>SUMIF(Table20[[#All],[Asset]],Table19[[#This Row],[Assets]],Table20[[#All],[delta_exposure]])</f>
        <v>0</v>
      </c>
      <c r="O427" s="38">
        <f ca="1">Table19[[#This Row],[Option Exposure]]/$B$6</f>
        <v>0</v>
      </c>
      <c r="P427" s="51">
        <f>SUMIF(Table25[[#All],[Assets]],Table19[[#This Row],[Assets]],Table25[[#All],[Number of stocks]])</f>
        <v>0</v>
      </c>
      <c r="Q427" s="36">
        <f ca="1">Table19[[#This Row],[Num of Stocks]]*Table19[[#This Row],[Price]]</f>
        <v>0</v>
      </c>
      <c r="R427" s="36">
        <f ca="1">Table19[[#This Row],[Stock Exposure]]+Table19[[#This Row],[Option Exposure]]</f>
        <v>0</v>
      </c>
      <c r="S427" s="108" t="str">
        <f>IFERROR(Table19[[#This Row],[Num of Stocks]]*Table19[[#This Row],[Ave Entry]],"")</f>
        <v/>
      </c>
      <c r="T427" s="39">
        <f ca="1">Table19[[#This Row],[Combined Exposure]]/$C$8</f>
        <v>0</v>
      </c>
    </row>
    <row r="428" spans="1:20">
      <c r="A428" t="e" vm="461">
        <v>#VALUE!</v>
      </c>
      <c r="B428" s="13" t="str" cm="1">
        <f t="array" aca="1" ref="B428" ca="1">_FV(A428,"Ticker symbol",TRUE)</f>
        <v>SVIX</v>
      </c>
      <c r="C428" s="13" t="s">
        <v>1</v>
      </c>
      <c r="D428" s="13" t="s">
        <v>27</v>
      </c>
      <c r="E428" s="19" cm="1">
        <f t="array" aca="1" ref="E428" ca="1">IFERROR(_FV(A428,"Beta"),2)</f>
        <v>2.9056000000000002</v>
      </c>
      <c r="F428" s="13" t="str" cm="1">
        <f t="array" aca="1" ref="F428" ca="1">_FV(A428,"Instrument type",TRUE)</f>
        <v>ETF</v>
      </c>
      <c r="G428" s="18" cm="1">
        <f t="array" aca="1" ref="G428" ca="1">_FV(Table19[[#This Row],[Assets]],"Price")</f>
        <v>16.664999999999999</v>
      </c>
      <c r="H428" s="36">
        <f>IFERROR(VLOOKUP(Table19[[#This Row],[Assets]],Table25[#All],15,FALSE),"")</f>
        <v>13.909090909090908</v>
      </c>
      <c r="I428" s="36">
        <f>IFERROR(VLOOKUP(Table19[[#This Row],[Assets]],Table25[#All],16,FALSE),0)</f>
        <v>-299.69999999999982</v>
      </c>
      <c r="J428" s="84">
        <f ca="1">IFERROR((Table19[[#This Row],[Price]]-Table19[[#This Row],[Ave Entry]])/Table19[[#This Row],[Ave Entry]],"")</f>
        <v>0.1981372549019608</v>
      </c>
      <c r="K428" s="92">
        <f ca="1">IFERROR((Table19[[#This Row],[Price]]-Table19[[#This Row],[Ave Entry]])*Table19[[#This Row],[Num of Stocks]],0)</f>
        <v>0</v>
      </c>
      <c r="L428" s="38" cm="1">
        <f t="array" aca="1" ref="L428" ca="1">_FV(Table19[[#This Row],[Assets]],"Change (%)",TRUE)</f>
        <v>2.4908E-2</v>
      </c>
      <c r="M428" s="36">
        <f>SUMIF(Table20[Asset],Table19[[#This Row],[Assets]],Table20[realized_profit])</f>
        <v>0</v>
      </c>
      <c r="N428" s="36">
        <f>SUMIF(Table20[[#All],[Asset]],Table19[[#This Row],[Assets]],Table20[[#All],[delta_exposure]])</f>
        <v>0</v>
      </c>
      <c r="O428" s="38">
        <f ca="1">Table19[[#This Row],[Option Exposure]]/$B$6</f>
        <v>0</v>
      </c>
      <c r="P428" s="51">
        <f>SUMIF(Table25[[#All],[Assets]],Table19[[#This Row],[Assets]],Table25[[#All],[Number of stocks]])</f>
        <v>0</v>
      </c>
      <c r="Q428" s="36">
        <f ca="1">Table19[[#This Row],[Num of Stocks]]*Table19[[#This Row],[Price]]</f>
        <v>0</v>
      </c>
      <c r="R428" s="36">
        <f ca="1">Table19[[#This Row],[Stock Exposure]]+Table19[[#This Row],[Option Exposure]]</f>
        <v>0</v>
      </c>
      <c r="S428" s="108">
        <f>IFERROR(Table19[[#This Row],[Num of Stocks]]*Table19[[#This Row],[Ave Entry]],"")</f>
        <v>0</v>
      </c>
      <c r="T428" s="39">
        <f ca="1">Table19[[#This Row],[Combined Exposure]]/$C$8</f>
        <v>0</v>
      </c>
    </row>
    <row r="429" spans="1:20">
      <c r="A429" t="e" vm="462">
        <v>#VALUE!</v>
      </c>
      <c r="B429" s="13" t="str" cm="1">
        <f t="array" aca="1" ref="B429" ca="1">_FV(A429,"Ticker symbol",TRUE)</f>
        <v>ENTG</v>
      </c>
      <c r="C429" s="13" t="s">
        <v>84</v>
      </c>
      <c r="D429" s="13" t="s">
        <v>84</v>
      </c>
      <c r="E429" s="19" cm="1">
        <f t="array" aca="1" ref="E429" ca="1">IFERROR(_FV(A429,"Beta"),2)</f>
        <v>1.3027</v>
      </c>
      <c r="F429" s="13" t="str" cm="1">
        <f t="array" aca="1" ref="F429" ca="1">_FV(A429,"Instrument type",TRUE)</f>
        <v>Stock</v>
      </c>
      <c r="G429" s="18" cm="1">
        <f t="array" aca="1" ref="G429" ca="1">_FV(Table19[[#This Row],[Assets]],"Price")</f>
        <v>123.74</v>
      </c>
      <c r="H429" s="36">
        <f>IFERROR(VLOOKUP(Table19[[#This Row],[Assets]],Table25[#All],15,FALSE),"")</f>
        <v>103.91</v>
      </c>
      <c r="I429" s="36">
        <f>IFERROR(VLOOKUP(Table19[[#This Row],[Assets]],Table25[#All],16,FALSE),0)</f>
        <v>-40.240000000000009</v>
      </c>
      <c r="J429" s="84">
        <f ca="1">IFERROR((Table19[[#This Row],[Price]]-Table19[[#This Row],[Ave Entry]])/Table19[[#This Row],[Ave Entry]],"")</f>
        <v>0.19083822538735443</v>
      </c>
      <c r="K429" s="92">
        <f ca="1">IFERROR((Table19[[#This Row],[Price]]-Table19[[#This Row],[Ave Entry]])*Table19[[#This Row],[Num of Stocks]],0)</f>
        <v>0</v>
      </c>
      <c r="L429" s="38" cm="1">
        <f t="array" aca="1" ref="L429" ca="1">_FV(Table19[[#This Row],[Assets]],"Change (%)",TRUE)</f>
        <v>1.7013E-2</v>
      </c>
      <c r="M429" s="36">
        <f>SUMIF(Table20[Asset],Table19[[#This Row],[Assets]],Table20[realized_profit])</f>
        <v>0</v>
      </c>
      <c r="N429" s="36">
        <f>SUMIF(Table20[[#All],[Asset]],Table19[[#This Row],[Assets]],Table20[[#All],[delta_exposure]])</f>
        <v>0</v>
      </c>
      <c r="O429" s="38">
        <f ca="1">Table19[[#This Row],[Option Exposure]]/$B$6</f>
        <v>0</v>
      </c>
      <c r="P429" s="51">
        <f>SUMIF(Table25[[#All],[Assets]],Table19[[#This Row],[Assets]],Table25[[#All],[Number of stocks]])</f>
        <v>0</v>
      </c>
      <c r="Q429" s="36">
        <f ca="1">Table19[[#This Row],[Num of Stocks]]*Table19[[#This Row],[Price]]</f>
        <v>0</v>
      </c>
      <c r="R429" s="36">
        <f ca="1">Table19[[#This Row],[Stock Exposure]]+Table19[[#This Row],[Option Exposure]]</f>
        <v>0</v>
      </c>
      <c r="S429" s="108">
        <f>IFERROR(Table19[[#This Row],[Num of Stocks]]*Table19[[#This Row],[Ave Entry]],"")</f>
        <v>0</v>
      </c>
      <c r="T429" s="39">
        <f ca="1">Table19[[#This Row],[Combined Exposure]]/$C$8</f>
        <v>0</v>
      </c>
    </row>
    <row r="430" spans="1:20">
      <c r="A430" t="e" vm="463">
        <v>#VALUE!</v>
      </c>
      <c r="B430" s="13" t="str" cm="1">
        <f t="array" aca="1" ref="B430" ca="1">_FV(A430,"Ticker symbol",TRUE)</f>
        <v>SNPS</v>
      </c>
      <c r="C430" s="13" t="s">
        <v>83</v>
      </c>
      <c r="D430" s="13" t="s">
        <v>29</v>
      </c>
      <c r="E430" s="19" cm="1">
        <f t="array" aca="1" ref="E430" ca="1">IFERROR(_FV(A430,"Beta"),2)</f>
        <v>1.1279999999999999</v>
      </c>
      <c r="F430" s="13" t="str" cm="1">
        <f t="array" aca="1" ref="F430" ca="1">_FV(A430,"Instrument type",TRUE)</f>
        <v>Stock</v>
      </c>
      <c r="G430" s="18" cm="1">
        <f t="array" aca="1" ref="G430" ca="1">_FV(Table19[[#This Row],[Assets]],"Price")</f>
        <v>415.91</v>
      </c>
      <c r="H430" s="36" t="str">
        <f>IFERROR(VLOOKUP(Table19[[#This Row],[Assets]],Table25[#All],15,FALSE),"")</f>
        <v/>
      </c>
      <c r="I430" s="36">
        <f>IFERROR(VLOOKUP(Table19[[#This Row],[Assets]],Table25[#All],16,FALSE),0)</f>
        <v>0</v>
      </c>
      <c r="J430" s="84" t="str">
        <f ca="1">IFERROR((Table19[[#This Row],[Price]]-Table19[[#This Row],[Ave Entry]])/Table19[[#This Row],[Ave Entry]],"")</f>
        <v/>
      </c>
      <c r="K430" s="92">
        <f ca="1">IFERROR((Table19[[#This Row],[Price]]-Table19[[#This Row],[Ave Entry]])*Table19[[#This Row],[Num of Stocks]],0)</f>
        <v>0</v>
      </c>
      <c r="L430" s="38" cm="1">
        <f t="array" aca="1" ref="L430" ca="1">_FV(Table19[[#This Row],[Assets]],"Change (%)",TRUE)</f>
        <v>6.9779999999999994E-4</v>
      </c>
      <c r="M430" s="36">
        <f>SUMIF(Table20[Asset],Table19[[#This Row],[Assets]],Table20[realized_profit])</f>
        <v>0</v>
      </c>
      <c r="N430" s="36">
        <f>SUMIF(Table20[[#All],[Asset]],Table19[[#This Row],[Assets]],Table20[[#All],[delta_exposure]])</f>
        <v>0</v>
      </c>
      <c r="O430" s="38">
        <f ca="1">Table19[[#This Row],[Option Exposure]]/$B$6</f>
        <v>0</v>
      </c>
      <c r="P430" s="51">
        <f>SUMIF(Table25[[#All],[Assets]],Table19[[#This Row],[Assets]],Table25[[#All],[Number of stocks]])</f>
        <v>0</v>
      </c>
      <c r="Q430" s="36">
        <f ca="1">Table19[[#This Row],[Num of Stocks]]*Table19[[#This Row],[Price]]</f>
        <v>0</v>
      </c>
      <c r="R430" s="36">
        <f ca="1">Table19[[#This Row],[Stock Exposure]]+Table19[[#This Row],[Option Exposure]]</f>
        <v>0</v>
      </c>
      <c r="S430" s="108" t="str">
        <f>IFERROR(Table19[[#This Row],[Num of Stocks]]*Table19[[#This Row],[Ave Entry]],"")</f>
        <v/>
      </c>
      <c r="T430" s="39">
        <f ca="1">Table19[[#This Row],[Combined Exposure]]/$C$8</f>
        <v>0</v>
      </c>
    </row>
    <row r="431" spans="1:20">
      <c r="A431" t="e" vm="464">
        <v>#VALUE!</v>
      </c>
      <c r="B431" s="13" t="str" cm="1">
        <f t="array" aca="1" ref="B431" ca="1">_FV(A431,"Ticker symbol",TRUE)</f>
        <v>CTRA</v>
      </c>
      <c r="C431" s="13" t="s">
        <v>31</v>
      </c>
      <c r="D431" s="13" t="s">
        <v>31</v>
      </c>
      <c r="E431" s="19" cm="1">
        <f t="array" aca="1" ref="E431" ca="1">IFERROR(_FV(A431,"Beta"),2)</f>
        <v>0.2903</v>
      </c>
      <c r="F431" s="13" t="str" cm="1">
        <f t="array" aca="1" ref="F431" ca="1">_FV(A431,"Instrument type",TRUE)</f>
        <v>Stock</v>
      </c>
      <c r="G431" s="18" cm="1">
        <f t="array" aca="1" ref="G431" ca="1">_FV(Table19[[#This Row],[Assets]],"Price")</f>
        <v>34.875</v>
      </c>
      <c r="H431" s="36" t="str">
        <f>IFERROR(VLOOKUP(Table19[[#This Row],[Assets]],Table25[#All],15,FALSE),"")</f>
        <v/>
      </c>
      <c r="I431" s="36">
        <f>IFERROR(VLOOKUP(Table19[[#This Row],[Assets]],Table25[#All],16,FALSE),0)</f>
        <v>0</v>
      </c>
      <c r="J431" s="84" t="str">
        <f ca="1">IFERROR((Table19[[#This Row],[Price]]-Table19[[#This Row],[Ave Entry]])/Table19[[#This Row],[Ave Entry]],"")</f>
        <v/>
      </c>
      <c r="K431" s="92">
        <f ca="1">IFERROR((Table19[[#This Row],[Price]]-Table19[[#This Row],[Ave Entry]])*Table19[[#This Row],[Num of Stocks]],0)</f>
        <v>0</v>
      </c>
      <c r="L431" s="38" cm="1">
        <f t="array" aca="1" ref="L431" ca="1">_FV(Table19[[#This Row],[Assets]],"Change (%)",TRUE)</f>
        <v>-4.1399999999999996E-3</v>
      </c>
      <c r="M431" s="36">
        <f>SUMIF(Table20[Asset],Table19[[#This Row],[Assets]],Table20[realized_profit])</f>
        <v>0</v>
      </c>
      <c r="N431" s="36">
        <f>SUMIF(Table20[[#All],[Asset]],Table19[[#This Row],[Assets]],Table20[[#All],[delta_exposure]])</f>
        <v>0</v>
      </c>
      <c r="O431" s="38">
        <f ca="1">Table19[[#This Row],[Option Exposure]]/$B$6</f>
        <v>0</v>
      </c>
      <c r="P431" s="51">
        <f>SUMIF(Table25[[#All],[Assets]],Table19[[#This Row],[Assets]],Table25[[#All],[Number of stocks]])</f>
        <v>0</v>
      </c>
      <c r="Q431" s="36">
        <f ca="1">Table19[[#This Row],[Num of Stocks]]*Table19[[#This Row],[Price]]</f>
        <v>0</v>
      </c>
      <c r="R431" s="36">
        <f ca="1">Table19[[#This Row],[Stock Exposure]]+Table19[[#This Row],[Option Exposure]]</f>
        <v>0</v>
      </c>
      <c r="S431" s="108" t="str">
        <f>IFERROR(Table19[[#This Row],[Num of Stocks]]*Table19[[#This Row],[Ave Entry]],"")</f>
        <v/>
      </c>
      <c r="T431" s="39">
        <f ca="1">Table19[[#This Row],[Combined Exposure]]/$C$8</f>
        <v>0</v>
      </c>
    </row>
    <row r="432" spans="1:20">
      <c r="A432" t="e" vm="465">
        <v>#VALUE!</v>
      </c>
      <c r="B432" s="13" t="str" cm="1">
        <f t="array" aca="1" ref="B432" ca="1">_FV(A432,"Ticker symbol",TRUE)</f>
        <v>APP</v>
      </c>
      <c r="C432" s="13" t="s">
        <v>550</v>
      </c>
      <c r="D432" s="13" t="s">
        <v>121</v>
      </c>
      <c r="E432" s="19" cm="1">
        <f t="array" aca="1" ref="E432" ca="1">IFERROR(_FV(A432,"Beta"),2)</f>
        <v>2.4634999999999998</v>
      </c>
      <c r="F432" s="13" t="str" cm="1">
        <f t="array" aca="1" ref="F432" ca="1">_FV(A432,"Instrument type",TRUE)</f>
        <v>Stock</v>
      </c>
      <c r="G432" s="18" cm="1">
        <f t="array" aca="1" ref="G432" ca="1">_FV(Table19[[#This Row],[Assets]],"Price")</f>
        <v>442.24</v>
      </c>
      <c r="H432" s="36">
        <f>IFERROR(VLOOKUP(Table19[[#This Row],[Assets]],Table25[#All],15,FALSE),"")</f>
        <v>76.19</v>
      </c>
      <c r="I432" s="36">
        <f>IFERROR(VLOOKUP(Table19[[#This Row],[Assets]],Table25[#All],16,FALSE),0)</f>
        <v>253.5</v>
      </c>
      <c r="J432" s="84">
        <f ca="1">IFERROR((Table19[[#This Row],[Price]]-Table19[[#This Row],[Ave Entry]])/Table19[[#This Row],[Ave Entry]],"")</f>
        <v>4.8044362777267358</v>
      </c>
      <c r="K432" s="92">
        <f ca="1">IFERROR((Table19[[#This Row],[Price]]-Table19[[#This Row],[Ave Entry]])*Table19[[#This Row],[Num of Stocks]],0)</f>
        <v>0</v>
      </c>
      <c r="L432" s="38" cm="1">
        <f t="array" aca="1" ref="L432" ca="1">_FV(Table19[[#This Row],[Assets]],"Change (%)",TRUE)</f>
        <v>1.4520999999999999E-2</v>
      </c>
      <c r="M432" s="36">
        <f>SUMIF(Table20[Asset],Table19[[#This Row],[Assets]],Table20[realized_profit])</f>
        <v>0</v>
      </c>
      <c r="N432" s="36">
        <f>SUMIF(Table20[[#All],[Asset]],Table19[[#This Row],[Assets]],Table20[[#All],[delta_exposure]])</f>
        <v>0</v>
      </c>
      <c r="O432" s="38">
        <f ca="1">Table19[[#This Row],[Option Exposure]]/$B$6</f>
        <v>0</v>
      </c>
      <c r="P432" s="51">
        <f>SUMIF(Table25[[#All],[Assets]],Table19[[#This Row],[Assets]],Table25[[#All],[Number of stocks]])</f>
        <v>0</v>
      </c>
      <c r="Q432" s="36">
        <f ca="1">Table19[[#This Row],[Num of Stocks]]*Table19[[#This Row],[Price]]</f>
        <v>0</v>
      </c>
      <c r="R432" s="36">
        <f ca="1">Table19[[#This Row],[Stock Exposure]]+Table19[[#This Row],[Option Exposure]]</f>
        <v>0</v>
      </c>
      <c r="S432" s="108">
        <f>IFERROR(Table19[[#This Row],[Num of Stocks]]*Table19[[#This Row],[Ave Entry]],"")</f>
        <v>0</v>
      </c>
      <c r="T432" s="39">
        <f ca="1">Table19[[#This Row],[Combined Exposure]]/$C$8</f>
        <v>0</v>
      </c>
    </row>
    <row r="433" spans="1:20">
      <c r="A433" t="e" vm="466">
        <v>#VALUE!</v>
      </c>
      <c r="B433" s="13" t="str" cm="1">
        <f t="array" aca="1" ref="B433" ca="1">_FV(A433,"Ticker symbol",TRUE)</f>
        <v>CX</v>
      </c>
      <c r="C433" s="13" t="s">
        <v>122</v>
      </c>
      <c r="D433" s="13" t="s">
        <v>59</v>
      </c>
      <c r="E433" s="19" cm="1">
        <f t="array" aca="1" ref="E433" ca="1">IFERROR(_FV(A433,"Beta"),2)</f>
        <v>1.6315999999999999</v>
      </c>
      <c r="F433" s="13" t="str" cm="1">
        <f t="array" aca="1" ref="F433" ca="1">_FV(A433,"Instrument type",TRUE)</f>
        <v>Stock</v>
      </c>
      <c r="G433" s="18" cm="1">
        <f t="array" aca="1" ref="G433" ca="1">_FV(Table19[[#This Row],[Assets]],"Price")</f>
        <v>11.13</v>
      </c>
      <c r="H433" s="36" t="str">
        <f>IFERROR(VLOOKUP(Table19[[#This Row],[Assets]],Table25[#All],15,FALSE),"")</f>
        <v/>
      </c>
      <c r="I433" s="36">
        <f>IFERROR(VLOOKUP(Table19[[#This Row],[Assets]],Table25[#All],16,FALSE),0)</f>
        <v>0</v>
      </c>
      <c r="J433" s="84" t="str">
        <f ca="1">IFERROR((Table19[[#This Row],[Price]]-Table19[[#This Row],[Ave Entry]])/Table19[[#This Row],[Ave Entry]],"")</f>
        <v/>
      </c>
      <c r="K433" s="92">
        <f ca="1">IFERROR((Table19[[#This Row],[Price]]-Table19[[#This Row],[Ave Entry]])*Table19[[#This Row],[Num of Stocks]],0)</f>
        <v>0</v>
      </c>
      <c r="L433" s="38" cm="1">
        <f t="array" aca="1" ref="L433" ca="1">_FV(Table19[[#This Row],[Assets]],"Change (%)",TRUE)</f>
        <v>2.5805999999999999E-2</v>
      </c>
      <c r="M433" s="36">
        <f>SUMIF(Table20[Asset],Table19[[#This Row],[Assets]],Table20[realized_profit])</f>
        <v>0</v>
      </c>
      <c r="N433" s="36">
        <f>SUMIF(Table20[[#All],[Asset]],Table19[[#This Row],[Assets]],Table20[[#All],[delta_exposure]])</f>
        <v>0</v>
      </c>
      <c r="O433" s="38">
        <f ca="1">Table19[[#This Row],[Option Exposure]]/$B$6</f>
        <v>0</v>
      </c>
      <c r="P433" s="51">
        <f>SUMIF(Table25[[#All],[Assets]],Table19[[#This Row],[Assets]],Table25[[#All],[Number of stocks]])</f>
        <v>0</v>
      </c>
      <c r="Q433" s="36">
        <f ca="1">Table19[[#This Row],[Num of Stocks]]*Table19[[#This Row],[Price]]</f>
        <v>0</v>
      </c>
      <c r="R433" s="36">
        <f ca="1">Table19[[#This Row],[Stock Exposure]]+Table19[[#This Row],[Option Exposure]]</f>
        <v>0</v>
      </c>
      <c r="S433" s="108" t="str">
        <f>IFERROR(Table19[[#This Row],[Num of Stocks]]*Table19[[#This Row],[Ave Entry]],"")</f>
        <v/>
      </c>
      <c r="T433" s="39">
        <f ca="1">Table19[[#This Row],[Combined Exposure]]/$C$8</f>
        <v>0</v>
      </c>
    </row>
    <row r="434" spans="1:20">
      <c r="A434" t="e" vm="467">
        <v>#VALUE!</v>
      </c>
      <c r="B434" s="13" t="str" cm="1">
        <f t="array" aca="1" ref="B434" ca="1">_FV(A434,"Ticker symbol",TRUE)</f>
        <v>EQX</v>
      </c>
      <c r="C434" s="13" t="s">
        <v>133</v>
      </c>
      <c r="D434" s="13" t="s">
        <v>25</v>
      </c>
      <c r="E434" s="19" cm="1">
        <f t="array" aca="1" ref="E434" ca="1">IFERROR(_FV(A434,"Beta"),2)</f>
        <v>1.3774</v>
      </c>
      <c r="F434" s="13" t="str" cm="1">
        <f t="array" aca="1" ref="F434" ca="1">_FV(A434,"Instrument type",TRUE)</f>
        <v>Stock</v>
      </c>
      <c r="G434" s="18" cm="1">
        <f t="array" aca="1" ref="G434" ca="1">_FV(Table19[[#This Row],[Assets]],"Price")</f>
        <v>13.25</v>
      </c>
      <c r="H434" s="36" t="str">
        <f>IFERROR(VLOOKUP(Table19[[#This Row],[Assets]],Table25[#All],15,FALSE),"")</f>
        <v/>
      </c>
      <c r="I434" s="36">
        <f>IFERROR(VLOOKUP(Table19[[#This Row],[Assets]],Table25[#All],16,FALSE),0)</f>
        <v>0</v>
      </c>
      <c r="J434" s="84" t="str">
        <f ca="1">IFERROR((Table19[[#This Row],[Price]]-Table19[[#This Row],[Ave Entry]])/Table19[[#This Row],[Ave Entry]],"")</f>
        <v/>
      </c>
      <c r="K434" s="92">
        <f ca="1">IFERROR((Table19[[#This Row],[Price]]-Table19[[#This Row],[Ave Entry]])*Table19[[#This Row],[Num of Stocks]],0)</f>
        <v>0</v>
      </c>
      <c r="L434" s="38" cm="1">
        <f t="array" aca="1" ref="L434" ca="1">_FV(Table19[[#This Row],[Assets]],"Change (%)",TRUE)</f>
        <v>5.3259000000000001E-2</v>
      </c>
      <c r="M434" s="36">
        <f>SUMIF(Table20[Asset],Table19[[#This Row],[Assets]],Table20[realized_profit])</f>
        <v>0</v>
      </c>
      <c r="N434" s="36">
        <f>SUMIF(Table20[[#All],[Asset]],Table19[[#This Row],[Assets]],Table20[[#All],[delta_exposure]])</f>
        <v>0</v>
      </c>
      <c r="O434" s="38">
        <f ca="1">Table19[[#This Row],[Option Exposure]]/$B$6</f>
        <v>0</v>
      </c>
      <c r="P434" s="51">
        <f>SUMIF(Table25[[#All],[Assets]],Table19[[#This Row],[Assets]],Table25[[#All],[Number of stocks]])</f>
        <v>0</v>
      </c>
      <c r="Q434" s="36">
        <f ca="1">Table19[[#This Row],[Num of Stocks]]*Table19[[#This Row],[Price]]</f>
        <v>0</v>
      </c>
      <c r="R434" s="36">
        <f ca="1">Table19[[#This Row],[Stock Exposure]]+Table19[[#This Row],[Option Exposure]]</f>
        <v>0</v>
      </c>
      <c r="S434" s="108" t="str">
        <f>IFERROR(Table19[[#This Row],[Num of Stocks]]*Table19[[#This Row],[Ave Entry]],"")</f>
        <v/>
      </c>
      <c r="T434" s="39">
        <f ca="1">Table19[[#This Row],[Combined Exposure]]/$C$8</f>
        <v>0</v>
      </c>
    </row>
    <row r="435" spans="1:20">
      <c r="A435" t="e" vm="468">
        <v>#VALUE!</v>
      </c>
      <c r="B435" s="13" t="str" cm="1">
        <f t="array" aca="1" ref="B435" ca="1">_FV(A435,"Ticker symbol",TRUE)</f>
        <v>UBS</v>
      </c>
      <c r="C435" s="13" t="s">
        <v>54</v>
      </c>
      <c r="D435" s="13" t="s">
        <v>54</v>
      </c>
      <c r="E435" s="19" cm="1">
        <f t="array" aca="1" ref="E435" ca="1">IFERROR(_FV(A435,"Beta"),2)</f>
        <v>0.99919999999999998</v>
      </c>
      <c r="F435" s="13" t="str" cm="1">
        <f t="array" aca="1" ref="F435" ca="1">_FV(A435,"Instrument type",TRUE)</f>
        <v>Stock</v>
      </c>
      <c r="G435" s="18" cm="1">
        <f t="array" aca="1" ref="G435" ca="1">_FV(Table19[[#This Row],[Assets]],"Price")</f>
        <v>38.25</v>
      </c>
      <c r="H435" s="36" t="str">
        <f>IFERROR(VLOOKUP(Table19[[#This Row],[Assets]],Table25[#All],15,FALSE),"")</f>
        <v/>
      </c>
      <c r="I435" s="36">
        <f>IFERROR(VLOOKUP(Table19[[#This Row],[Assets]],Table25[#All],16,FALSE),0)</f>
        <v>0</v>
      </c>
      <c r="J435" s="84" t="str">
        <f ca="1">IFERROR((Table19[[#This Row],[Price]]-Table19[[#This Row],[Ave Entry]])/Table19[[#This Row],[Ave Entry]],"")</f>
        <v/>
      </c>
      <c r="K435" s="92">
        <f ca="1">IFERROR((Table19[[#This Row],[Price]]-Table19[[#This Row],[Ave Entry]])*Table19[[#This Row],[Num of Stocks]],0)</f>
        <v>0</v>
      </c>
      <c r="L435" s="38" cm="1">
        <f t="array" aca="1" ref="L435" ca="1">_FV(Table19[[#This Row],[Assets]],"Change (%)",TRUE)</f>
        <v>3.4062999999999996E-2</v>
      </c>
      <c r="M435" s="36">
        <f>SUMIF(Table20[Asset],Table19[[#This Row],[Assets]],Table20[realized_profit])</f>
        <v>0</v>
      </c>
      <c r="N435" s="36">
        <f>SUMIF(Table20[[#All],[Asset]],Table19[[#This Row],[Assets]],Table20[[#All],[delta_exposure]])</f>
        <v>0</v>
      </c>
      <c r="O435" s="38">
        <f ca="1">Table19[[#This Row],[Option Exposure]]/$B$6</f>
        <v>0</v>
      </c>
      <c r="P435" s="51">
        <f>SUMIF(Table25[[#All],[Assets]],Table19[[#This Row],[Assets]],Table25[[#All],[Number of stocks]])</f>
        <v>0</v>
      </c>
      <c r="Q435" s="36">
        <f ca="1">Table19[[#This Row],[Num of Stocks]]*Table19[[#This Row],[Price]]</f>
        <v>0</v>
      </c>
      <c r="R435" s="36">
        <f ca="1">Table19[[#This Row],[Stock Exposure]]+Table19[[#This Row],[Option Exposure]]</f>
        <v>0</v>
      </c>
      <c r="S435" s="108" t="str">
        <f>IFERROR(Table19[[#This Row],[Num of Stocks]]*Table19[[#This Row],[Ave Entry]],"")</f>
        <v/>
      </c>
      <c r="T435" s="39">
        <f ca="1">Table19[[#This Row],[Combined Exposure]]/$C$8</f>
        <v>0</v>
      </c>
    </row>
    <row r="436" spans="1:20">
      <c r="A436" t="e" vm="136">
        <v>#VALUE!</v>
      </c>
      <c r="B436" s="13" t="str" cm="1">
        <f t="array" aca="1" ref="B436" ca="1">_FV(A436,"Ticker symbol",TRUE)</f>
        <v>ADBE</v>
      </c>
      <c r="C436" s="13" t="s">
        <v>83</v>
      </c>
      <c r="D436" s="13" t="s">
        <v>29</v>
      </c>
      <c r="E436" s="19" cm="1">
        <f t="array" aca="1" ref="E436" ca="1">IFERROR(_FV(A436,"Beta"),2)</f>
        <v>1.5299</v>
      </c>
      <c r="F436" s="13" t="str" cm="1">
        <f t="array" aca="1" ref="F436" ca="1">_FV(A436,"Instrument type",TRUE)</f>
        <v>Stock</v>
      </c>
      <c r="G436" s="18" cm="1">
        <f t="array" aca="1" ref="G436" ca="1">_FV(Table19[[#This Row],[Assets]],"Price")</f>
        <v>237.26</v>
      </c>
      <c r="H436" s="36" t="str">
        <f>IFERROR(VLOOKUP(Table19[[#This Row],[Assets]],Table25[#All],15,FALSE),"")</f>
        <v/>
      </c>
      <c r="I436" s="36">
        <f>IFERROR(VLOOKUP(Table19[[#This Row],[Assets]],Table25[#All],16,FALSE),0)</f>
        <v>0</v>
      </c>
      <c r="J436" s="84" t="str">
        <f ca="1">IFERROR((Table19[[#This Row],[Price]]-Table19[[#This Row],[Ave Entry]])/Table19[[#This Row],[Ave Entry]],"")</f>
        <v/>
      </c>
      <c r="K436" s="92">
        <f ca="1">IFERROR((Table19[[#This Row],[Price]]-Table19[[#This Row],[Ave Entry]])*Table19[[#This Row],[Num of Stocks]],0)</f>
        <v>0</v>
      </c>
      <c r="L436" s="38" cm="1">
        <f t="array" aca="1" ref="L436" ca="1">_FV(Table19[[#This Row],[Assets]],"Change (%)",TRUE)</f>
        <v>-6.7400000000000003E-3</v>
      </c>
      <c r="M436" s="36">
        <f>SUMIF(Table20[Asset],Table19[[#This Row],[Assets]],Table20[realized_profit])</f>
        <v>264</v>
      </c>
      <c r="N436" s="36">
        <f ca="1">SUMIF(Table20[[#All],[Asset]],Table19[[#This Row],[Assets]],Table20[[#All],[delta_exposure]])</f>
        <v>0</v>
      </c>
      <c r="O436" s="38">
        <f ca="1">Table19[[#This Row],[Option Exposure]]/$B$6</f>
        <v>0</v>
      </c>
      <c r="P436" s="51">
        <f>SUMIF(Table25[[#All],[Assets]],Table19[[#This Row],[Assets]],Table25[[#All],[Number of stocks]])</f>
        <v>0</v>
      </c>
      <c r="Q436" s="36">
        <f ca="1">Table19[[#This Row],[Num of Stocks]]*Table19[[#This Row],[Price]]</f>
        <v>0</v>
      </c>
      <c r="R436" s="36">
        <f ca="1">Table19[[#This Row],[Stock Exposure]]+Table19[[#This Row],[Option Exposure]]</f>
        <v>0</v>
      </c>
      <c r="S436" s="108" t="str">
        <f>IFERROR(Table19[[#This Row],[Num of Stocks]]*Table19[[#This Row],[Ave Entry]],"")</f>
        <v/>
      </c>
      <c r="T436" s="39">
        <f ca="1">Table19[[#This Row],[Combined Exposure]]/$C$8</f>
        <v>0</v>
      </c>
    </row>
    <row r="437" spans="1:20">
      <c r="A437" t="e" vm="469">
        <v>#VALUE!</v>
      </c>
      <c r="B437" s="13" t="str" cm="1">
        <f t="array" aca="1" ref="B437" ca="1">_FV(A437,"Ticker symbol",TRUE)</f>
        <v>LNN</v>
      </c>
      <c r="C437" s="13" t="s">
        <v>56</v>
      </c>
      <c r="D437" s="13" t="s">
        <v>110</v>
      </c>
      <c r="E437" s="19" cm="1">
        <f t="array" aca="1" ref="E437" ca="1">IFERROR(_FV(A437,"Beta"),2)</f>
        <v>0.81710000000000005</v>
      </c>
      <c r="F437" s="13" t="str" cm="1">
        <f t="array" aca="1" ref="F437" ca="1">_FV(A437,"Instrument type",TRUE)</f>
        <v>Stock</v>
      </c>
      <c r="G437" s="18" cm="1">
        <f t="array" aca="1" ref="G437" ca="1">_FV(Table19[[#This Row],[Assets]],"Price")</f>
        <v>120.3</v>
      </c>
      <c r="H437" s="36">
        <f>IFERROR(VLOOKUP(Table19[[#This Row],[Assets]],Table25[#All],15,FALSE),"")</f>
        <v>134.32999999999998</v>
      </c>
      <c r="I437" s="36">
        <f>IFERROR(VLOOKUP(Table19[[#This Row],[Assets]],Table25[#All],16,FALSE),0)</f>
        <v>-69.399999999999693</v>
      </c>
      <c r="J437" s="84">
        <f ca="1">IFERROR((Table19[[#This Row],[Price]]-Table19[[#This Row],[Ave Entry]])/Table19[[#This Row],[Ave Entry]],"")</f>
        <v>-0.10444427901436752</v>
      </c>
      <c r="K437" s="92">
        <f ca="1">IFERROR((Table19[[#This Row],[Price]]-Table19[[#This Row],[Ave Entry]])*Table19[[#This Row],[Num of Stocks]],0)</f>
        <v>0</v>
      </c>
      <c r="L437" s="38" cm="1">
        <f t="array" aca="1" ref="L437" ca="1">_FV(Table19[[#This Row],[Assets]],"Change (%)",TRUE)</f>
        <v>4.9290000000000002E-3</v>
      </c>
      <c r="M437" s="36">
        <f>SUMIF(Table20[Asset],Table19[[#This Row],[Assets]],Table20[realized_profit])</f>
        <v>0</v>
      </c>
      <c r="N437" s="36">
        <f>SUMIF(Table20[[#All],[Asset]],Table19[[#This Row],[Assets]],Table20[[#All],[delta_exposure]])</f>
        <v>0</v>
      </c>
      <c r="O437" s="98">
        <f ca="1">Table19[[#This Row],[Option Exposure]]/$B$6</f>
        <v>0</v>
      </c>
      <c r="P437" s="51">
        <f>SUMIF(Table25[[#All],[Assets]],Table19[[#This Row],[Assets]],Table25[[#All],[Number of stocks]])</f>
        <v>0</v>
      </c>
      <c r="Q437" s="36">
        <f ca="1">Table19[[#This Row],[Num of Stocks]]*Table19[[#This Row],[Price]]</f>
        <v>0</v>
      </c>
      <c r="R437" s="36">
        <f ca="1">Table19[[#This Row],[Stock Exposure]]+Table19[[#This Row],[Option Exposure]]</f>
        <v>0</v>
      </c>
      <c r="S437" s="108">
        <f>IFERROR(Table19[[#This Row],[Num of Stocks]]*Table19[[#This Row],[Ave Entry]],"")</f>
        <v>0</v>
      </c>
      <c r="T437" s="39">
        <f ca="1">Table19[[#This Row],[Combined Exposure]]/$C$8</f>
        <v>0</v>
      </c>
    </row>
    <row r="438" spans="1:20">
      <c r="A438" t="e" vm="156">
        <v>#VALUE!</v>
      </c>
      <c r="B438" s="13" t="str" cm="1">
        <f t="array" aca="1" ref="B438" ca="1">_FV(A438,"Ticker symbol",TRUE)</f>
        <v>FROG</v>
      </c>
      <c r="C438" s="13" t="s">
        <v>29</v>
      </c>
      <c r="D438" s="13" t="s">
        <v>121</v>
      </c>
      <c r="E438" s="19" cm="1">
        <f t="array" aca="1" ref="E438" ca="1">IFERROR(_FV(A438,"Beta"),2)</f>
        <v>1.198</v>
      </c>
      <c r="F438" s="13" t="str" cm="1">
        <f t="array" aca="1" ref="F438" ca="1">_FV(A438,"Instrument type",TRUE)</f>
        <v>Stock</v>
      </c>
      <c r="G438" s="18" cm="1">
        <f t="array" aca="1" ref="G438" ca="1">_FV(Table19[[#This Row],[Assets]],"Price")</f>
        <v>47.490099999999998</v>
      </c>
      <c r="H438" s="36" t="str">
        <f>IFERROR(VLOOKUP(Table19[[#This Row],[Assets]],Table25[#All],15,FALSE),"")</f>
        <v/>
      </c>
      <c r="I438" s="36">
        <f>IFERROR(VLOOKUP(Table19[[#This Row],[Assets]],Table25[#All],16,FALSE),0)</f>
        <v>0</v>
      </c>
      <c r="J438" s="84" t="str">
        <f ca="1">IFERROR((Table19[[#This Row],[Price]]-Table19[[#This Row],[Ave Entry]])/Table19[[#This Row],[Ave Entry]],"")</f>
        <v/>
      </c>
      <c r="K438" s="92">
        <f ca="1">IFERROR((Table19[[#This Row],[Price]]-Table19[[#This Row],[Ave Entry]])*Table19[[#This Row],[Num of Stocks]],0)</f>
        <v>0</v>
      </c>
      <c r="L438" s="38" cm="1">
        <f t="array" aca="1" ref="L438" ca="1">_FV(Table19[[#This Row],[Assets]],"Change (%)",TRUE)</f>
        <v>0.11010099999999999</v>
      </c>
      <c r="M438" s="36">
        <f>SUMIF(Table20[Asset],Table19[[#This Row],[Assets]],Table20[realized_profit])</f>
        <v>19.999999999999996</v>
      </c>
      <c r="N438" s="36">
        <f ca="1">SUMIF(Table20[[#All],[Asset]],Table19[[#This Row],[Assets]],Table20[[#All],[delta_exposure]])</f>
        <v>0</v>
      </c>
      <c r="O438" s="98">
        <f ca="1">Table19[[#This Row],[Option Exposure]]/$B$6</f>
        <v>0</v>
      </c>
      <c r="P438" s="51">
        <f>SUMIF(Table25[[#All],[Assets]],Table19[[#This Row],[Assets]],Table25[[#All],[Number of stocks]])</f>
        <v>0</v>
      </c>
      <c r="Q438" s="36">
        <f ca="1">Table19[[#This Row],[Num of Stocks]]*Table19[[#This Row],[Price]]</f>
        <v>0</v>
      </c>
      <c r="R438" s="36">
        <f ca="1">Table19[[#This Row],[Stock Exposure]]+Table19[[#This Row],[Option Exposure]]</f>
        <v>0</v>
      </c>
      <c r="S438" s="108" t="str">
        <f>IFERROR(Table19[[#This Row],[Num of Stocks]]*Table19[[#This Row],[Ave Entry]],"")</f>
        <v/>
      </c>
      <c r="T438" s="39">
        <f ca="1">Table19[[#This Row],[Combined Exposure]]/$C$8</f>
        <v>0</v>
      </c>
    </row>
    <row r="439" spans="1:20">
      <c r="A439" t="e" vm="110">
        <v>#VALUE!</v>
      </c>
      <c r="B439" s="13" t="str" cm="1">
        <f t="array" aca="1" ref="B439" ca="1">_FV(A439,"Ticker symbol",TRUE)</f>
        <v>JPM</v>
      </c>
      <c r="C439" s="13" t="s">
        <v>54</v>
      </c>
      <c r="D439" s="13" t="s">
        <v>54</v>
      </c>
      <c r="E439" s="19" cm="1">
        <f t="array" aca="1" ref="E439" ca="1">IFERROR(_FV(A439,"Beta"),2)</f>
        <v>1.0488</v>
      </c>
      <c r="F439" s="13" t="str" cm="1">
        <f t="array" aca="1" ref="F439" ca="1">_FV(A439,"Instrument type",TRUE)</f>
        <v>Stock</v>
      </c>
      <c r="G439" s="18" cm="1">
        <f t="array" aca="1" ref="G439" ca="1">_FV(Table19[[#This Row],[Assets]],"Price")</f>
        <v>295.33</v>
      </c>
      <c r="H439" s="36" t="str">
        <f>IFERROR(VLOOKUP(Table19[[#This Row],[Assets]],Table25[#All],15,FALSE),"")</f>
        <v/>
      </c>
      <c r="I439" s="36">
        <f>IFERROR(VLOOKUP(Table19[[#This Row],[Assets]],Table25[#All],16,FALSE),0)</f>
        <v>0</v>
      </c>
      <c r="J439" s="84" t="str">
        <f ca="1">IFERROR((Table19[[#This Row],[Price]]-Table19[[#This Row],[Ave Entry]])/Table19[[#This Row],[Ave Entry]],"")</f>
        <v/>
      </c>
      <c r="K439" s="92">
        <f ca="1">IFERROR((Table19[[#This Row],[Price]]-Table19[[#This Row],[Ave Entry]])*Table19[[#This Row],[Num of Stocks]],0)</f>
        <v>0</v>
      </c>
      <c r="L439" s="38" cm="1">
        <f t="array" aca="1" ref="L439" ca="1">_FV(Table19[[#This Row],[Assets]],"Change (%)",TRUE)</f>
        <v>1.0021E-2</v>
      </c>
      <c r="M439" s="36">
        <f>SUMIF(Table20[Asset],Table19[[#This Row],[Assets]],Table20[realized_profit])</f>
        <v>-1533</v>
      </c>
      <c r="N439" s="36">
        <f ca="1">SUMIF(Table20[[#All],[Asset]],Table19[[#This Row],[Assets]],Table20[[#All],[delta_exposure]])</f>
        <v>0</v>
      </c>
      <c r="O439" s="38">
        <f ca="1">Table19[[#This Row],[Option Exposure]]/$B$6</f>
        <v>0</v>
      </c>
      <c r="P439" s="51">
        <f>SUMIF(Table25[[#All],[Assets]],Table19[[#This Row],[Assets]],Table25[[#All],[Number of stocks]])</f>
        <v>0</v>
      </c>
      <c r="Q439" s="36">
        <f ca="1">Table19[[#This Row],[Num of Stocks]]*Table19[[#This Row],[Price]]</f>
        <v>0</v>
      </c>
      <c r="R439" s="36">
        <f ca="1">Table19[[#This Row],[Stock Exposure]]+Table19[[#This Row],[Option Exposure]]</f>
        <v>0</v>
      </c>
      <c r="S439" s="108" t="str">
        <f>IFERROR(Table19[[#This Row],[Num of Stocks]]*Table19[[#This Row],[Ave Entry]],"")</f>
        <v/>
      </c>
      <c r="T439" s="39">
        <f ca="1">Table19[[#This Row],[Combined Exposure]]/$C$8</f>
        <v>0</v>
      </c>
    </row>
    <row r="440" spans="1:20">
      <c r="A440" t="e" vm="470">
        <v>#VALUE!</v>
      </c>
      <c r="B440" s="13" t="str" cm="1">
        <f t="array" aca="1" ref="B440" ca="1">_FV(A440,"Ticker symbol",TRUE)</f>
        <v>MCD</v>
      </c>
      <c r="C440" s="13" t="s">
        <v>55</v>
      </c>
      <c r="D440" s="13" t="s">
        <v>456</v>
      </c>
      <c r="E440" s="19" cm="1">
        <f t="array" aca="1" ref="E440" ca="1">IFERROR(_FV(A440,"Beta"),2)</f>
        <v>0.53439999999999999</v>
      </c>
      <c r="F440" s="13" t="str" cm="1">
        <f t="array" aca="1" ref="F440" ca="1">_FV(A440,"Instrument type",TRUE)</f>
        <v>Stock</v>
      </c>
      <c r="G440" s="18" cm="1">
        <f t="array" aca="1" ref="G440" ca="1">_FV(Table19[[#This Row],[Assets]],"Price")</f>
        <v>310.39</v>
      </c>
      <c r="H440" s="36" t="str">
        <f>IFERROR(VLOOKUP(Table19[[#This Row],[Assets]],Table25[#All],15,FALSE),"")</f>
        <v/>
      </c>
      <c r="I440" s="36">
        <f>IFERROR(VLOOKUP(Table19[[#This Row],[Assets]],Table25[#All],16,FALSE),0)</f>
        <v>0</v>
      </c>
      <c r="J440" s="84" t="str">
        <f ca="1">IFERROR((Table19[[#This Row],[Price]]-Table19[[#This Row],[Ave Entry]])/Table19[[#This Row],[Ave Entry]],"")</f>
        <v/>
      </c>
      <c r="K440" s="92">
        <f ca="1">IFERROR((Table19[[#This Row],[Price]]-Table19[[#This Row],[Ave Entry]])*Table19[[#This Row],[Num of Stocks]],0)</f>
        <v>0</v>
      </c>
      <c r="L440" s="38" cm="1">
        <f t="array" aca="1" ref="L440" ca="1">_FV(Table19[[#This Row],[Assets]],"Change (%)",TRUE)</f>
        <v>8.2839999999999997E-3</v>
      </c>
      <c r="M440" s="36">
        <f>SUMIF(Table20[Asset],Table19[[#This Row],[Assets]],Table20[realized_profit])</f>
        <v>0</v>
      </c>
      <c r="N440" s="36">
        <f>SUMIF(Table20[[#All],[Asset]],Table19[[#This Row],[Assets]],Table20[[#All],[delta_exposure]])</f>
        <v>0</v>
      </c>
      <c r="O440" s="38">
        <f ca="1">Table19[[#This Row],[Option Exposure]]/$B$6</f>
        <v>0</v>
      </c>
      <c r="P440" s="51">
        <f>SUMIF(Table25[[#All],[Assets]],Table19[[#This Row],[Assets]],Table25[[#All],[Number of stocks]])</f>
        <v>0</v>
      </c>
      <c r="Q440" s="36">
        <f ca="1">Table19[[#This Row],[Num of Stocks]]*Table19[[#This Row],[Price]]</f>
        <v>0</v>
      </c>
      <c r="R440" s="36">
        <f ca="1">Table19[[#This Row],[Stock Exposure]]+Table19[[#This Row],[Option Exposure]]</f>
        <v>0</v>
      </c>
      <c r="S440" s="108" t="str">
        <f>IFERROR(Table19[[#This Row],[Num of Stocks]]*Table19[[#This Row],[Ave Entry]],"")</f>
        <v/>
      </c>
      <c r="T440" s="39">
        <f ca="1">Table19[[#This Row],[Combined Exposure]]/$C$8</f>
        <v>0</v>
      </c>
    </row>
    <row r="441" spans="1:20">
      <c r="A441" t="e" vm="154">
        <v>#VALUE!</v>
      </c>
      <c r="B441" s="13" t="str" cm="1">
        <f t="array" aca="1" ref="B441" ca="1">_FV(A441,"Ticker symbol",TRUE)</f>
        <v>B</v>
      </c>
      <c r="C441" s="13" t="s">
        <v>133</v>
      </c>
      <c r="D441" s="13" t="s">
        <v>462</v>
      </c>
      <c r="E441" s="19" cm="1">
        <f t="array" aca="1" ref="E441" ca="1">IFERROR(_FV(A441,"Beta"),2)</f>
        <v>0.52229999999999999</v>
      </c>
      <c r="F441" s="13" t="str" cm="1">
        <f t="array" aca="1" ref="F441" ca="1">_FV(A441,"Instrument type",TRUE)</f>
        <v>Stock</v>
      </c>
      <c r="G441" s="18" cm="1">
        <f t="array" aca="1" ref="G441" ca="1">_FV(Table19[[#This Row],[Assets]],"Price")</f>
        <v>39.325000000000003</v>
      </c>
      <c r="H441" s="36">
        <f>IFERROR(VLOOKUP(Table19[[#This Row],[Assets]],Table25[#All],15,FALSE),"")</f>
        <v>20.065000000000001</v>
      </c>
      <c r="I441" s="36">
        <f>IFERROR(VLOOKUP(Table19[[#This Row],[Assets]],Table25[#All],16,FALSE),0)</f>
        <v>-238.00000000000026</v>
      </c>
      <c r="J441" s="84">
        <f ca="1">IFERROR((Table19[[#This Row],[Price]]-Table19[[#This Row],[Ave Entry]])/Table19[[#This Row],[Ave Entry]],"")</f>
        <v>0.95988038873660608</v>
      </c>
      <c r="K441" s="92">
        <f ca="1">IFERROR((Table19[[#This Row],[Price]]-Table19[[#This Row],[Ave Entry]])*Table19[[#This Row],[Num of Stocks]],0)</f>
        <v>0</v>
      </c>
      <c r="L441" s="38" cm="1">
        <f t="array" aca="1" ref="L441" ca="1">_FV(Table19[[#This Row],[Assets]],"Change (%)",TRUE)</f>
        <v>3.4051999999999999E-2</v>
      </c>
      <c r="M441" s="36">
        <f>SUMIF(Table20[Asset],Table19[[#This Row],[Assets]],Table20[realized_profit])</f>
        <v>0</v>
      </c>
      <c r="N441" s="36">
        <f>SUMIF(Table20[[#All],[Asset]],Table19[[#This Row],[Assets]],Table20[[#All],[delta_exposure]])</f>
        <v>0</v>
      </c>
      <c r="O441" s="38">
        <f ca="1">Table19[[#This Row],[Option Exposure]]/$B$6</f>
        <v>0</v>
      </c>
      <c r="P441" s="51">
        <f>SUMIF(Table25[[#All],[Assets]],Table19[[#This Row],[Assets]],Table25[[#All],[Number of stocks]])</f>
        <v>0</v>
      </c>
      <c r="Q441" s="36">
        <f ca="1">Table19[[#This Row],[Num of Stocks]]*Table19[[#This Row],[Price]]</f>
        <v>0</v>
      </c>
      <c r="R441" s="36">
        <f ca="1">Table19[[#This Row],[Stock Exposure]]+Table19[[#This Row],[Option Exposure]]</f>
        <v>0</v>
      </c>
      <c r="S441" s="108">
        <f>IFERROR(Table19[[#This Row],[Num of Stocks]]*Table19[[#This Row],[Ave Entry]],"")</f>
        <v>0</v>
      </c>
      <c r="T441" s="39">
        <f ca="1">Table19[[#This Row],[Combined Exposure]]/$C$8</f>
        <v>0</v>
      </c>
    </row>
    <row r="442" spans="1:20">
      <c r="A442" t="e" vm="471">
        <v>#VALUE!</v>
      </c>
      <c r="B442" s="13" t="str" cm="1">
        <f t="array" aca="1" ref="B442" ca="1">_FV(A442,"Ticker symbol",TRUE)</f>
        <v>WEX</v>
      </c>
      <c r="C442" s="13" t="s">
        <v>54</v>
      </c>
      <c r="D442" s="13" t="s">
        <v>457</v>
      </c>
      <c r="E442" s="19" cm="1">
        <f t="array" aca="1" ref="E442" ca="1">IFERROR(_FV(A442,"Beta"),2)</f>
        <v>0.92969999999999997</v>
      </c>
      <c r="F442" s="13" t="str" cm="1">
        <f t="array" aca="1" ref="F442" ca="1">_FV(A442,"Instrument type",TRUE)</f>
        <v>Stock</v>
      </c>
      <c r="G442" s="18" cm="1">
        <f t="array" aca="1" ref="G442" ca="1">_FV(Table19[[#This Row],[Assets]],"Price")</f>
        <v>153.71</v>
      </c>
      <c r="H442" s="36" t="str">
        <f>IFERROR(VLOOKUP(Table19[[#This Row],[Assets]],Table25[#All],15,FALSE),"")</f>
        <v/>
      </c>
      <c r="I442" s="36">
        <f>IFERROR(VLOOKUP(Table19[[#This Row],[Assets]],Table25[#All],16,FALSE),0)</f>
        <v>0</v>
      </c>
      <c r="J442" s="84" t="str">
        <f ca="1">IFERROR((Table19[[#This Row],[Price]]-Table19[[#This Row],[Ave Entry]])/Table19[[#This Row],[Ave Entry]],"")</f>
        <v/>
      </c>
      <c r="K442" s="92">
        <f ca="1">IFERROR((Table19[[#This Row],[Price]]-Table19[[#This Row],[Ave Entry]])*Table19[[#This Row],[Num of Stocks]],0)</f>
        <v>0</v>
      </c>
      <c r="L442" s="38" cm="1">
        <f t="array" aca="1" ref="L442" ca="1">_FV(Table19[[#This Row],[Assets]],"Change (%)",TRUE)</f>
        <v>-1.0684000000000001E-2</v>
      </c>
      <c r="M442" s="36">
        <f>SUMIF(Table20[Asset],Table19[[#This Row],[Assets]],Table20[realized_profit])</f>
        <v>0</v>
      </c>
      <c r="N442" s="36">
        <f>SUMIF(Table20[[#All],[Asset]],Table19[[#This Row],[Assets]],Table20[[#All],[delta_exposure]])</f>
        <v>0</v>
      </c>
      <c r="O442" s="38">
        <f ca="1">Table19[[#This Row],[Option Exposure]]/$B$6</f>
        <v>0</v>
      </c>
      <c r="P442" s="51">
        <f>SUMIF(Table25[[#All],[Assets]],Table19[[#This Row],[Assets]],Table25[[#All],[Number of stocks]])</f>
        <v>0</v>
      </c>
      <c r="Q442" s="36">
        <f ca="1">Table19[[#This Row],[Num of Stocks]]*Table19[[#This Row],[Price]]</f>
        <v>0</v>
      </c>
      <c r="R442" s="36">
        <f ca="1">Table19[[#This Row],[Stock Exposure]]+Table19[[#This Row],[Option Exposure]]</f>
        <v>0</v>
      </c>
      <c r="S442" s="108" t="str">
        <f>IFERROR(Table19[[#This Row],[Num of Stocks]]*Table19[[#This Row],[Ave Entry]],"")</f>
        <v/>
      </c>
      <c r="T442" s="39">
        <f ca="1">Table19[[#This Row],[Combined Exposure]]/$C$8</f>
        <v>0</v>
      </c>
    </row>
    <row r="443" spans="1:20">
      <c r="A443" t="e" vm="472">
        <v>#VALUE!</v>
      </c>
      <c r="B443" s="13" t="str" cm="1">
        <f t="array" aca="1" ref="B443" ca="1">_FV(A443,"Ticker symbol",TRUE)</f>
        <v>SRRK</v>
      </c>
      <c r="C443" s="13" t="s">
        <v>53</v>
      </c>
      <c r="D443" s="13" t="s">
        <v>560</v>
      </c>
      <c r="E443" s="19" cm="1">
        <f t="array" aca="1" ref="E443" ca="1">IFERROR(_FV(A443,"Beta"),2)</f>
        <v>0.76910000000000001</v>
      </c>
      <c r="F443" s="13" t="str" cm="1">
        <f t="array" aca="1" ref="F443" ca="1">_FV(A443,"Instrument type",TRUE)</f>
        <v>Stock</v>
      </c>
      <c r="G443" s="18" cm="1">
        <f t="array" aca="1" ref="G443" ca="1">_FV(Table19[[#This Row],[Assets]],"Price")</f>
        <v>45.085000000000001</v>
      </c>
      <c r="H443" s="36">
        <f>IFERROR(VLOOKUP(Table19[[#This Row],[Assets]],Table25[#All],15,FALSE),"")</f>
        <v>9.3000000000000007</v>
      </c>
      <c r="I443" s="36">
        <f>IFERROR(VLOOKUP(Table19[[#This Row],[Assets]],Table25[#All],16,FALSE),0)</f>
        <v>-170.00000000000011</v>
      </c>
      <c r="J443" s="84">
        <f ca="1">IFERROR((Table19[[#This Row],[Price]]-Table19[[#This Row],[Ave Entry]])/Table19[[#This Row],[Ave Entry]],"")</f>
        <v>3.8478494623655908</v>
      </c>
      <c r="K443" s="92">
        <f ca="1">IFERROR((Table19[[#This Row],[Price]]-Table19[[#This Row],[Ave Entry]])*Table19[[#This Row],[Num of Stocks]],0)</f>
        <v>0</v>
      </c>
      <c r="L443" s="38" cm="1">
        <f t="array" aca="1" ref="L443" ca="1">_FV(Table19[[#This Row],[Assets]],"Change (%)",TRUE)</f>
        <v>6.5838999999999995E-2</v>
      </c>
      <c r="M443" s="36">
        <f>SUMIF(Table20[Asset],Table19[[#This Row],[Assets]],Table20[realized_profit])</f>
        <v>0</v>
      </c>
      <c r="N443" s="36">
        <f>SUMIF(Table20[[#All],[Asset]],Table19[[#This Row],[Assets]],Table20[[#All],[delta_exposure]])</f>
        <v>0</v>
      </c>
      <c r="O443" s="38">
        <f ca="1">Table19[[#This Row],[Option Exposure]]/$B$6</f>
        <v>0</v>
      </c>
      <c r="P443" s="51">
        <f>SUMIF(Table25[[#All],[Assets]],Table19[[#This Row],[Assets]],Table25[[#All],[Number of stocks]])</f>
        <v>0</v>
      </c>
      <c r="Q443" s="36">
        <f ca="1">Table19[[#This Row],[Num of Stocks]]*Table19[[#This Row],[Price]]</f>
        <v>0</v>
      </c>
      <c r="R443" s="36">
        <f ca="1">Table19[[#This Row],[Stock Exposure]]+Table19[[#This Row],[Option Exposure]]</f>
        <v>0</v>
      </c>
      <c r="S443" s="108">
        <f>IFERROR(Table19[[#This Row],[Num of Stocks]]*Table19[[#This Row],[Ave Entry]],"")</f>
        <v>0</v>
      </c>
      <c r="T443" s="39">
        <f ca="1">Table19[[#This Row],[Combined Exposure]]/$C$8</f>
        <v>0</v>
      </c>
    </row>
    <row r="444" spans="1:20">
      <c r="A444" t="e" vm="23">
        <v>#VALUE!</v>
      </c>
      <c r="B444" s="13" t="str" cm="1">
        <f t="array" aca="1" ref="B444" ca="1">_FV(A444,"Ticker symbol",TRUE)</f>
        <v>ALGM</v>
      </c>
      <c r="C444" s="13" t="s">
        <v>84</v>
      </c>
      <c r="D444" s="13" t="s">
        <v>120</v>
      </c>
      <c r="E444" s="19" cm="1">
        <f t="array" aca="1" ref="E444" ca="1">IFERROR(_FV(A444,"Beta"),2)</f>
        <v>1.6829000000000001</v>
      </c>
      <c r="F444" s="13" t="str" cm="1">
        <f t="array" aca="1" ref="F444" ca="1">_FV(A444,"Instrument type",TRUE)</f>
        <v>Stock</v>
      </c>
      <c r="G444" s="18" cm="1">
        <f t="array" aca="1" ref="G444" ca="1">_FV(Table19[[#This Row],[Assets]],"Price")</f>
        <v>33.049999999999997</v>
      </c>
      <c r="H444" s="36">
        <f>IFERROR(VLOOKUP(Table19[[#This Row],[Assets]],Table25[#All],15,FALSE),"")</f>
        <v>25.543333333333333</v>
      </c>
      <c r="I444" s="36">
        <f>IFERROR(VLOOKUP(Table19[[#This Row],[Assets]],Table25[#All],16,FALSE),0)</f>
        <v>-113.33333333333329</v>
      </c>
      <c r="J444" s="84">
        <f ca="1">IFERROR((Table19[[#This Row],[Price]]-Table19[[#This Row],[Ave Entry]])/Table19[[#This Row],[Ave Entry]],"")</f>
        <v>0.2938796815868458</v>
      </c>
      <c r="K444" s="92">
        <f ca="1">IFERROR((Table19[[#This Row],[Price]]-Table19[[#This Row],[Ave Entry]])*Table19[[#This Row],[Num of Stocks]],0)</f>
        <v>37.533333333333317</v>
      </c>
      <c r="L444" s="38" cm="1">
        <f t="array" aca="1" ref="L444" ca="1">_FV(Table19[[#This Row],[Assets]],"Change (%)",TRUE)</f>
        <v>1.4426000000000001E-2</v>
      </c>
      <c r="M444" s="36">
        <f>SUMIF(Table20[Asset],Table19[[#This Row],[Assets]],Table20[realized_profit])</f>
        <v>204</v>
      </c>
      <c r="N444" s="36">
        <f ca="1">SUMIF(Table20[[#All],[Asset]],Table19[[#This Row],[Assets]],Table20[[#All],[delta_exposure]])</f>
        <v>0</v>
      </c>
      <c r="O444" s="38">
        <f ca="1">Table19[[#This Row],[Option Exposure]]/$B$6</f>
        <v>0</v>
      </c>
      <c r="P444" s="51">
        <f>SUMIF(Table25[[#All],[Assets]],Table19[[#This Row],[Assets]],Table25[[#All],[Number of stocks]])</f>
        <v>5</v>
      </c>
      <c r="Q444" s="36">
        <f ca="1">Table19[[#This Row],[Num of Stocks]]*Table19[[#This Row],[Price]]</f>
        <v>165.25</v>
      </c>
      <c r="R444" s="36">
        <f ca="1">Table19[[#This Row],[Stock Exposure]]+Table19[[#This Row],[Option Exposure]]</f>
        <v>165.25</v>
      </c>
      <c r="S444" s="108">
        <f>IFERROR(Table19[[#This Row],[Num of Stocks]]*Table19[[#This Row],[Ave Entry]],"")</f>
        <v>127.71666666666667</v>
      </c>
      <c r="T444" s="39">
        <f ca="1">Table19[[#This Row],[Combined Exposure]]/$C$8</f>
        <v>1.0415873305250508E-3</v>
      </c>
    </row>
    <row r="445" spans="1:20">
      <c r="A445" t="e" vm="473">
        <v>#VALUE!</v>
      </c>
      <c r="B445" s="13" t="str" cm="1">
        <f t="array" aca="1" ref="B445" ca="1">_FV(A445,"Ticker symbol",TRUE)</f>
        <v>KMTUY</v>
      </c>
      <c r="C445" s="13" t="s">
        <v>137</v>
      </c>
      <c r="D445" s="13" t="s">
        <v>137</v>
      </c>
      <c r="E445" s="19" cm="1">
        <f t="array" aca="1" ref="E445" ca="1">IFERROR(_FV(A445,"Beta"),2)</f>
        <v>1.0443</v>
      </c>
      <c r="F445" s="13" t="str" cm="1">
        <f t="array" aca="1" ref="F445" ca="1">_FV(A445,"Instrument type",TRUE)</f>
        <v>Stock</v>
      </c>
      <c r="G445" s="18" cm="1">
        <f t="array" aca="1" ref="G445" ca="1">_FV(Table19[[#This Row],[Assets]],"Price")</f>
        <v>40.58</v>
      </c>
      <c r="H445" s="36">
        <f>IFERROR(VLOOKUP(Table19[[#This Row],[Assets]],Table25[#All],15,FALSE),"")</f>
        <v>29.41</v>
      </c>
      <c r="I445" s="36">
        <f>IFERROR(VLOOKUP(Table19[[#This Row],[Assets]],Table25[#All],16,FALSE),0)</f>
        <v>-6.4600000000000435</v>
      </c>
      <c r="J445" s="84">
        <f ca="1">IFERROR((Table19[[#This Row],[Price]]-Table19[[#This Row],[Ave Entry]])/Table19[[#This Row],[Ave Entry]],"")</f>
        <v>0.37980278816728996</v>
      </c>
      <c r="K445" s="92">
        <f ca="1">IFERROR((Table19[[#This Row],[Price]]-Table19[[#This Row],[Ave Entry]])*Table19[[#This Row],[Num of Stocks]],0)</f>
        <v>0</v>
      </c>
      <c r="L445" s="38" cm="1">
        <f t="array" aca="1" ref="L445" ca="1">_FV(Table19[[#This Row],[Assets]],"Change (%)",TRUE)</f>
        <v>2.0111E-2</v>
      </c>
      <c r="M445" s="36">
        <f>SUMIF(Table20[Asset],Table19[[#This Row],[Assets]],Table20[realized_profit])</f>
        <v>0</v>
      </c>
      <c r="N445" s="36">
        <f>SUMIF(Table20[[#All],[Asset]],Table19[[#This Row],[Assets]],Table20[[#All],[delta_exposure]])</f>
        <v>0</v>
      </c>
      <c r="O445" s="98">
        <f ca="1">Table19[[#This Row],[Option Exposure]]/$B$6</f>
        <v>0</v>
      </c>
      <c r="P445" s="51">
        <f>SUMIF(Table25[[#All],[Assets]],Table19[[#This Row],[Assets]],Table25[[#All],[Number of stocks]])</f>
        <v>0</v>
      </c>
      <c r="Q445" s="36">
        <f ca="1">Table19[[#This Row],[Num of Stocks]]*Table19[[#This Row],[Price]]</f>
        <v>0</v>
      </c>
      <c r="R445" s="36">
        <f ca="1">Table19[[#This Row],[Stock Exposure]]+Table19[[#This Row],[Option Exposure]]</f>
        <v>0</v>
      </c>
      <c r="S445" s="108">
        <f>IFERROR(Table19[[#This Row],[Num of Stocks]]*Table19[[#This Row],[Ave Entry]],"")</f>
        <v>0</v>
      </c>
      <c r="T445" s="39">
        <f ca="1">Table19[[#This Row],[Combined Exposure]]/$C$8</f>
        <v>0</v>
      </c>
    </row>
    <row r="446" spans="1:20">
      <c r="A446" t="e" vm="103">
        <v>#VALUE!</v>
      </c>
      <c r="B446" s="13" t="str" cm="1">
        <f t="array" aca="1" ref="B446" ca="1">_FV(A446,"Ticker symbol",TRUE)</f>
        <v>GDX</v>
      </c>
      <c r="C446" s="13" t="s">
        <v>133</v>
      </c>
      <c r="D446" s="13" t="s">
        <v>25</v>
      </c>
      <c r="E446" s="19" cm="1">
        <f t="array" aca="1" ref="E446" ca="1">IFERROR(_FV(A446,"Beta"),2)</f>
        <v>0.9607</v>
      </c>
      <c r="F446" s="13" t="str" cm="1">
        <f t="array" aca="1" ref="F446" ca="1">_FV(A446,"Instrument type",TRUE)</f>
        <v>ETF</v>
      </c>
      <c r="G446" s="18" cm="1">
        <f t="array" aca="1" ref="G446" ca="1">_FV(Table19[[#This Row],[Assets]],"Price")</f>
        <v>87.06</v>
      </c>
      <c r="H446" s="36" t="str">
        <f>IFERROR(VLOOKUP(Table19[[#This Row],[Assets]],Table25[#All],15,FALSE),"")</f>
        <v/>
      </c>
      <c r="I446" s="36">
        <f>IFERROR(VLOOKUP(Table19[[#This Row],[Assets]],Table25[#All],16,FALSE),0)</f>
        <v>0</v>
      </c>
      <c r="J446" s="84" t="str">
        <f ca="1">IFERROR((Table19[[#This Row],[Price]]-Table19[[#This Row],[Ave Entry]])/Table19[[#This Row],[Ave Entry]],"")</f>
        <v/>
      </c>
      <c r="K446" s="92">
        <f ca="1">IFERROR((Table19[[#This Row],[Price]]-Table19[[#This Row],[Ave Entry]])*Table19[[#This Row],[Num of Stocks]],0)</f>
        <v>0</v>
      </c>
      <c r="L446" s="38" cm="1">
        <f t="array" aca="1" ref="L446" ca="1">_FV(Table19[[#This Row],[Assets]],"Change (%)",TRUE)</f>
        <v>4.2634999999999999E-2</v>
      </c>
      <c r="M446" s="36">
        <f>SUMIF(Table20[Asset],Table19[[#This Row],[Assets]],Table20[realized_profit])</f>
        <v>0</v>
      </c>
      <c r="N446" s="36">
        <f>SUMIF(Table20[[#All],[Asset]],Table19[[#This Row],[Assets]],Table20[[#All],[delta_exposure]])</f>
        <v>0</v>
      </c>
      <c r="O446" s="38">
        <f ca="1">Table19[[#This Row],[Option Exposure]]/$B$6</f>
        <v>0</v>
      </c>
      <c r="P446" s="51">
        <f>SUMIF(Table25[[#All],[Assets]],Table19[[#This Row],[Assets]],Table25[[#All],[Number of stocks]])</f>
        <v>0</v>
      </c>
      <c r="Q446" s="36">
        <f ca="1">Table19[[#This Row],[Num of Stocks]]*Table19[[#This Row],[Price]]</f>
        <v>0</v>
      </c>
      <c r="R446" s="36">
        <f ca="1">Table19[[#This Row],[Stock Exposure]]+Table19[[#This Row],[Option Exposure]]</f>
        <v>0</v>
      </c>
      <c r="S446" s="108" t="str">
        <f>IFERROR(Table19[[#This Row],[Num of Stocks]]*Table19[[#This Row],[Ave Entry]],"")</f>
        <v/>
      </c>
      <c r="T446" s="39">
        <f ca="1">Table19[[#This Row],[Combined Exposure]]/$C$8</f>
        <v>0</v>
      </c>
    </row>
    <row r="447" spans="1:20">
      <c r="A447" t="e" vm="474">
        <v>#VALUE!</v>
      </c>
      <c r="B447" s="13" t="str" cm="1">
        <f t="array" aca="1" ref="B447" ca="1">_FV(A447,"Ticker symbol",TRUE)</f>
        <v>AAP</v>
      </c>
      <c r="C447" s="13" t="s">
        <v>120</v>
      </c>
      <c r="D447" s="13" t="s">
        <v>55</v>
      </c>
      <c r="E447" s="19" cm="1">
        <f t="array" aca="1" ref="E447" ca="1">IFERROR(_FV(A447,"Beta"),2)</f>
        <v>1.0927</v>
      </c>
      <c r="F447" s="13" t="str" cm="1">
        <f t="array" aca="1" ref="F447" ca="1">_FV(A447,"Instrument type",TRUE)</f>
        <v>Stock</v>
      </c>
      <c r="G447" s="18" cm="1">
        <f t="array" aca="1" ref="G447" ca="1">_FV(Table19[[#This Row],[Assets]],"Price")</f>
        <v>51.31</v>
      </c>
      <c r="H447" s="36">
        <f>IFERROR(VLOOKUP(Table19[[#This Row],[Assets]],Table25[#All],15,FALSE),"")</f>
        <v>84.46</v>
      </c>
      <c r="I447" s="36">
        <f>IFERROR(VLOOKUP(Table19[[#This Row],[Assets]],Table25[#All],16,FALSE),0)</f>
        <v>-409.99999999999989</v>
      </c>
      <c r="J447" s="84">
        <f ca="1">IFERROR((Table19[[#This Row],[Price]]-Table19[[#This Row],[Ave Entry]])/Table19[[#This Row],[Ave Entry]],"")</f>
        <v>-0.39249348804167644</v>
      </c>
      <c r="K447" s="92">
        <f ca="1">IFERROR((Table19[[#This Row],[Price]]-Table19[[#This Row],[Ave Entry]])*Table19[[#This Row],[Num of Stocks]],0)</f>
        <v>0</v>
      </c>
      <c r="L447" s="38" cm="1">
        <f t="array" aca="1" ref="L447" ca="1">_FV(Table19[[#This Row],[Assets]],"Change (%)",TRUE)</f>
        <v>8.0549999999999997E-3</v>
      </c>
      <c r="M447" s="36">
        <f>SUMIF(Table20[Asset],Table19[[#This Row],[Assets]],Table20[realized_profit])</f>
        <v>0</v>
      </c>
      <c r="N447" s="36">
        <f>SUMIF(Table20[[#All],[Asset]],Table19[[#This Row],[Assets]],Table20[[#All],[delta_exposure]])</f>
        <v>0</v>
      </c>
      <c r="O447" s="98">
        <f ca="1">Table19[[#This Row],[Option Exposure]]/$B$6</f>
        <v>0</v>
      </c>
      <c r="P447" s="51">
        <f>SUMIF(Table25[[#All],[Assets]],Table19[[#This Row],[Assets]],Table25[[#All],[Number of stocks]])</f>
        <v>0</v>
      </c>
      <c r="Q447" s="36">
        <f ca="1">Table19[[#This Row],[Num of Stocks]]*Table19[[#This Row],[Price]]</f>
        <v>0</v>
      </c>
      <c r="R447" s="36">
        <f ca="1">Table19[[#This Row],[Stock Exposure]]+Table19[[#This Row],[Option Exposure]]</f>
        <v>0</v>
      </c>
      <c r="S447" s="108">
        <f>IFERROR(Table19[[#This Row],[Num of Stocks]]*Table19[[#This Row],[Ave Entry]],"")</f>
        <v>0</v>
      </c>
      <c r="T447" s="39">
        <f ca="1">Table19[[#This Row],[Combined Exposure]]/$C$8</f>
        <v>0</v>
      </c>
    </row>
    <row r="448" spans="1:20">
      <c r="A448" t="e" vm="128">
        <v>#VALUE!</v>
      </c>
      <c r="B448" s="13" t="str" cm="1">
        <f t="array" aca="1" ref="B448" ca="1">_FV(A448,"Ticker symbol",TRUE)</f>
        <v>AXON</v>
      </c>
      <c r="C448" s="13" t="s">
        <v>38</v>
      </c>
      <c r="D448" s="13" t="s">
        <v>38</v>
      </c>
      <c r="E448" s="19" cm="1">
        <f t="array" aca="1" ref="E448" ca="1">IFERROR(_FV(A448,"Beta"),2)</f>
        <v>1.5741000000000001</v>
      </c>
      <c r="F448" s="13" t="str" cm="1">
        <f t="array" aca="1" ref="F448" ca="1">_FV(A448,"Instrument type",TRUE)</f>
        <v>Stock</v>
      </c>
      <c r="G448" s="18" cm="1">
        <f t="array" aca="1" ref="G448" ca="1">_FV(Table19[[#This Row],[Assets]],"Price")</f>
        <v>467.07499999999999</v>
      </c>
      <c r="H448" s="36">
        <f>IFERROR(VLOOKUP(Table19[[#This Row],[Assets]],Table25[#All],15,FALSE),"")</f>
        <v>287.53799999999995</v>
      </c>
      <c r="I448" s="36">
        <f>IFERROR(VLOOKUP(Table19[[#This Row],[Assets]],Table25[#All],16,FALSE),0)</f>
        <v>525.41000000000031</v>
      </c>
      <c r="J448" s="84">
        <f ca="1">IFERROR((Table19[[#This Row],[Price]]-Table19[[#This Row],[Ave Entry]])/Table19[[#This Row],[Ave Entry]],"")</f>
        <v>0.62439399314177624</v>
      </c>
      <c r="K448" s="92">
        <f ca="1">IFERROR((Table19[[#This Row],[Price]]-Table19[[#This Row],[Ave Entry]])*Table19[[#This Row],[Num of Stocks]],0)</f>
        <v>0</v>
      </c>
      <c r="L448" s="38" cm="1">
        <f t="array" aca="1" ref="L448" ca="1">_FV(Table19[[#This Row],[Assets]],"Change (%)",TRUE)</f>
        <v>2.2941E-2</v>
      </c>
      <c r="M448" s="36">
        <f>SUMIF(Table20[Asset],Table19[[#This Row],[Assets]],Table20[realized_profit])</f>
        <v>0</v>
      </c>
      <c r="N448" s="36">
        <f>SUMIF(Table20[[#All],[Asset]],Table19[[#This Row],[Assets]],Table20[[#All],[delta_exposure]])</f>
        <v>0</v>
      </c>
      <c r="O448" s="98">
        <f ca="1">Table19[[#This Row],[Option Exposure]]/$B$6</f>
        <v>0</v>
      </c>
      <c r="P448" s="51">
        <f>SUMIF(Table25[[#All],[Assets]],Table19[[#This Row],[Assets]],Table25[[#All],[Number of stocks]])</f>
        <v>0</v>
      </c>
      <c r="Q448" s="36">
        <f ca="1">Table19[[#This Row],[Num of Stocks]]*Table19[[#This Row],[Price]]</f>
        <v>0</v>
      </c>
      <c r="R448" s="36">
        <f ca="1">Table19[[#This Row],[Stock Exposure]]+Table19[[#This Row],[Option Exposure]]</f>
        <v>0</v>
      </c>
      <c r="S448" s="108">
        <f>IFERROR(Table19[[#This Row],[Num of Stocks]]*Table19[[#This Row],[Ave Entry]],"")</f>
        <v>0</v>
      </c>
      <c r="T448" s="39">
        <f ca="1">Table19[[#This Row],[Combined Exposure]]/$C$8</f>
        <v>0</v>
      </c>
    </row>
    <row r="449" spans="1:20">
      <c r="A449" t="e" vm="475">
        <v>#VALUE!</v>
      </c>
      <c r="B449" s="13" t="str" cm="1">
        <f t="array" aca="1" ref="B449" ca="1">_FV(A449,"Ticker symbol",TRUE)</f>
        <v>BLND</v>
      </c>
      <c r="C449" s="13" t="s">
        <v>86</v>
      </c>
      <c r="D449" s="13" t="s">
        <v>54</v>
      </c>
      <c r="E449" s="19" cm="1">
        <f t="array" aca="1" ref="E449" ca="1">IFERROR(_FV(A449,"Beta"),2)</f>
        <v>1.2403</v>
      </c>
      <c r="F449" s="13" t="str" cm="1">
        <f t="array" aca="1" ref="F449" ca="1">_FV(A449,"Instrument type",TRUE)</f>
        <v>Stock</v>
      </c>
      <c r="G449" s="18" cm="1">
        <f t="array" aca="1" ref="G449" ca="1">_FV(Table19[[#This Row],[Assets]],"Price")</f>
        <v>1.75</v>
      </c>
      <c r="H449" s="36" t="str">
        <f>IFERROR(VLOOKUP(Table19[[#This Row],[Assets]],Table25[#All],15,FALSE),"")</f>
        <v/>
      </c>
      <c r="I449" s="36">
        <f>IFERROR(VLOOKUP(Table19[[#This Row],[Assets]],Table25[#All],16,FALSE),0)</f>
        <v>0</v>
      </c>
      <c r="J449" s="84" t="str">
        <f ca="1">IFERROR((Table19[[#This Row],[Price]]-Table19[[#This Row],[Ave Entry]])/Table19[[#This Row],[Ave Entry]],"")</f>
        <v/>
      </c>
      <c r="K449" s="92">
        <f ca="1">IFERROR((Table19[[#This Row],[Price]]-Table19[[#This Row],[Ave Entry]])*Table19[[#This Row],[Num of Stocks]],0)</f>
        <v>0</v>
      </c>
      <c r="L449" s="38" cm="1">
        <f t="array" aca="1" ref="L449" ca="1">_FV(Table19[[#This Row],[Assets]],"Change (%)",TRUE)</f>
        <v>5.4217000000000001E-2</v>
      </c>
      <c r="M449" s="36">
        <f>SUMIF(Table20[Asset],Table19[[#This Row],[Assets]],Table20[realized_profit])</f>
        <v>0</v>
      </c>
      <c r="N449" s="36">
        <f>SUMIF(Table20[[#All],[Asset]],Table19[[#This Row],[Assets]],Table20[[#All],[delta_exposure]])</f>
        <v>0</v>
      </c>
      <c r="O449" s="38">
        <f ca="1">Table19[[#This Row],[Option Exposure]]/$B$6</f>
        <v>0</v>
      </c>
      <c r="P449" s="51">
        <f>SUMIF(Table25[[#All],[Assets]],Table19[[#This Row],[Assets]],Table25[[#All],[Number of stocks]])</f>
        <v>0</v>
      </c>
      <c r="Q449" s="36">
        <f ca="1">Table19[[#This Row],[Num of Stocks]]*Table19[[#This Row],[Price]]</f>
        <v>0</v>
      </c>
      <c r="R449" s="36">
        <f ca="1">Table19[[#This Row],[Stock Exposure]]+Table19[[#This Row],[Option Exposure]]</f>
        <v>0</v>
      </c>
      <c r="S449" s="108" t="str">
        <f>IFERROR(Table19[[#This Row],[Num of Stocks]]*Table19[[#This Row],[Ave Entry]],"")</f>
        <v/>
      </c>
      <c r="T449" s="39">
        <f ca="1">Table19[[#This Row],[Combined Exposure]]/$C$8</f>
        <v>0</v>
      </c>
    </row>
    <row r="450" spans="1:20">
      <c r="A450" t="e" vm="476">
        <v>#VALUE!</v>
      </c>
      <c r="B450" s="13" t="str" cm="1">
        <f t="array" aca="1" ref="B450" ca="1">_FV(A450,"Ticker symbol",TRUE)</f>
        <v>FLYW</v>
      </c>
      <c r="C450" s="13" t="s">
        <v>54</v>
      </c>
      <c r="D450" s="13" t="s">
        <v>457</v>
      </c>
      <c r="E450" s="19" cm="1">
        <f t="array" aca="1" ref="E450" ca="1">IFERROR(_FV(A450,"Beta"),2)</f>
        <v>1.2403</v>
      </c>
      <c r="F450" s="13" t="str" cm="1">
        <f t="array" aca="1" ref="F450" ca="1">_FV(A450,"Instrument type",TRUE)</f>
        <v>Stock</v>
      </c>
      <c r="G450" s="18" cm="1">
        <f t="array" aca="1" ref="G450" ca="1">_FV(Table19[[#This Row],[Assets]],"Price")</f>
        <v>12.46</v>
      </c>
      <c r="H450" s="36" t="str">
        <f>IFERROR(VLOOKUP(Table19[[#This Row],[Assets]],Table25[#All],15,FALSE),"")</f>
        <v/>
      </c>
      <c r="I450" s="36">
        <f>IFERROR(VLOOKUP(Table19[[#This Row],[Assets]],Table25[#All],16,FALSE),0)</f>
        <v>0</v>
      </c>
      <c r="J450" s="84" t="str">
        <f ca="1">IFERROR((Table19[[#This Row],[Price]]-Table19[[#This Row],[Ave Entry]])/Table19[[#This Row],[Ave Entry]],"")</f>
        <v/>
      </c>
      <c r="K450" s="92">
        <f ca="1">IFERROR((Table19[[#This Row],[Price]]-Table19[[#This Row],[Ave Entry]])*Table19[[#This Row],[Num of Stocks]],0)</f>
        <v>0</v>
      </c>
      <c r="L450" s="38" cm="1">
        <f t="array" aca="1" ref="L450" ca="1">_FV(Table19[[#This Row],[Assets]],"Change (%)",TRUE)</f>
        <v>1.2185E-2</v>
      </c>
      <c r="M450" s="36">
        <f>SUMIF(Table20[Asset],Table19[[#This Row],[Assets]],Table20[realized_profit])</f>
        <v>0</v>
      </c>
      <c r="N450" s="36">
        <f>SUMIF(Table20[[#All],[Asset]],Table19[[#This Row],[Assets]],Table20[[#All],[delta_exposure]])</f>
        <v>0</v>
      </c>
      <c r="O450" s="38">
        <f ca="1">Table19[[#This Row],[Option Exposure]]/$B$6</f>
        <v>0</v>
      </c>
      <c r="P450" s="51">
        <f>SUMIF(Table25[[#All],[Assets]],Table19[[#This Row],[Assets]],Table25[[#All],[Number of stocks]])</f>
        <v>0</v>
      </c>
      <c r="Q450" s="36">
        <f ca="1">Table19[[#This Row],[Num of Stocks]]*Table19[[#This Row],[Price]]</f>
        <v>0</v>
      </c>
      <c r="R450" s="36">
        <f ca="1">Table19[[#This Row],[Stock Exposure]]+Table19[[#This Row],[Option Exposure]]</f>
        <v>0</v>
      </c>
      <c r="S450" s="108" t="str">
        <f>IFERROR(Table19[[#This Row],[Num of Stocks]]*Table19[[#This Row],[Ave Entry]],"")</f>
        <v/>
      </c>
      <c r="T450" s="39">
        <f ca="1">Table19[[#This Row],[Combined Exposure]]/$C$8</f>
        <v>0</v>
      </c>
    </row>
    <row r="451" spans="1:20">
      <c r="A451" t="e" vm="477">
        <v>#VALUE!</v>
      </c>
      <c r="B451" s="13" t="str" cm="1">
        <f t="array" aca="1" ref="B451" ca="1">_FV(A451,"Ticker symbol",TRUE)</f>
        <v>FN</v>
      </c>
      <c r="C451" s="13" t="s">
        <v>258</v>
      </c>
      <c r="D451" s="13" t="s">
        <v>29</v>
      </c>
      <c r="E451" s="19" cm="1">
        <f t="array" aca="1" ref="E451" ca="1">IFERROR(_FV(A451,"Beta"),2)</f>
        <v>0.96289999999999998</v>
      </c>
      <c r="F451" s="13" t="str" cm="1">
        <f t="array" aca="1" ref="F451" ca="1">_FV(A451,"Instrument type",TRUE)</f>
        <v>Stock</v>
      </c>
      <c r="G451" s="18" cm="1">
        <f t="array" aca="1" ref="G451" ca="1">_FV(Table19[[#This Row],[Assets]],"Price")</f>
        <v>622.67999999999995</v>
      </c>
      <c r="H451" s="36" t="str">
        <f>IFERROR(VLOOKUP(Table19[[#This Row],[Assets]],Table25[#All],15,FALSE),"")</f>
        <v/>
      </c>
      <c r="I451" s="36">
        <f>IFERROR(VLOOKUP(Table19[[#This Row],[Assets]],Table25[#All],16,FALSE),0)</f>
        <v>0</v>
      </c>
      <c r="J451" s="84" t="str">
        <f ca="1">IFERROR((Table19[[#This Row],[Price]]-Table19[[#This Row],[Ave Entry]])/Table19[[#This Row],[Ave Entry]],"")</f>
        <v/>
      </c>
      <c r="K451" s="92">
        <f ca="1">IFERROR((Table19[[#This Row],[Price]]-Table19[[#This Row],[Ave Entry]])*Table19[[#This Row],[Num of Stocks]],0)</f>
        <v>0</v>
      </c>
      <c r="L451" s="38" cm="1">
        <f t="array" aca="1" ref="L451" ca="1">_FV(Table19[[#This Row],[Assets]],"Change (%)",TRUE)</f>
        <v>3.6227999999999996E-2</v>
      </c>
      <c r="M451" s="36">
        <f>SUMIF(Table20[Asset],Table19[[#This Row],[Assets]],Table20[realized_profit])</f>
        <v>0</v>
      </c>
      <c r="N451" s="36">
        <f>SUMIF(Table20[[#All],[Asset]],Table19[[#This Row],[Assets]],Table20[[#All],[delta_exposure]])</f>
        <v>0</v>
      </c>
      <c r="O451" s="38">
        <f ca="1">Table19[[#This Row],[Option Exposure]]/$B$6</f>
        <v>0</v>
      </c>
      <c r="P451" s="51">
        <f>SUMIF(Table25[[#All],[Assets]],Table19[[#This Row],[Assets]],Table25[[#All],[Number of stocks]])</f>
        <v>0</v>
      </c>
      <c r="Q451" s="36">
        <f ca="1">Table19[[#This Row],[Num of Stocks]]*Table19[[#This Row],[Price]]</f>
        <v>0</v>
      </c>
      <c r="R451" s="36">
        <f ca="1">Table19[[#This Row],[Stock Exposure]]+Table19[[#This Row],[Option Exposure]]</f>
        <v>0</v>
      </c>
      <c r="S451" s="108" t="str">
        <f>IFERROR(Table19[[#This Row],[Num of Stocks]]*Table19[[#This Row],[Ave Entry]],"")</f>
        <v/>
      </c>
      <c r="T451" s="39">
        <f ca="1">Table19[[#This Row],[Combined Exposure]]/$C$8</f>
        <v>0</v>
      </c>
    </row>
    <row r="452" spans="1:20">
      <c r="A452" t="e" vm="478">
        <v>#VALUE!</v>
      </c>
      <c r="B452" s="13" t="str" cm="1">
        <f t="array" aca="1" ref="B452" ca="1">_FV(A452,"Ticker symbol",TRUE)</f>
        <v>TM</v>
      </c>
      <c r="C452" s="13" t="s">
        <v>120</v>
      </c>
      <c r="D452" s="13" t="s">
        <v>137</v>
      </c>
      <c r="E452" s="19" cm="1">
        <f t="array" aca="1" ref="E452" ca="1">IFERROR(_FV(A452,"Beta"),2)</f>
        <v>0.66690000000000005</v>
      </c>
      <c r="F452" s="13" t="str" cm="1">
        <f t="array" aca="1" ref="F452" ca="1">_FV(A452,"Instrument type",TRUE)</f>
        <v>Stock</v>
      </c>
      <c r="G452" s="18" cm="1">
        <f t="array" aca="1" ref="G452" ca="1">_FV(Table19[[#This Row],[Assets]],"Price")</f>
        <v>211.8921</v>
      </c>
      <c r="H452" s="36">
        <f>IFERROR(VLOOKUP(Table19[[#This Row],[Assets]],Table25[#All],15,FALSE),"")</f>
        <v>218.60285714285715</v>
      </c>
      <c r="I452" s="36">
        <f>IFERROR(VLOOKUP(Table19[[#This Row],[Assets]],Table25[#All],16,FALSE),0)</f>
        <v>-268.10000000000008</v>
      </c>
      <c r="J452" s="84">
        <f ca="1">IFERROR((Table19[[#This Row],[Price]]-Table19[[#This Row],[Ave Entry]])/Table19[[#This Row],[Ave Entry]],"")</f>
        <v>-3.069839630902748E-2</v>
      </c>
      <c r="K452" s="92">
        <f ca="1">IFERROR((Table19[[#This Row],[Price]]-Table19[[#This Row],[Ave Entry]])*Table19[[#This Row],[Num of Stocks]],0)</f>
        <v>0</v>
      </c>
      <c r="L452" s="38" cm="1">
        <f t="array" aca="1" ref="L452" ca="1">_FV(Table19[[#This Row],[Assets]],"Change (%)",TRUE)</f>
        <v>1.0067999999999999E-2</v>
      </c>
      <c r="M452" s="36">
        <f>SUMIF(Table20[Asset],Table19[[#This Row],[Assets]],Table20[realized_profit])</f>
        <v>0</v>
      </c>
      <c r="N452" s="36">
        <f>SUMIF(Table20[[#All],[Asset]],Table19[[#This Row],[Assets]],Table20[[#All],[delta_exposure]])</f>
        <v>0</v>
      </c>
      <c r="O452" s="98">
        <f ca="1">Table19[[#This Row],[Option Exposure]]/$B$6</f>
        <v>0</v>
      </c>
      <c r="P452" s="51">
        <f>SUMIF(Table25[[#All],[Assets]],Table19[[#This Row],[Assets]],Table25[[#All],[Number of stocks]])</f>
        <v>0</v>
      </c>
      <c r="Q452" s="36">
        <f ca="1">Table19[[#This Row],[Num of Stocks]]*Table19[[#This Row],[Price]]</f>
        <v>0</v>
      </c>
      <c r="R452" s="36">
        <f ca="1">Table19[[#This Row],[Stock Exposure]]+Table19[[#This Row],[Option Exposure]]</f>
        <v>0</v>
      </c>
      <c r="S452" s="108">
        <f>IFERROR(Table19[[#This Row],[Num of Stocks]]*Table19[[#This Row],[Ave Entry]],"")</f>
        <v>0</v>
      </c>
      <c r="T452" s="39">
        <f ca="1">Table19[[#This Row],[Combined Exposure]]/$C$8</f>
        <v>0</v>
      </c>
    </row>
    <row r="453" spans="1:20">
      <c r="A453" t="e" vm="479">
        <v>#VALUE!</v>
      </c>
      <c r="B453" s="13" t="str" cm="1">
        <f t="array" aca="1" ref="B453" ca="1">_FV(A453,"Ticker symbol",TRUE)</f>
        <v>MOS</v>
      </c>
      <c r="C453" s="13" t="s">
        <v>129</v>
      </c>
      <c r="D453" s="13" t="s">
        <v>28</v>
      </c>
      <c r="E453" s="19" cm="1">
        <f t="array" aca="1" ref="E453" ca="1">IFERROR(_FV(A453,"Beta"),2)</f>
        <v>0.96930000000000005</v>
      </c>
      <c r="F453" s="13" t="str" cm="1">
        <f t="array" aca="1" ref="F453" ca="1">_FV(A453,"Instrument type",TRUE)</f>
        <v>Stock</v>
      </c>
      <c r="G453" s="18" cm="1">
        <f t="array" aca="1" ref="G453" ca="1">_FV(Table19[[#This Row],[Assets]],"Price")</f>
        <v>24.914999999999999</v>
      </c>
      <c r="H453" s="36">
        <f>IFERROR(VLOOKUP(Table19[[#This Row],[Assets]],Table25[#All],15,FALSE),"")</f>
        <v>32.96</v>
      </c>
      <c r="I453" s="36">
        <f>IFERROR(VLOOKUP(Table19[[#This Row],[Assets]],Table25[#All],16,FALSE),0)</f>
        <v>-130.5</v>
      </c>
      <c r="J453" s="84">
        <f ca="1">IFERROR((Table19[[#This Row],[Price]]-Table19[[#This Row],[Ave Entry]])/Table19[[#This Row],[Ave Entry]],"")</f>
        <v>-0.24408373786407772</v>
      </c>
      <c r="K453" s="92">
        <f ca="1">IFERROR((Table19[[#This Row],[Price]]-Table19[[#This Row],[Ave Entry]])*Table19[[#This Row],[Num of Stocks]],0)</f>
        <v>0</v>
      </c>
      <c r="L453" s="38" cm="1">
        <f t="array" aca="1" ref="L453" ca="1">_FV(Table19[[#This Row],[Assets]],"Change (%)",TRUE)</f>
        <v>-1.1310000000000001E-2</v>
      </c>
      <c r="M453" s="36">
        <f>SUMIF(Table20[Asset],Table19[[#This Row],[Assets]],Table20[realized_profit])</f>
        <v>0</v>
      </c>
      <c r="N453" s="36">
        <f>SUMIF(Table20[[#All],[Asset]],Table19[[#This Row],[Assets]],Table20[[#All],[delta_exposure]])</f>
        <v>0</v>
      </c>
      <c r="O453" s="98">
        <f ca="1">Table19[[#This Row],[Option Exposure]]/$B$6</f>
        <v>0</v>
      </c>
      <c r="P453" s="51">
        <f>SUMIF(Table25[[#All],[Assets]],Table19[[#This Row],[Assets]],Table25[[#All],[Number of stocks]])</f>
        <v>0</v>
      </c>
      <c r="Q453" s="36">
        <f ca="1">Table19[[#This Row],[Num of Stocks]]*Table19[[#This Row],[Price]]</f>
        <v>0</v>
      </c>
      <c r="R453" s="36">
        <f ca="1">Table19[[#This Row],[Stock Exposure]]+Table19[[#This Row],[Option Exposure]]</f>
        <v>0</v>
      </c>
      <c r="S453" s="108">
        <f>IFERROR(Table19[[#This Row],[Num of Stocks]]*Table19[[#This Row],[Ave Entry]],"")</f>
        <v>0</v>
      </c>
      <c r="T453" s="39">
        <f ca="1">Table19[[#This Row],[Combined Exposure]]/$C$8</f>
        <v>0</v>
      </c>
    </row>
    <row r="454" spans="1:20">
      <c r="A454" t="e" vm="117">
        <v>#VALUE!</v>
      </c>
      <c r="B454" s="13" t="str" cm="1">
        <f t="array" aca="1" ref="B454" ca="1">_FV(A454,"Ticker symbol",TRUE)</f>
        <v>TXN</v>
      </c>
      <c r="C454" s="13" t="s">
        <v>83</v>
      </c>
      <c r="D454" s="13" t="s">
        <v>84</v>
      </c>
      <c r="E454" s="19" cm="1">
        <f t="array" aca="1" ref="E454" ca="1">IFERROR(_FV(A454,"Beta"),2)</f>
        <v>0.99450000000000005</v>
      </c>
      <c r="F454" s="13" t="str" cm="1">
        <f t="array" aca="1" ref="F454" ca="1">_FV(A454,"Instrument type",TRUE)</f>
        <v>Stock</v>
      </c>
      <c r="G454" s="18" cm="1">
        <f t="array" aca="1" ref="G454" ca="1">_FV(Table19[[#This Row],[Assets]],"Price")</f>
        <v>196.63</v>
      </c>
      <c r="H454" s="36" t="str">
        <f>IFERROR(VLOOKUP(Table19[[#This Row],[Assets]],Table25[#All],15,FALSE),"")</f>
        <v/>
      </c>
      <c r="I454" s="36">
        <f>IFERROR(VLOOKUP(Table19[[#This Row],[Assets]],Table25[#All],16,FALSE),0)</f>
        <v>0</v>
      </c>
      <c r="J454" s="84" t="str">
        <f ca="1">IFERROR((Table19[[#This Row],[Price]]-Table19[[#This Row],[Ave Entry]])/Table19[[#This Row],[Ave Entry]],"")</f>
        <v/>
      </c>
      <c r="K454" s="92">
        <f ca="1">IFERROR((Table19[[#This Row],[Price]]-Table19[[#This Row],[Ave Entry]])*Table19[[#This Row],[Num of Stocks]],0)</f>
        <v>0</v>
      </c>
      <c r="L454" s="38" cm="1">
        <f t="array" aca="1" ref="L454" ca="1">_FV(Table19[[#This Row],[Assets]],"Change (%)",TRUE)</f>
        <v>1.0276E-2</v>
      </c>
      <c r="M454" s="36">
        <f>SUMIF(Table20[Asset],Table19[[#This Row],[Assets]],Table20[realized_profit])</f>
        <v>0</v>
      </c>
      <c r="N454" s="36">
        <f>SUMIF(Table20[[#All],[Asset]],Table19[[#This Row],[Assets]],Table20[[#All],[delta_exposure]])</f>
        <v>0</v>
      </c>
      <c r="O454" s="38">
        <f ca="1">Table19[[#This Row],[Option Exposure]]/$B$6</f>
        <v>0</v>
      </c>
      <c r="P454" s="51">
        <f>SUMIF(Table25[[#All],[Assets]],Table19[[#This Row],[Assets]],Table25[[#All],[Number of stocks]])</f>
        <v>0</v>
      </c>
      <c r="Q454" s="36">
        <f ca="1">Table19[[#This Row],[Num of Stocks]]*Table19[[#This Row],[Price]]</f>
        <v>0</v>
      </c>
      <c r="R454" s="36">
        <f ca="1">Table19[[#This Row],[Stock Exposure]]+Table19[[#This Row],[Option Exposure]]</f>
        <v>0</v>
      </c>
      <c r="S454" s="108" t="str">
        <f>IFERROR(Table19[[#This Row],[Num of Stocks]]*Table19[[#This Row],[Ave Entry]],"")</f>
        <v/>
      </c>
      <c r="T454" s="39">
        <f ca="1">Table19[[#This Row],[Combined Exposure]]/$C$8</f>
        <v>0</v>
      </c>
    </row>
    <row r="455" spans="1:20">
      <c r="A455" t="e" vm="140">
        <v>#VALUE!</v>
      </c>
      <c r="B455" s="13" t="str" cm="1">
        <f t="array" aca="1" ref="B455" ca="1">_FV(A455,"Ticker symbol",TRUE)</f>
        <v>WDC</v>
      </c>
      <c r="C455" s="13" t="s">
        <v>446</v>
      </c>
      <c r="D455" s="13" t="s">
        <v>257</v>
      </c>
      <c r="E455" s="19" cm="1">
        <f t="array" aca="1" ref="E455" ca="1">IFERROR(_FV(A455,"Beta"),2)</f>
        <v>1.7298</v>
      </c>
      <c r="F455" s="13" t="str" cm="1">
        <f t="array" aca="1" ref="F455" ca="1">_FV(A455,"Instrument type",TRUE)</f>
        <v>Stock</v>
      </c>
      <c r="G455" s="18" cm="1">
        <f t="array" aca="1" ref="G455" ca="1">_FV(Table19[[#This Row],[Assets]],"Price")</f>
        <v>298.36009999999999</v>
      </c>
      <c r="H455" s="36" t="str">
        <f>IFERROR(VLOOKUP(Table19[[#This Row],[Assets]],Table25[#All],15,FALSE),"")</f>
        <v/>
      </c>
      <c r="I455" s="36">
        <f>IFERROR(VLOOKUP(Table19[[#This Row],[Assets]],Table25[#All],16,FALSE),0)</f>
        <v>0</v>
      </c>
      <c r="J455" s="84" t="str">
        <f ca="1">IFERROR((Table19[[#This Row],[Price]]-Table19[[#This Row],[Ave Entry]])/Table19[[#This Row],[Ave Entry]],"")</f>
        <v/>
      </c>
      <c r="K455" s="92">
        <f ca="1">IFERROR((Table19[[#This Row],[Price]]-Table19[[#This Row],[Ave Entry]])*Table19[[#This Row],[Num of Stocks]],0)</f>
        <v>0</v>
      </c>
      <c r="L455" s="38" cm="1">
        <f t="array" aca="1" ref="L455" ca="1">_FV(Table19[[#This Row],[Assets]],"Change (%)",TRUE)</f>
        <v>-8.9350000000000002E-3</v>
      </c>
      <c r="M455" s="36">
        <f>SUMIF(Table20[Asset],Table19[[#This Row],[Assets]],Table20[realized_profit])</f>
        <v>0</v>
      </c>
      <c r="N455" s="36">
        <f>SUMIF(Table20[[#All],[Asset]],Table19[[#This Row],[Assets]],Table20[[#All],[delta_exposure]])</f>
        <v>0</v>
      </c>
      <c r="O455" s="38">
        <f ca="1">Table19[[#This Row],[Option Exposure]]/$B$6</f>
        <v>0</v>
      </c>
      <c r="P455" s="51">
        <f>SUMIF(Table25[[#All],[Assets]],Table19[[#This Row],[Assets]],Table25[[#All],[Number of stocks]])</f>
        <v>0</v>
      </c>
      <c r="Q455" s="36">
        <f ca="1">Table19[[#This Row],[Num of Stocks]]*Table19[[#This Row],[Price]]</f>
        <v>0</v>
      </c>
      <c r="R455" s="36">
        <f ca="1">Table19[[#This Row],[Stock Exposure]]+Table19[[#This Row],[Option Exposure]]</f>
        <v>0</v>
      </c>
      <c r="S455" s="108" t="str">
        <f>IFERROR(Table19[[#This Row],[Num of Stocks]]*Table19[[#This Row],[Ave Entry]],"")</f>
        <v/>
      </c>
      <c r="T455" s="39">
        <f ca="1">Table19[[#This Row],[Combined Exposure]]/$C$8</f>
        <v>0</v>
      </c>
    </row>
    <row r="456" spans="1:20">
      <c r="A456" t="e" vm="480">
        <v>#VALUE!</v>
      </c>
      <c r="B456" s="13" t="str" cm="1">
        <f t="array" aca="1" ref="B456" ca="1">_FV(A456,"Ticker symbol",TRUE)</f>
        <v>ASX</v>
      </c>
      <c r="C456" s="13" t="s">
        <v>84</v>
      </c>
      <c r="D456" s="13" t="s">
        <v>84</v>
      </c>
      <c r="E456" s="19" cm="1">
        <f t="array" aca="1" ref="E456" ca="1">IFERROR(_FV(A456,"Beta"),2)</f>
        <v>1.4843</v>
      </c>
      <c r="F456" s="13" t="str" cm="1">
        <f t="array" aca="1" ref="F456" ca="1">_FV(A456,"Instrument type",TRUE)</f>
        <v>Stock</v>
      </c>
      <c r="G456" s="18" cm="1">
        <f t="array" aca="1" ref="G456" ca="1">_FV(Table19[[#This Row],[Assets]],"Price")</f>
        <v>22.408000000000001</v>
      </c>
      <c r="H456" s="36" t="str">
        <f>IFERROR(VLOOKUP(Table19[[#This Row],[Assets]],Table25[#All],15,FALSE),"")</f>
        <v/>
      </c>
      <c r="I456" s="36">
        <f>IFERROR(VLOOKUP(Table19[[#This Row],[Assets]],Table25[#All],16,FALSE),0)</f>
        <v>0</v>
      </c>
      <c r="J456" s="84" t="str">
        <f ca="1">IFERROR((Table19[[#This Row],[Price]]-Table19[[#This Row],[Ave Entry]])/Table19[[#This Row],[Ave Entry]],"")</f>
        <v/>
      </c>
      <c r="K456" s="92">
        <f ca="1">IFERROR((Table19[[#This Row],[Price]]-Table19[[#This Row],[Ave Entry]])*Table19[[#This Row],[Num of Stocks]],0)</f>
        <v>0</v>
      </c>
      <c r="L456" s="38" cm="1">
        <f t="array" aca="1" ref="L456" ca="1">_FV(Table19[[#This Row],[Assets]],"Change (%)",TRUE)</f>
        <v>4.0780000000000004E-2</v>
      </c>
      <c r="M456" s="36">
        <f>SUMIF(Table20[Asset],Table19[[#This Row],[Assets]],Table20[realized_profit])</f>
        <v>0</v>
      </c>
      <c r="N456" s="36">
        <f>SUMIF(Table20[[#All],[Asset]],Table19[[#This Row],[Assets]],Table20[[#All],[delta_exposure]])</f>
        <v>0</v>
      </c>
      <c r="O456" s="38">
        <f ca="1">Table19[[#This Row],[Option Exposure]]/$B$6</f>
        <v>0</v>
      </c>
      <c r="P456" s="51">
        <f>SUMIF(Table25[[#All],[Assets]],Table19[[#This Row],[Assets]],Table25[[#All],[Number of stocks]])</f>
        <v>0</v>
      </c>
      <c r="Q456" s="36">
        <f ca="1">Table19[[#This Row],[Num of Stocks]]*Table19[[#This Row],[Price]]</f>
        <v>0</v>
      </c>
      <c r="R456" s="36">
        <f ca="1">Table19[[#This Row],[Stock Exposure]]+Table19[[#This Row],[Option Exposure]]</f>
        <v>0</v>
      </c>
      <c r="S456" s="108" t="str">
        <f>IFERROR(Table19[[#This Row],[Num of Stocks]]*Table19[[#This Row],[Ave Entry]],"")</f>
        <v/>
      </c>
      <c r="T456" s="39">
        <f ca="1">Table19[[#This Row],[Combined Exposure]]/$C$8</f>
        <v>0</v>
      </c>
    </row>
    <row r="457" spans="1:20">
      <c r="A457" t="e" vm="105">
        <v>#VALUE!</v>
      </c>
      <c r="B457" s="13" t="str" cm="1">
        <f t="array" aca="1" ref="B457" ca="1">_FV(A457,"Ticker symbol",TRUE)</f>
        <v>NFLX</v>
      </c>
      <c r="C457" s="13" t="s">
        <v>55</v>
      </c>
      <c r="D457" s="13" t="s">
        <v>29</v>
      </c>
      <c r="E457" s="19" cm="1">
        <f t="array" aca="1" ref="E457" ca="1">IFERROR(_FV(A457,"Beta"),2)</f>
        <v>1.702</v>
      </c>
      <c r="F457" s="13" t="str" cm="1">
        <f t="array" aca="1" ref="F457" ca="1">_FV(A457,"Instrument type",TRUE)</f>
        <v>Stock</v>
      </c>
      <c r="G457" s="18" cm="1">
        <f t="array" aca="1" ref="G457" ca="1">_FV(Table19[[#This Row],[Assets]],"Price")</f>
        <v>92.12</v>
      </c>
      <c r="H457" s="36" t="str">
        <f>IFERROR(VLOOKUP(Table19[[#This Row],[Assets]],Table25[#All],15,FALSE),"")</f>
        <v/>
      </c>
      <c r="I457" s="36">
        <f>IFERROR(VLOOKUP(Table19[[#This Row],[Assets]],Table25[#All],16,FALSE),0)</f>
        <v>0</v>
      </c>
      <c r="J457" s="84" t="str">
        <f ca="1">IFERROR((Table19[[#This Row],[Price]]-Table19[[#This Row],[Ave Entry]])/Table19[[#This Row],[Ave Entry]],"")</f>
        <v/>
      </c>
      <c r="K457" s="92">
        <f ca="1">IFERROR((Table19[[#This Row],[Price]]-Table19[[#This Row],[Ave Entry]])*Table19[[#This Row],[Num of Stocks]],0)</f>
        <v>0</v>
      </c>
      <c r="L457" s="38" cm="1">
        <f t="array" aca="1" ref="L457" ca="1">_FV(Table19[[#This Row],[Assets]],"Change (%)",TRUE)</f>
        <v>1.3198000000000001E-2</v>
      </c>
      <c r="M457" s="36">
        <f>SUMIF(Table20[Asset],Table19[[#This Row],[Assets]],Table20[realized_profit])</f>
        <v>331</v>
      </c>
      <c r="N457" s="36">
        <f ca="1">SUMIF(Table20[[#All],[Asset]],Table19[[#This Row],[Assets]],Table20[[#All],[delta_exposure]])</f>
        <v>0</v>
      </c>
      <c r="O457" s="38">
        <f ca="1">Table19[[#This Row],[Option Exposure]]/$B$6</f>
        <v>0</v>
      </c>
      <c r="P457" s="51">
        <f>SUMIF(Table25[[#All],[Assets]],Table19[[#This Row],[Assets]],Table25[[#All],[Number of stocks]])</f>
        <v>0</v>
      </c>
      <c r="Q457" s="36">
        <f ca="1">Table19[[#This Row],[Num of Stocks]]*Table19[[#This Row],[Price]]</f>
        <v>0</v>
      </c>
      <c r="R457" s="36">
        <f ca="1">Table19[[#This Row],[Stock Exposure]]+Table19[[#This Row],[Option Exposure]]</f>
        <v>0</v>
      </c>
      <c r="S457" s="108" t="str">
        <f>IFERROR(Table19[[#This Row],[Num of Stocks]]*Table19[[#This Row],[Ave Entry]],"")</f>
        <v/>
      </c>
      <c r="T457" s="39">
        <f ca="1">Table19[[#This Row],[Combined Exposure]]/$C$8</f>
        <v>0</v>
      </c>
    </row>
    <row r="458" spans="1:20">
      <c r="A458" t="e" vm="481">
        <v>#VALUE!</v>
      </c>
      <c r="B458" s="13" t="str" cm="1">
        <f t="array" aca="1" ref="B458" ca="1">_FV(A458,"Ticker symbol",TRUE)</f>
        <v>DBA</v>
      </c>
      <c r="C458" s="13" t="s">
        <v>25</v>
      </c>
      <c r="D458" s="13" t="s">
        <v>25</v>
      </c>
      <c r="E458" s="19" cm="1">
        <f t="array" aca="1" ref="E458" ca="1">IFERROR(_FV(A458,"Beta"),2)</f>
        <v>0.59940000000000004</v>
      </c>
      <c r="F458" s="13" t="str" cm="1">
        <f t="array" aca="1" ref="F458" ca="1">_FV(A458,"Instrument type",TRUE)</f>
        <v>ETF</v>
      </c>
      <c r="G458" s="18" cm="1">
        <f t="array" aca="1" ref="G458" ca="1">_FV(Table19[[#This Row],[Assets]],"Price")</f>
        <v>26.864999999999998</v>
      </c>
      <c r="H458" s="36">
        <f>IFERROR(VLOOKUP(Table19[[#This Row],[Assets]],Table25[#All],15,FALSE),"")</f>
        <v>24.52</v>
      </c>
      <c r="I458" s="36">
        <f>IFERROR(VLOOKUP(Table19[[#This Row],[Assets]],Table25[#All],16,FALSE),0)</f>
        <v>11.999999999999993</v>
      </c>
      <c r="J458" s="84">
        <f ca="1">IFERROR((Table19[[#This Row],[Price]]-Table19[[#This Row],[Ave Entry]])/Table19[[#This Row],[Ave Entry]],"")</f>
        <v>9.5636215334420835E-2</v>
      </c>
      <c r="K458" s="92">
        <f ca="1">IFERROR((Table19[[#This Row],[Price]]-Table19[[#This Row],[Ave Entry]])*Table19[[#This Row],[Num of Stocks]],0)</f>
        <v>0</v>
      </c>
      <c r="L458" s="38" cm="1">
        <f t="array" aca="1" ref="L458" ca="1">_FV(Table19[[#This Row],[Assets]],"Change (%)",TRUE)</f>
        <v>-9.2969999999999999E-4</v>
      </c>
      <c r="M458" s="36">
        <f>SUMIF(Table20[Asset],Table19[[#This Row],[Assets]],Table20[realized_profit])</f>
        <v>0</v>
      </c>
      <c r="N458" s="36">
        <f>SUMIF(Table20[[#All],[Asset]],Table19[[#This Row],[Assets]],Table20[[#All],[delta_exposure]])</f>
        <v>0</v>
      </c>
      <c r="O458" s="98">
        <f ca="1">Table19[[#This Row],[Option Exposure]]/$B$6</f>
        <v>0</v>
      </c>
      <c r="P458" s="51">
        <f>SUMIF(Table25[[#All],[Assets]],Table19[[#This Row],[Assets]],Table25[[#All],[Number of stocks]])</f>
        <v>0</v>
      </c>
      <c r="Q458" s="36">
        <f ca="1">Table19[[#This Row],[Num of Stocks]]*Table19[[#This Row],[Price]]</f>
        <v>0</v>
      </c>
      <c r="R458" s="36">
        <f ca="1">Table19[[#This Row],[Stock Exposure]]+Table19[[#This Row],[Option Exposure]]</f>
        <v>0</v>
      </c>
      <c r="S458" s="108">
        <f>IFERROR(Table19[[#This Row],[Num of Stocks]]*Table19[[#This Row],[Ave Entry]],"")</f>
        <v>0</v>
      </c>
      <c r="T458" s="39">
        <f ca="1">Table19[[#This Row],[Combined Exposure]]/$C$8</f>
        <v>0</v>
      </c>
    </row>
    <row r="459" spans="1:20">
      <c r="A459" t="e" vm="20">
        <v>#VALUE!</v>
      </c>
      <c r="B459" s="13" t="str" cm="1">
        <f t="array" aca="1" ref="B459" ca="1">_FV(A459,"Ticker symbol",TRUE)</f>
        <v>LSCC</v>
      </c>
      <c r="C459" s="13" t="s">
        <v>84</v>
      </c>
      <c r="D459" s="13" t="s">
        <v>84</v>
      </c>
      <c r="E459" s="19" cm="1">
        <f t="array" aca="1" ref="E459" ca="1">IFERROR(_FV(A459,"Beta"),2)</f>
        <v>1.629</v>
      </c>
      <c r="F459" s="13" t="str" cm="1">
        <f t="array" aca="1" ref="F459" ca="1">_FV(A459,"Instrument type",TRUE)</f>
        <v>Stock</v>
      </c>
      <c r="G459" s="18" cm="1">
        <f t="array" aca="1" ref="G459" ca="1">_FV(Table19[[#This Row],[Assets]],"Price")</f>
        <v>100.285</v>
      </c>
      <c r="H459" s="36">
        <f>IFERROR(VLOOKUP(Table19[[#This Row],[Assets]],Table25[#All],15,FALSE),"")</f>
        <v>53.6</v>
      </c>
      <c r="I459" s="36">
        <f>IFERROR(VLOOKUP(Table19[[#This Row],[Assets]],Table25[#All],16,FALSE),0)</f>
        <v>-13.200000000000074</v>
      </c>
      <c r="J459" s="84">
        <f ca="1">IFERROR((Table19[[#This Row],[Price]]-Table19[[#This Row],[Ave Entry]])/Table19[[#This Row],[Ave Entry]],"")</f>
        <v>0.87098880597014916</v>
      </c>
      <c r="K459" s="92">
        <f ca="1">IFERROR((Table19[[#This Row],[Price]]-Table19[[#This Row],[Ave Entry]])*Table19[[#This Row],[Num of Stocks]],0)</f>
        <v>0</v>
      </c>
      <c r="L459" s="38" cm="1">
        <f t="array" aca="1" ref="L459" ca="1">_FV(Table19[[#This Row],[Assets]],"Change (%)",TRUE)</f>
        <v>1.8432E-2</v>
      </c>
      <c r="M459" s="36">
        <f>SUMIF(Table20[Asset],Table19[[#This Row],[Assets]],Table20[realized_profit])</f>
        <v>0</v>
      </c>
      <c r="N459" s="36">
        <f>SUMIF(Table20[[#All],[Asset]],Table19[[#This Row],[Assets]],Table20[[#All],[delta_exposure]])</f>
        <v>0</v>
      </c>
      <c r="O459" s="38">
        <f ca="1">Table19[[#This Row],[Option Exposure]]/$B$6</f>
        <v>0</v>
      </c>
      <c r="P459" s="51">
        <f>SUMIF(Table25[[#All],[Assets]],Table19[[#This Row],[Assets]],Table25[[#All],[Number of stocks]])</f>
        <v>0</v>
      </c>
      <c r="Q459" s="36">
        <f ca="1">Table19[[#This Row],[Num of Stocks]]*Table19[[#This Row],[Price]]</f>
        <v>0</v>
      </c>
      <c r="R459" s="36">
        <f ca="1">Table19[[#This Row],[Stock Exposure]]+Table19[[#This Row],[Option Exposure]]</f>
        <v>0</v>
      </c>
      <c r="S459" s="108">
        <f>IFERROR(Table19[[#This Row],[Num of Stocks]]*Table19[[#This Row],[Ave Entry]],"")</f>
        <v>0</v>
      </c>
      <c r="T459" s="39">
        <f ca="1">Table19[[#This Row],[Combined Exposure]]/$C$8</f>
        <v>0</v>
      </c>
    </row>
    <row r="460" spans="1:20">
      <c r="A460" t="e" vm="111">
        <v>#VALUE!</v>
      </c>
      <c r="B460" s="13" t="str" cm="1">
        <f t="array" aca="1" ref="B460" ca="1">_FV(A460,"Ticker symbol",TRUE)</f>
        <v>SMH</v>
      </c>
      <c r="C460" s="13" t="s">
        <v>83</v>
      </c>
      <c r="D460" s="13" t="s">
        <v>84</v>
      </c>
      <c r="E460" s="19" cm="1">
        <f t="array" aca="1" ref="E460" ca="1">IFERROR(_FV(A460,"Beta"),2)</f>
        <v>1.4615</v>
      </c>
      <c r="F460" s="13" t="str" cm="1">
        <f t="array" aca="1" ref="F460" ca="1">_FV(A460,"Instrument type",TRUE)</f>
        <v>ETF</v>
      </c>
      <c r="G460" s="18" cm="1">
        <f t="array" aca="1" ref="G460" ca="1">_FV(Table19[[#This Row],[Assets]],"Price")</f>
        <v>401.41500000000002</v>
      </c>
      <c r="H460" s="36" t="str">
        <f>IFERROR(VLOOKUP(Table19[[#This Row],[Assets]],Table25[#All],15,FALSE),"")</f>
        <v/>
      </c>
      <c r="I460" s="36">
        <f>IFERROR(VLOOKUP(Table19[[#This Row],[Assets]],Table25[#All],16,FALSE),0)</f>
        <v>0</v>
      </c>
      <c r="J460" s="84" t="str">
        <f ca="1">IFERROR((Table19[[#This Row],[Price]]-Table19[[#This Row],[Ave Entry]])/Table19[[#This Row],[Ave Entry]],"")</f>
        <v/>
      </c>
      <c r="K460" s="92">
        <f ca="1">IFERROR((Table19[[#This Row],[Price]]-Table19[[#This Row],[Ave Entry]])*Table19[[#This Row],[Num of Stocks]],0)</f>
        <v>0</v>
      </c>
      <c r="L460" s="38" cm="1">
        <f t="array" aca="1" ref="L460" ca="1">_FV(Table19[[#This Row],[Assets]],"Change (%)",TRUE)</f>
        <v>1.7295999999999999E-2</v>
      </c>
      <c r="M460" s="36">
        <f>SUMIF(Table20[Asset],Table19[[#This Row],[Assets]],Table20[realized_profit])</f>
        <v>259.00000000000006</v>
      </c>
      <c r="N460" s="36">
        <f ca="1">SUMIF(Table20[[#All],[Asset]],Table19[[#This Row],[Assets]],Table20[[#All],[delta_exposure]])</f>
        <v>0</v>
      </c>
      <c r="O460" s="38">
        <f ca="1">Table19[[#This Row],[Option Exposure]]/$B$6</f>
        <v>0</v>
      </c>
      <c r="P460" s="51">
        <f>SUMIF(Table25[[#All],[Assets]],Table19[[#This Row],[Assets]],Table25[[#All],[Number of stocks]])</f>
        <v>0</v>
      </c>
      <c r="Q460" s="36">
        <f ca="1">Table19[[#This Row],[Num of Stocks]]*Table19[[#This Row],[Price]]</f>
        <v>0</v>
      </c>
      <c r="R460" s="36">
        <f ca="1">Table19[[#This Row],[Stock Exposure]]+Table19[[#This Row],[Option Exposure]]</f>
        <v>0</v>
      </c>
      <c r="S460" s="108" t="str">
        <f>IFERROR(Table19[[#This Row],[Num of Stocks]]*Table19[[#This Row],[Ave Entry]],"")</f>
        <v/>
      </c>
      <c r="T460" s="39">
        <f ca="1">Table19[[#This Row],[Combined Exposure]]/$C$8</f>
        <v>0</v>
      </c>
    </row>
    <row r="461" spans="1:20">
      <c r="A461" t="e" vm="112">
        <v>#VALUE!</v>
      </c>
      <c r="B461" s="13" t="str" cm="1">
        <f t="array" aca="1" ref="B461" ca="1">_FV(A461,"Ticker symbol",TRUE)</f>
        <v>AMLP</v>
      </c>
      <c r="C461" s="13" t="s">
        <v>31</v>
      </c>
      <c r="D461" s="13" t="s">
        <v>31</v>
      </c>
      <c r="E461" s="19" cm="1">
        <f t="array" aca="1" ref="E461" ca="1">IFERROR(_FV(A461,"Beta"),2)</f>
        <v>0.56000000000000005</v>
      </c>
      <c r="F461" s="13" t="str" cm="1">
        <f t="array" aca="1" ref="F461" ca="1">_FV(A461,"Instrument type",TRUE)</f>
        <v>ETF</v>
      </c>
      <c r="G461" s="18" cm="1">
        <f t="array" aca="1" ref="G461" ca="1">_FV(Table19[[#This Row],[Assets]],"Price")</f>
        <v>53.47</v>
      </c>
      <c r="H461" s="36">
        <f>IFERROR(VLOOKUP(Table19[[#This Row],[Assets]],Table25[#All],15,FALSE),"")</f>
        <v>46.6</v>
      </c>
      <c r="I461" s="36">
        <f>IFERROR(VLOOKUP(Table19[[#This Row],[Assets]],Table25[#All],16,FALSE),0)</f>
        <v>26.050000000000004</v>
      </c>
      <c r="J461" s="84">
        <f ca="1">IFERROR((Table19[[#This Row],[Price]]-Table19[[#This Row],[Ave Entry]])/Table19[[#This Row],[Ave Entry]],"")</f>
        <v>0.14742489270386261</v>
      </c>
      <c r="K461" s="92">
        <f ca="1">IFERROR((Table19[[#This Row],[Price]]-Table19[[#This Row],[Ave Entry]])*Table19[[#This Row],[Num of Stocks]],0)</f>
        <v>0</v>
      </c>
      <c r="L461" s="38" cm="1">
        <f t="array" aca="1" ref="L461" ca="1">_FV(Table19[[#This Row],[Assets]],"Change (%)",TRUE)</f>
        <v>-1.121E-3</v>
      </c>
      <c r="M461" s="36">
        <f>SUMIF(Table20[Asset],Table19[[#This Row],[Assets]],Table20[realized_profit])</f>
        <v>0</v>
      </c>
      <c r="N461" s="36">
        <f>SUMIF(Table20[[#All],[Asset]],Table19[[#This Row],[Assets]],Table20[[#All],[delta_exposure]])</f>
        <v>0</v>
      </c>
      <c r="O461" s="98">
        <f ca="1">Table19[[#This Row],[Option Exposure]]/$B$6</f>
        <v>0</v>
      </c>
      <c r="P461" s="51">
        <f>SUMIF(Table25[[#All],[Assets]],Table19[[#This Row],[Assets]],Table25[[#All],[Number of stocks]])</f>
        <v>0</v>
      </c>
      <c r="Q461" s="36">
        <f ca="1">Table19[[#This Row],[Num of Stocks]]*Table19[[#This Row],[Price]]</f>
        <v>0</v>
      </c>
      <c r="R461" s="36">
        <f ca="1">Table19[[#This Row],[Stock Exposure]]+Table19[[#This Row],[Option Exposure]]</f>
        <v>0</v>
      </c>
      <c r="S461" s="108">
        <f>IFERROR(Table19[[#This Row],[Num of Stocks]]*Table19[[#This Row],[Ave Entry]],"")</f>
        <v>0</v>
      </c>
      <c r="T461" s="39">
        <f ca="1">Table19[[#This Row],[Combined Exposure]]/$C$8</f>
        <v>0</v>
      </c>
    </row>
    <row r="462" spans="1:20">
      <c r="A462" t="e" vm="42">
        <v>#VALUE!</v>
      </c>
      <c r="B462" s="13" t="str" cm="1">
        <f t="array" aca="1" ref="B462" ca="1">_FV(A462,"Ticker symbol",TRUE)</f>
        <v>FLR</v>
      </c>
      <c r="C462" s="13" t="s">
        <v>56</v>
      </c>
      <c r="D462" s="13" t="s">
        <v>56</v>
      </c>
      <c r="E462" s="19" cm="1">
        <f t="array" aca="1" ref="E462" ca="1">IFERROR(_FV(A462,"Beta"),2)</f>
        <v>1.2972999999999999</v>
      </c>
      <c r="F462" s="13" t="str" cm="1">
        <f t="array" aca="1" ref="F462" ca="1">_FV(A462,"Instrument type",TRUE)</f>
        <v>Stock</v>
      </c>
      <c r="G462" s="18" cm="1">
        <f t="array" aca="1" ref="G462" ca="1">_FV(Table19[[#This Row],[Assets]],"Price")</f>
        <v>48.72</v>
      </c>
      <c r="H462" s="36">
        <f>IFERROR(VLOOKUP(Table19[[#This Row],[Assets]],Table25[#All],15,FALSE),"")</f>
        <v>46.839670329670327</v>
      </c>
      <c r="I462" s="36">
        <f>IFERROR(VLOOKUP(Table19[[#This Row],[Assets]],Table25[#All],16,FALSE),0)</f>
        <v>205.30999999999975</v>
      </c>
      <c r="J462" s="84">
        <f ca="1">IFERROR((Table19[[#This Row],[Price]]-Table19[[#This Row],[Ave Entry]])/Table19[[#This Row],[Ave Entry]],"")</f>
        <v>4.0143956118721617E-2</v>
      </c>
      <c r="K462" s="92">
        <f ca="1">IFERROR((Table19[[#This Row],[Price]]-Table19[[#This Row],[Ave Entry]])*Table19[[#This Row],[Num of Stocks]],0)</f>
        <v>0</v>
      </c>
      <c r="L462" s="38" cm="1">
        <f t="array" aca="1" ref="L462" ca="1">_FV(Table19[[#This Row],[Assets]],"Change (%)",TRUE)</f>
        <v>2.6332000000000001E-2</v>
      </c>
      <c r="M462" s="36">
        <f>SUMIF(Table20[Asset],Table19[[#This Row],[Assets]],Table20[realized_profit])</f>
        <v>0</v>
      </c>
      <c r="N462" s="36">
        <f>SUMIF(Table20[[#All],[Asset]],Table19[[#This Row],[Assets]],Table20[[#All],[delta_exposure]])</f>
        <v>0</v>
      </c>
      <c r="O462" s="98">
        <f ca="1">Table19[[#This Row],[Option Exposure]]/$B$6</f>
        <v>0</v>
      </c>
      <c r="P462" s="51">
        <f>SUMIF(Table25[[#All],[Assets]],Table19[[#This Row],[Assets]],Table25[[#All],[Number of stocks]])</f>
        <v>0</v>
      </c>
      <c r="Q462" s="36">
        <f ca="1">Table19[[#This Row],[Num of Stocks]]*Table19[[#This Row],[Price]]</f>
        <v>0</v>
      </c>
      <c r="R462" s="36">
        <f ca="1">Table19[[#This Row],[Stock Exposure]]+Table19[[#This Row],[Option Exposure]]</f>
        <v>0</v>
      </c>
      <c r="S462" s="108">
        <f>IFERROR(Table19[[#This Row],[Num of Stocks]]*Table19[[#This Row],[Ave Entry]],"")</f>
        <v>0</v>
      </c>
      <c r="T462" s="39">
        <f ca="1">Table19[[#This Row],[Combined Exposure]]/$C$8</f>
        <v>0</v>
      </c>
    </row>
    <row r="463" spans="1:20">
      <c r="A463" t="e" vm="482">
        <v>#VALUE!</v>
      </c>
      <c r="B463" s="13" t="str" cm="1">
        <f t="array" aca="1" ref="B463" ca="1">_FV(A463,"Ticker symbol",TRUE)</f>
        <v>PSN</v>
      </c>
      <c r="C463" s="13" t="s">
        <v>134</v>
      </c>
      <c r="D463" s="13" t="s">
        <v>56</v>
      </c>
      <c r="E463" s="19" cm="1">
        <f t="array" aca="1" ref="E463" ca="1">IFERROR(_FV(A463,"Beta"),2)</f>
        <v>1.8546</v>
      </c>
      <c r="F463" s="13" t="str" cm="1">
        <f t="array" aca="1" ref="F463" ca="1">_FV(A463,"Instrument type",TRUE)</f>
        <v>Stock</v>
      </c>
      <c r="G463" s="37" cm="1">
        <f t="array" aca="1" ref="G463" ca="1">_FV(Table19[[#This Row],[Assets]],"Price")</f>
        <v>1115.9945</v>
      </c>
      <c r="H463" s="36" t="str">
        <f>IFERROR(VLOOKUP(Table19[[#This Row],[Assets]],Table25[#All],15,FALSE),"")</f>
        <v/>
      </c>
      <c r="I463" s="36">
        <f>IFERROR(VLOOKUP(Table19[[#This Row],[Assets]],Table25[#All],16,FALSE),0)</f>
        <v>0</v>
      </c>
      <c r="J463" s="84" t="str">
        <f ca="1">IFERROR((Table19[[#This Row],[Price]]-Table19[[#This Row],[Ave Entry]])/Table19[[#This Row],[Ave Entry]],"")</f>
        <v/>
      </c>
      <c r="K463" s="92">
        <f ca="1">IFERROR((Table19[[#This Row],[Price]]-Table19[[#This Row],[Ave Entry]])*Table19[[#This Row],[Num of Stocks]],0)</f>
        <v>0</v>
      </c>
      <c r="L463" s="38" cm="1">
        <f t="array" aca="1" ref="L463" ca="1">_FV(Table19[[#This Row],[Assets]],"Change (%)",TRUE)</f>
        <v>1.0407E-2</v>
      </c>
      <c r="M463" s="36">
        <f>SUMIF(Table20[Asset],Table19[[#This Row],[Assets]],Table20[realized_profit])</f>
        <v>0</v>
      </c>
      <c r="N463" s="36">
        <f>SUMIF(Table20[[#All],[Asset]],Table19[[#This Row],[Assets]],Table20[[#All],[delta_exposure]])</f>
        <v>0</v>
      </c>
      <c r="O463" s="38">
        <f ca="1">Table19[[#This Row],[Option Exposure]]/$B$6</f>
        <v>0</v>
      </c>
      <c r="P463" s="51">
        <f>SUMIF(Table25[[#All],[Assets]],Table19[[#This Row],[Assets]],Table25[[#All],[Number of stocks]])</f>
        <v>0</v>
      </c>
      <c r="Q463" s="36">
        <f ca="1">Table19[[#This Row],[Num of Stocks]]*Table19[[#This Row],[Price]]</f>
        <v>0</v>
      </c>
      <c r="R463" s="36">
        <f ca="1">Table19[[#This Row],[Stock Exposure]]+Table19[[#This Row],[Option Exposure]]</f>
        <v>0</v>
      </c>
      <c r="S463" s="108" t="str">
        <f>IFERROR(Table19[[#This Row],[Num of Stocks]]*Table19[[#This Row],[Ave Entry]],"")</f>
        <v/>
      </c>
      <c r="T463" s="39">
        <f ca="1">Table19[[#This Row],[Combined Exposure]]/$C$8</f>
        <v>0</v>
      </c>
    </row>
    <row r="464" spans="1:20">
      <c r="A464" t="e" vm="483">
        <v>#VALUE!</v>
      </c>
      <c r="B464" s="13" t="str" cm="1">
        <f t="array" aca="1" ref="B464" ca="1">_FV(A464,"Ticker symbol",TRUE)</f>
        <v>IEP</v>
      </c>
      <c r="C464" s="13" t="s">
        <v>56</v>
      </c>
      <c r="D464" s="13" t="s">
        <v>31</v>
      </c>
      <c r="E464" s="19" cm="1">
        <f t="array" ref="E464">IFERROR(_FV(A464,"Beta"),2)</f>
        <v>2</v>
      </c>
      <c r="F464" s="13" t="str" cm="1">
        <f t="array" aca="1" ref="F464" ca="1">_FV(A464,"Instrument type",TRUE)</f>
        <v>ETF</v>
      </c>
      <c r="G464" s="18" cm="1">
        <f t="array" aca="1" ref="G464" ca="1">_FV(Table19[[#This Row],[Assets]],"Price")</f>
        <v>7.6150000000000002</v>
      </c>
      <c r="H464" s="36" t="str">
        <f>IFERROR(VLOOKUP(Table19[[#This Row],[Assets]],Table25[#All],15,FALSE),"")</f>
        <v/>
      </c>
      <c r="I464" s="36">
        <f>IFERROR(VLOOKUP(Table19[[#This Row],[Assets]],Table25[#All],16,FALSE),0)</f>
        <v>0</v>
      </c>
      <c r="J464" s="84" t="str">
        <f ca="1">IFERROR((Table19[[#This Row],[Price]]-Table19[[#This Row],[Ave Entry]])/Table19[[#This Row],[Ave Entry]],"")</f>
        <v/>
      </c>
      <c r="K464" s="92">
        <f ca="1">IFERROR((Table19[[#This Row],[Price]]-Table19[[#This Row],[Ave Entry]])*Table19[[#This Row],[Num of Stocks]],0)</f>
        <v>0</v>
      </c>
      <c r="L464" s="38" cm="1">
        <f t="array" aca="1" ref="L464" ca="1">_FV(Table19[[#This Row],[Assets]],"Change (%)",TRUE)</f>
        <v>8.6090000000000003E-3</v>
      </c>
      <c r="M464" s="36">
        <f>SUMIF(Table20[Asset],Table19[[#This Row],[Assets]],Table20[realized_profit])</f>
        <v>-100</v>
      </c>
      <c r="N464" s="36">
        <f ca="1">SUMIF(Table20[[#All],[Asset]],Table19[[#This Row],[Assets]],Table20[[#All],[delta_exposure]])</f>
        <v>0</v>
      </c>
      <c r="O464" s="98">
        <f ca="1">Table19[[#This Row],[Option Exposure]]/$B$6</f>
        <v>0</v>
      </c>
      <c r="P464" s="51">
        <f>SUMIF(Table25[[#All],[Assets]],Table19[[#This Row],[Assets]],Table25[[#All],[Number of stocks]])</f>
        <v>0</v>
      </c>
      <c r="Q464" s="36">
        <f ca="1">Table19[[#This Row],[Num of Stocks]]*Table19[[#This Row],[Price]]</f>
        <v>0</v>
      </c>
      <c r="R464" s="36">
        <f ca="1">Table19[[#This Row],[Stock Exposure]]+Table19[[#This Row],[Option Exposure]]</f>
        <v>0</v>
      </c>
      <c r="S464" s="108" t="str">
        <f>IFERROR(Table19[[#This Row],[Num of Stocks]]*Table19[[#This Row],[Ave Entry]],"")</f>
        <v/>
      </c>
      <c r="T464" s="39">
        <f ca="1">Table19[[#This Row],[Combined Exposure]]/$C$8</f>
        <v>0</v>
      </c>
    </row>
    <row r="465" spans="1:20">
      <c r="A465" t="e" vm="484">
        <v>#VALUE!</v>
      </c>
      <c r="B465" s="13" t="str" cm="1">
        <f t="array" aca="1" ref="B465" ca="1">_FV(A465,"Ticker symbol",TRUE)</f>
        <v>CMG</v>
      </c>
      <c r="C465" s="13" t="s">
        <v>55</v>
      </c>
      <c r="D465" s="13" t="s">
        <v>456</v>
      </c>
      <c r="E465" s="19" cm="1">
        <f t="array" aca="1" ref="E465" ca="1">IFERROR(_FV(A465,"Beta"),2)</f>
        <v>1.0533999999999999</v>
      </c>
      <c r="F465" s="13" t="str" cm="1">
        <f t="array" aca="1" ref="F465" ca="1">_FV(A465,"Instrument type",TRUE)</f>
        <v>Stock</v>
      </c>
      <c r="G465" s="18" cm="1">
        <f t="array" aca="1" ref="G465" ca="1">_FV(Table19[[#This Row],[Assets]],"Price")</f>
        <v>32.435000000000002</v>
      </c>
      <c r="H465" s="36" t="str">
        <f>IFERROR(VLOOKUP(Table19[[#This Row],[Assets]],Table25[#All],15,FALSE),"")</f>
        <v/>
      </c>
      <c r="I465" s="36">
        <f>IFERROR(VLOOKUP(Table19[[#This Row],[Assets]],Table25[#All],16,FALSE),0)</f>
        <v>0</v>
      </c>
      <c r="J465" s="84" t="str">
        <f ca="1">IFERROR((Table19[[#This Row],[Price]]-Table19[[#This Row],[Ave Entry]])/Table19[[#This Row],[Ave Entry]],"")</f>
        <v/>
      </c>
      <c r="K465" s="92">
        <f ca="1">IFERROR((Table19[[#This Row],[Price]]-Table19[[#This Row],[Ave Entry]])*Table19[[#This Row],[Num of Stocks]],0)</f>
        <v>0</v>
      </c>
      <c r="L465" s="38" cm="1">
        <f t="array" aca="1" ref="L465" ca="1">_FV(Table19[[#This Row],[Assets]],"Change (%)",TRUE)</f>
        <v>-9.9209999999999993E-3</v>
      </c>
      <c r="M465" s="36">
        <f>SUMIF(Table20[Asset],Table19[[#This Row],[Assets]],Table20[realized_profit])</f>
        <v>0</v>
      </c>
      <c r="N465" s="36">
        <f>SUMIF(Table20[[#All],[Asset]],Table19[[#This Row],[Assets]],Table20[[#All],[delta_exposure]])</f>
        <v>0</v>
      </c>
      <c r="O465" s="38">
        <f ca="1">Table19[[#This Row],[Option Exposure]]/$B$6</f>
        <v>0</v>
      </c>
      <c r="P465" s="51">
        <f>SUMIF(Table25[[#All],[Assets]],Table19[[#This Row],[Assets]],Table25[[#All],[Number of stocks]])</f>
        <v>0</v>
      </c>
      <c r="Q465" s="36">
        <f ca="1">Table19[[#This Row],[Num of Stocks]]*Table19[[#This Row],[Price]]</f>
        <v>0</v>
      </c>
      <c r="R465" s="36">
        <f ca="1">Table19[[#This Row],[Stock Exposure]]+Table19[[#This Row],[Option Exposure]]</f>
        <v>0</v>
      </c>
      <c r="S465" s="108" t="str">
        <f>IFERROR(Table19[[#This Row],[Num of Stocks]]*Table19[[#This Row],[Ave Entry]],"")</f>
        <v/>
      </c>
      <c r="T465" s="39">
        <f ca="1">Table19[[#This Row],[Combined Exposure]]/$C$8</f>
        <v>0</v>
      </c>
    </row>
    <row r="466" spans="1:20">
      <c r="A466" t="e" vm="485">
        <v>#VALUE!</v>
      </c>
      <c r="B466" s="13" t="str" cm="1">
        <f t="array" aca="1" ref="B466" ca="1">_FV(A466,"Ticker symbol",TRUE)</f>
        <v>BLD</v>
      </c>
      <c r="C466" s="13" t="s">
        <v>550</v>
      </c>
      <c r="D466" s="13" t="s">
        <v>146</v>
      </c>
      <c r="E466" s="19" cm="1">
        <f t="array" aca="1" ref="E466" ca="1">IFERROR(_FV(A466,"Beta"),2)</f>
        <v>1.7896000000000001</v>
      </c>
      <c r="F466" s="13" t="str" cm="1">
        <f t="array" aca="1" ref="F466" ca="1">_FV(A466,"Instrument type",TRUE)</f>
        <v>Stock</v>
      </c>
      <c r="G466" s="18" cm="1">
        <f t="array" aca="1" ref="G466" ca="1">_FV(Table19[[#This Row],[Assets]],"Price")</f>
        <v>351.27</v>
      </c>
      <c r="H466" s="36" t="str">
        <f>IFERROR(VLOOKUP(Table19[[#This Row],[Assets]],Table25[#All],15,FALSE),"")</f>
        <v/>
      </c>
      <c r="I466" s="36">
        <f>IFERROR(VLOOKUP(Table19[[#This Row],[Assets]],Table25[#All],16,FALSE),0)</f>
        <v>0</v>
      </c>
      <c r="J466" s="84" t="str">
        <f ca="1">IFERROR((Table19[[#This Row],[Price]]-Table19[[#This Row],[Ave Entry]])/Table19[[#This Row],[Ave Entry]],"")</f>
        <v/>
      </c>
      <c r="K466" s="92">
        <f ca="1">IFERROR((Table19[[#This Row],[Price]]-Table19[[#This Row],[Ave Entry]])*Table19[[#This Row],[Num of Stocks]],0)</f>
        <v>0</v>
      </c>
      <c r="L466" s="38" cm="1">
        <f t="array" aca="1" ref="L466" ca="1">_FV(Table19[[#This Row],[Assets]],"Change (%)",TRUE)</f>
        <v>1.4239999999999999E-4</v>
      </c>
      <c r="M466" s="36">
        <f>SUMIF(Table20[Asset],Table19[[#This Row],[Assets]],Table20[realized_profit])</f>
        <v>0</v>
      </c>
      <c r="N466" s="36">
        <f>SUMIF(Table20[[#All],[Asset]],Table19[[#This Row],[Assets]],Table20[[#All],[delta_exposure]])</f>
        <v>0</v>
      </c>
      <c r="O466" s="38">
        <f ca="1">Table19[[#This Row],[Option Exposure]]/$B$6</f>
        <v>0</v>
      </c>
      <c r="P466" s="51">
        <f>SUMIF(Table25[[#All],[Assets]],Table19[[#This Row],[Assets]],Table25[[#All],[Number of stocks]])</f>
        <v>0</v>
      </c>
      <c r="Q466" s="36">
        <f ca="1">Table19[[#This Row],[Num of Stocks]]*Table19[[#This Row],[Price]]</f>
        <v>0</v>
      </c>
      <c r="R466" s="36">
        <f ca="1">Table19[[#This Row],[Stock Exposure]]+Table19[[#This Row],[Option Exposure]]</f>
        <v>0</v>
      </c>
      <c r="S466" s="108" t="str">
        <f>IFERROR(Table19[[#This Row],[Num of Stocks]]*Table19[[#This Row],[Ave Entry]],"")</f>
        <v/>
      </c>
      <c r="T466" s="39">
        <f ca="1">Table19[[#This Row],[Combined Exposure]]/$C$8</f>
        <v>0</v>
      </c>
    </row>
    <row r="467" spans="1:20">
      <c r="A467" t="e" vm="158">
        <v>#VALUE!</v>
      </c>
      <c r="B467" s="13" t="str" cm="1">
        <f t="array" aca="1" ref="B467" ca="1">_FV(A467,"Ticker symbol",TRUE)</f>
        <v>COPX</v>
      </c>
      <c r="C467" s="13" t="s">
        <v>25</v>
      </c>
      <c r="D467" s="13" t="s">
        <v>25</v>
      </c>
      <c r="E467" s="19" cm="1">
        <f t="array" aca="1" ref="E467" ca="1">IFERROR(_FV(A467,"Beta"),2)</f>
        <v>1.3357000000000001</v>
      </c>
      <c r="F467" s="13" t="str" cm="1">
        <f t="array" aca="1" ref="F467" ca="1">_FV(A467,"Instrument type",TRUE)</f>
        <v>ETF</v>
      </c>
      <c r="G467" s="18" cm="1">
        <f t="array" aca="1" ref="G467" ca="1">_FV(Table19[[#This Row],[Assets]],"Price")</f>
        <v>75.680000000000007</v>
      </c>
      <c r="H467" s="36" t="str">
        <f>IFERROR(VLOOKUP(Table19[[#This Row],[Assets]],Table25[#All],15,FALSE),"")</f>
        <v/>
      </c>
      <c r="I467" s="36">
        <f>IFERROR(VLOOKUP(Table19[[#This Row],[Assets]],Table25[#All],16,FALSE),0)</f>
        <v>0</v>
      </c>
      <c r="J467" s="84" t="str">
        <f ca="1">IFERROR((Table19[[#This Row],[Price]]-Table19[[#This Row],[Ave Entry]])/Table19[[#This Row],[Ave Entry]],"")</f>
        <v/>
      </c>
      <c r="K467" s="92">
        <f ca="1">IFERROR((Table19[[#This Row],[Price]]-Table19[[#This Row],[Ave Entry]])*Table19[[#This Row],[Num of Stocks]],0)</f>
        <v>0</v>
      </c>
      <c r="L467" s="38" cm="1">
        <f t="array" aca="1" ref="L467" ca="1">_FV(Table19[[#This Row],[Assets]],"Change (%)",TRUE)</f>
        <v>3.6711999999999995E-2</v>
      </c>
      <c r="M467" s="36">
        <f>SUMIF(Table20[Asset],Table19[[#This Row],[Assets]],Table20[realized_profit])</f>
        <v>0</v>
      </c>
      <c r="N467" s="36">
        <f>SUMIF(Table20[[#All],[Asset]],Table19[[#This Row],[Assets]],Table20[[#All],[delta_exposure]])</f>
        <v>0</v>
      </c>
      <c r="O467" s="38">
        <f ca="1">Table19[[#This Row],[Option Exposure]]/$B$6</f>
        <v>0</v>
      </c>
      <c r="P467" s="51">
        <f>SUMIF(Table25[[#All],[Assets]],Table19[[#This Row],[Assets]],Table25[[#All],[Number of stocks]])</f>
        <v>0</v>
      </c>
      <c r="Q467" s="36">
        <f ca="1">Table19[[#This Row],[Num of Stocks]]*Table19[[#This Row],[Price]]</f>
        <v>0</v>
      </c>
      <c r="R467" s="36">
        <f ca="1">Table19[[#This Row],[Stock Exposure]]+Table19[[#This Row],[Option Exposure]]</f>
        <v>0</v>
      </c>
      <c r="S467" s="108" t="str">
        <f>IFERROR(Table19[[#This Row],[Num of Stocks]]*Table19[[#This Row],[Ave Entry]],"")</f>
        <v/>
      </c>
      <c r="T467" s="39">
        <f ca="1">Table19[[#This Row],[Combined Exposure]]/$C$8</f>
        <v>0</v>
      </c>
    </row>
    <row r="468" spans="1:20">
      <c r="A468" t="e" vm="486">
        <v>#VALUE!</v>
      </c>
      <c r="B468" s="13" t="str" cm="1">
        <f t="array" aca="1" ref="B468" ca="1">_FV(A468,"Ticker symbol",TRUE)</f>
        <v>MQ</v>
      </c>
      <c r="C468" s="13" t="s">
        <v>54</v>
      </c>
      <c r="D468" s="13" t="s">
        <v>457</v>
      </c>
      <c r="E468" s="19" cm="1">
        <f t="array" aca="1" ref="E468" ca="1">IFERROR(_FV(A468,"Beta"),2)</f>
        <v>1.3874</v>
      </c>
      <c r="F468" s="13" t="str" cm="1">
        <f t="array" aca="1" ref="F468" ca="1">_FV(A468,"Instrument type",TRUE)</f>
        <v>Stock</v>
      </c>
      <c r="G468" s="18" cm="1">
        <f t="array" aca="1" ref="G468" ca="1">_FV(Table19[[#This Row],[Assets]],"Price")</f>
        <v>4.165</v>
      </c>
      <c r="H468" s="36">
        <f>IFERROR(VLOOKUP(Table19[[#This Row],[Assets]],Table25[#All],15,FALSE),"")</f>
        <v>4.1500000000000004</v>
      </c>
      <c r="I468" s="36">
        <f>IFERROR(VLOOKUP(Table19[[#This Row],[Assets]],Table25[#All],16,FALSE),0)</f>
        <v>-18.000000000000043</v>
      </c>
      <c r="J468" s="84">
        <f ca="1">IFERROR((Table19[[#This Row],[Price]]-Table19[[#This Row],[Ave Entry]])/Table19[[#This Row],[Ave Entry]],"")</f>
        <v>3.6144578313252237E-3</v>
      </c>
      <c r="K468" s="92">
        <f ca="1">IFERROR((Table19[[#This Row],[Price]]-Table19[[#This Row],[Ave Entry]])*Table19[[#This Row],[Num of Stocks]],0)</f>
        <v>0</v>
      </c>
      <c r="L468" s="38" cm="1">
        <f t="array" aca="1" ref="L468" ca="1">_FV(Table19[[#This Row],[Assets]],"Change (%)",TRUE)</f>
        <v>-1.199E-3</v>
      </c>
      <c r="M468" s="36">
        <f>SUMIF(Table20[Asset],Table19[[#This Row],[Assets]],Table20[realized_profit])</f>
        <v>0</v>
      </c>
      <c r="N468" s="36">
        <f>SUMIF(Table20[[#All],[Asset]],Table19[[#This Row],[Assets]],Table20[[#All],[delta_exposure]])</f>
        <v>0</v>
      </c>
      <c r="O468" s="38">
        <f ca="1">Table19[[#This Row],[Option Exposure]]/$B$6</f>
        <v>0</v>
      </c>
      <c r="P468" s="51">
        <f>SUMIF(Table25[[#All],[Assets]],Table19[[#This Row],[Assets]],Table25[[#All],[Number of stocks]])</f>
        <v>0</v>
      </c>
      <c r="Q468" s="36">
        <f ca="1">Table19[[#This Row],[Num of Stocks]]*Table19[[#This Row],[Price]]</f>
        <v>0</v>
      </c>
      <c r="R468" s="36">
        <f ca="1">Table19[[#This Row],[Stock Exposure]]+Table19[[#This Row],[Option Exposure]]</f>
        <v>0</v>
      </c>
      <c r="S468" s="108">
        <f>IFERROR(Table19[[#This Row],[Num of Stocks]]*Table19[[#This Row],[Ave Entry]],"")</f>
        <v>0</v>
      </c>
      <c r="T468" s="39">
        <f ca="1">Table19[[#This Row],[Combined Exposure]]/$C$8</f>
        <v>0</v>
      </c>
    </row>
    <row r="469" spans="1:20">
      <c r="A469" t="e" vm="170">
        <v>#VALUE!</v>
      </c>
      <c r="B469" s="13" t="str" cm="1">
        <f t="array" aca="1" ref="B469" ca="1">_FV(A469,"Ticker symbol",TRUE)</f>
        <v>UEC</v>
      </c>
      <c r="C469" s="13" t="s">
        <v>136</v>
      </c>
      <c r="D469" s="13" t="s">
        <v>136</v>
      </c>
      <c r="E469" s="19" cm="1">
        <f t="array" aca="1" ref="E469" ca="1">IFERROR(_FV(A469,"Beta"),2)</f>
        <v>1.2002999999999999</v>
      </c>
      <c r="F469" s="13" t="str" cm="1">
        <f t="array" aca="1" ref="F469" ca="1">_FV(A469,"Instrument type",TRUE)</f>
        <v>Stock</v>
      </c>
      <c r="G469" s="18" cm="1">
        <f t="array" aca="1" ref="G469" ca="1">_FV(Table19[[#This Row],[Assets]],"Price")</f>
        <v>13.71</v>
      </c>
      <c r="H469" s="36" t="str">
        <f>IFERROR(VLOOKUP(Table19[[#This Row],[Assets]],Table25[#All],15,FALSE),"")</f>
        <v/>
      </c>
      <c r="I469" s="36">
        <f>IFERROR(VLOOKUP(Table19[[#This Row],[Assets]],Table25[#All],16,FALSE),0)</f>
        <v>0</v>
      </c>
      <c r="J469" s="84" t="str">
        <f ca="1">IFERROR((Table19[[#This Row],[Price]]-Table19[[#This Row],[Ave Entry]])/Table19[[#This Row],[Ave Entry]],"")</f>
        <v/>
      </c>
      <c r="K469" s="92">
        <f ca="1">IFERROR((Table19[[#This Row],[Price]]-Table19[[#This Row],[Ave Entry]])*Table19[[#This Row],[Num of Stocks]],0)</f>
        <v>0</v>
      </c>
      <c r="L469" s="38" cm="1">
        <f t="array" aca="1" ref="L469" ca="1">_FV(Table19[[#This Row],[Assets]],"Change (%)",TRUE)</f>
        <v>3.9424000000000001E-2</v>
      </c>
      <c r="M469" s="36">
        <f>SUMIF(Table20[Asset],Table19[[#This Row],[Assets]],Table20[realized_profit])</f>
        <v>0</v>
      </c>
      <c r="N469" s="36">
        <f>SUMIF(Table20[[#All],[Asset]],Table19[[#This Row],[Assets]],Table20[[#All],[delta_exposure]])</f>
        <v>0</v>
      </c>
      <c r="O469" s="38">
        <f ca="1">Table19[[#This Row],[Option Exposure]]/$B$6</f>
        <v>0</v>
      </c>
      <c r="P469" s="51">
        <f>SUMIF(Table25[[#All],[Assets]],Table19[[#This Row],[Assets]],Table25[[#All],[Number of stocks]])</f>
        <v>0</v>
      </c>
      <c r="Q469" s="36">
        <f ca="1">Table19[[#This Row],[Num of Stocks]]*Table19[[#This Row],[Price]]</f>
        <v>0</v>
      </c>
      <c r="R469" s="36">
        <f ca="1">Table19[[#This Row],[Stock Exposure]]+Table19[[#This Row],[Option Exposure]]</f>
        <v>0</v>
      </c>
      <c r="S469" s="108" t="str">
        <f>IFERROR(Table19[[#This Row],[Num of Stocks]]*Table19[[#This Row],[Ave Entry]],"")</f>
        <v/>
      </c>
      <c r="T469" s="39">
        <f ca="1">Table19[[#This Row],[Combined Exposure]]/$C$8</f>
        <v>0</v>
      </c>
    </row>
    <row r="470" spans="1:20">
      <c r="A470" t="e" vm="487">
        <v>#VALUE!</v>
      </c>
      <c r="B470" s="13" t="str" cm="1">
        <f t="array" aca="1" ref="B470" ca="1">_FV(A470,"Ticker symbol",TRUE)</f>
        <v>ENR</v>
      </c>
      <c r="C470" s="13" t="s">
        <v>109</v>
      </c>
      <c r="D470" s="13" t="s">
        <v>57</v>
      </c>
      <c r="E470" s="19" cm="1">
        <f t="array" aca="1" ref="E470" ca="1">IFERROR(_FV(A470,"Beta"),2)</f>
        <v>0.6875</v>
      </c>
      <c r="F470" s="13" t="str" cm="1">
        <f t="array" aca="1" ref="F470" ca="1">_FV(A470,"Instrument type",TRUE)</f>
        <v>Stock</v>
      </c>
      <c r="G470" s="18" cm="1">
        <f t="array" aca="1" ref="G470" ca="1">_FV(Table19[[#This Row],[Assets]],"Price")</f>
        <v>16.649999999999999</v>
      </c>
      <c r="H470" s="36">
        <f>IFERROR(VLOOKUP(Table19[[#This Row],[Assets]],Table25[#All],15,FALSE),"")</f>
        <v>27.869999999999997</v>
      </c>
      <c r="I470" s="36">
        <f>IFERROR(VLOOKUP(Table19[[#This Row],[Assets]],Table25[#All],16,FALSE),0)</f>
        <v>75.600000000000023</v>
      </c>
      <c r="J470" s="84">
        <f ca="1">IFERROR((Table19[[#This Row],[Price]]-Table19[[#This Row],[Ave Entry]])/Table19[[#This Row],[Ave Entry]],"")</f>
        <v>-0.40258342303552208</v>
      </c>
      <c r="K470" s="92">
        <f ca="1">IFERROR((Table19[[#This Row],[Price]]-Table19[[#This Row],[Ave Entry]])*Table19[[#This Row],[Num of Stocks]],0)</f>
        <v>0</v>
      </c>
      <c r="L470" s="38" cm="1">
        <f t="array" aca="1" ref="L470" ca="1">_FV(Table19[[#This Row],[Assets]],"Change (%)",TRUE)</f>
        <v>6.0099999999999997E-4</v>
      </c>
      <c r="M470" s="36">
        <f>SUMIF(Table20[Asset],Table19[[#This Row],[Assets]],Table20[realized_profit])</f>
        <v>0</v>
      </c>
      <c r="N470" s="36">
        <f>SUMIF(Table20[[#All],[Asset]],Table19[[#This Row],[Assets]],Table20[[#All],[delta_exposure]])</f>
        <v>0</v>
      </c>
      <c r="O470" s="98">
        <f ca="1">Table19[[#This Row],[Option Exposure]]/$B$6</f>
        <v>0</v>
      </c>
      <c r="P470" s="51">
        <f>SUMIF(Table25[[#All],[Assets]],Table19[[#This Row],[Assets]],Table25[[#All],[Number of stocks]])</f>
        <v>0</v>
      </c>
      <c r="Q470" s="36">
        <f ca="1">Table19[[#This Row],[Num of Stocks]]*Table19[[#This Row],[Price]]</f>
        <v>0</v>
      </c>
      <c r="R470" s="36">
        <f ca="1">Table19[[#This Row],[Stock Exposure]]+Table19[[#This Row],[Option Exposure]]</f>
        <v>0</v>
      </c>
      <c r="S470" s="108">
        <f>IFERROR(Table19[[#This Row],[Num of Stocks]]*Table19[[#This Row],[Ave Entry]],"")</f>
        <v>0</v>
      </c>
      <c r="T470" s="39">
        <f ca="1">Table19[[#This Row],[Combined Exposure]]/$C$8</f>
        <v>0</v>
      </c>
    </row>
    <row r="471" spans="1:20">
      <c r="A471" t="e" vm="488">
        <v>#VALUE!</v>
      </c>
      <c r="B471" s="13" t="str" cm="1">
        <f t="array" aca="1" ref="B471" ca="1">_FV(A471,"Ticker symbol",TRUE)</f>
        <v>CECO</v>
      </c>
      <c r="C471" s="13" t="s">
        <v>134</v>
      </c>
      <c r="D471" s="13" t="s">
        <v>56</v>
      </c>
      <c r="E471" s="19" cm="1">
        <f t="array" aca="1" ref="E471" ca="1">IFERROR(_FV(A471,"Beta"),2)</f>
        <v>1.3928</v>
      </c>
      <c r="F471" s="13" t="str" cm="1">
        <f t="array" aca="1" ref="F471" ca="1">_FV(A471,"Instrument type",TRUE)</f>
        <v>Stock</v>
      </c>
      <c r="G471" s="18" cm="1">
        <f t="array" aca="1" ref="G471" ca="1">_FV(Table19[[#This Row],[Assets]],"Price")</f>
        <v>63.545000000000002</v>
      </c>
      <c r="H471" s="36">
        <f>IFERROR(VLOOKUP(Table19[[#This Row],[Assets]],Table25[#All],15,FALSE),"")</f>
        <v>24.99</v>
      </c>
      <c r="I471" s="36">
        <f>IFERROR(VLOOKUP(Table19[[#This Row],[Assets]],Table25[#All],16,FALSE),0)</f>
        <v>37.950000000000031</v>
      </c>
      <c r="J471" s="84">
        <f ca="1">IFERROR((Table19[[#This Row],[Price]]-Table19[[#This Row],[Ave Entry]])/Table19[[#This Row],[Ave Entry]],"")</f>
        <v>1.5428171268507407</v>
      </c>
      <c r="K471" s="92">
        <f ca="1">IFERROR((Table19[[#This Row],[Price]]-Table19[[#This Row],[Ave Entry]])*Table19[[#This Row],[Num of Stocks]],0)</f>
        <v>0</v>
      </c>
      <c r="L471" s="38" cm="1">
        <f t="array" aca="1" ref="L471" ca="1">_FV(Table19[[#This Row],[Assets]],"Change (%)",TRUE)</f>
        <v>2.4258999999999999E-2</v>
      </c>
      <c r="M471" s="36">
        <f>SUMIF(Table20[Asset],Table19[[#This Row],[Assets]],Table20[realized_profit])</f>
        <v>0</v>
      </c>
      <c r="N471" s="36">
        <f>SUMIF(Table20[[#All],[Asset]],Table19[[#This Row],[Assets]],Table20[[#All],[delta_exposure]])</f>
        <v>0</v>
      </c>
      <c r="O471" s="98">
        <f ca="1">Table19[[#This Row],[Option Exposure]]/$B$6</f>
        <v>0</v>
      </c>
      <c r="P471" s="51">
        <f>SUMIF(Table25[[#All],[Assets]],Table19[[#This Row],[Assets]],Table25[[#All],[Number of stocks]])</f>
        <v>0</v>
      </c>
      <c r="Q471" s="36">
        <f ca="1">Table19[[#This Row],[Num of Stocks]]*Table19[[#This Row],[Price]]</f>
        <v>0</v>
      </c>
      <c r="R471" s="36">
        <f ca="1">Table19[[#This Row],[Stock Exposure]]+Table19[[#This Row],[Option Exposure]]</f>
        <v>0</v>
      </c>
      <c r="S471" s="108">
        <f>IFERROR(Table19[[#This Row],[Num of Stocks]]*Table19[[#This Row],[Ave Entry]],"")</f>
        <v>0</v>
      </c>
      <c r="T471" s="39">
        <f ca="1">Table19[[#This Row],[Combined Exposure]]/$C$8</f>
        <v>0</v>
      </c>
    </row>
    <row r="472" spans="1:20">
      <c r="A472" t="e" vm="489">
        <v>#VALUE!</v>
      </c>
      <c r="B472" s="13" t="str" cm="1">
        <f t="array" aca="1" ref="B472" ca="1">_FV(A472,"Ticker symbol",TRUE)</f>
        <v>HRSHF</v>
      </c>
      <c r="C472" s="13" t="s">
        <v>30</v>
      </c>
      <c r="D472" s="13" t="s">
        <v>30</v>
      </c>
      <c r="E472" s="19" cm="1">
        <f t="array" aca="1" ref="E472" ca="1">IFERROR(_FV(A472,"Beta"),2)</f>
        <v>0.90990000000000004</v>
      </c>
      <c r="F472" s="13" t="str" cm="1">
        <f t="array" aca="1" ref="F472" ca="1">_FV(A472,"Instrument type",TRUE)</f>
        <v>Stock</v>
      </c>
      <c r="G472" s="18" cm="1">
        <f t="array" aca="1" ref="G472" ca="1">_FV(Table19[[#This Row],[Assets]],"Price")</f>
        <v>3.08</v>
      </c>
      <c r="H472" s="36" t="str">
        <f>IFERROR(VLOOKUP(Table19[[#This Row],[Assets]],Table25[#All],15,FALSE),"")</f>
        <v/>
      </c>
      <c r="I472" s="36">
        <f>IFERROR(VLOOKUP(Table19[[#This Row],[Assets]],Table25[#All],16,FALSE),0)</f>
        <v>0</v>
      </c>
      <c r="J472" s="84" t="str">
        <f ca="1">IFERROR((Table19[[#This Row],[Price]]-Table19[[#This Row],[Ave Entry]])/Table19[[#This Row],[Ave Entry]],"")</f>
        <v/>
      </c>
      <c r="K472" s="92">
        <f ca="1">IFERROR((Table19[[#This Row],[Price]]-Table19[[#This Row],[Ave Entry]])*Table19[[#This Row],[Num of Stocks]],0)</f>
        <v>0</v>
      </c>
      <c r="L472" s="38" cm="1">
        <f t="array" aca="1" ref="L472" ca="1">_FV(Table19[[#This Row],[Assets]],"Change (%)",TRUE)</f>
        <v>-6.4520000000000003E-3</v>
      </c>
      <c r="M472" s="36">
        <f>SUMIF(Table20[Asset],Table19[[#This Row],[Assets]],Table20[realized_profit])</f>
        <v>0</v>
      </c>
      <c r="N472" s="36">
        <f>SUMIF(Table20[[#All],[Asset]],Table19[[#This Row],[Assets]],Table20[[#All],[delta_exposure]])</f>
        <v>0</v>
      </c>
      <c r="O472" s="38">
        <f ca="1">Table19[[#This Row],[Option Exposure]]/$B$6</f>
        <v>0</v>
      </c>
      <c r="P472" s="51">
        <f>SUMIF(Table25[[#All],[Assets]],Table19[[#This Row],[Assets]],Table25[[#All],[Number of stocks]])</f>
        <v>0</v>
      </c>
      <c r="Q472" s="36">
        <f ca="1">Table19[[#This Row],[Num of Stocks]]*Table19[[#This Row],[Price]]</f>
        <v>0</v>
      </c>
      <c r="R472" s="36">
        <f ca="1">Table19[[#This Row],[Stock Exposure]]+Table19[[#This Row],[Option Exposure]]</f>
        <v>0</v>
      </c>
      <c r="S472" s="108" t="str">
        <f>IFERROR(Table19[[#This Row],[Num of Stocks]]*Table19[[#This Row],[Ave Entry]],"")</f>
        <v/>
      </c>
      <c r="T472" s="39">
        <f ca="1">Table19[[#This Row],[Combined Exposure]]/$C$8</f>
        <v>0</v>
      </c>
    </row>
    <row r="473" spans="1:20">
      <c r="A473" t="e" vm="490">
        <v>#VALUE!</v>
      </c>
      <c r="B473" s="13" t="str" cm="1">
        <f t="array" aca="1" ref="B473" ca="1">_FV(A473,"Ticker symbol",TRUE)</f>
        <v>GPGI</v>
      </c>
      <c r="C473" s="13" t="s">
        <v>54</v>
      </c>
      <c r="D473" s="13" t="s">
        <v>457</v>
      </c>
      <c r="E473" s="19" cm="1">
        <f t="array" aca="1" ref="E473" ca="1">IFERROR(_FV(A473,"Beta"),2)</f>
        <v>1.1057999999999999</v>
      </c>
      <c r="F473" s="13" t="str" cm="1">
        <f t="array" aca="1" ref="F473" ca="1">_FV(A473,"Instrument type",TRUE)</f>
        <v>Stock</v>
      </c>
      <c r="G473" s="18" cm="1">
        <f t="array" aca="1" ref="G473" ca="1">_FV(Table19[[#This Row],[Assets]],"Price")</f>
        <v>18.68</v>
      </c>
      <c r="H473" s="36" t="str">
        <f>IFERROR(VLOOKUP(Table19[[#This Row],[Assets]],Table25[#All],15,FALSE),"")</f>
        <v/>
      </c>
      <c r="I473" s="36">
        <f>IFERROR(VLOOKUP(Table19[[#This Row],[Assets]],Table25[#All],16,FALSE),0)</f>
        <v>0</v>
      </c>
      <c r="J473" s="84" t="str">
        <f ca="1">IFERROR((Table19[[#This Row],[Price]]-Table19[[#This Row],[Ave Entry]])/Table19[[#This Row],[Ave Entry]],"")</f>
        <v/>
      </c>
      <c r="K473" s="92">
        <f ca="1">IFERROR((Table19[[#This Row],[Price]]-Table19[[#This Row],[Ave Entry]])*Table19[[#This Row],[Num of Stocks]],0)</f>
        <v>0</v>
      </c>
      <c r="L473" s="38" cm="1">
        <f t="array" aca="1" ref="L473" ca="1">_FV(Table19[[#This Row],[Assets]],"Change (%)",TRUE)</f>
        <v>1.4114999999999999E-2</v>
      </c>
      <c r="M473" s="36">
        <f>SUMIF(Table20[Asset],Table19[[#This Row],[Assets]],Table20[realized_profit])</f>
        <v>0</v>
      </c>
      <c r="N473" s="36">
        <f>SUMIF(Table20[[#All],[Asset]],Table19[[#This Row],[Assets]],Table20[[#All],[delta_exposure]])</f>
        <v>0</v>
      </c>
      <c r="O473" s="38">
        <f ca="1">Table19[[#This Row],[Option Exposure]]/$B$6</f>
        <v>0</v>
      </c>
      <c r="P473" s="51">
        <f>SUMIF(Table25[[#All],[Assets]],Table19[[#This Row],[Assets]],Table25[[#All],[Number of stocks]])</f>
        <v>0</v>
      </c>
      <c r="Q473" s="36">
        <f ca="1">Table19[[#This Row],[Num of Stocks]]*Table19[[#This Row],[Price]]</f>
        <v>0</v>
      </c>
      <c r="R473" s="36">
        <f ca="1">Table19[[#This Row],[Stock Exposure]]+Table19[[#This Row],[Option Exposure]]</f>
        <v>0</v>
      </c>
      <c r="S473" s="108" t="str">
        <f>IFERROR(Table19[[#This Row],[Num of Stocks]]*Table19[[#This Row],[Ave Entry]],"")</f>
        <v/>
      </c>
      <c r="T473" s="39">
        <f ca="1">Table19[[#This Row],[Combined Exposure]]/$C$8</f>
        <v>0</v>
      </c>
    </row>
    <row r="474" spans="1:20">
      <c r="A474" t="e" vm="119">
        <v>#VALUE!</v>
      </c>
      <c r="B474" s="13" t="str" cm="1">
        <f t="array" aca="1" ref="B474" ca="1">_FV(A474,"Ticker symbol",TRUE)</f>
        <v>UAL</v>
      </c>
      <c r="C474" s="13" t="s">
        <v>56</v>
      </c>
      <c r="D474" s="13" t="s">
        <v>469</v>
      </c>
      <c r="E474" s="19" cm="1">
        <f t="array" aca="1" ref="E474" ca="1">IFERROR(_FV(A474,"Beta"),2)</f>
        <v>1.2793000000000001</v>
      </c>
      <c r="F474" s="13" t="str" cm="1">
        <f t="array" aca="1" ref="F474" ca="1">_FV(A474,"Instrument type",TRUE)</f>
        <v>Stock</v>
      </c>
      <c r="G474" s="18" cm="1">
        <f t="array" aca="1" ref="G474" ca="1">_FV(Table19[[#This Row],[Assets]],"Price")</f>
        <v>96.894999999999996</v>
      </c>
      <c r="H474" s="36" t="str">
        <f>IFERROR(VLOOKUP(Table19[[#This Row],[Assets]],Table25[#All],15,FALSE),"")</f>
        <v/>
      </c>
      <c r="I474" s="36">
        <f>IFERROR(VLOOKUP(Table19[[#This Row],[Assets]],Table25[#All],16,FALSE),0)</f>
        <v>0</v>
      </c>
      <c r="J474" s="84" t="str">
        <f ca="1">IFERROR((Table19[[#This Row],[Price]]-Table19[[#This Row],[Ave Entry]])/Table19[[#This Row],[Ave Entry]],"")</f>
        <v/>
      </c>
      <c r="K474" s="92">
        <f ca="1">IFERROR((Table19[[#This Row],[Price]]-Table19[[#This Row],[Ave Entry]])*Table19[[#This Row],[Num of Stocks]],0)</f>
        <v>0</v>
      </c>
      <c r="L474" s="38" cm="1">
        <f t="array" aca="1" ref="L474" ca="1">_FV(Table19[[#This Row],[Assets]],"Change (%)",TRUE)</f>
        <v>3.5645999999999997E-2</v>
      </c>
      <c r="M474" s="36">
        <f>SUMIF(Table20[Asset],Table19[[#This Row],[Assets]],Table20[realized_profit])</f>
        <v>-417</v>
      </c>
      <c r="N474" s="36">
        <f ca="1">SUMIF(Table20[[#All],[Asset]],Table19[[#This Row],[Assets]],Table20[[#All],[delta_exposure]])</f>
        <v>0</v>
      </c>
      <c r="O474" s="38">
        <f ca="1">Table19[[#This Row],[Option Exposure]]/$B$6</f>
        <v>0</v>
      </c>
      <c r="P474" s="51">
        <f>SUMIF(Table25[[#All],[Assets]],Table19[[#This Row],[Assets]],Table25[[#All],[Number of stocks]])</f>
        <v>0</v>
      </c>
      <c r="Q474" s="36">
        <f ca="1">Table19[[#This Row],[Num of Stocks]]*Table19[[#This Row],[Price]]</f>
        <v>0</v>
      </c>
      <c r="R474" s="36">
        <f ca="1">Table19[[#This Row],[Stock Exposure]]+Table19[[#This Row],[Option Exposure]]</f>
        <v>0</v>
      </c>
      <c r="S474" s="108" t="str">
        <f>IFERROR(Table19[[#This Row],[Num of Stocks]]*Table19[[#This Row],[Ave Entry]],"")</f>
        <v/>
      </c>
      <c r="T474" s="39">
        <f ca="1">Table19[[#This Row],[Combined Exposure]]/$C$8</f>
        <v>0</v>
      </c>
    </row>
    <row r="475" spans="1:20">
      <c r="A475" t="e" vm="491">
        <v>#VALUE!</v>
      </c>
      <c r="B475" s="13" t="str" cm="1">
        <f t="array" aca="1" ref="B475" ca="1">_FV(A475,"Ticker symbol",TRUE)</f>
        <v>AA</v>
      </c>
      <c r="C475" s="13" t="s">
        <v>122</v>
      </c>
      <c r="D475" s="13" t="s">
        <v>25</v>
      </c>
      <c r="E475" s="19" cm="1">
        <f t="array" aca="1" ref="E475" ca="1">IFERROR(_FV(A475,"Beta"),2)</f>
        <v>1.7826</v>
      </c>
      <c r="F475" s="13" t="str" cm="1">
        <f t="array" aca="1" ref="F475" ca="1">_FV(A475,"Instrument type",TRUE)</f>
        <v>Stock</v>
      </c>
      <c r="G475" s="18" cm="1">
        <f t="array" aca="1" ref="G475" ca="1">_FV(Table19[[#This Row],[Assets]],"Price")</f>
        <v>58.325000000000003</v>
      </c>
      <c r="H475" s="36" t="str">
        <f>IFERROR(VLOOKUP(Table19[[#This Row],[Assets]],Table25[#All],15,FALSE),"")</f>
        <v/>
      </c>
      <c r="I475" s="36">
        <f>IFERROR(VLOOKUP(Table19[[#This Row],[Assets]],Table25[#All],16,FALSE),0)</f>
        <v>0</v>
      </c>
      <c r="J475" s="84" t="str">
        <f ca="1">IFERROR((Table19[[#This Row],[Price]]-Table19[[#This Row],[Ave Entry]])/Table19[[#This Row],[Ave Entry]],"")</f>
        <v/>
      </c>
      <c r="K475" s="92">
        <f ca="1">IFERROR((Table19[[#This Row],[Price]]-Table19[[#This Row],[Ave Entry]])*Table19[[#This Row],[Num of Stocks]],0)</f>
        <v>0</v>
      </c>
      <c r="L475" s="38" cm="1">
        <f t="array" aca="1" ref="L475" ca="1">_FV(Table19[[#This Row],[Assets]],"Change (%)",TRUE)</f>
        <v>2.9023E-2</v>
      </c>
      <c r="M475" s="36">
        <f>SUMIF(Table20[Asset],Table19[[#This Row],[Assets]],Table20[realized_profit])</f>
        <v>0</v>
      </c>
      <c r="N475" s="36">
        <f>SUMIF(Table20[[#All],[Asset]],Table19[[#This Row],[Assets]],Table20[[#All],[delta_exposure]])</f>
        <v>0</v>
      </c>
      <c r="O475" s="38">
        <f ca="1">Table19[[#This Row],[Option Exposure]]/$B$6</f>
        <v>0</v>
      </c>
      <c r="P475" s="51">
        <f>SUMIF(Table25[[#All],[Assets]],Table19[[#This Row],[Assets]],Table25[[#All],[Number of stocks]])</f>
        <v>0</v>
      </c>
      <c r="Q475" s="36">
        <f ca="1">Table19[[#This Row],[Num of Stocks]]*Table19[[#This Row],[Price]]</f>
        <v>0</v>
      </c>
      <c r="R475" s="36">
        <f ca="1">Table19[[#This Row],[Stock Exposure]]+Table19[[#This Row],[Option Exposure]]</f>
        <v>0</v>
      </c>
      <c r="S475" s="108" t="str">
        <f>IFERROR(Table19[[#This Row],[Num of Stocks]]*Table19[[#This Row],[Ave Entry]],"")</f>
        <v/>
      </c>
      <c r="T475" s="39">
        <f ca="1">Table19[[#This Row],[Combined Exposure]]/$C$8</f>
        <v>0</v>
      </c>
    </row>
    <row r="476" spans="1:20">
      <c r="A476" t="e" vm="98">
        <v>#VALUE!</v>
      </c>
      <c r="B476" s="13" t="str" cm="1">
        <f t="array" aca="1" ref="B476" ca="1">_FV(A476,"Ticker symbol",TRUE)</f>
        <v>VIX</v>
      </c>
      <c r="C476" s="13" t="s">
        <v>1</v>
      </c>
      <c r="D476" s="13" t="s">
        <v>1</v>
      </c>
      <c r="E476" s="19" cm="1">
        <f t="array" ref="E476">IFERROR(_FV(A476,"Beta"),2)</f>
        <v>2</v>
      </c>
      <c r="F476" s="13" t="str" cm="1">
        <f t="array" aca="1" ref="F476" ca="1">_FV(A476,"Instrument type",TRUE)</f>
        <v>Index</v>
      </c>
      <c r="G476" s="18" cm="1">
        <f t="array" aca="1" ref="G476" ca="1">_FV(Table19[[#This Row],[Assets]],"Price")</f>
        <v>25.33</v>
      </c>
      <c r="H476" s="36" t="str">
        <f>IFERROR(VLOOKUP(Table19[[#This Row],[Assets]],Table25[#All],15,FALSE),"")</f>
        <v/>
      </c>
      <c r="I476" s="36">
        <f>IFERROR(VLOOKUP(Table19[[#This Row],[Assets]],Table25[#All],16,FALSE),0)</f>
        <v>0</v>
      </c>
      <c r="J476" s="84" t="str">
        <f ca="1">IFERROR((Table19[[#This Row],[Price]]-Table19[[#This Row],[Ave Entry]])/Table19[[#This Row],[Ave Entry]],"")</f>
        <v/>
      </c>
      <c r="K476" s="92">
        <f ca="1">IFERROR((Table19[[#This Row],[Price]]-Table19[[#This Row],[Ave Entry]])*Table19[[#This Row],[Num of Stocks]],0)</f>
        <v>0</v>
      </c>
      <c r="L476" s="38" cm="1">
        <f t="array" aca="1" ref="L476" ca="1">_FV(Table19[[#This Row],[Assets]],"Change (%)",TRUE)</f>
        <v>-6.0110999999999998E-2</v>
      </c>
      <c r="M476" s="36">
        <f>SUMIF(Table20[Asset],Table19[[#This Row],[Assets]],Table20[realized_profit])</f>
        <v>0</v>
      </c>
      <c r="N476" s="36">
        <f>SUMIF(Table20[[#All],[Asset]],Table19[[#This Row],[Assets]],Table20[[#All],[delta_exposure]])</f>
        <v>0</v>
      </c>
      <c r="O476" s="38">
        <f ca="1">Table19[[#This Row],[Option Exposure]]/$B$6</f>
        <v>0</v>
      </c>
      <c r="P476" s="51">
        <f>SUMIF(Table25[[#All],[Assets]],Table19[[#This Row],[Assets]],Table25[[#All],[Number of stocks]])</f>
        <v>0</v>
      </c>
      <c r="Q476" s="36">
        <f ca="1">Table19[[#This Row],[Num of Stocks]]*Table19[[#This Row],[Price]]</f>
        <v>0</v>
      </c>
      <c r="R476" s="36">
        <f ca="1">Table19[[#This Row],[Stock Exposure]]+Table19[[#This Row],[Option Exposure]]</f>
        <v>0</v>
      </c>
      <c r="S476" s="108" t="str">
        <f>IFERROR(Table19[[#This Row],[Num of Stocks]]*Table19[[#This Row],[Ave Entry]],"")</f>
        <v/>
      </c>
      <c r="T476" s="39">
        <f ca="1">Table19[[#This Row],[Combined Exposure]]/$C$8</f>
        <v>0</v>
      </c>
    </row>
    <row r="477" spans="1:20">
      <c r="A477" t="e" vm="492">
        <v>#VALUE!</v>
      </c>
      <c r="B477" s="13" t="str" cm="1">
        <f t="array" aca="1" ref="B477" ca="1">_FV(A477,"Ticker symbol",TRUE)</f>
        <v>DHI</v>
      </c>
      <c r="C477" s="13" t="s">
        <v>132</v>
      </c>
      <c r="D477" s="13" t="s">
        <v>132</v>
      </c>
      <c r="E477" s="19" cm="1">
        <f t="array" aca="1" ref="E477" ca="1">IFERROR(_FV(A477,"Beta"),2)</f>
        <v>1.4424999999999999</v>
      </c>
      <c r="F477" s="13" t="str" cm="1">
        <f t="array" aca="1" ref="F477" ca="1">_FV(A477,"Instrument type",TRUE)</f>
        <v>Stock</v>
      </c>
      <c r="G477" s="18" cm="1">
        <f t="array" aca="1" ref="G477" ca="1">_FV(Table19[[#This Row],[Assets]],"Price")</f>
        <v>134.965</v>
      </c>
      <c r="H477" s="36" t="str">
        <f>IFERROR(VLOOKUP(Table19[[#This Row],[Assets]],Table25[#All],15,FALSE),"")</f>
        <v/>
      </c>
      <c r="I477" s="36">
        <f>IFERROR(VLOOKUP(Table19[[#This Row],[Assets]],Table25[#All],16,FALSE),0)</f>
        <v>0</v>
      </c>
      <c r="J477" s="84" t="str">
        <f ca="1">IFERROR((Table19[[#This Row],[Price]]-Table19[[#This Row],[Ave Entry]])/Table19[[#This Row],[Ave Entry]],"")</f>
        <v/>
      </c>
      <c r="K477" s="92">
        <f ca="1">IFERROR((Table19[[#This Row],[Price]]-Table19[[#This Row],[Ave Entry]])*Table19[[#This Row],[Num of Stocks]],0)</f>
        <v>0</v>
      </c>
      <c r="L477" s="38" cm="1">
        <f t="array" aca="1" ref="L477" ca="1">_FV(Table19[[#This Row],[Assets]],"Change (%)",TRUE)</f>
        <v>-2.4326E-2</v>
      </c>
      <c r="M477" s="36">
        <f>SUMIF(Table20[Asset],Table19[[#This Row],[Assets]],Table20[realized_profit])</f>
        <v>0</v>
      </c>
      <c r="N477" s="36">
        <f>SUMIF(Table20[[#All],[Asset]],Table19[[#This Row],[Assets]],Table20[[#All],[delta_exposure]])</f>
        <v>0</v>
      </c>
      <c r="O477" s="38">
        <f ca="1">Table19[[#This Row],[Option Exposure]]/$B$6</f>
        <v>0</v>
      </c>
      <c r="P477" s="51">
        <f>SUMIF(Table25[[#All],[Assets]],Table19[[#This Row],[Assets]],Table25[[#All],[Number of stocks]])</f>
        <v>0</v>
      </c>
      <c r="Q477" s="36">
        <f ca="1">Table19[[#This Row],[Num of Stocks]]*Table19[[#This Row],[Price]]</f>
        <v>0</v>
      </c>
      <c r="R477" s="36">
        <f ca="1">Table19[[#This Row],[Stock Exposure]]+Table19[[#This Row],[Option Exposure]]</f>
        <v>0</v>
      </c>
      <c r="S477" s="108" t="str">
        <f>IFERROR(Table19[[#This Row],[Num of Stocks]]*Table19[[#This Row],[Ave Entry]],"")</f>
        <v/>
      </c>
      <c r="T477" s="39">
        <f ca="1">Table19[[#This Row],[Combined Exposure]]/$C$8</f>
        <v>0</v>
      </c>
    </row>
    <row r="478" spans="1:20">
      <c r="A478" t="e" vm="117">
        <v>#VALUE!</v>
      </c>
      <c r="B478" s="13" t="str" cm="1">
        <f t="array" aca="1" ref="B478" ca="1">_FV(A478,"Ticker symbol",TRUE)</f>
        <v>TXN</v>
      </c>
      <c r="C478" s="13" t="s">
        <v>84</v>
      </c>
      <c r="D478" s="13" t="s">
        <v>84</v>
      </c>
      <c r="E478" s="19" cm="1">
        <f t="array" aca="1" ref="E478" ca="1">IFERROR(_FV(A478,"Beta"),2)</f>
        <v>0.99450000000000005</v>
      </c>
      <c r="F478" s="13" t="str" cm="1">
        <f t="array" aca="1" ref="F478" ca="1">_FV(A478,"Instrument type",TRUE)</f>
        <v>Stock</v>
      </c>
      <c r="G478" s="18" cm="1">
        <f t="array" aca="1" ref="G478" ca="1">_FV(Table19[[#This Row],[Assets]],"Price")</f>
        <v>196.63</v>
      </c>
      <c r="H478" s="36" t="str">
        <f>IFERROR(VLOOKUP(Table19[[#This Row],[Assets]],Table25[#All],15,FALSE),"")</f>
        <v/>
      </c>
      <c r="I478" s="36">
        <f>IFERROR(VLOOKUP(Table19[[#This Row],[Assets]],Table25[#All],16,FALSE),0)</f>
        <v>0</v>
      </c>
      <c r="J478" s="84" t="str">
        <f ca="1">IFERROR((Table19[[#This Row],[Price]]-Table19[[#This Row],[Ave Entry]])/Table19[[#This Row],[Ave Entry]],"")</f>
        <v/>
      </c>
      <c r="K478" s="92">
        <f ca="1">IFERROR((Table19[[#This Row],[Price]]-Table19[[#This Row],[Ave Entry]])*Table19[[#This Row],[Num of Stocks]],0)</f>
        <v>0</v>
      </c>
      <c r="L478" s="38" cm="1">
        <f t="array" aca="1" ref="L478" ca="1">_FV(Table19[[#This Row],[Assets]],"Change (%)",TRUE)</f>
        <v>1.0276E-2</v>
      </c>
      <c r="M478" s="36">
        <f>SUMIF(Table20[Asset],Table19[[#This Row],[Assets]],Table20[realized_profit])</f>
        <v>0</v>
      </c>
      <c r="N478" s="36">
        <f>SUMIF(Table20[[#All],[Asset]],Table19[[#This Row],[Assets]],Table20[[#All],[delta_exposure]])</f>
        <v>0</v>
      </c>
      <c r="O478" s="38">
        <f ca="1">Table19[[#This Row],[Option Exposure]]/$B$6</f>
        <v>0</v>
      </c>
      <c r="P478" s="51">
        <f>SUMIF(Table25[[#All],[Assets]],Table19[[#This Row],[Assets]],Table25[[#All],[Number of stocks]])</f>
        <v>0</v>
      </c>
      <c r="Q478" s="36">
        <f ca="1">Table19[[#This Row],[Num of Stocks]]*Table19[[#This Row],[Price]]</f>
        <v>0</v>
      </c>
      <c r="R478" s="36">
        <f ca="1">Table19[[#This Row],[Stock Exposure]]+Table19[[#This Row],[Option Exposure]]</f>
        <v>0</v>
      </c>
      <c r="S478" s="108" t="str">
        <f>IFERROR(Table19[[#This Row],[Num of Stocks]]*Table19[[#This Row],[Ave Entry]],"")</f>
        <v/>
      </c>
      <c r="T478" s="39">
        <f ca="1">Table19[[#This Row],[Combined Exposure]]/$C$8</f>
        <v>0</v>
      </c>
    </row>
    <row r="479" spans="1:20">
      <c r="A479" t="e" vm="493">
        <v>#VALUE!</v>
      </c>
      <c r="B479" s="13" t="str" cm="1">
        <f t="array" aca="1" ref="B479" ca="1">_FV(A479,"Ticker symbol",TRUE)</f>
        <v>TELL</v>
      </c>
      <c r="C479" s="13" t="s">
        <v>31</v>
      </c>
      <c r="D479" s="13" t="s">
        <v>31</v>
      </c>
      <c r="E479" s="19" cm="1">
        <f t="array" aca="1" ref="E479" ca="1">IFERROR(_FV(A479,"Beta"),2)</f>
        <v>2.5621</v>
      </c>
      <c r="F479" s="13" t="str" cm="1">
        <f t="array" aca="1" ref="F479" ca="1">_FV(A479,"Instrument type",TRUE)</f>
        <v>Stock</v>
      </c>
      <c r="G479" s="18" cm="1">
        <f t="array" aca="1" ref="G479" ca="1">_FV(Table19[[#This Row],[Assets]],"Price")</f>
        <v>0.999</v>
      </c>
      <c r="H479" s="36">
        <f>IFERROR(VLOOKUP(Table19[[#This Row],[Assets]],Table25[#All],15,FALSE),"")</f>
        <v>0.64870000000000005</v>
      </c>
      <c r="I479" s="36">
        <f>IFERROR(VLOOKUP(Table19[[#This Row],[Assets]],Table25[#All],16,FALSE),0)</f>
        <v>113.03999999999999</v>
      </c>
      <c r="J479" s="84">
        <f ca="1">IFERROR((Table19[[#This Row],[Price]]-Table19[[#This Row],[Ave Entry]])/Table19[[#This Row],[Ave Entry]],"")</f>
        <v>0.54000308308925526</v>
      </c>
      <c r="K479" s="92">
        <f ca="1">IFERROR((Table19[[#This Row],[Price]]-Table19[[#This Row],[Ave Entry]])*Table19[[#This Row],[Num of Stocks]],0)</f>
        <v>0</v>
      </c>
      <c r="L479" s="38" cm="1">
        <f t="array" aca="1" ref="L479" ca="1">_FV(Table19[[#This Row],[Assets]],"Change (%)",TRUE)</f>
        <v>0</v>
      </c>
      <c r="M479" s="36">
        <f>SUMIF(Table20[Asset],Table19[[#This Row],[Assets]],Table20[realized_profit])</f>
        <v>0</v>
      </c>
      <c r="N479" s="36">
        <f>SUMIF(Table20[[#All],[Asset]],Table19[[#This Row],[Assets]],Table20[[#All],[delta_exposure]])</f>
        <v>0</v>
      </c>
      <c r="O479" s="98">
        <f ca="1">Table19[[#This Row],[Option Exposure]]/$B$6</f>
        <v>0</v>
      </c>
      <c r="P479" s="51">
        <f>SUMIF(Table25[[#All],[Assets]],Table19[[#This Row],[Assets]],Table25[[#All],[Number of stocks]])</f>
        <v>0</v>
      </c>
      <c r="Q479" s="36">
        <f ca="1">Table19[[#This Row],[Num of Stocks]]*Table19[[#This Row],[Price]]</f>
        <v>0</v>
      </c>
      <c r="R479" s="36">
        <f ca="1">Table19[[#This Row],[Stock Exposure]]+Table19[[#This Row],[Option Exposure]]</f>
        <v>0</v>
      </c>
      <c r="S479" s="108">
        <f>IFERROR(Table19[[#This Row],[Num of Stocks]]*Table19[[#This Row],[Ave Entry]],"")</f>
        <v>0</v>
      </c>
      <c r="T479" s="39">
        <f ca="1">Table19[[#This Row],[Combined Exposure]]/$C$8</f>
        <v>0</v>
      </c>
    </row>
    <row r="480" spans="1:20">
      <c r="A480" t="e" vm="494">
        <v>#VALUE!</v>
      </c>
      <c r="B480" s="13" t="str" cm="1">
        <f t="array" aca="1" ref="B480" ca="1">_FV(A480,"Ticker symbol",TRUE)</f>
        <v>GEO</v>
      </c>
      <c r="C480" s="13" t="s">
        <v>122</v>
      </c>
      <c r="D480" s="13" t="s">
        <v>123</v>
      </c>
      <c r="E480" s="19" cm="1">
        <f t="array" aca="1" ref="E480" ca="1">IFERROR(_FV(A480,"Beta"),2)</f>
        <v>0.68789999999999996</v>
      </c>
      <c r="F480" s="13" t="str" cm="1">
        <f t="array" aca="1" ref="F480" ca="1">_FV(A480,"Instrument type",TRUE)</f>
        <v>Stock</v>
      </c>
      <c r="G480" s="18" cm="1">
        <f t="array" aca="1" ref="G480" ca="1">_FV(Table19[[#This Row],[Assets]],"Price")</f>
        <v>17.29</v>
      </c>
      <c r="H480" s="36">
        <f>IFERROR(VLOOKUP(Table19[[#This Row],[Assets]],Table25[#All],15,FALSE),"")</f>
        <v>14.2</v>
      </c>
      <c r="I480" s="36">
        <f>IFERROR(VLOOKUP(Table19[[#This Row],[Assets]],Table25[#All],16,FALSE),0)</f>
        <v>61.750000000000007</v>
      </c>
      <c r="J480" s="84">
        <f ca="1">IFERROR((Table19[[#This Row],[Price]]-Table19[[#This Row],[Ave Entry]])/Table19[[#This Row],[Ave Entry]],"")</f>
        <v>0.21760563380281689</v>
      </c>
      <c r="K480" s="92">
        <f ca="1">IFERROR((Table19[[#This Row],[Price]]-Table19[[#This Row],[Ave Entry]])*Table19[[#This Row],[Num of Stocks]],0)</f>
        <v>0</v>
      </c>
      <c r="L480" s="38" cm="1">
        <f t="array" aca="1" ref="L480" ca="1">_FV(Table19[[#This Row],[Assets]],"Change (%)",TRUE)</f>
        <v>2.0660999999999999E-2</v>
      </c>
      <c r="M480" s="36">
        <f>SUMIF(Table20[Asset],Table19[[#This Row],[Assets]],Table20[realized_profit])</f>
        <v>0</v>
      </c>
      <c r="N480" s="36">
        <f>SUMIF(Table20[[#All],[Asset]],Table19[[#This Row],[Assets]],Table20[[#All],[delta_exposure]])</f>
        <v>0</v>
      </c>
      <c r="O480" s="38">
        <f ca="1">Table19[[#This Row],[Option Exposure]]/$B$6</f>
        <v>0</v>
      </c>
      <c r="P480" s="51">
        <f>SUMIF(Table25[[#All],[Assets]],Table19[[#This Row],[Assets]],Table25[[#All],[Number of stocks]])</f>
        <v>0</v>
      </c>
      <c r="Q480" s="36">
        <f ca="1">Table19[[#This Row],[Num of Stocks]]*Table19[[#This Row],[Price]]</f>
        <v>0</v>
      </c>
      <c r="R480" s="36">
        <f ca="1">Table19[[#This Row],[Stock Exposure]]+Table19[[#This Row],[Option Exposure]]</f>
        <v>0</v>
      </c>
      <c r="S480" s="108">
        <f>IFERROR(Table19[[#This Row],[Num of Stocks]]*Table19[[#This Row],[Ave Entry]],"")</f>
        <v>0</v>
      </c>
      <c r="T480" s="39">
        <f ca="1">Table19[[#This Row],[Combined Exposure]]/$C$8</f>
        <v>0</v>
      </c>
    </row>
    <row r="481" spans="1:20">
      <c r="A481" t="e" vm="62">
        <v>#VALUE!</v>
      </c>
      <c r="B481" s="13" t="str" cm="1">
        <f t="array" aca="1" ref="B481" ca="1">_FV(A481,"Ticker symbol",TRUE)</f>
        <v>EQT</v>
      </c>
      <c r="C481" s="13" t="s">
        <v>31</v>
      </c>
      <c r="D481" s="13" t="s">
        <v>31</v>
      </c>
      <c r="E481" s="19" cm="1">
        <f t="array" aca="1" ref="E481" ca="1">IFERROR(_FV(A481,"Beta"),2)</f>
        <v>0.68330000000000002</v>
      </c>
      <c r="F481" s="13" t="str" cm="1">
        <f t="array" aca="1" ref="F481" ca="1">_FV(A481,"Instrument type",TRUE)</f>
        <v>Stock</v>
      </c>
      <c r="G481" s="18" cm="1">
        <f t="array" aca="1" ref="G481" ca="1">_FV(Table19[[#This Row],[Assets]],"Price")</f>
        <v>66.7</v>
      </c>
      <c r="H481" s="36">
        <f>IFERROR(VLOOKUP(Table19[[#This Row],[Assets]],Table25[#All],15,FALSE),"")</f>
        <v>40.68</v>
      </c>
      <c r="I481" s="36">
        <f>IFERROR(VLOOKUP(Table19[[#This Row],[Assets]],Table25[#All],16,FALSE),0)</f>
        <v>-167.8</v>
      </c>
      <c r="J481" s="84">
        <f ca="1">IFERROR((Table19[[#This Row],[Price]]-Table19[[#This Row],[Ave Entry]])/Table19[[#This Row],[Ave Entry]],"")</f>
        <v>0.63962635201573259</v>
      </c>
      <c r="K481" s="92">
        <f ca="1">IFERROR((Table19[[#This Row],[Price]]-Table19[[#This Row],[Ave Entry]])*Table19[[#This Row],[Num of Stocks]],0)</f>
        <v>0</v>
      </c>
      <c r="L481" s="38" cm="1">
        <f t="array" aca="1" ref="L481" ca="1">_FV(Table19[[#This Row],[Assets]],"Change (%)",TRUE)</f>
        <v>2.0969999999999999E-2</v>
      </c>
      <c r="M481" s="36">
        <f>SUMIF(Table20[Asset],Table19[[#This Row],[Assets]],Table20[realized_profit])</f>
        <v>0</v>
      </c>
      <c r="N481" s="36">
        <f ca="1">SUMIF(Table20[[#All],[Asset]],Table19[[#This Row],[Assets]],Table20[[#All],[delta_exposure]])</f>
        <v>4766.1975544411871</v>
      </c>
      <c r="O481" s="98">
        <f ca="1">Table19[[#This Row],[Option Exposure]]/$B$6</f>
        <v>0.1721844753474181</v>
      </c>
      <c r="P481" s="51">
        <f>SUMIF(Table25[[#All],[Assets]],Table19[[#This Row],[Assets]],Table25[[#All],[Number of stocks]])</f>
        <v>0</v>
      </c>
      <c r="Q481" s="36">
        <f ca="1">Table19[[#This Row],[Num of Stocks]]*Table19[[#This Row],[Price]]</f>
        <v>0</v>
      </c>
      <c r="R481" s="36">
        <f ca="1">Table19[[#This Row],[Stock Exposure]]+Table19[[#This Row],[Option Exposure]]</f>
        <v>4766.1975544411871</v>
      </c>
      <c r="S481" s="108">
        <f>IFERROR(Table19[[#This Row],[Num of Stocks]]*Table19[[#This Row],[Ave Entry]],"")</f>
        <v>0</v>
      </c>
      <c r="T481" s="39">
        <f ca="1">Table19[[#This Row],[Combined Exposure]]/$C$8</f>
        <v>3.0041821406870929E-2</v>
      </c>
    </row>
    <row r="482" spans="1:20">
      <c r="A482" t="e" vm="93">
        <v>#VALUE!</v>
      </c>
      <c r="B482" s="13" t="str" cm="1">
        <f t="array" aca="1" ref="B482" ca="1">_FV(A482,"Ticker symbol",TRUE)</f>
        <v>PPTA</v>
      </c>
      <c r="C482" s="13" t="s">
        <v>109</v>
      </c>
      <c r="D482" s="13" t="s">
        <v>25</v>
      </c>
      <c r="E482" s="19" cm="1">
        <f t="array" aca="1" ref="E482" ca="1">IFERROR(_FV(A482,"Beta"),2)</f>
        <v>0.86040000000000005</v>
      </c>
      <c r="F482" s="13" t="str" cm="1">
        <f t="array" aca="1" ref="F482" ca="1">_FV(A482,"Instrument type",TRUE)</f>
        <v>Stock</v>
      </c>
      <c r="G482" s="18" cm="1">
        <f t="array" aca="1" ref="G482" ca="1">_FV(Table19[[#This Row],[Assets]],"Price")</f>
        <v>25.87</v>
      </c>
      <c r="H482" s="36">
        <f>IFERROR(VLOOKUP(Table19[[#This Row],[Assets]],Table25[#All],15,FALSE),"")</f>
        <v>8.7359999999999989</v>
      </c>
      <c r="I482" s="36">
        <f>IFERROR(VLOOKUP(Table19[[#This Row],[Assets]],Table25[#All],16,FALSE),0)</f>
        <v>2.840000000000007</v>
      </c>
      <c r="J482" s="84">
        <f ca="1">IFERROR((Table19[[#This Row],[Price]]-Table19[[#This Row],[Ave Entry]])/Table19[[#This Row],[Ave Entry]],"")</f>
        <v>1.9613095238095242</v>
      </c>
      <c r="K482" s="92">
        <f ca="1">IFERROR((Table19[[#This Row],[Price]]-Table19[[#This Row],[Ave Entry]])*Table19[[#This Row],[Num of Stocks]],0)</f>
        <v>0</v>
      </c>
      <c r="L482" s="38" cm="1">
        <f t="array" aca="1" ref="L482" ca="1">_FV(Table19[[#This Row],[Assets]],"Change (%)",TRUE)</f>
        <v>2.7403E-2</v>
      </c>
      <c r="M482" s="36">
        <f>SUMIF(Table20[Asset],Table19[[#This Row],[Assets]],Table20[realized_profit])</f>
        <v>0</v>
      </c>
      <c r="N482" s="36">
        <f>SUMIF(Table20[[#All],[Asset]],Table19[[#This Row],[Assets]],Table20[[#All],[delta_exposure]])</f>
        <v>0</v>
      </c>
      <c r="O482" s="38">
        <f ca="1">Table19[[#This Row],[Option Exposure]]/$B$6</f>
        <v>0</v>
      </c>
      <c r="P482" s="51">
        <f>SUMIF(Table25[[#All],[Assets]],Table19[[#This Row],[Assets]],Table25[[#All],[Number of stocks]])</f>
        <v>0</v>
      </c>
      <c r="Q482" s="36">
        <f ca="1">Table19[[#This Row],[Num of Stocks]]*Table19[[#This Row],[Price]]</f>
        <v>0</v>
      </c>
      <c r="R482" s="36">
        <f ca="1">Table19[[#This Row],[Stock Exposure]]+Table19[[#This Row],[Option Exposure]]</f>
        <v>0</v>
      </c>
      <c r="S482" s="108">
        <f>IFERROR(Table19[[#This Row],[Num of Stocks]]*Table19[[#This Row],[Ave Entry]],"")</f>
        <v>0</v>
      </c>
      <c r="T482" s="39">
        <f ca="1">Table19[[#This Row],[Combined Exposure]]/$C$8</f>
        <v>0</v>
      </c>
    </row>
    <row r="483" spans="1:20">
      <c r="A483" t="e" vm="146">
        <v>#VALUE!</v>
      </c>
      <c r="B483" s="13" t="str" cm="1">
        <f t="array" aca="1" ref="B483" ca="1">_FV(A483,"Ticker symbol",TRUE)</f>
        <v>TRP</v>
      </c>
      <c r="C483" s="13" t="s">
        <v>31</v>
      </c>
      <c r="D483" s="13" t="s">
        <v>119</v>
      </c>
      <c r="E483" s="19" cm="1">
        <f t="array" aca="1" ref="E483" ca="1">IFERROR(_FV(A483,"Beta"),2)</f>
        <v>0.91779999999999995</v>
      </c>
      <c r="F483" s="13" t="str" cm="1">
        <f t="array" aca="1" ref="F483" ca="1">_FV(A483,"Instrument type",TRUE)</f>
        <v>Stock</v>
      </c>
      <c r="G483" s="18" cm="1">
        <f t="array" aca="1" ref="G483" ca="1">_FV(Table19[[#This Row],[Assets]],"Price")</f>
        <v>64.010000000000005</v>
      </c>
      <c r="H483" s="36" t="str">
        <f>IFERROR(VLOOKUP(Table19[[#This Row],[Assets]],Table25[#All],15,FALSE),"")</f>
        <v/>
      </c>
      <c r="I483" s="36">
        <f>IFERROR(VLOOKUP(Table19[[#This Row],[Assets]],Table25[#All],16,FALSE),0)</f>
        <v>0</v>
      </c>
      <c r="J483" s="84" t="str">
        <f ca="1">IFERROR((Table19[[#This Row],[Price]]-Table19[[#This Row],[Ave Entry]])/Table19[[#This Row],[Ave Entry]],"")</f>
        <v/>
      </c>
      <c r="K483" s="92">
        <f ca="1">IFERROR((Table19[[#This Row],[Price]]-Table19[[#This Row],[Ave Entry]])*Table19[[#This Row],[Num of Stocks]],0)</f>
        <v>0</v>
      </c>
      <c r="L483" s="38" cm="1">
        <f t="array" aca="1" ref="L483" ca="1">_FV(Table19[[#This Row],[Assets]],"Change (%)",TRUE)</f>
        <v>-9.3649999999999994E-4</v>
      </c>
      <c r="M483" s="36">
        <f>SUMIF(Table20[Asset],Table19[[#This Row],[Assets]],Table20[realized_profit])</f>
        <v>0</v>
      </c>
      <c r="N483" s="36">
        <f>SUMIF(Table20[[#All],[Asset]],Table19[[#This Row],[Assets]],Table20[[#All],[delta_exposure]])</f>
        <v>0</v>
      </c>
      <c r="O483" s="38">
        <f ca="1">Table19[[#This Row],[Option Exposure]]/$B$6</f>
        <v>0</v>
      </c>
      <c r="P483" s="51">
        <f>SUMIF(Table25[[#All],[Assets]],Table19[[#This Row],[Assets]],Table25[[#All],[Number of stocks]])</f>
        <v>0</v>
      </c>
      <c r="Q483" s="36">
        <f ca="1">Table19[[#This Row],[Num of Stocks]]*Table19[[#This Row],[Price]]</f>
        <v>0</v>
      </c>
      <c r="R483" s="36">
        <f ca="1">Table19[[#This Row],[Stock Exposure]]+Table19[[#This Row],[Option Exposure]]</f>
        <v>0</v>
      </c>
      <c r="S483" s="108" t="str">
        <f>IFERROR(Table19[[#This Row],[Num of Stocks]]*Table19[[#This Row],[Ave Entry]],"")</f>
        <v/>
      </c>
      <c r="T483" s="39">
        <f ca="1">Table19[[#This Row],[Combined Exposure]]/$C$8</f>
        <v>0</v>
      </c>
    </row>
    <row r="484" spans="1:20">
      <c r="A484" t="e" vm="495">
        <v>#VALUE!</v>
      </c>
      <c r="B484" s="13" t="str" cm="1">
        <f t="array" aca="1" ref="B484" ca="1">_FV(A484,"Ticker symbol",TRUE)</f>
        <v>KSS</v>
      </c>
      <c r="C484" s="13" t="s">
        <v>55</v>
      </c>
      <c r="D484" s="13" t="s">
        <v>55</v>
      </c>
      <c r="E484" s="19" cm="1">
        <f t="array" aca="1" ref="E484" ca="1">IFERROR(_FV(A484,"Beta"),2)</f>
        <v>1.5077</v>
      </c>
      <c r="F484" s="13" t="str" cm="1">
        <f t="array" aca="1" ref="F484" ca="1">_FV(A484,"Instrument type",TRUE)</f>
        <v>Stock</v>
      </c>
      <c r="G484" s="18" cm="1">
        <f t="array" aca="1" ref="G484" ca="1">_FV(Table19[[#This Row],[Assets]],"Price")</f>
        <v>12.524900000000001</v>
      </c>
      <c r="H484" s="36">
        <f>IFERROR(VLOOKUP(Table19[[#This Row],[Assets]],Table25[#All],15,FALSE),"")</f>
        <v>12.33</v>
      </c>
      <c r="I484" s="36">
        <f>IFERROR(VLOOKUP(Table19[[#This Row],[Assets]],Table25[#All],16,FALSE),0)</f>
        <v>-7.2000000000000064</v>
      </c>
      <c r="J484" s="84">
        <f ca="1">IFERROR((Table19[[#This Row],[Price]]-Table19[[#This Row],[Ave Entry]])/Table19[[#This Row],[Ave Entry]],"")</f>
        <v>1.580697485806979E-2</v>
      </c>
      <c r="K484" s="92">
        <f ca="1">IFERROR((Table19[[#This Row],[Price]]-Table19[[#This Row],[Ave Entry]])*Table19[[#This Row],[Num of Stocks]],0)</f>
        <v>0</v>
      </c>
      <c r="L484" s="38" cm="1">
        <f t="array" aca="1" ref="L484" ca="1">_FV(Table19[[#This Row],[Assets]],"Change (%)",TRUE)</f>
        <v>1.4161999999999999E-2</v>
      </c>
      <c r="M484" s="36">
        <f>SUMIF(Table20[Asset],Table19[[#This Row],[Assets]],Table20[realized_profit])</f>
        <v>0</v>
      </c>
      <c r="N484" s="36">
        <f>SUMIF(Table20[[#All],[Asset]],Table19[[#This Row],[Assets]],Table20[[#All],[delta_exposure]])</f>
        <v>0</v>
      </c>
      <c r="O484" s="38">
        <f ca="1">Table19[[#This Row],[Option Exposure]]/$B$6</f>
        <v>0</v>
      </c>
      <c r="P484" s="51">
        <f>SUMIF(Table25[[#All],[Assets]],Table19[[#This Row],[Assets]],Table25[[#All],[Number of stocks]])</f>
        <v>0</v>
      </c>
      <c r="Q484" s="36">
        <f ca="1">Table19[[#This Row],[Num of Stocks]]*Table19[[#This Row],[Price]]</f>
        <v>0</v>
      </c>
      <c r="R484" s="36">
        <f ca="1">Table19[[#This Row],[Stock Exposure]]+Table19[[#This Row],[Option Exposure]]</f>
        <v>0</v>
      </c>
      <c r="S484" s="108">
        <f>IFERROR(Table19[[#This Row],[Num of Stocks]]*Table19[[#This Row],[Ave Entry]],"")</f>
        <v>0</v>
      </c>
      <c r="T484" s="39">
        <f ca="1">Table19[[#This Row],[Combined Exposure]]/$C$8</f>
        <v>0</v>
      </c>
    </row>
    <row r="485" spans="1:20">
      <c r="A485" t="e" vm="94">
        <v>#VALUE!</v>
      </c>
      <c r="B485" s="13" t="str" cm="1">
        <f t="array" aca="1" ref="B485" ca="1">_FV(A485,"Ticker symbol",TRUE)</f>
        <v>MAG</v>
      </c>
      <c r="C485" s="13" t="s">
        <v>133</v>
      </c>
      <c r="D485" s="13" t="s">
        <v>25</v>
      </c>
      <c r="E485" s="19" cm="1">
        <f t="array" aca="1" ref="E485" ca="1">IFERROR(_FV(A485,"Beta"),2)</f>
        <v>1.0036</v>
      </c>
      <c r="F485" s="13" t="str" cm="1">
        <f t="array" aca="1" ref="F485" ca="1">_FV(A485,"Instrument type",TRUE)</f>
        <v>Stock</v>
      </c>
      <c r="G485" s="18" cm="1">
        <f t="array" aca="1" ref="G485" ca="1">_FV(Table19[[#This Row],[Assets]],"Price")</f>
        <v>24.47</v>
      </c>
      <c r="H485" s="36">
        <f>IFERROR(VLOOKUP(Table19[[#This Row],[Assets]],Table25[#All],15,FALSE),"")</f>
        <v>12.84</v>
      </c>
      <c r="I485" s="36">
        <f>IFERROR(VLOOKUP(Table19[[#This Row],[Assets]],Table25[#All],16,FALSE),0)</f>
        <v>-5.9999999999998721E-2</v>
      </c>
      <c r="J485" s="84">
        <f ca="1">IFERROR((Table19[[#This Row],[Price]]-Table19[[#This Row],[Ave Entry]])/Table19[[#This Row],[Ave Entry]],"")</f>
        <v>0.90576323987538931</v>
      </c>
      <c r="K485" s="92">
        <f ca="1">IFERROR((Table19[[#This Row],[Price]]-Table19[[#This Row],[Ave Entry]])*Table19[[#This Row],[Num of Stocks]],0)</f>
        <v>0</v>
      </c>
      <c r="L485" s="38" cm="1">
        <f t="array" aca="1" ref="L485" ca="1">_FV(Table19[[#This Row],[Assets]],"Change (%)",TRUE)</f>
        <v>0</v>
      </c>
      <c r="M485" s="36">
        <f>SUMIF(Table20[Asset],Table19[[#This Row],[Assets]],Table20[realized_profit])</f>
        <v>0</v>
      </c>
      <c r="N485" s="36">
        <f>SUMIF(Table20[[#All],[Asset]],Table19[[#This Row],[Assets]],Table20[[#All],[delta_exposure]])</f>
        <v>0</v>
      </c>
      <c r="O485" s="98">
        <f ca="1">Table19[[#This Row],[Option Exposure]]/$B$6</f>
        <v>0</v>
      </c>
      <c r="P485" s="51">
        <f>SUMIF(Table25[[#All],[Assets]],Table19[[#This Row],[Assets]],Table25[[#All],[Number of stocks]])</f>
        <v>0</v>
      </c>
      <c r="Q485" s="36">
        <f ca="1">Table19[[#This Row],[Num of Stocks]]*Table19[[#This Row],[Price]]</f>
        <v>0</v>
      </c>
      <c r="R485" s="36">
        <f ca="1">Table19[[#This Row],[Stock Exposure]]+Table19[[#This Row],[Option Exposure]]</f>
        <v>0</v>
      </c>
      <c r="S485" s="108">
        <f>IFERROR(Table19[[#This Row],[Num of Stocks]]*Table19[[#This Row],[Ave Entry]],"")</f>
        <v>0</v>
      </c>
      <c r="T485" s="39">
        <f ca="1">Table19[[#This Row],[Combined Exposure]]/$C$8</f>
        <v>0</v>
      </c>
    </row>
    <row r="486" spans="1:20">
      <c r="A486" t="e" vm="496">
        <v>#VALUE!</v>
      </c>
      <c r="B486" s="13" t="str" cm="1">
        <f t="array" aca="1" ref="B486" ca="1">_FV(A486,"Ticker symbol",TRUE)</f>
        <v>TCEHY</v>
      </c>
      <c r="C486" s="13" t="s">
        <v>30</v>
      </c>
      <c r="D486" s="13" t="s">
        <v>30</v>
      </c>
      <c r="E486" s="19" cm="1">
        <f t="array" aca="1" ref="E486" ca="1">IFERROR(_FV(A486,"Beta"),2)</f>
        <v>1.3523000000000001</v>
      </c>
      <c r="F486" s="13" t="str" cm="1">
        <f t="array" aca="1" ref="F486" ca="1">_FV(A486,"Instrument type",TRUE)</f>
        <v>Stock</v>
      </c>
      <c r="G486" s="18" cm="1">
        <f t="array" aca="1" ref="G486" ca="1">_FV(Table19[[#This Row],[Assets]],"Price")</f>
        <v>64.7</v>
      </c>
      <c r="H486" s="36" t="str">
        <f>IFERROR(VLOOKUP(Table19[[#This Row],[Assets]],Table25[#All],15,FALSE),"")</f>
        <v/>
      </c>
      <c r="I486" s="36">
        <f>IFERROR(VLOOKUP(Table19[[#This Row],[Assets]],Table25[#All],16,FALSE),0)</f>
        <v>0</v>
      </c>
      <c r="J486" s="84" t="str">
        <f ca="1">IFERROR((Table19[[#This Row],[Price]]-Table19[[#This Row],[Ave Entry]])/Table19[[#This Row],[Ave Entry]],"")</f>
        <v/>
      </c>
      <c r="K486" s="92">
        <f ca="1">IFERROR((Table19[[#This Row],[Price]]-Table19[[#This Row],[Ave Entry]])*Table19[[#This Row],[Num of Stocks]],0)</f>
        <v>0</v>
      </c>
      <c r="L486" s="38" cm="1">
        <f t="array" aca="1" ref="L486" ca="1">_FV(Table19[[#This Row],[Assets]],"Change (%)",TRUE)</f>
        <v>-5.9919999999999999E-3</v>
      </c>
      <c r="M486" s="36">
        <f>SUMIF(Table20[Asset],Table19[[#This Row],[Assets]],Table20[realized_profit])</f>
        <v>0</v>
      </c>
      <c r="N486" s="36">
        <f>SUMIF(Table20[[#All],[Asset]],Table19[[#This Row],[Assets]],Table20[[#All],[delta_exposure]])</f>
        <v>0</v>
      </c>
      <c r="O486" s="38">
        <f ca="1">Table19[[#This Row],[Option Exposure]]/$B$6</f>
        <v>0</v>
      </c>
      <c r="P486" s="51">
        <f>SUMIF(Table25[[#All],[Assets]],Table19[[#This Row],[Assets]],Table25[[#All],[Number of stocks]])</f>
        <v>0</v>
      </c>
      <c r="Q486" s="36">
        <f ca="1">Table19[[#This Row],[Num of Stocks]]*Table19[[#This Row],[Price]]</f>
        <v>0</v>
      </c>
      <c r="R486" s="36">
        <f ca="1">Table19[[#This Row],[Stock Exposure]]+Table19[[#This Row],[Option Exposure]]</f>
        <v>0</v>
      </c>
      <c r="S486" s="108" t="str">
        <f>IFERROR(Table19[[#This Row],[Num of Stocks]]*Table19[[#This Row],[Ave Entry]],"")</f>
        <v/>
      </c>
      <c r="T486" s="39">
        <f ca="1">Table19[[#This Row],[Combined Exposure]]/$C$8</f>
        <v>0</v>
      </c>
    </row>
    <row r="487" spans="1:20">
      <c r="A487" t="e" vm="117">
        <v>#VALUE!</v>
      </c>
      <c r="B487" s="13" t="str" cm="1">
        <f t="array" aca="1" ref="B487" ca="1">_FV(A487,"Ticker symbol",TRUE)</f>
        <v>TXN</v>
      </c>
      <c r="C487" s="13" t="s">
        <v>84</v>
      </c>
      <c r="D487" s="13" t="s">
        <v>84</v>
      </c>
      <c r="E487" s="19" cm="1">
        <f t="array" aca="1" ref="E487" ca="1">IFERROR(_FV(A487,"Beta"),2)</f>
        <v>0.99450000000000005</v>
      </c>
      <c r="F487" s="13" t="str" cm="1">
        <f t="array" aca="1" ref="F487" ca="1">_FV(A487,"Instrument type",TRUE)</f>
        <v>Stock</v>
      </c>
      <c r="G487" s="18" cm="1">
        <f t="array" aca="1" ref="G487" ca="1">_FV(Table19[[#This Row],[Assets]],"Price")</f>
        <v>196.63</v>
      </c>
      <c r="H487" s="36" t="str">
        <f>IFERROR(VLOOKUP(Table19[[#This Row],[Assets]],Table25[#All],15,FALSE),"")</f>
        <v/>
      </c>
      <c r="I487" s="36">
        <f>IFERROR(VLOOKUP(Table19[[#This Row],[Assets]],Table25[#All],16,FALSE),0)</f>
        <v>0</v>
      </c>
      <c r="J487" s="84" t="str">
        <f ca="1">IFERROR((Table19[[#This Row],[Price]]-Table19[[#This Row],[Ave Entry]])/Table19[[#This Row],[Ave Entry]],"")</f>
        <v/>
      </c>
      <c r="K487" s="92">
        <f ca="1">IFERROR((Table19[[#This Row],[Price]]-Table19[[#This Row],[Ave Entry]])*Table19[[#This Row],[Num of Stocks]],0)</f>
        <v>0</v>
      </c>
      <c r="L487" s="38" cm="1">
        <f t="array" aca="1" ref="L487" ca="1">_FV(Table19[[#This Row],[Assets]],"Change (%)",TRUE)</f>
        <v>1.0276E-2</v>
      </c>
      <c r="M487" s="36">
        <f>SUMIF(Table20[Asset],Table19[[#This Row],[Assets]],Table20[realized_profit])</f>
        <v>0</v>
      </c>
      <c r="N487" s="36">
        <f>SUMIF(Table20[[#All],[Asset]],Table19[[#This Row],[Assets]],Table20[[#All],[delta_exposure]])</f>
        <v>0</v>
      </c>
      <c r="O487" s="38">
        <f ca="1">Table19[[#This Row],[Option Exposure]]/$B$6</f>
        <v>0</v>
      </c>
      <c r="P487" s="51">
        <f>SUMIF(Table25[[#All],[Assets]],Table19[[#This Row],[Assets]],Table25[[#All],[Number of stocks]])</f>
        <v>0</v>
      </c>
      <c r="Q487" s="36">
        <f ca="1">Table19[[#This Row],[Num of Stocks]]*Table19[[#This Row],[Price]]</f>
        <v>0</v>
      </c>
      <c r="R487" s="36">
        <f ca="1">Table19[[#This Row],[Stock Exposure]]+Table19[[#This Row],[Option Exposure]]</f>
        <v>0</v>
      </c>
      <c r="S487" s="108" t="str">
        <f>IFERROR(Table19[[#This Row],[Num of Stocks]]*Table19[[#This Row],[Ave Entry]],"")</f>
        <v/>
      </c>
      <c r="T487" s="39">
        <f ca="1">Table19[[#This Row],[Combined Exposure]]/$C$8</f>
        <v>0</v>
      </c>
    </row>
    <row r="488" spans="1:20">
      <c r="A488" t="e" vm="497">
        <v>#VALUE!</v>
      </c>
      <c r="B488" s="13" t="str" cm="1">
        <f t="array" aca="1" ref="B488" ca="1">_FV(A488,"Ticker symbol",TRUE)</f>
        <v>SBOW</v>
      </c>
      <c r="C488" s="13" t="s">
        <v>31</v>
      </c>
      <c r="D488" s="13" t="s">
        <v>31</v>
      </c>
      <c r="E488" s="19" cm="1">
        <f t="array" aca="1" ref="E488" ca="1">IFERROR(_FV(A488,"Beta"),2)</f>
        <v>2.5949</v>
      </c>
      <c r="F488" s="13" t="str" cm="1">
        <f t="array" aca="1" ref="F488" ca="1">_FV(A488,"Instrument type",TRUE)</f>
        <v>Stock</v>
      </c>
      <c r="G488" s="18" cm="1">
        <f t="array" aca="1" ref="G488" ca="1">_FV(Table19[[#This Row],[Assets]],"Price")</f>
        <v>36.82</v>
      </c>
      <c r="H488" s="36">
        <f>IFERROR(VLOOKUP(Table19[[#This Row],[Assets]],Table25[#All],15,FALSE),"")</f>
        <v>31.690069190851432</v>
      </c>
      <c r="I488" s="36">
        <f>IFERROR(VLOOKUP(Table19[[#This Row],[Assets]],Table25[#All],16,FALSE),0)</f>
        <v>-253.20550000000006</v>
      </c>
      <c r="J488" s="84">
        <f ca="1">IFERROR((Table19[[#This Row],[Price]]-Table19[[#This Row],[Ave Entry]])/Table19[[#This Row],[Ave Entry]],"")</f>
        <v>0.1618781826651714</v>
      </c>
      <c r="K488" s="92">
        <f ca="1">IFERROR((Table19[[#This Row],[Price]]-Table19[[#This Row],[Ave Entry]])*Table19[[#This Row],[Num of Stocks]],0)</f>
        <v>0</v>
      </c>
      <c r="L488" s="38" cm="1">
        <f t="array" aca="1" ref="L488" ca="1">_FV(Table19[[#This Row],[Assets]],"Change (%)",TRUE)</f>
        <v>0</v>
      </c>
      <c r="M488" s="36">
        <f>SUMIF(Table20[Asset],Table19[[#This Row],[Assets]],Table20[realized_profit])</f>
        <v>0</v>
      </c>
      <c r="N488" s="36">
        <f>SUMIF(Table20[[#All],[Asset]],Table19[[#This Row],[Assets]],Table20[[#All],[delta_exposure]])</f>
        <v>0</v>
      </c>
      <c r="O488" s="98">
        <f ca="1">Table19[[#This Row],[Option Exposure]]/$B$6</f>
        <v>0</v>
      </c>
      <c r="P488" s="51">
        <f>SUMIF(Table25[[#All],[Assets]],Table19[[#This Row],[Assets]],Table25[[#All],[Number of stocks]])</f>
        <v>0</v>
      </c>
      <c r="Q488" s="36">
        <f ca="1">Table19[[#This Row],[Num of Stocks]]*Table19[[#This Row],[Price]]</f>
        <v>0</v>
      </c>
      <c r="R488" s="36">
        <f ca="1">Table19[[#This Row],[Stock Exposure]]+Table19[[#This Row],[Option Exposure]]</f>
        <v>0</v>
      </c>
      <c r="S488" s="108">
        <f>IFERROR(Table19[[#This Row],[Num of Stocks]]*Table19[[#This Row],[Ave Entry]],"")</f>
        <v>0</v>
      </c>
      <c r="T488" s="39">
        <f ca="1">Table19[[#This Row],[Combined Exposure]]/$C$8</f>
        <v>0</v>
      </c>
    </row>
    <row r="489" spans="1:20">
      <c r="A489" t="e" vm="498">
        <v>#VALUE!</v>
      </c>
      <c r="B489" s="13" t="str" cm="1">
        <f t="array" aca="1" ref="B489" ca="1">_FV(A489,"Ticker symbol",TRUE)</f>
        <v>TUYA</v>
      </c>
      <c r="C489" s="13" t="s">
        <v>30</v>
      </c>
      <c r="D489" s="13" t="s">
        <v>30</v>
      </c>
      <c r="E489" s="19" cm="1">
        <f t="array" aca="1" ref="E489" ca="1">IFERROR(_FV(A489,"Beta"),2)</f>
        <v>0.41489999999999999</v>
      </c>
      <c r="F489" s="13" t="str" cm="1">
        <f t="array" aca="1" ref="F489" ca="1">_FV(A489,"Instrument type",TRUE)</f>
        <v>Stock</v>
      </c>
      <c r="G489" s="18" cm="1">
        <f t="array" aca="1" ref="G489" ca="1">_FV(Table19[[#This Row],[Assets]],"Price")</f>
        <v>2.4750000000000001</v>
      </c>
      <c r="H489" s="36" t="str">
        <f>IFERROR(VLOOKUP(Table19[[#This Row],[Assets]],Table25[#All],15,FALSE),"")</f>
        <v/>
      </c>
      <c r="I489" s="36">
        <f>IFERROR(VLOOKUP(Table19[[#This Row],[Assets]],Table25[#All],16,FALSE),0)</f>
        <v>0</v>
      </c>
      <c r="J489" s="84" t="str">
        <f ca="1">IFERROR((Table19[[#This Row],[Price]]-Table19[[#This Row],[Ave Entry]])/Table19[[#This Row],[Ave Entry]],"")</f>
        <v/>
      </c>
      <c r="K489" s="92">
        <f ca="1">IFERROR((Table19[[#This Row],[Price]]-Table19[[#This Row],[Ave Entry]])*Table19[[#This Row],[Num of Stocks]],0)</f>
        <v>0</v>
      </c>
      <c r="L489" s="38" cm="1">
        <f t="array" aca="1" ref="L489" ca="1">_FV(Table19[[#This Row],[Assets]],"Change (%)",TRUE)</f>
        <v>1.4343999999999999E-2</v>
      </c>
      <c r="M489" s="36">
        <f>SUMIF(Table20[Asset],Table19[[#This Row],[Assets]],Table20[realized_profit])</f>
        <v>0</v>
      </c>
      <c r="N489" s="36">
        <f>SUMIF(Table20[[#All],[Asset]],Table19[[#This Row],[Assets]],Table20[[#All],[delta_exposure]])</f>
        <v>0</v>
      </c>
      <c r="O489" s="38">
        <f ca="1">Table19[[#This Row],[Option Exposure]]/$B$6</f>
        <v>0</v>
      </c>
      <c r="P489" s="51">
        <f>SUMIF(Table25[[#All],[Assets]],Table19[[#This Row],[Assets]],Table25[[#All],[Number of stocks]])</f>
        <v>0</v>
      </c>
      <c r="Q489" s="36">
        <f ca="1">Table19[[#This Row],[Num of Stocks]]*Table19[[#This Row],[Price]]</f>
        <v>0</v>
      </c>
      <c r="R489" s="36">
        <f ca="1">Table19[[#This Row],[Stock Exposure]]+Table19[[#This Row],[Option Exposure]]</f>
        <v>0</v>
      </c>
      <c r="S489" s="108" t="str">
        <f>IFERROR(Table19[[#This Row],[Num of Stocks]]*Table19[[#This Row],[Ave Entry]],"")</f>
        <v/>
      </c>
      <c r="T489" s="39">
        <f ca="1">Table19[[#This Row],[Combined Exposure]]/$C$8</f>
        <v>0</v>
      </c>
    </row>
    <row r="490" spans="1:20">
      <c r="A490" t="e" vm="499">
        <v>#VALUE!</v>
      </c>
      <c r="B490" s="13" t="str" cm="1">
        <f t="array" aca="1" ref="B490" ca="1">_FV(A490,"Ticker symbol",TRUE)</f>
        <v>XAR*</v>
      </c>
      <c r="C490" s="13" t="s">
        <v>38</v>
      </c>
      <c r="D490" s="13" t="s">
        <v>38</v>
      </c>
      <c r="E490" s="19" cm="1">
        <f t="array" ref="E490">IFERROR(_FV(A490,"Beta"),2)</f>
        <v>2</v>
      </c>
      <c r="F490" s="13" t="str" cm="1">
        <f t="array" aca="1" ref="F490" ca="1">_FV(A490,"Instrument type",TRUE)</f>
        <v>ETF</v>
      </c>
      <c r="G490" s="18" cm="1">
        <f t="array" aca="1" ref="G490" ca="1">_FV(Table19[[#This Row],[Assets]],"Price")</f>
        <v>5144</v>
      </c>
      <c r="H490" s="36" t="str">
        <f>IFERROR(VLOOKUP(Table19[[#This Row],[Assets]],Table25[#All],15,FALSE),"")</f>
        <v/>
      </c>
      <c r="I490" s="36">
        <f>IFERROR(VLOOKUP(Table19[[#This Row],[Assets]],Table25[#All],16,FALSE),0)</f>
        <v>0</v>
      </c>
      <c r="J490" s="84" t="str">
        <f ca="1">IFERROR((Table19[[#This Row],[Price]]-Table19[[#This Row],[Ave Entry]])/Table19[[#This Row],[Ave Entry]],"")</f>
        <v/>
      </c>
      <c r="K490" s="92">
        <f ca="1">IFERROR((Table19[[#This Row],[Price]]-Table19[[#This Row],[Ave Entry]])*Table19[[#This Row],[Num of Stocks]],0)</f>
        <v>0</v>
      </c>
      <c r="L490" s="38" cm="1">
        <f t="array" aca="1" ref="L490" ca="1">_FV(Table19[[#This Row],[Assets]],"Change (%)",TRUE)</f>
        <v>0</v>
      </c>
      <c r="M490" s="36">
        <f>SUMIF(Table20[Asset],Table19[[#This Row],[Assets]],Table20[realized_profit])</f>
        <v>0</v>
      </c>
      <c r="N490" s="36">
        <f>SUMIF(Table20[[#All],[Asset]],Table19[[#This Row],[Assets]],Table20[[#All],[delta_exposure]])</f>
        <v>0</v>
      </c>
      <c r="O490" s="38">
        <f ca="1">Table19[[#This Row],[Option Exposure]]/$B$6</f>
        <v>0</v>
      </c>
      <c r="P490" s="51">
        <f>SUMIF(Table25[[#All],[Assets]],Table19[[#This Row],[Assets]],Table25[[#All],[Number of stocks]])</f>
        <v>0</v>
      </c>
      <c r="Q490" s="36">
        <f ca="1">Table19[[#This Row],[Num of Stocks]]*Table19[[#This Row],[Price]]</f>
        <v>0</v>
      </c>
      <c r="R490" s="36">
        <f ca="1">Table19[[#This Row],[Stock Exposure]]+Table19[[#This Row],[Option Exposure]]</f>
        <v>0</v>
      </c>
      <c r="S490" s="108" t="str">
        <f>IFERROR(Table19[[#This Row],[Num of Stocks]]*Table19[[#This Row],[Ave Entry]],"")</f>
        <v/>
      </c>
      <c r="T490" s="39">
        <f ca="1">Table19[[#This Row],[Combined Exposure]]/$C$8</f>
        <v>0</v>
      </c>
    </row>
    <row r="491" spans="1:20">
      <c r="A491" t="e" vm="500">
        <v>#VALUE!</v>
      </c>
      <c r="B491" s="13" t="str" cm="1">
        <f t="array" aca="1" ref="B491" ca="1">_FV(A491,"Ticker symbol",TRUE)</f>
        <v>PSIX</v>
      </c>
      <c r="C491" s="13" t="s">
        <v>433</v>
      </c>
      <c r="D491" s="13" t="s">
        <v>56</v>
      </c>
      <c r="E491" s="19" cm="1">
        <f t="array" aca="1" ref="E491" ca="1">IFERROR(_FV(A491,"Beta"),2)</f>
        <v>2.1985999999999999</v>
      </c>
      <c r="F491" s="13" t="str" cm="1">
        <f t="array" aca="1" ref="F491" ca="1">_FV(A491,"Instrument type",TRUE)</f>
        <v>Stock</v>
      </c>
      <c r="G491" s="18" cm="1">
        <f t="array" aca="1" ref="G491" ca="1">_FV(Table19[[#This Row],[Assets]],"Price")</f>
        <v>67.83</v>
      </c>
      <c r="H491" s="36" t="str">
        <f>IFERROR(VLOOKUP(Table19[[#This Row],[Assets]],Table25[#All],15,FALSE),"")</f>
        <v/>
      </c>
      <c r="I491" s="36">
        <f>IFERROR(VLOOKUP(Table19[[#This Row],[Assets]],Table25[#All],16,FALSE),0)</f>
        <v>0</v>
      </c>
      <c r="J491" s="84" t="str">
        <f ca="1">IFERROR((Table19[[#This Row],[Price]]-Table19[[#This Row],[Ave Entry]])/Table19[[#This Row],[Ave Entry]],"")</f>
        <v/>
      </c>
      <c r="K491" s="92">
        <f ca="1">IFERROR((Table19[[#This Row],[Price]]-Table19[[#This Row],[Ave Entry]])*Table19[[#This Row],[Num of Stocks]],0)</f>
        <v>0</v>
      </c>
      <c r="L491" s="38" cm="1">
        <f t="array" aca="1" ref="L491" ca="1">_FV(Table19[[#This Row],[Assets]],"Change (%)",TRUE)</f>
        <v>0.14829900000000001</v>
      </c>
      <c r="M491" s="36">
        <f>SUMIF(Table20[Asset],Table19[[#This Row],[Assets]],Table20[realized_profit])</f>
        <v>0</v>
      </c>
      <c r="N491" s="36">
        <f>SUMIF(Table20[[#All],[Asset]],Table19[[#This Row],[Assets]],Table20[[#All],[delta_exposure]])</f>
        <v>0</v>
      </c>
      <c r="O491" s="38">
        <f ca="1">Table19[[#This Row],[Option Exposure]]/$B$6</f>
        <v>0</v>
      </c>
      <c r="P491" s="51">
        <f>SUMIF(Table25[[#All],[Assets]],Table19[[#This Row],[Assets]],Table25[[#All],[Number of stocks]])</f>
        <v>0</v>
      </c>
      <c r="Q491" s="36">
        <f ca="1">Table19[[#This Row],[Num of Stocks]]*Table19[[#This Row],[Price]]</f>
        <v>0</v>
      </c>
      <c r="R491" s="36">
        <f ca="1">Table19[[#This Row],[Stock Exposure]]+Table19[[#This Row],[Option Exposure]]</f>
        <v>0</v>
      </c>
      <c r="S491" s="108" t="str">
        <f>IFERROR(Table19[[#This Row],[Num of Stocks]]*Table19[[#This Row],[Ave Entry]],"")</f>
        <v/>
      </c>
      <c r="T491" s="39">
        <f ca="1">Table19[[#This Row],[Combined Exposure]]/$C$8</f>
        <v>0</v>
      </c>
    </row>
    <row r="492" spans="1:20">
      <c r="A492" t="e" vm="501">
        <v>#VALUE!</v>
      </c>
      <c r="B492" s="13" t="str" cm="1">
        <f t="array" aca="1" ref="B492" ca="1">_FV(A492,"Ticker symbol",TRUE)</f>
        <v>SWTX</v>
      </c>
      <c r="C492" s="13" t="s">
        <v>53</v>
      </c>
      <c r="D492" s="13" t="s">
        <v>560</v>
      </c>
      <c r="E492" s="19" cm="1">
        <f t="array" aca="1" ref="E492" ca="1">IFERROR(_FV(A492,"Beta"),2)</f>
        <v>0.68500000000000005</v>
      </c>
      <c r="F492" s="13" t="str" cm="1">
        <f t="array" aca="1" ref="F492" ca="1">_FV(A492,"Instrument type",TRUE)</f>
        <v>Stock</v>
      </c>
      <c r="G492" s="18" cm="1">
        <f t="array" aca="1" ref="G492" ca="1">_FV(Table19[[#This Row],[Assets]],"Price")</f>
        <v>46.99</v>
      </c>
      <c r="H492" s="36" t="str">
        <f>IFERROR(VLOOKUP(Table19[[#This Row],[Assets]],Table25[#All],15,FALSE),"")</f>
        <v/>
      </c>
      <c r="I492" s="36">
        <f>IFERROR(VLOOKUP(Table19[[#This Row],[Assets]],Table25[#All],16,FALSE),0)</f>
        <v>0</v>
      </c>
      <c r="J492" s="84" t="str">
        <f ca="1">IFERROR((Table19[[#This Row],[Price]]-Table19[[#This Row],[Ave Entry]])/Table19[[#This Row],[Ave Entry]],"")</f>
        <v/>
      </c>
      <c r="K492" s="92">
        <f ca="1">IFERROR((Table19[[#This Row],[Price]]-Table19[[#This Row],[Ave Entry]])*Table19[[#This Row],[Num of Stocks]],0)</f>
        <v>0</v>
      </c>
      <c r="L492" s="38" cm="1">
        <f t="array" aca="1" ref="L492" ca="1">_FV(Table19[[#This Row],[Assets]],"Change (%)",TRUE)</f>
        <v>0</v>
      </c>
      <c r="M492" s="36">
        <f>SUMIF(Table20[Asset],Table19[[#This Row],[Assets]],Table20[realized_profit])</f>
        <v>0</v>
      </c>
      <c r="N492" s="36">
        <f>SUMIF(Table20[[#All],[Asset]],Table19[[#This Row],[Assets]],Table20[[#All],[delta_exposure]])</f>
        <v>0</v>
      </c>
      <c r="O492" s="38">
        <f ca="1">Table19[[#This Row],[Option Exposure]]/$B$6</f>
        <v>0</v>
      </c>
      <c r="P492" s="51">
        <f>SUMIF(Table25[[#All],[Assets]],Table19[[#This Row],[Assets]],Table25[[#All],[Number of stocks]])</f>
        <v>0</v>
      </c>
      <c r="Q492" s="36">
        <f ca="1">Table19[[#This Row],[Num of Stocks]]*Table19[[#This Row],[Price]]</f>
        <v>0</v>
      </c>
      <c r="R492" s="36">
        <f ca="1">Table19[[#This Row],[Stock Exposure]]+Table19[[#This Row],[Option Exposure]]</f>
        <v>0</v>
      </c>
      <c r="S492" s="108" t="str">
        <f>IFERROR(Table19[[#This Row],[Num of Stocks]]*Table19[[#This Row],[Ave Entry]],"")</f>
        <v/>
      </c>
      <c r="T492" s="39">
        <f ca="1">Table19[[#This Row],[Combined Exposure]]/$C$8</f>
        <v>0</v>
      </c>
    </row>
    <row r="493" spans="1:20">
      <c r="A493" t="e" vm="502">
        <v>#VALUE!</v>
      </c>
      <c r="B493" s="13" t="str" cm="1">
        <f t="array" aca="1" ref="B493" ca="1">_FV(A493,"Ticker symbol",TRUE)</f>
        <v>SHLS</v>
      </c>
      <c r="C493" s="13" t="s">
        <v>138</v>
      </c>
      <c r="D493" s="13" t="s">
        <v>56</v>
      </c>
      <c r="E493" s="19" cm="1">
        <f t="array" aca="1" ref="E493" ca="1">IFERROR(_FV(A493,"Beta"),2)</f>
        <v>1.6331</v>
      </c>
      <c r="F493" s="13" t="str" cm="1">
        <f t="array" aca="1" ref="F493" ca="1">_FV(A493,"Instrument type",TRUE)</f>
        <v>Stock</v>
      </c>
      <c r="G493" s="18" cm="1">
        <f t="array" aca="1" ref="G493" ca="1">_FV(Table19[[#This Row],[Assets]],"Price")</f>
        <v>6.97</v>
      </c>
      <c r="H493" s="36">
        <f>IFERROR(VLOOKUP(Table19[[#This Row],[Assets]],Table25[#All],15,FALSE),"")</f>
        <v>6.79</v>
      </c>
      <c r="I493" s="36">
        <f>IFERROR(VLOOKUP(Table19[[#This Row],[Assets]],Table25[#All],16,FALSE),0)</f>
        <v>-33.400000000000041</v>
      </c>
      <c r="J493" s="84">
        <f ca="1">IFERROR((Table19[[#This Row],[Price]]-Table19[[#This Row],[Ave Entry]])/Table19[[#This Row],[Ave Entry]],"")</f>
        <v>2.6509572901325437E-2</v>
      </c>
      <c r="K493" s="92">
        <f ca="1">IFERROR((Table19[[#This Row],[Price]]-Table19[[#This Row],[Ave Entry]])*Table19[[#This Row],[Num of Stocks]],0)</f>
        <v>0</v>
      </c>
      <c r="L493" s="38" cm="1">
        <f t="array" aca="1" ref="L493" ca="1">_FV(Table19[[#This Row],[Assets]],"Change (%)",TRUE)</f>
        <v>1.7517999999999999E-2</v>
      </c>
      <c r="M493" s="36">
        <f>SUMIF(Table20[Asset],Table19[[#This Row],[Assets]],Table20[realized_profit])</f>
        <v>0</v>
      </c>
      <c r="N493" s="36">
        <f>SUMIF(Table20[[#All],[Asset]],Table19[[#This Row],[Assets]],Table20[[#All],[delta_exposure]])</f>
        <v>0</v>
      </c>
      <c r="O493" s="98">
        <f ca="1">Table19[[#This Row],[Option Exposure]]/$B$6</f>
        <v>0</v>
      </c>
      <c r="P493" s="51">
        <f>SUMIF(Table25[[#All],[Assets]],Table19[[#This Row],[Assets]],Table25[[#All],[Number of stocks]])</f>
        <v>0</v>
      </c>
      <c r="Q493" s="36">
        <f ca="1">Table19[[#This Row],[Num of Stocks]]*Table19[[#This Row],[Price]]</f>
        <v>0</v>
      </c>
      <c r="R493" s="36">
        <f ca="1">Table19[[#This Row],[Stock Exposure]]+Table19[[#This Row],[Option Exposure]]</f>
        <v>0</v>
      </c>
      <c r="S493" s="108">
        <f>IFERROR(Table19[[#This Row],[Num of Stocks]]*Table19[[#This Row],[Ave Entry]],"")</f>
        <v>0</v>
      </c>
      <c r="T493" s="39">
        <f ca="1">Table19[[#This Row],[Combined Exposure]]/$C$8</f>
        <v>0</v>
      </c>
    </row>
    <row r="494" spans="1:20">
      <c r="A494" t="e" vm="503">
        <v>#VALUE!</v>
      </c>
      <c r="B494" s="13" t="str" cm="1">
        <f t="array" aca="1" ref="B494" ca="1">_FV(A494,"Ticker symbol",TRUE)</f>
        <v>DIS</v>
      </c>
      <c r="C494" s="13" t="s">
        <v>55</v>
      </c>
      <c r="D494" s="13" t="s">
        <v>130</v>
      </c>
      <c r="E494" s="19" cm="1">
        <f t="array" aca="1" ref="E494" ca="1">IFERROR(_FV(A494,"Beta"),2)</f>
        <v>1.4442999999999999</v>
      </c>
      <c r="F494" s="13" t="str" cm="1">
        <f t="array" aca="1" ref="F494" ca="1">_FV(A494,"Instrument type",TRUE)</f>
        <v>Stock</v>
      </c>
      <c r="G494" s="18" cm="1">
        <f t="array" aca="1" ref="G494" ca="1">_FV(Table19[[#This Row],[Assets]],"Price")</f>
        <v>95.94</v>
      </c>
      <c r="H494" s="36" t="str">
        <f>IFERROR(VLOOKUP(Table19[[#This Row],[Assets]],Table25[#All],15,FALSE),"")</f>
        <v/>
      </c>
      <c r="I494" s="36">
        <f>IFERROR(VLOOKUP(Table19[[#This Row],[Assets]],Table25[#All],16,FALSE),0)</f>
        <v>0</v>
      </c>
      <c r="J494" s="84" t="str">
        <f ca="1">IFERROR((Table19[[#This Row],[Price]]-Table19[[#This Row],[Ave Entry]])/Table19[[#This Row],[Ave Entry]],"")</f>
        <v/>
      </c>
      <c r="K494" s="92">
        <f ca="1">IFERROR((Table19[[#This Row],[Price]]-Table19[[#This Row],[Ave Entry]])*Table19[[#This Row],[Num of Stocks]],0)</f>
        <v>0</v>
      </c>
      <c r="L494" s="38" cm="1">
        <f t="array" aca="1" ref="L494" ca="1">_FV(Table19[[#This Row],[Assets]],"Change (%)",TRUE)</f>
        <v>-4.6689999999999995E-3</v>
      </c>
      <c r="M494" s="36">
        <f>SUMIF(Table20[Asset],Table19[[#This Row],[Assets]],Table20[realized_profit])</f>
        <v>0</v>
      </c>
      <c r="N494" s="36">
        <f>SUMIF(Table20[[#All],[Asset]],Table19[[#This Row],[Assets]],Table20[[#All],[delta_exposure]])</f>
        <v>0</v>
      </c>
      <c r="O494" s="38">
        <f ca="1">Table19[[#This Row],[Option Exposure]]/$B$6</f>
        <v>0</v>
      </c>
      <c r="P494" s="51">
        <f>SUMIF(Table25[[#All],[Assets]],Table19[[#This Row],[Assets]],Table25[[#All],[Number of stocks]])</f>
        <v>0</v>
      </c>
      <c r="Q494" s="36">
        <f ca="1">Table19[[#This Row],[Num of Stocks]]*Table19[[#This Row],[Price]]</f>
        <v>0</v>
      </c>
      <c r="R494" s="36">
        <f ca="1">Table19[[#This Row],[Stock Exposure]]+Table19[[#This Row],[Option Exposure]]</f>
        <v>0</v>
      </c>
      <c r="S494" s="108" t="str">
        <f>IFERROR(Table19[[#This Row],[Num of Stocks]]*Table19[[#This Row],[Ave Entry]],"")</f>
        <v/>
      </c>
      <c r="T494" s="39">
        <f ca="1">Table19[[#This Row],[Combined Exposure]]/$C$8</f>
        <v>0</v>
      </c>
    </row>
    <row r="495" spans="1:20">
      <c r="A495" t="e" vm="504">
        <v>#VALUE!</v>
      </c>
      <c r="B495" s="13" t="str" cm="1">
        <f t="array" aca="1" ref="B495" ca="1">_FV(A495,"Ticker symbol",TRUE)</f>
        <v>NXT</v>
      </c>
      <c r="C495" s="13" t="s">
        <v>56</v>
      </c>
      <c r="D495" s="13" t="s">
        <v>260</v>
      </c>
      <c r="E495" s="19" cm="1">
        <f t="array" aca="1" ref="E495" ca="1">IFERROR(_FV(A495,"Beta"),2)</f>
        <v>1.456</v>
      </c>
      <c r="F495" s="13" t="str" cm="1">
        <f t="array" aca="1" ref="F495" ca="1">_FV(A495,"Instrument type",TRUE)</f>
        <v>Stock</v>
      </c>
      <c r="G495" s="18" cm="1">
        <f t="array" aca="1" ref="G495" ca="1">_FV(Table19[[#This Row],[Assets]],"Price")</f>
        <v>128</v>
      </c>
      <c r="H495" s="36">
        <f>IFERROR(VLOOKUP(Table19[[#This Row],[Assets]],Table25[#All],15,FALSE),"")</f>
        <v>50.843333333333334</v>
      </c>
      <c r="I495" s="36">
        <f>IFERROR(VLOOKUP(Table19[[#This Row],[Assets]],Table25[#All],16,FALSE),0)</f>
        <v>-407.30999999999989</v>
      </c>
      <c r="J495" s="84">
        <f ca="1">IFERROR((Table19[[#This Row],[Price]]-Table19[[#This Row],[Ave Entry]])/Table19[[#This Row],[Ave Entry]],"")</f>
        <v>1.5175375335999475</v>
      </c>
      <c r="K495" s="92">
        <f ca="1">IFERROR((Table19[[#This Row],[Price]]-Table19[[#This Row],[Ave Entry]])*Table19[[#This Row],[Num of Stocks]],0)</f>
        <v>0</v>
      </c>
      <c r="L495" s="38" cm="1">
        <f t="array" aca="1" ref="L495" ca="1">_FV(Table19[[#This Row],[Assets]],"Change (%)",TRUE)</f>
        <v>2.5148E-2</v>
      </c>
      <c r="M495" s="36">
        <f>SUMIF(Table20[Asset],Table19[[#This Row],[Assets]],Table20[realized_profit])</f>
        <v>0</v>
      </c>
      <c r="N495" s="36">
        <f>SUMIF(Table20[[#All],[Asset]],Table19[[#This Row],[Assets]],Table20[[#All],[delta_exposure]])</f>
        <v>0</v>
      </c>
      <c r="O495" s="98">
        <f ca="1">Table19[[#This Row],[Option Exposure]]/$B$6</f>
        <v>0</v>
      </c>
      <c r="P495" s="51">
        <f>SUMIF(Table25[[#All],[Assets]],Table19[[#This Row],[Assets]],Table25[[#All],[Number of stocks]])</f>
        <v>0</v>
      </c>
      <c r="Q495" s="36">
        <f ca="1">Table19[[#This Row],[Num of Stocks]]*Table19[[#This Row],[Price]]</f>
        <v>0</v>
      </c>
      <c r="R495" s="36">
        <f ca="1">Table19[[#This Row],[Stock Exposure]]+Table19[[#This Row],[Option Exposure]]</f>
        <v>0</v>
      </c>
      <c r="S495" s="108">
        <f>IFERROR(Table19[[#This Row],[Num of Stocks]]*Table19[[#This Row],[Ave Entry]],"")</f>
        <v>0</v>
      </c>
      <c r="T495" s="39">
        <f ca="1">Table19[[#This Row],[Combined Exposure]]/$C$8</f>
        <v>0</v>
      </c>
    </row>
    <row r="496" spans="1:20">
      <c r="A496" t="e" vm="505">
        <v>#VALUE!</v>
      </c>
      <c r="B496" s="13" t="str" cm="1">
        <f t="array" aca="1" ref="B496" ca="1">_FV(A496,"Ticker symbol",TRUE)</f>
        <v>TPICQ</v>
      </c>
      <c r="C496" s="244" t="s">
        <v>56</v>
      </c>
      <c r="D496" s="13" t="s">
        <v>56</v>
      </c>
      <c r="E496" s="19" cm="1">
        <f t="array" aca="1" ref="E496" ca="1">IFERROR(_FV(A496,"Beta"),2)</f>
        <v>1.9957</v>
      </c>
      <c r="F496" s="13" t="str" cm="1">
        <f t="array" aca="1" ref="F496" ca="1">_FV(A496,"Instrument type",TRUE)</f>
        <v>Stock</v>
      </c>
      <c r="G496" s="18" cm="1">
        <f t="array" aca="1" ref="G496" ca="1">_FV(Table19[[#This Row],[Assets]],"Price")</f>
        <v>8.0000000000000002E-3</v>
      </c>
      <c r="H496" s="36">
        <f>IFERROR(VLOOKUP(Table19[[#This Row],[Assets]],Table25[#All],15,FALSE),"")</f>
        <v>4.7300000000000004</v>
      </c>
      <c r="I496" s="36">
        <f>IFERROR(VLOOKUP(Table19[[#This Row],[Assets]],Table25[#All],16,FALSE),0)</f>
        <v>-7.2600000000000016</v>
      </c>
      <c r="J496" s="84">
        <f ca="1">IFERROR((Table19[[#This Row],[Price]]-Table19[[#This Row],[Ave Entry]])/Table19[[#This Row],[Ave Entry]],"")</f>
        <v>-0.99830866807610996</v>
      </c>
      <c r="K496" s="92">
        <f ca="1">IFERROR((Table19[[#This Row],[Price]]-Table19[[#This Row],[Ave Entry]])*Table19[[#This Row],[Num of Stocks]],0)</f>
        <v>0</v>
      </c>
      <c r="L496" s="38" cm="1">
        <f t="array" aca="1" ref="L496" ca="1">_FV(Table19[[#This Row],[Assets]],"Change (%)",TRUE)</f>
        <v>-4.7618999999999995E-2</v>
      </c>
      <c r="M496" s="36">
        <f>SUMIF(Table20[Asset],Table19[[#This Row],[Assets]],Table20[realized_profit])</f>
        <v>0</v>
      </c>
      <c r="N496" s="36">
        <f>SUMIF(Table20[[#All],[Asset]],Table19[[#This Row],[Assets]],Table20[[#All],[delta_exposure]])</f>
        <v>0</v>
      </c>
      <c r="O496" s="98">
        <f ca="1">Table19[[#This Row],[Option Exposure]]/$B$6</f>
        <v>0</v>
      </c>
      <c r="P496" s="51">
        <f>SUMIF(Table25[[#All],[Assets]],Table19[[#This Row],[Assets]],Table25[[#All],[Number of stocks]])</f>
        <v>0</v>
      </c>
      <c r="Q496" s="36">
        <f ca="1">Table19[[#This Row],[Num of Stocks]]*Table19[[#This Row],[Price]]</f>
        <v>0</v>
      </c>
      <c r="R496" s="36">
        <f ca="1">Table19[[#This Row],[Stock Exposure]]+Table19[[#This Row],[Option Exposure]]</f>
        <v>0</v>
      </c>
      <c r="S496" s="108">
        <f>IFERROR(Table19[[#This Row],[Num of Stocks]]*Table19[[#This Row],[Ave Entry]],"")</f>
        <v>0</v>
      </c>
      <c r="T496" s="39">
        <f ca="1">Table19[[#This Row],[Combined Exposure]]/$C$8</f>
        <v>0</v>
      </c>
    </row>
    <row r="497" spans="1:20">
      <c r="A497" t="e" vm="134">
        <v>#VALUE!</v>
      </c>
      <c r="B497" s="13" t="str" cm="1">
        <f t="array" aca="1" ref="B497" ca="1">_FV(A497,"Ticker symbol",TRUE)</f>
        <v>USO</v>
      </c>
      <c r="C497" s="13" t="s">
        <v>31</v>
      </c>
      <c r="D497" s="13" t="s">
        <v>31</v>
      </c>
      <c r="E497" s="19" cm="1">
        <f t="array" aca="1" ref="E497" ca="1">IFERROR(_FV(A497,"Beta"),2)</f>
        <v>1.0088999999999999</v>
      </c>
      <c r="F497" s="13" t="str" cm="1">
        <f t="array" aca="1" ref="F497" ca="1">_FV(A497,"Instrument type",TRUE)</f>
        <v>ETF</v>
      </c>
      <c r="G497" s="18" cm="1">
        <f t="array" aca="1" ref="G497" ca="1">_FV(Table19[[#This Row],[Assets]],"Price")</f>
        <v>110.69</v>
      </c>
      <c r="H497" s="36" t="str">
        <f>IFERROR(VLOOKUP(Table19[[#This Row],[Assets]],Table25[#All],15,FALSE),"")</f>
        <v/>
      </c>
      <c r="I497" s="36">
        <f>IFERROR(VLOOKUP(Table19[[#This Row],[Assets]],Table25[#All],16,FALSE),0)</f>
        <v>0</v>
      </c>
      <c r="J497" s="84" t="str">
        <f ca="1">IFERROR((Table19[[#This Row],[Price]]-Table19[[#This Row],[Ave Entry]])/Table19[[#This Row],[Ave Entry]],"")</f>
        <v/>
      </c>
      <c r="K497" s="92">
        <f ca="1">IFERROR((Table19[[#This Row],[Price]]-Table19[[#This Row],[Ave Entry]])*Table19[[#This Row],[Num of Stocks]],0)</f>
        <v>0</v>
      </c>
      <c r="L497" s="38" cm="1">
        <f t="array" aca="1" ref="L497" ca="1">_FV(Table19[[#This Row],[Assets]],"Change (%)",TRUE)</f>
        <v>-3.3612999999999997E-2</v>
      </c>
      <c r="M497" s="36">
        <f>SUMIF(Table20[Asset],Table19[[#This Row],[Assets]],Table20[realized_profit])</f>
        <v>0</v>
      </c>
      <c r="N497" s="36">
        <f>SUMIF(Table20[[#All],[Asset]],Table19[[#This Row],[Assets]],Table20[[#All],[delta_exposure]])</f>
        <v>0</v>
      </c>
      <c r="O497" s="38">
        <f ca="1">Table19[[#This Row],[Option Exposure]]/$B$6</f>
        <v>0</v>
      </c>
      <c r="P497" s="51">
        <f>SUMIF(Table25[[#All],[Assets]],Table19[[#This Row],[Assets]],Table25[[#All],[Number of stocks]])</f>
        <v>0</v>
      </c>
      <c r="Q497" s="36">
        <f ca="1">Table19[[#This Row],[Num of Stocks]]*Table19[[#This Row],[Price]]</f>
        <v>0</v>
      </c>
      <c r="R497" s="36">
        <f ca="1">Table19[[#This Row],[Stock Exposure]]+Table19[[#This Row],[Option Exposure]]</f>
        <v>0</v>
      </c>
      <c r="S497" s="108" t="str">
        <f>IFERROR(Table19[[#This Row],[Num of Stocks]]*Table19[[#This Row],[Ave Entry]],"")</f>
        <v/>
      </c>
      <c r="T497" s="39">
        <f ca="1">Table19[[#This Row],[Combined Exposure]]/$C$8</f>
        <v>0</v>
      </c>
    </row>
    <row r="498" spans="1:20">
      <c r="A498" t="e" vm="506">
        <v>#VALUE!</v>
      </c>
      <c r="B498" s="13" t="str" cm="1">
        <f t="array" aca="1" ref="B498" ca="1">_FV(A498,"Ticker symbol",TRUE)</f>
        <v>DMRC</v>
      </c>
      <c r="C498" s="13" t="s">
        <v>29</v>
      </c>
      <c r="D498" s="13" t="s">
        <v>29</v>
      </c>
      <c r="E498" s="19" cm="1">
        <f t="array" aca="1" ref="E498" ca="1">IFERROR(_FV(A498,"Beta"),2)</f>
        <v>1.7077</v>
      </c>
      <c r="F498" s="13" t="str" cm="1">
        <f t="array" aca="1" ref="F498" ca="1">_FV(A498,"Instrument type",TRUE)</f>
        <v>Stock</v>
      </c>
      <c r="G498" s="18" cm="1">
        <f t="array" aca="1" ref="G498" ca="1">_FV(Table19[[#This Row],[Assets]],"Price")</f>
        <v>4.66</v>
      </c>
      <c r="H498" s="36" t="str">
        <f>IFERROR(VLOOKUP(Table19[[#This Row],[Assets]],Table25[#All],15,FALSE),"")</f>
        <v/>
      </c>
      <c r="I498" s="36">
        <f>IFERROR(VLOOKUP(Table19[[#This Row],[Assets]],Table25[#All],16,FALSE),0)</f>
        <v>0</v>
      </c>
      <c r="J498" s="84" t="str">
        <f ca="1">IFERROR((Table19[[#This Row],[Price]]-Table19[[#This Row],[Ave Entry]])/Table19[[#This Row],[Ave Entry]],"")</f>
        <v/>
      </c>
      <c r="K498" s="92">
        <f ca="1">IFERROR((Table19[[#This Row],[Price]]-Table19[[#This Row],[Ave Entry]])*Table19[[#This Row],[Num of Stocks]],0)</f>
        <v>0</v>
      </c>
      <c r="L498" s="38" cm="1">
        <f t="array" aca="1" ref="L498" ca="1">_FV(Table19[[#This Row],[Assets]],"Change (%)",TRUE)</f>
        <v>6.8807000000000007E-2</v>
      </c>
      <c r="M498" s="36">
        <f>SUMIF(Table20[Asset],Table19[[#This Row],[Assets]],Table20[realized_profit])</f>
        <v>0</v>
      </c>
      <c r="N498" s="36">
        <f>SUMIF(Table20[[#All],[Asset]],Table19[[#This Row],[Assets]],Table20[[#All],[delta_exposure]])</f>
        <v>0</v>
      </c>
      <c r="O498" s="38">
        <f ca="1">Table19[[#This Row],[Option Exposure]]/$B$6</f>
        <v>0</v>
      </c>
      <c r="P498" s="51">
        <f>SUMIF(Table25[[#All],[Assets]],Table19[[#This Row],[Assets]],Table25[[#All],[Number of stocks]])</f>
        <v>0</v>
      </c>
      <c r="Q498" s="36">
        <f ca="1">Table19[[#This Row],[Num of Stocks]]*Table19[[#This Row],[Price]]</f>
        <v>0</v>
      </c>
      <c r="R498" s="36">
        <f ca="1">Table19[[#This Row],[Stock Exposure]]+Table19[[#This Row],[Option Exposure]]</f>
        <v>0</v>
      </c>
      <c r="S498" s="108" t="str">
        <f>IFERROR(Table19[[#This Row],[Num of Stocks]]*Table19[[#This Row],[Ave Entry]],"")</f>
        <v/>
      </c>
      <c r="T498" s="39">
        <f ca="1">Table19[[#This Row],[Combined Exposure]]/$C$8</f>
        <v>0</v>
      </c>
    </row>
    <row r="499" spans="1:20">
      <c r="A499" t="e" vm="59">
        <v>#VALUE!</v>
      </c>
      <c r="B499" s="13" t="str" cm="1">
        <f t="array" aca="1" ref="B499" ca="1">_FV(A499,"Ticker symbol",TRUE)</f>
        <v>EOG</v>
      </c>
      <c r="C499" s="13" t="s">
        <v>31</v>
      </c>
      <c r="D499" s="13" t="s">
        <v>31</v>
      </c>
      <c r="E499" s="19" cm="1">
        <f t="array" aca="1" ref="E499" ca="1">IFERROR(_FV(A499,"Beta"),2)</f>
        <v>0.33829999999999999</v>
      </c>
      <c r="F499" s="13" t="str" cm="1">
        <f t="array" aca="1" ref="F499" ca="1">_FV(A499,"Instrument type",TRUE)</f>
        <v>Stock</v>
      </c>
      <c r="G499" s="18" cm="1">
        <f t="array" aca="1" ref="G499" ca="1">_FV(Table19[[#This Row],[Assets]],"Price")</f>
        <v>141.63999999999999</v>
      </c>
      <c r="H499" s="36">
        <f>IFERROR(VLOOKUP(Table19[[#This Row],[Assets]],Table25[#All],15,FALSE),"")</f>
        <v>119.07599999999999</v>
      </c>
      <c r="I499" s="36">
        <f>IFERROR(VLOOKUP(Table19[[#This Row],[Assets]],Table25[#All],16,FALSE),0)</f>
        <v>-20.060000000000002</v>
      </c>
      <c r="J499" s="84">
        <f ca="1">IFERROR((Table19[[#This Row],[Price]]-Table19[[#This Row],[Ave Entry]])/Table19[[#This Row],[Ave Entry]],"")</f>
        <v>0.18949242500587854</v>
      </c>
      <c r="K499" s="92">
        <f ca="1">IFERROR((Table19[[#This Row],[Price]]-Table19[[#This Row],[Ave Entry]])*Table19[[#This Row],[Num of Stocks]],0)</f>
        <v>0</v>
      </c>
      <c r="L499" s="38" cm="1">
        <f t="array" aca="1" ref="L499" ca="1">_FV(Table19[[#This Row],[Assets]],"Change (%)",TRUE)</f>
        <v>-6.2439999999999996E-3</v>
      </c>
      <c r="M499" s="36">
        <f>SUMIF(Table20[Asset],Table19[[#This Row],[Assets]],Table20[realized_profit])</f>
        <v>268</v>
      </c>
      <c r="N499" s="36">
        <f ca="1">SUMIF(Table20[[#All],[Asset]],Table19[[#This Row],[Assets]],Table20[[#All],[delta_exposure]])</f>
        <v>0</v>
      </c>
      <c r="O499" s="98">
        <f ca="1">Table19[[#This Row],[Option Exposure]]/$B$6</f>
        <v>0</v>
      </c>
      <c r="P499" s="51">
        <f>SUMIF(Table25[[#All],[Assets]],Table19[[#This Row],[Assets]],Table25[[#All],[Number of stocks]])</f>
        <v>0</v>
      </c>
      <c r="Q499" s="36">
        <f ca="1">Table19[[#This Row],[Num of Stocks]]*Table19[[#This Row],[Price]]</f>
        <v>0</v>
      </c>
      <c r="R499" s="36">
        <f ca="1">Table19[[#This Row],[Stock Exposure]]+Table19[[#This Row],[Option Exposure]]</f>
        <v>0</v>
      </c>
      <c r="S499" s="108">
        <f>IFERROR(Table19[[#This Row],[Num of Stocks]]*Table19[[#This Row],[Ave Entry]],"")</f>
        <v>0</v>
      </c>
      <c r="T499" s="39">
        <f ca="1">Table19[[#This Row],[Combined Exposure]]/$C$8</f>
        <v>0</v>
      </c>
    </row>
    <row r="500" spans="1:20">
      <c r="A500" t="e" vm="174">
        <v>#VALUE!</v>
      </c>
      <c r="B500" s="13" t="str" cm="1">
        <f t="array" aca="1" ref="B500" ca="1">_FV(A500,"Ticker symbol",TRUE)</f>
        <v>VAL</v>
      </c>
      <c r="C500" s="13" t="s">
        <v>31</v>
      </c>
      <c r="D500" s="13" t="s">
        <v>31</v>
      </c>
      <c r="E500" s="19" cm="1">
        <f t="array" aca="1" ref="E500" ca="1">IFERROR(_FV(A500,"Beta"),2)</f>
        <v>1.0488999999999999</v>
      </c>
      <c r="F500" s="13" t="str" cm="1">
        <f t="array" aca="1" ref="F500" ca="1">_FV(A500,"Instrument type",TRUE)</f>
        <v>Stock</v>
      </c>
      <c r="G500" s="18" cm="1">
        <f t="array" aca="1" ref="G500" ca="1">_FV(Table19[[#This Row],[Assets]],"Price")</f>
        <v>100.01</v>
      </c>
      <c r="H500" s="36">
        <f>IFERROR(VLOOKUP(Table19[[#This Row],[Assets]],Table25[#All],15,FALSE),"")</f>
        <v>62.761562499999997</v>
      </c>
      <c r="I500" s="36">
        <f>IFERROR(VLOOKUP(Table19[[#This Row],[Assets]],Table25[#All],16,FALSE),0)</f>
        <v>-330.6099999999999</v>
      </c>
      <c r="J500" s="84">
        <f ca="1">IFERROR((Table19[[#This Row],[Price]]-Table19[[#This Row],[Ave Entry]])/Table19[[#This Row],[Ave Entry]],"")</f>
        <v>0.59349123916409841</v>
      </c>
      <c r="K500" s="92">
        <f ca="1">IFERROR((Table19[[#This Row],[Price]]-Table19[[#This Row],[Ave Entry]])*Table19[[#This Row],[Num of Stocks]],0)</f>
        <v>0</v>
      </c>
      <c r="L500" s="38" cm="1">
        <f t="array" aca="1" ref="L500" ca="1">_FV(Table19[[#This Row],[Assets]],"Change (%)",TRUE)</f>
        <v>2.0926999999999998E-2</v>
      </c>
      <c r="M500" s="36">
        <f>SUMIF(Table20[Asset],Table19[[#This Row],[Assets]],Table20[realized_profit])</f>
        <v>0</v>
      </c>
      <c r="N500" s="36">
        <f>SUMIF(Table20[[#All],[Asset]],Table19[[#This Row],[Assets]],Table20[[#All],[delta_exposure]])</f>
        <v>0</v>
      </c>
      <c r="O500" s="98">
        <f ca="1">Table19[[#This Row],[Option Exposure]]/$B$6</f>
        <v>0</v>
      </c>
      <c r="P500" s="51">
        <f>SUMIF(Table25[[#All],[Assets]],Table19[[#This Row],[Assets]],Table25[[#All],[Number of stocks]])</f>
        <v>0</v>
      </c>
      <c r="Q500" s="36">
        <f ca="1">Table19[[#This Row],[Num of Stocks]]*Table19[[#This Row],[Price]]</f>
        <v>0</v>
      </c>
      <c r="R500" s="36">
        <f ca="1">Table19[[#This Row],[Stock Exposure]]+Table19[[#This Row],[Option Exposure]]</f>
        <v>0</v>
      </c>
      <c r="S500" s="108">
        <f>IFERROR(Table19[[#This Row],[Num of Stocks]]*Table19[[#This Row],[Ave Entry]],"")</f>
        <v>0</v>
      </c>
      <c r="T500" s="39">
        <f ca="1">Table19[[#This Row],[Combined Exposure]]/$C$8</f>
        <v>0</v>
      </c>
    </row>
    <row r="501" spans="1:20">
      <c r="A501" t="e" vm="60">
        <v>#VALUE!</v>
      </c>
      <c r="B501" s="13" t="str" cm="1">
        <f t="array" aca="1" ref="B501" ca="1">_FV(A501,"Ticker symbol",TRUE)</f>
        <v>XOM</v>
      </c>
      <c r="C501" s="13" t="s">
        <v>31</v>
      </c>
      <c r="D501" s="13" t="s">
        <v>31</v>
      </c>
      <c r="E501" s="19" cm="1">
        <f t="array" aca="1" ref="E501" ca="1">IFERROR(_FV(A501,"Beta"),2)</f>
        <v>0.30669999999999997</v>
      </c>
      <c r="F501" s="13" t="str" cm="1">
        <f t="array" aca="1" ref="F501" ca="1">_FV(A501,"Instrument type",TRUE)</f>
        <v>Stock</v>
      </c>
      <c r="G501" s="18" cm="1">
        <f t="array" aca="1" ref="G501" ca="1">_FV(Table19[[#This Row],[Assets]],"Price")</f>
        <v>163.71</v>
      </c>
      <c r="H501" s="36">
        <f>IFERROR(VLOOKUP(Table19[[#This Row],[Assets]],Table25[#All],15,FALSE),"")</f>
        <v>108.35285714285713</v>
      </c>
      <c r="I501" s="36">
        <f>IFERROR(VLOOKUP(Table19[[#This Row],[Assets]],Table25[#All],16,FALSE),0)</f>
        <v>183.3000000000003</v>
      </c>
      <c r="J501" s="84">
        <f ca="1">IFERROR((Table19[[#This Row],[Price]]-Table19[[#This Row],[Ave Entry]])/Table19[[#This Row],[Ave Entry]],"")</f>
        <v>0.51089693725526408</v>
      </c>
      <c r="K501" s="92">
        <f ca="1">IFERROR((Table19[[#This Row],[Price]]-Table19[[#This Row],[Ave Entry]])*Table19[[#This Row],[Num of Stocks]],0)</f>
        <v>0</v>
      </c>
      <c r="L501" s="38" cm="1">
        <f t="array" aca="1" ref="L501" ca="1">_FV(Table19[[#This Row],[Assets]],"Change (%)",TRUE)</f>
        <v>-1.0098000000000001E-2</v>
      </c>
      <c r="M501" s="36">
        <f>SUMIF(Table20[Asset],Table19[[#This Row],[Assets]],Table20[realized_profit])</f>
        <v>0</v>
      </c>
      <c r="N501" s="36">
        <f>SUMIF(Table20[[#All],[Asset]],Table19[[#This Row],[Assets]],Table20[[#All],[delta_exposure]])</f>
        <v>0</v>
      </c>
      <c r="O501" s="98">
        <f ca="1">Table19[[#This Row],[Option Exposure]]/$B$6</f>
        <v>0</v>
      </c>
      <c r="P501" s="51">
        <f>SUMIF(Table25[[#All],[Assets]],Table19[[#This Row],[Assets]],Table25[[#All],[Number of stocks]])</f>
        <v>0</v>
      </c>
      <c r="Q501" s="36">
        <f ca="1">Table19[[#This Row],[Num of Stocks]]*Table19[[#This Row],[Price]]</f>
        <v>0</v>
      </c>
      <c r="R501" s="36">
        <f ca="1">Table19[[#This Row],[Stock Exposure]]+Table19[[#This Row],[Option Exposure]]</f>
        <v>0</v>
      </c>
      <c r="S501" s="108">
        <f>IFERROR(Table19[[#This Row],[Num of Stocks]]*Table19[[#This Row],[Ave Entry]],"")</f>
        <v>0</v>
      </c>
      <c r="T501" s="39">
        <f ca="1">Table19[[#This Row],[Combined Exposure]]/$C$8</f>
        <v>0</v>
      </c>
    </row>
    <row r="502" spans="1:20">
      <c r="A502" t="e" vm="157">
        <v>#VALUE!</v>
      </c>
      <c r="B502" s="13" t="str" cm="1">
        <f t="array" aca="1" ref="B502" ca="1">_FV(A502,"Ticker symbol",TRUE)</f>
        <v>HAL</v>
      </c>
      <c r="C502" s="13" t="s">
        <v>31</v>
      </c>
      <c r="D502" s="13" t="s">
        <v>31</v>
      </c>
      <c r="E502" s="19" cm="1">
        <f t="array" aca="1" ref="E502" ca="1">IFERROR(_FV(A502,"Beta"),2)</f>
        <v>0.71050000000000002</v>
      </c>
      <c r="F502" s="13" t="str" cm="1">
        <f t="array" aca="1" ref="F502" ca="1">_FV(A502,"Instrument type",TRUE)</f>
        <v>Stock</v>
      </c>
      <c r="G502" s="18" cm="1">
        <f t="array" aca="1" ref="G502" ca="1">_FV(Table19[[#This Row],[Assets]],"Price")</f>
        <v>38.590000000000003</v>
      </c>
      <c r="H502" s="36">
        <f>IFERROR(VLOOKUP(Table19[[#This Row],[Assets]],Table25[#All],15,FALSE),"")</f>
        <v>37.92</v>
      </c>
      <c r="I502" s="36">
        <f>IFERROR(VLOOKUP(Table19[[#This Row],[Assets]],Table25[#All],16,FALSE),0)</f>
        <v>-98.850000000000051</v>
      </c>
      <c r="J502" s="84">
        <f ca="1">IFERROR((Table19[[#This Row],[Price]]-Table19[[#This Row],[Ave Entry]])/Table19[[#This Row],[Ave Entry]],"")</f>
        <v>1.7668776371308061E-2</v>
      </c>
      <c r="K502" s="92">
        <f ca="1">IFERROR((Table19[[#This Row],[Price]]-Table19[[#This Row],[Ave Entry]])*Table19[[#This Row],[Num of Stocks]],0)</f>
        <v>0</v>
      </c>
      <c r="L502" s="38" cm="1">
        <f t="array" aca="1" ref="L502" ca="1">_FV(Table19[[#This Row],[Assets]],"Change (%)",TRUE)</f>
        <v>1.2595E-2</v>
      </c>
      <c r="M502" s="36">
        <f>SUMIF(Table20[Asset],Table19[[#This Row],[Assets]],Table20[realized_profit])</f>
        <v>0</v>
      </c>
      <c r="N502" s="36">
        <f>SUMIF(Table20[[#All],[Asset]],Table19[[#This Row],[Assets]],Table20[[#All],[delta_exposure]])</f>
        <v>0</v>
      </c>
      <c r="O502" s="98">
        <f ca="1">Table19[[#This Row],[Option Exposure]]/$B$6</f>
        <v>0</v>
      </c>
      <c r="P502" s="51">
        <f>SUMIF(Table25[[#All],[Assets]],Table19[[#This Row],[Assets]],Table25[[#All],[Number of stocks]])</f>
        <v>0</v>
      </c>
      <c r="Q502" s="36">
        <f ca="1">Table19[[#This Row],[Num of Stocks]]*Table19[[#This Row],[Price]]</f>
        <v>0</v>
      </c>
      <c r="R502" s="36">
        <f ca="1">Table19[[#This Row],[Stock Exposure]]+Table19[[#This Row],[Option Exposure]]</f>
        <v>0</v>
      </c>
      <c r="S502" s="108">
        <f>IFERROR(Table19[[#This Row],[Num of Stocks]]*Table19[[#This Row],[Ave Entry]],"")</f>
        <v>0</v>
      </c>
      <c r="T502" s="39">
        <f ca="1">Table19[[#This Row],[Combined Exposure]]/$C$8</f>
        <v>0</v>
      </c>
    </row>
    <row r="503" spans="1:20">
      <c r="A503" t="e" vm="140">
        <v>#VALUE!</v>
      </c>
      <c r="B503" s="13" t="str" cm="1">
        <f t="array" aca="1" ref="B503" ca="1">_FV(A503,"Ticker symbol",TRUE)</f>
        <v>WDC</v>
      </c>
      <c r="C503" s="13" t="s">
        <v>83</v>
      </c>
      <c r="D503" s="13" t="s">
        <v>257</v>
      </c>
      <c r="E503" s="19" cm="1">
        <f t="array" aca="1" ref="E503" ca="1">IFERROR(_FV(A503,"Beta"),2)</f>
        <v>1.7298</v>
      </c>
      <c r="F503" s="13" t="str" cm="1">
        <f t="array" aca="1" ref="F503" ca="1">_FV(A503,"Instrument type",TRUE)</f>
        <v>Stock</v>
      </c>
      <c r="G503" s="18" cm="1">
        <f t="array" aca="1" ref="G503" ca="1">_FV(Table19[[#This Row],[Assets]],"Price")</f>
        <v>298.36009999999999</v>
      </c>
      <c r="H503" s="36" t="str">
        <f>IFERROR(VLOOKUP(Table19[[#This Row],[Assets]],Table25[#All],15,FALSE),"")</f>
        <v/>
      </c>
      <c r="I503" s="36">
        <f>IFERROR(VLOOKUP(Table19[[#This Row],[Assets]],Table25[#All],16,FALSE),0)</f>
        <v>0</v>
      </c>
      <c r="J503" s="84" t="str">
        <f ca="1">IFERROR((Table19[[#This Row],[Price]]-Table19[[#This Row],[Ave Entry]])/Table19[[#This Row],[Ave Entry]],"")</f>
        <v/>
      </c>
      <c r="K503" s="92">
        <f ca="1">IFERROR((Table19[[#This Row],[Price]]-Table19[[#This Row],[Ave Entry]])*Table19[[#This Row],[Num of Stocks]],0)</f>
        <v>0</v>
      </c>
      <c r="L503" s="38" cm="1">
        <f t="array" aca="1" ref="L503" ca="1">_FV(Table19[[#This Row],[Assets]],"Change (%)",TRUE)</f>
        <v>-8.9350000000000002E-3</v>
      </c>
      <c r="M503" s="36">
        <f>SUMIF(Table20[Asset],Table19[[#This Row],[Assets]],Table20[realized_profit])</f>
        <v>0</v>
      </c>
      <c r="N503" s="36">
        <f>SUMIF(Table20[[#All],[Asset]],Table19[[#This Row],[Assets]],Table20[[#All],[delta_exposure]])</f>
        <v>0</v>
      </c>
      <c r="O503" s="38">
        <f ca="1">Table19[[#This Row],[Option Exposure]]/$B$6</f>
        <v>0</v>
      </c>
      <c r="P503" s="51">
        <f>SUMIF(Table25[[#All],[Assets]],Table19[[#This Row],[Assets]],Table25[[#All],[Number of stocks]])</f>
        <v>0</v>
      </c>
      <c r="Q503" s="36">
        <f ca="1">Table19[[#This Row],[Num of Stocks]]*Table19[[#This Row],[Price]]</f>
        <v>0</v>
      </c>
      <c r="R503" s="36">
        <f ca="1">Table19[[#This Row],[Stock Exposure]]+Table19[[#This Row],[Option Exposure]]</f>
        <v>0</v>
      </c>
      <c r="S503" s="108" t="str">
        <f>IFERROR(Table19[[#This Row],[Num of Stocks]]*Table19[[#This Row],[Ave Entry]],"")</f>
        <v/>
      </c>
      <c r="T503" s="39">
        <f ca="1">Table19[[#This Row],[Combined Exposure]]/$C$8</f>
        <v>0</v>
      </c>
    </row>
    <row r="504" spans="1:20">
      <c r="A504" t="e" vm="175">
        <v>#VALUE!</v>
      </c>
      <c r="B504" s="13" t="str" cm="1">
        <f t="array" aca="1" ref="B504" ca="1">_FV(A504,"Ticker symbol",TRUE)</f>
        <v>GFS</v>
      </c>
      <c r="C504" s="13" t="s">
        <v>84</v>
      </c>
      <c r="D504" s="13" t="s">
        <v>84</v>
      </c>
      <c r="E504" s="19" cm="1">
        <f t="array" aca="1" ref="E504" ca="1">IFERROR(_FV(A504,"Beta"),2)</f>
        <v>1.4464999999999999</v>
      </c>
      <c r="F504" s="13" t="str" cm="1">
        <f t="array" aca="1" ref="F504" ca="1">_FV(A504,"Instrument type",TRUE)</f>
        <v>Stock</v>
      </c>
      <c r="G504" s="18" cm="1">
        <f t="array" aca="1" ref="G504" ca="1">_FV(Table19[[#This Row],[Assets]],"Price")</f>
        <v>47.16</v>
      </c>
      <c r="H504" s="36" t="str">
        <f>IFERROR(VLOOKUP(Table19[[#This Row],[Assets]],Table25[#All],15,FALSE),"")</f>
        <v/>
      </c>
      <c r="I504" s="36">
        <f>IFERROR(VLOOKUP(Table19[[#This Row],[Assets]],Table25[#All],16,FALSE),0)</f>
        <v>0</v>
      </c>
      <c r="J504" s="84" t="str">
        <f ca="1">IFERROR((Table19[[#This Row],[Price]]-Table19[[#This Row],[Ave Entry]])/Table19[[#This Row],[Ave Entry]],"")</f>
        <v/>
      </c>
      <c r="K504" s="92">
        <f ca="1">IFERROR((Table19[[#This Row],[Price]]-Table19[[#This Row],[Ave Entry]])*Table19[[#This Row],[Num of Stocks]],0)</f>
        <v>0</v>
      </c>
      <c r="L504" s="38" cm="1">
        <f t="array" aca="1" ref="L504" ca="1">_FV(Table19[[#This Row],[Assets]],"Change (%)",TRUE)</f>
        <v>2.3438000000000001E-2</v>
      </c>
      <c r="M504" s="36">
        <f>SUMIF(Table20[Asset],Table19[[#This Row],[Assets]],Table20[realized_profit])</f>
        <v>0</v>
      </c>
      <c r="N504" s="36">
        <f>SUMIF(Table20[[#All],[Asset]],Table19[[#This Row],[Assets]],Table20[[#All],[delta_exposure]])</f>
        <v>0</v>
      </c>
      <c r="O504" s="38">
        <f ca="1">Table19[[#This Row],[Option Exposure]]/$B$6</f>
        <v>0</v>
      </c>
      <c r="P504" s="51">
        <f>SUMIF(Table25[[#All],[Assets]],Table19[[#This Row],[Assets]],Table25[[#All],[Number of stocks]])</f>
        <v>0</v>
      </c>
      <c r="Q504" s="36">
        <f ca="1">Table19[[#This Row],[Num of Stocks]]*Table19[[#This Row],[Price]]</f>
        <v>0</v>
      </c>
      <c r="R504" s="36">
        <f ca="1">Table19[[#This Row],[Stock Exposure]]+Table19[[#This Row],[Option Exposure]]</f>
        <v>0</v>
      </c>
      <c r="S504" s="108" t="str">
        <f>IFERROR(Table19[[#This Row],[Num of Stocks]]*Table19[[#This Row],[Ave Entry]],"")</f>
        <v/>
      </c>
      <c r="T504" s="39">
        <f ca="1">Table19[[#This Row],[Combined Exposure]]/$C$8</f>
        <v>0</v>
      </c>
    </row>
    <row r="505" spans="1:20">
      <c r="A505" t="e" vm="100">
        <v>#VALUE!</v>
      </c>
      <c r="B505" s="13" t="str" cm="1">
        <f t="array" aca="1" ref="B505" ca="1">_FV(A505,"Ticker symbol",TRUE)</f>
        <v>FNV</v>
      </c>
      <c r="C505" s="13" t="s">
        <v>133</v>
      </c>
      <c r="D505" s="13" t="s">
        <v>25</v>
      </c>
      <c r="E505" s="19" cm="1">
        <f t="array" aca="1" ref="E505" ca="1">IFERROR(_FV(A505,"Beta"),2)</f>
        <v>1.0099</v>
      </c>
      <c r="F505" s="13" t="str" cm="1">
        <f t="array" aca="1" ref="F505" ca="1">_FV(A505,"Instrument type",TRUE)</f>
        <v>Stock</v>
      </c>
      <c r="G505" s="18" cm="1">
        <f t="array" aca="1" ref="G505" ca="1">_FV(Table19[[#This Row],[Assets]],"Price")</f>
        <v>235.27</v>
      </c>
      <c r="H505" s="36">
        <f>IFERROR(VLOOKUP(Table19[[#This Row],[Assets]],Table25[#All],15,FALSE),"")</f>
        <v>125.92624999999998</v>
      </c>
      <c r="I505" s="36">
        <f>IFERROR(VLOOKUP(Table19[[#This Row],[Assets]],Table25[#All],16,FALSE),0)</f>
        <v>-275.33999999999878</v>
      </c>
      <c r="J505" s="84">
        <f ca="1">IFERROR((Table19[[#This Row],[Price]]-Table19[[#This Row],[Ave Entry]])/Table19[[#This Row],[Ave Entry]],"")</f>
        <v>0.86831578006968402</v>
      </c>
      <c r="K505" s="92">
        <f ca="1">IFERROR((Table19[[#This Row],[Price]]-Table19[[#This Row],[Ave Entry]])*Table19[[#This Row],[Num of Stocks]],0)</f>
        <v>0</v>
      </c>
      <c r="L505" s="38" cm="1">
        <f t="array" aca="1" ref="L505" ca="1">_FV(Table19[[#This Row],[Assets]],"Change (%)",TRUE)</f>
        <v>1.9764999999999998E-2</v>
      </c>
      <c r="M505" s="36">
        <f>SUMIF(Table20[Asset],Table19[[#This Row],[Assets]],Table20[realized_profit])</f>
        <v>0</v>
      </c>
      <c r="N505" s="36">
        <f>SUMIF(Table20[[#All],[Asset]],Table19[[#This Row],[Assets]],Table20[[#All],[delta_exposure]])</f>
        <v>0</v>
      </c>
      <c r="O505" s="38">
        <f ca="1">Table19[[#This Row],[Option Exposure]]/$B$6</f>
        <v>0</v>
      </c>
      <c r="P505" s="51">
        <f>SUMIF(Table25[[#All],[Assets]],Table19[[#This Row],[Assets]],Table25[[#All],[Number of stocks]])</f>
        <v>0</v>
      </c>
      <c r="Q505" s="36">
        <f ca="1">Table19[[#This Row],[Num of Stocks]]*Table19[[#This Row],[Price]]</f>
        <v>0</v>
      </c>
      <c r="R505" s="36">
        <f ca="1">Table19[[#This Row],[Stock Exposure]]+Table19[[#This Row],[Option Exposure]]</f>
        <v>0</v>
      </c>
      <c r="S505" s="108">
        <f>IFERROR(Table19[[#This Row],[Num of Stocks]]*Table19[[#This Row],[Ave Entry]],"")</f>
        <v>0</v>
      </c>
      <c r="T505" s="39">
        <f ca="1">Table19[[#This Row],[Combined Exposure]]/$C$8</f>
        <v>0</v>
      </c>
    </row>
    <row r="506" spans="1:20">
      <c r="A506" t="e" vm="507">
        <v>#VALUE!</v>
      </c>
      <c r="B506" s="13" t="str" cm="1">
        <f t="array" aca="1" ref="B506" ca="1">_FV(A506,"Ticker symbol",TRUE)</f>
        <v>SPRY</v>
      </c>
      <c r="C506" s="13" t="s">
        <v>53</v>
      </c>
      <c r="D506" s="13" t="s">
        <v>53</v>
      </c>
      <c r="E506" s="19" cm="1">
        <f t="array" aca="1" ref="E506" ca="1">IFERROR(_FV(A506,"Beta"),2)</f>
        <v>0.87929999999999997</v>
      </c>
      <c r="F506" s="13" t="str" cm="1">
        <f t="array" aca="1" ref="F506" ca="1">_FV(A506,"Instrument type",TRUE)</f>
        <v>Stock</v>
      </c>
      <c r="G506" s="18" cm="1">
        <f t="array" aca="1" ref="G506" ca="1">_FV(Table19[[#This Row],[Assets]],"Price")</f>
        <v>8.02</v>
      </c>
      <c r="H506" s="36">
        <f>IFERROR(VLOOKUP(Table19[[#This Row],[Assets]],Table25[#All],15,FALSE),"")</f>
        <v>11.48</v>
      </c>
      <c r="I506" s="36">
        <f>IFERROR(VLOOKUP(Table19[[#This Row],[Assets]],Table25[#All],16,FALSE),0)</f>
        <v>0.79999999999998295</v>
      </c>
      <c r="J506" s="84">
        <f ca="1">IFERROR((Table19[[#This Row],[Price]]-Table19[[#This Row],[Ave Entry]])/Table19[[#This Row],[Ave Entry]],"")</f>
        <v>-0.30139372822299659</v>
      </c>
      <c r="K506" s="92">
        <f ca="1">IFERROR((Table19[[#This Row],[Price]]-Table19[[#This Row],[Ave Entry]])*Table19[[#This Row],[Num of Stocks]],0)</f>
        <v>0</v>
      </c>
      <c r="L506" s="38" cm="1">
        <f t="array" aca="1" ref="L506" ca="1">_FV(Table19[[#This Row],[Assets]],"Change (%)",TRUE)</f>
        <v>6.3659999999999994E-2</v>
      </c>
      <c r="M506" s="36">
        <f>SUMIF(Table20[Asset],Table19[[#This Row],[Assets]],Table20[realized_profit])</f>
        <v>0</v>
      </c>
      <c r="N506" s="36">
        <f>SUMIF(Table20[[#All],[Asset]],Table19[[#This Row],[Assets]],Table20[[#All],[delta_exposure]])</f>
        <v>0</v>
      </c>
      <c r="O506" s="38">
        <f ca="1">Table19[[#This Row],[Option Exposure]]/$B$6</f>
        <v>0</v>
      </c>
      <c r="P506" s="51">
        <f>SUMIF(Table25[[#All],[Assets]],Table19[[#This Row],[Assets]],Table25[[#All],[Number of stocks]])</f>
        <v>0</v>
      </c>
      <c r="Q506" s="36">
        <f ca="1">Table19[[#This Row],[Num of Stocks]]*Table19[[#This Row],[Price]]</f>
        <v>0</v>
      </c>
      <c r="R506" s="36">
        <f ca="1">Table19[[#This Row],[Stock Exposure]]+Table19[[#This Row],[Option Exposure]]</f>
        <v>0</v>
      </c>
      <c r="S506" s="108">
        <f>IFERROR(Table19[[#This Row],[Num of Stocks]]*Table19[[#This Row],[Ave Entry]],"")</f>
        <v>0</v>
      </c>
      <c r="T506" s="39">
        <f ca="1">Table19[[#This Row],[Combined Exposure]]/$C$8</f>
        <v>0</v>
      </c>
    </row>
    <row r="507" spans="1:20">
      <c r="A507" t="e" vm="508">
        <v>#VALUE!</v>
      </c>
      <c r="B507" s="13" t="str" cm="1">
        <f t="array" aca="1" ref="B507" ca="1">_FV(A507,"Ticker symbol",TRUE)</f>
        <v>HLIT</v>
      </c>
      <c r="C507" s="13" t="s">
        <v>258</v>
      </c>
      <c r="D507" s="13" t="s">
        <v>29</v>
      </c>
      <c r="E507" s="19" cm="1">
        <f t="array" aca="1" ref="E507" ca="1">IFERROR(_FV(A507,"Beta"),2)</f>
        <v>1.0831</v>
      </c>
      <c r="F507" s="13" t="str" cm="1">
        <f t="array" aca="1" ref="F507" ca="1">_FV(A507,"Instrument type",TRUE)</f>
        <v>Stock</v>
      </c>
      <c r="G507" s="18" cm="1">
        <f t="array" aca="1" ref="G507" ca="1">_FV(Table19[[#This Row],[Assets]],"Price")</f>
        <v>9.58</v>
      </c>
      <c r="H507" s="36" t="str">
        <f>IFERROR(VLOOKUP(Table19[[#This Row],[Assets]],Table25[#All],15,FALSE),"")</f>
        <v/>
      </c>
      <c r="I507" s="36">
        <f>IFERROR(VLOOKUP(Table19[[#This Row],[Assets]],Table25[#All],16,FALSE),0)</f>
        <v>0</v>
      </c>
      <c r="J507" s="84" t="str">
        <f ca="1">IFERROR((Table19[[#This Row],[Price]]-Table19[[#This Row],[Ave Entry]])/Table19[[#This Row],[Ave Entry]],"")</f>
        <v/>
      </c>
      <c r="K507" s="92">
        <f ca="1">IFERROR((Table19[[#This Row],[Price]]-Table19[[#This Row],[Ave Entry]])*Table19[[#This Row],[Num of Stocks]],0)</f>
        <v>0</v>
      </c>
      <c r="L507" s="38" cm="1">
        <f t="array" aca="1" ref="L507" ca="1">_FV(Table19[[#This Row],[Assets]],"Change (%)",TRUE)</f>
        <v>2.7896999999999998E-2</v>
      </c>
      <c r="M507" s="36">
        <f>SUMIF(Table20[Asset],Table19[[#This Row],[Assets]],Table20[realized_profit])</f>
        <v>0</v>
      </c>
      <c r="N507" s="36">
        <f>SUMIF(Table20[[#All],[Asset]],Table19[[#This Row],[Assets]],Table20[[#All],[delta_exposure]])</f>
        <v>0</v>
      </c>
      <c r="O507" s="38">
        <f ca="1">Table19[[#This Row],[Option Exposure]]/$B$6</f>
        <v>0</v>
      </c>
      <c r="P507" s="51">
        <f>SUMIF(Table25[[#All],[Assets]],Table19[[#This Row],[Assets]],Table25[[#All],[Number of stocks]])</f>
        <v>0</v>
      </c>
      <c r="Q507" s="36">
        <f ca="1">Table19[[#This Row],[Num of Stocks]]*Table19[[#This Row],[Price]]</f>
        <v>0</v>
      </c>
      <c r="R507" s="36">
        <f ca="1">Table19[[#This Row],[Stock Exposure]]+Table19[[#This Row],[Option Exposure]]</f>
        <v>0</v>
      </c>
      <c r="S507" s="108" t="str">
        <f>IFERROR(Table19[[#This Row],[Num of Stocks]]*Table19[[#This Row],[Ave Entry]],"")</f>
        <v/>
      </c>
      <c r="T507" s="39">
        <f ca="1">Table19[[#This Row],[Combined Exposure]]/$C$8</f>
        <v>0</v>
      </c>
    </row>
    <row r="508" spans="1:20">
      <c r="A508" t="e" vm="509">
        <v>#VALUE!</v>
      </c>
      <c r="B508" s="13" t="str" cm="1">
        <f t="array" aca="1" ref="B508" ca="1">_FV(A508,"Ticker symbol",TRUE)</f>
        <v>FTRE</v>
      </c>
      <c r="C508" s="13" t="s">
        <v>53</v>
      </c>
      <c r="D508" s="13" t="s">
        <v>53</v>
      </c>
      <c r="E508" s="19" cm="1">
        <f t="array" aca="1" ref="E508" ca="1">IFERROR(_FV(A508,"Beta"),2)</f>
        <v>1.7370000000000001</v>
      </c>
      <c r="F508" s="13" t="str" cm="1">
        <f t="array" aca="1" ref="F508" ca="1">_FV(A508,"Instrument type",TRUE)</f>
        <v>Stock</v>
      </c>
      <c r="G508" s="18" cm="1">
        <f t="array" aca="1" ref="G508" ca="1">_FV(Table19[[#This Row],[Assets]],"Price")</f>
        <v>9.73</v>
      </c>
      <c r="H508" s="36">
        <f>IFERROR(VLOOKUP(Table19[[#This Row],[Assets]],Table25[#All],15,FALSE),"")</f>
        <v>19.010000000000002</v>
      </c>
      <c r="I508" s="36">
        <f>IFERROR(VLOOKUP(Table19[[#This Row],[Assets]],Table25[#All],16,FALSE),0)</f>
        <v>-725.50000000000011</v>
      </c>
      <c r="J508" s="84">
        <f ca="1">IFERROR((Table19[[#This Row],[Price]]-Table19[[#This Row],[Ave Entry]])/Table19[[#This Row],[Ave Entry]],"")</f>
        <v>-0.48816412414518678</v>
      </c>
      <c r="K508" s="92">
        <f ca="1">IFERROR((Table19[[#This Row],[Price]]-Table19[[#This Row],[Ave Entry]])*Table19[[#This Row],[Num of Stocks]],0)</f>
        <v>0</v>
      </c>
      <c r="L508" s="38" cm="1">
        <f t="array" aca="1" ref="L508" ca="1">_FV(Table19[[#This Row],[Assets]],"Change (%)",TRUE)</f>
        <v>1.5658000000000002E-2</v>
      </c>
      <c r="M508" s="36">
        <f>SUMIF(Table20[Asset],Table19[[#This Row],[Assets]],Table20[realized_profit])</f>
        <v>0</v>
      </c>
      <c r="N508" s="36">
        <f>SUMIF(Table20[[#All],[Asset]],Table19[[#This Row],[Assets]],Table20[[#All],[delta_exposure]])</f>
        <v>0</v>
      </c>
      <c r="O508" s="38">
        <f ca="1">Table19[[#This Row],[Option Exposure]]/$B$6</f>
        <v>0</v>
      </c>
      <c r="P508" s="51">
        <f>SUMIF(Table25[[#All],[Assets]],Table19[[#This Row],[Assets]],Table25[[#All],[Number of stocks]])</f>
        <v>0</v>
      </c>
      <c r="Q508" s="36">
        <f ca="1">Table19[[#This Row],[Num of Stocks]]*Table19[[#This Row],[Price]]</f>
        <v>0</v>
      </c>
      <c r="R508" s="36">
        <f ca="1">Table19[[#This Row],[Stock Exposure]]+Table19[[#This Row],[Option Exposure]]</f>
        <v>0</v>
      </c>
      <c r="S508" s="108">
        <f>IFERROR(Table19[[#This Row],[Num of Stocks]]*Table19[[#This Row],[Ave Entry]],"")</f>
        <v>0</v>
      </c>
      <c r="T508" s="39">
        <f ca="1">Table19[[#This Row],[Combined Exposure]]/$C$8</f>
        <v>0</v>
      </c>
    </row>
    <row r="509" spans="1:20">
      <c r="A509" t="e" vm="102">
        <v>#VALUE!</v>
      </c>
      <c r="B509" s="13" t="str" cm="1">
        <f t="array" aca="1" ref="B509" ca="1">_FV(A509,"Ticker symbol",TRUE)</f>
        <v>GM</v>
      </c>
      <c r="C509" s="13" t="s">
        <v>120</v>
      </c>
      <c r="D509" s="13" t="s">
        <v>120</v>
      </c>
      <c r="E509" s="19" cm="1">
        <f t="array" aca="1" ref="E509" ca="1">IFERROR(_FV(A509,"Beta"),2)</f>
        <v>1.3358000000000001</v>
      </c>
      <c r="F509" s="13" t="str" cm="1">
        <f t="array" aca="1" ref="F509" ca="1">_FV(A509,"Instrument type",TRUE)</f>
        <v>Stock</v>
      </c>
      <c r="G509" s="18" cm="1">
        <f t="array" aca="1" ref="G509" ca="1">_FV(Table19[[#This Row],[Assets]],"Price")</f>
        <v>77.844999999999999</v>
      </c>
      <c r="H509" s="36">
        <f>IFERROR(VLOOKUP(Table19[[#This Row],[Assets]],Table25[#All],15,FALSE),"")</f>
        <v>52.515000000000008</v>
      </c>
      <c r="I509" s="36">
        <f>IFERROR(VLOOKUP(Table19[[#This Row],[Assets]],Table25[#All],16,FALSE),0)</f>
        <v>-86.900000000000119</v>
      </c>
      <c r="J509" s="84">
        <f ca="1">IFERROR((Table19[[#This Row],[Price]]-Table19[[#This Row],[Ave Entry]])/Table19[[#This Row],[Ave Entry]],"")</f>
        <v>0.48233837951061576</v>
      </c>
      <c r="K509" s="92">
        <f ca="1">IFERROR((Table19[[#This Row],[Price]]-Table19[[#This Row],[Ave Entry]])*Table19[[#This Row],[Num of Stocks]],0)</f>
        <v>0</v>
      </c>
      <c r="L509" s="38" cm="1">
        <f t="array" aca="1" ref="L509" ca="1">_FV(Table19[[#This Row],[Assets]],"Change (%)",TRUE)</f>
        <v>1.6650999999999999E-2</v>
      </c>
      <c r="M509" s="36">
        <f>SUMIF(Table20[Asset],Table19[[#This Row],[Assets]],Table20[realized_profit])</f>
        <v>455</v>
      </c>
      <c r="N509" s="36">
        <f ca="1">SUMIF(Table20[[#All],[Asset]],Table19[[#This Row],[Assets]],Table20[[#All],[delta_exposure]])</f>
        <v>0</v>
      </c>
      <c r="O509" s="38">
        <f ca="1">Table19[[#This Row],[Option Exposure]]/$B$6</f>
        <v>0</v>
      </c>
      <c r="P509" s="51">
        <f>SUMIF(Table25[[#All],[Assets]],Table19[[#This Row],[Assets]],Table25[[#All],[Number of stocks]])</f>
        <v>0</v>
      </c>
      <c r="Q509" s="36">
        <f ca="1">Table19[[#This Row],[Num of Stocks]]*Table19[[#This Row],[Price]]</f>
        <v>0</v>
      </c>
      <c r="R509" s="36">
        <f ca="1">Table19[[#This Row],[Stock Exposure]]+Table19[[#This Row],[Option Exposure]]</f>
        <v>0</v>
      </c>
      <c r="S509" s="108">
        <f>IFERROR(Table19[[#This Row],[Num of Stocks]]*Table19[[#This Row],[Ave Entry]],"")</f>
        <v>0</v>
      </c>
      <c r="T509" s="39">
        <f ca="1">Table19[[#This Row],[Combined Exposure]]/$C$8</f>
        <v>0</v>
      </c>
    </row>
    <row r="510" spans="1:20">
      <c r="A510" t="e" vm="510">
        <v>#VALUE!</v>
      </c>
      <c r="B510" s="13" t="str" cm="1">
        <f t="array" aca="1" ref="B510" ca="1">_FV(A510,"Ticker symbol",TRUE)</f>
        <v>ALGN</v>
      </c>
      <c r="C510" s="13" t="s">
        <v>53</v>
      </c>
      <c r="D510" s="13" t="s">
        <v>53</v>
      </c>
      <c r="E510" s="19" cm="1">
        <f t="array" aca="1" ref="E510" ca="1">IFERROR(_FV(A510,"Beta"),2)</f>
        <v>1.7954000000000001</v>
      </c>
      <c r="F510" s="13" t="str" cm="1">
        <f t="array" aca="1" ref="F510" ca="1">_FV(A510,"Instrument type",TRUE)</f>
        <v>Stock</v>
      </c>
      <c r="G510" s="18" cm="1">
        <f t="array" aca="1" ref="G510" ca="1">_FV(Table19[[#This Row],[Assets]],"Price")</f>
        <v>180.215</v>
      </c>
      <c r="H510" s="36">
        <f>IFERROR(VLOOKUP(Table19[[#This Row],[Assets]],Table25[#All],15,FALSE),"")</f>
        <v>230.82</v>
      </c>
      <c r="I510" s="36">
        <f>IFERROR(VLOOKUP(Table19[[#This Row],[Assets]],Table25[#All],16,FALSE),0)</f>
        <v>-45.21999999999997</v>
      </c>
      <c r="J510" s="84">
        <f ca="1">IFERROR((Table19[[#This Row],[Price]]-Table19[[#This Row],[Ave Entry]])/Table19[[#This Row],[Ave Entry]],"")</f>
        <v>-0.21924010051122084</v>
      </c>
      <c r="K510" s="92">
        <f ca="1">IFERROR((Table19[[#This Row],[Price]]-Table19[[#This Row],[Ave Entry]])*Table19[[#This Row],[Num of Stocks]],0)</f>
        <v>0</v>
      </c>
      <c r="L510" s="38" cm="1">
        <f t="array" aca="1" ref="L510" ca="1">_FV(Table19[[#This Row],[Assets]],"Change (%)",TRUE)</f>
        <v>4.8789999999999997E-3</v>
      </c>
      <c r="M510" s="36">
        <f>SUMIF(Table20[Asset],Table19[[#This Row],[Assets]],Table20[realized_profit])</f>
        <v>0</v>
      </c>
      <c r="N510" s="36">
        <f>SUMIF(Table20[[#All],[Asset]],Table19[[#This Row],[Assets]],Table20[[#All],[delta_exposure]])</f>
        <v>0</v>
      </c>
      <c r="O510" s="38">
        <f ca="1">Table19[[#This Row],[Option Exposure]]/$B$6</f>
        <v>0</v>
      </c>
      <c r="P510" s="51">
        <f>SUMIF(Table25[[#All],[Assets]],Table19[[#This Row],[Assets]],Table25[[#All],[Number of stocks]])</f>
        <v>0</v>
      </c>
      <c r="Q510" s="36">
        <f ca="1">Table19[[#This Row],[Num of Stocks]]*Table19[[#This Row],[Price]]</f>
        <v>0</v>
      </c>
      <c r="R510" s="36">
        <f ca="1">Table19[[#This Row],[Stock Exposure]]+Table19[[#This Row],[Option Exposure]]</f>
        <v>0</v>
      </c>
      <c r="S510" s="108">
        <f>IFERROR(Table19[[#This Row],[Num of Stocks]]*Table19[[#This Row],[Ave Entry]],"")</f>
        <v>0</v>
      </c>
      <c r="T510" s="39">
        <f ca="1">Table19[[#This Row],[Combined Exposure]]/$C$8</f>
        <v>0</v>
      </c>
    </row>
    <row r="511" spans="1:20">
      <c r="A511" t="e" vm="511">
        <v>#VALUE!</v>
      </c>
      <c r="B511" s="13" t="str" cm="1">
        <f t="array" aca="1" ref="B511" ca="1">_FV(A511,"Ticker symbol",TRUE)</f>
        <v>ARM</v>
      </c>
      <c r="C511" s="13" t="s">
        <v>83</v>
      </c>
      <c r="D511" s="13" t="s">
        <v>84</v>
      </c>
      <c r="E511" s="19" cm="1">
        <f t="array" aca="1" ref="E511" ca="1">IFERROR(_FV(A511,"Beta"),2)</f>
        <v>1.7949999999999999</v>
      </c>
      <c r="F511" s="13" t="str" cm="1">
        <f t="array" aca="1" ref="F511" ca="1">_FV(A511,"Instrument type",TRUE)</f>
        <v>Stock</v>
      </c>
      <c r="G511" s="18" cm="1">
        <f t="array" aca="1" ref="G511" ca="1">_FV(Table19[[#This Row],[Assets]],"Price")</f>
        <v>157.85</v>
      </c>
      <c r="H511" s="36">
        <f>IFERROR(VLOOKUP(Table19[[#This Row],[Assets]],Table25[#All],15,FALSE),"")</f>
        <v>138.42857142857142</v>
      </c>
      <c r="I511" s="36">
        <f>IFERROR(VLOOKUP(Table19[[#This Row],[Assets]],Table25[#All],16,FALSE),0)</f>
        <v>-170.44714285714292</v>
      </c>
      <c r="J511" s="84">
        <f ca="1">IFERROR((Table19[[#This Row],[Price]]-Table19[[#This Row],[Ave Entry]])/Table19[[#This Row],[Ave Entry]],"")</f>
        <v>0.1402992776057792</v>
      </c>
      <c r="K511" s="92">
        <f ca="1">IFERROR((Table19[[#This Row],[Price]]-Table19[[#This Row],[Ave Entry]])*Table19[[#This Row],[Num of Stocks]],0)</f>
        <v>97.10714285714289</v>
      </c>
      <c r="L511" s="38" cm="1">
        <f t="array" aca="1" ref="L511" ca="1">_FV(Table19[[#This Row],[Assets]],"Change (%)",TRUE)</f>
        <v>0.16960600000000001</v>
      </c>
      <c r="M511" s="36">
        <f>SUMIF(Table20[Asset],Table19[[#This Row],[Assets]],Table20[realized_profit])</f>
        <v>68.000000000000028</v>
      </c>
      <c r="N511" s="36">
        <f ca="1">SUMIF(Table20[[#All],[Asset]],Table19[[#This Row],[Assets]],Table20[[#All],[delta_exposure]])</f>
        <v>0</v>
      </c>
      <c r="O511" s="38">
        <f ca="1">Table19[[#This Row],[Option Exposure]]/$B$6</f>
        <v>0</v>
      </c>
      <c r="P511" s="51">
        <f>SUMIF(Table25[[#All],[Assets]],Table19[[#This Row],[Assets]],Table25[[#All],[Number of stocks]])</f>
        <v>5</v>
      </c>
      <c r="Q511" s="36">
        <f ca="1">Table19[[#This Row],[Num of Stocks]]*Table19[[#This Row],[Price]]</f>
        <v>789.25</v>
      </c>
      <c r="R511" s="36">
        <f ca="1">Table19[[#This Row],[Stock Exposure]]+Table19[[#This Row],[Option Exposure]]</f>
        <v>789.25</v>
      </c>
      <c r="S511" s="108">
        <f>IFERROR(Table19[[#This Row],[Num of Stocks]]*Table19[[#This Row],[Ave Entry]],"")</f>
        <v>692.14285714285711</v>
      </c>
      <c r="T511" s="39">
        <f ca="1">Table19[[#This Row],[Combined Exposure]]/$C$8</f>
        <v>4.9747219401930177E-3</v>
      </c>
    </row>
    <row r="512" spans="1:20">
      <c r="A512" t="e" vm="512">
        <v>#VALUE!</v>
      </c>
      <c r="B512" s="13" t="str" cm="1">
        <f t="array" aca="1" ref="B512" ca="1">_FV(A512,"Ticker symbol",TRUE)</f>
        <v>FORM</v>
      </c>
      <c r="C512" s="13" t="s">
        <v>84</v>
      </c>
      <c r="D512" s="13" t="s">
        <v>84</v>
      </c>
      <c r="E512" s="19" cm="1">
        <f t="array" aca="1" ref="E512" ca="1">IFERROR(_FV(A512,"Beta"),2)</f>
        <v>0.99760000000000004</v>
      </c>
      <c r="F512" s="13" t="str" cm="1">
        <f t="array" aca="1" ref="F512" ca="1">_FV(A512,"Instrument type",TRUE)</f>
        <v>Stock</v>
      </c>
      <c r="G512" s="18" cm="1">
        <f t="array" aca="1" ref="G512" ca="1">_FV(Table19[[#This Row],[Assets]],"Price")</f>
        <v>109.89</v>
      </c>
      <c r="H512" s="36">
        <f>IFERROR(VLOOKUP(Table19[[#This Row],[Assets]],Table25[#All],15,FALSE),"")</f>
        <v>51.46</v>
      </c>
      <c r="I512" s="36">
        <f>IFERROR(VLOOKUP(Table19[[#This Row],[Assets]],Table25[#All],16,FALSE),0)</f>
        <v>-112.55999999999999</v>
      </c>
      <c r="J512" s="84">
        <f ca="1">IFERROR((Table19[[#This Row],[Price]]-Table19[[#This Row],[Ave Entry]])/Table19[[#This Row],[Ave Entry]],"")</f>
        <v>1.1354450058297707</v>
      </c>
      <c r="K512" s="92">
        <f ca="1">IFERROR((Table19[[#This Row],[Price]]-Table19[[#This Row],[Ave Entry]])*Table19[[#This Row],[Num of Stocks]],0)</f>
        <v>0</v>
      </c>
      <c r="L512" s="38" cm="1">
        <f t="array" aca="1" ref="L512" ca="1">_FV(Table19[[#This Row],[Assets]],"Change (%)",TRUE)</f>
        <v>4.1314999999999998E-2</v>
      </c>
      <c r="M512" s="36">
        <f>SUMIF(Table20[Asset],Table19[[#This Row],[Assets]],Table20[realized_profit])</f>
        <v>0</v>
      </c>
      <c r="N512" s="36">
        <f>SUMIF(Table20[[#All],[Asset]],Table19[[#This Row],[Assets]],Table20[[#All],[delta_exposure]])</f>
        <v>0</v>
      </c>
      <c r="O512" s="38">
        <f ca="1">Table19[[#This Row],[Option Exposure]]/$B$6</f>
        <v>0</v>
      </c>
      <c r="P512" s="51">
        <f>SUMIF(Table25[[#All],[Assets]],Table19[[#This Row],[Assets]],Table25[[#All],[Number of stocks]])</f>
        <v>0</v>
      </c>
      <c r="Q512" s="36">
        <f ca="1">Table19[[#This Row],[Num of Stocks]]*Table19[[#This Row],[Price]]</f>
        <v>0</v>
      </c>
      <c r="R512" s="36">
        <f ca="1">Table19[[#This Row],[Stock Exposure]]+Table19[[#This Row],[Option Exposure]]</f>
        <v>0</v>
      </c>
      <c r="S512" s="108">
        <f>IFERROR(Table19[[#This Row],[Num of Stocks]]*Table19[[#This Row],[Ave Entry]],"")</f>
        <v>0</v>
      </c>
      <c r="T512" s="39">
        <f ca="1">Table19[[#This Row],[Combined Exposure]]/$C$8</f>
        <v>0</v>
      </c>
    </row>
    <row r="513" spans="1:20">
      <c r="A513" t="e" vm="513">
        <v>#VALUE!</v>
      </c>
      <c r="B513" s="13" t="str" cm="1">
        <f t="array" aca="1" ref="B513" ca="1">_FV(A513,"Ticker symbol",TRUE)</f>
        <v>RPD</v>
      </c>
      <c r="C513" s="13" t="s">
        <v>29</v>
      </c>
      <c r="D513" s="13" t="s">
        <v>121</v>
      </c>
      <c r="E513" s="19" cm="1">
        <f t="array" aca="1" ref="E513" ca="1">IFERROR(_FV(A513,"Beta"),2)</f>
        <v>0.89070000000000005</v>
      </c>
      <c r="F513" s="13" t="str" cm="1">
        <f t="array" aca="1" ref="F513" ca="1">_FV(A513,"Instrument type",TRUE)</f>
        <v>Stock</v>
      </c>
      <c r="G513" s="18" cm="1">
        <f t="array" aca="1" ref="G513" ca="1">_FV(Table19[[#This Row],[Assets]],"Price")</f>
        <v>5.76</v>
      </c>
      <c r="H513" s="36">
        <f>IFERROR(VLOOKUP(Table19[[#This Row],[Assets]],Table25[#All],15,FALSE),"")</f>
        <v>43.9</v>
      </c>
      <c r="I513" s="36">
        <f>IFERROR(VLOOKUP(Table19[[#This Row],[Assets]],Table25[#All],16,FALSE),0)</f>
        <v>-236.16</v>
      </c>
      <c r="J513" s="84">
        <f ca="1">IFERROR((Table19[[#This Row],[Price]]-Table19[[#This Row],[Ave Entry]])/Table19[[#This Row],[Ave Entry]],"")</f>
        <v>-0.86879271070615038</v>
      </c>
      <c r="K513" s="92">
        <f ca="1">IFERROR((Table19[[#This Row],[Price]]-Table19[[#This Row],[Ave Entry]])*Table19[[#This Row],[Num of Stocks]],0)</f>
        <v>0</v>
      </c>
      <c r="L513" s="38" cm="1">
        <f t="array" aca="1" ref="L513" ca="1">_FV(Table19[[#This Row],[Assets]],"Change (%)",TRUE)</f>
        <v>8.7570000000000009E-3</v>
      </c>
      <c r="M513" s="36">
        <f>SUMIF(Table20[Asset],Table19[[#This Row],[Assets]],Table20[realized_profit])</f>
        <v>0</v>
      </c>
      <c r="N513" s="36">
        <f>SUMIF(Table20[[#All],[Asset]],Table19[[#This Row],[Assets]],Table20[[#All],[delta_exposure]])</f>
        <v>0</v>
      </c>
      <c r="O513" s="38">
        <f ca="1">Table19[[#This Row],[Option Exposure]]/$B$6</f>
        <v>0</v>
      </c>
      <c r="P513" s="51">
        <f>SUMIF(Table25[[#All],[Assets]],Table19[[#This Row],[Assets]],Table25[[#All],[Number of stocks]])</f>
        <v>0</v>
      </c>
      <c r="Q513" s="36">
        <f ca="1">Table19[[#This Row],[Num of Stocks]]*Table19[[#This Row],[Price]]</f>
        <v>0</v>
      </c>
      <c r="R513" s="36">
        <f ca="1">Table19[[#This Row],[Stock Exposure]]+Table19[[#This Row],[Option Exposure]]</f>
        <v>0</v>
      </c>
      <c r="S513" s="108">
        <f>IFERROR(Table19[[#This Row],[Num of Stocks]]*Table19[[#This Row],[Ave Entry]],"")</f>
        <v>0</v>
      </c>
      <c r="T513" s="39">
        <f ca="1">Table19[[#This Row],[Combined Exposure]]/$C$8</f>
        <v>0</v>
      </c>
    </row>
    <row r="514" spans="1:20">
      <c r="A514" t="e" vm="514">
        <v>#VALUE!</v>
      </c>
      <c r="B514" s="13" t="str" cm="1">
        <f t="array" aca="1" ref="B514" ca="1">_FV(A514,"Ticker symbol",TRUE)</f>
        <v>PTLO</v>
      </c>
      <c r="C514" s="13" t="s">
        <v>55</v>
      </c>
      <c r="D514" s="13" t="s">
        <v>456</v>
      </c>
      <c r="E514" s="19" cm="1">
        <f t="array" aca="1" ref="E514" ca="1">IFERROR(_FV(A514,"Beta"),2)</f>
        <v>1.6943999999999999</v>
      </c>
      <c r="F514" s="13" t="str" cm="1">
        <f t="array" aca="1" ref="F514" ca="1">_FV(A514,"Instrument type",TRUE)</f>
        <v>Stock</v>
      </c>
      <c r="G514" s="18" cm="1">
        <f t="array" aca="1" ref="G514" ca="1">_FV(Table19[[#This Row],[Assets]],"Price")</f>
        <v>5.3849999999999998</v>
      </c>
      <c r="H514" s="36">
        <f>IFERROR(VLOOKUP(Table19[[#This Row],[Assets]],Table25[#All],15,FALSE),"")</f>
        <v>9.57</v>
      </c>
      <c r="I514" s="36">
        <f>IFERROR(VLOOKUP(Table19[[#This Row],[Assets]],Table25[#All],16,FALSE),0)</f>
        <v>771.5</v>
      </c>
      <c r="J514" s="84">
        <f ca="1">IFERROR((Table19[[#This Row],[Price]]-Table19[[#This Row],[Ave Entry]])/Table19[[#This Row],[Ave Entry]],"")</f>
        <v>-0.43730407523510978</v>
      </c>
      <c r="K514" s="92">
        <f ca="1">IFERROR((Table19[[#This Row],[Price]]-Table19[[#This Row],[Ave Entry]])*Table19[[#This Row],[Num of Stocks]],0)</f>
        <v>0</v>
      </c>
      <c r="L514" s="38" cm="1">
        <f t="array" aca="1" ref="L514" ca="1">_FV(Table19[[#This Row],[Assets]],"Change (%)",TRUE)</f>
        <v>1.2218E-2</v>
      </c>
      <c r="M514" s="36">
        <f>SUMIF(Table20[Asset],Table19[[#This Row],[Assets]],Table20[realized_profit])</f>
        <v>0</v>
      </c>
      <c r="N514" s="36">
        <f>SUMIF(Table20[[#All],[Asset]],Table19[[#This Row],[Assets]],Table20[[#All],[delta_exposure]])</f>
        <v>0</v>
      </c>
      <c r="O514" s="38">
        <f ca="1">Table19[[#This Row],[Option Exposure]]/$B$6</f>
        <v>0</v>
      </c>
      <c r="P514" s="51">
        <f>SUMIF(Table25[[#All],[Assets]],Table19[[#This Row],[Assets]],Table25[[#All],[Number of stocks]])</f>
        <v>0</v>
      </c>
      <c r="Q514" s="36">
        <f ca="1">Table19[[#This Row],[Num of Stocks]]*Table19[[#This Row],[Price]]</f>
        <v>0</v>
      </c>
      <c r="R514" s="36">
        <f ca="1">Table19[[#This Row],[Stock Exposure]]+Table19[[#This Row],[Option Exposure]]</f>
        <v>0</v>
      </c>
      <c r="S514" s="108">
        <f>IFERROR(Table19[[#This Row],[Num of Stocks]]*Table19[[#This Row],[Ave Entry]],"")</f>
        <v>0</v>
      </c>
      <c r="T514" s="39">
        <f ca="1">Table19[[#This Row],[Combined Exposure]]/$C$8</f>
        <v>0</v>
      </c>
    </row>
    <row r="515" spans="1:20">
      <c r="A515" t="e" vm="515">
        <v>#VALUE!</v>
      </c>
      <c r="B515" s="13" t="str" cm="1">
        <f t="array" aca="1" ref="B515" ca="1">_FV(A515,"Ticker symbol",TRUE)</f>
        <v>SOUN</v>
      </c>
      <c r="C515" s="13" t="s">
        <v>83</v>
      </c>
      <c r="D515" s="13" t="s">
        <v>83</v>
      </c>
      <c r="E515" s="19" cm="1">
        <f t="array" aca="1" ref="E515" ca="1">IFERROR(_FV(A515,"Beta"),2)</f>
        <v>3.0072999999999999</v>
      </c>
      <c r="F515" s="13" t="str" cm="1">
        <f t="array" aca="1" ref="F515" ca="1">_FV(A515,"Instrument type",TRUE)</f>
        <v>Stock</v>
      </c>
      <c r="G515" s="18" cm="1">
        <f t="array" aca="1" ref="G515" ca="1">_FV(Table19[[#This Row],[Assets]],"Price")</f>
        <v>6.5250000000000004</v>
      </c>
      <c r="H515" s="36">
        <f>IFERROR(VLOOKUP(Table19[[#This Row],[Assets]],Table25[#All],15,FALSE),"")</f>
        <v>5.1100000000000003</v>
      </c>
      <c r="I515" s="36">
        <f>IFERROR(VLOOKUP(Table19[[#This Row],[Assets]],Table25[#All],16,FALSE),0)</f>
        <v>328.8</v>
      </c>
      <c r="J515" s="84">
        <f ca="1">IFERROR((Table19[[#This Row],[Price]]-Table19[[#This Row],[Ave Entry]])/Table19[[#This Row],[Ave Entry]],"")</f>
        <v>0.27690802348336596</v>
      </c>
      <c r="K515" s="92">
        <f ca="1">IFERROR((Table19[[#This Row],[Price]]-Table19[[#This Row],[Ave Entry]])*Table19[[#This Row],[Num of Stocks]],0)</f>
        <v>0</v>
      </c>
      <c r="L515" s="38" cm="1">
        <f t="array" aca="1" ref="L515" ca="1">_FV(Table19[[#This Row],[Assets]],"Change (%)",TRUE)</f>
        <v>2.5943000000000001E-2</v>
      </c>
      <c r="M515" s="36">
        <f>SUMIF(Table20[Asset],Table19[[#This Row],[Assets]],Table20[realized_profit])</f>
        <v>0</v>
      </c>
      <c r="N515" s="36">
        <f>SUMIF(Table20[[#All],[Asset]],Table19[[#This Row],[Assets]],Table20[[#All],[delta_exposure]])</f>
        <v>0</v>
      </c>
      <c r="O515" s="38">
        <f ca="1">Table19[[#This Row],[Option Exposure]]/$B$6</f>
        <v>0</v>
      </c>
      <c r="P515" s="51">
        <f>SUMIF(Table25[[#All],[Assets]],Table19[[#This Row],[Assets]],Table25[[#All],[Number of stocks]])</f>
        <v>0</v>
      </c>
      <c r="Q515" s="36">
        <f ca="1">Table19[[#This Row],[Num of Stocks]]*Table19[[#This Row],[Price]]</f>
        <v>0</v>
      </c>
      <c r="R515" s="36">
        <f ca="1">Table19[[#This Row],[Stock Exposure]]+Table19[[#This Row],[Option Exposure]]</f>
        <v>0</v>
      </c>
      <c r="S515" s="108">
        <f>IFERROR(Table19[[#This Row],[Num of Stocks]]*Table19[[#This Row],[Ave Entry]],"")</f>
        <v>0</v>
      </c>
      <c r="T515" s="39">
        <f ca="1">Table19[[#This Row],[Combined Exposure]]/$C$8</f>
        <v>0</v>
      </c>
    </row>
    <row r="516" spans="1:20">
      <c r="A516" t="e" vm="97">
        <v>#VALUE!</v>
      </c>
      <c r="B516" s="13" t="str" cm="1">
        <f t="array" aca="1" ref="B516" ca="1">_FV(A516,"Ticker symbol",TRUE)</f>
        <v>AG</v>
      </c>
      <c r="C516" s="13" t="s">
        <v>133</v>
      </c>
      <c r="D516" s="13" t="s">
        <v>25</v>
      </c>
      <c r="E516" s="19" cm="1">
        <f t="array" aca="1" ref="E516" ca="1">IFERROR(_FV(A516,"Beta"),2)</f>
        <v>2.2050000000000001</v>
      </c>
      <c r="F516" s="13" t="str" cm="1">
        <f t="array" aca="1" ref="F516" ca="1">_FV(A516,"Instrument type",TRUE)</f>
        <v>Stock</v>
      </c>
      <c r="G516" s="18" cm="1">
        <f t="array" aca="1" ref="G516" ca="1">_FV(Table19[[#This Row],[Assets]],"Price")</f>
        <v>20.785</v>
      </c>
      <c r="H516" s="36">
        <f>IFERROR(VLOOKUP(Table19[[#This Row],[Assets]],Table25[#All],15,FALSE),"")</f>
        <v>7.6799999999999988</v>
      </c>
      <c r="I516" s="36">
        <f>IFERROR(VLOOKUP(Table19[[#This Row],[Assets]],Table25[#All],16,FALSE),0)</f>
        <v>-75.849999999999966</v>
      </c>
      <c r="J516" s="84">
        <f ca="1">IFERROR((Table19[[#This Row],[Price]]-Table19[[#This Row],[Ave Entry]])/Table19[[#This Row],[Ave Entry]],"")</f>
        <v>1.7063802083333337</v>
      </c>
      <c r="K516" s="92">
        <f ca="1">IFERROR((Table19[[#This Row],[Price]]-Table19[[#This Row],[Ave Entry]])*Table19[[#This Row],[Num of Stocks]],0)</f>
        <v>0</v>
      </c>
      <c r="L516" s="38" cm="1">
        <f t="array" aca="1" ref="L516" ca="1">_FV(Table19[[#This Row],[Assets]],"Change (%)",TRUE)</f>
        <v>3.4079999999999999E-2</v>
      </c>
      <c r="M516" s="36">
        <f>SUMIF(Table20[Asset],Table19[[#This Row],[Assets]],Table20[realized_profit])</f>
        <v>0</v>
      </c>
      <c r="N516" s="36">
        <f>SUMIF(Table20[[#All],[Asset]],Table19[[#This Row],[Assets]],Table20[[#All],[delta_exposure]])</f>
        <v>0</v>
      </c>
      <c r="O516" s="38">
        <f ca="1">Table19[[#This Row],[Option Exposure]]/$B$6</f>
        <v>0</v>
      </c>
      <c r="P516" s="51">
        <f>SUMIF(Table25[[#All],[Assets]],Table19[[#This Row],[Assets]],Table25[[#All],[Number of stocks]])</f>
        <v>0</v>
      </c>
      <c r="Q516" s="36">
        <f ca="1">Table19[[#This Row],[Num of Stocks]]*Table19[[#This Row],[Price]]</f>
        <v>0</v>
      </c>
      <c r="R516" s="36">
        <f ca="1">Table19[[#This Row],[Stock Exposure]]+Table19[[#This Row],[Option Exposure]]</f>
        <v>0</v>
      </c>
      <c r="S516" s="108">
        <f>IFERROR(Table19[[#This Row],[Num of Stocks]]*Table19[[#This Row],[Ave Entry]],"")</f>
        <v>0</v>
      </c>
      <c r="T516" s="39">
        <f ca="1">Table19[[#This Row],[Combined Exposure]]/$C$8</f>
        <v>0</v>
      </c>
    </row>
    <row r="517" spans="1:20">
      <c r="A517" t="e" vm="516">
        <v>#VALUE!</v>
      </c>
      <c r="B517" s="13" t="str" cm="1">
        <f t="array" aca="1" ref="B517" ca="1">_FV(A517,"Ticker symbol",TRUE)</f>
        <v>MTSI</v>
      </c>
      <c r="C517" s="13" t="s">
        <v>83</v>
      </c>
      <c r="D517" s="13" t="s">
        <v>84</v>
      </c>
      <c r="E517" s="19" cm="1">
        <f t="array" aca="1" ref="E517" ca="1">IFERROR(_FV(A517,"Beta"),2)</f>
        <v>1.4523999999999999</v>
      </c>
      <c r="F517" s="13" t="str" cm="1">
        <f t="array" aca="1" ref="F517" ca="1">_FV(A517,"Instrument type",TRUE)</f>
        <v>Stock</v>
      </c>
      <c r="G517" s="18" cm="1">
        <f t="array" aca="1" ref="G517" ca="1">_FV(Table19[[#This Row],[Assets]],"Price")</f>
        <v>244.405</v>
      </c>
      <c r="H517" s="36">
        <f>IFERROR(VLOOKUP(Table19[[#This Row],[Assets]],Table25[#All],15,FALSE),"")</f>
        <v>137.47999999999999</v>
      </c>
      <c r="I517" s="36">
        <f>IFERROR(VLOOKUP(Table19[[#This Row],[Assets]],Table25[#All],16,FALSE),0)</f>
        <v>-41.129999999999981</v>
      </c>
      <c r="J517" s="84">
        <f ca="1">IFERROR((Table19[[#This Row],[Price]]-Table19[[#This Row],[Ave Entry]])/Table19[[#This Row],[Ave Entry]],"")</f>
        <v>0.77774949083503064</v>
      </c>
      <c r="K517" s="92">
        <f ca="1">IFERROR((Table19[[#This Row],[Price]]-Table19[[#This Row],[Ave Entry]])*Table19[[#This Row],[Num of Stocks]],0)</f>
        <v>0</v>
      </c>
      <c r="L517" s="38" cm="1">
        <f t="array" aca="1" ref="L517" ca="1">_FV(Table19[[#This Row],[Assets]],"Change (%)",TRUE)</f>
        <v>3.0245000000000001E-2</v>
      </c>
      <c r="M517" s="36">
        <f>SUMIF(Table20[Asset],Table19[[#This Row],[Assets]],Table20[realized_profit])</f>
        <v>0</v>
      </c>
      <c r="N517" s="36">
        <f>SUMIF(Table20[[#All],[Asset]],Table19[[#This Row],[Assets]],Table20[[#All],[delta_exposure]])</f>
        <v>0</v>
      </c>
      <c r="O517" s="38">
        <f ca="1">Table19[[#This Row],[Option Exposure]]/$B$6</f>
        <v>0</v>
      </c>
      <c r="P517" s="51">
        <f>SUMIF(Table25[[#All],[Assets]],Table19[[#This Row],[Assets]],Table25[[#All],[Number of stocks]])</f>
        <v>0</v>
      </c>
      <c r="Q517" s="36">
        <f ca="1">Table19[[#This Row],[Num of Stocks]]*Table19[[#This Row],[Price]]</f>
        <v>0</v>
      </c>
      <c r="R517" s="36">
        <f ca="1">Table19[[#This Row],[Stock Exposure]]+Table19[[#This Row],[Option Exposure]]</f>
        <v>0</v>
      </c>
      <c r="S517" s="108">
        <f>IFERROR(Table19[[#This Row],[Num of Stocks]]*Table19[[#This Row],[Ave Entry]],"")</f>
        <v>0</v>
      </c>
      <c r="T517" s="39">
        <f ca="1">Table19[[#This Row],[Combined Exposure]]/$C$8</f>
        <v>0</v>
      </c>
    </row>
    <row r="518" spans="1:20">
      <c r="A518" t="e" vm="517">
        <v>#VALUE!</v>
      </c>
      <c r="B518" s="13" t="str" cm="1">
        <f t="array" aca="1" ref="B518" ca="1">_FV(A518,"Ticker symbol",TRUE)</f>
        <v>PLOW</v>
      </c>
      <c r="C518" s="13" t="s">
        <v>550</v>
      </c>
      <c r="D518" s="13" t="s">
        <v>56</v>
      </c>
      <c r="E518" s="19" cm="1">
        <f t="array" aca="1" ref="E518" ca="1">IFERROR(_FV(A518,"Beta"),2)</f>
        <v>1.2413000000000001</v>
      </c>
      <c r="F518" s="13" t="str" cm="1">
        <f t="array" aca="1" ref="F518" ca="1">_FV(A518,"Instrument type",TRUE)</f>
        <v>Stock</v>
      </c>
      <c r="G518" s="18" cm="1">
        <f t="array" aca="1" ref="G518" ca="1">_FV(Table19[[#This Row],[Assets]],"Price")</f>
        <v>43.19</v>
      </c>
      <c r="H518" s="36">
        <f>IFERROR(VLOOKUP(Table19[[#This Row],[Assets]],Table25[#All],15,FALSE),"")</f>
        <v>28.15</v>
      </c>
      <c r="I518" s="36">
        <f>IFERROR(VLOOKUP(Table19[[#This Row],[Assets]],Table25[#All],16,FALSE),0)</f>
        <v>-101.59999999999997</v>
      </c>
      <c r="J518" s="84">
        <f ca="1">IFERROR((Table19[[#This Row],[Price]]-Table19[[#This Row],[Ave Entry]])/Table19[[#This Row],[Ave Entry]],"")</f>
        <v>0.5342806394316163</v>
      </c>
      <c r="K518" s="92">
        <f ca="1">IFERROR((Table19[[#This Row],[Price]]-Table19[[#This Row],[Ave Entry]])*Table19[[#This Row],[Num of Stocks]],0)</f>
        <v>0</v>
      </c>
      <c r="L518" s="38" cm="1">
        <f t="array" aca="1" ref="L518" ca="1">_FV(Table19[[#This Row],[Assets]],"Change (%)",TRUE)</f>
        <v>1.1949000000000001E-2</v>
      </c>
      <c r="M518" s="36">
        <f>SUMIF(Table20[Asset],Table19[[#This Row],[Assets]],Table20[realized_profit])</f>
        <v>0</v>
      </c>
      <c r="N518" s="36">
        <f>SUMIF(Table20[[#All],[Asset]],Table19[[#This Row],[Assets]],Table20[[#All],[delta_exposure]])</f>
        <v>0</v>
      </c>
      <c r="O518" s="38">
        <f ca="1">Table19[[#This Row],[Option Exposure]]/$B$6</f>
        <v>0</v>
      </c>
      <c r="P518" s="51">
        <f>SUMIF(Table25[[#All],[Assets]],Table19[[#This Row],[Assets]],Table25[[#All],[Number of stocks]])</f>
        <v>0</v>
      </c>
      <c r="Q518" s="36">
        <f ca="1">Table19[[#This Row],[Num of Stocks]]*Table19[[#This Row],[Price]]</f>
        <v>0</v>
      </c>
      <c r="R518" s="36">
        <f ca="1">Table19[[#This Row],[Stock Exposure]]+Table19[[#This Row],[Option Exposure]]</f>
        <v>0</v>
      </c>
      <c r="S518" s="108">
        <f>IFERROR(Table19[[#This Row],[Num of Stocks]]*Table19[[#This Row],[Ave Entry]],"")</f>
        <v>0</v>
      </c>
      <c r="T518" s="39">
        <f ca="1">Table19[[#This Row],[Combined Exposure]]/$C$8</f>
        <v>0</v>
      </c>
    </row>
    <row r="519" spans="1:20">
      <c r="A519" t="e" vm="99">
        <v>#VALUE!</v>
      </c>
      <c r="B519" s="13" t="str" cm="1">
        <f t="array" aca="1" ref="B519" ca="1">_FV(A519,"Ticker symbol",TRUE)</f>
        <v>CSCO</v>
      </c>
      <c r="C519" s="13" t="s">
        <v>258</v>
      </c>
      <c r="D519" s="13" t="s">
        <v>29</v>
      </c>
      <c r="E519" s="19" cm="1">
        <f t="array" aca="1" ref="E519" ca="1">IFERROR(_FV(A519,"Beta"),2)</f>
        <v>0.8014</v>
      </c>
      <c r="F519" s="13" t="str" cm="1">
        <f t="array" aca="1" ref="F519" ca="1">_FV(A519,"Instrument type",TRUE)</f>
        <v>Stock</v>
      </c>
      <c r="G519" s="18" cm="1">
        <f t="array" aca="1" ref="G519" ca="1">_FV(Table19[[#This Row],[Assets]],"Price")</f>
        <v>82.625</v>
      </c>
      <c r="H519" s="36">
        <f>IFERROR(VLOOKUP(Table19[[#This Row],[Assets]],Table25[#All],15,FALSE),"")</f>
        <v>51.020869565217389</v>
      </c>
      <c r="I519" s="36">
        <f>IFERROR(VLOOKUP(Table19[[#This Row],[Assets]],Table25[#All],16,FALSE),0)</f>
        <v>232.19000000000011</v>
      </c>
      <c r="J519" s="84">
        <f ca="1">IFERROR((Table19[[#This Row],[Price]]-Table19[[#This Row],[Ave Entry]])/Table19[[#This Row],[Ave Entry]],"")</f>
        <v>0.61943535467157518</v>
      </c>
      <c r="K519" s="92">
        <f ca="1">IFERROR((Table19[[#This Row],[Price]]-Table19[[#This Row],[Ave Entry]])*Table19[[#This Row],[Num of Stocks]],0)</f>
        <v>0</v>
      </c>
      <c r="L519" s="38" cm="1">
        <f t="array" aca="1" ref="L519" ca="1">_FV(Table19[[#This Row],[Assets]],"Change (%)",TRUE)</f>
        <v>2.1828E-2</v>
      </c>
      <c r="M519" s="36">
        <f>SUMIF(Table20[Asset],Table19[[#This Row],[Assets]],Table20[realized_profit])</f>
        <v>524.99999999999989</v>
      </c>
      <c r="N519" s="36">
        <f ca="1">SUMIF(Table20[[#All],[Asset]],Table19[[#This Row],[Assets]],Table20[[#All],[delta_exposure]])</f>
        <v>0</v>
      </c>
      <c r="O519" s="38">
        <f ca="1">Table19[[#This Row],[Option Exposure]]/$B$6</f>
        <v>0</v>
      </c>
      <c r="P519" s="51">
        <f>SUMIF(Table25[[#All],[Assets]],Table19[[#This Row],[Assets]],Table25[[#All],[Number of stocks]])</f>
        <v>0</v>
      </c>
      <c r="Q519" s="36">
        <f ca="1">Table19[[#This Row],[Num of Stocks]]*Table19[[#This Row],[Price]]</f>
        <v>0</v>
      </c>
      <c r="R519" s="36">
        <f ca="1">Table19[[#This Row],[Stock Exposure]]+Table19[[#This Row],[Option Exposure]]</f>
        <v>0</v>
      </c>
      <c r="S519" s="108">
        <f>IFERROR(Table19[[#This Row],[Num of Stocks]]*Table19[[#This Row],[Ave Entry]],"")</f>
        <v>0</v>
      </c>
      <c r="T519" s="39">
        <f ca="1">Table19[[#This Row],[Combined Exposure]]/$C$8</f>
        <v>0</v>
      </c>
    </row>
    <row r="520" spans="1:20">
      <c r="A520" t="e" vm="137">
        <v>#VALUE!</v>
      </c>
      <c r="B520" s="13" t="str" cm="1">
        <f t="array" aca="1" ref="B520" ca="1">_FV(A520,"Ticker symbol",TRUE)</f>
        <v>VLO</v>
      </c>
      <c r="C520" s="13" t="s">
        <v>31</v>
      </c>
      <c r="D520" s="13" t="s">
        <v>127</v>
      </c>
      <c r="E520" s="19" cm="1">
        <f t="array" aca="1" ref="E520" ca="1">IFERROR(_FV(A520,"Beta"),2)</f>
        <v>0.63439999999999996</v>
      </c>
      <c r="F520" s="13" t="str" cm="1">
        <f t="array" aca="1" ref="F520" ca="1">_FV(A520,"Instrument type",TRUE)</f>
        <v>Stock</v>
      </c>
      <c r="G520" s="18" cm="1">
        <f t="array" aca="1" ref="G520" ca="1">_FV(Table19[[#This Row],[Assets]],"Price")</f>
        <v>241.67009999999999</v>
      </c>
      <c r="H520" s="36" t="str">
        <f>IFERROR(VLOOKUP(Table19[[#This Row],[Assets]],Table25[#All],15,FALSE),"")</f>
        <v/>
      </c>
      <c r="I520" s="36">
        <f>IFERROR(VLOOKUP(Table19[[#This Row],[Assets]],Table25[#All],16,FALSE),0)</f>
        <v>0</v>
      </c>
      <c r="J520" s="84" t="str">
        <f ca="1">IFERROR((Table19[[#This Row],[Price]]-Table19[[#This Row],[Ave Entry]])/Table19[[#This Row],[Ave Entry]],"")</f>
        <v/>
      </c>
      <c r="K520" s="92">
        <f ca="1">IFERROR((Table19[[#This Row],[Price]]-Table19[[#This Row],[Ave Entry]])*Table19[[#This Row],[Num of Stocks]],0)</f>
        <v>0</v>
      </c>
      <c r="L520" s="38" cm="1">
        <f t="array" aca="1" ref="L520" ca="1">_FV(Table19[[#This Row],[Assets]],"Change (%)",TRUE)</f>
        <v>-3.3050000000000001E-4</v>
      </c>
      <c r="M520" s="36">
        <f>SUMIF(Table20[Asset],Table19[[#This Row],[Assets]],Table20[realized_profit])</f>
        <v>-244.00000000000006</v>
      </c>
      <c r="N520" s="36">
        <f ca="1">SUMIF(Table20[[#All],[Asset]],Table19[[#This Row],[Assets]],Table20[[#All],[delta_exposure]])</f>
        <v>0</v>
      </c>
      <c r="O520" s="38">
        <f ca="1">Table19[[#This Row],[Option Exposure]]/$B$6</f>
        <v>0</v>
      </c>
      <c r="P520" s="51">
        <f>SUMIF(Table25[[#All],[Assets]],Table19[[#This Row],[Assets]],Table25[[#All],[Number of stocks]])</f>
        <v>0</v>
      </c>
      <c r="Q520" s="36">
        <f ca="1">Table19[[#This Row],[Num of Stocks]]*Table19[[#This Row],[Price]]</f>
        <v>0</v>
      </c>
      <c r="R520" s="36">
        <f ca="1">Table19[[#This Row],[Stock Exposure]]+Table19[[#This Row],[Option Exposure]]</f>
        <v>0</v>
      </c>
      <c r="S520" s="108" t="str">
        <f>IFERROR(Table19[[#This Row],[Num of Stocks]]*Table19[[#This Row],[Ave Entry]],"")</f>
        <v/>
      </c>
      <c r="T520" s="39">
        <f ca="1">Table19[[#This Row],[Combined Exposure]]/$C$8</f>
        <v>0</v>
      </c>
    </row>
    <row r="521" spans="1:20">
      <c r="A521" t="e" vm="518">
        <v>#VALUE!</v>
      </c>
      <c r="B521" s="13" t="str" cm="1">
        <f t="array" aca="1" ref="B521" ca="1">_FV(A521,"Ticker symbol",TRUE)</f>
        <v>SNDX</v>
      </c>
      <c r="C521" s="13" t="s">
        <v>53</v>
      </c>
      <c r="D521" s="13" t="s">
        <v>560</v>
      </c>
      <c r="E521" s="19" cm="1">
        <f t="array" aca="1" ref="E521" ca="1">IFERROR(_FV(A521,"Beta"),2)</f>
        <v>0.39639999999999997</v>
      </c>
      <c r="F521" s="13" t="str" cm="1">
        <f t="array" aca="1" ref="F521" ca="1">_FV(A521,"Instrument type",TRUE)</f>
        <v>Stock</v>
      </c>
      <c r="G521" s="18" cm="1">
        <f t="array" aca="1" ref="G521" ca="1">_FV(Table19[[#This Row],[Assets]],"Price")</f>
        <v>25.09</v>
      </c>
      <c r="H521" s="36">
        <f>IFERROR(VLOOKUP(Table19[[#This Row],[Assets]],Table25[#All],15,FALSE),"")</f>
        <v>19.149999999999999</v>
      </c>
      <c r="I521" s="36">
        <f>IFERROR(VLOOKUP(Table19[[#This Row],[Assets]],Table25[#All],16,FALSE),0)</f>
        <v>-184.99999999999997</v>
      </c>
      <c r="J521" s="84">
        <f ca="1">IFERROR((Table19[[#This Row],[Price]]-Table19[[#This Row],[Ave Entry]])/Table19[[#This Row],[Ave Entry]],"")</f>
        <v>0.31018276762402097</v>
      </c>
      <c r="K521" s="92">
        <f ca="1">IFERROR((Table19[[#This Row],[Price]]-Table19[[#This Row],[Ave Entry]])*Table19[[#This Row],[Num of Stocks]],0)</f>
        <v>0</v>
      </c>
      <c r="L521" s="38" cm="1">
        <f t="array" aca="1" ref="L521" ca="1">_FV(Table19[[#This Row],[Assets]],"Change (%)",TRUE)</f>
        <v>4.4546000000000002E-2</v>
      </c>
      <c r="M521" s="36">
        <f>SUMIF(Table20[Asset],Table19[[#This Row],[Assets]],Table20[realized_profit])</f>
        <v>0</v>
      </c>
      <c r="N521" s="36">
        <f>SUMIF(Table20[[#All],[Asset]],Table19[[#This Row],[Assets]],Table20[[#All],[delta_exposure]])</f>
        <v>0</v>
      </c>
      <c r="O521" s="38">
        <f ca="1">Table19[[#This Row],[Option Exposure]]/$B$6</f>
        <v>0</v>
      </c>
      <c r="P521" s="51">
        <f>SUMIF(Table25[[#All],[Assets]],Table19[[#This Row],[Assets]],Table25[[#All],[Number of stocks]])</f>
        <v>0</v>
      </c>
      <c r="Q521" s="36">
        <f ca="1">Table19[[#This Row],[Num of Stocks]]*Table19[[#This Row],[Price]]</f>
        <v>0</v>
      </c>
      <c r="R521" s="36">
        <f ca="1">Table19[[#This Row],[Stock Exposure]]+Table19[[#This Row],[Option Exposure]]</f>
        <v>0</v>
      </c>
      <c r="S521" s="108">
        <f>IFERROR(Table19[[#This Row],[Num of Stocks]]*Table19[[#This Row],[Ave Entry]],"")</f>
        <v>0</v>
      </c>
      <c r="T521" s="39">
        <f ca="1">Table19[[#This Row],[Combined Exposure]]/$C$8</f>
        <v>0</v>
      </c>
    </row>
    <row r="522" spans="1:20">
      <c r="A522" t="e" vm="49">
        <v>#VALUE!</v>
      </c>
      <c r="B522" s="13" t="str" cm="1">
        <f t="array" aca="1" ref="B522" ca="1">_FV(A522,"Ticker symbol",TRUE)</f>
        <v>LEU</v>
      </c>
      <c r="C522" s="13" t="s">
        <v>136</v>
      </c>
      <c r="D522" s="13" t="s">
        <v>464</v>
      </c>
      <c r="E522" s="19" cm="1">
        <f t="array" aca="1" ref="E522" ca="1">IFERROR(_FV(A522,"Beta"),2)</f>
        <v>1.3067</v>
      </c>
      <c r="F522" s="13" t="str" cm="1">
        <f t="array" aca="1" ref="F522" ca="1">_FV(A522,"Instrument type",TRUE)</f>
        <v>Stock</v>
      </c>
      <c r="G522" s="18" cm="1">
        <f t="array" aca="1" ref="G522" ca="1">_FV(Table19[[#This Row],[Assets]],"Price")</f>
        <v>196.565</v>
      </c>
      <c r="H522" s="36">
        <f>IFERROR(VLOOKUP(Table19[[#This Row],[Assets]],Table25[#All],15,FALSE),"")</f>
        <v>77.775000000000006</v>
      </c>
      <c r="I522" s="36">
        <f>IFERROR(VLOOKUP(Table19[[#This Row],[Assets]],Table25[#All],16,FALSE),0)</f>
        <v>155.69999999999965</v>
      </c>
      <c r="J522" s="84">
        <f ca="1">IFERROR((Table19[[#This Row],[Price]]-Table19[[#This Row],[Ave Entry]])/Table19[[#This Row],[Ave Entry]],"")</f>
        <v>1.5273545483767275</v>
      </c>
      <c r="K522" s="92">
        <f ca="1">IFERROR((Table19[[#This Row],[Price]]-Table19[[#This Row],[Ave Entry]])*Table19[[#This Row],[Num of Stocks]],0)</f>
        <v>0</v>
      </c>
      <c r="L522" s="38" cm="1">
        <f t="array" aca="1" ref="L522" ca="1">_FV(Table19[[#This Row],[Assets]],"Change (%)",TRUE)</f>
        <v>3.7019999999999996E-3</v>
      </c>
      <c r="M522" s="36">
        <f>SUMIF(Table20[Asset],Table19[[#This Row],[Assets]],Table20[realized_profit])</f>
        <v>0</v>
      </c>
      <c r="N522" s="36">
        <f>SUMIF(Table20[[#All],[Asset]],Table19[[#This Row],[Assets]],Table20[[#All],[delta_exposure]])</f>
        <v>0</v>
      </c>
      <c r="O522" s="38">
        <f ca="1">Table19[[#This Row],[Option Exposure]]/$B$6</f>
        <v>0</v>
      </c>
      <c r="P522" s="51">
        <f>SUMIF(Table25[[#All],[Assets]],Table19[[#This Row],[Assets]],Table25[[#All],[Number of stocks]])</f>
        <v>0</v>
      </c>
      <c r="Q522" s="36">
        <f ca="1">Table19[[#This Row],[Num of Stocks]]*Table19[[#This Row],[Price]]</f>
        <v>0</v>
      </c>
      <c r="R522" s="36">
        <f ca="1">Table19[[#This Row],[Stock Exposure]]+Table19[[#This Row],[Option Exposure]]</f>
        <v>0</v>
      </c>
      <c r="S522" s="108">
        <f>IFERROR(Table19[[#This Row],[Num of Stocks]]*Table19[[#This Row],[Ave Entry]],"")</f>
        <v>0</v>
      </c>
      <c r="T522" s="39">
        <f ca="1">Table19[[#This Row],[Combined Exposure]]/$C$8</f>
        <v>0</v>
      </c>
    </row>
    <row r="523" spans="1:20">
      <c r="A523" t="e" vm="169">
        <v>#VALUE!</v>
      </c>
      <c r="B523" s="13" t="str" cm="1">
        <f t="array" aca="1" ref="B523" ca="1">_FV(A523,"Ticker symbol",TRUE)</f>
        <v>CVS</v>
      </c>
      <c r="C523" s="13" t="s">
        <v>53</v>
      </c>
      <c r="D523" s="13" t="s">
        <v>53</v>
      </c>
      <c r="E523" s="19" cm="1">
        <f t="array" aca="1" ref="E523" ca="1">IFERROR(_FV(A523,"Beta"),2)</f>
        <v>0.49730000000000002</v>
      </c>
      <c r="F523" s="13" t="str" cm="1">
        <f t="array" aca="1" ref="F523" ca="1">_FV(A523,"Instrument type",TRUE)</f>
        <v>Stock</v>
      </c>
      <c r="G523" s="18" cm="1">
        <f t="array" aca="1" ref="G523" ca="1">_FV(Table19[[#This Row],[Assets]],"Price")</f>
        <v>72.055000000000007</v>
      </c>
      <c r="H523" s="36">
        <f>IFERROR(VLOOKUP(Table19[[#This Row],[Assets]],Table25[#All],15,FALSE),"")</f>
        <v>58.764038461538462</v>
      </c>
      <c r="I523" s="36">
        <f>IFERROR(VLOOKUP(Table19[[#This Row],[Assets]],Table25[#All],16,FALSE),0)</f>
        <v>133.12999999999909</v>
      </c>
      <c r="J523" s="84">
        <f ca="1">IFERROR((Table19[[#This Row],[Price]]-Table19[[#This Row],[Ave Entry]])/Table19[[#This Row],[Ave Entry]],"")</f>
        <v>0.22617508745864337</v>
      </c>
      <c r="K523" s="92">
        <f ca="1">IFERROR((Table19[[#This Row],[Price]]-Table19[[#This Row],[Ave Entry]])*Table19[[#This Row],[Num of Stocks]],0)</f>
        <v>0</v>
      </c>
      <c r="L523" s="38" cm="1">
        <f t="array" aca="1" ref="L523" ca="1">_FV(Table19[[#This Row],[Assets]],"Change (%)",TRUE)</f>
        <v>-1.0234E-2</v>
      </c>
      <c r="M523" s="36">
        <f>SUMIF(Table20[Asset],Table19[[#This Row],[Assets]],Table20[realized_profit])</f>
        <v>-446.00000000000006</v>
      </c>
      <c r="N523" s="36">
        <f ca="1">SUMIF(Table20[[#All],[Asset]],Table19[[#This Row],[Assets]],Table20[[#All],[delta_exposure]])</f>
        <v>0</v>
      </c>
      <c r="O523" s="98">
        <f ca="1">Table19[[#This Row],[Option Exposure]]/$B$6</f>
        <v>0</v>
      </c>
      <c r="P523" s="51">
        <f>SUMIF(Table25[[#All],[Assets]],Table19[[#This Row],[Assets]],Table25[[#All],[Number of stocks]])</f>
        <v>0</v>
      </c>
      <c r="Q523" s="36">
        <f ca="1">Table19[[#This Row],[Num of Stocks]]*Table19[[#This Row],[Price]]</f>
        <v>0</v>
      </c>
      <c r="R523" s="36">
        <f ca="1">Table19[[#This Row],[Stock Exposure]]+Table19[[#This Row],[Option Exposure]]</f>
        <v>0</v>
      </c>
      <c r="S523" s="108">
        <f>IFERROR(Table19[[#This Row],[Num of Stocks]]*Table19[[#This Row],[Ave Entry]],"")</f>
        <v>0</v>
      </c>
      <c r="T523" s="39">
        <f ca="1">Table19[[#This Row],[Combined Exposure]]/$C$8</f>
        <v>0</v>
      </c>
    </row>
    <row r="524" spans="1:20">
      <c r="A524" t="e" vm="519">
        <v>#VALUE!</v>
      </c>
      <c r="B524" s="13" t="str" cm="1">
        <f t="array" aca="1" ref="B524" ca="1">_FV(A524,"Ticker symbol",TRUE)</f>
        <v>LWLG</v>
      </c>
      <c r="C524" s="13" t="s">
        <v>258</v>
      </c>
      <c r="D524" s="13" t="s">
        <v>29</v>
      </c>
      <c r="E524" s="19" cm="1">
        <f t="array" aca="1" ref="E524" ca="1">IFERROR(_FV(A524,"Beta"),2)</f>
        <v>2.7597</v>
      </c>
      <c r="F524" s="13" t="str" cm="1">
        <f t="array" aca="1" ref="F524" ca="1">_FV(A524,"Instrument type",TRUE)</f>
        <v>Stock</v>
      </c>
      <c r="G524" s="18" cm="1">
        <f t="array" aca="1" ref="G524" ca="1">_FV(Table19[[#This Row],[Assets]],"Price")</f>
        <v>8.4849999999999994</v>
      </c>
      <c r="H524" s="36">
        <f>IFERROR(VLOOKUP(Table19[[#This Row],[Assets]],Table25[#All],15,FALSE),"")</f>
        <v>4.17</v>
      </c>
      <c r="I524" s="36">
        <f>IFERROR(VLOOKUP(Table19[[#This Row],[Assets]],Table25[#All],16,FALSE),0)</f>
        <v>-319.20000000000005</v>
      </c>
      <c r="J524" s="84">
        <f ca="1">IFERROR((Table19[[#This Row],[Price]]-Table19[[#This Row],[Ave Entry]])/Table19[[#This Row],[Ave Entry]],"")</f>
        <v>1.0347721822541966</v>
      </c>
      <c r="K524" s="92">
        <f ca="1">IFERROR((Table19[[#This Row],[Price]]-Table19[[#This Row],[Ave Entry]])*Table19[[#This Row],[Num of Stocks]],0)</f>
        <v>0</v>
      </c>
      <c r="L524" s="38" cm="1">
        <f t="array" aca="1" ref="L524" ca="1">_FV(Table19[[#This Row],[Assets]],"Change (%)",TRUE)</f>
        <v>0.154422</v>
      </c>
      <c r="M524" s="36">
        <f>SUMIF(Table20[Asset],Table19[[#This Row],[Assets]],Table20[realized_profit])</f>
        <v>0</v>
      </c>
      <c r="N524" s="36">
        <f>SUMIF(Table20[[#All],[Asset]],Table19[[#This Row],[Assets]],Table20[[#All],[delta_exposure]])</f>
        <v>0</v>
      </c>
      <c r="O524" s="38">
        <f ca="1">Table19[[#This Row],[Option Exposure]]/$B$6</f>
        <v>0</v>
      </c>
      <c r="P524" s="51">
        <f>SUMIF(Table25[[#All],[Assets]],Table19[[#This Row],[Assets]],Table25[[#All],[Number of stocks]])</f>
        <v>0</v>
      </c>
      <c r="Q524" s="36">
        <f ca="1">Table19[[#This Row],[Num of Stocks]]*Table19[[#This Row],[Price]]</f>
        <v>0</v>
      </c>
      <c r="R524" s="36">
        <f ca="1">Table19[[#This Row],[Stock Exposure]]+Table19[[#This Row],[Option Exposure]]</f>
        <v>0</v>
      </c>
      <c r="S524" s="108">
        <f>IFERROR(Table19[[#This Row],[Num of Stocks]]*Table19[[#This Row],[Ave Entry]],"")</f>
        <v>0</v>
      </c>
      <c r="T524" s="39">
        <f ca="1">Table19[[#This Row],[Combined Exposure]]/$C$8</f>
        <v>0</v>
      </c>
    </row>
    <row r="525" spans="1:20">
      <c r="A525" t="e" vm="520">
        <v>#VALUE!</v>
      </c>
      <c r="B525" s="13" t="str" cm="1">
        <f t="array" aca="1" ref="B525" ca="1">_FV(A525,"Ticker symbol",TRUE)</f>
        <v>ACLS</v>
      </c>
      <c r="C525" s="13" t="s">
        <v>84</v>
      </c>
      <c r="D525" s="13" t="s">
        <v>84</v>
      </c>
      <c r="E525" s="19" cm="1">
        <f t="array" aca="1" ref="E525" ca="1">IFERROR(_FV(A525,"Beta"),2)</f>
        <v>1.6521999999999999</v>
      </c>
      <c r="F525" s="13" t="str" cm="1">
        <f t="array" aca="1" ref="F525" ca="1">_FV(A525,"Instrument type",TRUE)</f>
        <v>Stock</v>
      </c>
      <c r="G525" s="18" cm="1">
        <f t="array" aca="1" ref="G525" ca="1">_FV(Table19[[#This Row],[Assets]],"Price")</f>
        <v>99.0214</v>
      </c>
      <c r="H525" s="36">
        <f>IFERROR(VLOOKUP(Table19[[#This Row],[Assets]],Table25[#All],15,FALSE),"")</f>
        <v>128.34</v>
      </c>
      <c r="I525" s="36">
        <f>IFERROR(VLOOKUP(Table19[[#This Row],[Assets]],Table25[#All],16,FALSE),0)</f>
        <v>-475.09000000000003</v>
      </c>
      <c r="J525" s="84">
        <f ca="1">IFERROR((Table19[[#This Row],[Price]]-Table19[[#This Row],[Ave Entry]])/Table19[[#This Row],[Ave Entry]],"")</f>
        <v>-0.2284447561165654</v>
      </c>
      <c r="K525" s="92">
        <f ca="1">IFERROR((Table19[[#This Row],[Price]]-Table19[[#This Row],[Ave Entry]])*Table19[[#This Row],[Num of Stocks]],0)</f>
        <v>0</v>
      </c>
      <c r="L525" s="38" cm="1">
        <f t="array" aca="1" ref="L525" ca="1">_FV(Table19[[#This Row],[Assets]],"Change (%)",TRUE)</f>
        <v>4.9067E-2</v>
      </c>
      <c r="M525" s="36">
        <f>SUMIF(Table20[Asset],Table19[[#This Row],[Assets]],Table20[realized_profit])</f>
        <v>0</v>
      </c>
      <c r="N525" s="36">
        <f>SUMIF(Table20[[#All],[Asset]],Table19[[#This Row],[Assets]],Table20[[#All],[delta_exposure]])</f>
        <v>0</v>
      </c>
      <c r="O525" s="98">
        <f ca="1">Table19[[#This Row],[Option Exposure]]/$B$6</f>
        <v>0</v>
      </c>
      <c r="P525" s="51">
        <f>SUMIF(Table25[[#All],[Assets]],Table19[[#This Row],[Assets]],Table25[[#All],[Number of stocks]])</f>
        <v>0</v>
      </c>
      <c r="Q525" s="36">
        <f ca="1">Table19[[#This Row],[Num of Stocks]]*Table19[[#This Row],[Price]]</f>
        <v>0</v>
      </c>
      <c r="R525" s="36">
        <f ca="1">Table19[[#This Row],[Stock Exposure]]+Table19[[#This Row],[Option Exposure]]</f>
        <v>0</v>
      </c>
      <c r="S525" s="108">
        <f>IFERROR(Table19[[#This Row],[Num of Stocks]]*Table19[[#This Row],[Ave Entry]],"")</f>
        <v>0</v>
      </c>
      <c r="T525" s="39">
        <f ca="1">Table19[[#This Row],[Combined Exposure]]/$C$8</f>
        <v>0</v>
      </c>
    </row>
    <row r="526" spans="1:20">
      <c r="A526" t="e" vm="162">
        <v>#VALUE!</v>
      </c>
      <c r="B526" s="13" t="str" cm="1">
        <f t="array" aca="1" ref="B526" ca="1">_FV(A526,"Ticker symbol",TRUE)</f>
        <v>APA</v>
      </c>
      <c r="C526" s="13" t="s">
        <v>31</v>
      </c>
      <c r="D526" s="13" t="s">
        <v>31</v>
      </c>
      <c r="E526" s="19" cm="1">
        <f t="array" aca="1" ref="E526" ca="1">IFERROR(_FV(A526,"Beta"),2)</f>
        <v>0.52639999999999998</v>
      </c>
      <c r="F526" s="13" t="str" cm="1">
        <f t="array" aca="1" ref="F526" ca="1">_FV(A526,"Instrument type",TRUE)</f>
        <v>Stock</v>
      </c>
      <c r="G526" s="18" cm="1">
        <f t="array" aca="1" ref="G526" ca="1">_FV(Table19[[#This Row],[Assets]],"Price")</f>
        <v>40.94</v>
      </c>
      <c r="H526" s="36">
        <f>IFERROR(VLOOKUP(Table19[[#This Row],[Assets]],Table25[#All],15,FALSE),"")</f>
        <v>27.136413105739489</v>
      </c>
      <c r="I526" s="36">
        <f>IFERROR(VLOOKUP(Table19[[#This Row],[Assets]],Table25[#All],16,FALSE),0)</f>
        <v>-109.65299999999996</v>
      </c>
      <c r="J526" s="84">
        <f ca="1">IFERROR((Table19[[#This Row],[Price]]-Table19[[#This Row],[Ave Entry]])/Table19[[#This Row],[Ave Entry]],"")</f>
        <v>0.50867396661723796</v>
      </c>
      <c r="K526" s="92">
        <f ca="1">IFERROR((Table19[[#This Row],[Price]]-Table19[[#This Row],[Ave Entry]])*Table19[[#This Row],[Num of Stocks]],0)</f>
        <v>0</v>
      </c>
      <c r="L526" s="38" cm="1">
        <f t="array" aca="1" ref="L526" ca="1">_FV(Table19[[#This Row],[Assets]],"Change (%)",TRUE)</f>
        <v>3.431E-3</v>
      </c>
      <c r="M526" s="36">
        <f>SUMIF(Table20[Asset],Table19[[#This Row],[Assets]],Table20[realized_profit])</f>
        <v>0</v>
      </c>
      <c r="N526" s="36">
        <f>SUMIF(Table20[[#All],[Asset]],Table19[[#This Row],[Assets]],Table20[[#All],[delta_exposure]])</f>
        <v>0</v>
      </c>
      <c r="O526" s="98">
        <f ca="1">Table19[[#This Row],[Option Exposure]]/$B$6</f>
        <v>0</v>
      </c>
      <c r="P526" s="51">
        <f>SUMIF(Table25[[#All],[Assets]],Table19[[#This Row],[Assets]],Table25[[#All],[Number of stocks]])</f>
        <v>0</v>
      </c>
      <c r="Q526" s="36">
        <f ca="1">Table19[[#This Row],[Num of Stocks]]*Table19[[#This Row],[Price]]</f>
        <v>0</v>
      </c>
      <c r="R526" s="36">
        <f ca="1">Table19[[#This Row],[Stock Exposure]]+Table19[[#This Row],[Option Exposure]]</f>
        <v>0</v>
      </c>
      <c r="S526" s="108">
        <f>IFERROR(Table19[[#This Row],[Num of Stocks]]*Table19[[#This Row],[Ave Entry]],"")</f>
        <v>0</v>
      </c>
      <c r="T526" s="39">
        <f ca="1">Table19[[#This Row],[Combined Exposure]]/$C$8</f>
        <v>0</v>
      </c>
    </row>
    <row r="527" spans="1:20">
      <c r="A527" t="e" vm="521">
        <v>#VALUE!</v>
      </c>
      <c r="B527" s="13" t="str" cm="1">
        <f t="array" aca="1" ref="B527" ca="1">_FV(A527,"Ticker symbol",TRUE)</f>
        <v>ENPH</v>
      </c>
      <c r="C527" s="13" t="s">
        <v>56</v>
      </c>
      <c r="D527" s="13" t="s">
        <v>260</v>
      </c>
      <c r="E527" s="19" cm="1">
        <f t="array" aca="1" ref="E527" ca="1">IFERROR(_FV(A527,"Beta"),2)</f>
        <v>1.347</v>
      </c>
      <c r="F527" s="13" t="str" cm="1">
        <f t="array" aca="1" ref="F527" ca="1">_FV(A527,"Instrument type",TRUE)</f>
        <v>Stock</v>
      </c>
      <c r="G527" s="18" cm="1">
        <f t="array" aca="1" ref="G527" ca="1">_FV(Table19[[#This Row],[Assets]],"Price")</f>
        <v>41.15</v>
      </c>
      <c r="H527" s="36">
        <f>IFERROR(VLOOKUP(Table19[[#This Row],[Assets]],Table25[#All],15,FALSE),"")</f>
        <v>70.56</v>
      </c>
      <c r="I527" s="36">
        <f>IFERROR(VLOOKUP(Table19[[#This Row],[Assets]],Table25[#All],16,FALSE),0)</f>
        <v>-54.320000000000036</v>
      </c>
      <c r="J527" s="84">
        <f ca="1">IFERROR((Table19[[#This Row],[Price]]-Table19[[#This Row],[Ave Entry]])/Table19[[#This Row],[Ave Entry]],"")</f>
        <v>-0.41680839002267578</v>
      </c>
      <c r="K527" s="92">
        <f ca="1">IFERROR((Table19[[#This Row],[Price]]-Table19[[#This Row],[Ave Entry]])*Table19[[#This Row],[Num of Stocks]],0)</f>
        <v>0</v>
      </c>
      <c r="L527" s="38" cm="1">
        <f t="array" aca="1" ref="L527" ca="1">_FV(Table19[[#This Row],[Assets]],"Change (%)",TRUE)</f>
        <v>4.3930000000000002E-3</v>
      </c>
      <c r="M527" s="36">
        <f>SUMIF(Table20[Asset],Table19[[#This Row],[Assets]],Table20[realized_profit])</f>
        <v>0</v>
      </c>
      <c r="N527" s="36">
        <f>SUMIF(Table20[[#All],[Asset]],Table19[[#This Row],[Assets]],Table20[[#All],[delta_exposure]])</f>
        <v>0</v>
      </c>
      <c r="O527" s="38">
        <f ca="1">Table19[[#This Row],[Option Exposure]]/$B$6</f>
        <v>0</v>
      </c>
      <c r="P527" s="51">
        <f>SUMIF(Table25[[#All],[Assets]],Table19[[#This Row],[Assets]],Table25[[#All],[Number of stocks]])</f>
        <v>0</v>
      </c>
      <c r="Q527" s="36">
        <f ca="1">Table19[[#This Row],[Num of Stocks]]*Table19[[#This Row],[Price]]</f>
        <v>0</v>
      </c>
      <c r="R527" s="36">
        <f ca="1">Table19[[#This Row],[Stock Exposure]]+Table19[[#This Row],[Option Exposure]]</f>
        <v>0</v>
      </c>
      <c r="S527" s="108">
        <f>IFERROR(Table19[[#This Row],[Num of Stocks]]*Table19[[#This Row],[Ave Entry]],"")</f>
        <v>0</v>
      </c>
      <c r="T527" s="39">
        <f ca="1">Table19[[#This Row],[Combined Exposure]]/$C$8</f>
        <v>0</v>
      </c>
    </row>
    <row r="528" spans="1:20">
      <c r="A528" t="e" vm="522">
        <v>#VALUE!</v>
      </c>
      <c r="B528" s="13" t="str" cm="1">
        <f t="array" aca="1" ref="B528" ca="1">_FV(A528,"Ticker symbol",TRUE)</f>
        <v>MASS</v>
      </c>
      <c r="C528" s="13" t="s">
        <v>53</v>
      </c>
      <c r="D528" s="13" t="s">
        <v>53</v>
      </c>
      <c r="E528" s="19" cm="1">
        <f t="array" aca="1" ref="E528" ca="1">IFERROR(_FV(A528,"Beta"),2)</f>
        <v>0.5222</v>
      </c>
      <c r="F528" s="13" t="str" cm="1">
        <f t="array" aca="1" ref="F528" ca="1">_FV(A528,"Instrument type",TRUE)</f>
        <v>Stock</v>
      </c>
      <c r="G528" s="18" cm="1">
        <f t="array" aca="1" ref="G528" ca="1">_FV(Table19[[#This Row],[Assets]],"Price")</f>
        <v>6.43</v>
      </c>
      <c r="H528" s="36">
        <f>IFERROR(VLOOKUP(Table19[[#This Row],[Assets]],Table25[#All],15,FALSE),"")</f>
        <v>2.1600000000000006</v>
      </c>
      <c r="I528" s="36">
        <f>IFERROR(VLOOKUP(Table19[[#This Row],[Assets]],Table25[#All],16,FALSE),0)</f>
        <v>184.7999999999999</v>
      </c>
      <c r="J528" s="84">
        <f ca="1">IFERROR((Table19[[#This Row],[Price]]-Table19[[#This Row],[Ave Entry]])/Table19[[#This Row],[Ave Entry]],"")</f>
        <v>1.9768518518518512</v>
      </c>
      <c r="K528" s="92">
        <f ca="1">IFERROR((Table19[[#This Row],[Price]]-Table19[[#This Row],[Ave Entry]])*Table19[[#This Row],[Num of Stocks]],0)</f>
        <v>0</v>
      </c>
      <c r="L528" s="38" cm="1">
        <f t="array" aca="1" ref="L528" ca="1">_FV(Table19[[#This Row],[Assets]],"Change (%)",TRUE)</f>
        <v>2.5517999999999999E-2</v>
      </c>
      <c r="M528" s="36">
        <f>SUMIF(Table20[Asset],Table19[[#This Row],[Assets]],Table20[realized_profit])</f>
        <v>0</v>
      </c>
      <c r="N528" s="36">
        <f>SUMIF(Table20[[#All],[Asset]],Table19[[#This Row],[Assets]],Table20[[#All],[delta_exposure]])</f>
        <v>0</v>
      </c>
      <c r="O528" s="38">
        <f ca="1">Table19[[#This Row],[Option Exposure]]/$B$6</f>
        <v>0</v>
      </c>
      <c r="P528" s="51">
        <f>SUMIF(Table25[[#All],[Assets]],Table19[[#This Row],[Assets]],Table25[[#All],[Number of stocks]])</f>
        <v>0</v>
      </c>
      <c r="Q528" s="36">
        <f ca="1">Table19[[#This Row],[Num of Stocks]]*Table19[[#This Row],[Price]]</f>
        <v>0</v>
      </c>
      <c r="R528" s="36">
        <f ca="1">Table19[[#This Row],[Stock Exposure]]+Table19[[#This Row],[Option Exposure]]</f>
        <v>0</v>
      </c>
      <c r="S528" s="108">
        <f>IFERROR(Table19[[#This Row],[Num of Stocks]]*Table19[[#This Row],[Ave Entry]],"")</f>
        <v>0</v>
      </c>
      <c r="T528" s="39">
        <f ca="1">Table19[[#This Row],[Combined Exposure]]/$C$8</f>
        <v>0</v>
      </c>
    </row>
    <row r="529" spans="1:20">
      <c r="A529" t="e" vm="523">
        <v>#VALUE!</v>
      </c>
      <c r="B529" s="13" t="str" cm="1">
        <f t="array" aca="1" ref="B529" ca="1">_FV(A529,"Ticker symbol",TRUE)</f>
        <v>RXST</v>
      </c>
      <c r="C529" s="13" t="s">
        <v>53</v>
      </c>
      <c r="D529" s="13" t="s">
        <v>53</v>
      </c>
      <c r="E529" s="19" cm="1">
        <f t="array" aca="1" ref="E529" ca="1">IFERROR(_FV(A529,"Beta"),2)</f>
        <v>1.2001999999999999</v>
      </c>
      <c r="F529" s="13" t="str" cm="1">
        <f t="array" aca="1" ref="F529" ca="1">_FV(A529,"Instrument type",TRUE)</f>
        <v>Stock</v>
      </c>
      <c r="G529" s="18" cm="1">
        <f t="array" aca="1" ref="G529" ca="1">_FV(Table19[[#This Row],[Assets]],"Price")</f>
        <v>6.6349999999999998</v>
      </c>
      <c r="H529" s="36">
        <f>IFERROR(VLOOKUP(Table19[[#This Row],[Assets]],Table25[#All],15,FALSE),"")</f>
        <v>28.49</v>
      </c>
      <c r="I529" s="36">
        <f>IFERROR(VLOOKUP(Table19[[#This Row],[Assets]],Table25[#All],16,FALSE),0)</f>
        <v>23.700000000000045</v>
      </c>
      <c r="J529" s="84">
        <f ca="1">IFERROR((Table19[[#This Row],[Price]]-Table19[[#This Row],[Ave Entry]])/Table19[[#This Row],[Ave Entry]],"")</f>
        <v>-0.76711126711126709</v>
      </c>
      <c r="K529" s="92">
        <f ca="1">IFERROR((Table19[[#This Row],[Price]]-Table19[[#This Row],[Ave Entry]])*Table19[[#This Row],[Num of Stocks]],0)</f>
        <v>0</v>
      </c>
      <c r="L529" s="38" cm="1">
        <f t="array" aca="1" ref="L529" ca="1">_FV(Table19[[#This Row],[Assets]],"Change (%)",TRUE)</f>
        <v>5.9903999999999999E-2</v>
      </c>
      <c r="M529" s="36">
        <f>SUMIF(Table20[Asset],Table19[[#This Row],[Assets]],Table20[realized_profit])</f>
        <v>0</v>
      </c>
      <c r="N529" s="36">
        <f>SUMIF(Table20[[#All],[Asset]],Table19[[#This Row],[Assets]],Table20[[#All],[delta_exposure]])</f>
        <v>0</v>
      </c>
      <c r="O529" s="38">
        <f ca="1">Table19[[#This Row],[Option Exposure]]/$B$6</f>
        <v>0</v>
      </c>
      <c r="P529" s="51">
        <f>SUMIF(Table25[[#All],[Assets]],Table19[[#This Row],[Assets]],Table25[[#All],[Number of stocks]])</f>
        <v>0</v>
      </c>
      <c r="Q529" s="36">
        <f ca="1">Table19[[#This Row],[Num of Stocks]]*Table19[[#This Row],[Price]]</f>
        <v>0</v>
      </c>
      <c r="R529" s="36">
        <f ca="1">Table19[[#This Row],[Stock Exposure]]+Table19[[#This Row],[Option Exposure]]</f>
        <v>0</v>
      </c>
      <c r="S529" s="108">
        <f>IFERROR(Table19[[#This Row],[Num of Stocks]]*Table19[[#This Row],[Ave Entry]],"")</f>
        <v>0</v>
      </c>
      <c r="T529" s="39">
        <f ca="1">Table19[[#This Row],[Combined Exposure]]/$C$8</f>
        <v>0</v>
      </c>
    </row>
    <row r="530" spans="1:20">
      <c r="A530" t="e" vm="524">
        <v>#VALUE!</v>
      </c>
      <c r="B530" s="13" t="str" cm="1">
        <f t="array" aca="1" ref="B530" ca="1">_FV(A530,"Ticker symbol",TRUE)</f>
        <v>WVE</v>
      </c>
      <c r="C530" s="13" t="s">
        <v>53</v>
      </c>
      <c r="D530" s="13" t="s">
        <v>53</v>
      </c>
      <c r="E530" s="19" cm="1">
        <f t="array" aca="1" ref="E530" ca="1">IFERROR(_FV(A530,"Beta"),2)</f>
        <v>-1.5004</v>
      </c>
      <c r="F530" s="13" t="str" cm="1">
        <f t="array" aca="1" ref="F530" ca="1">_FV(A530,"Instrument type",TRUE)</f>
        <v>Stock</v>
      </c>
      <c r="G530" s="18" cm="1">
        <f t="array" aca="1" ref="G530" ca="1">_FV(Table19[[#This Row],[Assets]],"Price")</f>
        <v>12.4</v>
      </c>
      <c r="H530" s="36">
        <f>IFERROR(VLOOKUP(Table19[[#This Row],[Assets]],Table25[#All],15,FALSE),"")</f>
        <v>11</v>
      </c>
      <c r="I530" s="36">
        <f>IFERROR(VLOOKUP(Table19[[#This Row],[Assets]],Table25[#All],16,FALSE),0)</f>
        <v>56.000000000000014</v>
      </c>
      <c r="J530" s="84">
        <f ca="1">IFERROR((Table19[[#This Row],[Price]]-Table19[[#This Row],[Ave Entry]])/Table19[[#This Row],[Ave Entry]],"")</f>
        <v>0.12727272727272732</v>
      </c>
      <c r="K530" s="92">
        <f ca="1">IFERROR((Table19[[#This Row],[Price]]-Table19[[#This Row],[Ave Entry]])*Table19[[#This Row],[Num of Stocks]],0)</f>
        <v>0</v>
      </c>
      <c r="L530" s="38" cm="1">
        <f t="array" aca="1" ref="L530" ca="1">_FV(Table19[[#This Row],[Assets]],"Change (%)",TRUE)</f>
        <v>6.6208000000000003E-2</v>
      </c>
      <c r="M530" s="36">
        <f>SUMIF(Table20[Asset],Table19[[#This Row],[Assets]],Table20[realized_profit])</f>
        <v>0</v>
      </c>
      <c r="N530" s="36">
        <f>SUMIF(Table20[[#All],[Asset]],Table19[[#This Row],[Assets]],Table20[[#All],[delta_exposure]])</f>
        <v>0</v>
      </c>
      <c r="O530" s="38">
        <f ca="1">Table19[[#This Row],[Option Exposure]]/$B$6</f>
        <v>0</v>
      </c>
      <c r="P530" s="51">
        <f>SUMIF(Table25[[#All],[Assets]],Table19[[#This Row],[Assets]],Table25[[#All],[Number of stocks]])</f>
        <v>0</v>
      </c>
      <c r="Q530" s="36">
        <f ca="1">Table19[[#This Row],[Num of Stocks]]*Table19[[#This Row],[Price]]</f>
        <v>0</v>
      </c>
      <c r="R530" s="36">
        <f ca="1">Table19[[#This Row],[Stock Exposure]]+Table19[[#This Row],[Option Exposure]]</f>
        <v>0</v>
      </c>
      <c r="S530" s="108">
        <f>IFERROR(Table19[[#This Row],[Num of Stocks]]*Table19[[#This Row],[Ave Entry]],"")</f>
        <v>0</v>
      </c>
      <c r="T530" s="39">
        <f ca="1">Table19[[#This Row],[Combined Exposure]]/$C$8</f>
        <v>0</v>
      </c>
    </row>
    <row r="531" spans="1:20">
      <c r="A531" t="e" vm="525">
        <v>#VALUE!</v>
      </c>
      <c r="B531" s="13" t="str" cm="1">
        <f t="array" aca="1" ref="B531" ca="1">_FV(A531,"Ticker symbol",TRUE)</f>
        <v>PSNL</v>
      </c>
      <c r="C531" s="13" t="s">
        <v>53</v>
      </c>
      <c r="D531" s="13" t="s">
        <v>53</v>
      </c>
      <c r="E531" s="19" cm="1">
        <f t="array" aca="1" ref="E531" ca="1">IFERROR(_FV(A531,"Beta"),2)</f>
        <v>2.1278000000000001</v>
      </c>
      <c r="F531" s="13" t="str" cm="1">
        <f t="array" aca="1" ref="F531" ca="1">_FV(A531,"Instrument type",TRUE)</f>
        <v>Stock</v>
      </c>
      <c r="G531" s="18" cm="1">
        <f t="array" aca="1" ref="G531" ca="1">_FV(Table19[[#This Row],[Assets]],"Price")</f>
        <v>8.17</v>
      </c>
      <c r="H531" s="36">
        <f>IFERROR(VLOOKUP(Table19[[#This Row],[Assets]],Table25[#All],15,FALSE),"")</f>
        <v>5.51</v>
      </c>
      <c r="I531" s="36">
        <f>IFERROR(VLOOKUP(Table19[[#This Row],[Assets]],Table25[#All],16,FALSE),0)</f>
        <v>-121.49999999999997</v>
      </c>
      <c r="J531" s="84">
        <f ca="1">IFERROR((Table19[[#This Row],[Price]]-Table19[[#This Row],[Ave Entry]])/Table19[[#This Row],[Ave Entry]],"")</f>
        <v>0.48275862068965519</v>
      </c>
      <c r="K531" s="92">
        <f ca="1">IFERROR((Table19[[#This Row],[Price]]-Table19[[#This Row],[Ave Entry]])*Table19[[#This Row],[Num of Stocks]],0)</f>
        <v>0</v>
      </c>
      <c r="L531" s="38" cm="1">
        <f t="array" aca="1" ref="L531" ca="1">_FV(Table19[[#This Row],[Assets]],"Change (%)",TRUE)</f>
        <v>5.0129E-2</v>
      </c>
      <c r="M531" s="36">
        <f>SUMIF(Table20[Asset],Table19[[#This Row],[Assets]],Table20[realized_profit])</f>
        <v>0</v>
      </c>
      <c r="N531" s="36">
        <f>SUMIF(Table20[[#All],[Asset]],Table19[[#This Row],[Assets]],Table20[[#All],[delta_exposure]])</f>
        <v>0</v>
      </c>
      <c r="O531" s="38">
        <f ca="1">Table19[[#This Row],[Option Exposure]]/$B$6</f>
        <v>0</v>
      </c>
      <c r="P531" s="51">
        <f>SUMIF(Table25[[#All],[Assets]],Table19[[#This Row],[Assets]],Table25[[#All],[Number of stocks]])</f>
        <v>0</v>
      </c>
      <c r="Q531" s="36">
        <f ca="1">Table19[[#This Row],[Num of Stocks]]*Table19[[#This Row],[Price]]</f>
        <v>0</v>
      </c>
      <c r="R531" s="36">
        <f ca="1">Table19[[#This Row],[Stock Exposure]]+Table19[[#This Row],[Option Exposure]]</f>
        <v>0</v>
      </c>
      <c r="S531" s="108">
        <f>IFERROR(Table19[[#This Row],[Num of Stocks]]*Table19[[#This Row],[Ave Entry]],"")</f>
        <v>0</v>
      </c>
      <c r="T531" s="39">
        <f ca="1">Table19[[#This Row],[Combined Exposure]]/$C$8</f>
        <v>0</v>
      </c>
    </row>
    <row r="532" spans="1:20">
      <c r="A532" t="e" vm="526">
        <v>#VALUE!</v>
      </c>
      <c r="B532" s="13" t="str" cm="1">
        <f t="array" aca="1" ref="B532" ca="1">_FV(A532,"Ticker symbol",TRUE)</f>
        <v>HQY</v>
      </c>
      <c r="C532" s="13" t="s">
        <v>53</v>
      </c>
      <c r="D532" s="13" t="s">
        <v>53</v>
      </c>
      <c r="E532" s="19" cm="1">
        <f t="array" aca="1" ref="E532" ca="1">IFERROR(_FV(A532,"Beta"),2)</f>
        <v>0.27550000000000002</v>
      </c>
      <c r="F532" s="13" t="str" cm="1">
        <f t="array" aca="1" ref="F532" ca="1">_FV(A532,"Instrument type",TRUE)</f>
        <v>Stock</v>
      </c>
      <c r="G532" s="18" cm="1">
        <f t="array" aca="1" ref="G532" ca="1">_FV(Table19[[#This Row],[Assets]],"Price")</f>
        <v>82.237499999999997</v>
      </c>
      <c r="H532" s="36" t="str">
        <f>IFERROR(VLOOKUP(Table19[[#This Row],[Assets]],Table25[#All],15,FALSE),"")</f>
        <v/>
      </c>
      <c r="I532" s="36">
        <f>IFERROR(VLOOKUP(Table19[[#This Row],[Assets]],Table25[#All],16,FALSE),0)</f>
        <v>0</v>
      </c>
      <c r="J532" s="84" t="str">
        <f ca="1">IFERROR((Table19[[#This Row],[Price]]-Table19[[#This Row],[Ave Entry]])/Table19[[#This Row],[Ave Entry]],"")</f>
        <v/>
      </c>
      <c r="K532" s="92">
        <f ca="1">IFERROR((Table19[[#This Row],[Price]]-Table19[[#This Row],[Ave Entry]])*Table19[[#This Row],[Num of Stocks]],0)</f>
        <v>0</v>
      </c>
      <c r="L532" s="38" cm="1">
        <f t="array" aca="1" ref="L532" ca="1">_FV(Table19[[#This Row],[Assets]],"Change (%)",TRUE)</f>
        <v>1.6750000000000001E-3</v>
      </c>
      <c r="M532" s="36">
        <f>SUMIF(Table20[Asset],Table19[[#This Row],[Assets]],Table20[realized_profit])</f>
        <v>0</v>
      </c>
      <c r="N532" s="36">
        <f>SUMIF(Table20[[#All],[Asset]],Table19[[#This Row],[Assets]],Table20[[#All],[delta_exposure]])</f>
        <v>0</v>
      </c>
      <c r="O532" s="38">
        <f ca="1">Table19[[#This Row],[Option Exposure]]/$B$6</f>
        <v>0</v>
      </c>
      <c r="P532" s="51">
        <f>SUMIF(Table25[[#All],[Assets]],Table19[[#This Row],[Assets]],Table25[[#All],[Number of stocks]])</f>
        <v>0</v>
      </c>
      <c r="Q532" s="36">
        <f ca="1">Table19[[#This Row],[Num of Stocks]]*Table19[[#This Row],[Price]]</f>
        <v>0</v>
      </c>
      <c r="R532" s="36">
        <f ca="1">Table19[[#This Row],[Stock Exposure]]+Table19[[#This Row],[Option Exposure]]</f>
        <v>0</v>
      </c>
      <c r="S532" s="108" t="str">
        <f>IFERROR(Table19[[#This Row],[Num of Stocks]]*Table19[[#This Row],[Ave Entry]],"")</f>
        <v/>
      </c>
      <c r="T532" s="39">
        <f ca="1">Table19[[#This Row],[Combined Exposure]]/$C$8</f>
        <v>0</v>
      </c>
    </row>
    <row r="533" spans="1:20">
      <c r="A533" t="e" vm="527">
        <v>#VALUE!</v>
      </c>
      <c r="B533" s="13" t="str" cm="1">
        <f t="array" aca="1" ref="B533" ca="1">_FV(A533,"Ticker symbol",TRUE)</f>
        <v>NPCE</v>
      </c>
      <c r="C533" s="13" t="s">
        <v>53</v>
      </c>
      <c r="D533" s="13" t="s">
        <v>53</v>
      </c>
      <c r="E533" s="19" cm="1">
        <f t="array" aca="1" ref="E533" ca="1">IFERROR(_FV(A533,"Beta"),2)</f>
        <v>1.8762000000000001</v>
      </c>
      <c r="F533" s="13" t="str" cm="1">
        <f t="array" aca="1" ref="F533" ca="1">_FV(A533,"Instrument type",TRUE)</f>
        <v>Stock</v>
      </c>
      <c r="G533" s="18" cm="1">
        <f t="array" aca="1" ref="G533" ca="1">_FV(Table19[[#This Row],[Assets]],"Price")</f>
        <v>13.38</v>
      </c>
      <c r="H533" s="36">
        <f>IFERROR(VLOOKUP(Table19[[#This Row],[Assets]],Table25[#All],15,FALSE),"")</f>
        <v>13.254782608695654</v>
      </c>
      <c r="I533" s="36">
        <f>IFERROR(VLOOKUP(Table19[[#This Row],[Assets]],Table25[#All],16,FALSE),0)</f>
        <v>-50.950000000000287</v>
      </c>
      <c r="J533" s="84">
        <f ca="1">IFERROR((Table19[[#This Row],[Price]]-Table19[[#This Row],[Ave Entry]])/Table19[[#This Row],[Ave Entry]],"")</f>
        <v>9.446959259988081E-3</v>
      </c>
      <c r="K533" s="92">
        <f ca="1">IFERROR((Table19[[#This Row],[Price]]-Table19[[#This Row],[Ave Entry]])*Table19[[#This Row],[Num of Stocks]],0)</f>
        <v>0</v>
      </c>
      <c r="L533" s="38" cm="1">
        <f t="array" aca="1" ref="L533" ca="1">_FV(Table19[[#This Row],[Assets]],"Change (%)",TRUE)</f>
        <v>8.2889999999999995E-3</v>
      </c>
      <c r="M533" s="36">
        <f>SUMIF(Table20[Asset],Table19[[#This Row],[Assets]],Table20[realized_profit])</f>
        <v>0</v>
      </c>
      <c r="N533" s="36">
        <f>SUMIF(Table20[[#All],[Asset]],Table19[[#This Row],[Assets]],Table20[[#All],[delta_exposure]])</f>
        <v>0</v>
      </c>
      <c r="O533" s="38">
        <f ca="1">Table19[[#This Row],[Option Exposure]]/$B$6</f>
        <v>0</v>
      </c>
      <c r="P533" s="51">
        <f>SUMIF(Table25[[#All],[Assets]],Table19[[#This Row],[Assets]],Table25[[#All],[Number of stocks]])</f>
        <v>0</v>
      </c>
      <c r="Q533" s="36">
        <f ca="1">Table19[[#This Row],[Num of Stocks]]*Table19[[#This Row],[Price]]</f>
        <v>0</v>
      </c>
      <c r="R533" s="36">
        <f ca="1">Table19[[#This Row],[Stock Exposure]]+Table19[[#This Row],[Option Exposure]]</f>
        <v>0</v>
      </c>
      <c r="S533" s="108">
        <f>IFERROR(Table19[[#This Row],[Num of Stocks]]*Table19[[#This Row],[Ave Entry]],"")</f>
        <v>0</v>
      </c>
      <c r="T533" s="39">
        <f ca="1">Table19[[#This Row],[Combined Exposure]]/$C$8</f>
        <v>0</v>
      </c>
    </row>
    <row r="534" spans="1:20">
      <c r="A534" t="e" vm="528">
        <v>#VALUE!</v>
      </c>
      <c r="B534" s="13" t="str" cm="1">
        <f t="array" aca="1" ref="B534" ca="1">_FV(A534,"Ticker symbol",TRUE)</f>
        <v>SAIC</v>
      </c>
      <c r="C534" s="13" t="s">
        <v>550</v>
      </c>
      <c r="D534" s="13" t="s">
        <v>29</v>
      </c>
      <c r="E534" s="19" cm="1">
        <f t="array" aca="1" ref="E534" ca="1">IFERROR(_FV(A534,"Beta"),2)</f>
        <v>0.29799999999999999</v>
      </c>
      <c r="F534" s="13" t="str" cm="1">
        <f t="array" aca="1" ref="F534" ca="1">_FV(A534,"Instrument type",TRUE)</f>
        <v>Stock</v>
      </c>
      <c r="G534" s="18" cm="1">
        <f t="array" aca="1" ref="G534" ca="1">_FV(Table19[[#This Row],[Assets]],"Price")</f>
        <v>95.16</v>
      </c>
      <c r="H534" s="36" t="str">
        <f>IFERROR(VLOOKUP(Table19[[#This Row],[Assets]],Table25[#All],15,FALSE),"")</f>
        <v/>
      </c>
      <c r="I534" s="36">
        <f>IFERROR(VLOOKUP(Table19[[#This Row],[Assets]],Table25[#All],16,FALSE),0)</f>
        <v>0</v>
      </c>
      <c r="J534" s="84" t="str">
        <f ca="1">IFERROR((Table19[[#This Row],[Price]]-Table19[[#This Row],[Ave Entry]])/Table19[[#This Row],[Ave Entry]],"")</f>
        <v/>
      </c>
      <c r="K534" s="92">
        <f ca="1">IFERROR((Table19[[#This Row],[Price]]-Table19[[#This Row],[Ave Entry]])*Table19[[#This Row],[Num of Stocks]],0)</f>
        <v>0</v>
      </c>
      <c r="L534" s="38" cm="1">
        <f t="array" aca="1" ref="L534" ca="1">_FV(Table19[[#This Row],[Assets]],"Change (%)",TRUE)</f>
        <v>-1.993E-3</v>
      </c>
      <c r="M534" s="36">
        <f>SUMIF(Table20[Asset],Table19[[#This Row],[Assets]],Table20[realized_profit])</f>
        <v>0</v>
      </c>
      <c r="N534" s="36">
        <f>SUMIF(Table20[[#All],[Asset]],Table19[[#This Row],[Assets]],Table20[[#All],[delta_exposure]])</f>
        <v>0</v>
      </c>
      <c r="O534" s="38">
        <f ca="1">Table19[[#This Row],[Option Exposure]]/$B$6</f>
        <v>0</v>
      </c>
      <c r="P534" s="51">
        <f>SUMIF(Table25[[#All],[Assets]],Table19[[#This Row],[Assets]],Table25[[#All],[Number of stocks]])</f>
        <v>0</v>
      </c>
      <c r="Q534" s="36">
        <f ca="1">Table19[[#This Row],[Num of Stocks]]*Table19[[#This Row],[Price]]</f>
        <v>0</v>
      </c>
      <c r="R534" s="36">
        <f ca="1">Table19[[#This Row],[Stock Exposure]]+Table19[[#This Row],[Option Exposure]]</f>
        <v>0</v>
      </c>
      <c r="S534" s="108" t="str">
        <f>IFERROR(Table19[[#This Row],[Num of Stocks]]*Table19[[#This Row],[Ave Entry]],"")</f>
        <v/>
      </c>
      <c r="T534" s="39">
        <f ca="1">Table19[[#This Row],[Combined Exposure]]/$C$8</f>
        <v>0</v>
      </c>
    </row>
    <row r="535" spans="1:20">
      <c r="A535" t="e" vm="152">
        <v>#VALUE!</v>
      </c>
      <c r="B535" s="13" t="str" cm="1">
        <f t="array" aca="1" ref="B535" ca="1">_FV(A535,"Ticker symbol",TRUE)</f>
        <v>STM</v>
      </c>
      <c r="C535" s="13" t="s">
        <v>84</v>
      </c>
      <c r="D535" s="13" t="s">
        <v>120</v>
      </c>
      <c r="E535" s="19" cm="1">
        <f t="array" aca="1" ref="E535" ca="1">IFERROR(_FV(A535,"Beta"),2)</f>
        <v>1.5543</v>
      </c>
      <c r="F535" s="13" t="str" cm="1">
        <f t="array" aca="1" ref="F535" ca="1">_FV(A535,"Instrument type",TRUE)</f>
        <v>Stock</v>
      </c>
      <c r="G535" s="18" cm="1">
        <f t="array" aca="1" ref="G535" ca="1">_FV(Table19[[#This Row],[Assets]],"Price")</f>
        <v>33.4</v>
      </c>
      <c r="H535" s="36" t="str">
        <f>IFERROR(VLOOKUP(Table19[[#This Row],[Assets]],Table25[#All],15,FALSE),"")</f>
        <v/>
      </c>
      <c r="I535" s="36">
        <f>IFERROR(VLOOKUP(Table19[[#This Row],[Assets]],Table25[#All],16,FALSE),0)</f>
        <v>0</v>
      </c>
      <c r="J535" s="84" t="str">
        <f ca="1">IFERROR((Table19[[#This Row],[Price]]-Table19[[#This Row],[Ave Entry]])/Table19[[#This Row],[Ave Entry]],"")</f>
        <v/>
      </c>
      <c r="K535" s="92">
        <f ca="1">IFERROR((Table19[[#This Row],[Price]]-Table19[[#This Row],[Ave Entry]])*Table19[[#This Row],[Num of Stocks]],0)</f>
        <v>0</v>
      </c>
      <c r="L535" s="38" cm="1">
        <f t="array" aca="1" ref="L535" ca="1">_FV(Table19[[#This Row],[Assets]],"Change (%)",TRUE)</f>
        <v>4.5382999999999993E-2</v>
      </c>
      <c r="M535" s="36">
        <f>SUMIF(Table20[Asset],Table19[[#This Row],[Assets]],Table20[realized_profit])</f>
        <v>0</v>
      </c>
      <c r="N535" s="36">
        <f>SUMIF(Table20[[#All],[Asset]],Table19[[#This Row],[Assets]],Table20[[#All],[delta_exposure]])</f>
        <v>0</v>
      </c>
      <c r="O535" s="38">
        <f ca="1">Table19[[#This Row],[Option Exposure]]/$B$6</f>
        <v>0</v>
      </c>
      <c r="P535" s="51">
        <f>SUMIF(Table25[[#All],[Assets]],Table19[[#This Row],[Assets]],Table25[[#All],[Number of stocks]])</f>
        <v>0</v>
      </c>
      <c r="Q535" s="36">
        <f ca="1">Table19[[#This Row],[Num of Stocks]]*Table19[[#This Row],[Price]]</f>
        <v>0</v>
      </c>
      <c r="R535" s="36">
        <f ca="1">Table19[[#This Row],[Stock Exposure]]+Table19[[#This Row],[Option Exposure]]</f>
        <v>0</v>
      </c>
      <c r="S535" s="108" t="str">
        <f>IFERROR(Table19[[#This Row],[Num of Stocks]]*Table19[[#This Row],[Ave Entry]],"")</f>
        <v/>
      </c>
      <c r="T535" s="39">
        <f ca="1">Table19[[#This Row],[Combined Exposure]]/$C$8</f>
        <v>0</v>
      </c>
    </row>
    <row r="536" spans="1:20">
      <c r="A536" t="e" vm="25">
        <v>#VALUE!</v>
      </c>
      <c r="B536" s="13" t="str" cm="1">
        <f t="array" aca="1" ref="B536" ca="1">_FV(A536,"Ticker symbol",TRUE)</f>
        <v>AMAT</v>
      </c>
      <c r="C536" s="13" t="s">
        <v>84</v>
      </c>
      <c r="D536" s="13" t="s">
        <v>84</v>
      </c>
      <c r="E536" s="19" cm="1">
        <f t="array" aca="1" ref="E536" ca="1">IFERROR(_FV(A536,"Beta"),2)</f>
        <v>1.5969</v>
      </c>
      <c r="F536" s="13" t="str" cm="1">
        <f t="array" aca="1" ref="F536" ca="1">_FV(A536,"Instrument type",TRUE)</f>
        <v>Stock</v>
      </c>
      <c r="G536" s="18" cm="1">
        <f t="array" aca="1" ref="G536" ca="1">_FV(Table19[[#This Row],[Assets]],"Price")</f>
        <v>374.08</v>
      </c>
      <c r="H536" s="36" t="str">
        <f>IFERROR(VLOOKUP(Table19[[#This Row],[Assets]],Table25[#All],15,FALSE),"")</f>
        <v/>
      </c>
      <c r="I536" s="36">
        <f>IFERROR(VLOOKUP(Table19[[#This Row],[Assets]],Table25[#All],16,FALSE),0)</f>
        <v>0</v>
      </c>
      <c r="J536" s="84" t="str">
        <f ca="1">IFERROR((Table19[[#This Row],[Price]]-Table19[[#This Row],[Ave Entry]])/Table19[[#This Row],[Ave Entry]],"")</f>
        <v/>
      </c>
      <c r="K536" s="92">
        <f ca="1">IFERROR((Table19[[#This Row],[Price]]-Table19[[#This Row],[Ave Entry]])*Table19[[#This Row],[Num of Stocks]],0)</f>
        <v>0</v>
      </c>
      <c r="L536" s="38" cm="1">
        <f t="array" aca="1" ref="L536" ca="1">_FV(Table19[[#This Row],[Assets]],"Change (%)",TRUE)</f>
        <v>2.4060000000000002E-4</v>
      </c>
      <c r="M536" s="36">
        <f>SUMIF(Table20[Asset],Table19[[#This Row],[Assets]],Table20[realized_profit])</f>
        <v>-1490.0000000000002</v>
      </c>
      <c r="N536" s="36">
        <f ca="1">SUMIF(Table20[[#All],[Asset]],Table19[[#This Row],[Assets]],Table20[[#All],[delta_exposure]])</f>
        <v>0</v>
      </c>
      <c r="O536" s="38">
        <f ca="1">Table19[[#This Row],[Option Exposure]]/$B$6</f>
        <v>0</v>
      </c>
      <c r="P536" s="51">
        <f>SUMIF(Table25[[#All],[Assets]],Table19[[#This Row],[Assets]],Table25[[#All],[Number of stocks]])</f>
        <v>0</v>
      </c>
      <c r="Q536" s="36">
        <f ca="1">Table19[[#This Row],[Num of Stocks]]*Table19[[#This Row],[Price]]</f>
        <v>0</v>
      </c>
      <c r="R536" s="36">
        <f ca="1">Table19[[#This Row],[Stock Exposure]]+Table19[[#This Row],[Option Exposure]]</f>
        <v>0</v>
      </c>
      <c r="S536" s="108" t="str">
        <f>IFERROR(Table19[[#This Row],[Num of Stocks]]*Table19[[#This Row],[Ave Entry]],"")</f>
        <v/>
      </c>
      <c r="T536" s="39">
        <f ca="1">Table19[[#This Row],[Combined Exposure]]/$C$8</f>
        <v>0</v>
      </c>
    </row>
    <row r="537" spans="1:20">
      <c r="A537" t="e" vm="529">
        <v>#VALUE!</v>
      </c>
      <c r="B537" s="13" t="str" cm="1">
        <f t="array" aca="1" ref="B537" ca="1">_FV(A537,"Ticker symbol",TRUE)</f>
        <v>IFNNY</v>
      </c>
      <c r="C537" s="13" t="s">
        <v>84</v>
      </c>
      <c r="D537" s="13" t="s">
        <v>120</v>
      </c>
      <c r="E537" s="19" cm="1">
        <f t="array" aca="1" ref="E537" ca="1">IFERROR(_FV(A537,"Beta"),2)</f>
        <v>1.8411</v>
      </c>
      <c r="F537" s="13" t="str" cm="1">
        <f t="array" aca="1" ref="F537" ca="1">_FV(A537,"Instrument type",TRUE)</f>
        <v>Stock</v>
      </c>
      <c r="G537" s="18" cm="1">
        <f t="array" aca="1" ref="G537" ca="1">_FV(Table19[[#This Row],[Assets]],"Price")</f>
        <v>46.57</v>
      </c>
      <c r="H537" s="36" t="str">
        <f>IFERROR(VLOOKUP(Table19[[#This Row],[Assets]],Table25[#All],15,FALSE),"")</f>
        <v/>
      </c>
      <c r="I537" s="36">
        <f>IFERROR(VLOOKUP(Table19[[#This Row],[Assets]],Table25[#All],16,FALSE),0)</f>
        <v>0</v>
      </c>
      <c r="J537" s="84" t="str">
        <f ca="1">IFERROR((Table19[[#This Row],[Price]]-Table19[[#This Row],[Ave Entry]])/Table19[[#This Row],[Ave Entry]],"")</f>
        <v/>
      </c>
      <c r="K537" s="92">
        <f ca="1">IFERROR((Table19[[#This Row],[Price]]-Table19[[#This Row],[Ave Entry]])*Table19[[#This Row],[Num of Stocks]],0)</f>
        <v>0</v>
      </c>
      <c r="L537" s="38" cm="1">
        <f t="array" aca="1" ref="L537" ca="1">_FV(Table19[[#This Row],[Assets]],"Change (%)",TRUE)</f>
        <v>5.1478999999999997E-2</v>
      </c>
      <c r="M537" s="36">
        <f>SUMIF(Table20[Asset],Table19[[#This Row],[Assets]],Table20[realized_profit])</f>
        <v>0</v>
      </c>
      <c r="N537" s="36">
        <f>SUMIF(Table20[[#All],[Asset]],Table19[[#This Row],[Assets]],Table20[[#All],[delta_exposure]])</f>
        <v>0</v>
      </c>
      <c r="O537" s="38">
        <f ca="1">Table19[[#This Row],[Option Exposure]]/$B$6</f>
        <v>0</v>
      </c>
      <c r="P537" s="51">
        <f>SUMIF(Table25[[#All],[Assets]],Table19[[#This Row],[Assets]],Table25[[#All],[Number of stocks]])</f>
        <v>0</v>
      </c>
      <c r="Q537" s="36">
        <f ca="1">Table19[[#This Row],[Num of Stocks]]*Table19[[#This Row],[Price]]</f>
        <v>0</v>
      </c>
      <c r="R537" s="36">
        <f ca="1">Table19[[#This Row],[Stock Exposure]]+Table19[[#This Row],[Option Exposure]]</f>
        <v>0</v>
      </c>
      <c r="S537" s="108" t="str">
        <f>IFERROR(Table19[[#This Row],[Num of Stocks]]*Table19[[#This Row],[Ave Entry]],"")</f>
        <v/>
      </c>
      <c r="T537" s="39">
        <f ca="1">Table19[[#This Row],[Combined Exposure]]/$C$8</f>
        <v>0</v>
      </c>
    </row>
    <row r="538" spans="1:20">
      <c r="A538" t="e" vm="530">
        <v>#VALUE!</v>
      </c>
      <c r="B538" s="13" t="str" cm="1">
        <f t="array" aca="1" ref="B538" ca="1">_FV(A538,"Ticker symbol",TRUE)</f>
        <v>MPWR</v>
      </c>
      <c r="C538" s="13" t="s">
        <v>84</v>
      </c>
      <c r="D538" s="13" t="s">
        <v>500</v>
      </c>
      <c r="E538" s="19" cm="1">
        <f t="array" aca="1" ref="E538" ca="1">IFERROR(_FV(A538,"Beta"),2)</f>
        <v>1.4781</v>
      </c>
      <c r="F538" s="13" t="str" cm="1">
        <f t="array" aca="1" ref="F538" ca="1">_FV(A538,"Instrument type",TRUE)</f>
        <v>Stock</v>
      </c>
      <c r="G538" s="18" cm="1">
        <f t="array" aca="1" ref="G538" ca="1">_FV(Table19[[#This Row],[Assets]],"Price")</f>
        <v>1124.23</v>
      </c>
      <c r="H538" s="36" t="str">
        <f>IFERROR(VLOOKUP(Table19[[#This Row],[Assets]],Table25[#All],15,FALSE),"")</f>
        <v/>
      </c>
      <c r="I538" s="36">
        <f>IFERROR(VLOOKUP(Table19[[#This Row],[Assets]],Table25[#All],16,FALSE),0)</f>
        <v>0</v>
      </c>
      <c r="J538" s="84" t="str">
        <f ca="1">IFERROR((Table19[[#This Row],[Price]]-Table19[[#This Row],[Ave Entry]])/Table19[[#This Row],[Ave Entry]],"")</f>
        <v/>
      </c>
      <c r="K538" s="92">
        <f ca="1">IFERROR((Table19[[#This Row],[Price]]-Table19[[#This Row],[Ave Entry]])*Table19[[#This Row],[Num of Stocks]],0)</f>
        <v>0</v>
      </c>
      <c r="L538" s="38" cm="1">
        <f t="array" aca="1" ref="L538" ca="1">_FV(Table19[[#This Row],[Assets]],"Change (%)",TRUE)</f>
        <v>2.0552000000000001E-2</v>
      </c>
      <c r="M538" s="36">
        <f>SUMIF(Table20[Asset],Table19[[#This Row],[Assets]],Table20[realized_profit])</f>
        <v>0</v>
      </c>
      <c r="N538" s="36">
        <f>SUMIF(Table20[[#All],[Asset]],Table19[[#This Row],[Assets]],Table20[[#All],[delta_exposure]])</f>
        <v>0</v>
      </c>
      <c r="O538" s="38">
        <f ca="1">Table19[[#This Row],[Option Exposure]]/$B$6</f>
        <v>0</v>
      </c>
      <c r="P538" s="51">
        <f>SUMIF(Table25[[#All],[Assets]],Table19[[#This Row],[Assets]],Table25[[#All],[Number of stocks]])</f>
        <v>0</v>
      </c>
      <c r="Q538" s="36">
        <f ca="1">Table19[[#This Row],[Num of Stocks]]*Table19[[#This Row],[Price]]</f>
        <v>0</v>
      </c>
      <c r="R538" s="36">
        <f ca="1">Table19[[#This Row],[Stock Exposure]]+Table19[[#This Row],[Option Exposure]]</f>
        <v>0</v>
      </c>
      <c r="S538" s="108" t="str">
        <f>IFERROR(Table19[[#This Row],[Num of Stocks]]*Table19[[#This Row],[Ave Entry]],"")</f>
        <v/>
      </c>
      <c r="T538" s="39">
        <f ca="1">Table19[[#This Row],[Combined Exposure]]/$C$8</f>
        <v>0</v>
      </c>
    </row>
    <row r="539" spans="1:20">
      <c r="A539" t="e" vm="531">
        <v>#VALUE!</v>
      </c>
      <c r="B539" s="13" t="str" cm="1">
        <f t="array" aca="1" ref="B539" ca="1">_FV(A539,"Ticker symbol",TRUE)</f>
        <v>AROC</v>
      </c>
      <c r="C539" s="13" t="s">
        <v>31</v>
      </c>
      <c r="D539" s="13" t="s">
        <v>119</v>
      </c>
      <c r="E539" s="19" cm="1">
        <f t="array" aca="1" ref="E539" ca="1">IFERROR(_FV(A539,"Beta"),2)</f>
        <v>0.87580000000000002</v>
      </c>
      <c r="F539" s="13" t="str" cm="1">
        <f t="array" aca="1" ref="F539" ca="1">_FV(A539,"Instrument type",TRUE)</f>
        <v>Stock</v>
      </c>
      <c r="G539" s="18" cm="1">
        <f t="array" aca="1" ref="G539" ca="1">_FV(Table19[[#This Row],[Assets]],"Price")</f>
        <v>36.86</v>
      </c>
      <c r="H539" s="36" t="str">
        <f>IFERROR(VLOOKUP(Table19[[#This Row],[Assets]],Table25[#All],15,FALSE),"")</f>
        <v/>
      </c>
      <c r="I539" s="36">
        <f>IFERROR(VLOOKUP(Table19[[#This Row],[Assets]],Table25[#All],16,FALSE),0)</f>
        <v>0</v>
      </c>
      <c r="J539" s="84" t="str">
        <f ca="1">IFERROR((Table19[[#This Row],[Price]]-Table19[[#This Row],[Ave Entry]])/Table19[[#This Row],[Ave Entry]],"")</f>
        <v/>
      </c>
      <c r="K539" s="92">
        <f ca="1">IFERROR((Table19[[#This Row],[Price]]-Table19[[#This Row],[Ave Entry]])*Table19[[#This Row],[Num of Stocks]],0)</f>
        <v>0</v>
      </c>
      <c r="L539" s="38" cm="1">
        <f t="array" aca="1" ref="L539" ca="1">_FV(Table19[[#This Row],[Assets]],"Change (%)",TRUE)</f>
        <v>-4.3219999999999995E-3</v>
      </c>
      <c r="M539" s="36">
        <f>SUMIF(Table20[Asset],Table19[[#This Row],[Assets]],Table20[realized_profit])</f>
        <v>0</v>
      </c>
      <c r="N539" s="36">
        <f>SUMIF(Table20[[#All],[Asset]],Table19[[#This Row],[Assets]],Table20[[#All],[delta_exposure]])</f>
        <v>0</v>
      </c>
      <c r="O539" s="38">
        <f ca="1">Table19[[#This Row],[Option Exposure]]/$B$6</f>
        <v>0</v>
      </c>
      <c r="P539" s="51">
        <f>SUMIF(Table25[[#All],[Assets]],Table19[[#This Row],[Assets]],Table25[[#All],[Number of stocks]])</f>
        <v>0</v>
      </c>
      <c r="Q539" s="36">
        <f ca="1">Table19[[#This Row],[Num of Stocks]]*Table19[[#This Row],[Price]]</f>
        <v>0</v>
      </c>
      <c r="R539" s="36">
        <f ca="1">Table19[[#This Row],[Stock Exposure]]+Table19[[#This Row],[Option Exposure]]</f>
        <v>0</v>
      </c>
      <c r="S539" s="108" t="str">
        <f>IFERROR(Table19[[#This Row],[Num of Stocks]]*Table19[[#This Row],[Ave Entry]],"")</f>
        <v/>
      </c>
      <c r="T539" s="39">
        <f ca="1">Table19[[#This Row],[Combined Exposure]]/$C$8</f>
        <v>0</v>
      </c>
    </row>
    <row r="540" spans="1:20">
      <c r="A540" t="e" vm="532">
        <v>#VALUE!</v>
      </c>
      <c r="B540" s="13" t="str" cm="1">
        <f t="array" aca="1" ref="B540" ca="1">_FV(A540,"Ticker symbol",TRUE)</f>
        <v>KGS</v>
      </c>
      <c r="C540" s="13" t="s">
        <v>31</v>
      </c>
      <c r="D540" s="13" t="s">
        <v>119</v>
      </c>
      <c r="E540" s="19" cm="1">
        <f t="array" aca="1" ref="E540" ca="1">IFERROR(_FV(A540,"Beta"),2)</f>
        <v>0.80900000000000005</v>
      </c>
      <c r="F540" s="13" t="str" cm="1">
        <f t="array" aca="1" ref="F540" ca="1">_FV(A540,"Instrument type",TRUE)</f>
        <v>Stock</v>
      </c>
      <c r="G540" s="18" cm="1">
        <f t="array" aca="1" ref="G540" ca="1">_FV(Table19[[#This Row],[Assets]],"Price")</f>
        <v>59.34</v>
      </c>
      <c r="H540" s="36" t="str">
        <f>IFERROR(VLOOKUP(Table19[[#This Row],[Assets]],Table25[#All],15,FALSE),"")</f>
        <v/>
      </c>
      <c r="I540" s="36">
        <f>IFERROR(VLOOKUP(Table19[[#This Row],[Assets]],Table25[#All],16,FALSE),0)</f>
        <v>0</v>
      </c>
      <c r="J540" s="84" t="str">
        <f ca="1">IFERROR((Table19[[#This Row],[Price]]-Table19[[#This Row],[Ave Entry]])/Table19[[#This Row],[Ave Entry]],"")</f>
        <v/>
      </c>
      <c r="K540" s="92">
        <f ca="1">IFERROR((Table19[[#This Row],[Price]]-Table19[[#This Row],[Ave Entry]])*Table19[[#This Row],[Num of Stocks]],0)</f>
        <v>0</v>
      </c>
      <c r="L540" s="38" cm="1">
        <f t="array" aca="1" ref="L540" ca="1">_FV(Table19[[#This Row],[Assets]],"Change (%)",TRUE)</f>
        <v>3.7209999999999999E-3</v>
      </c>
      <c r="M540" s="36">
        <f>SUMIF(Table20[Asset],Table19[[#This Row],[Assets]],Table20[realized_profit])</f>
        <v>0</v>
      </c>
      <c r="N540" s="36">
        <f>SUMIF(Table20[[#All],[Asset]],Table19[[#This Row],[Assets]],Table20[[#All],[delta_exposure]])</f>
        <v>0</v>
      </c>
      <c r="O540" s="38">
        <f ca="1">Table19[[#This Row],[Option Exposure]]/$B$6</f>
        <v>0</v>
      </c>
      <c r="P540" s="51">
        <f>SUMIF(Table25[[#All],[Assets]],Table19[[#This Row],[Assets]],Table25[[#All],[Number of stocks]])</f>
        <v>0</v>
      </c>
      <c r="Q540" s="36">
        <f ca="1">Table19[[#This Row],[Num of Stocks]]*Table19[[#This Row],[Price]]</f>
        <v>0</v>
      </c>
      <c r="R540" s="36">
        <f ca="1">Table19[[#This Row],[Stock Exposure]]+Table19[[#This Row],[Option Exposure]]</f>
        <v>0</v>
      </c>
      <c r="S540" s="108" t="str">
        <f>IFERROR(Table19[[#This Row],[Num of Stocks]]*Table19[[#This Row],[Ave Entry]],"")</f>
        <v/>
      </c>
      <c r="T540" s="39">
        <f ca="1">Table19[[#This Row],[Combined Exposure]]/$C$8</f>
        <v>0</v>
      </c>
    </row>
    <row r="541" spans="1:20">
      <c r="A541" t="e" vm="533">
        <v>#VALUE!</v>
      </c>
      <c r="B541" s="13" t="str" cm="1">
        <f t="array" aca="1" ref="B541" ca="1">_FV(A541,"Ticker symbol",TRUE)</f>
        <v>MPLX</v>
      </c>
      <c r="C541" s="13" t="s">
        <v>31</v>
      </c>
      <c r="D541" s="13" t="s">
        <v>31</v>
      </c>
      <c r="E541" s="19" cm="1">
        <f t="array" ref="E541">IFERROR(_FV(A541,"Beta"),2)</f>
        <v>2</v>
      </c>
      <c r="F541" s="13" t="str" cm="1">
        <f t="array" aca="1" ref="F541" ca="1">_FV(A541,"Instrument type",TRUE)</f>
        <v>ETF</v>
      </c>
      <c r="G541" s="18" cm="1">
        <f t="array" aca="1" ref="G541" ca="1">_FV(Table19[[#This Row],[Assets]],"Price")</f>
        <v>59.11</v>
      </c>
      <c r="H541" s="36">
        <f>IFERROR(VLOOKUP(Table19[[#This Row],[Assets]],Table25[#All],15,FALSE),"")</f>
        <v>52</v>
      </c>
      <c r="I541" s="36">
        <f>IFERROR(VLOOKUP(Table19[[#This Row],[Assets]],Table25[#All],16,FALSE),0)</f>
        <v>-3.0000000000001137E-2</v>
      </c>
      <c r="J541" s="84">
        <f ca="1">IFERROR((Table19[[#This Row],[Price]]-Table19[[#This Row],[Ave Entry]])/Table19[[#This Row],[Ave Entry]],"")</f>
        <v>0.13673076923076921</v>
      </c>
      <c r="K541" s="92">
        <f ca="1">IFERROR((Table19[[#This Row],[Price]]-Table19[[#This Row],[Ave Entry]])*Table19[[#This Row],[Num of Stocks]],0)</f>
        <v>0</v>
      </c>
      <c r="L541" s="38" cm="1">
        <f t="array" aca="1" ref="L541" ca="1">_FV(Table19[[#This Row],[Assets]],"Change (%)",TRUE)</f>
        <v>-1.0140000000000001E-3</v>
      </c>
      <c r="M541" s="36">
        <f>SUMIF(Table20[Asset],Table19[[#This Row],[Assets]],Table20[realized_profit])</f>
        <v>0</v>
      </c>
      <c r="N541" s="36">
        <f>SUMIF(Table20[[#All],[Asset]],Table19[[#This Row],[Assets]],Table20[[#All],[delta_exposure]])</f>
        <v>0</v>
      </c>
      <c r="O541" s="38">
        <f ca="1">Table19[[#This Row],[Option Exposure]]/$B$6</f>
        <v>0</v>
      </c>
      <c r="P541" s="51">
        <f>SUMIF(Table25[[#All],[Assets]],Table19[[#This Row],[Assets]],Table25[[#All],[Number of stocks]])</f>
        <v>0</v>
      </c>
      <c r="Q541" s="36">
        <f ca="1">Table19[[#This Row],[Num of Stocks]]*Table19[[#This Row],[Price]]</f>
        <v>0</v>
      </c>
      <c r="R541" s="36">
        <f ca="1">Table19[[#This Row],[Stock Exposure]]+Table19[[#This Row],[Option Exposure]]</f>
        <v>0</v>
      </c>
      <c r="S541" s="108">
        <f>IFERROR(Table19[[#This Row],[Num of Stocks]]*Table19[[#This Row],[Ave Entry]],"")</f>
        <v>0</v>
      </c>
      <c r="T541" s="39">
        <f ca="1">Table19[[#This Row],[Combined Exposure]]/$C$8</f>
        <v>0</v>
      </c>
    </row>
    <row r="542" spans="1:20">
      <c r="A542" t="e" vm="534">
        <v>#VALUE!</v>
      </c>
      <c r="B542" s="13" t="str" cm="1">
        <f t="array" aca="1" ref="B542" ca="1">_FV(A542,"Ticker symbol",TRUE)</f>
        <v>VSAT</v>
      </c>
      <c r="C542" s="13" t="s">
        <v>56</v>
      </c>
      <c r="D542" s="13" t="s">
        <v>495</v>
      </c>
      <c r="E542" s="19" cm="1">
        <f t="array" aca="1" ref="E542" ca="1">IFERROR(_FV(A542,"Beta"),2)</f>
        <v>1.4315</v>
      </c>
      <c r="F542" s="13" t="str" cm="1">
        <f t="array" aca="1" ref="F542" ca="1">_FV(A542,"Instrument type",TRUE)</f>
        <v>Stock</v>
      </c>
      <c r="G542" s="18" cm="1">
        <f t="array" aca="1" ref="G542" ca="1">_FV(Table19[[#This Row],[Assets]],"Price")</f>
        <v>50.465000000000003</v>
      </c>
      <c r="H542" s="36">
        <f>IFERROR(VLOOKUP(Table19[[#This Row],[Assets]],Table25[#All],15,FALSE),"")</f>
        <v>11.98</v>
      </c>
      <c r="I542" s="36">
        <f>IFERROR(VLOOKUP(Table19[[#This Row],[Assets]],Table25[#All],16,FALSE),0)</f>
        <v>-139.20000000000002</v>
      </c>
      <c r="J542" s="84">
        <f ca="1">IFERROR((Table19[[#This Row],[Price]]-Table19[[#This Row],[Ave Entry]])/Table19[[#This Row],[Ave Entry]],"")</f>
        <v>3.2124373956594323</v>
      </c>
      <c r="K542" s="92">
        <f ca="1">IFERROR((Table19[[#This Row],[Price]]-Table19[[#This Row],[Ave Entry]])*Table19[[#This Row],[Num of Stocks]],0)</f>
        <v>0</v>
      </c>
      <c r="L542" s="38" cm="1">
        <f t="array" aca="1" ref="L542" ca="1">_FV(Table19[[#This Row],[Assets]],"Change (%)",TRUE)</f>
        <v>4.9168000000000003E-2</v>
      </c>
      <c r="M542" s="36">
        <f>SUMIF(Table20[Asset],Table19[[#This Row],[Assets]],Table20[realized_profit])</f>
        <v>0</v>
      </c>
      <c r="N542" s="36">
        <f>SUMIF(Table20[[#All],[Asset]],Table19[[#This Row],[Assets]],Table20[[#All],[delta_exposure]])</f>
        <v>0</v>
      </c>
      <c r="O542" s="38">
        <f ca="1">Table19[[#This Row],[Option Exposure]]/$B$6</f>
        <v>0</v>
      </c>
      <c r="P542" s="51">
        <f>SUMIF(Table25[[#All],[Assets]],Table19[[#This Row],[Assets]],Table25[[#All],[Number of stocks]])</f>
        <v>0</v>
      </c>
      <c r="Q542" s="36">
        <f ca="1">Table19[[#This Row],[Num of Stocks]]*Table19[[#This Row],[Price]]</f>
        <v>0</v>
      </c>
      <c r="R542" s="36">
        <f ca="1">Table19[[#This Row],[Stock Exposure]]+Table19[[#This Row],[Option Exposure]]</f>
        <v>0</v>
      </c>
      <c r="S542" s="108">
        <f>IFERROR(Table19[[#This Row],[Num of Stocks]]*Table19[[#This Row],[Ave Entry]],"")</f>
        <v>0</v>
      </c>
      <c r="T542" s="39">
        <f ca="1">Table19[[#This Row],[Combined Exposure]]/$C$8</f>
        <v>0</v>
      </c>
    </row>
    <row r="543" spans="1:20">
      <c r="A543" t="e" vm="535">
        <v>#VALUE!</v>
      </c>
      <c r="B543" s="13" t="str" cm="1">
        <f t="array" aca="1" ref="B543" ca="1">_FV(A543,"Ticker symbol",TRUE)</f>
        <v>ONTO</v>
      </c>
      <c r="C543" s="13" t="s">
        <v>84</v>
      </c>
      <c r="D543" s="13" t="s">
        <v>84</v>
      </c>
      <c r="E543" s="19" cm="1">
        <f t="array" aca="1" ref="E543" ca="1">IFERROR(_FV(A543,"Beta"),2)</f>
        <v>1.4392</v>
      </c>
      <c r="F543" s="13" t="str" cm="1">
        <f t="array" aca="1" ref="F543" ca="1">_FV(A543,"Instrument type",TRUE)</f>
        <v>Stock</v>
      </c>
      <c r="G543" s="18" cm="1">
        <f t="array" aca="1" ref="G543" ca="1">_FV(Table19[[#This Row],[Assets]],"Price")</f>
        <v>219.63</v>
      </c>
      <c r="H543" s="36">
        <f>IFERROR(VLOOKUP(Table19[[#This Row],[Assets]],Table25[#All],15,FALSE),"")</f>
        <v>184.33</v>
      </c>
      <c r="I543" s="36">
        <f>IFERROR(VLOOKUP(Table19[[#This Row],[Assets]],Table25[#All],16,FALSE),0)</f>
        <v>-172.17000000000013</v>
      </c>
      <c r="J543" s="84">
        <f ca="1">IFERROR((Table19[[#This Row],[Price]]-Table19[[#This Row],[Ave Entry]])/Table19[[#This Row],[Ave Entry]],"")</f>
        <v>0.19150436716757979</v>
      </c>
      <c r="K543" s="92">
        <f ca="1">IFERROR((Table19[[#This Row],[Price]]-Table19[[#This Row],[Ave Entry]])*Table19[[#This Row],[Num of Stocks]],0)</f>
        <v>0</v>
      </c>
      <c r="L543" s="38" cm="1">
        <f t="array" aca="1" ref="L543" ca="1">_FV(Table19[[#This Row],[Assets]],"Change (%)",TRUE)</f>
        <v>7.7459999999999996E-4</v>
      </c>
      <c r="M543" s="36">
        <f>SUMIF(Table20[Asset],Table19[[#This Row],[Assets]],Table20[realized_profit])</f>
        <v>0</v>
      </c>
      <c r="N543" s="36">
        <f>SUMIF(Table20[[#All],[Asset]],Table19[[#This Row],[Assets]],Table20[[#All],[delta_exposure]])</f>
        <v>0</v>
      </c>
      <c r="O543" s="38">
        <f ca="1">Table19[[#This Row],[Option Exposure]]/$B$6</f>
        <v>0</v>
      </c>
      <c r="P543" s="51">
        <f>SUMIF(Table25[[#All],[Assets]],Table19[[#This Row],[Assets]],Table25[[#All],[Number of stocks]])</f>
        <v>0</v>
      </c>
      <c r="Q543" s="36">
        <f ca="1">Table19[[#This Row],[Num of Stocks]]*Table19[[#This Row],[Price]]</f>
        <v>0</v>
      </c>
      <c r="R543" s="36">
        <f ca="1">Table19[[#This Row],[Stock Exposure]]+Table19[[#This Row],[Option Exposure]]</f>
        <v>0</v>
      </c>
      <c r="S543" s="108">
        <f>IFERROR(Table19[[#This Row],[Num of Stocks]]*Table19[[#This Row],[Ave Entry]],"")</f>
        <v>0</v>
      </c>
      <c r="T543" s="39">
        <f ca="1">Table19[[#This Row],[Combined Exposure]]/$C$8</f>
        <v>0</v>
      </c>
    </row>
    <row r="544" spans="1:20">
      <c r="A544" t="e" vm="536">
        <v>#VALUE!</v>
      </c>
      <c r="B544" s="13" t="str" cm="1">
        <f t="array" aca="1" ref="B544" ca="1">_FV(A544,"Ticker symbol",TRUE)</f>
        <v>PATH</v>
      </c>
      <c r="C544" s="13" t="s">
        <v>83</v>
      </c>
      <c r="D544" s="13" t="s">
        <v>512</v>
      </c>
      <c r="E544" s="19" cm="1">
        <f t="array" aca="1" ref="E544" ca="1">IFERROR(_FV(A544,"Beta"),2)</f>
        <v>1.0331999999999999</v>
      </c>
      <c r="F544" s="13" t="str" cm="1">
        <f t="array" aca="1" ref="F544" ca="1">_FV(A544,"Instrument type",TRUE)</f>
        <v>Stock</v>
      </c>
      <c r="G544" s="18" cm="1">
        <f t="array" aca="1" ref="G544" ca="1">_FV(Table19[[#This Row],[Assets]],"Price")</f>
        <v>11.08</v>
      </c>
      <c r="H544" s="36">
        <f>IFERROR(VLOOKUP(Table19[[#This Row],[Assets]],Table25[#All],15,FALSE),"")</f>
        <v>13.660955414012738</v>
      </c>
      <c r="I544" s="36">
        <f>IFERROR(VLOOKUP(Table19[[#This Row],[Assets]],Table25[#All],16,FALSE),0)</f>
        <v>-154.85999999999996</v>
      </c>
      <c r="J544" s="84">
        <f ca="1">IFERROR((Table19[[#This Row],[Price]]-Table19[[#This Row],[Ave Entry]])/Table19[[#This Row],[Ave Entry]],"")</f>
        <v>-0.18892934906773218</v>
      </c>
      <c r="K544" s="92">
        <f ca="1">IFERROR((Table19[[#This Row],[Price]]-Table19[[#This Row],[Ave Entry]])*Table19[[#This Row],[Num of Stocks]],0)</f>
        <v>0</v>
      </c>
      <c r="L544" s="38" cm="1">
        <f t="array" aca="1" ref="L544" ca="1">_FV(Table19[[#This Row],[Assets]],"Change (%)",TRUE)</f>
        <v>9.0329999999999989E-4</v>
      </c>
      <c r="M544" s="36">
        <f>SUMIF(Table20[Asset],Table19[[#This Row],[Assets]],Table20[realized_profit])</f>
        <v>0</v>
      </c>
      <c r="N544" s="36">
        <f>SUMIF(Table20[[#All],[Asset]],Table19[[#This Row],[Assets]],Table20[[#All],[delta_exposure]])</f>
        <v>0</v>
      </c>
      <c r="O544" s="38">
        <f ca="1">Table19[[#This Row],[Option Exposure]]/$B$6</f>
        <v>0</v>
      </c>
      <c r="P544" s="51">
        <f>SUMIF(Table25[[#All],[Assets]],Table19[[#This Row],[Assets]],Table25[[#All],[Number of stocks]])</f>
        <v>0</v>
      </c>
      <c r="Q544" s="36">
        <f ca="1">Table19[[#This Row],[Num of Stocks]]*Table19[[#This Row],[Price]]</f>
        <v>0</v>
      </c>
      <c r="R544" s="36">
        <f ca="1">Table19[[#This Row],[Stock Exposure]]+Table19[[#This Row],[Option Exposure]]</f>
        <v>0</v>
      </c>
      <c r="S544" s="108">
        <f>IFERROR(Table19[[#This Row],[Num of Stocks]]*Table19[[#This Row],[Ave Entry]],"")</f>
        <v>0</v>
      </c>
      <c r="T544" s="39">
        <f ca="1">Table19[[#This Row],[Combined Exposure]]/$C$8</f>
        <v>0</v>
      </c>
    </row>
    <row r="545" spans="1:20">
      <c r="A545" t="e" vm="537">
        <v>#VALUE!</v>
      </c>
      <c r="B545" s="13" t="str" cm="1">
        <f t="array" aca="1" ref="B545" ca="1">_FV(A545,"Ticker symbol",TRUE)</f>
        <v>ADSK</v>
      </c>
      <c r="C545" s="13" t="s">
        <v>29</v>
      </c>
      <c r="D545" s="13" t="s">
        <v>512</v>
      </c>
      <c r="E545" s="19" cm="1">
        <f t="array" aca="1" ref="E545" ca="1">IFERROR(_FV(A545,"Beta"),2)</f>
        <v>1.4386000000000001</v>
      </c>
      <c r="F545" s="13" t="str" cm="1">
        <f t="array" aca="1" ref="F545" ca="1">_FV(A545,"Instrument type",TRUE)</f>
        <v>Stock</v>
      </c>
      <c r="G545" s="18" cm="1">
        <f t="array" aca="1" ref="G545" ca="1">_FV(Table19[[#This Row],[Assets]],"Price")</f>
        <v>238.35499999999999</v>
      </c>
      <c r="H545" s="36">
        <f>IFERROR(VLOOKUP(Table19[[#This Row],[Assets]],Table25[#All],15,FALSE),"")</f>
        <v>327.81</v>
      </c>
      <c r="I545" s="36">
        <f>IFERROR(VLOOKUP(Table19[[#This Row],[Assets]],Table25[#All],16,FALSE),0)</f>
        <v>-73.789999999999992</v>
      </c>
      <c r="J545" s="84">
        <f ca="1">IFERROR((Table19[[#This Row],[Price]]-Table19[[#This Row],[Ave Entry]])/Table19[[#This Row],[Ave Entry]],"")</f>
        <v>-0.27288673316860379</v>
      </c>
      <c r="K545" s="92">
        <f ca="1">IFERROR((Table19[[#This Row],[Price]]-Table19[[#This Row],[Ave Entry]])*Table19[[#This Row],[Num of Stocks]],0)</f>
        <v>0</v>
      </c>
      <c r="L545" s="38" cm="1">
        <f t="array" aca="1" ref="L545" ca="1">_FV(Table19[[#This Row],[Assets]],"Change (%)",TRUE)</f>
        <v>-4.3230000000000005E-3</v>
      </c>
      <c r="M545" s="36">
        <f>SUMIF(Table20[Asset],Table19[[#This Row],[Assets]],Table20[realized_profit])</f>
        <v>0</v>
      </c>
      <c r="N545" s="36">
        <f>SUMIF(Table20[[#All],[Asset]],Table19[[#This Row],[Assets]],Table20[[#All],[delta_exposure]])</f>
        <v>0</v>
      </c>
      <c r="O545" s="38">
        <f ca="1">Table19[[#This Row],[Option Exposure]]/$B$6</f>
        <v>0</v>
      </c>
      <c r="P545" s="51">
        <f>SUMIF(Table25[[#All],[Assets]],Table19[[#This Row],[Assets]],Table25[[#All],[Number of stocks]])</f>
        <v>0</v>
      </c>
      <c r="Q545" s="36">
        <f ca="1">Table19[[#This Row],[Num of Stocks]]*Table19[[#This Row],[Price]]</f>
        <v>0</v>
      </c>
      <c r="R545" s="36">
        <f ca="1">Table19[[#This Row],[Stock Exposure]]+Table19[[#This Row],[Option Exposure]]</f>
        <v>0</v>
      </c>
      <c r="S545" s="108">
        <f>IFERROR(Table19[[#This Row],[Num of Stocks]]*Table19[[#This Row],[Ave Entry]],"")</f>
        <v>0</v>
      </c>
      <c r="T545" s="39">
        <f ca="1">Table19[[#This Row],[Combined Exposure]]/$C$8</f>
        <v>0</v>
      </c>
    </row>
    <row r="546" spans="1:20">
      <c r="A546" t="e" vm="538">
        <v>#VALUE!</v>
      </c>
      <c r="B546" s="13" t="str" cm="1">
        <f t="array" aca="1" ref="B546" ca="1">_FV(A546,"Ticker symbol",TRUE)</f>
        <v>PHR</v>
      </c>
      <c r="C546" s="13" t="s">
        <v>53</v>
      </c>
      <c r="D546" s="13" t="s">
        <v>512</v>
      </c>
      <c r="E546" s="19" cm="1">
        <f t="array" aca="1" ref="E546" ca="1">IFERROR(_FV(A546,"Beta"),2)</f>
        <v>0.48089999999999999</v>
      </c>
      <c r="F546" s="13" t="str" cm="1">
        <f t="array" aca="1" ref="F546" ca="1">_FV(A546,"Instrument type",TRUE)</f>
        <v>Stock</v>
      </c>
      <c r="G546" s="18" cm="1">
        <f t="array" aca="1" ref="G546" ca="1">_FV(Table19[[#This Row],[Assets]],"Price")</f>
        <v>0.13400000000000001</v>
      </c>
      <c r="H546" s="36">
        <f>IFERROR(VLOOKUP(Table19[[#This Row],[Assets]],Table25[#All],15,FALSE),"")</f>
        <v>28.28</v>
      </c>
      <c r="I546" s="36">
        <f>IFERROR(VLOOKUP(Table19[[#This Row],[Assets]],Table25[#All],16,FALSE),0)</f>
        <v>-43.599999999999994</v>
      </c>
      <c r="J546" s="84">
        <f ca="1">IFERROR((Table19[[#This Row],[Price]]-Table19[[#This Row],[Ave Entry]])/Table19[[#This Row],[Ave Entry]],"")</f>
        <v>-0.99526166902404523</v>
      </c>
      <c r="K546" s="92">
        <f ca="1">IFERROR((Table19[[#This Row],[Price]]-Table19[[#This Row],[Ave Entry]])*Table19[[#This Row],[Num of Stocks]],0)</f>
        <v>0</v>
      </c>
      <c r="L546" s="38" cm="1">
        <f t="array" aca="1" ref="L546" ca="1">_FV(Table19[[#This Row],[Assets]],"Change (%)",TRUE)</f>
        <v>-3.5971000000000003E-2</v>
      </c>
      <c r="M546" s="36">
        <f>SUMIF(Table20[Asset],Table19[[#This Row],[Assets]],Table20[realized_profit])</f>
        <v>0</v>
      </c>
      <c r="N546" s="36">
        <f>SUMIF(Table20[[#All],[Asset]],Table19[[#This Row],[Assets]],Table20[[#All],[delta_exposure]])</f>
        <v>0</v>
      </c>
      <c r="O546" s="38">
        <f ca="1">Table19[[#This Row],[Option Exposure]]/$B$6</f>
        <v>0</v>
      </c>
      <c r="P546" s="51">
        <f>SUMIF(Table25[[#All],[Assets]],Table19[[#This Row],[Assets]],Table25[[#All],[Number of stocks]])</f>
        <v>0</v>
      </c>
      <c r="Q546" s="36">
        <f ca="1">Table19[[#This Row],[Num of Stocks]]*Table19[[#This Row],[Price]]</f>
        <v>0</v>
      </c>
      <c r="R546" s="36">
        <f ca="1">Table19[[#This Row],[Stock Exposure]]+Table19[[#This Row],[Option Exposure]]</f>
        <v>0</v>
      </c>
      <c r="S546" s="108">
        <f>IFERROR(Table19[[#This Row],[Num of Stocks]]*Table19[[#This Row],[Ave Entry]],"")</f>
        <v>0</v>
      </c>
      <c r="T546" s="39">
        <f ca="1">Table19[[#This Row],[Combined Exposure]]/$C$8</f>
        <v>0</v>
      </c>
    </row>
    <row r="547" spans="1:20">
      <c r="A547" t="e" vm="539">
        <v>#VALUE!</v>
      </c>
      <c r="B547" s="13" t="str" cm="1">
        <f t="array" aca="1" ref="B547" ca="1">_FV(A547,"Ticker symbol",TRUE)</f>
        <v>VEEV</v>
      </c>
      <c r="C547" s="13" t="s">
        <v>53</v>
      </c>
      <c r="D547" s="13" t="s">
        <v>512</v>
      </c>
      <c r="E547" s="19" cm="1">
        <f t="array" aca="1" ref="E547" ca="1">IFERROR(_FV(A547,"Beta"),2)</f>
        <v>1.097</v>
      </c>
      <c r="F547" s="13" t="str" cm="1">
        <f t="array" aca="1" ref="F547" ca="1">_FV(A547,"Instrument type",TRUE)</f>
        <v>Stock</v>
      </c>
      <c r="G547" s="18" cm="1">
        <f t="array" aca="1" ref="G547" ca="1">_FV(Table19[[#This Row],[Assets]],"Price")</f>
        <v>179.97499999999999</v>
      </c>
      <c r="H547" s="36">
        <f>IFERROR(VLOOKUP(Table19[[#This Row],[Assets]],Table25[#All],15,FALSE),"")</f>
        <v>232.58</v>
      </c>
      <c r="I547" s="36">
        <f>IFERROR(VLOOKUP(Table19[[#This Row],[Assets]],Table25[#All],16,FALSE),0)</f>
        <v>-7.2400000000000091</v>
      </c>
      <c r="J547" s="84">
        <f ca="1">IFERROR((Table19[[#This Row],[Price]]-Table19[[#This Row],[Ave Entry]])/Table19[[#This Row],[Ave Entry]],"")</f>
        <v>-0.22618023905752865</v>
      </c>
      <c r="K547" s="92">
        <f ca="1">IFERROR((Table19[[#This Row],[Price]]-Table19[[#This Row],[Ave Entry]])*Table19[[#This Row],[Num of Stocks]],0)</f>
        <v>0</v>
      </c>
      <c r="L547" s="38" cm="1">
        <f t="array" aca="1" ref="L547" ca="1">_FV(Table19[[#This Row],[Assets]],"Change (%)",TRUE)</f>
        <v>4.829E-3</v>
      </c>
      <c r="M547" s="36">
        <f>SUMIF(Table20[Asset],Table19[[#This Row],[Assets]],Table20[realized_profit])</f>
        <v>0</v>
      </c>
      <c r="N547" s="36">
        <f>SUMIF(Table20[[#All],[Asset]],Table19[[#This Row],[Assets]],Table20[[#All],[delta_exposure]])</f>
        <v>0</v>
      </c>
      <c r="O547" s="38">
        <f ca="1">Table19[[#This Row],[Option Exposure]]/$B$6</f>
        <v>0</v>
      </c>
      <c r="P547" s="51">
        <f>SUMIF(Table25[[#All],[Assets]],Table19[[#This Row],[Assets]],Table25[[#All],[Number of stocks]])</f>
        <v>0</v>
      </c>
      <c r="Q547" s="36">
        <f ca="1">Table19[[#This Row],[Num of Stocks]]*Table19[[#This Row],[Price]]</f>
        <v>0</v>
      </c>
      <c r="R547" s="36">
        <f ca="1">Table19[[#This Row],[Stock Exposure]]+Table19[[#This Row],[Option Exposure]]</f>
        <v>0</v>
      </c>
      <c r="S547" s="108">
        <f>IFERROR(Table19[[#This Row],[Num of Stocks]]*Table19[[#This Row],[Ave Entry]],"")</f>
        <v>0</v>
      </c>
      <c r="T547" s="39">
        <f ca="1">Table19[[#This Row],[Combined Exposure]]/$C$8</f>
        <v>0</v>
      </c>
    </row>
    <row r="548" spans="1:20">
      <c r="A548" t="e" vm="540">
        <v>#VALUE!</v>
      </c>
      <c r="B548" s="13" t="str" cm="1">
        <f t="array" aca="1" ref="B548" ca="1">_FV(A548,"Ticker symbol",TRUE)</f>
        <v>TRMB</v>
      </c>
      <c r="C548" s="13" t="s">
        <v>83</v>
      </c>
      <c r="D548" s="13" t="s">
        <v>512</v>
      </c>
      <c r="E548" s="19" cm="1">
        <f t="array" aca="1" ref="E548" ca="1">IFERROR(_FV(A548,"Beta"),2)</f>
        <v>1.5407999999999999</v>
      </c>
      <c r="F548" s="13" t="str" cm="1">
        <f t="array" aca="1" ref="F548" ca="1">_FV(A548,"Instrument type",TRUE)</f>
        <v>Stock</v>
      </c>
      <c r="G548" s="18" cm="1">
        <f t="array" aca="1" ref="G548" ca="1">_FV(Table19[[#This Row],[Assets]],"Price")</f>
        <v>66.02</v>
      </c>
      <c r="H548" s="36">
        <f>IFERROR(VLOOKUP(Table19[[#This Row],[Assets]],Table25[#All],15,FALSE),"")</f>
        <v>74.81</v>
      </c>
      <c r="I548" s="36">
        <f>IFERROR(VLOOKUP(Table19[[#This Row],[Assets]],Table25[#All],16,FALSE),0)</f>
        <v>-20.159999999999997</v>
      </c>
      <c r="J548" s="84">
        <f ca="1">IFERROR((Table19[[#This Row],[Price]]-Table19[[#This Row],[Ave Entry]])/Table19[[#This Row],[Ave Entry]],"")</f>
        <v>-0.11749766074054278</v>
      </c>
      <c r="K548" s="92">
        <f ca="1">IFERROR((Table19[[#This Row],[Price]]-Table19[[#This Row],[Ave Entry]])*Table19[[#This Row],[Num of Stocks]],0)</f>
        <v>0</v>
      </c>
      <c r="L548" s="38" cm="1">
        <f t="array" aca="1" ref="L548" ca="1">_FV(Table19[[#This Row],[Assets]],"Change (%)",TRUE)</f>
        <v>9.7889999999999991E-3</v>
      </c>
      <c r="M548" s="36">
        <f>SUMIF(Table20[Asset],Table19[[#This Row],[Assets]],Table20[realized_profit])</f>
        <v>0</v>
      </c>
      <c r="N548" s="36">
        <f>SUMIF(Table20[[#All],[Asset]],Table19[[#This Row],[Assets]],Table20[[#All],[delta_exposure]])</f>
        <v>0</v>
      </c>
      <c r="O548" s="38">
        <f ca="1">Table19[[#This Row],[Option Exposure]]/$B$6</f>
        <v>0</v>
      </c>
      <c r="P548" s="51">
        <f>SUMIF(Table25[[#All],[Assets]],Table19[[#This Row],[Assets]],Table25[[#All],[Number of stocks]])</f>
        <v>0</v>
      </c>
      <c r="Q548" s="36">
        <f ca="1">Table19[[#This Row],[Num of Stocks]]*Table19[[#This Row],[Price]]</f>
        <v>0</v>
      </c>
      <c r="R548" s="36">
        <f ca="1">Table19[[#This Row],[Stock Exposure]]+Table19[[#This Row],[Option Exposure]]</f>
        <v>0</v>
      </c>
      <c r="S548" s="108">
        <f>IFERROR(Table19[[#This Row],[Num of Stocks]]*Table19[[#This Row],[Ave Entry]],"")</f>
        <v>0</v>
      </c>
      <c r="T548" s="39">
        <f ca="1">Table19[[#This Row],[Combined Exposure]]/$C$8</f>
        <v>0</v>
      </c>
    </row>
    <row r="549" spans="1:20">
      <c r="A549" t="e" vm="541">
        <v>#VALUE!</v>
      </c>
      <c r="B549" s="13" t="str" cm="1">
        <f t="array" aca="1" ref="B549" ca="1">_FV(A549,"Ticker symbol",TRUE)</f>
        <v>CFLT</v>
      </c>
      <c r="C549" s="13" t="s">
        <v>83</v>
      </c>
      <c r="D549" s="13" t="s">
        <v>512</v>
      </c>
      <c r="E549" s="19" cm="1">
        <f t="array" aca="1" ref="E549" ca="1">IFERROR(_FV(A549,"Beta"),2)</f>
        <v>0.93779999999999997</v>
      </c>
      <c r="F549" s="13" t="str" cm="1">
        <f t="array" aca="1" ref="F549" ca="1">_FV(A549,"Instrument type",TRUE)</f>
        <v>Stock</v>
      </c>
      <c r="G549" s="18" cm="1">
        <f t="array" aca="1" ref="G549" ca="1">_FV(Table19[[#This Row],[Assets]],"Price")</f>
        <v>30.99</v>
      </c>
      <c r="H549" s="36">
        <f>IFERROR(VLOOKUP(Table19[[#This Row],[Assets]],Table25[#All],15,FALSE),"")</f>
        <v>32.065000000000005</v>
      </c>
      <c r="I549" s="36">
        <f>IFERROR(VLOOKUP(Table19[[#This Row],[Assets]],Table25[#All],16,FALSE),0)</f>
        <v>-158.55000000000001</v>
      </c>
      <c r="J549" s="84">
        <f ca="1">IFERROR((Table19[[#This Row],[Price]]-Table19[[#This Row],[Ave Entry]])/Table19[[#This Row],[Ave Entry]],"")</f>
        <v>-3.3525651021363054E-2</v>
      </c>
      <c r="K549" s="92">
        <f ca="1">IFERROR((Table19[[#This Row],[Price]]-Table19[[#This Row],[Ave Entry]])*Table19[[#This Row],[Num of Stocks]],0)</f>
        <v>0</v>
      </c>
      <c r="L549" s="38" cm="1">
        <f t="array" aca="1" ref="L549" ca="1">_FV(Table19[[#This Row],[Assets]],"Change (%)",TRUE)</f>
        <v>0</v>
      </c>
      <c r="M549" s="36">
        <f>SUMIF(Table20[Asset],Table19[[#This Row],[Assets]],Table20[realized_profit])</f>
        <v>0</v>
      </c>
      <c r="N549" s="36">
        <f>SUMIF(Table20[[#All],[Asset]],Table19[[#This Row],[Assets]],Table20[[#All],[delta_exposure]])</f>
        <v>0</v>
      </c>
      <c r="O549" s="38">
        <f ca="1">Table19[[#This Row],[Option Exposure]]/$B$6</f>
        <v>0</v>
      </c>
      <c r="P549" s="51">
        <f>SUMIF(Table25[[#All],[Assets]],Table19[[#This Row],[Assets]],Table25[[#All],[Number of stocks]])</f>
        <v>0</v>
      </c>
      <c r="Q549" s="36">
        <f ca="1">Table19[[#This Row],[Num of Stocks]]*Table19[[#This Row],[Price]]</f>
        <v>0</v>
      </c>
      <c r="R549" s="36">
        <f ca="1">Table19[[#This Row],[Stock Exposure]]+Table19[[#This Row],[Option Exposure]]</f>
        <v>0</v>
      </c>
      <c r="S549" s="108">
        <f>IFERROR(Table19[[#This Row],[Num of Stocks]]*Table19[[#This Row],[Ave Entry]],"")</f>
        <v>0</v>
      </c>
      <c r="T549" s="39">
        <f ca="1">Table19[[#This Row],[Combined Exposure]]/$C$8</f>
        <v>0</v>
      </c>
    </row>
    <row r="550" spans="1:20">
      <c r="A550" t="e" vm="542">
        <v>#VALUE!</v>
      </c>
      <c r="B550" s="13" t="str" cm="1">
        <f t="array" aca="1" ref="B550" ca="1">_FV(A550,"Ticker symbol",TRUE)</f>
        <v>LPRO</v>
      </c>
      <c r="C550" s="13" t="s">
        <v>54</v>
      </c>
      <c r="D550" s="13" t="s">
        <v>54</v>
      </c>
      <c r="E550" s="19" cm="1">
        <f t="array" aca="1" ref="E550" ca="1">IFERROR(_FV(A550,"Beta"),2)</f>
        <v>2.0287999999999999</v>
      </c>
      <c r="F550" s="13" t="str" cm="1">
        <f t="array" aca="1" ref="F550" ca="1">_FV(A550,"Instrument type",TRUE)</f>
        <v>Stock</v>
      </c>
      <c r="G550" s="18" cm="1">
        <f t="array" aca="1" ref="G550" ca="1">_FV(Table19[[#This Row],[Assets]],"Price")</f>
        <v>1.2250000000000001</v>
      </c>
      <c r="H550" s="36">
        <f>IFERROR(VLOOKUP(Table19[[#This Row],[Assets]],Table25[#All],15,FALSE),"")</f>
        <v>6.53</v>
      </c>
      <c r="I550" s="36">
        <f>IFERROR(VLOOKUP(Table19[[#This Row],[Assets]],Table25[#All],16,FALSE),0)</f>
        <v>-273.00000000000006</v>
      </c>
      <c r="J550" s="84">
        <f ca="1">IFERROR((Table19[[#This Row],[Price]]-Table19[[#This Row],[Ave Entry]])/Table19[[#This Row],[Ave Entry]],"")</f>
        <v>-0.81240428790199071</v>
      </c>
      <c r="K550" s="92">
        <f ca="1">IFERROR((Table19[[#This Row],[Price]]-Table19[[#This Row],[Ave Entry]])*Table19[[#This Row],[Num of Stocks]],0)</f>
        <v>0</v>
      </c>
      <c r="L550" s="38" cm="1">
        <f t="array" aca="1" ref="L550" ca="1">_FV(Table19[[#This Row],[Assets]],"Change (%)",TRUE)</f>
        <v>-2.7778000000000001E-2</v>
      </c>
      <c r="M550" s="36">
        <f>SUMIF(Table20[Asset],Table19[[#This Row],[Assets]],Table20[realized_profit])</f>
        <v>0</v>
      </c>
      <c r="N550" s="36">
        <f>SUMIF(Table20[[#All],[Asset]],Table19[[#This Row],[Assets]],Table20[[#All],[delta_exposure]])</f>
        <v>0</v>
      </c>
      <c r="O550" s="38">
        <f ca="1">Table19[[#This Row],[Option Exposure]]/$B$6</f>
        <v>0</v>
      </c>
      <c r="P550" s="51">
        <f>SUMIF(Table25[[#All],[Assets]],Table19[[#This Row],[Assets]],Table25[[#All],[Number of stocks]])</f>
        <v>0</v>
      </c>
      <c r="Q550" s="36">
        <f ca="1">Table19[[#This Row],[Num of Stocks]]*Table19[[#This Row],[Price]]</f>
        <v>0</v>
      </c>
      <c r="R550" s="36">
        <f ca="1">Table19[[#This Row],[Stock Exposure]]+Table19[[#This Row],[Option Exposure]]</f>
        <v>0</v>
      </c>
      <c r="S550" s="108">
        <f>IFERROR(Table19[[#This Row],[Num of Stocks]]*Table19[[#This Row],[Ave Entry]],"")</f>
        <v>0</v>
      </c>
      <c r="T550" s="39">
        <f ca="1">Table19[[#This Row],[Combined Exposure]]/$C$8</f>
        <v>0</v>
      </c>
    </row>
    <row r="551" spans="1:20">
      <c r="A551" t="e" vm="543">
        <v>#VALUE!</v>
      </c>
      <c r="B551" s="13" t="str" cm="1">
        <f t="array" aca="1" ref="B551" ca="1">_FV(A551,"Ticker symbol",TRUE)</f>
        <v>DKNG</v>
      </c>
      <c r="C551" s="13" t="s">
        <v>55</v>
      </c>
      <c r="D551" s="13" t="s">
        <v>55</v>
      </c>
      <c r="E551" s="19" cm="1">
        <f t="array" aca="1" ref="E551" ca="1">IFERROR(_FV(A551,"Beta"),2)</f>
        <v>1.6432</v>
      </c>
      <c r="F551" s="13" t="str" cm="1">
        <f t="array" aca="1" ref="F551" ca="1">_FV(A551,"Instrument type",TRUE)</f>
        <v>Stock</v>
      </c>
      <c r="G551" s="18" cm="1">
        <f t="array" aca="1" ref="G551" ca="1">_FV(Table19[[#This Row],[Assets]],"Price")</f>
        <v>22.5901</v>
      </c>
      <c r="H551" s="36">
        <f>IFERROR(VLOOKUP(Table19[[#This Row],[Assets]],Table25[#All],15,FALSE),"")</f>
        <v>41.78</v>
      </c>
      <c r="I551" s="36">
        <f>IFERROR(VLOOKUP(Table19[[#This Row],[Assets]],Table25[#All],16,FALSE),0)</f>
        <v>8.8000000000000114</v>
      </c>
      <c r="J551" s="84">
        <f ca="1">IFERROR((Table19[[#This Row],[Price]]-Table19[[#This Row],[Ave Entry]])/Table19[[#This Row],[Ave Entry]],"")</f>
        <v>-0.45930828147438968</v>
      </c>
      <c r="K551" s="92">
        <f ca="1">IFERROR((Table19[[#This Row],[Price]]-Table19[[#This Row],[Ave Entry]])*Table19[[#This Row],[Num of Stocks]],0)</f>
        <v>0</v>
      </c>
      <c r="L551" s="38" cm="1">
        <f t="array" aca="1" ref="L551" ca="1">_FV(Table19[[#This Row],[Assets]],"Change (%)",TRUE)</f>
        <v>-3.0884000000000002E-2</v>
      </c>
      <c r="M551" s="36">
        <f>SUMIF(Table20[Asset],Table19[[#This Row],[Assets]],Table20[realized_profit])</f>
        <v>0</v>
      </c>
      <c r="N551" s="36">
        <f>SUMIF(Table20[[#All],[Asset]],Table19[[#This Row],[Assets]],Table20[[#All],[delta_exposure]])</f>
        <v>0</v>
      </c>
      <c r="O551" s="38">
        <f ca="1">Table19[[#This Row],[Option Exposure]]/$B$6</f>
        <v>0</v>
      </c>
      <c r="P551" s="51">
        <f>SUMIF(Table25[[#All],[Assets]],Table19[[#This Row],[Assets]],Table25[[#All],[Number of stocks]])</f>
        <v>0</v>
      </c>
      <c r="Q551" s="36">
        <f ca="1">Table19[[#This Row],[Num of Stocks]]*Table19[[#This Row],[Price]]</f>
        <v>0</v>
      </c>
      <c r="R551" s="36">
        <f ca="1">Table19[[#This Row],[Stock Exposure]]+Table19[[#This Row],[Option Exposure]]</f>
        <v>0</v>
      </c>
      <c r="S551" s="108">
        <f>IFERROR(Table19[[#This Row],[Num of Stocks]]*Table19[[#This Row],[Ave Entry]],"")</f>
        <v>0</v>
      </c>
      <c r="T551" s="39">
        <f ca="1">Table19[[#This Row],[Combined Exposure]]/$C$8</f>
        <v>0</v>
      </c>
    </row>
    <row r="552" spans="1:20">
      <c r="A552" t="e" vm="544">
        <v>#VALUE!</v>
      </c>
      <c r="B552" s="13" t="str" cm="1">
        <f t="array" aca="1" ref="B552" ca="1">_FV(A552,"Ticker symbol",TRUE)</f>
        <v>CERT</v>
      </c>
      <c r="C552" s="13" t="s">
        <v>53</v>
      </c>
      <c r="D552" s="13" t="s">
        <v>512</v>
      </c>
      <c r="E552" s="19" cm="1">
        <f t="array" aca="1" ref="E552" ca="1">IFERROR(_FV(A552,"Beta"),2)</f>
        <v>1.5857000000000001</v>
      </c>
      <c r="F552" s="13" t="str" cm="1">
        <f t="array" aca="1" ref="F552" ca="1">_FV(A552,"Instrument type",TRUE)</f>
        <v>Stock</v>
      </c>
      <c r="G552" s="18" cm="1">
        <f t="array" aca="1" ref="G552" ca="1">_FV(Table19[[#This Row],[Assets]],"Price")</f>
        <v>6.2649999999999997</v>
      </c>
      <c r="H552" s="36">
        <f>IFERROR(VLOOKUP(Table19[[#This Row],[Assets]],Table25[#All],15,FALSE),"")</f>
        <v>13.852857142857143</v>
      </c>
      <c r="I552" s="36">
        <f>IFERROR(VLOOKUP(Table19[[#This Row],[Assets]],Table25[#All],16,FALSE),0)</f>
        <v>-144.40000000000009</v>
      </c>
      <c r="J552" s="84">
        <f ca="1">IFERROR((Table19[[#This Row],[Price]]-Table19[[#This Row],[Ave Entry]])/Table19[[#This Row],[Ave Entry]],"")</f>
        <v>-0.54774672579148198</v>
      </c>
      <c r="K552" s="92">
        <f ca="1">IFERROR((Table19[[#This Row],[Price]]-Table19[[#This Row],[Ave Entry]])*Table19[[#This Row],[Num of Stocks]],0)</f>
        <v>0</v>
      </c>
      <c r="L552" s="38" cm="1">
        <f t="array" aca="1" ref="L552" ca="1">_FV(Table19[[#This Row],[Assets]],"Change (%)",TRUE)</f>
        <v>2.3999999999999998E-3</v>
      </c>
      <c r="M552" s="36">
        <f>SUMIF(Table20[Asset],Table19[[#This Row],[Assets]],Table20[realized_profit])</f>
        <v>0</v>
      </c>
      <c r="N552" s="36">
        <f>SUMIF(Table20[[#All],[Asset]],Table19[[#This Row],[Assets]],Table20[[#All],[delta_exposure]])</f>
        <v>0</v>
      </c>
      <c r="O552" s="38">
        <f ca="1">Table19[[#This Row],[Option Exposure]]/$B$6</f>
        <v>0</v>
      </c>
      <c r="P552" s="51">
        <f>SUMIF(Table25[[#All],[Assets]],Table19[[#This Row],[Assets]],Table25[[#All],[Number of stocks]])</f>
        <v>0</v>
      </c>
      <c r="Q552" s="36">
        <f ca="1">Table19[[#This Row],[Num of Stocks]]*Table19[[#This Row],[Price]]</f>
        <v>0</v>
      </c>
      <c r="R552" s="36">
        <f ca="1">Table19[[#This Row],[Stock Exposure]]+Table19[[#This Row],[Option Exposure]]</f>
        <v>0</v>
      </c>
      <c r="S552" s="108">
        <f>IFERROR(Table19[[#This Row],[Num of Stocks]]*Table19[[#This Row],[Ave Entry]],"")</f>
        <v>0</v>
      </c>
      <c r="T552" s="39">
        <f ca="1">Table19[[#This Row],[Combined Exposure]]/$C$8</f>
        <v>0</v>
      </c>
    </row>
    <row r="553" spans="1:20">
      <c r="A553" t="e" vm="9">
        <v>#VALUE!</v>
      </c>
      <c r="B553" s="13" t="str" cm="1">
        <f t="array" aca="1" ref="B553" ca="1">_FV(A553,"Ticker symbol",TRUE)</f>
        <v>TDY</v>
      </c>
      <c r="C553" s="13" t="s">
        <v>38</v>
      </c>
      <c r="D553" s="13" t="s">
        <v>513</v>
      </c>
      <c r="E553" s="19" cm="1">
        <f t="array" aca="1" ref="E553" ca="1">IFERROR(_FV(A553,"Beta"),2)</f>
        <v>0.9929</v>
      </c>
      <c r="F553" s="13" t="str" cm="1">
        <f t="array" aca="1" ref="F553" ca="1">_FV(A553,"Instrument type",TRUE)</f>
        <v>Stock</v>
      </c>
      <c r="G553" s="18" cm="1">
        <f t="array" aca="1" ref="G553" ca="1">_FV(Table19[[#This Row],[Assets]],"Price")</f>
        <v>628.34500000000003</v>
      </c>
      <c r="H553" s="36">
        <f>IFERROR(VLOOKUP(Table19[[#This Row],[Assets]],Table25[#All],15,FALSE),"")</f>
        <v>508.58</v>
      </c>
      <c r="I553" s="36">
        <f>IFERROR(VLOOKUP(Table19[[#This Row],[Assets]],Table25[#All],16,FALSE),0)</f>
        <v>-29.45999999999998</v>
      </c>
      <c r="J553" s="84">
        <f ca="1">IFERROR((Table19[[#This Row],[Price]]-Table19[[#This Row],[Ave Entry]])/Table19[[#This Row],[Ave Entry]],"")</f>
        <v>0.2354890086122145</v>
      </c>
      <c r="K553" s="92">
        <f ca="1">IFERROR((Table19[[#This Row],[Price]]-Table19[[#This Row],[Ave Entry]])*Table19[[#This Row],[Num of Stocks]],0)</f>
        <v>0</v>
      </c>
      <c r="L553" s="38" cm="1">
        <f t="array" aca="1" ref="L553" ca="1">_FV(Table19[[#This Row],[Assets]],"Change (%)",TRUE)</f>
        <v>3.65E-3</v>
      </c>
      <c r="M553" s="36">
        <f>SUMIF(Table20[Asset],Table19[[#This Row],[Assets]],Table20[realized_profit])</f>
        <v>0</v>
      </c>
      <c r="N553" s="36">
        <f>SUMIF(Table20[[#All],[Asset]],Table19[[#This Row],[Assets]],Table20[[#All],[delta_exposure]])</f>
        <v>0</v>
      </c>
      <c r="O553" s="38">
        <f ca="1">Table19[[#This Row],[Option Exposure]]/$B$6</f>
        <v>0</v>
      </c>
      <c r="P553" s="51">
        <f>SUMIF(Table25[[#All],[Assets]],Table19[[#This Row],[Assets]],Table25[[#All],[Number of stocks]])</f>
        <v>0</v>
      </c>
      <c r="Q553" s="36">
        <f ca="1">Table19[[#This Row],[Num of Stocks]]*Table19[[#This Row],[Price]]</f>
        <v>0</v>
      </c>
      <c r="R553" s="36">
        <f ca="1">Table19[[#This Row],[Stock Exposure]]+Table19[[#This Row],[Option Exposure]]</f>
        <v>0</v>
      </c>
      <c r="S553" s="108">
        <f>IFERROR(Table19[[#This Row],[Num of Stocks]]*Table19[[#This Row],[Ave Entry]],"")</f>
        <v>0</v>
      </c>
      <c r="T553" s="39">
        <f ca="1">Table19[[#This Row],[Combined Exposure]]/$C$8</f>
        <v>0</v>
      </c>
    </row>
    <row r="554" spans="1:20">
      <c r="A554" t="e" vm="545">
        <v>#VALUE!</v>
      </c>
      <c r="B554" s="13" t="str" cm="1">
        <f t="array" aca="1" ref="B554" ca="1">_FV(A554,"Ticker symbol",TRUE)</f>
        <v>TDOC</v>
      </c>
      <c r="C554" s="13" t="s">
        <v>53</v>
      </c>
      <c r="D554" s="13" t="s">
        <v>512</v>
      </c>
      <c r="E554" s="19" cm="1">
        <f t="array" aca="1" ref="E554" ca="1">IFERROR(_FV(A554,"Beta"),2)</f>
        <v>2.0935999999999999</v>
      </c>
      <c r="F554" s="13" t="str" cm="1">
        <f t="array" aca="1" ref="F554" ca="1">_FV(A554,"Instrument type",TRUE)</f>
        <v>Stock</v>
      </c>
      <c r="G554" s="18" cm="1">
        <f t="array" aca="1" ref="G554" ca="1">_FV(Table19[[#This Row],[Assets]],"Price")</f>
        <v>5.53</v>
      </c>
      <c r="H554" s="36">
        <f>IFERROR(VLOOKUP(Table19[[#This Row],[Assets]],Table25[#All],15,FALSE),"")</f>
        <v>12.364810126582279</v>
      </c>
      <c r="I554" s="36">
        <f>IFERROR(VLOOKUP(Table19[[#This Row],[Assets]],Table25[#All],16,FALSE),0)</f>
        <v>-760.24</v>
      </c>
      <c r="J554" s="84">
        <f ca="1">IFERROR((Table19[[#This Row],[Price]]-Table19[[#This Row],[Ave Entry]])/Table19[[#This Row],[Ave Entry]],"")</f>
        <v>-0.5527630474396511</v>
      </c>
      <c r="K554" s="92">
        <f ca="1">IFERROR((Table19[[#This Row],[Price]]-Table19[[#This Row],[Ave Entry]])*Table19[[#This Row],[Num of Stocks]],0)</f>
        <v>0</v>
      </c>
      <c r="L554" s="38" cm="1">
        <f t="array" aca="1" ref="L554" ca="1">_FV(Table19[[#This Row],[Assets]],"Change (%)",TRUE)</f>
        <v>2.0295000000000001E-2</v>
      </c>
      <c r="M554" s="36">
        <f>SUMIF(Table20[Asset],Table19[[#This Row],[Assets]],Table20[realized_profit])</f>
        <v>0</v>
      </c>
      <c r="N554" s="36">
        <f>SUMIF(Table20[[#All],[Asset]],Table19[[#This Row],[Assets]],Table20[[#All],[delta_exposure]])</f>
        <v>0</v>
      </c>
      <c r="O554" s="38">
        <f ca="1">Table19[[#This Row],[Option Exposure]]/$B$6</f>
        <v>0</v>
      </c>
      <c r="P554" s="51">
        <f>SUMIF(Table25[[#All],[Assets]],Table19[[#This Row],[Assets]],Table25[[#All],[Number of stocks]])</f>
        <v>0</v>
      </c>
      <c r="Q554" s="36">
        <f ca="1">Table19[[#This Row],[Num of Stocks]]*Table19[[#This Row],[Price]]</f>
        <v>0</v>
      </c>
      <c r="R554" s="36">
        <f ca="1">Table19[[#This Row],[Stock Exposure]]+Table19[[#This Row],[Option Exposure]]</f>
        <v>0</v>
      </c>
      <c r="S554" s="108">
        <f>IFERROR(Table19[[#This Row],[Num of Stocks]]*Table19[[#This Row],[Ave Entry]],"")</f>
        <v>0</v>
      </c>
      <c r="T554" s="39">
        <f ca="1">Table19[[#This Row],[Combined Exposure]]/$C$8</f>
        <v>0</v>
      </c>
    </row>
    <row r="555" spans="1:20">
      <c r="A555" t="e" vm="546">
        <v>#VALUE!</v>
      </c>
      <c r="B555" s="13" t="str" cm="1">
        <f t="array" aca="1" ref="B555" ca="1">_FV(A555,"Ticker symbol",TRUE)</f>
        <v>RCEL</v>
      </c>
      <c r="C555" s="13" t="s">
        <v>53</v>
      </c>
      <c r="D555" s="13" t="s">
        <v>53</v>
      </c>
      <c r="E555" s="19" cm="1">
        <f t="array" aca="1" ref="E555" ca="1">IFERROR(_FV(A555,"Beta"),2)</f>
        <v>1.8753</v>
      </c>
      <c r="F555" s="13" t="str" cm="1">
        <f t="array" aca="1" ref="F555" ca="1">_FV(A555,"Instrument type",TRUE)</f>
        <v>Stock</v>
      </c>
      <c r="G555" s="18" cm="1">
        <f t="array" aca="1" ref="G555" ca="1">_FV(Table19[[#This Row],[Assets]],"Price")</f>
        <v>3.97</v>
      </c>
      <c r="H555" s="36">
        <f>IFERROR(VLOOKUP(Table19[[#This Row],[Assets]],Table25[#All],15,FALSE),"")</f>
        <v>10.683529411764706</v>
      </c>
      <c r="I555" s="36">
        <f>IFERROR(VLOOKUP(Table19[[#This Row],[Assets]],Table25[#All],16,FALSE),0)</f>
        <v>-172.27999999999997</v>
      </c>
      <c r="J555" s="84">
        <f ca="1">IFERROR((Table19[[#This Row],[Price]]-Table19[[#This Row],[Ave Entry]])/Table19[[#This Row],[Ave Entry]],"")</f>
        <v>-0.62839995595198761</v>
      </c>
      <c r="K555" s="92">
        <f ca="1">IFERROR((Table19[[#This Row],[Price]]-Table19[[#This Row],[Ave Entry]])*Table19[[#This Row],[Num of Stocks]],0)</f>
        <v>0</v>
      </c>
      <c r="L555" s="38" cm="1">
        <f t="array" aca="1" ref="L555" ca="1">_FV(Table19[[#This Row],[Assets]],"Change (%)",TRUE)</f>
        <v>3.3854000000000002E-2</v>
      </c>
      <c r="M555" s="36">
        <f>SUMIF(Table20[Asset],Table19[[#This Row],[Assets]],Table20[realized_profit])</f>
        <v>0</v>
      </c>
      <c r="N555" s="36">
        <f>SUMIF(Table20[[#All],[Asset]],Table19[[#This Row],[Assets]],Table20[[#All],[delta_exposure]])</f>
        <v>0</v>
      </c>
      <c r="O555" s="38">
        <f ca="1">Table19[[#This Row],[Option Exposure]]/$B$6</f>
        <v>0</v>
      </c>
      <c r="P555" s="51">
        <f>SUMIF(Table25[[#All],[Assets]],Table19[[#This Row],[Assets]],Table25[[#All],[Number of stocks]])</f>
        <v>0</v>
      </c>
      <c r="Q555" s="36">
        <f ca="1">Table19[[#This Row],[Num of Stocks]]*Table19[[#This Row],[Price]]</f>
        <v>0</v>
      </c>
      <c r="R555" s="36">
        <f ca="1">Table19[[#This Row],[Stock Exposure]]+Table19[[#This Row],[Option Exposure]]</f>
        <v>0</v>
      </c>
      <c r="S555" s="108">
        <f>IFERROR(Table19[[#This Row],[Num of Stocks]]*Table19[[#This Row],[Ave Entry]],"")</f>
        <v>0</v>
      </c>
      <c r="T555" s="39">
        <f ca="1">Table19[[#This Row],[Combined Exposure]]/$C$8</f>
        <v>0</v>
      </c>
    </row>
    <row r="556" spans="1:20">
      <c r="A556" t="e" vm="547">
        <v>#VALUE!</v>
      </c>
      <c r="B556" s="13" t="str" cm="1">
        <f t="array" aca="1" ref="B556" ca="1">_FV(A556,"Ticker symbol",TRUE)</f>
        <v>HD</v>
      </c>
      <c r="C556" s="13" t="s">
        <v>132</v>
      </c>
      <c r="D556" s="13" t="s">
        <v>146</v>
      </c>
      <c r="E556" s="19" cm="1">
        <f t="array" aca="1" ref="E556" ca="1">IFERROR(_FV(A556,"Beta"),2)</f>
        <v>1.0824</v>
      </c>
      <c r="F556" s="13" t="str" cm="1">
        <f t="array" aca="1" ref="F556" ca="1">_FV(A556,"Instrument type",TRUE)</f>
        <v>Stock</v>
      </c>
      <c r="G556" s="18" cm="1">
        <f t="array" aca="1" ref="G556" ca="1">_FV(Table19[[#This Row],[Assets]],"Price")</f>
        <v>330.05</v>
      </c>
      <c r="H556" s="36" t="str">
        <f>IFERROR(VLOOKUP(Table19[[#This Row],[Assets]],Table25[#All],15,FALSE),"")</f>
        <v/>
      </c>
      <c r="I556" s="36">
        <f>IFERROR(VLOOKUP(Table19[[#This Row],[Assets]],Table25[#All],16,FALSE),0)</f>
        <v>0</v>
      </c>
      <c r="J556" s="84" t="str">
        <f ca="1">IFERROR((Table19[[#This Row],[Price]]-Table19[[#This Row],[Ave Entry]])/Table19[[#This Row],[Ave Entry]],"")</f>
        <v/>
      </c>
      <c r="K556" s="92">
        <f ca="1">IFERROR((Table19[[#This Row],[Price]]-Table19[[#This Row],[Ave Entry]])*Table19[[#This Row],[Num of Stocks]],0)</f>
        <v>0</v>
      </c>
      <c r="L556" s="38" cm="1">
        <f t="array" aca="1" ref="L556" ca="1">_FV(Table19[[#This Row],[Assets]],"Change (%)",TRUE)</f>
        <v>-2.5990000000000002E-3</v>
      </c>
      <c r="M556" s="36">
        <f>SUMIF(Table20[Asset],Table19[[#This Row],[Assets]],Table20[realized_profit])</f>
        <v>1151</v>
      </c>
      <c r="N556" s="36">
        <f ca="1">SUMIF(Table20[[#All],[Asset]],Table19[[#This Row],[Assets]],Table20[[#All],[delta_exposure]])</f>
        <v>0</v>
      </c>
      <c r="O556" s="38">
        <f ca="1">Table19[[#This Row],[Option Exposure]]/$B$6</f>
        <v>0</v>
      </c>
      <c r="P556" s="51">
        <f>SUMIF(Table25[[#All],[Assets]],Table19[[#This Row],[Assets]],Table25[[#All],[Number of stocks]])</f>
        <v>0</v>
      </c>
      <c r="Q556" s="36">
        <f ca="1">Table19[[#This Row],[Num of Stocks]]*Table19[[#This Row],[Price]]</f>
        <v>0</v>
      </c>
      <c r="R556" s="36">
        <f ca="1">Table19[[#This Row],[Stock Exposure]]+Table19[[#This Row],[Option Exposure]]</f>
        <v>0</v>
      </c>
      <c r="S556" s="108" t="str">
        <f>IFERROR(Table19[[#This Row],[Num of Stocks]]*Table19[[#This Row],[Ave Entry]],"")</f>
        <v/>
      </c>
      <c r="T556" s="39">
        <f ca="1">Table19[[#This Row],[Combined Exposure]]/$C$8</f>
        <v>0</v>
      </c>
    </row>
    <row r="557" spans="1:20">
      <c r="A557" t="e" vm="548">
        <v>#VALUE!</v>
      </c>
      <c r="B557" s="13" t="str" cm="1">
        <f t="array" aca="1" ref="B557" ca="1">_FV(A557,"Ticker symbol",TRUE)</f>
        <v>CI</v>
      </c>
      <c r="C557" s="13" t="s">
        <v>53</v>
      </c>
      <c r="D557" s="13" t="s">
        <v>53</v>
      </c>
      <c r="E557" s="19" cm="1">
        <f t="array" aca="1" ref="E557" ca="1">IFERROR(_FV(A557,"Beta"),2)</f>
        <v>0.27189999999999998</v>
      </c>
      <c r="F557" s="13" t="str" cm="1">
        <f t="array" aca="1" ref="F557" ca="1">_FV(A557,"Instrument type",TRUE)</f>
        <v>Stock</v>
      </c>
      <c r="G557" s="18" cm="1">
        <f t="array" aca="1" ref="G557" ca="1">_FV(Table19[[#This Row],[Assets]],"Price")</f>
        <v>268.08</v>
      </c>
      <c r="H557" s="36" t="str">
        <f>IFERROR(VLOOKUP(Table19[[#This Row],[Assets]],Table25[#All],15,FALSE),"")</f>
        <v/>
      </c>
      <c r="I557" s="36">
        <f>IFERROR(VLOOKUP(Table19[[#This Row],[Assets]],Table25[#All],16,FALSE),0)</f>
        <v>0</v>
      </c>
      <c r="J557" s="84" t="str">
        <f ca="1">IFERROR((Table19[[#This Row],[Price]]-Table19[[#This Row],[Ave Entry]])/Table19[[#This Row],[Ave Entry]],"")</f>
        <v/>
      </c>
      <c r="K557" s="92">
        <f ca="1">IFERROR((Table19[[#This Row],[Price]]-Table19[[#This Row],[Ave Entry]])*Table19[[#This Row],[Num of Stocks]],0)</f>
        <v>0</v>
      </c>
      <c r="L557" s="38" cm="1">
        <f t="array" aca="1" ref="L557" ca="1">_FV(Table19[[#This Row],[Assets]],"Change (%)",TRUE)</f>
        <v>8.3119999999999999E-3</v>
      </c>
      <c r="M557" s="36">
        <f>SUMIF(Table20[Asset],Table19[[#This Row],[Assets]],Table20[realized_profit])</f>
        <v>-225.99999999999997</v>
      </c>
      <c r="N557" s="36">
        <f ca="1">SUMIF(Table20[[#All],[Asset]],Table19[[#This Row],[Assets]],Table20[[#All],[delta_exposure]])</f>
        <v>0</v>
      </c>
      <c r="O557" s="38">
        <f ca="1">Table19[[#This Row],[Option Exposure]]/$B$6</f>
        <v>0</v>
      </c>
      <c r="P557" s="51">
        <f>SUMIF(Table25[[#All],[Assets]],Table19[[#This Row],[Assets]],Table25[[#All],[Number of stocks]])</f>
        <v>0</v>
      </c>
      <c r="Q557" s="36">
        <f ca="1">Table19[[#This Row],[Num of Stocks]]*Table19[[#This Row],[Price]]</f>
        <v>0</v>
      </c>
      <c r="R557" s="36">
        <f ca="1">Table19[[#This Row],[Stock Exposure]]+Table19[[#This Row],[Option Exposure]]</f>
        <v>0</v>
      </c>
      <c r="S557" s="108" t="str">
        <f>IFERROR(Table19[[#This Row],[Num of Stocks]]*Table19[[#This Row],[Ave Entry]],"")</f>
        <v/>
      </c>
      <c r="T557" s="39">
        <f ca="1">Table19[[#This Row],[Combined Exposure]]/$C$8</f>
        <v>0</v>
      </c>
    </row>
    <row r="558" spans="1:20">
      <c r="A558" t="e" vm="549">
        <v>#VALUE!</v>
      </c>
      <c r="B558" s="13" t="str" cm="1">
        <f t="array" aca="1" ref="B558" ca="1">_FV(A558,"Ticker symbol",TRUE)</f>
        <v>LQDT</v>
      </c>
      <c r="C558" s="13" t="s">
        <v>56</v>
      </c>
      <c r="D558" s="13" t="s">
        <v>29</v>
      </c>
      <c r="E558" s="19" cm="1">
        <f t="array" aca="1" ref="E558" ca="1">IFERROR(_FV(A558,"Beta"),2)</f>
        <v>1.0339</v>
      </c>
      <c r="F558" s="13" t="str" cm="1">
        <f t="array" aca="1" ref="F558" ca="1">_FV(A558,"Instrument type",TRUE)</f>
        <v>Stock</v>
      </c>
      <c r="G558" s="18" cm="1">
        <f t="array" aca="1" ref="G558" ca="1">_FV(Table19[[#This Row],[Assets]],"Price")</f>
        <v>29.94</v>
      </c>
      <c r="H558" s="36">
        <f>IFERROR(VLOOKUP(Table19[[#This Row],[Assets]],Table25[#All],15,FALSE),"")</f>
        <v>33.03</v>
      </c>
      <c r="I558" s="36">
        <f>IFERROR(VLOOKUP(Table19[[#This Row],[Assets]],Table25[#All],16,FALSE),0)</f>
        <v>-45.300000000000047</v>
      </c>
      <c r="J558" s="84">
        <f ca="1">IFERROR((Table19[[#This Row],[Price]]-Table19[[#This Row],[Ave Entry]])/Table19[[#This Row],[Ave Entry]],"")</f>
        <v>-9.3551316984559485E-2</v>
      </c>
      <c r="K558" s="92">
        <f ca="1">IFERROR((Table19[[#This Row],[Price]]-Table19[[#This Row],[Ave Entry]])*Table19[[#This Row],[Num of Stocks]],0)</f>
        <v>0</v>
      </c>
      <c r="L558" s="38" cm="1">
        <f t="array" aca="1" ref="L558" ca="1">_FV(Table19[[#This Row],[Assets]],"Change (%)",TRUE)</f>
        <v>-4.9849999999999998E-3</v>
      </c>
      <c r="M558" s="36">
        <f>SUMIF(Table20[Asset],Table19[[#This Row],[Assets]],Table20[realized_profit])</f>
        <v>0</v>
      </c>
      <c r="N558" s="36">
        <f>SUMIF(Table20[[#All],[Asset]],Table19[[#This Row],[Assets]],Table20[[#All],[delta_exposure]])</f>
        <v>0</v>
      </c>
      <c r="O558" s="38">
        <f ca="1">Table19[[#This Row],[Option Exposure]]/$B$6</f>
        <v>0</v>
      </c>
      <c r="P558" s="51">
        <f>SUMIF(Table25[[#All],[Assets]],Table19[[#This Row],[Assets]],Table25[[#All],[Number of stocks]])</f>
        <v>0</v>
      </c>
      <c r="Q558" s="36">
        <f ca="1">Table19[[#This Row],[Num of Stocks]]*Table19[[#This Row],[Price]]</f>
        <v>0</v>
      </c>
      <c r="R558" s="36">
        <f ca="1">Table19[[#This Row],[Stock Exposure]]+Table19[[#This Row],[Option Exposure]]</f>
        <v>0</v>
      </c>
      <c r="S558" s="108">
        <f>IFERROR(Table19[[#This Row],[Num of Stocks]]*Table19[[#This Row],[Ave Entry]],"")</f>
        <v>0</v>
      </c>
      <c r="T558" s="39">
        <f ca="1">Table19[[#This Row],[Combined Exposure]]/$C$8</f>
        <v>0</v>
      </c>
    </row>
    <row r="559" spans="1:20">
      <c r="A559" t="e" vm="550">
        <v>#VALUE!</v>
      </c>
      <c r="B559" s="13" t="str" cm="1">
        <f t="array" aca="1" ref="B559" ca="1">_FV(A559,"Ticker symbol",TRUE)</f>
        <v>BLDR</v>
      </c>
      <c r="C559" s="13" t="s">
        <v>132</v>
      </c>
      <c r="D559" s="13" t="s">
        <v>132</v>
      </c>
      <c r="E559" s="19" cm="1">
        <f t="array" aca="1" ref="E559" ca="1">IFERROR(_FV(A559,"Beta"),2)</f>
        <v>1.6267</v>
      </c>
      <c r="F559" s="13" t="str" cm="1">
        <f t="array" aca="1" ref="F559" ca="1">_FV(A559,"Instrument type",TRUE)</f>
        <v>Stock</v>
      </c>
      <c r="G559" s="18" cm="1">
        <f t="array" aca="1" ref="G559" ca="1">_FV(Table19[[#This Row],[Assets]],"Price")</f>
        <v>83.07</v>
      </c>
      <c r="H559" s="36" t="str">
        <f>IFERROR(VLOOKUP(Table19[[#This Row],[Assets]],Table25[#All],15,FALSE),"")</f>
        <v/>
      </c>
      <c r="I559" s="36">
        <f>IFERROR(VLOOKUP(Table19[[#This Row],[Assets]],Table25[#All],16,FALSE),0)</f>
        <v>0</v>
      </c>
      <c r="J559" s="84" t="str">
        <f ca="1">IFERROR((Table19[[#This Row],[Price]]-Table19[[#This Row],[Ave Entry]])/Table19[[#This Row],[Ave Entry]],"")</f>
        <v/>
      </c>
      <c r="K559" s="92">
        <f ca="1">IFERROR((Table19[[#This Row],[Price]]-Table19[[#This Row],[Ave Entry]])*Table19[[#This Row],[Num of Stocks]],0)</f>
        <v>0</v>
      </c>
      <c r="L559" s="38" cm="1">
        <f t="array" aca="1" ref="L559" ca="1">_FV(Table19[[#This Row],[Assets]],"Change (%)",TRUE)</f>
        <v>-1.0364999999999999E-2</v>
      </c>
      <c r="M559" s="36">
        <f>SUMIF(Table20[Asset],Table19[[#This Row],[Assets]],Table20[realized_profit])</f>
        <v>-240</v>
      </c>
      <c r="N559" s="36">
        <f ca="1">SUMIF(Table20[[#All],[Asset]],Table19[[#This Row],[Assets]],Table20[[#All],[delta_exposure]])</f>
        <v>0</v>
      </c>
      <c r="O559" s="38">
        <f ca="1">Table19[[#This Row],[Option Exposure]]/$B$6</f>
        <v>0</v>
      </c>
      <c r="P559" s="51">
        <f>SUMIF(Table25[[#All],[Assets]],Table19[[#This Row],[Assets]],Table25[[#All],[Number of stocks]])</f>
        <v>0</v>
      </c>
      <c r="Q559" s="36">
        <f ca="1">Table19[[#This Row],[Num of Stocks]]*Table19[[#This Row],[Price]]</f>
        <v>0</v>
      </c>
      <c r="R559" s="36">
        <f ca="1">Table19[[#This Row],[Stock Exposure]]+Table19[[#This Row],[Option Exposure]]</f>
        <v>0</v>
      </c>
      <c r="S559" s="108" t="str">
        <f>IFERROR(Table19[[#This Row],[Num of Stocks]]*Table19[[#This Row],[Ave Entry]],"")</f>
        <v/>
      </c>
      <c r="T559" s="39">
        <f ca="1">Table19[[#This Row],[Combined Exposure]]/$C$8</f>
        <v>0</v>
      </c>
    </row>
    <row r="560" spans="1:20">
      <c r="A560" t="e" vm="551">
        <v>#VALUE!</v>
      </c>
      <c r="B560" s="13" t="str" cm="1">
        <f t="array" aca="1" ref="B560" ca="1">_FV(A560,"Ticker symbol",TRUE)</f>
        <v>KYIV</v>
      </c>
      <c r="C560" s="13" t="s">
        <v>293</v>
      </c>
      <c r="D560" s="13" t="s">
        <v>293</v>
      </c>
      <c r="E560" s="19" cm="1">
        <f t="array" ref="E560">IFERROR(_FV(A560,"Beta"),2)</f>
        <v>2</v>
      </c>
      <c r="F560" s="13" t="str" cm="1">
        <f t="array" aca="1" ref="F560" ca="1">_FV(A560,"Instrument type",TRUE)</f>
        <v>Stock</v>
      </c>
      <c r="G560" s="18" cm="1">
        <f t="array" aca="1" ref="G560" ca="1">_FV(Table19[[#This Row],[Assets]],"Price")</f>
        <v>10.895</v>
      </c>
      <c r="H560" s="36">
        <f>IFERROR(VLOOKUP(Table19[[#This Row],[Assets]],Table25[#All],15,FALSE),"")</f>
        <v>12.261578947368422</v>
      </c>
      <c r="I560" s="36">
        <f>IFERROR(VLOOKUP(Table19[[#This Row],[Assets]],Table25[#All],16,FALSE),0)</f>
        <v>75.359999999999971</v>
      </c>
      <c r="J560" s="84">
        <f ca="1">IFERROR((Table19[[#This Row],[Price]]-Table19[[#This Row],[Ave Entry]])/Table19[[#This Row],[Ave Entry]],"")</f>
        <v>-0.11145211829849347</v>
      </c>
      <c r="K560" s="92">
        <f ca="1">IFERROR((Table19[[#This Row],[Price]]-Table19[[#This Row],[Ave Entry]])*Table19[[#This Row],[Num of Stocks]],0)</f>
        <v>0</v>
      </c>
      <c r="L560" s="38" cm="1">
        <f t="array" aca="1" ref="L560" ca="1">_FV(Table19[[#This Row],[Assets]],"Change (%)",TRUE)</f>
        <v>3.8607999999999996E-2</v>
      </c>
      <c r="M560" s="36">
        <f>SUMIF(Table20[Asset],Table19[[#This Row],[Assets]],Table20[realized_profit])</f>
        <v>0</v>
      </c>
      <c r="N560" s="36">
        <f>SUMIF(Table20[[#All],[Asset]],Table19[[#This Row],[Assets]],Table20[[#All],[delta_exposure]])</f>
        <v>0</v>
      </c>
      <c r="O560" s="38">
        <f ca="1">Table19[[#This Row],[Option Exposure]]/$B$6</f>
        <v>0</v>
      </c>
      <c r="P560" s="51">
        <f>SUMIF(Table25[[#All],[Assets]],Table19[[#This Row],[Assets]],Table25[[#All],[Number of stocks]])</f>
        <v>0</v>
      </c>
      <c r="Q560" s="36">
        <f ca="1">Table19[[#This Row],[Num of Stocks]]*Table19[[#This Row],[Price]]</f>
        <v>0</v>
      </c>
      <c r="R560" s="36">
        <f ca="1">Table19[[#This Row],[Stock Exposure]]+Table19[[#This Row],[Option Exposure]]</f>
        <v>0</v>
      </c>
      <c r="S560" s="108">
        <f>IFERROR(Table19[[#This Row],[Num of Stocks]]*Table19[[#This Row],[Ave Entry]],"")</f>
        <v>0</v>
      </c>
      <c r="T560" s="39">
        <f ca="1">Table19[[#This Row],[Combined Exposure]]/$C$8</f>
        <v>0</v>
      </c>
    </row>
    <row r="561" spans="1:20">
      <c r="A561" t="e" vm="552">
        <v>#VALUE!</v>
      </c>
      <c r="B561" s="13" t="str" cm="1">
        <f t="array" aca="1" ref="B561" ca="1">_FV(A561,"Ticker symbol",TRUE)</f>
        <v>TJX</v>
      </c>
      <c r="C561" s="13" t="s">
        <v>55</v>
      </c>
      <c r="D561" s="13" t="s">
        <v>55</v>
      </c>
      <c r="E561" s="19" cm="1">
        <f t="array" aca="1" ref="E561" ca="1">IFERROR(_FV(A561,"Beta"),2)</f>
        <v>0.73309999999999997</v>
      </c>
      <c r="F561" s="13" t="str" cm="1">
        <f t="array" aca="1" ref="F561" ca="1">_FV(A561,"Instrument type",TRUE)</f>
        <v>Stock</v>
      </c>
      <c r="G561" s="18" cm="1">
        <f t="array" aca="1" ref="G561" ca="1">_FV(Table19[[#This Row],[Assets]],"Price")</f>
        <v>158.54499999999999</v>
      </c>
      <c r="H561" s="36" t="str">
        <f>IFERROR(VLOOKUP(Table19[[#This Row],[Assets]],Table25[#All],15,FALSE),"")</f>
        <v/>
      </c>
      <c r="I561" s="36">
        <f>IFERROR(VLOOKUP(Table19[[#This Row],[Assets]],Table25[#All],16,FALSE),0)</f>
        <v>0</v>
      </c>
      <c r="J561" s="84" t="str">
        <f ca="1">IFERROR((Table19[[#This Row],[Price]]-Table19[[#This Row],[Ave Entry]])/Table19[[#This Row],[Ave Entry]],"")</f>
        <v/>
      </c>
      <c r="K561" s="92">
        <f ca="1">IFERROR((Table19[[#This Row],[Price]]-Table19[[#This Row],[Ave Entry]])*Table19[[#This Row],[Num of Stocks]],0)</f>
        <v>0</v>
      </c>
      <c r="L561" s="38" cm="1">
        <f t="array" aca="1" ref="L561" ca="1">_FV(Table19[[#This Row],[Assets]],"Change (%)",TRUE)</f>
        <v>1.042E-3</v>
      </c>
      <c r="M561" s="36">
        <f>SUMIF(Table20[Asset],Table19[[#This Row],[Assets]],Table20[realized_profit])</f>
        <v>-37.000000000000014</v>
      </c>
      <c r="N561" s="36">
        <f ca="1">SUMIF(Table20[[#All],[Asset]],Table19[[#This Row],[Assets]],Table20[[#All],[delta_exposure]])</f>
        <v>0</v>
      </c>
      <c r="O561" s="38">
        <f ca="1">Table19[[#This Row],[Option Exposure]]/$B$6</f>
        <v>0</v>
      </c>
      <c r="P561" s="51">
        <f>SUMIF(Table25[[#All],[Assets]],Table19[[#This Row],[Assets]],Table25[[#All],[Number of stocks]])</f>
        <v>0</v>
      </c>
      <c r="Q561" s="36">
        <f ca="1">Table19[[#This Row],[Num of Stocks]]*Table19[[#This Row],[Price]]</f>
        <v>0</v>
      </c>
      <c r="R561" s="36">
        <f ca="1">Table19[[#This Row],[Stock Exposure]]+Table19[[#This Row],[Option Exposure]]</f>
        <v>0</v>
      </c>
      <c r="S561" s="108" t="str">
        <f>IFERROR(Table19[[#This Row],[Num of Stocks]]*Table19[[#This Row],[Ave Entry]],"")</f>
        <v/>
      </c>
      <c r="T561" s="39">
        <f ca="1">Table19[[#This Row],[Combined Exposure]]/$C$8</f>
        <v>0</v>
      </c>
    </row>
    <row r="562" spans="1:20">
      <c r="A562" t="e" vm="553">
        <v>#VALUE!</v>
      </c>
      <c r="B562" s="13" t="str" cm="1">
        <f t="array" aca="1" ref="B562" ca="1">_FV(A562,"Ticker symbol",TRUE)</f>
        <v>DASH</v>
      </c>
      <c r="C562" s="13" t="s">
        <v>55</v>
      </c>
      <c r="D562" s="13" t="s">
        <v>55</v>
      </c>
      <c r="E562" s="19" cm="1">
        <f t="array" aca="1" ref="E562" ca="1">IFERROR(_FV(A562,"Beta"),2)</f>
        <v>1.9148000000000001</v>
      </c>
      <c r="F562" s="13" t="str" cm="1">
        <f t="array" aca="1" ref="F562" ca="1">_FV(A562,"Instrument type",TRUE)</f>
        <v>Stock</v>
      </c>
      <c r="G562" s="18" cm="1">
        <f t="array" aca="1" ref="G562" ca="1">_FV(Table19[[#This Row],[Assets]],"Price")</f>
        <v>154.72</v>
      </c>
      <c r="H562" s="36" t="str">
        <f>IFERROR(VLOOKUP(Table19[[#This Row],[Assets]],Table25[#All],15,FALSE),"")</f>
        <v/>
      </c>
      <c r="I562" s="36">
        <f>IFERROR(VLOOKUP(Table19[[#This Row],[Assets]],Table25[#All],16,FALSE),0)</f>
        <v>0</v>
      </c>
      <c r="J562" s="84" t="str">
        <f ca="1">IFERROR((Table19[[#This Row],[Price]]-Table19[[#This Row],[Ave Entry]])/Table19[[#This Row],[Ave Entry]],"")</f>
        <v/>
      </c>
      <c r="K562" s="92">
        <f ca="1">IFERROR((Table19[[#This Row],[Price]]-Table19[[#This Row],[Ave Entry]])*Table19[[#This Row],[Num of Stocks]],0)</f>
        <v>0</v>
      </c>
      <c r="L562" s="38" cm="1">
        <f t="array" aca="1" ref="L562" ca="1">_FV(Table19[[#This Row],[Assets]],"Change (%)",TRUE)</f>
        <v>-6.4629999999999996E-5</v>
      </c>
      <c r="M562" s="36">
        <f>SUMIF(Table20[Asset],Table19[[#This Row],[Assets]],Table20[realized_profit])</f>
        <v>-67</v>
      </c>
      <c r="N562" s="36">
        <f ca="1">SUMIF(Table20[[#All],[Asset]],Table19[[#This Row],[Assets]],Table20[[#All],[delta_exposure]])</f>
        <v>0</v>
      </c>
      <c r="O562" s="38">
        <f ca="1">Table19[[#This Row],[Option Exposure]]/$B$6</f>
        <v>0</v>
      </c>
      <c r="P562" s="51">
        <f>SUMIF(Table25[[#All],[Assets]],Table19[[#This Row],[Assets]],Table25[[#All],[Number of stocks]])</f>
        <v>0</v>
      </c>
      <c r="Q562" s="36">
        <f ca="1">Table19[[#This Row],[Num of Stocks]]*Table19[[#This Row],[Price]]</f>
        <v>0</v>
      </c>
      <c r="R562" s="36">
        <f ca="1">Table19[[#This Row],[Stock Exposure]]+Table19[[#This Row],[Option Exposure]]</f>
        <v>0</v>
      </c>
      <c r="S562" s="108" t="str">
        <f>IFERROR(Table19[[#This Row],[Num of Stocks]]*Table19[[#This Row],[Ave Entry]],"")</f>
        <v/>
      </c>
      <c r="T562" s="39">
        <f ca="1">Table19[[#This Row],[Combined Exposure]]/$C$8</f>
        <v>0</v>
      </c>
    </row>
    <row r="563" spans="1:20">
      <c r="A563" t="e" vm="554">
        <v>#VALUE!</v>
      </c>
      <c r="B563" s="13" t="str" cm="1">
        <f t="array" aca="1" ref="B563" ca="1">_FV(A563,"Ticker symbol",TRUE)</f>
        <v>TQQQ</v>
      </c>
      <c r="C563" s="13" t="s">
        <v>1</v>
      </c>
      <c r="D563" s="13" t="s">
        <v>1</v>
      </c>
      <c r="E563" s="19" cm="1">
        <f t="array" aca="1" ref="E563" ca="1">IFERROR(_FV(A563,"Beta"),2)</f>
        <v>2.9527999999999999</v>
      </c>
      <c r="F563" s="13" t="str" cm="1">
        <f t="array" aca="1" ref="F563" ca="1">_FV(A563,"Instrument type",TRUE)</f>
        <v>ETF</v>
      </c>
      <c r="G563" s="18" cm="1">
        <f t="array" aca="1" ref="G563" ca="1">_FV(Table19[[#This Row],[Assets]],"Price")</f>
        <v>45.030099999999997</v>
      </c>
      <c r="H563" s="36">
        <f>IFERROR(VLOOKUP(Table19[[#This Row],[Assets]],Table25[#All],15,FALSE),"")</f>
        <v>45.540000000000006</v>
      </c>
      <c r="I563" s="36">
        <f>IFERROR(VLOOKUP(Table19[[#This Row],[Assets]],Table25[#All],16,FALSE),0)</f>
        <v>92.69999999999979</v>
      </c>
      <c r="J563" s="84">
        <f ca="1">IFERROR((Table19[[#This Row],[Price]]-Table19[[#This Row],[Ave Entry]])/Table19[[#This Row],[Ave Entry]],"")</f>
        <v>-1.1196750109793782E-2</v>
      </c>
      <c r="K563" s="92">
        <f ca="1">IFERROR((Table19[[#This Row],[Price]]-Table19[[#This Row],[Ave Entry]])*Table19[[#This Row],[Num of Stocks]],0)</f>
        <v>0</v>
      </c>
      <c r="L563" s="38" cm="1">
        <f t="array" aca="1" ref="L563" ca="1">_FV(Table19[[#This Row],[Assets]],"Change (%)",TRUE)</f>
        <v>3.4023999999999999E-2</v>
      </c>
      <c r="M563" s="36">
        <f>SUMIF(Table20[Asset],Table19[[#This Row],[Assets]],Table20[realized_profit])</f>
        <v>0</v>
      </c>
      <c r="N563" s="36">
        <f>SUMIF(Table20[[#All],[Asset]],Table19[[#This Row],[Assets]],Table20[[#All],[delta_exposure]])</f>
        <v>0</v>
      </c>
      <c r="O563" s="38">
        <f ca="1">Table19[[#This Row],[Option Exposure]]/$B$6</f>
        <v>0</v>
      </c>
      <c r="P563" s="51">
        <f>SUMIF(Table25[[#All],[Assets]],Table19[[#This Row],[Assets]],Table25[[#All],[Number of stocks]])</f>
        <v>0</v>
      </c>
      <c r="Q563" s="36">
        <f ca="1">Table19[[#This Row],[Num of Stocks]]*Table19[[#This Row],[Price]]</f>
        <v>0</v>
      </c>
      <c r="R563" s="36">
        <f ca="1">Table19[[#This Row],[Stock Exposure]]+Table19[[#This Row],[Option Exposure]]</f>
        <v>0</v>
      </c>
      <c r="S563" s="108">
        <f>IFERROR(Table19[[#This Row],[Num of Stocks]]*Table19[[#This Row],[Ave Entry]],"")</f>
        <v>0</v>
      </c>
      <c r="T563" s="39">
        <f ca="1">Table19[[#This Row],[Combined Exposure]]/$C$8</f>
        <v>0</v>
      </c>
    </row>
    <row r="564" spans="1:20">
      <c r="A564" t="e" vm="555">
        <v>#VALUE!</v>
      </c>
      <c r="B564" s="13" t="str" cm="1">
        <f t="array" aca="1" ref="B564" ca="1">_FV(A564,"Ticker symbol",TRUE)</f>
        <v>RDFN</v>
      </c>
      <c r="C564" s="13" t="s">
        <v>132</v>
      </c>
      <c r="D564" s="13" t="s">
        <v>132</v>
      </c>
      <c r="E564" s="19" cm="1">
        <f t="array" aca="1" ref="E564" ca="1">IFERROR(_FV(A564,"Beta"),2)</f>
        <v>2.3729</v>
      </c>
      <c r="F564" s="13" t="str" cm="1">
        <f t="array" aca="1" ref="F564" ca="1">_FV(A564,"Instrument type",TRUE)</f>
        <v>Stock</v>
      </c>
      <c r="G564" s="18" cm="1">
        <f t="array" aca="1" ref="G564" ca="1">_FV(Table19[[#This Row],[Assets]],"Price")</f>
        <v>11.19</v>
      </c>
      <c r="H564" s="36">
        <f>IFERROR(VLOOKUP(Table19[[#This Row],[Assets]],Table25[#All],15,FALSE),"")</f>
        <v>8.1999999999999993</v>
      </c>
      <c r="I564" s="36">
        <f>IFERROR(VLOOKUP(Table19[[#This Row],[Assets]],Table25[#All],16,FALSE),0)</f>
        <v>193.8</v>
      </c>
      <c r="J564" s="84">
        <f ca="1">IFERROR((Table19[[#This Row],[Price]]-Table19[[#This Row],[Ave Entry]])/Table19[[#This Row],[Ave Entry]],"")</f>
        <v>0.36463414634146346</v>
      </c>
      <c r="K564" s="92">
        <f ca="1">IFERROR((Table19[[#This Row],[Price]]-Table19[[#This Row],[Ave Entry]])*Table19[[#This Row],[Num of Stocks]],0)</f>
        <v>0</v>
      </c>
      <c r="L564" s="38" cm="1">
        <f t="array" aca="1" ref="L564" ca="1">_FV(Table19[[#This Row],[Assets]],"Change (%)",TRUE)</f>
        <v>0</v>
      </c>
      <c r="M564" s="36">
        <f>SUMIF(Table20[Asset],Table19[[#This Row],[Assets]],Table20[realized_profit])</f>
        <v>0</v>
      </c>
      <c r="N564" s="36">
        <f>SUMIF(Table20[[#All],[Asset]],Table19[[#This Row],[Assets]],Table20[[#All],[delta_exposure]])</f>
        <v>0</v>
      </c>
      <c r="O564" s="38">
        <f ca="1">Table19[[#This Row],[Option Exposure]]/$B$6</f>
        <v>0</v>
      </c>
      <c r="P564" s="51">
        <f>SUMIF(Table25[[#All],[Assets]],Table19[[#This Row],[Assets]],Table25[[#All],[Number of stocks]])</f>
        <v>0</v>
      </c>
      <c r="Q564" s="36">
        <f ca="1">Table19[[#This Row],[Num of Stocks]]*Table19[[#This Row],[Price]]</f>
        <v>0</v>
      </c>
      <c r="R564" s="36">
        <f ca="1">Table19[[#This Row],[Stock Exposure]]+Table19[[#This Row],[Option Exposure]]</f>
        <v>0</v>
      </c>
      <c r="S564" s="108">
        <f>IFERROR(Table19[[#This Row],[Num of Stocks]]*Table19[[#This Row],[Ave Entry]],"")</f>
        <v>0</v>
      </c>
      <c r="T564" s="39">
        <f ca="1">Table19[[#This Row],[Combined Exposure]]/$C$8</f>
        <v>0</v>
      </c>
    </row>
    <row r="565" spans="1:20">
      <c r="A565" t="e" vm="556">
        <v>#VALUE!</v>
      </c>
      <c r="B565" s="13" t="str" cm="1">
        <f t="array" aca="1" ref="B565" ca="1">_FV(A565,"Ticker symbol",TRUE)</f>
        <v>DOCS</v>
      </c>
      <c r="C565" s="13" t="s">
        <v>53</v>
      </c>
      <c r="D565" s="13" t="s">
        <v>121</v>
      </c>
      <c r="E565" s="19" cm="1">
        <f t="array" aca="1" ref="E565" ca="1">IFERROR(_FV(A565,"Beta"),2)</f>
        <v>1.4023000000000001</v>
      </c>
      <c r="F565" s="13" t="str" cm="1">
        <f t="array" aca="1" ref="F565" ca="1">_FV(A565,"Instrument type",TRUE)</f>
        <v>Stock</v>
      </c>
      <c r="G565" s="18" cm="1">
        <f t="array" aca="1" ref="G565" ca="1">_FV(Table19[[#This Row],[Assets]],"Price")</f>
        <v>24.17</v>
      </c>
      <c r="H565" s="36" t="str">
        <f>IFERROR(VLOOKUP(Table19[[#This Row],[Assets]],Table25[#All],15,FALSE),"")</f>
        <v/>
      </c>
      <c r="I565" s="36">
        <f>IFERROR(VLOOKUP(Table19[[#This Row],[Assets]],Table25[#All],16,FALSE),0)</f>
        <v>0</v>
      </c>
      <c r="J565" s="84" t="str">
        <f ca="1">IFERROR((Table19[[#This Row],[Price]]-Table19[[#This Row],[Ave Entry]])/Table19[[#This Row],[Ave Entry]],"")</f>
        <v/>
      </c>
      <c r="K565" s="92">
        <f ca="1">IFERROR((Table19[[#This Row],[Price]]-Table19[[#This Row],[Ave Entry]])*Table19[[#This Row],[Num of Stocks]],0)</f>
        <v>0</v>
      </c>
      <c r="L565" s="38" cm="1">
        <f t="array" aca="1" ref="L565" ca="1">_FV(Table19[[#This Row],[Assets]],"Change (%)",TRUE)</f>
        <v>-6.9840000000000006E-3</v>
      </c>
      <c r="M565" s="36">
        <f>SUMIF(Table20[Asset],Table19[[#This Row],[Assets]],Table20[realized_profit])</f>
        <v>472.99999999999989</v>
      </c>
      <c r="N565" s="36">
        <f ca="1">SUMIF(Table20[[#All],[Asset]],Table19[[#This Row],[Assets]],Table20[[#All],[delta_exposure]])</f>
        <v>0</v>
      </c>
      <c r="O565" s="38">
        <f ca="1">Table19[[#This Row],[Option Exposure]]/$B$6</f>
        <v>0</v>
      </c>
      <c r="P565" s="51">
        <f>SUMIF(Table25[[#All],[Assets]],Table19[[#This Row],[Assets]],Table25[[#All],[Number of stocks]])</f>
        <v>0</v>
      </c>
      <c r="Q565" s="36">
        <f ca="1">Table19[[#This Row],[Num of Stocks]]*Table19[[#This Row],[Price]]</f>
        <v>0</v>
      </c>
      <c r="R565" s="36">
        <f ca="1">Table19[[#This Row],[Stock Exposure]]+Table19[[#This Row],[Option Exposure]]</f>
        <v>0</v>
      </c>
      <c r="S565" s="108" t="str">
        <f>IFERROR(Table19[[#This Row],[Num of Stocks]]*Table19[[#This Row],[Ave Entry]],"")</f>
        <v/>
      </c>
      <c r="T565" s="39">
        <f ca="1">Table19[[#This Row],[Combined Exposure]]/$C$8</f>
        <v>0</v>
      </c>
    </row>
    <row r="566" spans="1:20">
      <c r="A566" t="e" vm="557">
        <v>#VALUE!</v>
      </c>
      <c r="B566" s="13" t="str" cm="1">
        <f t="array" aca="1" ref="B566" ca="1">_FV(A566,"Ticker symbol",TRUE)</f>
        <v>HYG</v>
      </c>
      <c r="C566" s="13" t="s">
        <v>1</v>
      </c>
      <c r="D566" s="13" t="s">
        <v>1</v>
      </c>
      <c r="E566" s="19" cm="1">
        <f t="array" aca="1" ref="E566" ca="1">IFERROR(_FV(A566,"Beta"),2)</f>
        <v>1.0508</v>
      </c>
      <c r="F566" s="13" t="str" cm="1">
        <f t="array" aca="1" ref="F566" ca="1">_FV(A566,"Instrument type",TRUE)</f>
        <v>ETF</v>
      </c>
      <c r="G566" s="18" cm="1">
        <f t="array" aca="1" ref="G566" ca="1">_FV(Table19[[#This Row],[Assets]],"Price")</f>
        <v>79.525000000000006</v>
      </c>
      <c r="H566" s="36" t="str">
        <f>IFERROR(VLOOKUP(Table19[[#This Row],[Assets]],Table25[#All],15,FALSE),"")</f>
        <v/>
      </c>
      <c r="I566" s="36">
        <f>IFERROR(VLOOKUP(Table19[[#This Row],[Assets]],Table25[#All],16,FALSE),0)</f>
        <v>0</v>
      </c>
      <c r="J566" s="84" t="str">
        <f ca="1">IFERROR((Table19[[#This Row],[Price]]-Table19[[#This Row],[Ave Entry]])/Table19[[#This Row],[Ave Entry]],"")</f>
        <v/>
      </c>
      <c r="K566" s="92">
        <f ca="1">IFERROR((Table19[[#This Row],[Price]]-Table19[[#This Row],[Ave Entry]])*Table19[[#This Row],[Num of Stocks]],0)</f>
        <v>0</v>
      </c>
      <c r="L566" s="38" cm="1">
        <f t="array" aca="1" ref="L566" ca="1">_FV(Table19[[#This Row],[Assets]],"Change (%)",TRUE)</f>
        <v>4.4840000000000001E-3</v>
      </c>
      <c r="M566" s="36">
        <f>SUMIF(Table20[Asset],Table19[[#This Row],[Assets]],Table20[realized_profit])</f>
        <v>37.000000000000227</v>
      </c>
      <c r="N566" s="36">
        <f ca="1">SUMIF(Table20[[#All],[Asset]],Table19[[#This Row],[Assets]],Table20[[#All],[delta_exposure]])</f>
        <v>0</v>
      </c>
      <c r="O566" s="38">
        <f ca="1">Table19[[#This Row],[Option Exposure]]/$B$6</f>
        <v>0</v>
      </c>
      <c r="P566" s="51">
        <f>SUMIF(Table25[[#All],[Assets]],Table19[[#This Row],[Assets]],Table25[[#All],[Number of stocks]])</f>
        <v>0</v>
      </c>
      <c r="Q566" s="36">
        <f ca="1">Table19[[#This Row],[Num of Stocks]]*Table19[[#This Row],[Price]]</f>
        <v>0</v>
      </c>
      <c r="R566" s="36">
        <f ca="1">Table19[[#This Row],[Stock Exposure]]+Table19[[#This Row],[Option Exposure]]</f>
        <v>0</v>
      </c>
      <c r="S566" s="108" t="str">
        <f>IFERROR(Table19[[#This Row],[Num of Stocks]]*Table19[[#This Row],[Ave Entry]],"")</f>
        <v/>
      </c>
      <c r="T566" s="39">
        <f ca="1">Table19[[#This Row],[Combined Exposure]]/$C$8</f>
        <v>0</v>
      </c>
    </row>
    <row r="567" spans="1:20">
      <c r="A567" t="e" vm="558">
        <v>#VALUE!</v>
      </c>
      <c r="B567" s="13" t="str" cm="1">
        <f t="array" aca="1" ref="B567" ca="1">_FV(A567,"Ticker symbol",TRUE)</f>
        <v>VIX</v>
      </c>
      <c r="C567" s="13" t="s">
        <v>1</v>
      </c>
      <c r="D567" s="13" t="s">
        <v>1</v>
      </c>
      <c r="E567" s="19" cm="1">
        <f t="array" aca="1" ref="E567" ca="1">IFERROR(_FV(A567,"Beta"),2)</f>
        <v>2.8601999999999999</v>
      </c>
      <c r="F567" s="13" t="str" cm="1">
        <f t="array" aca="1" ref="F567" ca="1">_FV(A567,"Instrument type",TRUE)</f>
        <v>Stock</v>
      </c>
      <c r="G567" s="18" cm="1">
        <f t="array" aca="1" ref="G567" ca="1">_FV(Table19[[#This Row],[Assets]],"Price")</f>
        <v>16200</v>
      </c>
      <c r="H567" s="36" t="str">
        <f>IFERROR(VLOOKUP(Table19[[#This Row],[Assets]],Table25[#All],15,FALSE),"")</f>
        <v/>
      </c>
      <c r="I567" s="36">
        <f>IFERROR(VLOOKUP(Table19[[#This Row],[Assets]],Table25[#All],16,FALSE),0)</f>
        <v>0</v>
      </c>
      <c r="J567" s="84" t="str">
        <f ca="1">IFERROR((Table19[[#This Row],[Price]]-Table19[[#This Row],[Ave Entry]])/Table19[[#This Row],[Ave Entry]],"")</f>
        <v/>
      </c>
      <c r="K567" s="92">
        <f ca="1">IFERROR((Table19[[#This Row],[Price]]-Table19[[#This Row],[Ave Entry]])*Table19[[#This Row],[Num of Stocks]],0)</f>
        <v>0</v>
      </c>
      <c r="L567" s="38" cm="1">
        <f t="array" aca="1" ref="L567" ca="1">_FV(Table19[[#This Row],[Assets]],"Change (%)",TRUE)</f>
        <v>3.5144000000000002E-2</v>
      </c>
      <c r="M567" s="36">
        <f>SUMIF(Table20[Asset],Table19[[#This Row],[Assets]],Table20[realized_profit])</f>
        <v>-5.0000000000000044</v>
      </c>
      <c r="N567" s="36">
        <f ca="1">SUMIF(Table20[[#All],[Asset]],Table19[[#This Row],[Assets]],Table20[[#All],[delta_exposure]])</f>
        <v>0</v>
      </c>
      <c r="O567" s="38">
        <f ca="1">Table19[[#This Row],[Option Exposure]]/$B$6</f>
        <v>0</v>
      </c>
      <c r="P567" s="51">
        <f>SUMIF(Table25[[#All],[Assets]],Table19[[#This Row],[Assets]],Table25[[#All],[Number of stocks]])</f>
        <v>0</v>
      </c>
      <c r="Q567" s="36">
        <f ca="1">Table19[[#This Row],[Num of Stocks]]*Table19[[#This Row],[Price]]</f>
        <v>0</v>
      </c>
      <c r="R567" s="36">
        <f ca="1">Table19[[#This Row],[Stock Exposure]]+Table19[[#This Row],[Option Exposure]]</f>
        <v>0</v>
      </c>
      <c r="S567" s="108" t="str">
        <f>IFERROR(Table19[[#This Row],[Num of Stocks]]*Table19[[#This Row],[Ave Entry]],"")</f>
        <v/>
      </c>
      <c r="T567" s="39">
        <f ca="1">Table19[[#This Row],[Combined Exposure]]/$C$8</f>
        <v>0</v>
      </c>
    </row>
    <row r="568" spans="1:20">
      <c r="A568" t="e" vm="559">
        <v>#VALUE!</v>
      </c>
      <c r="B568" s="13" t="str" cm="1">
        <f t="array" aca="1" ref="B568" ca="1">_FV(A568,"Ticker symbol",TRUE)</f>
        <v>XPO</v>
      </c>
      <c r="C568" s="13" t="s">
        <v>139</v>
      </c>
      <c r="D568" s="13" t="s">
        <v>139</v>
      </c>
      <c r="E568" s="19" cm="1">
        <f t="array" aca="1" ref="E568" ca="1">IFERROR(_FV(A568,"Beta"),2)</f>
        <v>2.0169000000000001</v>
      </c>
      <c r="F568" s="13" t="str" cm="1">
        <f t="array" aca="1" ref="F568" ca="1">_FV(A568,"Instrument type",TRUE)</f>
        <v>Stock</v>
      </c>
      <c r="G568" s="18" cm="1">
        <f t="array" aca="1" ref="G568" ca="1">_FV(Table19[[#This Row],[Assets]],"Price")</f>
        <v>191.04499999999999</v>
      </c>
      <c r="H568" s="36" t="str">
        <f>IFERROR(VLOOKUP(Table19[[#This Row],[Assets]],Table25[#All],15,FALSE),"")</f>
        <v/>
      </c>
      <c r="I568" s="36">
        <f>IFERROR(VLOOKUP(Table19[[#This Row],[Assets]],Table25[#All],16,FALSE),0)</f>
        <v>0</v>
      </c>
      <c r="J568" s="84" t="str">
        <f ca="1">IFERROR((Table19[[#This Row],[Price]]-Table19[[#This Row],[Ave Entry]])/Table19[[#This Row],[Ave Entry]],"")</f>
        <v/>
      </c>
      <c r="K568" s="92">
        <f ca="1">IFERROR((Table19[[#This Row],[Price]]-Table19[[#This Row],[Ave Entry]])*Table19[[#This Row],[Num of Stocks]],0)</f>
        <v>0</v>
      </c>
      <c r="L568" s="38" cm="1">
        <f t="array" aca="1" ref="L568" ca="1">_FV(Table19[[#This Row],[Assets]],"Change (%)",TRUE)</f>
        <v>2.5305000000000001E-2</v>
      </c>
      <c r="M568" s="36">
        <f>SUMIF(Table20[Asset],Table19[[#This Row],[Assets]],Table20[realized_profit])</f>
        <v>-463.99999999999994</v>
      </c>
      <c r="N568" s="36">
        <f ca="1">SUMIF(Table20[[#All],[Asset]],Table19[[#This Row],[Assets]],Table20[[#All],[delta_exposure]])</f>
        <v>0</v>
      </c>
      <c r="O568" s="38">
        <f ca="1">Table19[[#This Row],[Option Exposure]]/$B$6</f>
        <v>0</v>
      </c>
      <c r="P568" s="51">
        <f>SUMIF(Table25[[#All],[Assets]],Table19[[#This Row],[Assets]],Table25[[#All],[Number of stocks]])</f>
        <v>0</v>
      </c>
      <c r="Q568" s="36">
        <f ca="1">Table19[[#This Row],[Num of Stocks]]*Table19[[#This Row],[Price]]</f>
        <v>0</v>
      </c>
      <c r="R568" s="36">
        <f ca="1">Table19[[#This Row],[Stock Exposure]]+Table19[[#This Row],[Option Exposure]]</f>
        <v>0</v>
      </c>
      <c r="S568" s="108" t="str">
        <f>IFERROR(Table19[[#This Row],[Num of Stocks]]*Table19[[#This Row],[Ave Entry]],"")</f>
        <v/>
      </c>
      <c r="T568" s="39">
        <f ca="1">Table19[[#This Row],[Combined Exposure]]/$C$8</f>
        <v>0</v>
      </c>
    </row>
    <row r="569" spans="1:20">
      <c r="A569" t="e" vm="560">
        <v>#VALUE!</v>
      </c>
      <c r="B569" s="13" t="str" cm="1">
        <f t="array" aca="1" ref="B569" ca="1">_FV(A569,"Ticker symbol",TRUE)</f>
        <v>IBIT</v>
      </c>
      <c r="C569" s="13" t="s">
        <v>23</v>
      </c>
      <c r="D569" s="13" t="s">
        <v>23</v>
      </c>
      <c r="E569" s="19" cm="1">
        <f t="array" ref="E569">IFERROR(_FV(A569,"Beta"),2)</f>
        <v>2</v>
      </c>
      <c r="F569" s="13" t="str" cm="1">
        <f t="array" aca="1" ref="F569" ca="1">_FV(A569,"Instrument type",TRUE)</f>
        <v>ETF</v>
      </c>
      <c r="G569" s="18" cm="1">
        <f t="array" aca="1" ref="G569" ca="1">_FV(Table19[[#This Row],[Assets]],"Price")</f>
        <v>40.43</v>
      </c>
      <c r="H569" s="36" t="str">
        <f>IFERROR(VLOOKUP(Table19[[#This Row],[Assets]],Table25[#All],15,FALSE),"")</f>
        <v/>
      </c>
      <c r="I569" s="36">
        <f>IFERROR(VLOOKUP(Table19[[#This Row],[Assets]],Table25[#All],16,FALSE),0)</f>
        <v>0</v>
      </c>
      <c r="J569" s="84" t="str">
        <f ca="1">IFERROR((Table19[[#This Row],[Price]]-Table19[[#This Row],[Ave Entry]])/Table19[[#This Row],[Ave Entry]],"")</f>
        <v/>
      </c>
      <c r="K569" s="92">
        <f ca="1">IFERROR((Table19[[#This Row],[Price]]-Table19[[#This Row],[Ave Entry]])*Table19[[#This Row],[Num of Stocks]],0)</f>
        <v>0</v>
      </c>
      <c r="L569" s="38" cm="1">
        <f t="array" aca="1" ref="L569" ca="1">_FV(Table19[[#This Row],[Assets]],"Change (%)",TRUE)</f>
        <v>2.9277000000000001E-2</v>
      </c>
      <c r="M569" s="36">
        <f>SUMIF(Table20[Asset],Table19[[#This Row],[Assets]],Table20[realized_profit])</f>
        <v>-41.999999999999972</v>
      </c>
      <c r="N569" s="36">
        <f ca="1">SUMIF(Table20[[#All],[Asset]],Table19[[#This Row],[Assets]],Table20[[#All],[delta_exposure]])</f>
        <v>0</v>
      </c>
      <c r="O569" s="38">
        <f ca="1">Table19[[#This Row],[Option Exposure]]/$B$6</f>
        <v>0</v>
      </c>
      <c r="P569" s="51">
        <f>SUMIF(Table25[[#All],[Assets]],Table19[[#This Row],[Assets]],Table25[[#All],[Number of stocks]])</f>
        <v>0</v>
      </c>
      <c r="Q569" s="36">
        <f ca="1">Table19[[#This Row],[Num of Stocks]]*Table19[[#This Row],[Price]]</f>
        <v>0</v>
      </c>
      <c r="R569" s="36">
        <f ca="1">Table19[[#This Row],[Stock Exposure]]+Table19[[#This Row],[Option Exposure]]</f>
        <v>0</v>
      </c>
      <c r="S569" s="108" t="str">
        <f>IFERROR(Table19[[#This Row],[Num of Stocks]]*Table19[[#This Row],[Ave Entry]],"")</f>
        <v/>
      </c>
      <c r="T569" s="39">
        <f ca="1">Table19[[#This Row],[Combined Exposure]]/$C$8</f>
        <v>0</v>
      </c>
    </row>
    <row r="570" spans="1:20">
      <c r="A570" t="e" vm="561">
        <v>#VALUE!</v>
      </c>
      <c r="B570" s="13" t="str" cm="1">
        <f t="array" aca="1" ref="B570" ca="1">_FV(A570,"Ticker symbol",TRUE)</f>
        <v>ABBV</v>
      </c>
      <c r="C570" s="13" t="s">
        <v>53</v>
      </c>
      <c r="D570" s="13" t="s">
        <v>53</v>
      </c>
      <c r="E570" s="19" cm="1">
        <f t="array" aca="1" ref="E570" ca="1">IFERROR(_FV(A570,"Beta"),2)</f>
        <v>0.38969999999999999</v>
      </c>
      <c r="F570" s="13" t="str" cm="1">
        <f t="array" aca="1" ref="F570" ca="1">_FV(A570,"Instrument type",TRUE)</f>
        <v>Stock</v>
      </c>
      <c r="G570" s="18" cm="1">
        <f t="array" aca="1" ref="G570" ca="1">_FV(Table19[[#This Row],[Assets]],"Price")</f>
        <v>208.065</v>
      </c>
      <c r="H570" s="36" t="str">
        <f>IFERROR(VLOOKUP(Table19[[#This Row],[Assets]],Table25[#All],15,FALSE),"")</f>
        <v/>
      </c>
      <c r="I570" s="36">
        <f>IFERROR(VLOOKUP(Table19[[#This Row],[Assets]],Table25[#All],16,FALSE),0)</f>
        <v>0</v>
      </c>
      <c r="J570" s="84" t="str">
        <f ca="1">IFERROR((Table19[[#This Row],[Price]]-Table19[[#This Row],[Ave Entry]])/Table19[[#This Row],[Ave Entry]],"")</f>
        <v/>
      </c>
      <c r="K570" s="92">
        <f ca="1">IFERROR((Table19[[#This Row],[Price]]-Table19[[#This Row],[Ave Entry]])*Table19[[#This Row],[Num of Stocks]],0)</f>
        <v>0</v>
      </c>
      <c r="L570" s="38" cm="1">
        <f t="array" aca="1" ref="L570" ca="1">_FV(Table19[[#This Row],[Assets]],"Change (%)",TRUE)</f>
        <v>1.3962E-2</v>
      </c>
      <c r="M570" s="36">
        <f>SUMIF(Table20[Asset],Table19[[#This Row],[Assets]],Table20[realized_profit])</f>
        <v>-240.99999999999994</v>
      </c>
      <c r="N570" s="36">
        <f ca="1">SUMIF(Table20[[#All],[Asset]],Table19[[#This Row],[Assets]],Table20[[#All],[delta_exposure]])</f>
        <v>0</v>
      </c>
      <c r="O570" s="38">
        <f ca="1">Table19[[#This Row],[Option Exposure]]/$B$6</f>
        <v>0</v>
      </c>
      <c r="P570" s="51">
        <f>SUMIF(Table25[[#All],[Assets]],Table19[[#This Row],[Assets]],Table25[[#All],[Number of stocks]])</f>
        <v>0</v>
      </c>
      <c r="Q570" s="36">
        <f ca="1">Table19[[#This Row],[Num of Stocks]]*Table19[[#This Row],[Price]]</f>
        <v>0</v>
      </c>
      <c r="R570" s="36">
        <f ca="1">Table19[[#This Row],[Stock Exposure]]+Table19[[#This Row],[Option Exposure]]</f>
        <v>0</v>
      </c>
      <c r="S570" s="108" t="str">
        <f>IFERROR(Table19[[#This Row],[Num of Stocks]]*Table19[[#This Row],[Ave Entry]],"")</f>
        <v/>
      </c>
      <c r="T570" s="39">
        <f ca="1">Table19[[#This Row],[Combined Exposure]]/$C$8</f>
        <v>0</v>
      </c>
    </row>
    <row r="571" spans="1:20">
      <c r="A571" t="e" vm="562">
        <v>#VALUE!</v>
      </c>
      <c r="B571" s="13" t="str" cm="1">
        <f t="array" aca="1" ref="B571" ca="1">_FV(A571,"Ticker symbol",TRUE)</f>
        <v>GILD</v>
      </c>
      <c r="C571" s="13" t="s">
        <v>53</v>
      </c>
      <c r="D571" s="13" t="s">
        <v>53</v>
      </c>
      <c r="E571" s="19" cm="1">
        <f t="array" aca="1" ref="E571" ca="1">IFERROR(_FV(A571,"Beta"),2)</f>
        <v>0.40679999999999999</v>
      </c>
      <c r="F571" s="13" t="str" cm="1">
        <f t="array" aca="1" ref="F571" ca="1">_FV(A571,"Instrument type",TRUE)</f>
        <v>Stock</v>
      </c>
      <c r="G571" s="18" cm="1">
        <f t="array" aca="1" ref="G571" ca="1">_FV(Table19[[#This Row],[Assets]],"Price")</f>
        <v>139.63499999999999</v>
      </c>
      <c r="H571" s="36" t="str">
        <f>IFERROR(VLOOKUP(Table19[[#This Row],[Assets]],Table25[#All],15,FALSE),"")</f>
        <v/>
      </c>
      <c r="I571" s="36">
        <f>IFERROR(VLOOKUP(Table19[[#This Row],[Assets]],Table25[#All],16,FALSE),0)</f>
        <v>0</v>
      </c>
      <c r="J571" s="84" t="str">
        <f ca="1">IFERROR((Table19[[#This Row],[Price]]-Table19[[#This Row],[Ave Entry]])/Table19[[#This Row],[Ave Entry]],"")</f>
        <v/>
      </c>
      <c r="K571" s="92">
        <f ca="1">IFERROR((Table19[[#This Row],[Price]]-Table19[[#This Row],[Ave Entry]])*Table19[[#This Row],[Num of Stocks]],0)</f>
        <v>0</v>
      </c>
      <c r="L571" s="38" cm="1">
        <f t="array" aca="1" ref="L571" ca="1">_FV(Table19[[#This Row],[Assets]],"Change (%)",TRUE)</f>
        <v>1.1042000000000001E-2</v>
      </c>
      <c r="M571" s="36">
        <f>SUMIF(Table20[Asset],Table19[[#This Row],[Assets]],Table20[realized_profit])</f>
        <v>-266</v>
      </c>
      <c r="N571" s="36">
        <f ca="1">SUMIF(Table20[[#All],[Asset]],Table19[[#This Row],[Assets]],Table20[[#All],[delta_exposure]])</f>
        <v>0</v>
      </c>
      <c r="O571" s="38">
        <f ca="1">Table19[[#This Row],[Option Exposure]]/$B$6</f>
        <v>0</v>
      </c>
      <c r="P571" s="51">
        <f>SUMIF(Table25[[#All],[Assets]],Table19[[#This Row],[Assets]],Table25[[#All],[Number of stocks]])</f>
        <v>0</v>
      </c>
      <c r="Q571" s="36">
        <f ca="1">Table19[[#This Row],[Num of Stocks]]*Table19[[#This Row],[Price]]</f>
        <v>0</v>
      </c>
      <c r="R571" s="36">
        <f ca="1">Table19[[#This Row],[Stock Exposure]]+Table19[[#This Row],[Option Exposure]]</f>
        <v>0</v>
      </c>
      <c r="S571" s="108" t="str">
        <f>IFERROR(Table19[[#This Row],[Num of Stocks]]*Table19[[#This Row],[Ave Entry]],"")</f>
        <v/>
      </c>
      <c r="T571" s="39">
        <f ca="1">Table19[[#This Row],[Combined Exposure]]/$C$8</f>
        <v>0</v>
      </c>
    </row>
    <row r="572" spans="1:20">
      <c r="A572" t="e" vm="144">
        <v>#VALUE!</v>
      </c>
      <c r="B572" s="13" t="str" cm="1">
        <f t="array" aca="1" ref="B572" ca="1">_FV(A572,"Ticker symbol",TRUE)</f>
        <v>AAPL</v>
      </c>
      <c r="C572" s="13" t="s">
        <v>83</v>
      </c>
      <c r="D572" s="13" t="s">
        <v>259</v>
      </c>
      <c r="E572" s="19" cm="1">
        <f t="array" aca="1" ref="E572" ca="1">IFERROR(_FV(A572,"Beta"),2)</f>
        <v>1.1154999999999999</v>
      </c>
      <c r="F572" s="13" t="str" cm="1">
        <f t="array" aca="1" ref="F572" ca="1">_FV(A572,"Instrument type",TRUE)</f>
        <v>Stock</v>
      </c>
      <c r="G572" s="18" cm="1">
        <f t="array" aca="1" ref="G572" ca="1">_FV(Table19[[#This Row],[Assets]],"Price")</f>
        <v>253.2</v>
      </c>
      <c r="H572" s="36">
        <f>IFERROR(VLOOKUP(Table19[[#This Row],[Assets]],Table25[#All],15,FALSE),"")</f>
        <v>232.26</v>
      </c>
      <c r="I572" s="36">
        <f>IFERROR(VLOOKUP(Table19[[#This Row],[Assets]],Table25[#All],16,FALSE),0)</f>
        <v>7.2400000000000091</v>
      </c>
      <c r="J572" s="84">
        <f ca="1">IFERROR((Table19[[#This Row],[Price]]-Table19[[#This Row],[Ave Entry]])/Table19[[#This Row],[Ave Entry]],"")</f>
        <v>9.0157582020149826E-2</v>
      </c>
      <c r="K572" s="92">
        <f ca="1">IFERROR((Table19[[#This Row],[Price]]-Table19[[#This Row],[Ave Entry]])*Table19[[#This Row],[Num of Stocks]],0)</f>
        <v>0</v>
      </c>
      <c r="L572" s="38" cm="1">
        <f t="array" aca="1" ref="L572" ca="1">_FV(Table19[[#This Row],[Assets]],"Change (%)",TRUE)</f>
        <v>6.1989999999999996E-3</v>
      </c>
      <c r="M572" s="36">
        <f>SUMIF(Table20[Asset],Table19[[#This Row],[Assets]],Table20[realized_profit])</f>
        <v>-153.9999999999996</v>
      </c>
      <c r="N572" s="36">
        <f ca="1">SUMIF(Table20[[#All],[Asset]],Table19[[#This Row],[Assets]],Table20[[#All],[delta_exposure]])</f>
        <v>0</v>
      </c>
      <c r="O572" s="38">
        <f ca="1">Table19[[#This Row],[Option Exposure]]/$B$6</f>
        <v>0</v>
      </c>
      <c r="P572" s="51">
        <f>SUMIF(Table25[[#All],[Assets]],Table19[[#This Row],[Assets]],Table25[[#All],[Number of stocks]])</f>
        <v>0</v>
      </c>
      <c r="Q572" s="36">
        <f ca="1">Table19[[#This Row],[Num of Stocks]]*Table19[[#This Row],[Price]]</f>
        <v>0</v>
      </c>
      <c r="R572" s="36">
        <f ca="1">Table19[[#This Row],[Stock Exposure]]+Table19[[#This Row],[Option Exposure]]</f>
        <v>0</v>
      </c>
      <c r="S572" s="108">
        <f>IFERROR(Table19[[#This Row],[Num of Stocks]]*Table19[[#This Row],[Ave Entry]],"")</f>
        <v>0</v>
      </c>
      <c r="T572" s="39">
        <f ca="1">Table19[[#This Row],[Combined Exposure]]/$C$8</f>
        <v>0</v>
      </c>
    </row>
    <row r="573" spans="1:20">
      <c r="A573" t="e" vm="563">
        <v>#VALUE!</v>
      </c>
      <c r="B573" s="13" t="str" cm="1">
        <f t="array" aca="1" ref="B573" ca="1">_FV(A573,"Ticker symbol",TRUE)</f>
        <v>PLTR</v>
      </c>
      <c r="C573" s="13" t="s">
        <v>83</v>
      </c>
      <c r="D573" s="13" t="s">
        <v>83</v>
      </c>
      <c r="E573" s="19" cm="1">
        <f t="array" aca="1" ref="E573" ca="1">IFERROR(_FV(A573,"Beta"),2)</f>
        <v>1.6509</v>
      </c>
      <c r="F573" s="13" t="str" cm="1">
        <f t="array" aca="1" ref="F573" ca="1">_FV(A573,"Instrument type",TRUE)</f>
        <v>Stock</v>
      </c>
      <c r="G573" s="18" cm="1">
        <f t="array" aca="1" ref="G573" ca="1">_FV(Table19[[#This Row],[Assets]],"Price")</f>
        <v>158.88999999999999</v>
      </c>
      <c r="H573" s="36">
        <f>IFERROR(VLOOKUP(Table19[[#This Row],[Assets]],Table25[#All],15,FALSE),"")</f>
        <v>27.21</v>
      </c>
      <c r="I573" s="36">
        <f>IFERROR(VLOOKUP(Table19[[#This Row],[Assets]],Table25[#All],16,FALSE),0)</f>
        <v>72.59999999999998</v>
      </c>
      <c r="J573" s="84">
        <f ca="1">IFERROR((Table19[[#This Row],[Price]]-Table19[[#This Row],[Ave Entry]])/Table19[[#This Row],[Ave Entry]],"")</f>
        <v>4.8393972804116121</v>
      </c>
      <c r="K573" s="92">
        <f ca="1">IFERROR((Table19[[#This Row],[Price]]-Table19[[#This Row],[Ave Entry]])*Table19[[#This Row],[Num of Stocks]],0)</f>
        <v>0</v>
      </c>
      <c r="L573" s="38" cm="1">
        <f t="array" aca="1" ref="L573" ca="1">_FV(Table19[[#This Row],[Assets]],"Change (%)",TRUE)</f>
        <v>2.6554000000000001E-2</v>
      </c>
      <c r="M573" s="36">
        <f>SUMIF(Table20[Asset],Table19[[#This Row],[Assets]],Table20[realized_profit])</f>
        <v>-492</v>
      </c>
      <c r="N573" s="36">
        <f ca="1">SUMIF(Table20[[#All],[Asset]],Table19[[#This Row],[Assets]],Table20[[#All],[delta_exposure]])</f>
        <v>0</v>
      </c>
      <c r="O573" s="98">
        <f ca="1">Table19[[#This Row],[Option Exposure]]/$B$6</f>
        <v>0</v>
      </c>
      <c r="P573" s="51">
        <f>SUMIF(Table25[[#All],[Assets]],Table19[[#This Row],[Assets]],Table25[[#All],[Number of stocks]])</f>
        <v>0</v>
      </c>
      <c r="Q573" s="36">
        <f ca="1">Table19[[#This Row],[Num of Stocks]]*Table19[[#This Row],[Price]]</f>
        <v>0</v>
      </c>
      <c r="R573" s="36">
        <f ca="1">Table19[[#This Row],[Stock Exposure]]+Table19[[#This Row],[Option Exposure]]</f>
        <v>0</v>
      </c>
      <c r="S573" s="108">
        <f>IFERROR(Table19[[#This Row],[Num of Stocks]]*Table19[[#This Row],[Ave Entry]],"")</f>
        <v>0</v>
      </c>
      <c r="T573" s="39">
        <f ca="1">Table19[[#This Row],[Combined Exposure]]/$C$8</f>
        <v>0</v>
      </c>
    </row>
    <row r="574" spans="1:20">
      <c r="A574" t="e" vm="1">
        <v>#VALUE!</v>
      </c>
      <c r="B574" s="13" t="str" cm="1">
        <f t="array" aca="1" ref="B574" ca="1">_FV(A574,"Ticker symbol",TRUE)</f>
        <v>RCAT</v>
      </c>
      <c r="C574" s="13" t="s">
        <v>56</v>
      </c>
      <c r="D574" s="13" t="s">
        <v>513</v>
      </c>
      <c r="E574" s="19" cm="1">
        <f t="array" aca="1" ref="E574" ca="1">IFERROR(_FV(A574,"Beta"),2)</f>
        <v>1.2419</v>
      </c>
      <c r="F574" s="13" t="str" cm="1">
        <f t="array" aca="1" ref="F574" ca="1">_FV(A574,"Instrument type",TRUE)</f>
        <v>Stock</v>
      </c>
      <c r="G574" s="18" cm="1">
        <f t="array" aca="1" ref="G574" ca="1">_FV(Table19[[#This Row],[Assets]],"Price")</f>
        <v>16.05</v>
      </c>
      <c r="H574" s="36">
        <f>IFERROR(VLOOKUP(Table19[[#This Row],[Assets]],Table25[#All],15,FALSE),"")</f>
        <v>7.49</v>
      </c>
      <c r="I574" s="36">
        <f>IFERROR(VLOOKUP(Table19[[#This Row],[Assets]],Table25[#All],16,FALSE),0)</f>
        <v>-6.7999999999999972</v>
      </c>
      <c r="J574" s="84">
        <f ca="1">IFERROR((Table19[[#This Row],[Price]]-Table19[[#This Row],[Ave Entry]])/Table19[[#This Row],[Ave Entry]],"")</f>
        <v>1.1428571428571428</v>
      </c>
      <c r="K574" s="92">
        <f ca="1">IFERROR((Table19[[#This Row],[Price]]-Table19[[#This Row],[Ave Entry]])*Table19[[#This Row],[Num of Stocks]],0)</f>
        <v>0</v>
      </c>
      <c r="L574" s="38" cm="1">
        <f t="array" aca="1" ref="L574" ca="1">_FV(Table19[[#This Row],[Assets]],"Change (%)",TRUE)</f>
        <v>-1.8659999999999998E-3</v>
      </c>
      <c r="M574" s="36">
        <f>SUMIF(Table20[Asset],Table19[[#This Row],[Assets]],Table20[realized_profit])</f>
        <v>0</v>
      </c>
      <c r="N574" s="36">
        <f>SUMIF(Table20[[#All],[Asset]],Table19[[#This Row],[Assets]],Table20[[#All],[delta_exposure]])</f>
        <v>0</v>
      </c>
      <c r="O574" s="38">
        <f ca="1">Table19[[#This Row],[Option Exposure]]/$B$6</f>
        <v>0</v>
      </c>
      <c r="P574" s="51">
        <f>SUMIF(Table25[[#All],[Assets]],Table19[[#This Row],[Assets]],Table25[[#All],[Number of stocks]])</f>
        <v>0</v>
      </c>
      <c r="Q574" s="36">
        <f ca="1">Table19[[#This Row],[Num of Stocks]]*Table19[[#This Row],[Price]]</f>
        <v>0</v>
      </c>
      <c r="R574" s="36">
        <f ca="1">Table19[[#This Row],[Stock Exposure]]+Table19[[#This Row],[Option Exposure]]</f>
        <v>0</v>
      </c>
      <c r="S574" s="108">
        <f>IFERROR(Table19[[#This Row],[Num of Stocks]]*Table19[[#This Row],[Ave Entry]],"")</f>
        <v>0</v>
      </c>
      <c r="T574" s="108">
        <f ca="1">Table19[[#This Row],[Combined Exposure]]/$C$8</f>
        <v>0</v>
      </c>
    </row>
    <row r="575" spans="1:20">
      <c r="A575" t="e" vm="96">
        <v>#VALUE!</v>
      </c>
      <c r="B575" s="13" t="str" cm="1">
        <f t="array" aca="1" ref="B575" ca="1">_FV(A575,"Ticker symbol",TRUE)</f>
        <v>SPY</v>
      </c>
      <c r="C575" s="13" t="s">
        <v>1</v>
      </c>
      <c r="D575" s="13" t="s">
        <v>1</v>
      </c>
      <c r="E575" s="19" cm="1">
        <f t="array" aca="1" ref="E575" ca="1">IFERROR(_FV(A575,"Beta"),2)</f>
        <v>0.99870000000000003</v>
      </c>
      <c r="F575" s="13" t="str" cm="1">
        <f t="array" aca="1" ref="F575" ca="1">_FV(A575,"Instrument type",TRUE)</f>
        <v>ETF</v>
      </c>
      <c r="G575" s="18" cm="1">
        <f t="array" aca="1" ref="G575" ca="1">_FV(Table19[[#This Row],[Assets]],"Price")</f>
        <v>658.59</v>
      </c>
      <c r="H575" s="36" t="str">
        <f>IFERROR(VLOOKUP(Table19[[#This Row],[Assets]],Table25[#All],15,FALSE),"")</f>
        <v/>
      </c>
      <c r="I575" s="36">
        <f>IFERROR(VLOOKUP(Table19[[#This Row],[Assets]],Table25[#All],16,FALSE),0)</f>
        <v>0</v>
      </c>
      <c r="J575" s="84" t="str">
        <f ca="1">IFERROR((Table19[[#This Row],[Price]]-Table19[[#This Row],[Ave Entry]])/Table19[[#This Row],[Ave Entry]],"")</f>
        <v/>
      </c>
      <c r="K575" s="92">
        <f ca="1">IFERROR((Table19[[#This Row],[Price]]-Table19[[#This Row],[Ave Entry]])*Table19[[#This Row],[Num of Stocks]],0)</f>
        <v>0</v>
      </c>
      <c r="L575" s="38" cm="1">
        <f t="array" aca="1" ref="L575" ca="1">_FV(Table19[[#This Row],[Assets]],"Change (%)",TRUE)</f>
        <v>8.2830000000000004E-3</v>
      </c>
      <c r="M575" s="36">
        <f>SUMIF(Table20[Asset],Table19[[#This Row],[Assets]],Table20[realized_profit])</f>
        <v>-5077</v>
      </c>
      <c r="N575" s="36">
        <f ca="1">SUMIF(Table20[[#All],[Asset]],Table19[[#This Row],[Assets]],Table20[[#All],[delta_exposure]])</f>
        <v>0</v>
      </c>
      <c r="O575" s="98">
        <f ca="1">Table19[[#This Row],[Option Exposure]]/$B$6</f>
        <v>0</v>
      </c>
      <c r="P575" s="51">
        <f>SUMIF(Table25[[#All],[Assets]],Table19[[#This Row],[Assets]],Table25[[#All],[Number of stocks]])</f>
        <v>0</v>
      </c>
      <c r="Q575" s="36">
        <f ca="1">Table19[[#This Row],[Num of Stocks]]*Table19[[#This Row],[Price]]</f>
        <v>0</v>
      </c>
      <c r="R575" s="36">
        <f ca="1">Table19[[#This Row],[Stock Exposure]]+Table19[[#This Row],[Option Exposure]]</f>
        <v>0</v>
      </c>
      <c r="S575" s="108" t="str">
        <f>IFERROR(Table19[[#This Row],[Num of Stocks]]*Table19[[#This Row],[Ave Entry]],"")</f>
        <v/>
      </c>
      <c r="T575" s="39">
        <f ca="1">Table19[[#This Row],[Combined Exposure]]/$C$8</f>
        <v>0</v>
      </c>
    </row>
    <row r="576" spans="1:20">
      <c r="A576" t="e" vm="564">
        <v>#VALUE!</v>
      </c>
      <c r="B576" s="13" t="str" cm="1">
        <f t="array" aca="1" ref="B576" ca="1">_FV(A576,"Ticker symbol",TRUE)</f>
        <v>UBER</v>
      </c>
      <c r="C576" s="13" t="s">
        <v>521</v>
      </c>
      <c r="D576" s="13" t="s">
        <v>521</v>
      </c>
      <c r="E576" s="19" cm="1">
        <f t="array" aca="1" ref="E576" ca="1">IFERROR(_FV(A576,"Beta"),2)</f>
        <v>1.2061999999999999</v>
      </c>
      <c r="F576" s="13" t="str" cm="1">
        <f t="array" aca="1" ref="F576" ca="1">_FV(A576,"Instrument type",TRUE)</f>
        <v>Stock</v>
      </c>
      <c r="G576" s="18" cm="1">
        <f t="array" aca="1" ref="G576" ca="1">_FV(Table19[[#This Row],[Assets]],"Price")</f>
        <v>72.97</v>
      </c>
      <c r="H576" s="36" t="str">
        <f>IFERROR(VLOOKUP(Table19[[#This Row],[Assets]],Table25[#All],15,FALSE),"")</f>
        <v/>
      </c>
      <c r="I576" s="36">
        <f>IFERROR(VLOOKUP(Table19[[#This Row],[Assets]],Table25[#All],16,FALSE),0)</f>
        <v>0</v>
      </c>
      <c r="J576" s="84" t="str">
        <f ca="1">IFERROR((Table19[[#This Row],[Price]]-Table19[[#This Row],[Ave Entry]])/Table19[[#This Row],[Ave Entry]],"")</f>
        <v/>
      </c>
      <c r="K576" s="92">
        <f ca="1">IFERROR((Table19[[#This Row],[Price]]-Table19[[#This Row],[Ave Entry]])*Table19[[#This Row],[Num of Stocks]],0)</f>
        <v>0</v>
      </c>
      <c r="L576" s="38" cm="1">
        <f t="array" aca="1" ref="L576" ca="1">_FV(Table19[[#This Row],[Assets]],"Change (%)",TRUE)</f>
        <v>8.7089999999999997E-3</v>
      </c>
      <c r="M576" s="36">
        <f>SUMIF(Table20[Asset],Table19[[#This Row],[Assets]],Table20[realized_profit])</f>
        <v>0</v>
      </c>
      <c r="N576" s="36">
        <f>SUMIF(Table20[[#All],[Asset]],Table19[[#This Row],[Assets]],Table20[[#All],[delta_exposure]])</f>
        <v>0</v>
      </c>
      <c r="O576" s="38">
        <f ca="1">Table19[[#This Row],[Option Exposure]]/$B$6</f>
        <v>0</v>
      </c>
      <c r="P576" s="51">
        <f>SUMIF(Table25[[#All],[Assets]],Table19[[#This Row],[Assets]],Table25[[#All],[Number of stocks]])</f>
        <v>-1</v>
      </c>
      <c r="Q576" s="36">
        <f ca="1">Table19[[#This Row],[Num of Stocks]]*Table19[[#This Row],[Price]]</f>
        <v>-72.97</v>
      </c>
      <c r="R576" s="36">
        <f ca="1">Table19[[#This Row],[Stock Exposure]]+Table19[[#This Row],[Option Exposure]]</f>
        <v>-72.97</v>
      </c>
      <c r="S576" s="108" t="str">
        <f>IFERROR(Table19[[#This Row],[Num of Stocks]]*Table19[[#This Row],[Ave Entry]],"")</f>
        <v/>
      </c>
      <c r="T576" s="108">
        <f ca="1">Table19[[#This Row],[Combined Exposure]]/$C$8</f>
        <v>-4.5993723151838394E-4</v>
      </c>
    </row>
    <row r="577" spans="1:20">
      <c r="A577" t="e" vm="565">
        <v>#VALUE!</v>
      </c>
      <c r="B577" s="13" t="str" cm="1">
        <f t="array" aca="1" ref="B577" ca="1">_FV(A577,"Ticker symbol",TRUE)</f>
        <v>SBET</v>
      </c>
      <c r="C577" s="13" t="s">
        <v>23</v>
      </c>
      <c r="D577" s="13" t="s">
        <v>542</v>
      </c>
      <c r="E577" s="19" cm="1">
        <f t="array" aca="1" ref="E577" ca="1">IFERROR(_FV(A577,"Beta"),2)</f>
        <v>3.06</v>
      </c>
      <c r="F577" s="13" t="str" cm="1">
        <f t="array" aca="1" ref="F577" ca="1">_FV(A577,"Instrument type",TRUE)</f>
        <v>Stock</v>
      </c>
      <c r="G577" s="18" cm="1">
        <f t="array" aca="1" ref="G577" ca="1">_FV(Table19[[#This Row],[Assets]],"Price")</f>
        <v>7.38</v>
      </c>
      <c r="H577" s="36">
        <f>IFERROR(VLOOKUP(Table19[[#This Row],[Assets]],Table25[#All],15,FALSE),"")</f>
        <v>13.92</v>
      </c>
      <c r="I577" s="36">
        <f>IFERROR(VLOOKUP(Table19[[#This Row],[Assets]],Table25[#All],16,FALSE),0)</f>
        <v>571.78</v>
      </c>
      <c r="J577" s="84">
        <f ca="1">IFERROR((Table19[[#This Row],[Price]]-Table19[[#This Row],[Ave Entry]])/Table19[[#This Row],[Ave Entry]],"")</f>
        <v>-0.46982758620689657</v>
      </c>
      <c r="K577" s="92">
        <f ca="1">IFERROR((Table19[[#This Row],[Price]]-Table19[[#This Row],[Ave Entry]])*Table19[[#This Row],[Num of Stocks]],0)</f>
        <v>0</v>
      </c>
      <c r="L577" s="38" cm="1">
        <f t="array" aca="1" ref="L577" ca="1">_FV(Table19[[#This Row],[Assets]],"Change (%)",TRUE)</f>
        <v>2.9288999999999999E-2</v>
      </c>
      <c r="M577" s="36">
        <f>SUMIF(Table20[Asset],Table19[[#This Row],[Assets]],Table20[realized_profit])</f>
        <v>0</v>
      </c>
      <c r="N577" s="36">
        <f>SUMIF(Table20[[#All],[Asset]],Table19[[#This Row],[Assets]],Table20[[#All],[delta_exposure]])</f>
        <v>0</v>
      </c>
      <c r="O577" s="38">
        <f ca="1">Table19[[#This Row],[Option Exposure]]/$B$6</f>
        <v>0</v>
      </c>
      <c r="P577" s="51">
        <f>SUMIF(Table25[[#All],[Assets]],Table19[[#This Row],[Assets]],Table25[[#All],[Number of stocks]])</f>
        <v>0</v>
      </c>
      <c r="Q577" s="36">
        <f ca="1">Table19[[#This Row],[Num of Stocks]]*Table19[[#This Row],[Price]]</f>
        <v>0</v>
      </c>
      <c r="R577" s="36">
        <f ca="1">Table19[[#This Row],[Stock Exposure]]+Table19[[#This Row],[Option Exposure]]</f>
        <v>0</v>
      </c>
      <c r="S577" s="108">
        <f>IFERROR(Table19[[#This Row],[Num of Stocks]]*Table19[[#This Row],[Ave Entry]],"")</f>
        <v>0</v>
      </c>
      <c r="T577" s="108">
        <f ca="1">Table19[[#This Row],[Combined Exposure]]/$C$8</f>
        <v>0</v>
      </c>
    </row>
    <row r="578" spans="1:20">
      <c r="A578" t="e" vm="566">
        <v>#VALUE!</v>
      </c>
      <c r="B578" s="13" t="str" cm="1">
        <f t="array" aca="1" ref="B578" ca="1">_FV(A578,"Ticker symbol",TRUE)</f>
        <v>ICLN</v>
      </c>
      <c r="C578" s="13" t="s">
        <v>31</v>
      </c>
      <c r="D578" s="13" t="s">
        <v>544</v>
      </c>
      <c r="E578" s="19" cm="1">
        <f t="array" aca="1" ref="E578" ca="1">IFERROR(_FV(A578,"Beta"),2)</f>
        <v>1.0004999999999999</v>
      </c>
      <c r="F578" s="13" t="str" cm="1">
        <f t="array" aca="1" ref="F578" ca="1">_FV(A578,"Instrument type",TRUE)</f>
        <v>ETF</v>
      </c>
      <c r="G578" s="18" cm="1">
        <f t="array" aca="1" ref="G578" ca="1">_FV(Table19[[#This Row],[Assets]],"Price")</f>
        <v>18.72</v>
      </c>
      <c r="H578" s="36" t="str">
        <f>IFERROR(VLOOKUP(Table19[[#This Row],[Assets]],Table25[#All],15,FALSE),"")</f>
        <v/>
      </c>
      <c r="I578" s="36">
        <f>IFERROR(VLOOKUP(Table19[[#This Row],[Assets]],Table25[#All],16,FALSE),0)</f>
        <v>0</v>
      </c>
      <c r="J578" s="84" t="str">
        <f ca="1">IFERROR((Table19[[#This Row],[Price]]-Table19[[#This Row],[Ave Entry]])/Table19[[#This Row],[Ave Entry]],"")</f>
        <v/>
      </c>
      <c r="K578" s="92">
        <f ca="1">IFERROR((Table19[[#This Row],[Price]]-Table19[[#This Row],[Ave Entry]])*Table19[[#This Row],[Num of Stocks]],0)</f>
        <v>0</v>
      </c>
      <c r="L578" s="38" cm="1">
        <f t="array" aca="1" ref="L578" ca="1">_FV(Table19[[#This Row],[Assets]],"Change (%)",TRUE)</f>
        <v>2.2391999999999999E-2</v>
      </c>
      <c r="M578" s="36">
        <f>SUMIF(Table20[Asset],Table19[[#This Row],[Assets]],Table20[realized_profit])</f>
        <v>45.000000000000043</v>
      </c>
      <c r="N578" s="36">
        <f ca="1">SUMIF(Table20[[#All],[Asset]],Table19[[#This Row],[Assets]],Table20[[#All],[delta_exposure]])</f>
        <v>0</v>
      </c>
      <c r="O578" s="38">
        <f ca="1">Table19[[#This Row],[Option Exposure]]/$B$6</f>
        <v>0</v>
      </c>
      <c r="P578" s="51">
        <f>SUMIF(Table25[[#All],[Assets]],Table19[[#This Row],[Assets]],Table25[[#All],[Number of stocks]])</f>
        <v>0</v>
      </c>
      <c r="Q578" s="36">
        <f ca="1">Table19[[#This Row],[Num of Stocks]]*Table19[[#This Row],[Price]]</f>
        <v>0</v>
      </c>
      <c r="R578" s="36">
        <f ca="1">Table19[[#This Row],[Stock Exposure]]+Table19[[#This Row],[Option Exposure]]</f>
        <v>0</v>
      </c>
      <c r="S578" s="108" t="str">
        <f>IFERROR(Table19[[#This Row],[Num of Stocks]]*Table19[[#This Row],[Ave Entry]],"")</f>
        <v/>
      </c>
      <c r="T578" s="108">
        <f ca="1">Table19[[#This Row],[Combined Exposure]]/$C$8</f>
        <v>0</v>
      </c>
    </row>
    <row r="579" spans="1:20">
      <c r="A579" t="e" vm="567">
        <v>#VALUE!</v>
      </c>
      <c r="B579" s="13" t="str" cm="1">
        <f t="array" aca="1" ref="B579" ca="1">_FV(A579,"Ticker symbol",TRUE)</f>
        <v>BMNR</v>
      </c>
      <c r="C579" s="13" t="s">
        <v>23</v>
      </c>
      <c r="D579" s="13" t="s">
        <v>542</v>
      </c>
      <c r="E579" s="19" cm="1">
        <f t="array" aca="1" ref="E579" ca="1">IFERROR(_FV(A579,"Beta"),2)</f>
        <v>1.4045000000000001</v>
      </c>
      <c r="F579" s="13" t="str" cm="1">
        <f t="array" aca="1" ref="F579" ca="1">_FV(A579,"Instrument type",TRUE)</f>
        <v>Stock</v>
      </c>
      <c r="G579" s="18" cm="1">
        <f t="array" aca="1" ref="G579" ca="1">_FV(Table19[[#This Row],[Assets]],"Price")</f>
        <v>21.296199999999999</v>
      </c>
      <c r="H579" s="36">
        <f>IFERROR(VLOOKUP(Table19[[#This Row],[Assets]],Table25[#All],15,FALSE),"")</f>
        <v>37.645263157894739</v>
      </c>
      <c r="I579" s="36">
        <f>IFERROR(VLOOKUP(Table19[[#This Row],[Assets]],Table25[#All],16,FALSE),0)</f>
        <v>824.84</v>
      </c>
      <c r="J579" s="84">
        <f ca="1">IFERROR((Table19[[#This Row],[Price]]-Table19[[#This Row],[Ave Entry]])/Table19[[#This Row],[Ave Entry]],"")</f>
        <v>-0.43429270475072007</v>
      </c>
      <c r="K579" s="92">
        <f ca="1">IFERROR((Table19[[#This Row],[Price]]-Table19[[#This Row],[Ave Entry]])*Table19[[#This Row],[Num of Stocks]],0)</f>
        <v>0</v>
      </c>
      <c r="L579" s="38" cm="1">
        <f t="array" aca="1" ref="L579" ca="1">_FV(Table19[[#This Row],[Assets]],"Change (%)",TRUE)</f>
        <v>2.3856000000000002E-2</v>
      </c>
      <c r="M579" s="36">
        <f>SUMIF(Table20[Asset],Table19[[#This Row],[Assets]],Table20[realized_profit])</f>
        <v>0</v>
      </c>
      <c r="N579" s="36">
        <f>SUMIF(Table20[[#All],[Asset]],Table19[[#This Row],[Assets]],Table20[[#All],[delta_exposure]])</f>
        <v>0</v>
      </c>
      <c r="O579" s="38">
        <f ca="1">Table19[[#This Row],[Option Exposure]]/$B$6</f>
        <v>0</v>
      </c>
      <c r="P579" s="51">
        <f>SUMIF(Table25[[#All],[Assets]],Table19[[#This Row],[Assets]],Table25[[#All],[Number of stocks]])</f>
        <v>0</v>
      </c>
      <c r="Q579" s="36">
        <f ca="1">Table19[[#This Row],[Num of Stocks]]*Table19[[#This Row],[Price]]</f>
        <v>0</v>
      </c>
      <c r="R579" s="36">
        <f ca="1">Table19[[#This Row],[Stock Exposure]]+Table19[[#This Row],[Option Exposure]]</f>
        <v>0</v>
      </c>
      <c r="S579" s="108">
        <f>IFERROR(Table19[[#This Row],[Num of Stocks]]*Table19[[#This Row],[Ave Entry]],"")</f>
        <v>0</v>
      </c>
      <c r="T579" s="108">
        <f ca="1">Table19[[#This Row],[Combined Exposure]]/$C$8</f>
        <v>0</v>
      </c>
    </row>
    <row r="580" spans="1:20">
      <c r="A580" t="e" vm="568">
        <v>#VALUE!</v>
      </c>
      <c r="B580" s="13" t="str" cm="1">
        <f t="array" aca="1" ref="B580" ca="1">_FV(A580,"Ticker symbol",TRUE)</f>
        <v>LRMR</v>
      </c>
      <c r="C580" s="13" t="s">
        <v>53</v>
      </c>
      <c r="D580" s="13" t="s">
        <v>53</v>
      </c>
      <c r="E580" s="19" cm="1">
        <f t="array" aca="1" ref="E580" ca="1">IFERROR(_FV(A580,"Beta"),2)</f>
        <v>1.0146999999999999</v>
      </c>
      <c r="F580" s="13" t="str" cm="1">
        <f t="array" aca="1" ref="F580" ca="1">_FV(A580,"Instrument type",TRUE)</f>
        <v>Stock</v>
      </c>
      <c r="G580" s="18" cm="1">
        <f t="array" aca="1" ref="G580" ca="1">_FV(Table19[[#This Row],[Assets]],"Price")</f>
        <v>4.665</v>
      </c>
      <c r="H580" s="36">
        <f>IFERROR(VLOOKUP(Table19[[#This Row],[Assets]],Table25[#All],15,FALSE),"")</f>
        <v>3.46</v>
      </c>
      <c r="I580" s="36">
        <f>IFERROR(VLOOKUP(Table19[[#This Row],[Assets]],Table25[#All],16,FALSE),0)</f>
        <v>25.999999999999964</v>
      </c>
      <c r="J580" s="84">
        <f ca="1">IFERROR((Table19[[#This Row],[Price]]-Table19[[#This Row],[Ave Entry]])/Table19[[#This Row],[Ave Entry]],"")</f>
        <v>0.34826589595375723</v>
      </c>
      <c r="K580" s="92">
        <f ca="1">IFERROR((Table19[[#This Row],[Price]]-Table19[[#This Row],[Ave Entry]])*Table19[[#This Row],[Num of Stocks]],0)</f>
        <v>0</v>
      </c>
      <c r="L580" s="38" cm="1">
        <f t="array" aca="1" ref="L580" ca="1">_FV(Table19[[#This Row],[Assets]],"Change (%)",TRUE)</f>
        <v>2.0788000000000001E-2</v>
      </c>
      <c r="M580" s="36">
        <f>SUMIF(Table20[Asset],Table19[[#This Row],[Assets]],Table20[realized_profit])</f>
        <v>0</v>
      </c>
      <c r="N580" s="36">
        <f>SUMIF(Table20[[#All],[Asset]],Table19[[#This Row],[Assets]],Table20[[#All],[delta_exposure]])</f>
        <v>0</v>
      </c>
      <c r="O580" s="38">
        <f ca="1">Table19[[#This Row],[Option Exposure]]/$B$6</f>
        <v>0</v>
      </c>
      <c r="P580" s="51">
        <f>SUMIF(Table25[[#All],[Assets]],Table19[[#This Row],[Assets]],Table25[[#All],[Number of stocks]])</f>
        <v>0</v>
      </c>
      <c r="Q580" s="36">
        <f ca="1">Table19[[#This Row],[Num of Stocks]]*Table19[[#This Row],[Price]]</f>
        <v>0</v>
      </c>
      <c r="R580" s="36">
        <f ca="1">Table19[[#This Row],[Stock Exposure]]+Table19[[#This Row],[Option Exposure]]</f>
        <v>0</v>
      </c>
      <c r="S580" s="108">
        <f>IFERROR(Table19[[#This Row],[Num of Stocks]]*Table19[[#This Row],[Ave Entry]],"")</f>
        <v>0</v>
      </c>
      <c r="T580" s="108">
        <f ca="1">Table19[[#This Row],[Combined Exposure]]/$C$8</f>
        <v>0</v>
      </c>
    </row>
    <row r="581" spans="1:20">
      <c r="A581" t="e" vm="569">
        <v>#VALUE!</v>
      </c>
      <c r="B581" s="13" t="str" cm="1">
        <f t="array" aca="1" ref="B581" ca="1">_FV(A581,"Ticker symbol",TRUE)</f>
        <v>PGR</v>
      </c>
      <c r="C581" s="13" t="s">
        <v>408</v>
      </c>
      <c r="D581" s="13" t="s">
        <v>408</v>
      </c>
      <c r="E581" s="19" cm="1">
        <f t="array" aca="1" ref="E581" ca="1">IFERROR(_FV(A581,"Beta"),2)</f>
        <v>0.30759999999999998</v>
      </c>
      <c r="F581" s="13" t="str" cm="1">
        <f t="array" aca="1" ref="F581" ca="1">_FV(A581,"Instrument type",TRUE)</f>
        <v>Stock</v>
      </c>
      <c r="G581" s="18" cm="1">
        <f t="array" aca="1" ref="G581" ca="1">_FV(Table19[[#This Row],[Assets]],"Price")</f>
        <v>203.32</v>
      </c>
      <c r="H581" s="36">
        <f>IFERROR(VLOOKUP(Table19[[#This Row],[Assets]],Table25[#All],15,FALSE),"")</f>
        <v>246.04</v>
      </c>
      <c r="I581" s="36">
        <f>IFERROR(VLOOKUP(Table19[[#This Row],[Assets]],Table25[#All],16,FALSE),0)</f>
        <v>3.9000000000000341</v>
      </c>
      <c r="J581" s="84">
        <f ca="1">IFERROR((Table19[[#This Row],[Price]]-Table19[[#This Row],[Ave Entry]])/Table19[[#This Row],[Ave Entry]],"")</f>
        <v>-0.17363030401560722</v>
      </c>
      <c r="K581" s="92">
        <f ca="1">IFERROR((Table19[[#This Row],[Price]]-Table19[[#This Row],[Ave Entry]])*Table19[[#This Row],[Num of Stocks]],0)</f>
        <v>0</v>
      </c>
      <c r="L581" s="38" cm="1">
        <f t="array" aca="1" ref="L581" ca="1">_FV(Table19[[#This Row],[Assets]],"Change (%)",TRUE)</f>
        <v>-1.4015E-2</v>
      </c>
      <c r="M581" s="36">
        <f>SUMIF(Table20[Asset],Table19[[#This Row],[Assets]],Table20[realized_profit])</f>
        <v>0</v>
      </c>
      <c r="N581" s="36">
        <f>SUMIF(Table20[[#All],[Asset]],Table19[[#This Row],[Assets]],Table20[[#All],[delta_exposure]])</f>
        <v>0</v>
      </c>
      <c r="O581" s="38">
        <f ca="1">Table19[[#This Row],[Option Exposure]]/$B$6</f>
        <v>0</v>
      </c>
      <c r="P581" s="51">
        <f>SUMIF(Table25[[#All],[Assets]],Table19[[#This Row],[Assets]],Table25[[#All],[Number of stocks]])</f>
        <v>0</v>
      </c>
      <c r="Q581" s="36">
        <f ca="1">Table19[[#This Row],[Num of Stocks]]*Table19[[#This Row],[Price]]</f>
        <v>0</v>
      </c>
      <c r="R581" s="36">
        <f ca="1">Table19[[#This Row],[Stock Exposure]]+Table19[[#This Row],[Option Exposure]]</f>
        <v>0</v>
      </c>
      <c r="S581" s="108">
        <f>IFERROR(Table19[[#This Row],[Num of Stocks]]*Table19[[#This Row],[Ave Entry]],"")</f>
        <v>0</v>
      </c>
      <c r="T581" s="108">
        <f ca="1">Table19[[#This Row],[Combined Exposure]]/$C$8</f>
        <v>0</v>
      </c>
    </row>
    <row r="582" spans="1:20">
      <c r="A582" t="e" vm="570">
        <v>#VALUE!</v>
      </c>
      <c r="B582" s="13" t="str" cm="1">
        <f t="array" aca="1" ref="B582" ca="1">_FV(A582,"Ticker symbol",TRUE)</f>
        <v>UCTT</v>
      </c>
      <c r="C582" s="13" t="s">
        <v>84</v>
      </c>
      <c r="D582" s="13" t="s">
        <v>545</v>
      </c>
      <c r="E582" s="19" cm="1">
        <f t="array" aca="1" ref="E582" ca="1">IFERROR(_FV(A582,"Beta"),2)</f>
        <v>1.7938000000000001</v>
      </c>
      <c r="F582" s="13" t="str" cm="1">
        <f t="array" aca="1" ref="F582" ca="1">_FV(A582,"Instrument type",TRUE)</f>
        <v>Stock</v>
      </c>
      <c r="G582" s="18" cm="1">
        <f t="array" aca="1" ref="G582" ca="1">_FV(Table19[[#This Row],[Assets]],"Price")</f>
        <v>67.099999999999994</v>
      </c>
      <c r="H582" s="36">
        <f>IFERROR(VLOOKUP(Table19[[#This Row],[Assets]],Table25[#All],15,FALSE),"")</f>
        <v>25.495945945945948</v>
      </c>
      <c r="I582" s="36">
        <f>IFERROR(VLOOKUP(Table19[[#This Row],[Assets]],Table25[#All],16,FALSE),0)</f>
        <v>-71.630000000000123</v>
      </c>
      <c r="J582" s="84">
        <f ca="1">IFERROR((Table19[[#This Row],[Price]]-Table19[[#This Row],[Ave Entry]])/Table19[[#This Row],[Ave Entry]],"")</f>
        <v>1.6317909577569296</v>
      </c>
      <c r="K582" s="92">
        <f ca="1">IFERROR((Table19[[#This Row],[Price]]-Table19[[#This Row],[Ave Entry]])*Table19[[#This Row],[Num of Stocks]],0)</f>
        <v>0</v>
      </c>
      <c r="L582" s="38" cm="1">
        <f t="array" aca="1" ref="L582" ca="1">_FV(Table19[[#This Row],[Assets]],"Change (%)",TRUE)</f>
        <v>2.8036999999999999E-2</v>
      </c>
      <c r="M582" s="36">
        <f>SUMIF(Table20[Asset],Table19[[#This Row],[Assets]],Table20[realized_profit])</f>
        <v>0</v>
      </c>
      <c r="N582" s="36">
        <f>SUMIF(Table20[[#All],[Asset]],Table19[[#This Row],[Assets]],Table20[[#All],[delta_exposure]])</f>
        <v>0</v>
      </c>
      <c r="O582" s="38">
        <f ca="1">Table19[[#This Row],[Option Exposure]]/$B$6</f>
        <v>0</v>
      </c>
      <c r="P582" s="51">
        <f>SUMIF(Table25[[#All],[Assets]],Table19[[#This Row],[Assets]],Table25[[#All],[Number of stocks]])</f>
        <v>0</v>
      </c>
      <c r="Q582" s="36">
        <f ca="1">Table19[[#This Row],[Num of Stocks]]*Table19[[#This Row],[Price]]</f>
        <v>0</v>
      </c>
      <c r="R582" s="36">
        <f ca="1">Table19[[#This Row],[Stock Exposure]]+Table19[[#This Row],[Option Exposure]]</f>
        <v>0</v>
      </c>
      <c r="S582" s="108">
        <f>IFERROR(Table19[[#This Row],[Num of Stocks]]*Table19[[#This Row],[Ave Entry]],"")</f>
        <v>0</v>
      </c>
      <c r="T582" s="108">
        <f ca="1">Table19[[#This Row],[Combined Exposure]]/$C$8</f>
        <v>0</v>
      </c>
    </row>
    <row r="583" spans="1:20">
      <c r="A583" t="e" vm="571">
        <v>#VALUE!</v>
      </c>
      <c r="B583" s="13" t="str" cm="1">
        <f t="array" aca="1" ref="B583" ca="1">_FV(A583,"Ticker symbol",TRUE)</f>
        <v>LCID</v>
      </c>
      <c r="C583" s="13" t="s">
        <v>120</v>
      </c>
      <c r="D583" s="13" t="s">
        <v>120</v>
      </c>
      <c r="E583" s="19" cm="1">
        <f t="array" aca="1" ref="E583" ca="1">IFERROR(_FV(A583,"Beta"),2)</f>
        <v>1.127</v>
      </c>
      <c r="F583" s="13" t="str" cm="1">
        <f t="array" aca="1" ref="F583" ca="1">_FV(A583,"Instrument type",TRUE)</f>
        <v>Stock</v>
      </c>
      <c r="G583" s="18" cm="1">
        <f t="array" aca="1" ref="G583" ca="1">_FV(Table19[[#This Row],[Assets]],"Price")</f>
        <v>10.63</v>
      </c>
      <c r="H583" s="36">
        <f>IFERROR(VLOOKUP(Table19[[#This Row],[Assets]],Table25[#All],15,FALSE),"")</f>
        <v>3.21</v>
      </c>
      <c r="I583" s="36">
        <f>IFERROR(VLOOKUP(Table19[[#This Row],[Assets]],Table25[#All],16,FALSE),0)</f>
        <v>-58.500000000000021</v>
      </c>
      <c r="J583" s="84">
        <f ca="1">IFERROR((Table19[[#This Row],[Price]]-Table19[[#This Row],[Ave Entry]])/Table19[[#This Row],[Ave Entry]],"")</f>
        <v>2.3115264797507793</v>
      </c>
      <c r="K583" s="92">
        <f ca="1">IFERROR((Table19[[#This Row],[Price]]-Table19[[#This Row],[Ave Entry]])*Table19[[#This Row],[Num of Stocks]],0)</f>
        <v>0</v>
      </c>
      <c r="L583" s="38" cm="1">
        <f t="array" aca="1" ref="L583" ca="1">_FV(Table19[[#This Row],[Assets]],"Change (%)",TRUE)</f>
        <v>2.6061999999999998E-2</v>
      </c>
      <c r="M583" s="36">
        <f>SUMIF(Table20[Asset],Table19[[#This Row],[Assets]],Table20[realized_profit])</f>
        <v>0</v>
      </c>
      <c r="N583" s="36">
        <f>SUMIF(Table20[[#All],[Asset]],Table19[[#This Row],[Assets]],Table20[[#All],[delta_exposure]])</f>
        <v>0</v>
      </c>
      <c r="O583" s="38">
        <f ca="1">Table19[[#This Row],[Option Exposure]]/$B$6</f>
        <v>0</v>
      </c>
      <c r="P583" s="51">
        <f>SUMIF(Table25[[#All],[Assets]],Table19[[#This Row],[Assets]],Table25[[#All],[Number of stocks]])</f>
        <v>0</v>
      </c>
      <c r="Q583" s="36">
        <f ca="1">Table19[[#This Row],[Num of Stocks]]*Table19[[#This Row],[Price]]</f>
        <v>0</v>
      </c>
      <c r="R583" s="36">
        <f ca="1">Table19[[#This Row],[Stock Exposure]]+Table19[[#This Row],[Option Exposure]]</f>
        <v>0</v>
      </c>
      <c r="S583" s="108">
        <f>IFERROR(Table19[[#This Row],[Num of Stocks]]*Table19[[#This Row],[Ave Entry]],"")</f>
        <v>0</v>
      </c>
      <c r="T583" s="108">
        <f ca="1">Table19[[#This Row],[Combined Exposure]]/$C$8</f>
        <v>0</v>
      </c>
    </row>
    <row r="584" spans="1:20">
      <c r="A584" t="e" vm="572">
        <v>#VALUE!</v>
      </c>
      <c r="B584" s="13" t="str" cm="1">
        <f t="array" aca="1" ref="B584" ca="1">_FV(A584,"Ticker symbol",TRUE)</f>
        <v>SKYT</v>
      </c>
      <c r="C584" s="13" t="s">
        <v>84</v>
      </c>
      <c r="D584" s="13" t="s">
        <v>548</v>
      </c>
      <c r="E584" s="19" cm="1">
        <f t="array" aca="1" ref="E584" ca="1">IFERROR(_FV(A584,"Beta"),2)</f>
        <v>3.4535</v>
      </c>
      <c r="F584" s="13" t="str" cm="1">
        <f t="array" aca="1" ref="F584" ca="1">_FV(A584,"Instrument type",TRUE)</f>
        <v>Stock</v>
      </c>
      <c r="G584" s="18" cm="1">
        <f t="array" aca="1" ref="G584" ca="1">_FV(Table19[[#This Row],[Assets]],"Price")</f>
        <v>29.49</v>
      </c>
      <c r="H584" s="36">
        <f>IFERROR(VLOOKUP(Table19[[#This Row],[Assets]],Table25[#All],15,FALSE),"")</f>
        <v>10.26</v>
      </c>
      <c r="I584" s="36">
        <f>IFERROR(VLOOKUP(Table19[[#This Row],[Assets]],Table25[#All],16,FALSE),0)</f>
        <v>-40.740000000000023</v>
      </c>
      <c r="J584" s="84">
        <f ca="1">IFERROR((Table19[[#This Row],[Price]]-Table19[[#This Row],[Ave Entry]])/Table19[[#This Row],[Ave Entry]],"")</f>
        <v>1.874269005847953</v>
      </c>
      <c r="K584" s="92">
        <f ca="1">IFERROR((Table19[[#This Row],[Price]]-Table19[[#This Row],[Ave Entry]])*Table19[[#This Row],[Num of Stocks]],0)</f>
        <v>0</v>
      </c>
      <c r="L584" s="38" cm="1">
        <f t="array" aca="1" ref="L584" ca="1">_FV(Table19[[#This Row],[Assets]],"Change (%)",TRUE)</f>
        <v>9.9319999999999999E-3</v>
      </c>
      <c r="M584" s="36">
        <f>SUMIF(Table20[Asset],Table19[[#This Row],[Assets]],Table20[realized_profit])</f>
        <v>0</v>
      </c>
      <c r="N584" s="36">
        <f>SUMIF(Table20[[#All],[Asset]],Table19[[#This Row],[Assets]],Table20[[#All],[delta_exposure]])</f>
        <v>0</v>
      </c>
      <c r="O584" s="38">
        <f ca="1">Table19[[#This Row],[Option Exposure]]/$B$6</f>
        <v>0</v>
      </c>
      <c r="P584" s="51">
        <f>SUMIF(Table25[[#All],[Assets]],Table19[[#This Row],[Assets]],Table25[[#All],[Number of stocks]])</f>
        <v>0</v>
      </c>
      <c r="Q584" s="36">
        <f ca="1">Table19[[#This Row],[Num of Stocks]]*Table19[[#This Row],[Price]]</f>
        <v>0</v>
      </c>
      <c r="R584" s="36">
        <f ca="1">Table19[[#This Row],[Stock Exposure]]+Table19[[#This Row],[Option Exposure]]</f>
        <v>0</v>
      </c>
      <c r="S584" s="108">
        <f>IFERROR(Table19[[#This Row],[Num of Stocks]]*Table19[[#This Row],[Ave Entry]],"")</f>
        <v>0</v>
      </c>
      <c r="T584" s="108">
        <f ca="1">Table19[[#This Row],[Combined Exposure]]/$C$8</f>
        <v>0</v>
      </c>
    </row>
    <row r="585" spans="1:20">
      <c r="A585" t="e" vm="573">
        <v>#VALUE!</v>
      </c>
      <c r="B585" s="13" t="str" cm="1">
        <f t="array" aca="1" ref="B585" ca="1">_FV(A585,"Ticker symbol",TRUE)</f>
        <v>GLXY</v>
      </c>
      <c r="C585" s="13" t="s">
        <v>23</v>
      </c>
      <c r="D585" s="13" t="s">
        <v>542</v>
      </c>
      <c r="E585" s="19" cm="1">
        <f t="array" aca="1" ref="E585" ca="1">IFERROR(_FV(A585,"Beta"),2)</f>
        <v>3.6051000000000002</v>
      </c>
      <c r="F585" s="13" t="str" cm="1">
        <f t="array" aca="1" ref="F585" ca="1">_FV(A585,"Instrument type",TRUE)</f>
        <v>Stock</v>
      </c>
      <c r="G585" s="18" cm="1">
        <f t="array" aca="1" ref="G585" ca="1">_FV(Table19[[#This Row],[Assets]],"Price")</f>
        <v>28.68</v>
      </c>
      <c r="H585" s="36">
        <f>IFERROR(VLOOKUP(Table19[[#This Row],[Assets]],Table25[#All],15,FALSE),"")</f>
        <v>28.1</v>
      </c>
      <c r="I585" s="36">
        <f>IFERROR(VLOOKUP(Table19[[#This Row],[Assets]],Table25[#All],16,FALSE),0)</f>
        <v>-18.600000000000009</v>
      </c>
      <c r="J585" s="84">
        <f ca="1">IFERROR((Table19[[#This Row],[Price]]-Table19[[#This Row],[Ave Entry]])/Table19[[#This Row],[Ave Entry]],"")</f>
        <v>2.0640569395017731E-2</v>
      </c>
      <c r="K585" s="92">
        <f ca="1">IFERROR((Table19[[#This Row],[Price]]-Table19[[#This Row],[Ave Entry]])*Table19[[#This Row],[Num of Stocks]],0)</f>
        <v>0</v>
      </c>
      <c r="L585" s="38" cm="1">
        <f t="array" aca="1" ref="L585" ca="1">_FV(Table19[[#This Row],[Assets]],"Change (%)",TRUE)</f>
        <v>0</v>
      </c>
      <c r="M585" s="36">
        <f>SUMIF(Table20[Asset],Table19[[#This Row],[Assets]],Table20[realized_profit])</f>
        <v>0</v>
      </c>
      <c r="N585" s="36">
        <f>SUMIF(Table20[[#All],[Asset]],Table19[[#This Row],[Assets]],Table20[[#All],[delta_exposure]])</f>
        <v>0</v>
      </c>
      <c r="O585" s="38">
        <f ca="1">Table19[[#This Row],[Option Exposure]]/$B$6</f>
        <v>0</v>
      </c>
      <c r="P585" s="51">
        <f>SUMIF(Table25[[#All],[Assets]],Table19[[#This Row],[Assets]],Table25[[#All],[Number of stocks]])</f>
        <v>0</v>
      </c>
      <c r="Q585" s="36">
        <f ca="1">Table19[[#This Row],[Num of Stocks]]*Table19[[#This Row],[Price]]</f>
        <v>0</v>
      </c>
      <c r="R585" s="36">
        <f ca="1">Table19[[#This Row],[Stock Exposure]]+Table19[[#This Row],[Option Exposure]]</f>
        <v>0</v>
      </c>
      <c r="S585" s="108">
        <f>IFERROR(Table19[[#This Row],[Num of Stocks]]*Table19[[#This Row],[Ave Entry]],"")</f>
        <v>0</v>
      </c>
      <c r="T585" s="108">
        <f ca="1">Table19[[#This Row],[Combined Exposure]]/$C$8</f>
        <v>0</v>
      </c>
    </row>
    <row r="586" spans="1:20">
      <c r="A586" t="e" vm="574">
        <v>#VALUE!</v>
      </c>
      <c r="B586" s="13" t="str" cm="1">
        <f t="array" aca="1" ref="B586" ca="1">_FV(A586,"Ticker symbol",TRUE)</f>
        <v>RMD</v>
      </c>
      <c r="C586" s="13" t="s">
        <v>53</v>
      </c>
      <c r="D586" s="13" t="s">
        <v>551</v>
      </c>
      <c r="E586" s="19" cm="1">
        <f t="array" aca="1" ref="E586" ca="1">IFERROR(_FV(A586,"Beta"),2)</f>
        <v>0.92</v>
      </c>
      <c r="F586" s="13" t="str" cm="1">
        <f t="array" aca="1" ref="F586" ca="1">_FV(A586,"Instrument type",TRUE)</f>
        <v>Stock</v>
      </c>
      <c r="G586" s="18" cm="1">
        <f t="array" aca="1" ref="G586" ca="1">_FV(Table19[[#This Row],[Assets]],"Price")</f>
        <v>222.16499999999999</v>
      </c>
      <c r="H586" s="36" t="str">
        <f>IFERROR(VLOOKUP(Table19[[#This Row],[Assets]],Table25[#All],15,FALSE),"")</f>
        <v/>
      </c>
      <c r="I586" s="36">
        <f>IFERROR(VLOOKUP(Table19[[#This Row],[Assets]],Table25[#All],16,FALSE),0)</f>
        <v>0</v>
      </c>
      <c r="J586" s="84" t="str">
        <f ca="1">IFERROR((Table19[[#This Row],[Price]]-Table19[[#This Row],[Ave Entry]])/Table19[[#This Row],[Ave Entry]],"")</f>
        <v/>
      </c>
      <c r="K586" s="92">
        <f ca="1">IFERROR((Table19[[#This Row],[Price]]-Table19[[#This Row],[Ave Entry]])*Table19[[#This Row],[Num of Stocks]],0)</f>
        <v>0</v>
      </c>
      <c r="L586" s="38" cm="1">
        <f t="array" aca="1" ref="L586" ca="1">_FV(Table19[[#This Row],[Assets]],"Change (%)",TRUE)</f>
        <v>-2.6402999999999999E-2</v>
      </c>
      <c r="M586" s="36">
        <f>SUMIF(Table20[Asset],Table19[[#This Row],[Assets]],Table20[realized_profit])</f>
        <v>34.000000000000028</v>
      </c>
      <c r="N586" s="36">
        <f ca="1">SUMIF(Table20[[#All],[Asset]],Table19[[#This Row],[Assets]],Table20[[#All],[delta_exposure]])</f>
        <v>0</v>
      </c>
      <c r="O586" s="38">
        <f ca="1">Table19[[#This Row],[Option Exposure]]/$B$6</f>
        <v>0</v>
      </c>
      <c r="P586" s="51">
        <f>SUMIF(Table25[[#All],[Assets]],Table19[[#This Row],[Assets]],Table25[[#All],[Number of stocks]])</f>
        <v>0</v>
      </c>
      <c r="Q586" s="36">
        <f ca="1">Table19[[#This Row],[Num of Stocks]]*Table19[[#This Row],[Price]]</f>
        <v>0</v>
      </c>
      <c r="R586" s="36">
        <f ca="1">Table19[[#This Row],[Stock Exposure]]+Table19[[#This Row],[Option Exposure]]</f>
        <v>0</v>
      </c>
      <c r="S586" s="108" t="str">
        <f>IFERROR(Table19[[#This Row],[Num of Stocks]]*Table19[[#This Row],[Ave Entry]],"")</f>
        <v/>
      </c>
      <c r="T586" s="108">
        <f ca="1">Table19[[#This Row],[Combined Exposure]]/$C$8</f>
        <v>0</v>
      </c>
    </row>
    <row r="587" spans="1:20">
      <c r="A587" t="e" vm="575">
        <v>#VALUE!</v>
      </c>
      <c r="B587" s="13" t="str" cm="1">
        <f t="array" aca="1" ref="B587" ca="1">_FV(A587,"Ticker symbol",TRUE)</f>
        <v>IONQ</v>
      </c>
      <c r="C587" s="13" t="s">
        <v>29</v>
      </c>
      <c r="D587" s="13" t="s">
        <v>553</v>
      </c>
      <c r="E587" s="19" cm="1">
        <f t="array" aca="1" ref="E587" ca="1">IFERROR(_FV(A587,"Beta"),2)</f>
        <v>2.7538</v>
      </c>
      <c r="F587" s="13" t="str" cm="1">
        <f t="array" aca="1" ref="F587" ca="1">_FV(A587,"Instrument type",TRUE)</f>
        <v>Stock</v>
      </c>
      <c r="G587" s="18" cm="1">
        <f t="array" aca="1" ref="G587" ca="1">_FV(Table19[[#This Row],[Assets]],"Price")</f>
        <v>33.69</v>
      </c>
      <c r="H587" s="36" t="str">
        <f>IFERROR(VLOOKUP(Table19[[#This Row],[Assets]],Table25[#All],15,FALSE),"")</f>
        <v/>
      </c>
      <c r="I587" s="36">
        <f>IFERROR(VLOOKUP(Table19[[#This Row],[Assets]],Table25[#All],16,FALSE),0)</f>
        <v>0</v>
      </c>
      <c r="J587" s="84" t="str">
        <f ca="1">IFERROR((Table19[[#This Row],[Price]]-Table19[[#This Row],[Ave Entry]])/Table19[[#This Row],[Ave Entry]],"")</f>
        <v/>
      </c>
      <c r="K587" s="92">
        <f ca="1">IFERROR((Table19[[#This Row],[Price]]-Table19[[#This Row],[Ave Entry]])*Table19[[#This Row],[Num of Stocks]],0)</f>
        <v>0</v>
      </c>
      <c r="L587" s="38" cm="1">
        <f t="array" aca="1" ref="L587" ca="1">_FV(Table19[[#This Row],[Assets]],"Change (%)",TRUE)</f>
        <v>3.0275E-2</v>
      </c>
      <c r="M587" s="36">
        <f>SUMIF(Table20[Asset],Table19[[#This Row],[Assets]],Table20[realized_profit])</f>
        <v>0</v>
      </c>
      <c r="N587" s="36">
        <f>SUMIF(Table20[[#All],[Asset]],Table19[[#This Row],[Assets]],Table20[[#All],[delta_exposure]])</f>
        <v>0</v>
      </c>
      <c r="O587" s="38">
        <f ca="1">Table19[[#This Row],[Option Exposure]]/$B$6</f>
        <v>0</v>
      </c>
      <c r="P587" s="51">
        <f>SUMIF(Table25[[#All],[Assets]],Table19[[#This Row],[Assets]],Table25[[#All],[Number of stocks]])</f>
        <v>0</v>
      </c>
      <c r="Q587" s="36">
        <f ca="1">Table19[[#This Row],[Num of Stocks]]*Table19[[#This Row],[Price]]</f>
        <v>0</v>
      </c>
      <c r="R587" s="36">
        <f ca="1">Table19[[#This Row],[Stock Exposure]]+Table19[[#This Row],[Option Exposure]]</f>
        <v>0</v>
      </c>
      <c r="S587" s="108" t="str">
        <f>IFERROR(Table19[[#This Row],[Num of Stocks]]*Table19[[#This Row],[Ave Entry]],"")</f>
        <v/>
      </c>
      <c r="T587" s="108">
        <f ca="1">Table19[[#This Row],[Combined Exposure]]/$C$8</f>
        <v>0</v>
      </c>
    </row>
    <row r="588" spans="1:20">
      <c r="A588" t="e" vm="576">
        <v>#VALUE!</v>
      </c>
      <c r="B588" s="13" t="str" cm="1">
        <f t="array" aca="1" ref="B588" ca="1">_FV(A588,"Ticker symbol",TRUE)</f>
        <v>DUOL</v>
      </c>
      <c r="C588" s="13" t="s">
        <v>147</v>
      </c>
      <c r="D588" s="13" t="s">
        <v>147</v>
      </c>
      <c r="E588" s="19" cm="1">
        <f t="array" aca="1" ref="E588" ca="1">IFERROR(_FV(A588,"Beta"),2)</f>
        <v>0.88900000000000001</v>
      </c>
      <c r="F588" s="13" t="str" cm="1">
        <f t="array" aca="1" ref="F588" ca="1">_FV(A588,"Instrument type",TRUE)</f>
        <v>Stock</v>
      </c>
      <c r="G588" s="18" cm="1">
        <f t="array" aca="1" ref="G588" ca="1">_FV(Table19[[#This Row],[Assets]],"Price")</f>
        <v>99.02</v>
      </c>
      <c r="H588" s="36">
        <f>IFERROR(VLOOKUP(Table19[[#This Row],[Assets]],Table25[#All],15,FALSE),"")</f>
        <v>249.81242424242421</v>
      </c>
      <c r="I588" s="36">
        <f>IFERROR(VLOOKUP(Table19[[#This Row],[Assets]],Table25[#All],16,FALSE),0)</f>
        <v>-2164.0442424242419</v>
      </c>
      <c r="J588" s="84">
        <f ca="1">IFERROR((Table19[[#This Row],[Price]]-Table19[[#This Row],[Ave Entry]])/Table19[[#This Row],[Ave Entry]],"")</f>
        <v>-0.60362259683326025</v>
      </c>
      <c r="K588" s="92">
        <f ca="1">IFERROR((Table19[[#This Row],[Price]]-Table19[[#This Row],[Ave Entry]])*Table19[[#This Row],[Num of Stocks]],0)</f>
        <v>1507.924242424242</v>
      </c>
      <c r="L588" s="38" cm="1">
        <f t="array" aca="1" ref="L588" ca="1">_FV(Table19[[#This Row],[Assets]],"Change (%)",TRUE)</f>
        <v>1.3717999999999999E-2</v>
      </c>
      <c r="M588" s="36">
        <f>SUMIF(Table20[Asset],Table19[[#This Row],[Assets]],Table20[realized_profit])</f>
        <v>0</v>
      </c>
      <c r="N588" s="36">
        <f ca="1">SUMIF(Table20[[#All],[Asset]],Table19[[#This Row],[Assets]],Table20[[#All],[delta_exposure]])</f>
        <v>0</v>
      </c>
      <c r="O588" s="38">
        <f ca="1">Table19[[#This Row],[Option Exposure]]/$B$6</f>
        <v>0</v>
      </c>
      <c r="P588" s="51">
        <f>SUMIF(Table25[[#All],[Assets]],Table19[[#This Row],[Assets]],Table25[[#All],[Number of stocks]])</f>
        <v>-10</v>
      </c>
      <c r="Q588" s="36">
        <f ca="1">Table19[[#This Row],[Num of Stocks]]*Table19[[#This Row],[Price]]</f>
        <v>-990.19999999999993</v>
      </c>
      <c r="R588" s="36">
        <f ca="1">Table19[[#This Row],[Stock Exposure]]+Table19[[#This Row],[Option Exposure]]</f>
        <v>-990.19999999999993</v>
      </c>
      <c r="S588" s="108">
        <f>IFERROR(Table19[[#This Row],[Num of Stocks]]*Table19[[#This Row],[Ave Entry]],"")</f>
        <v>-2498.1242424242423</v>
      </c>
      <c r="T588" s="108">
        <f ca="1">Table19[[#This Row],[Combined Exposure]]/$C$8</f>
        <v>-6.2413299527134952E-3</v>
      </c>
    </row>
    <row r="589" spans="1:20">
      <c r="A589" t="e" vm="577">
        <v>#VALUE!</v>
      </c>
      <c r="B589" s="13" t="str" cm="1">
        <f t="array" aca="1" ref="B589" ca="1">_FV(A589,"Ticker symbol",TRUE)</f>
        <v>PANW</v>
      </c>
      <c r="C589" s="13" t="s">
        <v>29</v>
      </c>
      <c r="D589" s="13" t="s">
        <v>302</v>
      </c>
      <c r="E589" s="19" cm="1">
        <f t="array" aca="1" ref="E589" ca="1">IFERROR(_FV(A589,"Beta"),2)</f>
        <v>0.78169999999999995</v>
      </c>
      <c r="F589" s="13" t="str" cm="1">
        <f t="array" aca="1" ref="F589" ca="1">_FV(A589,"Instrument type",TRUE)</f>
        <v>Stock</v>
      </c>
      <c r="G589" s="18" cm="1">
        <f t="array" aca="1" ref="G589" ca="1">_FV(Table19[[#This Row],[Assets]],"Price")</f>
        <v>159.11000000000001</v>
      </c>
      <c r="H589" s="36" t="str">
        <f>IFERROR(VLOOKUP(Table19[[#This Row],[Assets]],Table25[#All],15,FALSE),"")</f>
        <v/>
      </c>
      <c r="I589" s="36">
        <f>IFERROR(VLOOKUP(Table19[[#This Row],[Assets]],Table25[#All],16,FALSE),0)</f>
        <v>0</v>
      </c>
      <c r="J589" s="84" t="str">
        <f ca="1">IFERROR((Table19[[#This Row],[Price]]-Table19[[#This Row],[Ave Entry]])/Table19[[#This Row],[Ave Entry]],"")</f>
        <v/>
      </c>
      <c r="K589" s="92">
        <f ca="1">IFERROR((Table19[[#This Row],[Price]]-Table19[[#This Row],[Ave Entry]])*Table19[[#This Row],[Num of Stocks]],0)</f>
        <v>0</v>
      </c>
      <c r="L589" s="38" cm="1">
        <f t="array" aca="1" ref="L589" ca="1">_FV(Table19[[#This Row],[Assets]],"Change (%)",TRUE)</f>
        <v>1.2086E-2</v>
      </c>
      <c r="M589" s="36">
        <f>SUMIF(Table20[Asset],Table19[[#This Row],[Assets]],Table20[realized_profit])</f>
        <v>-89.999999999999957</v>
      </c>
      <c r="N589" s="36">
        <f ca="1">SUMIF(Table20[[#All],[Asset]],Table19[[#This Row],[Assets]],Table20[[#All],[delta_exposure]])</f>
        <v>0</v>
      </c>
      <c r="O589" s="38">
        <f ca="1">Table19[[#This Row],[Option Exposure]]/$B$6</f>
        <v>0</v>
      </c>
      <c r="P589" s="51">
        <f>SUMIF(Table25[[#All],[Assets]],Table19[[#This Row],[Assets]],Table25[[#All],[Number of stocks]])</f>
        <v>0</v>
      </c>
      <c r="Q589" s="36">
        <f ca="1">Table19[[#This Row],[Num of Stocks]]*Table19[[#This Row],[Price]]</f>
        <v>0</v>
      </c>
      <c r="R589" s="36">
        <f ca="1">Table19[[#This Row],[Stock Exposure]]+Table19[[#This Row],[Option Exposure]]</f>
        <v>0</v>
      </c>
      <c r="S589" s="108" t="str">
        <f>IFERROR(Table19[[#This Row],[Num of Stocks]]*Table19[[#This Row],[Ave Entry]],"")</f>
        <v/>
      </c>
      <c r="T589" s="108">
        <f ca="1">Table19[[#This Row],[Combined Exposure]]/$C$8</f>
        <v>0</v>
      </c>
    </row>
    <row r="590" spans="1:20">
      <c r="A590" t="e" vm="578">
        <v>#VALUE!</v>
      </c>
      <c r="B590" s="13" t="str" cm="1">
        <f t="array" aca="1" ref="B590" ca="1">_FV(A590,"Ticker symbol",TRUE)</f>
        <v>ASYS</v>
      </c>
      <c r="C590" s="13" t="s">
        <v>84</v>
      </c>
      <c r="D590" s="13" t="s">
        <v>545</v>
      </c>
      <c r="E590" s="19" cm="1">
        <f t="array" aca="1" ref="E590" ca="1">IFERROR(_FV(A590,"Beta"),2)</f>
        <v>1.6498999999999999</v>
      </c>
      <c r="F590" s="13" t="str" cm="1">
        <f t="array" aca="1" ref="F590" ca="1">_FV(A590,"Instrument type",TRUE)</f>
        <v>Stock</v>
      </c>
      <c r="G590" s="18" cm="1">
        <f t="array" aca="1" ref="G590" ca="1">_FV(Table19[[#This Row],[Assets]],"Price")</f>
        <v>11.8628</v>
      </c>
      <c r="H590" s="36">
        <f>IFERROR(VLOOKUP(Table19[[#This Row],[Assets]],Table25[#All],15,FALSE),"")</f>
        <v>9.14</v>
      </c>
      <c r="I590" s="36">
        <f>IFERROR(VLOOKUP(Table19[[#This Row],[Assets]],Table25[#All],16,FALSE),0)</f>
        <v>-196.35000000000011</v>
      </c>
      <c r="J590" s="84">
        <f ca="1">IFERROR((Table19[[#This Row],[Price]]-Table19[[#This Row],[Ave Entry]])/Table19[[#This Row],[Ave Entry]],"")</f>
        <v>0.2978993435448577</v>
      </c>
      <c r="K590" s="92">
        <f ca="1">IFERROR((Table19[[#This Row],[Price]]-Table19[[#This Row],[Ave Entry]])*Table19[[#This Row],[Num of Stocks]],0)</f>
        <v>0</v>
      </c>
      <c r="L590" s="38" cm="1">
        <f t="array" aca="1" ref="L590" ca="1">_FV(Table19[[#This Row],[Assets]],"Change (%)",TRUE)</f>
        <v>3.3345E-2</v>
      </c>
      <c r="M590" s="36">
        <f>SUMIF(Table20[Asset],Table19[[#This Row],[Assets]],Table20[realized_profit])</f>
        <v>0</v>
      </c>
      <c r="N590" s="36">
        <f>SUMIF(Table20[[#All],[Asset]],Table19[[#This Row],[Assets]],Table20[[#All],[delta_exposure]])</f>
        <v>0</v>
      </c>
      <c r="O590" s="38">
        <f ca="1">Table19[[#This Row],[Option Exposure]]/$B$6</f>
        <v>0</v>
      </c>
      <c r="P590" s="51">
        <f>SUMIF(Table25[[#All],[Assets]],Table19[[#This Row],[Assets]],Table25[[#All],[Number of stocks]])</f>
        <v>0</v>
      </c>
      <c r="Q590" s="36">
        <f ca="1">Table19[[#This Row],[Num of Stocks]]*Table19[[#This Row],[Price]]</f>
        <v>0</v>
      </c>
      <c r="R590" s="36">
        <f ca="1">Table19[[#This Row],[Stock Exposure]]+Table19[[#This Row],[Option Exposure]]</f>
        <v>0</v>
      </c>
      <c r="S590" s="108">
        <f>IFERROR(Table19[[#This Row],[Num of Stocks]]*Table19[[#This Row],[Ave Entry]],"")</f>
        <v>0</v>
      </c>
      <c r="T590" s="108">
        <f ca="1">Table19[[#This Row],[Combined Exposure]]/$C$8</f>
        <v>0</v>
      </c>
    </row>
    <row r="591" spans="1:20">
      <c r="A591" t="e" vm="579">
        <v>#VALUE!</v>
      </c>
      <c r="B591" s="13" t="str" cm="1">
        <f t="array" aca="1" ref="B591" ca="1">_FV(A591,"Ticker symbol",TRUE)</f>
        <v>STSS</v>
      </c>
      <c r="C591" s="13" t="s">
        <v>23</v>
      </c>
      <c r="D591" s="13" t="s">
        <v>542</v>
      </c>
      <c r="E591" s="19" cm="1">
        <f t="array" aca="1" ref="E591" ca="1">IFERROR(_FV(A591,"Beta"),2)</f>
        <v>2.0651000000000002</v>
      </c>
      <c r="F591" s="13" t="str" cm="1">
        <f t="array" aca="1" ref="F591" ca="1">_FV(A591,"Instrument type",TRUE)</f>
        <v>Stock</v>
      </c>
      <c r="G591" s="18" cm="1">
        <f t="array" aca="1" ref="G591" ca="1">_FV(Table19[[#This Row],[Assets]],"Price")</f>
        <v>1.76</v>
      </c>
      <c r="H591" s="36">
        <f>IFERROR(VLOOKUP(Table19[[#This Row],[Assets]],Table25[#All],15,FALSE),"")</f>
        <v>8.35</v>
      </c>
      <c r="I591" s="36">
        <f>IFERROR(VLOOKUP(Table19[[#This Row],[Assets]],Table25[#All],16,FALSE),0)</f>
        <v>-339.99999999999989</v>
      </c>
      <c r="J591" s="84">
        <f ca="1">IFERROR((Table19[[#This Row],[Price]]-Table19[[#This Row],[Ave Entry]])/Table19[[#This Row],[Ave Entry]],"")</f>
        <v>-0.78922155688622753</v>
      </c>
      <c r="K591" s="92">
        <f ca="1">IFERROR((Table19[[#This Row],[Price]]-Table19[[#This Row],[Ave Entry]])*Table19[[#This Row],[Num of Stocks]],0)</f>
        <v>0</v>
      </c>
      <c r="L591" s="38" cm="1">
        <f t="array" aca="1" ref="L591" ca="1">_FV(Table19[[#This Row],[Assets]],"Change (%)",TRUE)</f>
        <v>1.7340999999999999E-2</v>
      </c>
      <c r="M591" s="36">
        <f>SUMIF(Table20[Asset],Table19[[#This Row],[Assets]],Table20[realized_profit])</f>
        <v>0</v>
      </c>
      <c r="N591" s="36">
        <f>SUMIF(Table20[[#All],[Asset]],Table19[[#This Row],[Assets]],Table20[[#All],[delta_exposure]])</f>
        <v>0</v>
      </c>
      <c r="O591" s="38">
        <f ca="1">Table19[[#This Row],[Option Exposure]]/$B$6</f>
        <v>0</v>
      </c>
      <c r="P591" s="51">
        <f>SUMIF(Table25[[#All],[Assets]],Table19[[#This Row],[Assets]],Table25[[#All],[Number of stocks]])</f>
        <v>0</v>
      </c>
      <c r="Q591" s="36">
        <f ca="1">Table19[[#This Row],[Num of Stocks]]*Table19[[#This Row],[Price]]</f>
        <v>0</v>
      </c>
      <c r="R591" s="36">
        <f ca="1">Table19[[#This Row],[Stock Exposure]]+Table19[[#This Row],[Option Exposure]]</f>
        <v>0</v>
      </c>
      <c r="S591" s="108">
        <f>IFERROR(Table19[[#This Row],[Num of Stocks]]*Table19[[#This Row],[Ave Entry]],"")</f>
        <v>0</v>
      </c>
      <c r="T591" s="108">
        <f ca="1">Table19[[#This Row],[Combined Exposure]]/$C$8</f>
        <v>0</v>
      </c>
    </row>
    <row r="592" spans="1:20">
      <c r="A592" t="e" vm="580">
        <v>#VALUE!</v>
      </c>
      <c r="B592" s="13" t="str" cm="1">
        <f t="array" aca="1" ref="B592" ca="1">_FV(A592,"Ticker symbol",TRUE)</f>
        <v>ISRG</v>
      </c>
      <c r="C592" s="13" t="s">
        <v>53</v>
      </c>
      <c r="D592" s="13" t="s">
        <v>521</v>
      </c>
      <c r="E592" s="19" cm="1">
        <f t="array" aca="1" ref="E592" ca="1">IFERROR(_FV(A592,"Beta"),2)</f>
        <v>1.6717</v>
      </c>
      <c r="F592" s="13" t="str" cm="1">
        <f t="array" aca="1" ref="F592" ca="1">_FV(A592,"Instrument type",TRUE)</f>
        <v>Stock</v>
      </c>
      <c r="G592" s="18" cm="1">
        <f t="array" aca="1" ref="G592" ca="1">_FV(Table19[[#This Row],[Assets]],"Price")</f>
        <v>472.29500000000002</v>
      </c>
      <c r="H592" s="36">
        <f>IFERROR(VLOOKUP(Table19[[#This Row],[Assets]],Table25[#All],15,FALSE),"")</f>
        <v>449.3</v>
      </c>
      <c r="I592" s="36">
        <f>IFERROR(VLOOKUP(Table19[[#This Row],[Assets]],Table25[#All],16,FALSE),0)</f>
        <v>128.10999999999996</v>
      </c>
      <c r="J592" s="84">
        <f ca="1">IFERROR((Table19[[#This Row],[Price]]-Table19[[#This Row],[Ave Entry]])/Table19[[#This Row],[Ave Entry]],"")</f>
        <v>5.1179612730914766E-2</v>
      </c>
      <c r="K592" s="92">
        <f ca="1">IFERROR((Table19[[#This Row],[Price]]-Table19[[#This Row],[Ave Entry]])*Table19[[#This Row],[Num of Stocks]],0)</f>
        <v>0</v>
      </c>
      <c r="L592" s="38" cm="1">
        <f t="array" aca="1" ref="L592" ca="1">_FV(Table19[[#This Row],[Assets]],"Change (%)",TRUE)</f>
        <v>8.1579999999999999E-4</v>
      </c>
      <c r="M592" s="36">
        <f>SUMIF(Table20[Asset],Table19[[#This Row],[Assets]],Table20[realized_profit])</f>
        <v>0</v>
      </c>
      <c r="N592" s="36">
        <f>SUMIF(Table20[[#All],[Asset]],Table19[[#This Row],[Assets]],Table20[[#All],[delta_exposure]])</f>
        <v>0</v>
      </c>
      <c r="O592" s="38">
        <f ca="1">Table19[[#This Row],[Option Exposure]]/$B$6</f>
        <v>0</v>
      </c>
      <c r="P592" s="51">
        <f>SUMIF(Table25[[#All],[Assets]],Table19[[#This Row],[Assets]],Table25[[#All],[Number of stocks]])</f>
        <v>0</v>
      </c>
      <c r="Q592" s="36">
        <f ca="1">Table19[[#This Row],[Num of Stocks]]*Table19[[#This Row],[Price]]</f>
        <v>0</v>
      </c>
      <c r="R592" s="36">
        <f ca="1">Table19[[#This Row],[Stock Exposure]]+Table19[[#This Row],[Option Exposure]]</f>
        <v>0</v>
      </c>
      <c r="S592" s="108">
        <f>IFERROR(Table19[[#This Row],[Num of Stocks]]*Table19[[#This Row],[Ave Entry]],"")</f>
        <v>0</v>
      </c>
      <c r="T592" s="108">
        <f ca="1">Table19[[#This Row],[Combined Exposure]]/$C$8</f>
        <v>0</v>
      </c>
    </row>
    <row r="593" spans="1:20">
      <c r="A593" t="e" vm="581">
        <v>#VALUE!</v>
      </c>
      <c r="B593" s="13" t="str" cm="1">
        <f t="array" aca="1" ref="B593" ca="1">_FV(A593,"Ticker symbol",TRUE)</f>
        <v>LWAY</v>
      </c>
      <c r="C593" s="13" t="s">
        <v>57</v>
      </c>
      <c r="D593" s="13" t="s">
        <v>57</v>
      </c>
      <c r="E593" s="19" cm="1">
        <f t="array" aca="1" ref="E593" ca="1">IFERROR(_FV(A593,"Beta"),2)</f>
        <v>0.2495</v>
      </c>
      <c r="F593" s="13" t="str" cm="1">
        <f t="array" aca="1" ref="F593" ca="1">_FV(A593,"Instrument type",TRUE)</f>
        <v>Stock</v>
      </c>
      <c r="G593" s="18" cm="1">
        <f t="array" aca="1" ref="G593" ca="1">_FV(Table19[[#This Row],[Assets]],"Price")</f>
        <v>18.094999999999999</v>
      </c>
      <c r="H593" s="36">
        <f>IFERROR(VLOOKUP(Table19[[#This Row],[Assets]],Table25[#All],15,FALSE),"")</f>
        <v>25.73</v>
      </c>
      <c r="I593" s="36">
        <f>IFERROR(VLOOKUP(Table19[[#This Row],[Assets]],Table25[#All],16,FALSE),0)</f>
        <v>-11.039999999999992</v>
      </c>
      <c r="J593" s="84">
        <f ca="1">IFERROR((Table19[[#This Row],[Price]]-Table19[[#This Row],[Ave Entry]])/Table19[[#This Row],[Ave Entry]],"")</f>
        <v>-0.29673532841041589</v>
      </c>
      <c r="K593" s="92">
        <f ca="1">IFERROR((Table19[[#This Row],[Price]]-Table19[[#This Row],[Ave Entry]])*Table19[[#This Row],[Num of Stocks]],0)</f>
        <v>0</v>
      </c>
      <c r="L593" s="38" cm="1">
        <f t="array" aca="1" ref="L593" ca="1">_FV(Table19[[#This Row],[Assets]],"Change (%)",TRUE)</f>
        <v>1.9380000000000001E-3</v>
      </c>
      <c r="M593" s="36">
        <f>SUMIF(Table20[Asset],Table19[[#This Row],[Assets]],Table20[realized_profit])</f>
        <v>0</v>
      </c>
      <c r="N593" s="36">
        <f>SUMIF(Table20[[#All],[Asset]],Table19[[#This Row],[Assets]],Table20[[#All],[delta_exposure]])</f>
        <v>0</v>
      </c>
      <c r="O593" s="38">
        <f ca="1">Table19[[#This Row],[Option Exposure]]/$B$6</f>
        <v>0</v>
      </c>
      <c r="P593" s="51">
        <f>SUMIF(Table25[[#All],[Assets]],Table19[[#This Row],[Assets]],Table25[[#All],[Number of stocks]])</f>
        <v>0</v>
      </c>
      <c r="Q593" s="36">
        <f ca="1">Table19[[#This Row],[Num of Stocks]]*Table19[[#This Row],[Price]]</f>
        <v>0</v>
      </c>
      <c r="R593" s="36">
        <f ca="1">Table19[[#This Row],[Stock Exposure]]+Table19[[#This Row],[Option Exposure]]</f>
        <v>0</v>
      </c>
      <c r="S593" s="108">
        <f>IFERROR(Table19[[#This Row],[Num of Stocks]]*Table19[[#This Row],[Ave Entry]],"")</f>
        <v>0</v>
      </c>
      <c r="T593" s="108">
        <f ca="1">Table19[[#This Row],[Combined Exposure]]/$C$8</f>
        <v>0</v>
      </c>
    </row>
    <row r="594" spans="1:20">
      <c r="A594" t="e" vm="582">
        <v>#VALUE!</v>
      </c>
      <c r="B594" s="13" t="str" cm="1">
        <f t="array" aca="1" ref="B594" ca="1">_FV(A594,"Ticker symbol",TRUE)</f>
        <v>TGT</v>
      </c>
      <c r="C594" s="13" t="s">
        <v>57</v>
      </c>
      <c r="D594" s="13" t="s">
        <v>57</v>
      </c>
      <c r="E594" s="19" cm="1">
        <f t="array" aca="1" ref="E594" ca="1">IFERROR(_FV(A594,"Beta"),2)</f>
        <v>1.0611999999999999</v>
      </c>
      <c r="F594" s="13" t="str" cm="1">
        <f t="array" aca="1" ref="F594" ca="1">_FV(A594,"Instrument type",TRUE)</f>
        <v>Stock</v>
      </c>
      <c r="G594" s="18" cm="1">
        <f t="array" aca="1" ref="G594" ca="1">_FV(Table19[[#This Row],[Assets]],"Price")</f>
        <v>115.3301</v>
      </c>
      <c r="H594" s="36">
        <f>IFERROR(VLOOKUP(Table19[[#This Row],[Assets]],Table25[#All],15,FALSE),"")</f>
        <v>88.64</v>
      </c>
      <c r="I594" s="36">
        <f>IFERROR(VLOOKUP(Table19[[#This Row],[Assets]],Table25[#All],16,FALSE),0)</f>
        <v>6.060000000000116</v>
      </c>
      <c r="J594" s="84">
        <f ca="1">IFERROR((Table19[[#This Row],[Price]]-Table19[[#This Row],[Ave Entry]])/Table19[[#This Row],[Ave Entry]],"")</f>
        <v>0.30110672382671483</v>
      </c>
      <c r="K594" s="92">
        <f ca="1">IFERROR((Table19[[#This Row],[Price]]-Table19[[#This Row],[Ave Entry]])*Table19[[#This Row],[Num of Stocks]],0)</f>
        <v>0</v>
      </c>
      <c r="L594" s="38" cm="1">
        <f t="array" aca="1" ref="L594" ca="1">_FV(Table19[[#This Row],[Assets]],"Change (%)",TRUE)</f>
        <v>-5.0889999999999998E-3</v>
      </c>
      <c r="M594" s="36">
        <f>SUMIF(Table20[Asset],Table19[[#This Row],[Assets]],Table20[realized_profit])</f>
        <v>0</v>
      </c>
      <c r="N594" s="36">
        <f>SUMIF(Table20[[#All],[Asset]],Table19[[#This Row],[Assets]],Table20[[#All],[delta_exposure]])</f>
        <v>0</v>
      </c>
      <c r="O594" s="38">
        <f ca="1">Table19[[#This Row],[Option Exposure]]/$B$6</f>
        <v>0</v>
      </c>
      <c r="P594" s="51">
        <f>SUMIF(Table25[[#All],[Assets]],Table19[[#This Row],[Assets]],Table25[[#All],[Number of stocks]])</f>
        <v>0</v>
      </c>
      <c r="Q594" s="36">
        <f ca="1">Table19[[#This Row],[Num of Stocks]]*Table19[[#This Row],[Price]]</f>
        <v>0</v>
      </c>
      <c r="R594" s="36">
        <f ca="1">Table19[[#This Row],[Stock Exposure]]+Table19[[#This Row],[Option Exposure]]</f>
        <v>0</v>
      </c>
      <c r="S594" s="108">
        <f>IFERROR(Table19[[#This Row],[Num of Stocks]]*Table19[[#This Row],[Ave Entry]],"")</f>
        <v>0</v>
      </c>
      <c r="T594" s="108">
        <f ca="1">Table19[[#This Row],[Combined Exposure]]/$C$8</f>
        <v>0</v>
      </c>
    </row>
    <row r="595" spans="1:20">
      <c r="A595" t="e" vm="583">
        <v>#VALUE!</v>
      </c>
      <c r="B595" s="13" t="str" cm="1">
        <f t="array" aca="1" ref="B595" ca="1">_FV(A595,"Ticker symbol",TRUE)</f>
        <v>RIG</v>
      </c>
      <c r="C595" s="13" t="s">
        <v>31</v>
      </c>
      <c r="D595" s="13" t="s">
        <v>31</v>
      </c>
      <c r="E595" s="19" cm="1">
        <f t="array" aca="1" ref="E595" ca="1">IFERROR(_FV(A595,"Beta"),2)</f>
        <v>1.3807</v>
      </c>
      <c r="F595" s="13" t="str" cm="1">
        <f t="array" aca="1" ref="F595" ca="1">_FV(A595,"Instrument type",TRUE)</f>
        <v>Stock</v>
      </c>
      <c r="G595" s="18" cm="1">
        <f t="array" aca="1" ref="G595" ca="1">_FV(Table19[[#This Row],[Assets]],"Price")</f>
        <v>6.7649999999999997</v>
      </c>
      <c r="H595" s="36">
        <f>IFERROR(VLOOKUP(Table19[[#This Row],[Assets]],Table25[#All],15,FALSE),"")</f>
        <v>3.36</v>
      </c>
      <c r="I595" s="36">
        <f>IFERROR(VLOOKUP(Table19[[#This Row],[Assets]],Table25[#All],16,FALSE),0)</f>
        <v>84.000000000000071</v>
      </c>
      <c r="J595" s="84">
        <f ca="1">IFERROR((Table19[[#This Row],[Price]]-Table19[[#This Row],[Ave Entry]])/Table19[[#This Row],[Ave Entry]],"")</f>
        <v>1.0133928571428572</v>
      </c>
      <c r="K595" s="92">
        <f ca="1">IFERROR((Table19[[#This Row],[Price]]-Table19[[#This Row],[Ave Entry]])*Table19[[#This Row],[Num of Stocks]],0)</f>
        <v>-510.74999999999994</v>
      </c>
      <c r="L595" s="38" cm="1">
        <f t="array" aca="1" ref="L595" ca="1">_FV(Table19[[#This Row],[Assets]],"Change (%)",TRUE)</f>
        <v>2.0362000000000002E-2</v>
      </c>
      <c r="M595" s="36">
        <f>SUMIF(Table20[Asset],Table19[[#This Row],[Assets]],Table20[realized_profit])</f>
        <v>0</v>
      </c>
      <c r="N595" s="36">
        <f>SUMIF(Table20[[#All],[Asset]],Table19[[#This Row],[Assets]],Table20[[#All],[delta_exposure]])</f>
        <v>0</v>
      </c>
      <c r="O595" s="38">
        <f ca="1">Table19[[#This Row],[Option Exposure]]/$B$6</f>
        <v>0</v>
      </c>
      <c r="P595" s="51">
        <f>SUMIF(Table25[[#All],[Assets]],Table19[[#This Row],[Assets]],Table25[[#All],[Number of stocks]])</f>
        <v>-150</v>
      </c>
      <c r="Q595" s="36">
        <f ca="1">Table19[[#This Row],[Num of Stocks]]*Table19[[#This Row],[Price]]</f>
        <v>-1014.75</v>
      </c>
      <c r="R595" s="36">
        <f ca="1">Table19[[#This Row],[Stock Exposure]]+Table19[[#This Row],[Option Exposure]]</f>
        <v>-1014.75</v>
      </c>
      <c r="S595" s="108">
        <f>IFERROR(Table19[[#This Row],[Num of Stocks]]*Table19[[#This Row],[Ave Entry]],"")</f>
        <v>-504</v>
      </c>
      <c r="T595" s="108">
        <f ca="1">Table19[[#This Row],[Combined Exposure]]/$C$8</f>
        <v>-6.3960710659624522E-3</v>
      </c>
    </row>
    <row r="596" spans="1:20">
      <c r="A596" t="e" vm="584">
        <v>#VALUE!</v>
      </c>
      <c r="B596" s="13" t="str" cm="1">
        <f t="array" aca="1" ref="B596" ca="1">_FV(A596,"Ticker symbol",TRUE)</f>
        <v>KOPN</v>
      </c>
      <c r="C596" s="13" t="s">
        <v>38</v>
      </c>
      <c r="D596" s="13" t="s">
        <v>84</v>
      </c>
      <c r="E596" s="19" cm="1">
        <f t="array" aca="1" ref="E596" ca="1">IFERROR(_FV(A596,"Beta"),2)</f>
        <v>2.7730000000000001</v>
      </c>
      <c r="F596" s="13" t="str" cm="1">
        <f t="array" aca="1" ref="F596" ca="1">_FV(A596,"Instrument type",TRUE)</f>
        <v>Stock</v>
      </c>
      <c r="G596" s="18" cm="1">
        <f t="array" aca="1" ref="G596" ca="1">_FV(Table19[[#This Row],[Assets]],"Price")</f>
        <v>2.3700999999999999</v>
      </c>
      <c r="H596" s="36">
        <f>IFERROR(VLOOKUP(Table19[[#This Row],[Assets]],Table25[#All],15,FALSE),"")</f>
        <v>3.59</v>
      </c>
      <c r="I596" s="36">
        <f>IFERROR(VLOOKUP(Table19[[#This Row],[Assets]],Table25[#All],16,FALSE),0)</f>
        <v>-173.99999999999994</v>
      </c>
      <c r="J596" s="84">
        <f ca="1">IFERROR((Table19[[#This Row],[Price]]-Table19[[#This Row],[Ave Entry]])/Table19[[#This Row],[Ave Entry]],"")</f>
        <v>-0.33980501392757662</v>
      </c>
      <c r="K596" s="92">
        <f ca="1">IFERROR((Table19[[#This Row],[Price]]-Table19[[#This Row],[Ave Entry]])*Table19[[#This Row],[Num of Stocks]],0)</f>
        <v>0</v>
      </c>
      <c r="L596" s="38" cm="1">
        <f t="array" aca="1" ref="L596" ca="1">_FV(Table19[[#This Row],[Assets]],"Change (%)",TRUE)</f>
        <v>0.134019</v>
      </c>
      <c r="M596" s="36">
        <f>SUMIF(Table20[Asset],Table19[[#This Row],[Assets]],Table20[realized_profit])</f>
        <v>0</v>
      </c>
      <c r="N596" s="36">
        <f>SUMIF(Table20[[#All],[Asset]],Table19[[#This Row],[Assets]],Table20[[#All],[delta_exposure]])</f>
        <v>0</v>
      </c>
      <c r="O596" s="38">
        <f ca="1">Table19[[#This Row],[Option Exposure]]/$B$6</f>
        <v>0</v>
      </c>
      <c r="P596" s="51">
        <f>SUMIF(Table25[[#All],[Assets]],Table19[[#This Row],[Assets]],Table25[[#All],[Number of stocks]])</f>
        <v>0</v>
      </c>
      <c r="Q596" s="36">
        <f ca="1">Table19[[#This Row],[Num of Stocks]]*Table19[[#This Row],[Price]]</f>
        <v>0</v>
      </c>
      <c r="R596" s="36">
        <f ca="1">Table19[[#This Row],[Stock Exposure]]+Table19[[#This Row],[Option Exposure]]</f>
        <v>0</v>
      </c>
      <c r="S596" s="108">
        <f>IFERROR(Table19[[#This Row],[Num of Stocks]]*Table19[[#This Row],[Ave Entry]],"")</f>
        <v>0</v>
      </c>
      <c r="T596" s="108">
        <f ca="1">Table19[[#This Row],[Combined Exposure]]/$C$8</f>
        <v>0</v>
      </c>
    </row>
    <row r="597" spans="1:20">
      <c r="A597" t="e" vm="87">
        <v>#VALUE!</v>
      </c>
      <c r="B597" s="13" t="str" cm="1">
        <f t="array" aca="1" ref="B597" ca="1">_FV(A597,"Ticker symbol",TRUE)</f>
        <v>PGY</v>
      </c>
      <c r="C597" s="13" t="s">
        <v>54</v>
      </c>
      <c r="D597" s="13" t="s">
        <v>54</v>
      </c>
      <c r="E597" s="19" cm="1">
        <f t="array" aca="1" ref="E597" ca="1">IFERROR(_FV(A597,"Beta"),2)</f>
        <v>5.8045</v>
      </c>
      <c r="F597" s="13" t="str" cm="1">
        <f t="array" aca="1" ref="F597" ca="1">_FV(A597,"Instrument type",TRUE)</f>
        <v>Stock</v>
      </c>
      <c r="G597" s="18" cm="1">
        <f t="array" aca="1" ref="G597" ca="1">_FV(Table19[[#This Row],[Assets]],"Price")</f>
        <v>11.84</v>
      </c>
      <c r="H597" s="36">
        <f>IFERROR(VLOOKUP(Table19[[#This Row],[Assets]],Table25[#All],15,FALSE),"")</f>
        <v>28.68416666666667</v>
      </c>
      <c r="I597" s="36">
        <f>IFERROR(VLOOKUP(Table19[[#This Row],[Assets]],Table25[#All],16,FALSE),0)</f>
        <v>-755.20000000000084</v>
      </c>
      <c r="J597" s="84">
        <f ca="1">IFERROR((Table19[[#This Row],[Price]]-Table19[[#This Row],[Ave Entry]])/Table19[[#This Row],[Ave Entry]],"")</f>
        <v>-0.58722872664942916</v>
      </c>
      <c r="K597" s="92">
        <f ca="1">IFERROR((Table19[[#This Row],[Price]]-Table19[[#This Row],[Ave Entry]])*Table19[[#This Row],[Num of Stocks]],0)</f>
        <v>0</v>
      </c>
      <c r="L597" s="38" cm="1">
        <f t="array" aca="1" ref="L597" ca="1">_FV(Table19[[#This Row],[Assets]],"Change (%)",TRUE)</f>
        <v>5.2443999999999998E-2</v>
      </c>
      <c r="M597" s="36">
        <f>SUMIF(Table20[Asset],Table19[[#This Row],[Assets]],Table20[realized_profit])</f>
        <v>0</v>
      </c>
      <c r="N597" s="36">
        <f>SUMIF(Table20[[#All],[Asset]],Table19[[#This Row],[Assets]],Table20[[#All],[delta_exposure]])</f>
        <v>0</v>
      </c>
      <c r="O597" s="38">
        <f ca="1">Table19[[#This Row],[Option Exposure]]/$B$6</f>
        <v>0</v>
      </c>
      <c r="P597" s="51">
        <f>SUMIF(Table25[[#All],[Assets]],Table19[[#This Row],[Assets]],Table25[[#All],[Number of stocks]])</f>
        <v>0</v>
      </c>
      <c r="Q597" s="36">
        <f ca="1">Table19[[#This Row],[Num of Stocks]]*Table19[[#This Row],[Price]]</f>
        <v>0</v>
      </c>
      <c r="R597" s="36">
        <f ca="1">Table19[[#This Row],[Stock Exposure]]+Table19[[#This Row],[Option Exposure]]</f>
        <v>0</v>
      </c>
      <c r="S597" s="108">
        <f>IFERROR(Table19[[#This Row],[Num of Stocks]]*Table19[[#This Row],[Ave Entry]],"")</f>
        <v>0</v>
      </c>
      <c r="T597" s="108">
        <f ca="1">Table19[[#This Row],[Combined Exposure]]/$C$8</f>
        <v>0</v>
      </c>
    </row>
    <row r="598" spans="1:20">
      <c r="A598" t="e" vm="585">
        <v>#VALUE!</v>
      </c>
      <c r="B598" s="13" t="str" cm="1">
        <f t="array" aca="1" ref="B598" ca="1">_FV(A598,"Ticker symbol",TRUE)</f>
        <v>ASTH</v>
      </c>
      <c r="C598" s="13" t="s">
        <v>53</v>
      </c>
      <c r="D598" s="13" t="s">
        <v>53</v>
      </c>
      <c r="E598" s="19" cm="1">
        <f t="array" aca="1" ref="E598" ca="1">IFERROR(_FV(A598,"Beta"),2)</f>
        <v>0.79100000000000004</v>
      </c>
      <c r="F598" s="13" t="str" cm="1">
        <f t="array" aca="1" ref="F598" ca="1">_FV(A598,"Instrument type",TRUE)</f>
        <v>Stock</v>
      </c>
      <c r="G598" s="18" cm="1">
        <f t="array" aca="1" ref="G598" ca="1">_FV(Table19[[#This Row],[Assets]],"Price")</f>
        <v>24.19</v>
      </c>
      <c r="H598" s="36">
        <f>IFERROR(VLOOKUP(Table19[[#This Row],[Assets]],Table25[#All],15,FALSE),"")</f>
        <v>33.646129032258067</v>
      </c>
      <c r="I598" s="36">
        <f>IFERROR(VLOOKUP(Table19[[#This Row],[Assets]],Table25[#All],16,FALSE),0)</f>
        <v>-319.18</v>
      </c>
      <c r="J598" s="84">
        <f ca="1">IFERROR((Table19[[#This Row],[Price]]-Table19[[#This Row],[Ave Entry]])/Table19[[#This Row],[Ave Entry]],"")</f>
        <v>-0.28104656625408664</v>
      </c>
      <c r="K598" s="92">
        <f ca="1">IFERROR((Table19[[#This Row],[Price]]-Table19[[#This Row],[Ave Entry]])*Table19[[#This Row],[Num of Stocks]],0)</f>
        <v>0</v>
      </c>
      <c r="L598" s="38" cm="1">
        <f t="array" aca="1" ref="L598" ca="1">_FV(Table19[[#This Row],[Assets]],"Change (%)",TRUE)</f>
        <v>7.077E-3</v>
      </c>
      <c r="M598" s="36">
        <f>SUMIF(Table20[Asset],Table19[[#This Row],[Assets]],Table20[realized_profit])</f>
        <v>0</v>
      </c>
      <c r="N598" s="36">
        <f>SUMIF(Table20[[#All],[Asset]],Table19[[#This Row],[Assets]],Table20[[#All],[delta_exposure]])</f>
        <v>0</v>
      </c>
      <c r="O598" s="38">
        <f ca="1">Table19[[#This Row],[Option Exposure]]/$B$6</f>
        <v>0</v>
      </c>
      <c r="P598" s="51">
        <f>SUMIF(Table25[[#All],[Assets]],Table19[[#This Row],[Assets]],Table25[[#All],[Number of stocks]])</f>
        <v>0</v>
      </c>
      <c r="Q598" s="36">
        <f ca="1">Table19[[#This Row],[Num of Stocks]]*Table19[[#This Row],[Price]]</f>
        <v>0</v>
      </c>
      <c r="R598" s="36">
        <f ca="1">Table19[[#This Row],[Stock Exposure]]+Table19[[#This Row],[Option Exposure]]</f>
        <v>0</v>
      </c>
      <c r="S598" s="108">
        <f>IFERROR(Table19[[#This Row],[Num of Stocks]]*Table19[[#This Row],[Ave Entry]],"")</f>
        <v>0</v>
      </c>
      <c r="T598" s="108">
        <f ca="1">Table19[[#This Row],[Combined Exposure]]/$C$8</f>
        <v>0</v>
      </c>
    </row>
    <row r="599" spans="1:20">
      <c r="A599" t="e" vm="586">
        <v>#VALUE!</v>
      </c>
      <c r="B599" s="13" t="str" cm="1">
        <f t="array" aca="1" ref="B599" ca="1">_FV(A599,"Ticker symbol",TRUE)</f>
        <v>CAVA</v>
      </c>
      <c r="C599" s="13" t="s">
        <v>55</v>
      </c>
      <c r="D599" s="13" t="s">
        <v>456</v>
      </c>
      <c r="E599" s="19" cm="1">
        <f t="array" aca="1" ref="E599" ca="1">IFERROR(_FV(A599,"Beta"),2)</f>
        <v>1.992</v>
      </c>
      <c r="F599" s="13" t="str" cm="1">
        <f t="array" aca="1" ref="F599" ca="1">_FV(A599,"Instrument type",TRUE)</f>
        <v>Stock</v>
      </c>
      <c r="G599" s="18" cm="1">
        <f t="array" aca="1" ref="G599" ca="1">_FV(Table19[[#This Row],[Assets]],"Price")</f>
        <v>82.502499999999998</v>
      </c>
      <c r="H599" s="36">
        <f>IFERROR(VLOOKUP(Table19[[#This Row],[Assets]],Table25[#All],15,FALSE),"")</f>
        <v>48.392777777777781</v>
      </c>
      <c r="I599" s="36">
        <f>IFERROR(VLOOKUP(Table19[[#This Row],[Assets]],Table25[#All],16,FALSE),0)</f>
        <v>246.24999999999989</v>
      </c>
      <c r="J599" s="84">
        <f ca="1">IFERROR((Table19[[#This Row],[Price]]-Table19[[#This Row],[Ave Entry]])/Table19[[#This Row],[Ave Entry]],"")</f>
        <v>0.7048515044715119</v>
      </c>
      <c r="K599" s="92">
        <f ca="1">IFERROR((Table19[[#This Row],[Price]]-Table19[[#This Row],[Ave Entry]])*Table19[[#This Row],[Num of Stocks]],0)</f>
        <v>0</v>
      </c>
      <c r="L599" s="38" cm="1">
        <f t="array" aca="1" ref="L599" ca="1">_FV(Table19[[#This Row],[Assets]],"Change (%)",TRUE)</f>
        <v>-2.283E-2</v>
      </c>
      <c r="M599" s="36">
        <f>SUMIF(Table20[Asset],Table19[[#This Row],[Assets]],Table20[realized_profit])</f>
        <v>0</v>
      </c>
      <c r="N599" s="36">
        <f>SUMIF(Table20[[#All],[Asset]],Table19[[#This Row],[Assets]],Table20[[#All],[delta_exposure]])</f>
        <v>0</v>
      </c>
      <c r="O599" s="38">
        <f ca="1">Table19[[#This Row],[Option Exposure]]/$B$6</f>
        <v>0</v>
      </c>
      <c r="P599" s="51">
        <f>SUMIF(Table25[[#All],[Assets]],Table19[[#This Row],[Assets]],Table25[[#All],[Number of stocks]])</f>
        <v>0</v>
      </c>
      <c r="Q599" s="36">
        <f ca="1">Table19[[#This Row],[Num of Stocks]]*Table19[[#This Row],[Price]]</f>
        <v>0</v>
      </c>
      <c r="R599" s="36">
        <f ca="1">Table19[[#This Row],[Stock Exposure]]+Table19[[#This Row],[Option Exposure]]</f>
        <v>0</v>
      </c>
      <c r="S599" s="108">
        <f>IFERROR(Table19[[#This Row],[Num of Stocks]]*Table19[[#This Row],[Ave Entry]],"")</f>
        <v>0</v>
      </c>
      <c r="T599" s="108">
        <f ca="1">Table19[[#This Row],[Combined Exposure]]/$C$8</f>
        <v>0</v>
      </c>
    </row>
    <row r="600" spans="1:20">
      <c r="A600" t="e" vm="587">
        <v>#VALUE!</v>
      </c>
      <c r="B600" s="13" t="str" cm="1">
        <f t="array" aca="1" ref="B600" ca="1">_FV(A600,"Ticker symbol",TRUE)</f>
        <v>SITM</v>
      </c>
      <c r="C600" s="13" t="s">
        <v>84</v>
      </c>
      <c r="D600" s="13" t="s">
        <v>84</v>
      </c>
      <c r="E600" s="19" cm="1">
        <f t="array" aca="1" ref="E600" ca="1">IFERROR(_FV(A600,"Beta"),2)</f>
        <v>2.5594999999999999</v>
      </c>
      <c r="F600" s="13" t="str" cm="1">
        <f t="array" aca="1" ref="F600" ca="1">_FV(A600,"Instrument type",TRUE)</f>
        <v>Stock</v>
      </c>
      <c r="G600" s="18" cm="1">
        <f t="array" aca="1" ref="G600" ca="1">_FV(Table19[[#This Row],[Assets]],"Price")</f>
        <v>370.23</v>
      </c>
      <c r="H600" s="36">
        <f>IFERROR(VLOOKUP(Table19[[#This Row],[Assets]],Table25[#All],15,FALSE),"")</f>
        <v>324.92</v>
      </c>
      <c r="I600" s="36">
        <f>IFERROR(VLOOKUP(Table19[[#This Row],[Assets]],Table25[#All],16,FALSE),0)</f>
        <v>29.059999999999945</v>
      </c>
      <c r="J600" s="84">
        <f ca="1">IFERROR((Table19[[#This Row],[Price]]-Table19[[#This Row],[Ave Entry]])/Table19[[#This Row],[Ave Entry]],"")</f>
        <v>0.13944971069801798</v>
      </c>
      <c r="K600" s="92">
        <f ca="1">IFERROR((Table19[[#This Row],[Price]]-Table19[[#This Row],[Ave Entry]])*Table19[[#This Row],[Num of Stocks]],0)</f>
        <v>0</v>
      </c>
      <c r="L600" s="38" cm="1">
        <f t="array" aca="1" ref="L600" ca="1">_FV(Table19[[#This Row],[Assets]],"Change (%)",TRUE)</f>
        <v>4.4814E-2</v>
      </c>
      <c r="M600" s="36">
        <f>SUMIF(Table20[Asset],Table19[[#This Row],[Assets]],Table20[realized_profit])</f>
        <v>0</v>
      </c>
      <c r="N600" s="36">
        <f>SUMIF(Table20[[#All],[Asset]],Table19[[#This Row],[Assets]],Table20[[#All],[delta_exposure]])</f>
        <v>0</v>
      </c>
      <c r="O600" s="38">
        <f ca="1">Table19[[#This Row],[Option Exposure]]/$B$6</f>
        <v>0</v>
      </c>
      <c r="P600" s="51">
        <f>SUMIF(Table25[[#All],[Assets]],Table19[[#This Row],[Assets]],Table25[[#All],[Number of stocks]])</f>
        <v>0</v>
      </c>
      <c r="Q600" s="36">
        <f ca="1">Table19[[#This Row],[Num of Stocks]]*Table19[[#This Row],[Price]]</f>
        <v>0</v>
      </c>
      <c r="R600" s="36">
        <f ca="1">Table19[[#This Row],[Stock Exposure]]+Table19[[#This Row],[Option Exposure]]</f>
        <v>0</v>
      </c>
      <c r="S600" s="108">
        <f>IFERROR(Table19[[#This Row],[Num of Stocks]]*Table19[[#This Row],[Ave Entry]],"")</f>
        <v>0</v>
      </c>
      <c r="T600" s="108">
        <f ca="1">Table19[[#This Row],[Combined Exposure]]/$C$8</f>
        <v>0</v>
      </c>
    </row>
    <row r="601" spans="1:20">
      <c r="A601" t="e" vm="588">
        <v>#VALUE!</v>
      </c>
      <c r="B601" s="13" t="str" cm="1">
        <f t="array" aca="1" ref="B601" ca="1">_FV(A601,"Ticker symbol",TRUE)</f>
        <v>RIGL</v>
      </c>
      <c r="C601" s="13" t="s">
        <v>53</v>
      </c>
      <c r="D601" s="13" t="s">
        <v>560</v>
      </c>
      <c r="E601" s="19" cm="1">
        <f t="array" aca="1" ref="E601" ca="1">IFERROR(_FV(A601,"Beta"),2)</f>
        <v>1.2766999999999999</v>
      </c>
      <c r="F601" s="13" t="str" cm="1">
        <f t="array" aca="1" ref="F601" ca="1">_FV(A601,"Instrument type",TRUE)</f>
        <v>Stock</v>
      </c>
      <c r="G601" s="18" cm="1">
        <f t="array" aca="1" ref="G601" ca="1">_FV(Table19[[#This Row],[Assets]],"Price")</f>
        <v>26.59</v>
      </c>
      <c r="H601" s="36">
        <f>IFERROR(VLOOKUP(Table19[[#This Row],[Assets]],Table25[#All],15,FALSE),"")</f>
        <v>38.470821270462402</v>
      </c>
      <c r="I601" s="36">
        <f>IFERROR(VLOOKUP(Table19[[#This Row],[Assets]],Table25[#All],16,FALSE),0)</f>
        <v>-67.461736199999976</v>
      </c>
      <c r="J601" s="84">
        <f ca="1">IFERROR((Table19[[#This Row],[Price]]-Table19[[#This Row],[Ave Entry]])/Table19[[#This Row],[Ave Entry]],"")</f>
        <v>-0.3088268167434316</v>
      </c>
      <c r="K601" s="92">
        <f ca="1">IFERROR((Table19[[#This Row],[Price]]-Table19[[#This Row],[Ave Entry]])*Table19[[#This Row],[Num of Stocks]],0)</f>
        <v>4.2209156242955721E-14</v>
      </c>
      <c r="L601" s="38" cm="1">
        <f t="array" aca="1" ref="L601" ca="1">_FV(Table19[[#This Row],[Assets]],"Change (%)",TRUE)</f>
        <v>1.7603999999999998E-2</v>
      </c>
      <c r="M601" s="36">
        <f>SUMIF(Table20[Asset],Table19[[#This Row],[Assets]],Table20[realized_profit])</f>
        <v>0</v>
      </c>
      <c r="N601" s="36">
        <f>SUMIF(Table20[[#All],[Asset]],Table19[[#This Row],[Assets]],Table20[[#All],[delta_exposure]])</f>
        <v>0</v>
      </c>
      <c r="O601" s="38">
        <f ca="1">Table19[[#This Row],[Option Exposure]]/$B$6</f>
        <v>0</v>
      </c>
      <c r="P601" s="51">
        <f>SUMIF(Table25[[#All],[Assets]],Table19[[#This Row],[Assets]],Table25[[#All],[Number of stocks]])</f>
        <v>-3.5527136788005009E-15</v>
      </c>
      <c r="Q601" s="36">
        <f ca="1">Table19[[#This Row],[Num of Stocks]]*Table19[[#This Row],[Price]]</f>
        <v>-9.4466656719305319E-14</v>
      </c>
      <c r="R601" s="36">
        <f ca="1">Table19[[#This Row],[Stock Exposure]]+Table19[[#This Row],[Option Exposure]]</f>
        <v>-9.4466656719305319E-14</v>
      </c>
      <c r="S601" s="108">
        <f>IFERROR(Table19[[#This Row],[Num of Stocks]]*Table19[[#This Row],[Ave Entry]],"")</f>
        <v>-1.3667581296226104E-13</v>
      </c>
      <c r="T601" s="108">
        <f ca="1">Table19[[#This Row],[Combined Exposure]]/$C$8</f>
        <v>-5.9543281570885061E-19</v>
      </c>
    </row>
    <row r="602" spans="1:20">
      <c r="A602" t="e" vm="21">
        <v>#VALUE!</v>
      </c>
      <c r="B602" s="13" t="str" cm="1">
        <f t="array" aca="1" ref="B602" ca="1">_FV(A602,"Ticker symbol",TRUE)</f>
        <v>INTC</v>
      </c>
      <c r="C602" s="13" t="s">
        <v>83</v>
      </c>
      <c r="D602" s="13" t="s">
        <v>84</v>
      </c>
      <c r="E602" s="19" cm="1">
        <f t="array" aca="1" ref="E602" ca="1">IFERROR(_FV(A602,"Beta"),2)</f>
        <v>1.3543000000000001</v>
      </c>
      <c r="F602" s="13" t="str" cm="1">
        <f t="array" aca="1" ref="F602" ca="1">_FV(A602,"Instrument type",TRUE)</f>
        <v>Stock</v>
      </c>
      <c r="G602" s="18" cm="1">
        <f t="array" aca="1" ref="G602" ca="1">_FV(Table19[[#This Row],[Assets]],"Price")</f>
        <v>47.290100000000002</v>
      </c>
      <c r="H602" s="36">
        <f>IFERROR(VLOOKUP(Table19[[#This Row],[Assets]],Table25[#All],15,FALSE),"")</f>
        <v>29.145053926588542</v>
      </c>
      <c r="I602" s="36">
        <f>IFERROR(VLOOKUP(Table19[[#This Row],[Assets]],Table25[#All],16,FALSE),0)</f>
        <v>-1846.8099513862492</v>
      </c>
      <c r="J602" s="84">
        <f ca="1">IFERROR((Table19[[#This Row],[Price]]-Table19[[#This Row],[Ave Entry]])/Table19[[#This Row],[Ave Entry]],"")</f>
        <v>0.62257720020404705</v>
      </c>
      <c r="K602" s="92">
        <f ca="1">IFERROR((Table19[[#This Row],[Price]]-Table19[[#This Row],[Ave Entry]])*Table19[[#This Row],[Num of Stocks]],0)</f>
        <v>-6.098549985296059E-2</v>
      </c>
      <c r="L602" s="38" cm="1">
        <f t="array" aca="1" ref="L602" ca="1">_FV(Table19[[#This Row],[Assets]],"Change (%)",TRUE)</f>
        <v>7.3311000000000001E-2</v>
      </c>
      <c r="M602" s="36">
        <f>SUMIF(Table20[Asset],Table19[[#This Row],[Assets]],Table20[realized_profit])</f>
        <v>4779</v>
      </c>
      <c r="N602" s="36">
        <f ca="1">SUMIF(Table20[[#All],[Asset]],Table19[[#This Row],[Assets]],Table20[[#All],[delta_exposure]])</f>
        <v>7135.6591797425681</v>
      </c>
      <c r="O602" s="98">
        <f ca="1">Table19[[#This Row],[Option Exposure]]/$B$6</f>
        <v>0.25778405491755052</v>
      </c>
      <c r="P602" s="51">
        <f>SUMIF(Table25[[#All],[Assets]],Table19[[#This Row],[Assets]],Table25[[#All],[Number of stocks]])</f>
        <v>-3.3610000000123819E-3</v>
      </c>
      <c r="Q602" s="36">
        <f ca="1">Table19[[#This Row],[Num of Stocks]]*Table19[[#This Row],[Price]]</f>
        <v>-0.15894202610058555</v>
      </c>
      <c r="R602" s="36">
        <f ca="1">Table19[[#This Row],[Stock Exposure]]+Table19[[#This Row],[Option Exposure]]</f>
        <v>7135.5002377164674</v>
      </c>
      <c r="S602" s="108">
        <f>IFERROR(Table19[[#This Row],[Num of Stocks]]*Table19[[#This Row],[Ave Entry]],"")</f>
        <v>-9.7956526247624964E-2</v>
      </c>
      <c r="T602" s="39">
        <f ca="1">Table19[[#This Row],[Combined Exposure]]/$C$8</f>
        <v>4.4975773945924113E-2</v>
      </c>
    </row>
    <row r="603" spans="1:20">
      <c r="A603" t="e" vm="589">
        <v>#VALUE!</v>
      </c>
      <c r="B603" s="13" t="str" cm="1">
        <f t="array" aca="1" ref="B603" ca="1">_FV(A603,"Ticker symbol",TRUE)</f>
        <v>EWY</v>
      </c>
      <c r="C603" s="13" t="s">
        <v>572</v>
      </c>
      <c r="D603" s="13" t="s">
        <v>84</v>
      </c>
      <c r="E603" s="19" cm="1">
        <f t="array" aca="1" ref="E603" ca="1">IFERROR(_FV(A603,"Beta"),2)</f>
        <v>2.1619999999999999</v>
      </c>
      <c r="F603" s="13" t="str" cm="1">
        <f t="array" aca="1" ref="F603" ca="1">_FV(A603,"Instrument type",TRUE)</f>
        <v>ETF</v>
      </c>
      <c r="G603" s="18" cm="1">
        <f t="array" aca="1" ref="G603" ca="1">_FV(Table19[[#This Row],[Assets]],"Price")</f>
        <v>130.01</v>
      </c>
      <c r="H603" s="36">
        <f>IFERROR(VLOOKUP(Table19[[#This Row],[Assets]],Table25[#All],15,FALSE),"")</f>
        <v>117.51727272727273</v>
      </c>
      <c r="I603" s="36">
        <f>IFERROR(VLOOKUP(Table19[[#This Row],[Assets]],Table25[#All],16,FALSE),0)</f>
        <v>0</v>
      </c>
      <c r="J603" s="84">
        <f ca="1">IFERROR((Table19[[#This Row],[Price]]-Table19[[#This Row],[Ave Entry]])/Table19[[#This Row],[Ave Entry]],"")</f>
        <v>0.10630545606448562</v>
      </c>
      <c r="K603" s="92">
        <f ca="1">IFERROR((Table19[[#This Row],[Price]]-Table19[[#This Row],[Ave Entry]])*Table19[[#This Row],[Num of Stocks]],0)</f>
        <v>137.4199999999999</v>
      </c>
      <c r="L603" s="38" cm="1">
        <f t="array" aca="1" ref="L603" ca="1">_FV(Table19[[#This Row],[Assets]],"Change (%)",TRUE)</f>
        <v>9.7859999999999996E-3</v>
      </c>
      <c r="M603" s="36">
        <f>SUMIF(Table20[Asset],Table19[[#This Row],[Assets]],Table20[realized_profit])</f>
        <v>0</v>
      </c>
      <c r="N603" s="36">
        <f>SUMIF(Table20[[#All],[Asset]],Table19[[#This Row],[Assets]],Table20[[#All],[delta_exposure]])</f>
        <v>0</v>
      </c>
      <c r="O603" s="38">
        <f ca="1">Table19[[#This Row],[Option Exposure]]/$B$6</f>
        <v>0</v>
      </c>
      <c r="P603" s="51">
        <f>SUMIF(Table25[[#All],[Assets]],Table19[[#This Row],[Assets]],Table25[[#All],[Number of stocks]])</f>
        <v>11</v>
      </c>
      <c r="Q603" s="36">
        <f ca="1">Table19[[#This Row],[Num of Stocks]]*Table19[[#This Row],[Price]]</f>
        <v>1430.11</v>
      </c>
      <c r="R603" s="36">
        <f ca="1">Table19[[#This Row],[Stock Exposure]]+Table19[[#This Row],[Option Exposure]]</f>
        <v>1430.11</v>
      </c>
      <c r="S603" s="108">
        <f>IFERROR(Table19[[#This Row],[Num of Stocks]]*Table19[[#This Row],[Ave Entry]],"")</f>
        <v>1292.69</v>
      </c>
      <c r="T603" s="108">
        <f ca="1">Table19[[#This Row],[Combined Exposure]]/$C$8</f>
        <v>9.0141268215260528E-3</v>
      </c>
    </row>
    <row r="604" spans="1:20">
      <c r="A604" t="e" vm="590">
        <v>#VALUE!</v>
      </c>
      <c r="B604" s="13" t="str" cm="1">
        <f t="array" aca="1" ref="B604" ca="1">_FV(A604,"Ticker symbol",TRUE)</f>
        <v>VSH</v>
      </c>
      <c r="C604" s="13" t="s">
        <v>56</v>
      </c>
      <c r="D604" s="13" t="s">
        <v>500</v>
      </c>
      <c r="E604" s="19" cm="1">
        <f t="array" aca="1" ref="E604" ca="1">IFERROR(_FV(A604,"Beta"),2)</f>
        <v>1.1335</v>
      </c>
      <c r="F604" s="13" t="str" cm="1">
        <f t="array" aca="1" ref="F604" ca="1">_FV(A604,"Instrument type",TRUE)</f>
        <v>Stock</v>
      </c>
      <c r="G604" s="18" cm="1">
        <f t="array" aca="1" ref="G604" ca="1">_FV(Table19[[#This Row],[Assets]],"Price")</f>
        <v>18.66</v>
      </c>
      <c r="H604" s="36">
        <f>IFERROR(VLOOKUP(Table19[[#This Row],[Assets]],Table25[#All],15,FALSE),"")</f>
        <v>19.09</v>
      </c>
      <c r="I604" s="36">
        <f>IFERROR(VLOOKUP(Table19[[#This Row],[Assets]],Table25[#All],16,FALSE),0)</f>
        <v>0</v>
      </c>
      <c r="J604" s="84">
        <f ca="1">IFERROR((Table19[[#This Row],[Price]]-Table19[[#This Row],[Ave Entry]])/Table19[[#This Row],[Ave Entry]],"")</f>
        <v>-2.2524882137244615E-2</v>
      </c>
      <c r="K604" s="92">
        <f ca="1">IFERROR((Table19[[#This Row],[Price]]-Table19[[#This Row],[Ave Entry]])*Table19[[#This Row],[Num of Stocks]],0)</f>
        <v>-1.7199999999999989</v>
      </c>
      <c r="L604" s="38" cm="1">
        <f t="array" aca="1" ref="L604" ca="1">_FV(Table19[[#This Row],[Assets]],"Change (%)",TRUE)</f>
        <v>2.1905999999999998E-2</v>
      </c>
      <c r="M604" s="36">
        <f>SUMIF(Table20[Asset],Table19[[#This Row],[Assets]],Table20[realized_profit])</f>
        <v>0</v>
      </c>
      <c r="N604" s="36">
        <f>SUMIF(Table20[[#All],[Asset]],Table19[[#This Row],[Assets]],Table20[[#All],[delta_exposure]])</f>
        <v>0</v>
      </c>
      <c r="O604" s="38">
        <f ca="1">Table19[[#This Row],[Option Exposure]]/$B$6</f>
        <v>0</v>
      </c>
      <c r="P604" s="51">
        <f>SUMIF(Table25[[#All],[Assets]],Table19[[#This Row],[Assets]],Table25[[#All],[Number of stocks]])</f>
        <v>4</v>
      </c>
      <c r="Q604" s="36">
        <f ca="1">Table19[[#This Row],[Num of Stocks]]*Table19[[#This Row],[Price]]</f>
        <v>74.64</v>
      </c>
      <c r="R604" s="36">
        <f ca="1">Table19[[#This Row],[Stock Exposure]]+Table19[[#This Row],[Option Exposure]]</f>
        <v>74.64</v>
      </c>
      <c r="S604" s="108">
        <f>IFERROR(Table19[[#This Row],[Num of Stocks]]*Table19[[#This Row],[Ave Entry]],"")</f>
        <v>76.36</v>
      </c>
      <c r="T604" s="108">
        <f ca="1">Table19[[#This Row],[Combined Exposure]]/$C$8</f>
        <v>4.7046340907951458E-4</v>
      </c>
    </row>
    <row r="605" spans="1:20">
      <c r="A605" t="e" vm="591">
        <v>#VALUE!</v>
      </c>
      <c r="B605" s="13" t="str" cm="1">
        <f t="array" aca="1" ref="B605" ca="1">_FV(A605,"Ticker symbol",TRUE)</f>
        <v>IPX</v>
      </c>
      <c r="C605" s="13" t="s">
        <v>59</v>
      </c>
      <c r="D605" s="13" t="s">
        <v>59</v>
      </c>
      <c r="E605" s="19" cm="1">
        <f t="array" aca="1" ref="E605" ca="1">IFERROR(_FV(A605,"Beta"),2)</f>
        <v>1.3847</v>
      </c>
      <c r="F605" s="13" t="str" cm="1">
        <f t="array" aca="1" ref="F605" ca="1">_FV(A605,"Instrument type",TRUE)</f>
        <v>Stock</v>
      </c>
      <c r="G605" s="18" cm="1">
        <f t="array" aca="1" ref="G605" ca="1">_FV(Table19[[#This Row],[Assets]],"Price")</f>
        <v>24.74</v>
      </c>
      <c r="H605" s="36" t="str">
        <f>IFERROR(VLOOKUP(Table19[[#This Row],[Assets]],Table25[#All],15,FALSE),"")</f>
        <v/>
      </c>
      <c r="I605" s="36">
        <f>IFERROR(VLOOKUP(Table19[[#This Row],[Assets]],Table25[#All],16,FALSE),0)</f>
        <v>0</v>
      </c>
      <c r="J605" s="84" t="str">
        <f ca="1">IFERROR((Table19[[#This Row],[Price]]-Table19[[#This Row],[Ave Entry]])/Table19[[#This Row],[Ave Entry]],"")</f>
        <v/>
      </c>
      <c r="K605" s="92">
        <f ca="1">IFERROR((Table19[[#This Row],[Price]]-Table19[[#This Row],[Ave Entry]])*Table19[[#This Row],[Num of Stocks]],0)</f>
        <v>0</v>
      </c>
      <c r="L605" s="38" cm="1">
        <f t="array" aca="1" ref="L605" ca="1">_FV(Table19[[#This Row],[Assets]],"Change (%)",TRUE)</f>
        <v>6.4086000000000004E-2</v>
      </c>
      <c r="M605" s="36">
        <f>SUMIF(Table20[Asset],Table19[[#This Row],[Assets]],Table20[realized_profit])</f>
        <v>0</v>
      </c>
      <c r="N605" s="36">
        <f>SUMIF(Table20[[#All],[Asset]],Table19[[#This Row],[Assets]],Table20[[#All],[delta_exposure]])</f>
        <v>0</v>
      </c>
      <c r="O605" s="38">
        <f ca="1">Table19[[#This Row],[Option Exposure]]/$B$6</f>
        <v>0</v>
      </c>
      <c r="P605" s="51">
        <f>SUMIF(Table25[[#All],[Assets]],Table19[[#This Row],[Assets]],Table25[[#All],[Number of stocks]])</f>
        <v>-12</v>
      </c>
      <c r="Q605" s="36">
        <f ca="1">Table19[[#This Row],[Num of Stocks]]*Table19[[#This Row],[Price]]</f>
        <v>-296.88</v>
      </c>
      <c r="R605" s="36">
        <f ca="1">Table19[[#This Row],[Stock Exposure]]+Table19[[#This Row],[Option Exposure]]</f>
        <v>-296.88</v>
      </c>
      <c r="S605" s="108" t="str">
        <f>IFERROR(Table19[[#This Row],[Num of Stocks]]*Table19[[#This Row],[Ave Entry]],"")</f>
        <v/>
      </c>
      <c r="T605" s="108">
        <f ca="1">Table19[[#This Row],[Combined Exposure]]/$C$8</f>
        <v>-1.8712644277535675E-3</v>
      </c>
    </row>
    <row r="606" spans="1:20">
      <c r="A606" t="e" vm="592">
        <v>#VALUE!</v>
      </c>
      <c r="B606" s="13" t="str" cm="1">
        <f t="array" aca="1" ref="B606" ca="1">_FV(A606,"Ticker symbol",TRUE)</f>
        <v>ZM</v>
      </c>
      <c r="C606" s="13" t="s">
        <v>29</v>
      </c>
      <c r="D606" s="13" t="s">
        <v>121</v>
      </c>
      <c r="E606" s="19" cm="1">
        <f t="array" aca="1" ref="E606" ca="1">IFERROR(_FV(A606,"Beta"),2)</f>
        <v>0.9204</v>
      </c>
      <c r="F606" s="13" t="str" cm="1">
        <f t="array" aca="1" ref="F606" ca="1">_FV(A606,"Instrument type",TRUE)</f>
        <v>Stock</v>
      </c>
      <c r="G606" s="18" cm="1">
        <f t="array" aca="1" ref="G606" ca="1">_FV(Table19[[#This Row],[Assets]],"Price")</f>
        <v>77.75</v>
      </c>
      <c r="H606" s="36" t="str">
        <f>IFERROR(VLOOKUP(Table19[[#This Row],[Assets]],Table25[#All],15,FALSE),"")</f>
        <v/>
      </c>
      <c r="I606" s="36">
        <f>IFERROR(VLOOKUP(Table19[[#This Row],[Assets]],Table25[#All],16,FALSE),0)</f>
        <v>0</v>
      </c>
      <c r="J606" s="84" t="str">
        <f ca="1">IFERROR((Table19[[#This Row],[Price]]-Table19[[#This Row],[Ave Entry]])/Table19[[#This Row],[Ave Entry]],"")</f>
        <v/>
      </c>
      <c r="K606" s="92">
        <f ca="1">IFERROR((Table19[[#This Row],[Price]]-Table19[[#This Row],[Ave Entry]])*Table19[[#This Row],[Num of Stocks]],0)</f>
        <v>0</v>
      </c>
      <c r="L606" s="38" cm="1">
        <f t="array" aca="1" ref="L606" ca="1">_FV(Table19[[#This Row],[Assets]],"Change (%)",TRUE)</f>
        <v>2.3296000000000001E-2</v>
      </c>
      <c r="M606" s="36">
        <f>SUMIF(Table20[Asset],Table19[[#This Row],[Assets]],Table20[realized_profit])</f>
        <v>0</v>
      </c>
      <c r="N606" s="36">
        <f>SUMIF(Table20[[#All],[Asset]],Table19[[#This Row],[Assets]],Table20[[#All],[delta_exposure]])</f>
        <v>0</v>
      </c>
      <c r="O606" s="38">
        <f ca="1">Table19[[#This Row],[Option Exposure]]/$B$6</f>
        <v>0</v>
      </c>
      <c r="P606" s="51">
        <f>SUMIF(Table25[[#All],[Assets]],Table19[[#This Row],[Assets]],Table25[[#All],[Number of stocks]])</f>
        <v>-11</v>
      </c>
      <c r="Q606" s="36">
        <f ca="1">Table19[[#This Row],[Num of Stocks]]*Table19[[#This Row],[Price]]</f>
        <v>-855.25</v>
      </c>
      <c r="R606" s="36">
        <f ca="1">Table19[[#This Row],[Stock Exposure]]+Table19[[#This Row],[Option Exposure]]</f>
        <v>-855.25</v>
      </c>
      <c r="S606" s="108" t="str">
        <f>IFERROR(Table19[[#This Row],[Num of Stocks]]*Table19[[#This Row],[Ave Entry]],"")</f>
        <v/>
      </c>
      <c r="T606" s="108">
        <f ca="1">Table19[[#This Row],[Combined Exposure]]/$C$8</f>
        <v>-5.3907265623694377E-3</v>
      </c>
    </row>
    <row r="607" spans="1:20">
      <c r="A607" t="e" vm="593">
        <v>#VALUE!</v>
      </c>
      <c r="B607" s="13" t="str" cm="1">
        <f t="array" aca="1" ref="B607" ca="1">_FV(A607,"Ticker symbol",TRUE)</f>
        <v>NPK</v>
      </c>
      <c r="C607" s="13" t="s">
        <v>38</v>
      </c>
      <c r="D607" s="13" t="s">
        <v>38</v>
      </c>
      <c r="E607" s="19" cm="1">
        <f t="array" aca="1" ref="E607" ca="1">IFERROR(_FV(A607,"Beta"),2)</f>
        <v>0.50380000000000003</v>
      </c>
      <c r="F607" s="13" t="str" cm="1">
        <f t="array" aca="1" ref="F607" ca="1">_FV(A607,"Instrument type",TRUE)</f>
        <v>Stock</v>
      </c>
      <c r="G607" s="18" cm="1">
        <f t="array" aca="1" ref="G607" ca="1">_FV(Table19[[#This Row],[Assets]],"Price")</f>
        <v>134.88999999999999</v>
      </c>
      <c r="H607" s="36">
        <f>IFERROR(VLOOKUP(Table19[[#This Row],[Assets]],Table25[#All],15,FALSE),"")</f>
        <v>148.12</v>
      </c>
      <c r="I607" s="36">
        <f>IFERROR(VLOOKUP(Table19[[#This Row],[Assets]],Table25[#All],16,FALSE),0)</f>
        <v>0</v>
      </c>
      <c r="J607" s="84">
        <f ca="1">IFERROR((Table19[[#This Row],[Price]]-Table19[[#This Row],[Ave Entry]])/Table19[[#This Row],[Ave Entry]],"")</f>
        <v>-8.931947069943301E-2</v>
      </c>
      <c r="K607" s="92">
        <f ca="1">IFERROR((Table19[[#This Row],[Price]]-Table19[[#This Row],[Ave Entry]])*Table19[[#This Row],[Num of Stocks]],0)</f>
        <v>-39.690000000000055</v>
      </c>
      <c r="L607" s="38" cm="1">
        <f t="array" aca="1" ref="L607" ca="1">_FV(Table19[[#This Row],[Assets]],"Change (%)",TRUE)</f>
        <v>1.3906E-2</v>
      </c>
      <c r="M607" s="36">
        <f>SUMIF(Table20[Asset],Table19[[#This Row],[Assets]],Table20[realized_profit])</f>
        <v>0</v>
      </c>
      <c r="N607" s="36">
        <f>SUMIF(Table20[[#All],[Asset]],Table19[[#This Row],[Assets]],Table20[[#All],[delta_exposure]])</f>
        <v>0</v>
      </c>
      <c r="O607" s="38">
        <f ca="1">Table19[[#This Row],[Option Exposure]]/$B$6</f>
        <v>0</v>
      </c>
      <c r="P607" s="51">
        <f>SUMIF(Table25[[#All],[Assets]],Table19[[#This Row],[Assets]],Table25[[#All],[Number of stocks]])</f>
        <v>3</v>
      </c>
      <c r="Q607" s="36">
        <f ca="1">Table19[[#This Row],[Num of Stocks]]*Table19[[#This Row],[Price]]</f>
        <v>404.66999999999996</v>
      </c>
      <c r="R607" s="36">
        <f ca="1">Table19[[#This Row],[Stock Exposure]]+Table19[[#This Row],[Option Exposure]]</f>
        <v>404.66999999999996</v>
      </c>
      <c r="S607" s="108">
        <f>IFERROR(Table19[[#This Row],[Num of Stocks]]*Table19[[#This Row],[Ave Entry]],"")</f>
        <v>444.36</v>
      </c>
      <c r="T607" s="108">
        <f ca="1">Table19[[#This Row],[Combined Exposure]]/$C$8</f>
        <v>2.5506756129716926E-3</v>
      </c>
    </row>
    <row r="608" spans="1:20">
      <c r="A608" t="e" vm="594">
        <v>#VALUE!</v>
      </c>
      <c r="B608" s="13" t="str" cm="1">
        <f t="array" aca="1" ref="B608" ca="1">_FV(A608,"Ticker symbol",TRUE)</f>
        <v>LUNR</v>
      </c>
      <c r="C608" s="13" t="s">
        <v>38</v>
      </c>
      <c r="D608" s="13" t="s">
        <v>495</v>
      </c>
      <c r="E608" s="19" cm="1">
        <f t="array" aca="1" ref="E608" ca="1">IFERROR(_FV(A608,"Beta"),2)</f>
        <v>1.3446</v>
      </c>
      <c r="F608" s="13" t="str" cm="1">
        <f t="array" aca="1" ref="F608" ca="1">_FV(A608,"Instrument type",TRUE)</f>
        <v>Stock</v>
      </c>
      <c r="G608" s="18" cm="1">
        <f t="array" aca="1" ref="G608" ca="1">_FV(Table19[[#This Row],[Assets]],"Price")</f>
        <v>21.1099</v>
      </c>
      <c r="H608" s="36">
        <f>IFERROR(VLOOKUP(Table19[[#This Row],[Assets]],Table25[#All],15,FALSE),"")</f>
        <v>18.78</v>
      </c>
      <c r="I608" s="36">
        <f>IFERROR(VLOOKUP(Table19[[#This Row],[Assets]],Table25[#All],16,FALSE),0)</f>
        <v>0</v>
      </c>
      <c r="J608" s="84">
        <f ca="1">IFERROR((Table19[[#This Row],[Price]]-Table19[[#This Row],[Ave Entry]])/Table19[[#This Row],[Ave Entry]],"")</f>
        <v>0.12406283280085188</v>
      </c>
      <c r="K608" s="92">
        <f ca="1">IFERROR((Table19[[#This Row],[Price]]-Table19[[#This Row],[Ave Entry]])*Table19[[#This Row],[Num of Stocks]],0)</f>
        <v>41.938199999999973</v>
      </c>
      <c r="L608" s="38" cm="1">
        <f t="array" aca="1" ref="L608" ca="1">_FV(Table19[[#This Row],[Assets]],"Change (%)",TRUE)</f>
        <v>0.178008</v>
      </c>
      <c r="M608" s="36">
        <f>SUMIF(Table20[Asset],Table19[[#This Row],[Assets]],Table20[realized_profit])</f>
        <v>0</v>
      </c>
      <c r="N608" s="36">
        <f>SUMIF(Table20[[#All],[Asset]],Table19[[#This Row],[Assets]],Table20[[#All],[delta_exposure]])</f>
        <v>0</v>
      </c>
      <c r="O608" s="38">
        <f ca="1">Table19[[#This Row],[Option Exposure]]/$B$6</f>
        <v>0</v>
      </c>
      <c r="P608" s="51">
        <f>SUMIF(Table25[[#All],[Assets]],Table19[[#This Row],[Assets]],Table25[[#All],[Number of stocks]])</f>
        <v>18</v>
      </c>
      <c r="Q608" s="36">
        <f ca="1">Table19[[#This Row],[Num of Stocks]]*Table19[[#This Row],[Price]]</f>
        <v>379.97820000000002</v>
      </c>
      <c r="R608" s="36">
        <f ca="1">Table19[[#This Row],[Stock Exposure]]+Table19[[#This Row],[Option Exposure]]</f>
        <v>379.97820000000002</v>
      </c>
      <c r="S608" s="108">
        <f>IFERROR(Table19[[#This Row],[Num of Stocks]]*Table19[[#This Row],[Ave Entry]],"")</f>
        <v>338.04</v>
      </c>
      <c r="T608" s="108">
        <f ca="1">Table19[[#This Row],[Combined Exposure]]/$C$8</f>
        <v>2.3950407200950914E-3</v>
      </c>
    </row>
    <row r="609" spans="1:20">
      <c r="A609" t="e" vm="595">
        <v>#VALUE!</v>
      </c>
      <c r="B609" s="13" t="str" cm="1">
        <f t="array" aca="1" ref="B609" ca="1">_FV(A609,"Ticker symbol",TRUE)</f>
        <v>AI</v>
      </c>
      <c r="C609" s="251" t="s">
        <v>29</v>
      </c>
      <c r="D609" s="251" t="s">
        <v>121</v>
      </c>
      <c r="E609" s="19" cm="1">
        <f t="array" aca="1" ref="E609" ca="1">IFERROR(_FV(A609,"Beta"),2)</f>
        <v>2.1021000000000001</v>
      </c>
      <c r="F609" s="13" t="str" cm="1">
        <f t="array" aca="1" ref="F609" ca="1">_FV(A609,"Instrument type",TRUE)</f>
        <v>Stock</v>
      </c>
      <c r="G609" s="18" cm="1">
        <f t="array" aca="1" ref="G609" ca="1">_FV(Table19[[#This Row],[Assets]],"Price")</f>
        <v>8.3149999999999995</v>
      </c>
      <c r="H609" s="36">
        <f>IFERROR(VLOOKUP(Table19[[#This Row],[Assets]],Table25[#All],15,FALSE),"")</f>
        <v>14.39</v>
      </c>
      <c r="I609" s="252">
        <f>IFERROR(VLOOKUP(Table19[[#This Row],[Assets]],Table25[#All],16,FALSE),0)</f>
        <v>-154.39999999999998</v>
      </c>
      <c r="J609" s="253">
        <f ca="1">IFERROR((Table19[[#This Row],[Price]]-Table19[[#This Row],[Ave Entry]])/Table19[[#This Row],[Ave Entry]],"")</f>
        <v>-0.42216817234190418</v>
      </c>
      <c r="K609" s="92">
        <f ca="1">IFERROR((Table19[[#This Row],[Price]]-Table19[[#This Row],[Ave Entry]])*Table19[[#This Row],[Num of Stocks]],0)</f>
        <v>0</v>
      </c>
      <c r="L609" s="38" cm="1">
        <f t="array" aca="1" ref="L609" ca="1">_FV(Table19[[#This Row],[Assets]],"Change (%)",TRUE)</f>
        <v>4.2269999999999999E-3</v>
      </c>
      <c r="M609" s="36">
        <f>SUMIF(Table20[Asset],Table19[[#This Row],[Assets]],Table20[realized_profit])</f>
        <v>0</v>
      </c>
      <c r="N609" s="36">
        <f>SUMIF(Table20[[#All],[Asset]],Table19[[#This Row],[Assets]],Table20[[#All],[delta_exposure]])</f>
        <v>0</v>
      </c>
      <c r="O609" s="38">
        <f ca="1">Table19[[#This Row],[Option Exposure]]/$B$6</f>
        <v>0</v>
      </c>
      <c r="P609" s="51">
        <f>SUMIF(Table25[[#All],[Assets]],Table19[[#This Row],[Assets]],Table25[[#All],[Number of stocks]])</f>
        <v>0</v>
      </c>
      <c r="Q609" s="36">
        <f ca="1">Table19[[#This Row],[Num of Stocks]]*Table19[[#This Row],[Price]]</f>
        <v>0</v>
      </c>
      <c r="R609" s="36">
        <f ca="1">Table19[[#This Row],[Stock Exposure]]+Table19[[#This Row],[Option Exposure]]</f>
        <v>0</v>
      </c>
      <c r="S609" s="108">
        <f>IFERROR(Table19[[#This Row],[Num of Stocks]]*Table19[[#This Row],[Ave Entry]],"")</f>
        <v>0</v>
      </c>
      <c r="T609" s="108">
        <f ca="1">Table19[[#This Row],[Combined Exposure]]/$C$8</f>
        <v>0</v>
      </c>
    </row>
    <row r="610" spans="1:20">
      <c r="A610" t="e" vm="596">
        <v>#VALUE!</v>
      </c>
      <c r="B610" s="13" t="str" cm="1">
        <f t="array" aca="1" ref="B610" ca="1">_FV(A610,"Ticker symbol",TRUE)</f>
        <v>PSTG</v>
      </c>
      <c r="C610" s="251" t="s">
        <v>29</v>
      </c>
      <c r="D610" s="251" t="s">
        <v>257</v>
      </c>
      <c r="E610" s="19" cm="1">
        <f t="array" aca="1" ref="E610" ca="1">IFERROR(_FV(A610,"Beta"),2)</f>
        <v>1.3019000000000001</v>
      </c>
      <c r="F610" s="13" t="str" cm="1">
        <f t="array" aca="1" ref="F610" ca="1">_FV(A610,"Instrument type",TRUE)</f>
        <v>Stock</v>
      </c>
      <c r="G610" s="18" cm="1">
        <f t="array" aca="1" ref="G610" ca="1">_FV(Table19[[#This Row],[Assets]],"Price")</f>
        <v>62.03</v>
      </c>
      <c r="H610" s="36">
        <f>IFERROR(VLOOKUP(Table19[[#This Row],[Assets]],Table25[#All],15,FALSE),"")</f>
        <v>71.33</v>
      </c>
      <c r="I610" s="252">
        <f>IFERROR(VLOOKUP(Table19[[#This Row],[Assets]],Table25[#All],16,FALSE),0)</f>
        <v>0</v>
      </c>
      <c r="J610" s="253">
        <f ca="1">IFERROR((Table19[[#This Row],[Price]]-Table19[[#This Row],[Ave Entry]])/Table19[[#This Row],[Ave Entry]],"")</f>
        <v>-0.1303799242955278</v>
      </c>
      <c r="K610" s="92">
        <f ca="1">IFERROR((Table19[[#This Row],[Price]]-Table19[[#This Row],[Ave Entry]])*Table19[[#This Row],[Num of Stocks]],0)</f>
        <v>-83.699999999999974</v>
      </c>
      <c r="L610" s="38" cm="1">
        <f t="array" aca="1" ref="L610" ca="1">_FV(Table19[[#This Row],[Assets]],"Change (%)",TRUE)</f>
        <v>-5.2542999999999999E-2</v>
      </c>
      <c r="M610" s="36">
        <f>SUMIF(Table20[Asset],Table19[[#This Row],[Assets]],Table20[realized_profit])</f>
        <v>0</v>
      </c>
      <c r="N610" s="36">
        <f>SUMIF(Table20[[#All],[Asset]],Table19[[#This Row],[Assets]],Table20[[#All],[delta_exposure]])</f>
        <v>0</v>
      </c>
      <c r="O610" s="38">
        <f ca="1">Table19[[#This Row],[Option Exposure]]/$B$6</f>
        <v>0</v>
      </c>
      <c r="P610" s="51">
        <f>SUMIF(Table25[[#All],[Assets]],Table19[[#This Row],[Assets]],Table25[[#All],[Number of stocks]])</f>
        <v>9</v>
      </c>
      <c r="Q610" s="36">
        <f ca="1">Table19[[#This Row],[Num of Stocks]]*Table19[[#This Row],[Price]]</f>
        <v>558.27</v>
      </c>
      <c r="R610" s="36">
        <f ca="1">Table19[[#This Row],[Stock Exposure]]+Table19[[#This Row],[Option Exposure]]</f>
        <v>558.27</v>
      </c>
      <c r="S610" s="108">
        <f>IFERROR(Table19[[#This Row],[Num of Stocks]]*Table19[[#This Row],[Ave Entry]],"")</f>
        <v>641.97</v>
      </c>
      <c r="T610" s="108">
        <f ca="1">Table19[[#This Row],[Combined Exposure]]/$C$8</f>
        <v>3.5188318245822693E-3</v>
      </c>
    </row>
    <row r="611" spans="1:20">
      <c r="A611" t="e" vm="597">
        <v>#VALUE!</v>
      </c>
      <c r="B611" s="13" t="str" cm="1">
        <f t="array" aca="1" ref="B611" ca="1">_FV(A611,"Ticker symbol",TRUE)</f>
        <v>IRDM</v>
      </c>
      <c r="C611" s="251" t="s">
        <v>38</v>
      </c>
      <c r="D611" s="251" t="s">
        <v>38</v>
      </c>
      <c r="E611" s="19" cm="1">
        <f t="array" aca="1" ref="E611" ca="1">IFERROR(_FV(A611,"Beta"),2)</f>
        <v>0.4627</v>
      </c>
      <c r="F611" s="13" t="str" cm="1">
        <f t="array" aca="1" ref="F611" ca="1">_FV(A611,"Instrument type",TRUE)</f>
        <v>Stock</v>
      </c>
      <c r="G611" s="18" cm="1">
        <f t="array" aca="1" ref="G611" ca="1">_FV(Table19[[#This Row],[Assets]],"Price")</f>
        <v>28.31</v>
      </c>
      <c r="H611" s="36">
        <f>IFERROR(VLOOKUP(Table19[[#This Row],[Assets]],Table25[#All],15,FALSE),"")</f>
        <v>21.66</v>
      </c>
      <c r="I611" s="252">
        <f>IFERROR(VLOOKUP(Table19[[#This Row],[Assets]],Table25[#All],16,FALSE),0)</f>
        <v>0</v>
      </c>
      <c r="J611" s="253">
        <f ca="1">IFERROR((Table19[[#This Row],[Price]]-Table19[[#This Row],[Ave Entry]])/Table19[[#This Row],[Ave Entry]],"")</f>
        <v>0.30701754385964908</v>
      </c>
      <c r="K611" s="92">
        <f ca="1">IFERROR((Table19[[#This Row],[Price]]-Table19[[#This Row],[Ave Entry]])*Table19[[#This Row],[Num of Stocks]],0)</f>
        <v>166.24999999999997</v>
      </c>
      <c r="L611" s="38" cm="1">
        <f t="array" aca="1" ref="L611" ca="1">_FV(Table19[[#This Row],[Assets]],"Change (%)",TRUE)</f>
        <v>-4.6158999999999999E-2</v>
      </c>
      <c r="M611" s="36">
        <f>SUMIF(Table20[Asset],Table19[[#This Row],[Assets]],Table20[realized_profit])</f>
        <v>0</v>
      </c>
      <c r="N611" s="36">
        <f>SUMIF(Table20[[#All],[Asset]],Table19[[#This Row],[Assets]],Table20[[#All],[delta_exposure]])</f>
        <v>0</v>
      </c>
      <c r="O611" s="38">
        <f ca="1">Table19[[#This Row],[Option Exposure]]/$B$6</f>
        <v>0</v>
      </c>
      <c r="P611" s="51">
        <f>SUMIF(Table25[[#All],[Assets]],Table19[[#This Row],[Assets]],Table25[[#All],[Number of stocks]])</f>
        <v>25</v>
      </c>
      <c r="Q611" s="36">
        <f ca="1">Table19[[#This Row],[Num of Stocks]]*Table19[[#This Row],[Price]]</f>
        <v>707.75</v>
      </c>
      <c r="R611" s="36">
        <f ca="1">Table19[[#This Row],[Stock Exposure]]+Table19[[#This Row],[Option Exposure]]</f>
        <v>707.75</v>
      </c>
      <c r="S611" s="108">
        <f>IFERROR(Table19[[#This Row],[Num of Stocks]]*Table19[[#This Row],[Ave Entry]],"")</f>
        <v>541.5</v>
      </c>
      <c r="T611" s="108">
        <f ca="1">Table19[[#This Row],[Combined Exposure]]/$C$8</f>
        <v>4.4610192628084999E-3</v>
      </c>
    </row>
    <row r="612" spans="1:20">
      <c r="A612" t="e" vm="598">
        <v>#VALUE!</v>
      </c>
      <c r="B612" s="13" t="str" cm="1">
        <f t="array" aca="1" ref="B612" ca="1">_FV(A612,"Ticker symbol",TRUE)</f>
        <v>COPJ</v>
      </c>
      <c r="C612" s="251" t="s">
        <v>26</v>
      </c>
      <c r="D612" s="251" t="s">
        <v>59</v>
      </c>
      <c r="E612" s="19" cm="1">
        <f t="array" aca="1" ref="E612" ca="1">IFERROR(_FV(A612,"Beta"),2)</f>
        <v>0.74409999999999998</v>
      </c>
      <c r="F612" s="13" t="str" cm="1">
        <f t="array" aca="1" ref="F612" ca="1">_FV(A612,"Instrument type",TRUE)</f>
        <v>ETF</v>
      </c>
      <c r="G612" s="18" cm="1">
        <f t="array" aca="1" ref="G612" ca="1">_FV(Table19[[#This Row],[Assets]],"Price")</f>
        <v>35.81</v>
      </c>
      <c r="H612" s="36">
        <f>IFERROR(VLOOKUP(Table19[[#This Row],[Assets]],Table25[#All],15,FALSE),"")</f>
        <v>52.239999999999995</v>
      </c>
      <c r="I612" s="252">
        <f>IFERROR(VLOOKUP(Table19[[#This Row],[Assets]],Table25[#All],16,FALSE),0)</f>
        <v>0</v>
      </c>
      <c r="J612" s="253">
        <f ca="1">IFERROR((Table19[[#This Row],[Price]]-Table19[[#This Row],[Ave Entry]])/Table19[[#This Row],[Ave Entry]],"")</f>
        <v>-0.31450995405819282</v>
      </c>
      <c r="K612" s="92">
        <f ca="1">IFERROR((Table19[[#This Row],[Price]]-Table19[[#This Row],[Ave Entry]])*Table19[[#This Row],[Num of Stocks]],0)</f>
        <v>-164.29999999999993</v>
      </c>
      <c r="L612" s="38" cm="1">
        <f t="array" aca="1" ref="L612" ca="1">_FV(Table19[[#This Row],[Assets]],"Change (%)",TRUE)</f>
        <v>-5.3397E-2</v>
      </c>
      <c r="M612" s="36">
        <f>SUMIF(Table20[Asset],Table19[[#This Row],[Assets]],Table20[realized_profit])</f>
        <v>0</v>
      </c>
      <c r="N612" s="36">
        <f>SUMIF(Table20[[#All],[Asset]],Table19[[#This Row],[Assets]],Table20[[#All],[delta_exposure]])</f>
        <v>0</v>
      </c>
      <c r="O612" s="38">
        <f ca="1">Table19[[#This Row],[Option Exposure]]/$B$6</f>
        <v>0</v>
      </c>
      <c r="P612" s="51">
        <f>SUMIF(Table25[[#All],[Assets]],Table19[[#This Row],[Assets]],Table25[[#All],[Number of stocks]])</f>
        <v>10</v>
      </c>
      <c r="Q612" s="36">
        <f ca="1">Table19[[#This Row],[Num of Stocks]]*Table19[[#This Row],[Price]]</f>
        <v>358.1</v>
      </c>
      <c r="R612" s="36">
        <f ca="1">Table19[[#This Row],[Stock Exposure]]+Table19[[#This Row],[Option Exposure]]</f>
        <v>358.1</v>
      </c>
      <c r="S612" s="108">
        <f>IFERROR(Table19[[#This Row],[Num of Stocks]]*Table19[[#This Row],[Ave Entry]],"")</f>
        <v>522.4</v>
      </c>
      <c r="T612" s="108">
        <f ca="1">Table19[[#This Row],[Combined Exposure]]/$C$8</f>
        <v>2.2571402303238771E-3</v>
      </c>
    </row>
    <row r="613" spans="1:20">
      <c r="A613" t="e" vm="599">
        <v>#VALUE!</v>
      </c>
      <c r="B613" s="13" t="str" cm="1">
        <f t="array" aca="1" ref="B613" ca="1">_FV(A613,"Ticker symbol",TRUE)</f>
        <v>AMPX</v>
      </c>
      <c r="C613" s="251" t="s">
        <v>38</v>
      </c>
      <c r="D613" s="251" t="s">
        <v>38</v>
      </c>
      <c r="E613" s="19" cm="1">
        <f t="array" aca="1" ref="E613" ca="1">IFERROR(_FV(A613,"Beta"),2)</f>
        <v>2.2517999999999998</v>
      </c>
      <c r="F613" s="13" t="str" cm="1">
        <f t="array" aca="1" ref="F613" ca="1">_FV(A613,"Instrument type",TRUE)</f>
        <v>Stock</v>
      </c>
      <c r="G613" s="18" cm="1">
        <f t="array" aca="1" ref="G613" ca="1">_FV(Table19[[#This Row],[Assets]],"Price")</f>
        <v>17.16</v>
      </c>
      <c r="H613" s="36">
        <f>IFERROR(VLOOKUP(Table19[[#This Row],[Assets]],Table25[#All],15,FALSE),"")</f>
        <v>11.376470588235295</v>
      </c>
      <c r="I613" s="252">
        <f>IFERROR(VLOOKUP(Table19[[#This Row],[Assets]],Table25[#All],16,FALSE),0)</f>
        <v>0</v>
      </c>
      <c r="J613" s="253">
        <f ca="1">IFERROR((Table19[[#This Row],[Price]]-Table19[[#This Row],[Ave Entry]])/Table19[[#This Row],[Ave Entry]],"")</f>
        <v>0.50837642192347465</v>
      </c>
      <c r="K613" s="92">
        <f ca="1">IFERROR((Table19[[#This Row],[Price]]-Table19[[#This Row],[Ave Entry]])*Table19[[#This Row],[Num of Stocks]],0)</f>
        <v>786.56</v>
      </c>
      <c r="L613" s="38" cm="1">
        <f t="array" aca="1" ref="L613" ca="1">_FV(Table19[[#This Row],[Assets]],"Change (%)",TRUE)</f>
        <v>-4.2945000000000004E-2</v>
      </c>
      <c r="M613" s="36">
        <f>SUMIF(Table20[Asset],Table19[[#This Row],[Assets]],Table20[realized_profit])</f>
        <v>0</v>
      </c>
      <c r="N613" s="36">
        <f>SUMIF(Table20[[#All],[Asset]],Table19[[#This Row],[Assets]],Table20[[#All],[delta_exposure]])</f>
        <v>0</v>
      </c>
      <c r="O613" s="38">
        <f ca="1">Table19[[#This Row],[Option Exposure]]/$B$6</f>
        <v>0</v>
      </c>
      <c r="P613" s="51">
        <f>SUMIF(Table25[[#All],[Assets]],Table19[[#This Row],[Assets]],Table25[[#All],[Number of stocks]])</f>
        <v>136</v>
      </c>
      <c r="Q613" s="36">
        <f ca="1">Table19[[#This Row],[Num of Stocks]]*Table19[[#This Row],[Price]]</f>
        <v>2333.7600000000002</v>
      </c>
      <c r="R613" s="36">
        <f ca="1">Table19[[#This Row],[Stock Exposure]]+Table19[[#This Row],[Option Exposure]]</f>
        <v>2333.7600000000002</v>
      </c>
      <c r="S613" s="108">
        <f>IFERROR(Table19[[#This Row],[Num of Stocks]]*Table19[[#This Row],[Ave Entry]],"")</f>
        <v>1547.2</v>
      </c>
      <c r="T613" s="108">
        <f ca="1">Table19[[#This Row],[Combined Exposure]]/$C$8</f>
        <v>1.47099234401582E-2</v>
      </c>
    </row>
    <row r="614" spans="1:20">
      <c r="A614" t="e" vm="600">
        <v>#VALUE!</v>
      </c>
      <c r="B614" s="13" t="str" cm="1">
        <f t="array" aca="1" ref="B614" ca="1">_FV(A614,"Ticker symbol",TRUE)</f>
        <v>UMC</v>
      </c>
      <c r="C614" s="251" t="s">
        <v>84</v>
      </c>
      <c r="D614" s="251" t="s">
        <v>84</v>
      </c>
      <c r="E614" s="19" cm="1">
        <f t="array" aca="1" ref="E614" ca="1">IFERROR(_FV(A614,"Beta"),2)</f>
        <v>1.0956999999999999</v>
      </c>
      <c r="F614" s="13" t="str" cm="1">
        <f t="array" aca="1" ref="F614" ca="1">_FV(A614,"Instrument type",TRUE)</f>
        <v>Stock</v>
      </c>
      <c r="G614" s="18" cm="1">
        <f t="array" aca="1" ref="G614" ca="1">_FV(Table19[[#This Row],[Assets]],"Price")</f>
        <v>9.02</v>
      </c>
      <c r="H614" s="36">
        <f>IFERROR(VLOOKUP(Table19[[#This Row],[Assets]],Table25[#All],15,FALSE),"")</f>
        <v>10.51</v>
      </c>
      <c r="I614" s="252">
        <f>IFERROR(VLOOKUP(Table19[[#This Row],[Assets]],Table25[#All],16,FALSE),0)</f>
        <v>0</v>
      </c>
      <c r="J614" s="253">
        <f ca="1">IFERROR((Table19[[#This Row],[Price]]-Table19[[#This Row],[Ave Entry]])/Table19[[#This Row],[Ave Entry]],"")</f>
        <v>-0.14176974310180782</v>
      </c>
      <c r="K614" s="92">
        <f ca="1">IFERROR((Table19[[#This Row],[Price]]-Table19[[#This Row],[Ave Entry]])*Table19[[#This Row],[Num of Stocks]],0)</f>
        <v>-34.270000000000003</v>
      </c>
      <c r="L614" s="38" cm="1">
        <f t="array" aca="1" ref="L614" ca="1">_FV(Table19[[#This Row],[Assets]],"Change (%)",TRUE)</f>
        <v>-3.1149E-2</v>
      </c>
      <c r="M614" s="36">
        <f>SUMIF(Table20[Asset],Table19[[#This Row],[Assets]],Table20[realized_profit])</f>
        <v>0</v>
      </c>
      <c r="N614" s="36">
        <f>SUMIF(Table20[[#All],[Asset]],Table19[[#This Row],[Assets]],Table20[[#All],[delta_exposure]])</f>
        <v>0</v>
      </c>
      <c r="O614" s="38">
        <f ca="1">Table19[[#This Row],[Option Exposure]]/$B$6</f>
        <v>0</v>
      </c>
      <c r="P614" s="51">
        <f>SUMIF(Table25[[#All],[Assets]],Table19[[#This Row],[Assets]],Table25[[#All],[Number of stocks]])</f>
        <v>23</v>
      </c>
      <c r="Q614" s="36">
        <f ca="1">Table19[[#This Row],[Num of Stocks]]*Table19[[#This Row],[Price]]</f>
        <v>207.45999999999998</v>
      </c>
      <c r="R614" s="36">
        <f ca="1">Table19[[#This Row],[Stock Exposure]]+Table19[[#This Row],[Option Exposure]]</f>
        <v>207.45999999999998</v>
      </c>
      <c r="S614" s="108">
        <f>IFERROR(Table19[[#This Row],[Num of Stocks]]*Table19[[#This Row],[Ave Entry]],"")</f>
        <v>241.73</v>
      </c>
      <c r="T614" s="108">
        <f ca="1">Table19[[#This Row],[Combined Exposure]]/$C$8</f>
        <v>1.307641195707879E-3</v>
      </c>
    </row>
    <row r="615" spans="1:20">
      <c r="A615" t="e" vm="601">
        <v>#VALUE!</v>
      </c>
      <c r="B615" s="13" t="str" cm="1">
        <f t="array" aca="1" ref="B615" ca="1">_FV(A615,"Ticker symbol",TRUE)</f>
        <v>ORCL</v>
      </c>
      <c r="C615" s="251" t="s">
        <v>83</v>
      </c>
      <c r="D615" s="251" t="s">
        <v>541</v>
      </c>
      <c r="E615" s="19" cm="1">
        <f t="array" aca="1" ref="E615" ca="1">IFERROR(_FV(A615,"Beta"),2)</f>
        <v>1.6148</v>
      </c>
      <c r="F615" s="13" t="str" cm="1">
        <f t="array" aca="1" ref="F615" ca="1">_FV(A615,"Instrument type",TRUE)</f>
        <v>Stock</v>
      </c>
      <c r="G615" s="18" cm="1">
        <f t="array" aca="1" ref="G615" ca="1">_FV(Table19[[#This Row],[Assets]],"Price")</f>
        <v>142.81</v>
      </c>
      <c r="H615" s="36">
        <f>IFERROR(VLOOKUP(Table19[[#This Row],[Assets]],Table25[#All],15,FALSE),"")</f>
        <v>168.34</v>
      </c>
      <c r="I615" s="252">
        <f>IFERROR(VLOOKUP(Table19[[#This Row],[Assets]],Table25[#All],16,FALSE),0)</f>
        <v>0</v>
      </c>
      <c r="J615" s="253">
        <f ca="1">IFERROR((Table19[[#This Row],[Price]]-Table19[[#This Row],[Ave Entry]])/Table19[[#This Row],[Ave Entry]],"")</f>
        <v>-0.15165736010455033</v>
      </c>
      <c r="K615" s="92">
        <f ca="1">IFERROR((Table19[[#This Row],[Price]]-Table19[[#This Row],[Ave Entry]])*Table19[[#This Row],[Num of Stocks]],0)</f>
        <v>-127.65</v>
      </c>
      <c r="L615" s="38" cm="1">
        <f t="array" aca="1" ref="L615" ca="1">_FV(Table19[[#This Row],[Assets]],"Change (%)",TRUE)</f>
        <v>-2.1983000000000003E-2</v>
      </c>
      <c r="M615" s="36">
        <f>SUMIF(Table20[Asset],Table19[[#This Row],[Assets]],Table20[realized_profit])</f>
        <v>0</v>
      </c>
      <c r="N615" s="36">
        <f>SUMIF(Table20[[#All],[Asset]],Table19[[#This Row],[Assets]],Table20[[#All],[delta_exposure]])</f>
        <v>0</v>
      </c>
      <c r="O615" s="38">
        <f ca="1">Table19[[#This Row],[Option Exposure]]/$B$6</f>
        <v>0</v>
      </c>
      <c r="P615" s="51">
        <f>SUMIF(Table25[[#All],[Assets]],Table19[[#This Row],[Assets]],Table25[[#All],[Number of stocks]])</f>
        <v>5</v>
      </c>
      <c r="Q615" s="36">
        <f ca="1">Table19[[#This Row],[Num of Stocks]]*Table19[[#This Row],[Price]]</f>
        <v>714.05</v>
      </c>
      <c r="R615" s="36">
        <f ca="1">Table19[[#This Row],[Stock Exposure]]+Table19[[#This Row],[Option Exposure]]</f>
        <v>714.05</v>
      </c>
      <c r="S615" s="108">
        <f>IFERROR(Table19[[#This Row],[Num of Stocks]]*Table19[[#This Row],[Ave Entry]],"")</f>
        <v>841.7</v>
      </c>
      <c r="T615" s="108">
        <f ca="1">Table19[[#This Row],[Combined Exposure]]/$C$8</f>
        <v>4.5007287949253398E-3</v>
      </c>
    </row>
  </sheetData>
  <phoneticPr fontId="10" type="noConversion"/>
  <conditionalFormatting sqref="A16:J285 M16:N615 K18:K234 A286:C286 E286:J286 A287:J288 A289:B289 E289:J289 C289:D298 C299:C310 D305 D307 C312 C314 C319 C322:C324 C328 A341:A344 C341:D345 C350:D350 A350:A351 C351 C353:D353 C356 A356:A358 D359:D360 C369 C370:D388 C389 C397 C407 C415 C417:D417 C427:D427 D433 C456 C463 D466 C471 C480 C531">
    <cfRule type="cellIs" dxfId="23" priority="11" operator="equal">
      <formula>"None"</formula>
    </cfRule>
  </conditionalFormatting>
  <conditionalFormatting sqref="J16:J615">
    <cfRule type="dataBar" priority="4519">
      <dataBar>
        <cfvo type="min"/>
        <cfvo type="max"/>
        <color rgb="FF63C384"/>
      </dataBar>
      <extLst>
        <ext xmlns:x14="http://schemas.microsoft.com/office/spreadsheetml/2009/9/main" uri="{B025F937-C7B1-47D3-B67F-A62EFF666E3E}">
          <x14:id>{9AD5AF3E-2F2B-3547-9C8A-A4EEB9347D13}</x14:id>
        </ext>
      </extLst>
    </cfRule>
  </conditionalFormatting>
  <conditionalFormatting sqref="K16 D303">
    <cfRule type="cellIs" dxfId="22" priority="1" operator="equal">
      <formula>"None"</formula>
    </cfRule>
  </conditionalFormatting>
  <conditionalFormatting sqref="K16:K615">
    <cfRule type="dataBar" priority="4521">
      <dataBar>
        <cfvo type="min"/>
        <cfvo type="max"/>
        <color rgb="FF63C384"/>
      </dataBar>
      <extLst>
        <ext xmlns:x14="http://schemas.microsoft.com/office/spreadsheetml/2009/9/main" uri="{B025F937-C7B1-47D3-B67F-A62EFF666E3E}">
          <x14:id>{FF0AAF0B-9EAB-0443-9198-1FB79D3FD8EA}</x14:id>
        </ext>
      </extLst>
    </cfRule>
  </conditionalFormatting>
  <conditionalFormatting sqref="L16:L615">
    <cfRule type="colorScale" priority="4523">
      <colorScale>
        <cfvo type="min"/>
        <cfvo type="percentile" val="50"/>
        <cfvo type="max"/>
        <color rgb="FFF8696B"/>
        <color rgb="FFFFEB84"/>
        <color rgb="FF63BE7B"/>
      </colorScale>
    </cfRule>
  </conditionalFormatting>
  <conditionalFormatting sqref="M16:M615">
    <cfRule type="dataBar" priority="4525">
      <dataBar>
        <cfvo type="min"/>
        <cfvo type="max"/>
        <color rgb="FF63C384"/>
      </dataBar>
      <extLst>
        <ext xmlns:x14="http://schemas.microsoft.com/office/spreadsheetml/2009/9/main" uri="{B025F937-C7B1-47D3-B67F-A62EFF666E3E}">
          <x14:id>{924B3DF4-8CCA-AF48-BA53-182CDBA1A588}</x14:id>
        </ext>
      </extLst>
    </cfRule>
  </conditionalFormatting>
  <conditionalFormatting sqref="N17:N109">
    <cfRule type="dataBar" priority="4527">
      <dataBar>
        <cfvo type="min"/>
        <cfvo type="max"/>
        <color rgb="FF63C384"/>
      </dataBar>
      <extLst>
        <ext xmlns:x14="http://schemas.microsoft.com/office/spreadsheetml/2009/9/main" uri="{B025F937-C7B1-47D3-B67F-A62EFF666E3E}">
          <x14:id>{9DA6B779-3253-CD45-B1C9-9E645A1A1C37}</x14:id>
        </ext>
      </extLst>
    </cfRule>
  </conditionalFormatting>
  <conditionalFormatting sqref="Q16:Q615">
    <cfRule type="dataBar" priority="4528">
      <dataBar>
        <cfvo type="min"/>
        <cfvo type="max"/>
        <color rgb="FF63C384"/>
      </dataBar>
      <extLst>
        <ext xmlns:x14="http://schemas.microsoft.com/office/spreadsheetml/2009/9/main" uri="{B025F937-C7B1-47D3-B67F-A62EFF666E3E}">
          <x14:id>{829450C7-139E-1447-A277-3962104A0696}</x14:id>
        </ext>
      </extLst>
    </cfRule>
  </conditionalFormatting>
  <conditionalFormatting sqref="R16:R615">
    <cfRule type="dataBar" priority="4530">
      <dataBar>
        <cfvo type="min"/>
        <cfvo type="max"/>
        <color rgb="FF63C384"/>
      </dataBar>
      <extLst>
        <ext xmlns:x14="http://schemas.microsoft.com/office/spreadsheetml/2009/9/main" uri="{B025F937-C7B1-47D3-B67F-A62EFF666E3E}">
          <x14:id>{07BE596F-92A6-134F-97E4-7BC35122B041}</x14:id>
        </ext>
      </extLst>
    </cfRule>
  </conditionalFormatting>
  <pageMargins left="0.7" right="0.7" top="0.75" bottom="0.75" header="0.3" footer="0.3"/>
  <pageSetup orientation="portrait" horizontalDpi="0" verticalDpi="0"/>
  <legacy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9AD5AF3E-2F2B-3547-9C8A-A4EEB9347D13}">
            <x14:dataBar minLength="0" maxLength="100" border="1" negativeBarBorderColorSameAsPositive="0">
              <x14:cfvo type="autoMin"/>
              <x14:cfvo type="autoMax"/>
              <x14:borderColor rgb="FF63C384"/>
              <x14:negativeFillColor rgb="FFFF0000"/>
              <x14:negativeBorderColor rgb="FFFF0000"/>
              <x14:axisColor rgb="FF000000"/>
            </x14:dataBar>
          </x14:cfRule>
          <xm:sqref>J16:J615</xm:sqref>
        </x14:conditionalFormatting>
        <x14:conditionalFormatting xmlns:xm="http://schemas.microsoft.com/office/excel/2006/main">
          <x14:cfRule type="dataBar" id="{FF0AAF0B-9EAB-0443-9198-1FB79D3FD8EA}">
            <x14:dataBar minLength="0" maxLength="100" border="1" negativeBarBorderColorSameAsPositive="0">
              <x14:cfvo type="autoMin"/>
              <x14:cfvo type="autoMax"/>
              <x14:borderColor rgb="FF63C384"/>
              <x14:negativeFillColor rgb="FFFF0000"/>
              <x14:negativeBorderColor rgb="FFFF0000"/>
              <x14:axisColor rgb="FF000000"/>
            </x14:dataBar>
          </x14:cfRule>
          <xm:sqref>K16:K615</xm:sqref>
        </x14:conditionalFormatting>
        <x14:conditionalFormatting xmlns:xm="http://schemas.microsoft.com/office/excel/2006/main">
          <x14:cfRule type="dataBar" id="{924B3DF4-8CCA-AF48-BA53-182CDBA1A588}">
            <x14:dataBar minLength="0" maxLength="100" border="1" negativeBarBorderColorSameAsPositive="0">
              <x14:cfvo type="autoMin"/>
              <x14:cfvo type="autoMax"/>
              <x14:borderColor rgb="FF63C384"/>
              <x14:negativeFillColor rgb="FFFF0000"/>
              <x14:negativeBorderColor rgb="FFFF0000"/>
              <x14:axisColor rgb="FF000000"/>
            </x14:dataBar>
          </x14:cfRule>
          <xm:sqref>M16:M615</xm:sqref>
        </x14:conditionalFormatting>
        <x14:conditionalFormatting xmlns:xm="http://schemas.microsoft.com/office/excel/2006/main">
          <x14:cfRule type="dataBar" id="{9DA6B779-3253-CD45-B1C9-9E645A1A1C37}">
            <x14:dataBar minLength="0" maxLength="100" border="1" negativeBarBorderColorSameAsPositive="0">
              <x14:cfvo type="autoMin"/>
              <x14:cfvo type="autoMax"/>
              <x14:borderColor rgb="FF63C384"/>
              <x14:negativeFillColor rgb="FFFF0000"/>
              <x14:negativeBorderColor rgb="FFFF0000"/>
              <x14:axisColor rgb="FF000000"/>
            </x14:dataBar>
          </x14:cfRule>
          <xm:sqref>N17:N109</xm:sqref>
        </x14:conditionalFormatting>
        <x14:conditionalFormatting xmlns:xm="http://schemas.microsoft.com/office/excel/2006/main">
          <x14:cfRule type="dataBar" id="{829450C7-139E-1447-A277-3962104A0696}">
            <x14:dataBar minLength="0" maxLength="100" border="1" negativeBarBorderColorSameAsPositive="0">
              <x14:cfvo type="autoMin"/>
              <x14:cfvo type="autoMax"/>
              <x14:borderColor rgb="FF63C384"/>
              <x14:negativeFillColor rgb="FFFF0000"/>
              <x14:negativeBorderColor rgb="FFFF0000"/>
              <x14:axisColor rgb="FF000000"/>
            </x14:dataBar>
          </x14:cfRule>
          <xm:sqref>Q16:Q615</xm:sqref>
        </x14:conditionalFormatting>
        <x14:conditionalFormatting xmlns:xm="http://schemas.microsoft.com/office/excel/2006/main">
          <x14:cfRule type="dataBar" id="{07BE596F-92A6-134F-97E4-7BC35122B041}">
            <x14:dataBar minLength="0" maxLength="100" border="1" negativeBarBorderColorSameAsPositive="0">
              <x14:cfvo type="autoMin"/>
              <x14:cfvo type="autoMax"/>
              <x14:borderColor rgb="FF63C384"/>
              <x14:negativeFillColor rgb="FFFF0000"/>
              <x14:negativeBorderColor rgb="FFFF0000"/>
              <x14:axisColor rgb="FF000000"/>
            </x14:dataBar>
          </x14:cfRule>
          <xm:sqref>R16:R615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3BCA7BFA-D628-4B42-BF72-6D99CF77FE8A}">
          <x14:formula1>
            <xm:f>'Secondary Theme'!$A:$A</xm:f>
          </x14:formula1>
          <xm:sqref>D16:D615</xm:sqref>
        </x14:dataValidation>
        <x14:dataValidation type="list" allowBlank="1" showInputMessage="1" showErrorMessage="1" xr:uid="{1312A84F-3163-CA4A-AAF5-24CEA846830B}">
          <x14:formula1>
            <xm:f>'Primary Theme'!$A:$A</xm:f>
          </x14:formula1>
          <xm:sqref>C439:C534 C17:C437</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089D3-189E-974F-A3B2-24942E5F4ABC}">
  <dimension ref="A2:Q2075"/>
  <sheetViews>
    <sheetView tabSelected="1" topLeftCell="A2056" zoomScaleNormal="100" workbookViewId="0">
      <pane xSplit="1" topLeftCell="B1" activePane="topRight" state="frozen"/>
      <selection pane="topRight" activeCell="B2085" sqref="B2085"/>
    </sheetView>
  </sheetViews>
  <sheetFormatPr baseColWidth="10" defaultRowHeight="16"/>
  <cols>
    <col min="1" max="1" width="54.1640625" customWidth="1"/>
    <col min="2" max="2" width="15" customWidth="1"/>
    <col min="3" max="3" width="13.5" customWidth="1"/>
    <col min="4" max="4" width="17.33203125" customWidth="1"/>
    <col min="5" max="5" width="19" customWidth="1"/>
    <col min="6" max="6" width="16.6640625" bestFit="1" customWidth="1"/>
    <col min="7" max="7" width="16.6640625" customWidth="1"/>
    <col min="8" max="8" width="14.33203125" customWidth="1"/>
    <col min="9" max="9" width="14.6640625" customWidth="1"/>
    <col min="10" max="10" width="9.1640625" customWidth="1"/>
    <col min="11" max="11" width="13.6640625" customWidth="1"/>
    <col min="12" max="12" width="18" customWidth="1"/>
    <col min="13" max="13" width="18.83203125" customWidth="1"/>
    <col min="14" max="14" width="16.5" customWidth="1"/>
    <col min="15" max="15" width="18.1640625" customWidth="1"/>
    <col min="16" max="16" width="16.33203125" customWidth="1"/>
    <col min="17" max="17" width="14.83203125" customWidth="1"/>
  </cols>
  <sheetData>
    <row r="2" spans="1:17">
      <c r="A2" s="80">
        <v>1</v>
      </c>
      <c r="B2" s="80">
        <v>2</v>
      </c>
      <c r="C2" s="80">
        <v>3</v>
      </c>
      <c r="D2" s="80">
        <v>4</v>
      </c>
      <c r="E2" s="80">
        <v>5</v>
      </c>
      <c r="F2" s="80">
        <v>6</v>
      </c>
      <c r="G2" s="80">
        <v>7</v>
      </c>
      <c r="H2" s="80">
        <v>8</v>
      </c>
      <c r="I2" s="80">
        <v>9</v>
      </c>
      <c r="J2" s="80">
        <v>10</v>
      </c>
      <c r="K2" s="80">
        <v>11</v>
      </c>
      <c r="L2" s="80">
        <v>12</v>
      </c>
      <c r="M2" s="80">
        <v>13</v>
      </c>
      <c r="N2" s="80">
        <v>14</v>
      </c>
      <c r="O2" s="80">
        <v>15</v>
      </c>
      <c r="P2" s="80">
        <v>16</v>
      </c>
      <c r="Q2" s="80">
        <v>17</v>
      </c>
    </row>
    <row r="3" spans="1:17" ht="17" thickBot="1">
      <c r="A3" s="47" t="s">
        <v>78</v>
      </c>
      <c r="B3" s="46" t="s">
        <v>0</v>
      </c>
      <c r="C3" s="47" t="s">
        <v>60</v>
      </c>
      <c r="D3" s="48" t="s">
        <v>143</v>
      </c>
      <c r="E3" s="49" t="s">
        <v>154</v>
      </c>
      <c r="F3" s="78" t="s">
        <v>230</v>
      </c>
      <c r="G3" s="78" t="s">
        <v>231</v>
      </c>
      <c r="H3" s="47" t="s">
        <v>233</v>
      </c>
      <c r="I3" s="47" t="s">
        <v>232</v>
      </c>
      <c r="J3" s="87" t="s">
        <v>264</v>
      </c>
      <c r="K3" s="47" t="s">
        <v>20</v>
      </c>
      <c r="L3" s="89" t="s">
        <v>265</v>
      </c>
      <c r="M3" s="47" t="s">
        <v>266</v>
      </c>
      <c r="N3" s="47" t="s">
        <v>267</v>
      </c>
      <c r="O3" s="86" t="s">
        <v>229</v>
      </c>
      <c r="P3" s="86" t="s">
        <v>206</v>
      </c>
      <c r="Q3" s="78" t="s">
        <v>43</v>
      </c>
    </row>
    <row r="4" spans="1:17">
      <c r="A4" t="e" vm="59">
        <v>#VALUE!</v>
      </c>
      <c r="B4" s="2">
        <v>45390</v>
      </c>
      <c r="C4" t="str" cm="1">
        <f t="array" aca="1" ref="C4" ca="1">_FV(A4,"Ticker symbol",TRUE)</f>
        <v>EOG</v>
      </c>
      <c r="D4" s="4">
        <v>135.41999999999999</v>
      </c>
      <c r="E4" s="50">
        <v>1</v>
      </c>
      <c r="F4" s="81">
        <f>IF(Table25[[#This Row],[Number of stocks]]&gt;0,Table25[[#This Row],[Number of stocks]],0)</f>
        <v>1</v>
      </c>
      <c r="G4" s="73">
        <f>Table25[[#This Row],[Bought]]*Table25[[#This Row],[Price]]</f>
        <v>135.41999999999999</v>
      </c>
      <c r="H4">
        <f>SUMIF(Table25[[#All],[Assets]],Table25[[#This Row],[Assets]],Table25[[#All],[Bought]])</f>
        <v>5</v>
      </c>
      <c r="I4">
        <f>SUMIF(Table25[[#All],[Assets]],Table25[[#This Row],[Assets]],Table25[[#All],[Bought Amount]])</f>
        <v>595.38</v>
      </c>
      <c r="J4" s="88">
        <f>IF(Table25[[#This Row],[Number of stocks]]&lt;0,Table25[[#This Row],[Number of stocks]],0)</f>
        <v>0</v>
      </c>
      <c r="K4" s="5">
        <f>Table25[[#This Row],[Sold]]*Table25[[#This Row],[Price]]</f>
        <v>0</v>
      </c>
      <c r="L4" s="8">
        <f>ABS(SUMIF(Table25[[#All],[Assets]],Table25[[#This Row],[Assets]],Table25[[#All],[Sold]]))</f>
        <v>5</v>
      </c>
      <c r="M4" s="5">
        <f>ABS(SUMIF(Table25[[#All],[Assets]],Table25[[#This Row],[Assets]],Table25[[#All],[Sold Amount]]))</f>
        <v>575.31999999999994</v>
      </c>
      <c r="N4" s="5">
        <f>IFERROR(Table25[[#This Row],[Total sold amount]]/Table25[[#This Row],[Total Sold number of stocks]],"")</f>
        <v>115.06399999999999</v>
      </c>
      <c r="O4" s="4">
        <f>IFERROR(Table25[[#This Row],[Total Amount bought]]/Table25[[#This Row],[Total number bought]],"")</f>
        <v>119.07599999999999</v>
      </c>
      <c r="P4" s="4">
        <f>IFERROR((Table25[[#This Row],[Average sell price]]-Table25[[#This Row],[Average buy price]])*Table25[[#This Row],[Total Sold number of stocks]],0)</f>
        <v>-20.060000000000002</v>
      </c>
      <c r="Q4" s="85">
        <f>SUMIF(Table25[[#All],[Assets]],Table25[[#This Row],[Assets]],Table25[[#All],[Number of stocks]])</f>
        <v>0</v>
      </c>
    </row>
    <row r="5" spans="1:17">
      <c r="A5" t="e" vm="60">
        <v>#VALUE!</v>
      </c>
      <c r="B5" s="2">
        <v>45453</v>
      </c>
      <c r="C5" t="str" cm="1">
        <f t="array" aca="1" ref="C5" ca="1">_FV(A5,"Ticker symbol",TRUE)</f>
        <v>XOM</v>
      </c>
      <c r="D5" s="4">
        <v>104.61</v>
      </c>
      <c r="E5" s="50">
        <v>16</v>
      </c>
      <c r="F5" s="81">
        <f>IF(Table25[[#This Row],[Number of stocks]]&gt;0,Table25[[#This Row],[Number of stocks]],0)</f>
        <v>16</v>
      </c>
      <c r="G5" s="73">
        <f>Table25[[#This Row],[Bought]]*Table25[[#This Row],[Price]]</f>
        <v>1673.76</v>
      </c>
      <c r="H5">
        <f>SUMIF(Table25[[#All],[Assets]],Table25[[#This Row],[Assets]],Table25[[#All],[Bought]])</f>
        <v>21</v>
      </c>
      <c r="I5">
        <f>SUMIF(Table25[[#All],[Assets]],Table25[[#This Row],[Assets]],Table25[[#All],[Bought Amount]])</f>
        <v>2275.41</v>
      </c>
      <c r="J5" s="88">
        <f>IF(Table25[[#This Row],[Number of stocks]]&lt;0,Table25[[#This Row],[Number of stocks]],0)</f>
        <v>0</v>
      </c>
      <c r="K5" s="5">
        <f>Table25[[#This Row],[Sold]]*Table25[[#This Row],[Price]]</f>
        <v>0</v>
      </c>
      <c r="L5" s="8">
        <f>ABS(SUMIF(Table25[[#All],[Assets]],Table25[[#This Row],[Assets]],Table25[[#All],[Sold]]))</f>
        <v>21</v>
      </c>
      <c r="M5" s="5">
        <f>ABS(SUMIF(Table25[[#All],[Assets]],Table25[[#This Row],[Assets]],Table25[[#All],[Sold Amount]]))</f>
        <v>2458.71</v>
      </c>
      <c r="N5" s="5">
        <f>IFERROR(Table25[[#This Row],[Total sold amount]]/Table25[[#This Row],[Total Sold number of stocks]],"")</f>
        <v>117.08142857142857</v>
      </c>
      <c r="O5" s="4">
        <f>IFERROR(Table25[[#This Row],[Total Amount bought]]/Table25[[#This Row],[Total number bought]],"")</f>
        <v>108.35285714285713</v>
      </c>
      <c r="P5" s="4">
        <f>IFERROR((Table25[[#This Row],[Average sell price]]-Table25[[#This Row],[Average buy price]])*Table25[[#This Row],[Total Sold number of stocks]],0)</f>
        <v>183.3000000000003</v>
      </c>
      <c r="Q5" s="85">
        <f>SUMIF(Table25[[#All],[Assets]],Table25[[#This Row],[Assets]],Table25[[#All],[Number of stocks]])</f>
        <v>0</v>
      </c>
    </row>
    <row r="6" spans="1:17">
      <c r="A6" t="e" vm="602">
        <v>#VALUE!</v>
      </c>
      <c r="B6" s="2">
        <v>45474</v>
      </c>
      <c r="C6" t="str" cm="1">
        <f t="array" aca="1" ref="C6" ca="1">_FV(A6,"Ticker symbol",TRUE)</f>
        <v>SWN</v>
      </c>
      <c r="D6" s="4">
        <v>6.87</v>
      </c>
      <c r="E6" s="50">
        <v>250.180722</v>
      </c>
      <c r="F6" s="81">
        <f>IF(Table25[[#This Row],[Number of stocks]]&gt;0,Table25[[#This Row],[Number of stocks]],0)</f>
        <v>250.180722</v>
      </c>
      <c r="G6" s="73">
        <f>Table25[[#This Row],[Bought]]*Table25[[#This Row],[Price]]</f>
        <v>1718.74156014</v>
      </c>
      <c r="H6">
        <f>SUMIF(Table25[[#All],[Assets]],Table25[[#This Row],[Assets]],Table25[[#All],[Bought]])</f>
        <v>250.180722</v>
      </c>
      <c r="I6">
        <f>SUMIF(Table25[[#All],[Assets]],Table25[[#This Row],[Assets]],Table25[[#All],[Bought Amount]])</f>
        <v>1718.74156014</v>
      </c>
      <c r="J6" s="88">
        <f>IF(Table25[[#This Row],[Number of stocks]]&lt;0,Table25[[#This Row],[Number of stocks]],0)</f>
        <v>0</v>
      </c>
      <c r="K6" s="5">
        <f>Table25[[#This Row],[Sold]]*Table25[[#This Row],[Price]]</f>
        <v>0</v>
      </c>
      <c r="L6" s="8">
        <f>ABS(SUMIF(Table25[[#All],[Assets]],Table25[[#This Row],[Assets]],Table25[[#All],[Sold]]))</f>
        <v>250.18</v>
      </c>
      <c r="M6" s="5">
        <f>ABS(SUMIF(Table25[[#All],[Assets]],Table25[[#This Row],[Assets]],Table25[[#All],[Sold Amount]]))</f>
        <v>1639.6268</v>
      </c>
      <c r="N6" s="5">
        <f>IFERROR(Table25[[#This Row],[Total sold amount]]/Table25[[#This Row],[Total Sold number of stocks]],"")</f>
        <v>6.553788472299944</v>
      </c>
      <c r="O6" s="4">
        <f>IFERROR(Table25[[#This Row],[Total Amount bought]]/Table25[[#This Row],[Total number bought]],"")</f>
        <v>6.87</v>
      </c>
      <c r="P6" s="4">
        <f>IFERROR((Table25[[#This Row],[Average sell price]]-Table25[[#This Row],[Average buy price]])*Table25[[#This Row],[Total Sold number of stocks]],0)</f>
        <v>-79.109800000000035</v>
      </c>
      <c r="Q6" s="85">
        <f>SUMIF(Table25[[#All],[Assets]],Table25[[#This Row],[Assets]],Table25[[#All],[Number of stocks]])</f>
        <v>7.2199999999611464E-4</v>
      </c>
    </row>
    <row r="7" spans="1:17">
      <c r="A7" t="e" vm="602">
        <v>#VALUE!</v>
      </c>
      <c r="B7" s="2">
        <v>45474</v>
      </c>
      <c r="C7" t="str" cm="1">
        <f t="array" aca="1" ref="C7" ca="1">_FV(A7,"Ticker symbol",TRUE)</f>
        <v>SWN</v>
      </c>
      <c r="D7" s="4">
        <v>6.75</v>
      </c>
      <c r="E7" s="50">
        <v>-150</v>
      </c>
      <c r="F7" s="81">
        <f>IF(Table25[[#This Row],[Number of stocks]]&gt;0,Table25[[#This Row],[Number of stocks]],0)</f>
        <v>0</v>
      </c>
      <c r="G7" s="73">
        <f>Table25[[#This Row],[Bought]]*Table25[[#This Row],[Price]]</f>
        <v>0</v>
      </c>
      <c r="H7">
        <f>SUMIF(Table25[[#All],[Assets]],Table25[[#This Row],[Assets]],Table25[[#All],[Bought]])</f>
        <v>250.180722</v>
      </c>
      <c r="I7">
        <f>SUMIF(Table25[[#All],[Assets]],Table25[[#This Row],[Assets]],Table25[[#All],[Bought Amount]])</f>
        <v>1718.74156014</v>
      </c>
      <c r="J7" s="88">
        <f>IF(Table25[[#This Row],[Number of stocks]]&lt;0,Table25[[#This Row],[Number of stocks]],0)</f>
        <v>-150</v>
      </c>
      <c r="K7" s="5">
        <f>Table25[[#This Row],[Sold]]*Table25[[#This Row],[Price]]</f>
        <v>-1012.5</v>
      </c>
      <c r="L7" s="8">
        <f>ABS(SUMIF(Table25[[#All],[Assets]],Table25[[#This Row],[Assets]],Table25[[#All],[Sold]]))</f>
        <v>250.18</v>
      </c>
      <c r="M7" s="5">
        <f>ABS(SUMIF(Table25[[#All],[Assets]],Table25[[#This Row],[Assets]],Table25[[#All],[Sold Amount]]))</f>
        <v>1639.6268</v>
      </c>
      <c r="N7" s="5">
        <f>IFERROR(Table25[[#This Row],[Total sold amount]]/Table25[[#This Row],[Total Sold number of stocks]],"")</f>
        <v>6.553788472299944</v>
      </c>
      <c r="O7" s="4">
        <f>IFERROR(Table25[[#This Row],[Total Amount bought]]/Table25[[#This Row],[Total number bought]],"")</f>
        <v>6.87</v>
      </c>
      <c r="P7" s="4">
        <f>IFERROR((Table25[[#This Row],[Average sell price]]-Table25[[#This Row],[Average buy price]])*Table25[[#This Row],[Total Sold number of stocks]],0)</f>
        <v>-79.109800000000035</v>
      </c>
      <c r="Q7" s="85">
        <f>SUMIF(Table25[[#All],[Assets]],Table25[[#This Row],[Assets]],Table25[[#All],[Number of stocks]])</f>
        <v>7.2199999999611464E-4</v>
      </c>
    </row>
    <row r="8" spans="1:17">
      <c r="A8" t="e" vm="502">
        <v>#VALUE!</v>
      </c>
      <c r="B8" s="2">
        <v>45474</v>
      </c>
      <c r="C8" t="str" cm="1">
        <f t="array" aca="1" ref="C8" ca="1">_FV(A8,"Ticker symbol",TRUE)</f>
        <v>SHLS</v>
      </c>
      <c r="D8" s="4">
        <v>7.03</v>
      </c>
      <c r="E8" s="50">
        <v>50</v>
      </c>
      <c r="F8" s="81">
        <f>IF(Table25[[#This Row],[Number of stocks]]&gt;0,Table25[[#This Row],[Number of stocks]],0)</f>
        <v>50</v>
      </c>
      <c r="G8" s="73">
        <f>Table25[[#This Row],[Bought]]*Table25[[#This Row],[Price]]</f>
        <v>351.5</v>
      </c>
      <c r="H8">
        <f>SUMIF(Table25[[#All],[Assets]],Table25[[#This Row],[Assets]],Table25[[#All],[Bought]])</f>
        <v>70</v>
      </c>
      <c r="I8">
        <f>SUMIF(Table25[[#All],[Assets]],Table25[[#This Row],[Assets]],Table25[[#All],[Bought Amount]])</f>
        <v>475.3</v>
      </c>
      <c r="J8" s="88">
        <f>IF(Table25[[#This Row],[Number of stocks]]&lt;0,Table25[[#This Row],[Number of stocks]],0)</f>
        <v>0</v>
      </c>
      <c r="K8" s="5">
        <f>Table25[[#This Row],[Sold]]*Table25[[#This Row],[Price]]</f>
        <v>0</v>
      </c>
      <c r="L8" s="8">
        <f>ABS(SUMIF(Table25[[#All],[Assets]],Table25[[#This Row],[Assets]],Table25[[#All],[Sold]]))</f>
        <v>70</v>
      </c>
      <c r="M8" s="5">
        <f>ABS(SUMIF(Table25[[#All],[Assets]],Table25[[#This Row],[Assets]],Table25[[#All],[Sold Amount]]))</f>
        <v>441.9</v>
      </c>
      <c r="N8" s="5">
        <f>IFERROR(Table25[[#This Row],[Total sold amount]]/Table25[[#This Row],[Total Sold number of stocks]],"")</f>
        <v>6.3128571428571423</v>
      </c>
      <c r="O8" s="4">
        <f>IFERROR(Table25[[#This Row],[Total Amount bought]]/Table25[[#This Row],[Total number bought]],"")</f>
        <v>6.79</v>
      </c>
      <c r="P8" s="4">
        <f>IFERROR((Table25[[#This Row],[Average sell price]]-Table25[[#This Row],[Average buy price]])*Table25[[#This Row],[Total Sold number of stocks]],0)</f>
        <v>-33.400000000000041</v>
      </c>
      <c r="Q8" s="85">
        <f>SUMIF(Table25[[#All],[Assets]],Table25[[#This Row],[Assets]],Table25[[#All],[Number of stocks]])</f>
        <v>0</v>
      </c>
    </row>
    <row r="9" spans="1:17">
      <c r="A9" t="e" vm="502">
        <v>#VALUE!</v>
      </c>
      <c r="B9" s="2">
        <v>45474</v>
      </c>
      <c r="C9" t="str" cm="1">
        <f t="array" aca="1" ref="C9" ca="1">_FV(A9,"Ticker symbol",TRUE)</f>
        <v>SHLS</v>
      </c>
      <c r="D9" s="4">
        <v>6.23</v>
      </c>
      <c r="E9" s="50">
        <v>-50</v>
      </c>
      <c r="F9" s="81">
        <f>IF(Table25[[#This Row],[Number of stocks]]&gt;0,Table25[[#This Row],[Number of stocks]],0)</f>
        <v>0</v>
      </c>
      <c r="G9" s="73">
        <f>Table25[[#This Row],[Bought]]*Table25[[#This Row],[Price]]</f>
        <v>0</v>
      </c>
      <c r="H9">
        <f>SUMIF(Table25[[#All],[Assets]],Table25[[#This Row],[Assets]],Table25[[#All],[Bought]])</f>
        <v>70</v>
      </c>
      <c r="I9">
        <f>SUMIF(Table25[[#All],[Assets]],Table25[[#This Row],[Assets]],Table25[[#All],[Bought Amount]])</f>
        <v>475.3</v>
      </c>
      <c r="J9" s="88">
        <f>IF(Table25[[#This Row],[Number of stocks]]&lt;0,Table25[[#This Row],[Number of stocks]],0)</f>
        <v>-50</v>
      </c>
      <c r="K9" s="5">
        <f>Table25[[#This Row],[Sold]]*Table25[[#This Row],[Price]]</f>
        <v>-311.5</v>
      </c>
      <c r="L9" s="8">
        <f>ABS(SUMIF(Table25[[#All],[Assets]],Table25[[#This Row],[Assets]],Table25[[#All],[Sold]]))</f>
        <v>70</v>
      </c>
      <c r="M9" s="5">
        <f>ABS(SUMIF(Table25[[#All],[Assets]],Table25[[#This Row],[Assets]],Table25[[#All],[Sold Amount]]))</f>
        <v>441.9</v>
      </c>
      <c r="N9" s="5">
        <f>IFERROR(Table25[[#This Row],[Total sold amount]]/Table25[[#This Row],[Total Sold number of stocks]],"")</f>
        <v>6.3128571428571423</v>
      </c>
      <c r="O9" s="4">
        <f>IFERROR(Table25[[#This Row],[Total Amount bought]]/Table25[[#This Row],[Total number bought]],"")</f>
        <v>6.79</v>
      </c>
      <c r="P9" s="4">
        <f>IFERROR((Table25[[#This Row],[Average sell price]]-Table25[[#This Row],[Average buy price]])*Table25[[#This Row],[Total Sold number of stocks]],0)</f>
        <v>-33.400000000000041</v>
      </c>
      <c r="Q9" s="85">
        <f>SUMIF(Table25[[#All],[Assets]],Table25[[#This Row],[Assets]],Table25[[#All],[Number of stocks]])</f>
        <v>0</v>
      </c>
    </row>
    <row r="10" spans="1:17">
      <c r="A10" t="e" vm="502">
        <v>#VALUE!</v>
      </c>
      <c r="B10" s="2">
        <v>45474</v>
      </c>
      <c r="C10" t="str" cm="1">
        <f t="array" aca="1" ref="C10" ca="1">_FV(A10,"Ticker symbol",TRUE)</f>
        <v>SHLS</v>
      </c>
      <c r="D10" s="4">
        <v>6.19</v>
      </c>
      <c r="E10" s="50">
        <v>20</v>
      </c>
      <c r="F10" s="81">
        <f>IF(Table25[[#This Row],[Number of stocks]]&gt;0,Table25[[#This Row],[Number of stocks]],0)</f>
        <v>20</v>
      </c>
      <c r="G10" s="73">
        <f>Table25[[#This Row],[Bought]]*Table25[[#This Row],[Price]]</f>
        <v>123.80000000000001</v>
      </c>
      <c r="H10">
        <f>SUMIF(Table25[[#All],[Assets]],Table25[[#This Row],[Assets]],Table25[[#All],[Bought]])</f>
        <v>70</v>
      </c>
      <c r="I10">
        <f>SUMIF(Table25[[#All],[Assets]],Table25[[#This Row],[Assets]],Table25[[#All],[Bought Amount]])</f>
        <v>475.3</v>
      </c>
      <c r="J10" s="88">
        <f>IF(Table25[[#This Row],[Number of stocks]]&lt;0,Table25[[#This Row],[Number of stocks]],0)</f>
        <v>0</v>
      </c>
      <c r="K10" s="5">
        <f>Table25[[#This Row],[Sold]]*Table25[[#This Row],[Price]]</f>
        <v>0</v>
      </c>
      <c r="L10" s="8">
        <f>ABS(SUMIF(Table25[[#All],[Assets]],Table25[[#This Row],[Assets]],Table25[[#All],[Sold]]))</f>
        <v>70</v>
      </c>
      <c r="M10" s="5">
        <f>ABS(SUMIF(Table25[[#All],[Assets]],Table25[[#This Row],[Assets]],Table25[[#All],[Sold Amount]]))</f>
        <v>441.9</v>
      </c>
      <c r="N10" s="5">
        <f>IFERROR(Table25[[#This Row],[Total sold amount]]/Table25[[#This Row],[Total Sold number of stocks]],"")</f>
        <v>6.3128571428571423</v>
      </c>
      <c r="O10" s="4">
        <f>IFERROR(Table25[[#This Row],[Total Amount bought]]/Table25[[#This Row],[Total number bought]],"")</f>
        <v>6.79</v>
      </c>
      <c r="P10" s="4">
        <f>IFERROR((Table25[[#This Row],[Average sell price]]-Table25[[#This Row],[Average buy price]])*Table25[[#This Row],[Total Sold number of stocks]],0)</f>
        <v>-33.400000000000041</v>
      </c>
      <c r="Q10" s="85">
        <f>SUMIF(Table25[[#All],[Assets]],Table25[[#This Row],[Assets]],Table25[[#All],[Number of stocks]])</f>
        <v>0</v>
      </c>
    </row>
    <row r="11" spans="1:17">
      <c r="A11" t="e" vm="211">
        <v>#VALUE!</v>
      </c>
      <c r="B11" s="2">
        <v>45474</v>
      </c>
      <c r="C11" t="str" cm="1">
        <f t="array" aca="1" ref="C11" ca="1">_FV(A11,"Ticker symbol",TRUE)</f>
        <v>GME</v>
      </c>
      <c r="D11" s="4">
        <v>30.75</v>
      </c>
      <c r="E11" s="50">
        <v>40</v>
      </c>
      <c r="F11" s="81">
        <f>IF(Table25[[#This Row],[Number of stocks]]&gt;0,Table25[[#This Row],[Number of stocks]],0)</f>
        <v>40</v>
      </c>
      <c r="G11" s="73">
        <f>Table25[[#This Row],[Bought]]*Table25[[#This Row],[Price]]</f>
        <v>1230</v>
      </c>
      <c r="H11">
        <f>SUMIF(Table25[[#All],[Assets]],Table25[[#This Row],[Assets]],Table25[[#All],[Bought]])</f>
        <v>207</v>
      </c>
      <c r="I11">
        <f>SUMIF(Table25[[#All],[Assets]],Table25[[#This Row],[Assets]],Table25[[#All],[Bought Amount]])</f>
        <v>5127.2700000000004</v>
      </c>
      <c r="J11" s="88">
        <f>IF(Table25[[#This Row],[Number of stocks]]&lt;0,Table25[[#This Row],[Number of stocks]],0)</f>
        <v>0</v>
      </c>
      <c r="K11" s="5">
        <f>Table25[[#This Row],[Sold]]*Table25[[#This Row],[Price]]</f>
        <v>0</v>
      </c>
      <c r="L11" s="8">
        <f>ABS(SUMIF(Table25[[#All],[Assets]],Table25[[#This Row],[Assets]],Table25[[#All],[Sold]]))</f>
        <v>181</v>
      </c>
      <c r="M11" s="5">
        <f>ABS(SUMIF(Table25[[#All],[Assets]],Table25[[#This Row],[Assets]],Table25[[#All],[Sold Amount]]))</f>
        <v>4186.9799999999996</v>
      </c>
      <c r="N11" s="5">
        <f>IFERROR(Table25[[#This Row],[Total sold amount]]/Table25[[#This Row],[Total Sold number of stocks]],"")</f>
        <v>23.132486187845302</v>
      </c>
      <c r="O11" s="4">
        <f>IFERROR(Table25[[#This Row],[Total Amount bought]]/Table25[[#This Row],[Total number bought]],"")</f>
        <v>24.769420289855073</v>
      </c>
      <c r="P11" s="4">
        <f>IFERROR((Table25[[#This Row],[Average sell price]]-Table25[[#This Row],[Average buy price]])*Table25[[#This Row],[Total Sold number of stocks]],0)</f>
        <v>-296.28507246376864</v>
      </c>
      <c r="Q11" s="85">
        <f>SUMIF(Table25[[#All],[Assets]],Table25[[#This Row],[Assets]],Table25[[#All],[Number of stocks]])</f>
        <v>26</v>
      </c>
    </row>
    <row r="12" spans="1:17">
      <c r="A12" t="e" vm="211">
        <v>#VALUE!</v>
      </c>
      <c r="B12" s="2">
        <v>45474</v>
      </c>
      <c r="C12" t="str" cm="1">
        <f t="array" aca="1" ref="C12" ca="1">_FV(A12,"Ticker symbol",TRUE)</f>
        <v>GME</v>
      </c>
      <c r="D12" s="4">
        <v>23.11</v>
      </c>
      <c r="E12" s="50">
        <v>-40</v>
      </c>
      <c r="F12" s="81">
        <f>IF(Table25[[#This Row],[Number of stocks]]&gt;0,Table25[[#This Row],[Number of stocks]],0)</f>
        <v>0</v>
      </c>
      <c r="G12" s="73">
        <f>Table25[[#This Row],[Bought]]*Table25[[#This Row],[Price]]</f>
        <v>0</v>
      </c>
      <c r="H12">
        <f>SUMIF(Table25[[#All],[Assets]],Table25[[#This Row],[Assets]],Table25[[#All],[Bought]])</f>
        <v>207</v>
      </c>
      <c r="I12">
        <f>SUMIF(Table25[[#All],[Assets]],Table25[[#This Row],[Assets]],Table25[[#All],[Bought Amount]])</f>
        <v>5127.2700000000004</v>
      </c>
      <c r="J12" s="88">
        <f>IF(Table25[[#This Row],[Number of stocks]]&lt;0,Table25[[#This Row],[Number of stocks]],0)</f>
        <v>-40</v>
      </c>
      <c r="K12" s="5">
        <f>Table25[[#This Row],[Sold]]*Table25[[#This Row],[Price]]</f>
        <v>-924.4</v>
      </c>
      <c r="L12" s="8">
        <f>ABS(SUMIF(Table25[[#All],[Assets]],Table25[[#This Row],[Assets]],Table25[[#All],[Sold]]))</f>
        <v>181</v>
      </c>
      <c r="M12" s="5">
        <f>ABS(SUMIF(Table25[[#All],[Assets]],Table25[[#This Row],[Assets]],Table25[[#All],[Sold Amount]]))</f>
        <v>4186.9799999999996</v>
      </c>
      <c r="N12" s="5">
        <f>IFERROR(Table25[[#This Row],[Total sold amount]]/Table25[[#This Row],[Total Sold number of stocks]],"")</f>
        <v>23.132486187845302</v>
      </c>
      <c r="O12" s="4">
        <f>IFERROR(Table25[[#This Row],[Total Amount bought]]/Table25[[#This Row],[Total number bought]],"")</f>
        <v>24.769420289855073</v>
      </c>
      <c r="P12" s="4">
        <f>IFERROR((Table25[[#This Row],[Average sell price]]-Table25[[#This Row],[Average buy price]])*Table25[[#This Row],[Total Sold number of stocks]],0)</f>
        <v>-296.28507246376864</v>
      </c>
      <c r="Q12" s="85">
        <f>SUMIF(Table25[[#All],[Assets]],Table25[[#This Row],[Assets]],Table25[[#All],[Number of stocks]])</f>
        <v>26</v>
      </c>
    </row>
    <row r="13" spans="1:17">
      <c r="A13" t="e" vm="36">
        <v>#VALUE!</v>
      </c>
      <c r="B13" s="2">
        <v>45436</v>
      </c>
      <c r="C13" t="str" cm="1">
        <f t="array" aca="1" ref="C13" ca="1">_FV(A13,"Ticker symbol",TRUE)</f>
        <v>CLS</v>
      </c>
      <c r="D13" s="4">
        <v>61.71</v>
      </c>
      <c r="E13" s="50">
        <v>10</v>
      </c>
      <c r="F13" s="81">
        <f>IF(Table25[[#This Row],[Number of stocks]]&gt;0,Table25[[#This Row],[Number of stocks]],0)</f>
        <v>10</v>
      </c>
      <c r="G13" s="73">
        <f>Table25[[#This Row],[Bought]]*Table25[[#This Row],[Price]]</f>
        <v>617.1</v>
      </c>
      <c r="H13">
        <f>SUMIF(Table25[[#All],[Assets]],Table25[[#This Row],[Assets]],Table25[[#All],[Bought]])</f>
        <v>25</v>
      </c>
      <c r="I13">
        <f>SUMIF(Table25[[#All],[Assets]],Table25[[#This Row],[Assets]],Table25[[#All],[Bought Amount]])</f>
        <v>1806.25</v>
      </c>
      <c r="J13" s="88">
        <f>IF(Table25[[#This Row],[Number of stocks]]&lt;0,Table25[[#This Row],[Number of stocks]],0)</f>
        <v>0</v>
      </c>
      <c r="K13" s="5">
        <f>Table25[[#This Row],[Sold]]*Table25[[#This Row],[Price]]</f>
        <v>0</v>
      </c>
      <c r="L13" s="8">
        <f>ABS(SUMIF(Table25[[#All],[Assets]],Table25[[#This Row],[Assets]],Table25[[#All],[Sold]]))</f>
        <v>25</v>
      </c>
      <c r="M13" s="5">
        <f>ABS(SUMIF(Table25[[#All],[Assets]],Table25[[#This Row],[Assets]],Table25[[#All],[Sold Amount]]))</f>
        <v>2255.6000000000004</v>
      </c>
      <c r="N13" s="5">
        <f>IFERROR(Table25[[#This Row],[Total sold amount]]/Table25[[#This Row],[Total Sold number of stocks]],"")</f>
        <v>90.224000000000018</v>
      </c>
      <c r="O13" s="4">
        <f>IFERROR(Table25[[#This Row],[Total Amount bought]]/Table25[[#This Row],[Total number bought]],"")</f>
        <v>72.25</v>
      </c>
      <c r="P13" s="4">
        <f>IFERROR((Table25[[#This Row],[Average sell price]]-Table25[[#This Row],[Average buy price]])*Table25[[#This Row],[Total Sold number of stocks]],0)</f>
        <v>449.35000000000048</v>
      </c>
      <c r="Q13" s="85">
        <f>SUMIF(Table25[[#All],[Assets]],Table25[[#This Row],[Assets]],Table25[[#All],[Number of stocks]])</f>
        <v>0</v>
      </c>
    </row>
    <row r="14" spans="1:17">
      <c r="A14" t="e" vm="36">
        <v>#VALUE!</v>
      </c>
      <c r="B14" s="2">
        <v>45474</v>
      </c>
      <c r="C14" t="str" cm="1">
        <f t="array" aca="1" ref="C14" ca="1">_FV(A14,"Ticker symbol",TRUE)</f>
        <v>CLS</v>
      </c>
      <c r="D14" s="4">
        <v>56.59</v>
      </c>
      <c r="E14" s="50">
        <v>-10</v>
      </c>
      <c r="F14" s="81">
        <f>IF(Table25[[#This Row],[Number of stocks]]&gt;0,Table25[[#This Row],[Number of stocks]],0)</f>
        <v>0</v>
      </c>
      <c r="G14" s="73">
        <f>Table25[[#This Row],[Bought]]*Table25[[#This Row],[Price]]</f>
        <v>0</v>
      </c>
      <c r="H14">
        <f>SUMIF(Table25[[#All],[Assets]],Table25[[#This Row],[Assets]],Table25[[#All],[Bought]])</f>
        <v>25</v>
      </c>
      <c r="I14">
        <f>SUMIF(Table25[[#All],[Assets]],Table25[[#This Row],[Assets]],Table25[[#All],[Bought Amount]])</f>
        <v>1806.25</v>
      </c>
      <c r="J14" s="88">
        <f>IF(Table25[[#This Row],[Number of stocks]]&lt;0,Table25[[#This Row],[Number of stocks]],0)</f>
        <v>-10</v>
      </c>
      <c r="K14" s="5">
        <f>Table25[[#This Row],[Sold]]*Table25[[#This Row],[Price]]</f>
        <v>-565.90000000000009</v>
      </c>
      <c r="L14" s="8">
        <f>ABS(SUMIF(Table25[[#All],[Assets]],Table25[[#This Row],[Assets]],Table25[[#All],[Sold]]))</f>
        <v>25</v>
      </c>
      <c r="M14" s="5">
        <f>ABS(SUMIF(Table25[[#All],[Assets]],Table25[[#This Row],[Assets]],Table25[[#All],[Sold Amount]]))</f>
        <v>2255.6000000000004</v>
      </c>
      <c r="N14" s="5">
        <f>IFERROR(Table25[[#This Row],[Total sold amount]]/Table25[[#This Row],[Total Sold number of stocks]],"")</f>
        <v>90.224000000000018</v>
      </c>
      <c r="O14" s="4">
        <f>IFERROR(Table25[[#This Row],[Total Amount bought]]/Table25[[#This Row],[Total number bought]],"")</f>
        <v>72.25</v>
      </c>
      <c r="P14" s="4">
        <f>IFERROR((Table25[[#This Row],[Average sell price]]-Table25[[#This Row],[Average buy price]])*Table25[[#This Row],[Total Sold number of stocks]],0)</f>
        <v>449.35000000000048</v>
      </c>
      <c r="Q14" s="85">
        <f>SUMIF(Table25[[#All],[Assets]],Table25[[#This Row],[Assets]],Table25[[#All],[Number of stocks]])</f>
        <v>0</v>
      </c>
    </row>
    <row r="15" spans="1:17">
      <c r="A15" t="e" vm="299">
        <v>#VALUE!</v>
      </c>
      <c r="B15" s="2">
        <v>45449</v>
      </c>
      <c r="C15" t="str" cm="1">
        <f t="array" aca="1" ref="C15" ca="1">_FV(A15,"Ticker symbol",TRUE)</f>
        <v>BNTX</v>
      </c>
      <c r="D15" s="4">
        <v>107.86</v>
      </c>
      <c r="E15" s="50">
        <v>5</v>
      </c>
      <c r="F15" s="81">
        <f>IF(Table25[[#This Row],[Number of stocks]]&gt;0,Table25[[#This Row],[Number of stocks]],0)</f>
        <v>5</v>
      </c>
      <c r="G15" s="73">
        <f>Table25[[#This Row],[Bought]]*Table25[[#This Row],[Price]]</f>
        <v>539.29999999999995</v>
      </c>
      <c r="H15">
        <f>SUMIF(Table25[[#All],[Assets]],Table25[[#This Row],[Assets]],Table25[[#All],[Bought]])</f>
        <v>5</v>
      </c>
      <c r="I15">
        <f>SUMIF(Table25[[#All],[Assets]],Table25[[#This Row],[Assets]],Table25[[#All],[Bought Amount]])</f>
        <v>539.29999999999995</v>
      </c>
      <c r="J15" s="88">
        <f>IF(Table25[[#This Row],[Number of stocks]]&lt;0,Table25[[#This Row],[Number of stocks]],0)</f>
        <v>0</v>
      </c>
      <c r="K15" s="5">
        <f>Table25[[#This Row],[Sold]]*Table25[[#This Row],[Price]]</f>
        <v>0</v>
      </c>
      <c r="L15" s="8">
        <f>ABS(SUMIF(Table25[[#All],[Assets]],Table25[[#This Row],[Assets]],Table25[[#All],[Sold]]))</f>
        <v>5</v>
      </c>
      <c r="M15" s="5">
        <f>ABS(SUMIF(Table25[[#All],[Assets]],Table25[[#This Row],[Assets]],Table25[[#All],[Sold Amount]]))</f>
        <v>405.4</v>
      </c>
      <c r="N15" s="5">
        <f>IFERROR(Table25[[#This Row],[Total sold amount]]/Table25[[#This Row],[Total Sold number of stocks]],"")</f>
        <v>81.08</v>
      </c>
      <c r="O15" s="4">
        <f>IFERROR(Table25[[#This Row],[Total Amount bought]]/Table25[[#This Row],[Total number bought]],"")</f>
        <v>107.85999999999999</v>
      </c>
      <c r="P15" s="4">
        <f>IFERROR((Table25[[#This Row],[Average sell price]]-Table25[[#This Row],[Average buy price]])*Table25[[#This Row],[Total Sold number of stocks]],0)</f>
        <v>-133.89999999999992</v>
      </c>
      <c r="Q15" s="85">
        <f>SUMIF(Table25[[#All],[Assets]],Table25[[#This Row],[Assets]],Table25[[#All],[Number of stocks]])</f>
        <v>0</v>
      </c>
    </row>
    <row r="16" spans="1:17">
      <c r="A16" t="e" vm="299">
        <v>#VALUE!</v>
      </c>
      <c r="B16" s="2">
        <v>45474</v>
      </c>
      <c r="C16" t="str" cm="1">
        <f t="array" aca="1" ref="C16" ca="1">_FV(A16,"Ticker symbol",TRUE)</f>
        <v>BNTX</v>
      </c>
      <c r="D16" s="4">
        <v>81.08</v>
      </c>
      <c r="E16" s="50">
        <v>-5</v>
      </c>
      <c r="F16" s="81">
        <f>IF(Table25[[#This Row],[Number of stocks]]&gt;0,Table25[[#This Row],[Number of stocks]],0)</f>
        <v>0</v>
      </c>
      <c r="G16" s="73">
        <f>Table25[[#This Row],[Bought]]*Table25[[#This Row],[Price]]</f>
        <v>0</v>
      </c>
      <c r="H16">
        <f>SUMIF(Table25[[#All],[Assets]],Table25[[#This Row],[Assets]],Table25[[#All],[Bought]])</f>
        <v>5</v>
      </c>
      <c r="I16">
        <f>SUMIF(Table25[[#All],[Assets]],Table25[[#This Row],[Assets]],Table25[[#All],[Bought Amount]])</f>
        <v>539.29999999999995</v>
      </c>
      <c r="J16" s="88">
        <f>IF(Table25[[#This Row],[Number of stocks]]&lt;0,Table25[[#This Row],[Number of stocks]],0)</f>
        <v>-5</v>
      </c>
      <c r="K16" s="5">
        <f>Table25[[#This Row],[Sold]]*Table25[[#This Row],[Price]]</f>
        <v>-405.4</v>
      </c>
      <c r="L16" s="8">
        <f>ABS(SUMIF(Table25[[#All],[Assets]],Table25[[#This Row],[Assets]],Table25[[#All],[Sold]]))</f>
        <v>5</v>
      </c>
      <c r="M16" s="5">
        <f>ABS(SUMIF(Table25[[#All],[Assets]],Table25[[#This Row],[Assets]],Table25[[#All],[Sold Amount]]))</f>
        <v>405.4</v>
      </c>
      <c r="N16" s="5">
        <f>IFERROR(Table25[[#This Row],[Total sold amount]]/Table25[[#This Row],[Total Sold number of stocks]],"")</f>
        <v>81.08</v>
      </c>
      <c r="O16" s="4">
        <f>IFERROR(Table25[[#This Row],[Total Amount bought]]/Table25[[#This Row],[Total number bought]],"")</f>
        <v>107.85999999999999</v>
      </c>
      <c r="P16" s="4">
        <f>IFERROR((Table25[[#This Row],[Average sell price]]-Table25[[#This Row],[Average buy price]])*Table25[[#This Row],[Total Sold number of stocks]],0)</f>
        <v>-133.89999999999992</v>
      </c>
      <c r="Q16" s="85">
        <f>SUMIF(Table25[[#All],[Assets]],Table25[[#This Row],[Assets]],Table25[[#All],[Number of stocks]])</f>
        <v>0</v>
      </c>
    </row>
    <row r="17" spans="1:17">
      <c r="A17" t="e" vm="339">
        <v>#VALUE!</v>
      </c>
      <c r="B17" s="2">
        <v>45449</v>
      </c>
      <c r="C17" t="str" cm="1">
        <f t="array" aca="1" ref="C17" ca="1">_FV(A17,"Ticker symbol",TRUE)</f>
        <v>CVAC</v>
      </c>
      <c r="D17" s="4">
        <v>4.99</v>
      </c>
      <c r="E17" s="50">
        <v>100</v>
      </c>
      <c r="F17" s="81">
        <f>IF(Table25[[#This Row],[Number of stocks]]&gt;0,Table25[[#This Row],[Number of stocks]],0)</f>
        <v>100</v>
      </c>
      <c r="G17" s="73">
        <f>Table25[[#This Row],[Bought]]*Table25[[#This Row],[Price]]</f>
        <v>499</v>
      </c>
      <c r="H17">
        <f>SUMIF(Table25[[#All],[Assets]],Table25[[#This Row],[Assets]],Table25[[#All],[Bought]])</f>
        <v>100</v>
      </c>
      <c r="I17">
        <f>SUMIF(Table25[[#All],[Assets]],Table25[[#This Row],[Assets]],Table25[[#All],[Bought Amount]])</f>
        <v>499</v>
      </c>
      <c r="J17" s="88">
        <f>IF(Table25[[#This Row],[Number of stocks]]&lt;0,Table25[[#This Row],[Number of stocks]],0)</f>
        <v>0</v>
      </c>
      <c r="K17" s="5">
        <f>Table25[[#This Row],[Sold]]*Table25[[#This Row],[Price]]</f>
        <v>0</v>
      </c>
      <c r="L17" s="8">
        <f>ABS(SUMIF(Table25[[#All],[Assets]],Table25[[#This Row],[Assets]],Table25[[#All],[Sold]]))</f>
        <v>100</v>
      </c>
      <c r="M17" s="5">
        <f>ABS(SUMIF(Table25[[#All],[Assets]],Table25[[#This Row],[Assets]],Table25[[#All],[Sold Amount]]))</f>
        <v>347</v>
      </c>
      <c r="N17" s="5">
        <f>IFERROR(Table25[[#This Row],[Total sold amount]]/Table25[[#This Row],[Total Sold number of stocks]],"")</f>
        <v>3.47</v>
      </c>
      <c r="O17" s="4">
        <f>IFERROR(Table25[[#This Row],[Total Amount bought]]/Table25[[#This Row],[Total number bought]],"")</f>
        <v>4.99</v>
      </c>
      <c r="P17" s="4">
        <f>IFERROR((Table25[[#This Row],[Average sell price]]-Table25[[#This Row],[Average buy price]])*Table25[[#This Row],[Total Sold number of stocks]],0)</f>
        <v>-152</v>
      </c>
      <c r="Q17" s="85">
        <f>SUMIF(Table25[[#All],[Assets]],Table25[[#This Row],[Assets]],Table25[[#All],[Number of stocks]])</f>
        <v>0</v>
      </c>
    </row>
    <row r="18" spans="1:17">
      <c r="A18" t="e" vm="339">
        <v>#VALUE!</v>
      </c>
      <c r="B18" s="2">
        <v>45474</v>
      </c>
      <c r="C18" t="str" cm="1">
        <f t="array" aca="1" ref="C18" ca="1">_FV(A18,"Ticker symbol",TRUE)</f>
        <v>CVAC</v>
      </c>
      <c r="D18" s="4">
        <v>3.47</v>
      </c>
      <c r="E18" s="50">
        <v>-100</v>
      </c>
      <c r="F18" s="81">
        <f>IF(Table25[[#This Row],[Number of stocks]]&gt;0,Table25[[#This Row],[Number of stocks]],0)</f>
        <v>0</v>
      </c>
      <c r="G18" s="73">
        <f>Table25[[#This Row],[Bought]]*Table25[[#This Row],[Price]]</f>
        <v>0</v>
      </c>
      <c r="H18">
        <f>SUMIF(Table25[[#All],[Assets]],Table25[[#This Row],[Assets]],Table25[[#All],[Bought]])</f>
        <v>100</v>
      </c>
      <c r="I18">
        <f>SUMIF(Table25[[#All],[Assets]],Table25[[#This Row],[Assets]],Table25[[#All],[Bought Amount]])</f>
        <v>499</v>
      </c>
      <c r="J18" s="88">
        <f>IF(Table25[[#This Row],[Number of stocks]]&lt;0,Table25[[#This Row],[Number of stocks]],0)</f>
        <v>-100</v>
      </c>
      <c r="K18" s="5">
        <f>Table25[[#This Row],[Sold]]*Table25[[#This Row],[Price]]</f>
        <v>-347</v>
      </c>
      <c r="L18" s="8">
        <f>ABS(SUMIF(Table25[[#All],[Assets]],Table25[[#This Row],[Assets]],Table25[[#All],[Sold]]))</f>
        <v>100</v>
      </c>
      <c r="M18" s="5">
        <f>ABS(SUMIF(Table25[[#All],[Assets]],Table25[[#This Row],[Assets]],Table25[[#All],[Sold Amount]]))</f>
        <v>347</v>
      </c>
      <c r="N18" s="5">
        <f>IFERROR(Table25[[#This Row],[Total sold amount]]/Table25[[#This Row],[Total Sold number of stocks]],"")</f>
        <v>3.47</v>
      </c>
      <c r="O18" s="4">
        <f>IFERROR(Table25[[#This Row],[Total Amount bought]]/Table25[[#This Row],[Total number bought]],"")</f>
        <v>4.99</v>
      </c>
      <c r="P18" s="4">
        <f>IFERROR((Table25[[#This Row],[Average sell price]]-Table25[[#This Row],[Average buy price]])*Table25[[#This Row],[Total Sold number of stocks]],0)</f>
        <v>-152</v>
      </c>
      <c r="Q18" s="85">
        <f>SUMIF(Table25[[#All],[Assets]],Table25[[#This Row],[Assets]],Table25[[#All],[Number of stocks]])</f>
        <v>0</v>
      </c>
    </row>
    <row r="19" spans="1:17">
      <c r="A19" t="e" vm="256">
        <v>#VALUE!</v>
      </c>
      <c r="B19" s="2">
        <v>45474</v>
      </c>
      <c r="C19" t="str" cm="1">
        <f t="array" aca="1" ref="C19" ca="1">_FV(A19,"Ticker symbol",TRUE)</f>
        <v>DXPE</v>
      </c>
      <c r="D19" s="4">
        <v>45.06</v>
      </c>
      <c r="E19" s="50">
        <v>2</v>
      </c>
      <c r="F19" s="81">
        <f>IF(Table25[[#This Row],[Number of stocks]]&gt;0,Table25[[#This Row],[Number of stocks]],0)</f>
        <v>2</v>
      </c>
      <c r="G19" s="73">
        <f>Table25[[#This Row],[Bought]]*Table25[[#This Row],[Price]]</f>
        <v>90.12</v>
      </c>
      <c r="H19">
        <f>SUMIF(Table25[[#All],[Assets]],Table25[[#This Row],[Assets]],Table25[[#All],[Bought]])</f>
        <v>6</v>
      </c>
      <c r="I19">
        <f>SUMIF(Table25[[#All],[Assets]],Table25[[#This Row],[Assets]],Table25[[#All],[Bought Amount]])</f>
        <v>448.08</v>
      </c>
      <c r="J19" s="88">
        <f>IF(Table25[[#This Row],[Number of stocks]]&lt;0,Table25[[#This Row],[Number of stocks]],0)</f>
        <v>0</v>
      </c>
      <c r="K19" s="5">
        <f>Table25[[#This Row],[Sold]]*Table25[[#This Row],[Price]]</f>
        <v>0</v>
      </c>
      <c r="L19" s="8">
        <f>ABS(SUMIF(Table25[[#All],[Assets]],Table25[[#This Row],[Assets]],Table25[[#All],[Sold]]))</f>
        <v>6</v>
      </c>
      <c r="M19" s="5">
        <f>ABS(SUMIF(Table25[[#All],[Assets]],Table25[[#This Row],[Assets]],Table25[[#All],[Sold Amount]]))</f>
        <v>522.72</v>
      </c>
      <c r="N19" s="5">
        <f>IFERROR(Table25[[#This Row],[Total sold amount]]/Table25[[#This Row],[Total Sold number of stocks]],"")</f>
        <v>87.12</v>
      </c>
      <c r="O19" s="4">
        <f>IFERROR(Table25[[#This Row],[Total Amount bought]]/Table25[[#This Row],[Total number bought]],"")</f>
        <v>74.679999999999993</v>
      </c>
      <c r="P19" s="4">
        <f>IFERROR((Table25[[#This Row],[Average sell price]]-Table25[[#This Row],[Average buy price]])*Table25[[#This Row],[Total Sold number of stocks]],0)</f>
        <v>74.640000000000072</v>
      </c>
      <c r="Q19" s="85">
        <f>SUMIF(Table25[[#All],[Assets]],Table25[[#This Row],[Assets]],Table25[[#All],[Number of stocks]])</f>
        <v>0</v>
      </c>
    </row>
    <row r="20" spans="1:17">
      <c r="A20" t="e" vm="46">
        <v>#VALUE!</v>
      </c>
      <c r="B20" s="2">
        <v>45474</v>
      </c>
      <c r="C20" t="str" cm="1">
        <f t="array" aca="1" ref="C20" ca="1">_FV(A20,"Ticker symbol",TRUE)</f>
        <v>ASPI</v>
      </c>
      <c r="D20" s="4">
        <v>3.73</v>
      </c>
      <c r="E20" s="50">
        <v>619</v>
      </c>
      <c r="F20" s="81">
        <f>IF(Table25[[#This Row],[Number of stocks]]&gt;0,Table25[[#This Row],[Number of stocks]],0)</f>
        <v>619</v>
      </c>
      <c r="G20" s="73">
        <f>Table25[[#This Row],[Bought]]*Table25[[#This Row],[Price]]</f>
        <v>2308.87</v>
      </c>
      <c r="H20">
        <f>SUMIF(Table25[[#All],[Assets]],Table25[[#This Row],[Assets]],Table25[[#All],[Bought]])</f>
        <v>1899</v>
      </c>
      <c r="I20">
        <f>SUMIF(Table25[[#All],[Assets]],Table25[[#This Row],[Assets]],Table25[[#All],[Bought Amount]])</f>
        <v>8555.869999999999</v>
      </c>
      <c r="J20" s="88">
        <f>IF(Table25[[#This Row],[Number of stocks]]&lt;0,Table25[[#This Row],[Number of stocks]],0)</f>
        <v>0</v>
      </c>
      <c r="K20" s="5">
        <f>Table25[[#This Row],[Sold]]*Table25[[#This Row],[Price]]</f>
        <v>0</v>
      </c>
      <c r="L20" s="8">
        <f>ABS(SUMIF(Table25[[#All],[Assets]],Table25[[#This Row],[Assets]],Table25[[#All],[Sold]]))</f>
        <v>1599</v>
      </c>
      <c r="M20" s="5">
        <f>ABS(SUMIF(Table25[[#All],[Assets]],Table25[[#This Row],[Assets]],Table25[[#All],[Sold Amount]]))</f>
        <v>8799.17</v>
      </c>
      <c r="N20" s="5">
        <f>IFERROR(Table25[[#This Row],[Total sold amount]]/Table25[[#This Row],[Total Sold number of stocks]],"")</f>
        <v>5.5029205753595996</v>
      </c>
      <c r="O20" s="4">
        <f>IFERROR(Table25[[#This Row],[Total Amount bought]]/Table25[[#This Row],[Total number bought]],"")</f>
        <v>4.5054607688256976</v>
      </c>
      <c r="P20" s="4">
        <f>IFERROR((Table25[[#This Row],[Average sell price]]-Table25[[#This Row],[Average buy price]])*Table25[[#This Row],[Total Sold number of stocks]],0)</f>
        <v>1594.9382306477094</v>
      </c>
      <c r="Q20" s="85">
        <f>SUMIF(Table25[[#All],[Assets]],Table25[[#This Row],[Assets]],Table25[[#All],[Number of stocks]])</f>
        <v>300</v>
      </c>
    </row>
    <row r="21" spans="1:17">
      <c r="A21" t="e" vm="10">
        <v>#VALUE!</v>
      </c>
      <c r="B21" s="2">
        <v>45474</v>
      </c>
      <c r="C21" t="str" cm="1">
        <f t="array" aca="1" ref="C21" ca="1">_FV(A21,"Ticker symbol",TRUE)</f>
        <v>ESLT</v>
      </c>
      <c r="D21" s="4">
        <v>177.72</v>
      </c>
      <c r="E21" s="50">
        <v>1</v>
      </c>
      <c r="F21" s="81">
        <f>IF(Table25[[#This Row],[Number of stocks]]&gt;0,Table25[[#This Row],[Number of stocks]],0)</f>
        <v>1</v>
      </c>
      <c r="G21" s="73">
        <f>Table25[[#This Row],[Bought]]*Table25[[#This Row],[Price]]</f>
        <v>177.72</v>
      </c>
      <c r="H21">
        <f>SUMIF(Table25[[#All],[Assets]],Table25[[#This Row],[Assets]],Table25[[#All],[Bought]])</f>
        <v>2</v>
      </c>
      <c r="I21">
        <f>SUMIF(Table25[[#All],[Assets]],Table25[[#This Row],[Assets]],Table25[[#All],[Bought Amount]])</f>
        <v>635.72</v>
      </c>
      <c r="J21" s="88">
        <f>IF(Table25[[#This Row],[Number of stocks]]&lt;0,Table25[[#This Row],[Number of stocks]],0)</f>
        <v>0</v>
      </c>
      <c r="K21" s="5">
        <f>Table25[[#This Row],[Sold]]*Table25[[#This Row],[Price]]</f>
        <v>0</v>
      </c>
      <c r="L21" s="8">
        <f>ABS(SUMIF(Table25[[#All],[Assets]],Table25[[#This Row],[Assets]],Table25[[#All],[Sold]]))</f>
        <v>2</v>
      </c>
      <c r="M21" s="5">
        <f>ABS(SUMIF(Table25[[#All],[Assets]],Table25[[#This Row],[Assets]],Table25[[#All],[Sold Amount]]))</f>
        <v>637.45000000000005</v>
      </c>
      <c r="N21" s="5">
        <f>IFERROR(Table25[[#This Row],[Total sold amount]]/Table25[[#This Row],[Total Sold number of stocks]],"")</f>
        <v>318.72500000000002</v>
      </c>
      <c r="O21" s="4">
        <f>IFERROR(Table25[[#This Row],[Total Amount bought]]/Table25[[#This Row],[Total number bought]],"")</f>
        <v>317.86</v>
      </c>
      <c r="P21" s="4">
        <f>IFERROR((Table25[[#This Row],[Average sell price]]-Table25[[#This Row],[Average buy price]])*Table25[[#This Row],[Total Sold number of stocks]],0)</f>
        <v>1.7300000000000182</v>
      </c>
      <c r="Q21" s="85">
        <f>SUMIF(Table25[[#All],[Assets]],Table25[[#This Row],[Assets]],Table25[[#All],[Number of stocks]])</f>
        <v>0</v>
      </c>
    </row>
    <row r="22" spans="1:17">
      <c r="A22" t="e" vm="128">
        <v>#VALUE!</v>
      </c>
      <c r="B22" s="2">
        <v>45474</v>
      </c>
      <c r="C22" t="str" cm="1">
        <f t="array" aca="1" ref="C22" ca="1">_FV(A22,"Ticker symbol",TRUE)</f>
        <v>AXON</v>
      </c>
      <c r="D22" s="4">
        <v>288.36</v>
      </c>
      <c r="E22" s="50">
        <v>1</v>
      </c>
      <c r="F22" s="81">
        <f>IF(Table25[[#This Row],[Number of stocks]]&gt;0,Table25[[#This Row],[Number of stocks]],0)</f>
        <v>1</v>
      </c>
      <c r="G22" s="73">
        <f>Table25[[#This Row],[Bought]]*Table25[[#This Row],[Price]]</f>
        <v>288.36</v>
      </c>
      <c r="H22">
        <f>SUMIF(Table25[[#All],[Assets]],Table25[[#This Row],[Assets]],Table25[[#All],[Bought]])</f>
        <v>5</v>
      </c>
      <c r="I22">
        <f>SUMIF(Table25[[#All],[Assets]],Table25[[#This Row],[Assets]],Table25[[#All],[Bought Amount]])</f>
        <v>1437.6899999999998</v>
      </c>
      <c r="J22" s="88">
        <f>IF(Table25[[#This Row],[Number of stocks]]&lt;0,Table25[[#This Row],[Number of stocks]],0)</f>
        <v>0</v>
      </c>
      <c r="K22" s="5">
        <f>Table25[[#This Row],[Sold]]*Table25[[#This Row],[Price]]</f>
        <v>0</v>
      </c>
      <c r="L22" s="8">
        <f>ABS(SUMIF(Table25[[#All],[Assets]],Table25[[#This Row],[Assets]],Table25[[#All],[Sold]]))</f>
        <v>5</v>
      </c>
      <c r="M22" s="5">
        <f>ABS(SUMIF(Table25[[#All],[Assets]],Table25[[#This Row],[Assets]],Table25[[#All],[Sold Amount]]))</f>
        <v>1963.1</v>
      </c>
      <c r="N22" s="5">
        <f>IFERROR(Table25[[#This Row],[Total sold amount]]/Table25[[#This Row],[Total Sold number of stocks]],"")</f>
        <v>392.62</v>
      </c>
      <c r="O22" s="4">
        <f>IFERROR(Table25[[#This Row],[Total Amount bought]]/Table25[[#This Row],[Total number bought]],"")</f>
        <v>287.53799999999995</v>
      </c>
      <c r="P22" s="4">
        <f>IFERROR((Table25[[#This Row],[Average sell price]]-Table25[[#This Row],[Average buy price]])*Table25[[#This Row],[Total Sold number of stocks]],0)</f>
        <v>525.41000000000031</v>
      </c>
      <c r="Q22" s="85">
        <f>SUMIF(Table25[[#All],[Assets]],Table25[[#This Row],[Assets]],Table25[[#All],[Number of stocks]])</f>
        <v>0</v>
      </c>
    </row>
    <row r="23" spans="1:17">
      <c r="A23" t="e" vm="404">
        <v>#VALUE!</v>
      </c>
      <c r="B23" s="2">
        <v>45474</v>
      </c>
      <c r="C23" t="str" cm="1">
        <f t="array" aca="1" ref="C23" ca="1">_FV(A23,"Ticker symbol",TRUE)</f>
        <v>AMR</v>
      </c>
      <c r="D23" s="4">
        <v>321.58999999999997</v>
      </c>
      <c r="E23" s="50">
        <v>1</v>
      </c>
      <c r="F23" s="81">
        <f>IF(Table25[[#This Row],[Number of stocks]]&gt;0,Table25[[#This Row],[Number of stocks]],0)</f>
        <v>1</v>
      </c>
      <c r="G23" s="73">
        <f>Table25[[#This Row],[Bought]]*Table25[[#This Row],[Price]]</f>
        <v>321.58999999999997</v>
      </c>
      <c r="H23">
        <f>SUMIF(Table25[[#All],[Assets]],Table25[[#This Row],[Assets]],Table25[[#All],[Bought]])</f>
        <v>1</v>
      </c>
      <c r="I23">
        <f>SUMIF(Table25[[#All],[Assets]],Table25[[#This Row],[Assets]],Table25[[#All],[Bought Amount]])</f>
        <v>321.58999999999997</v>
      </c>
      <c r="J23" s="88">
        <f>IF(Table25[[#This Row],[Number of stocks]]&lt;0,Table25[[#This Row],[Number of stocks]],0)</f>
        <v>0</v>
      </c>
      <c r="K23" s="5">
        <f>Table25[[#This Row],[Sold]]*Table25[[#This Row],[Price]]</f>
        <v>0</v>
      </c>
      <c r="L23" s="8">
        <f>ABS(SUMIF(Table25[[#All],[Assets]],Table25[[#This Row],[Assets]],Table25[[#All],[Sold]]))</f>
        <v>1</v>
      </c>
      <c r="M23" s="5">
        <f>ABS(SUMIF(Table25[[#All],[Assets]],Table25[[#This Row],[Assets]],Table25[[#All],[Sold Amount]]))</f>
        <v>291</v>
      </c>
      <c r="N23" s="5">
        <f>IFERROR(Table25[[#This Row],[Total sold amount]]/Table25[[#This Row],[Total Sold number of stocks]],"")</f>
        <v>291</v>
      </c>
      <c r="O23" s="4">
        <f>IFERROR(Table25[[#This Row],[Total Amount bought]]/Table25[[#This Row],[Total number bought]],"")</f>
        <v>321.58999999999997</v>
      </c>
      <c r="P23" s="4">
        <f>IFERROR((Table25[[#This Row],[Average sell price]]-Table25[[#This Row],[Average buy price]])*Table25[[#This Row],[Total Sold number of stocks]],0)</f>
        <v>-30.589999999999975</v>
      </c>
      <c r="Q23" s="85">
        <f>SUMIF(Table25[[#All],[Assets]],Table25[[#This Row],[Assets]],Table25[[#All],[Number of stocks]])</f>
        <v>0</v>
      </c>
    </row>
    <row r="24" spans="1:17">
      <c r="A24" t="e" vm="360">
        <v>#VALUE!</v>
      </c>
      <c r="B24" s="2">
        <v>45474</v>
      </c>
      <c r="C24" t="str" cm="1">
        <f t="array" aca="1" ref="C24" ca="1">_FV(A24,"Ticker symbol",TRUE)</f>
        <v>APOG</v>
      </c>
      <c r="D24" s="4">
        <v>61.95</v>
      </c>
      <c r="E24" s="50">
        <v>2</v>
      </c>
      <c r="F24" s="81">
        <f>IF(Table25[[#This Row],[Number of stocks]]&gt;0,Table25[[#This Row],[Number of stocks]],0)</f>
        <v>2</v>
      </c>
      <c r="G24" s="73">
        <f>Table25[[#This Row],[Bought]]*Table25[[#This Row],[Price]]</f>
        <v>123.9</v>
      </c>
      <c r="H24">
        <f>SUMIF(Table25[[#All],[Assets]],Table25[[#This Row],[Assets]],Table25[[#All],[Bought]])</f>
        <v>2</v>
      </c>
      <c r="I24">
        <f>SUMIF(Table25[[#All],[Assets]],Table25[[#This Row],[Assets]],Table25[[#All],[Bought Amount]])</f>
        <v>123.9</v>
      </c>
      <c r="J24" s="88">
        <f>IF(Table25[[#This Row],[Number of stocks]]&lt;0,Table25[[#This Row],[Number of stocks]],0)</f>
        <v>0</v>
      </c>
      <c r="K24" s="5">
        <f>Table25[[#This Row],[Sold]]*Table25[[#This Row],[Price]]</f>
        <v>0</v>
      </c>
      <c r="L24" s="8">
        <f>ABS(SUMIF(Table25[[#All],[Assets]],Table25[[#This Row],[Assets]],Table25[[#All],[Sold]]))</f>
        <v>2</v>
      </c>
      <c r="M24" s="5">
        <f>ABS(SUMIF(Table25[[#All],[Assets]],Table25[[#This Row],[Assets]],Table25[[#All],[Sold Amount]]))</f>
        <v>136.30000000000001</v>
      </c>
      <c r="N24" s="5">
        <f>IFERROR(Table25[[#This Row],[Total sold amount]]/Table25[[#This Row],[Total Sold number of stocks]],"")</f>
        <v>68.150000000000006</v>
      </c>
      <c r="O24" s="4">
        <f>IFERROR(Table25[[#This Row],[Total Amount bought]]/Table25[[#This Row],[Total number bought]],"")</f>
        <v>61.95</v>
      </c>
      <c r="P24" s="4">
        <f>IFERROR((Table25[[#This Row],[Average sell price]]-Table25[[#This Row],[Average buy price]])*Table25[[#This Row],[Total Sold number of stocks]],0)</f>
        <v>12.400000000000006</v>
      </c>
      <c r="Q24" s="85">
        <f>SUMIF(Table25[[#All],[Assets]],Table25[[#This Row],[Assets]],Table25[[#All],[Number of stocks]])</f>
        <v>0</v>
      </c>
    </row>
    <row r="25" spans="1:17">
      <c r="A25" t="e" vm="318">
        <v>#VALUE!</v>
      </c>
      <c r="B25" s="2">
        <v>45474</v>
      </c>
      <c r="C25" t="str" cm="1">
        <f t="array" aca="1" ref="C25" ca="1">_FV(A25,"Ticker symbol",TRUE)</f>
        <v>NUE</v>
      </c>
      <c r="D25" s="4">
        <v>155.52000000000001</v>
      </c>
      <c r="E25" s="50">
        <v>2</v>
      </c>
      <c r="F25" s="81">
        <f>IF(Table25[[#This Row],[Number of stocks]]&gt;0,Table25[[#This Row],[Number of stocks]],0)</f>
        <v>2</v>
      </c>
      <c r="G25" s="73">
        <f>Table25[[#This Row],[Bought]]*Table25[[#This Row],[Price]]</f>
        <v>311.04000000000002</v>
      </c>
      <c r="H25">
        <f>SUMIF(Table25[[#All],[Assets]],Table25[[#This Row],[Assets]],Table25[[#All],[Bought]])</f>
        <v>2</v>
      </c>
      <c r="I25">
        <f>SUMIF(Table25[[#All],[Assets]],Table25[[#This Row],[Assets]],Table25[[#All],[Bought Amount]])</f>
        <v>311.04000000000002</v>
      </c>
      <c r="J25" s="88">
        <f>IF(Table25[[#This Row],[Number of stocks]]&lt;0,Table25[[#This Row],[Number of stocks]],0)</f>
        <v>0</v>
      </c>
      <c r="K25" s="5">
        <f>Table25[[#This Row],[Sold]]*Table25[[#This Row],[Price]]</f>
        <v>0</v>
      </c>
      <c r="L25" s="8">
        <f>ABS(SUMIF(Table25[[#All],[Assets]],Table25[[#This Row],[Assets]],Table25[[#All],[Sold]]))</f>
        <v>2</v>
      </c>
      <c r="M25" s="5">
        <f>ABS(SUMIF(Table25[[#All],[Assets]],Table25[[#This Row],[Assets]],Table25[[#All],[Sold Amount]]))</f>
        <v>320.33999999999997</v>
      </c>
      <c r="N25" s="5">
        <f>IFERROR(Table25[[#This Row],[Total sold amount]]/Table25[[#This Row],[Total Sold number of stocks]],"")</f>
        <v>160.16999999999999</v>
      </c>
      <c r="O25" s="4">
        <f>IFERROR(Table25[[#This Row],[Total Amount bought]]/Table25[[#This Row],[Total number bought]],"")</f>
        <v>155.52000000000001</v>
      </c>
      <c r="P25" s="4">
        <f>IFERROR((Table25[[#This Row],[Average sell price]]-Table25[[#This Row],[Average buy price]])*Table25[[#This Row],[Total Sold number of stocks]],0)</f>
        <v>9.2999999999999545</v>
      </c>
      <c r="Q25" s="85">
        <f>SUMIF(Table25[[#All],[Assets]],Table25[[#This Row],[Assets]],Table25[[#All],[Number of stocks]])</f>
        <v>0</v>
      </c>
    </row>
    <row r="26" spans="1:17">
      <c r="A26" t="e" vm="293">
        <v>#VALUE!</v>
      </c>
      <c r="B26" s="2">
        <v>45474</v>
      </c>
      <c r="C26" t="str" cm="1">
        <f t="array" aca="1" ref="C26" ca="1">_FV(A26,"Ticker symbol",TRUE)</f>
        <v>TTEK</v>
      </c>
      <c r="D26" s="4">
        <v>197.72</v>
      </c>
      <c r="E26" s="50">
        <v>1</v>
      </c>
      <c r="F26" s="81">
        <f>IF(Table25[[#This Row],[Number of stocks]]&gt;0,Table25[[#This Row],[Number of stocks]],0)</f>
        <v>1</v>
      </c>
      <c r="G26" s="73">
        <f>Table25[[#This Row],[Bought]]*Table25[[#This Row],[Price]]</f>
        <v>197.72</v>
      </c>
      <c r="H26">
        <f>SUMIF(Table25[[#All],[Assets]],Table25[[#This Row],[Assets]],Table25[[#All],[Bought]])</f>
        <v>2</v>
      </c>
      <c r="I26">
        <f>SUMIF(Table25[[#All],[Assets]],Table25[[#This Row],[Assets]],Table25[[#All],[Bought Amount]])</f>
        <v>396.82</v>
      </c>
      <c r="J26" s="88">
        <f>IF(Table25[[#This Row],[Number of stocks]]&lt;0,Table25[[#This Row],[Number of stocks]],0)</f>
        <v>0</v>
      </c>
      <c r="K26" s="5">
        <f>Table25[[#This Row],[Sold]]*Table25[[#This Row],[Price]]</f>
        <v>0</v>
      </c>
      <c r="L26" s="8">
        <f>ABS(SUMIF(Table25[[#All],[Assets]],Table25[[#This Row],[Assets]],Table25[[#All],[Sold]]))</f>
        <v>2</v>
      </c>
      <c r="M26" s="5">
        <f>ABS(SUMIF(Table25[[#All],[Assets]],Table25[[#This Row],[Assets]],Table25[[#All],[Sold Amount]]))</f>
        <v>426.52</v>
      </c>
      <c r="N26" s="5">
        <f>IFERROR(Table25[[#This Row],[Total sold amount]]/Table25[[#This Row],[Total Sold number of stocks]],"")</f>
        <v>213.26</v>
      </c>
      <c r="O26" s="4">
        <f>IFERROR(Table25[[#This Row],[Total Amount bought]]/Table25[[#This Row],[Total number bought]],"")</f>
        <v>198.41</v>
      </c>
      <c r="P26" s="4">
        <f>IFERROR((Table25[[#This Row],[Average sell price]]-Table25[[#This Row],[Average buy price]])*Table25[[#This Row],[Total Sold number of stocks]],0)</f>
        <v>29.699999999999989</v>
      </c>
      <c r="Q26" s="85">
        <f>SUMIF(Table25[[#All],[Assets]],Table25[[#This Row],[Assets]],Table25[[#All],[Number of stocks]])</f>
        <v>0</v>
      </c>
    </row>
    <row r="27" spans="1:17">
      <c r="A27" t="e" vm="373">
        <v>#VALUE!</v>
      </c>
      <c r="B27" s="2">
        <v>45475</v>
      </c>
      <c r="C27" t="str" cm="1">
        <f t="array" aca="1" ref="C27" ca="1">_FV(A27,"Ticker symbol",TRUE)</f>
        <v>XYL</v>
      </c>
      <c r="D27" s="4">
        <v>131.83000000000001</v>
      </c>
      <c r="E27" s="50">
        <v>1</v>
      </c>
      <c r="F27" s="81">
        <f>IF(Table25[[#This Row],[Number of stocks]]&gt;0,Table25[[#This Row],[Number of stocks]],0)</f>
        <v>1</v>
      </c>
      <c r="G27" s="73">
        <f>Table25[[#This Row],[Bought]]*Table25[[#This Row],[Price]]</f>
        <v>131.83000000000001</v>
      </c>
      <c r="H27">
        <f>SUMIF(Table25[[#All],[Assets]],Table25[[#This Row],[Assets]],Table25[[#All],[Bought]])</f>
        <v>1</v>
      </c>
      <c r="I27">
        <f>SUMIF(Table25[[#All],[Assets]],Table25[[#This Row],[Assets]],Table25[[#All],[Bought Amount]])</f>
        <v>131.83000000000001</v>
      </c>
      <c r="J27" s="88">
        <f>IF(Table25[[#This Row],[Number of stocks]]&lt;0,Table25[[#This Row],[Number of stocks]],0)</f>
        <v>0</v>
      </c>
      <c r="K27" s="5">
        <f>Table25[[#This Row],[Sold]]*Table25[[#This Row],[Price]]</f>
        <v>0</v>
      </c>
      <c r="L27" s="8">
        <f>ABS(SUMIF(Table25[[#All],[Assets]],Table25[[#This Row],[Assets]],Table25[[#All],[Sold]]))</f>
        <v>1</v>
      </c>
      <c r="M27" s="5">
        <f>ABS(SUMIF(Table25[[#All],[Assets]],Table25[[#This Row],[Assets]],Table25[[#All],[Sold Amount]]))</f>
        <v>136.62</v>
      </c>
      <c r="N27" s="5">
        <f>IFERROR(Table25[[#This Row],[Total sold amount]]/Table25[[#This Row],[Total Sold number of stocks]],"")</f>
        <v>136.62</v>
      </c>
      <c r="O27" s="4">
        <f>IFERROR(Table25[[#This Row],[Total Amount bought]]/Table25[[#This Row],[Total number bought]],"")</f>
        <v>131.83000000000001</v>
      </c>
      <c r="P27" s="4">
        <f>IFERROR((Table25[[#This Row],[Average sell price]]-Table25[[#This Row],[Average buy price]])*Table25[[#This Row],[Total Sold number of stocks]],0)</f>
        <v>4.789999999999992</v>
      </c>
      <c r="Q27" s="85">
        <f>SUMIF(Table25[[#All],[Assets]],Table25[[#This Row],[Assets]],Table25[[#All],[Number of stocks]])</f>
        <v>0</v>
      </c>
    </row>
    <row r="28" spans="1:17">
      <c r="A28" t="e" vm="293">
        <v>#VALUE!</v>
      </c>
      <c r="B28" s="2">
        <v>45475</v>
      </c>
      <c r="C28" t="str" cm="1">
        <f t="array" aca="1" ref="C28" ca="1">_FV(A28,"Ticker symbol",TRUE)</f>
        <v>TTEK</v>
      </c>
      <c r="D28" s="4">
        <v>199.1</v>
      </c>
      <c r="E28" s="50">
        <v>1</v>
      </c>
      <c r="F28" s="81">
        <f>IF(Table25[[#This Row],[Number of stocks]]&gt;0,Table25[[#This Row],[Number of stocks]],0)</f>
        <v>1</v>
      </c>
      <c r="G28" s="73">
        <f>Table25[[#This Row],[Bought]]*Table25[[#This Row],[Price]]</f>
        <v>199.1</v>
      </c>
      <c r="H28">
        <f>SUMIF(Table25[[#All],[Assets]],Table25[[#This Row],[Assets]],Table25[[#All],[Bought]])</f>
        <v>2</v>
      </c>
      <c r="I28">
        <f>SUMIF(Table25[[#All],[Assets]],Table25[[#This Row],[Assets]],Table25[[#All],[Bought Amount]])</f>
        <v>396.82</v>
      </c>
      <c r="J28" s="88">
        <f>IF(Table25[[#This Row],[Number of stocks]]&lt;0,Table25[[#This Row],[Number of stocks]],0)</f>
        <v>0</v>
      </c>
      <c r="K28" s="5">
        <f>Table25[[#This Row],[Sold]]*Table25[[#This Row],[Price]]</f>
        <v>0</v>
      </c>
      <c r="L28" s="8">
        <f>ABS(SUMIF(Table25[[#All],[Assets]],Table25[[#This Row],[Assets]],Table25[[#All],[Sold]]))</f>
        <v>2</v>
      </c>
      <c r="M28" s="5">
        <f>ABS(SUMIF(Table25[[#All],[Assets]],Table25[[#This Row],[Assets]],Table25[[#All],[Sold Amount]]))</f>
        <v>426.52</v>
      </c>
      <c r="N28" s="5">
        <f>IFERROR(Table25[[#This Row],[Total sold amount]]/Table25[[#This Row],[Total Sold number of stocks]],"")</f>
        <v>213.26</v>
      </c>
      <c r="O28" s="4">
        <f>IFERROR(Table25[[#This Row],[Total Amount bought]]/Table25[[#This Row],[Total number bought]],"")</f>
        <v>198.41</v>
      </c>
      <c r="P28" s="4">
        <f>IFERROR((Table25[[#This Row],[Average sell price]]-Table25[[#This Row],[Average buy price]])*Table25[[#This Row],[Total Sold number of stocks]],0)</f>
        <v>29.699999999999989</v>
      </c>
      <c r="Q28" s="85">
        <f>SUMIF(Table25[[#All],[Assets]],Table25[[#This Row],[Assets]],Table25[[#All],[Number of stocks]])</f>
        <v>0</v>
      </c>
    </row>
    <row r="29" spans="1:17">
      <c r="A29" t="e" vm="80">
        <v>#VALUE!</v>
      </c>
      <c r="B29" s="2">
        <v>45460</v>
      </c>
      <c r="C29" t="str" cm="1">
        <f t="array" aca="1" ref="C29" ca="1">_FV(A29,"Ticker symbol",TRUE)</f>
        <v>PYPL</v>
      </c>
      <c r="D29" s="4">
        <v>60.01</v>
      </c>
      <c r="E29" s="50">
        <v>80</v>
      </c>
      <c r="F29" s="81">
        <f>IF(Table25[[#This Row],[Number of stocks]]&gt;0,Table25[[#This Row],[Number of stocks]],0)</f>
        <v>80</v>
      </c>
      <c r="G29" s="73">
        <f>Table25[[#This Row],[Bought]]*Table25[[#This Row],[Price]]</f>
        <v>4800.8</v>
      </c>
      <c r="H29">
        <f>SUMIF(Table25[[#All],[Assets]],Table25[[#This Row],[Assets]],Table25[[#All],[Bought]])</f>
        <v>223</v>
      </c>
      <c r="I29">
        <f>SUMIF(Table25[[#All],[Assets]],Table25[[#This Row],[Assets]],Table25[[#All],[Bought Amount]])</f>
        <v>14862.050000000003</v>
      </c>
      <c r="J29" s="88">
        <f>IF(Table25[[#This Row],[Number of stocks]]&lt;0,Table25[[#This Row],[Number of stocks]],0)</f>
        <v>0</v>
      </c>
      <c r="K29" s="5">
        <f>Table25[[#This Row],[Sold]]*Table25[[#This Row],[Price]]</f>
        <v>0</v>
      </c>
      <c r="L29" s="8">
        <f>ABS(SUMIF(Table25[[#All],[Assets]],Table25[[#This Row],[Assets]],Table25[[#All],[Sold]]))</f>
        <v>222</v>
      </c>
      <c r="M29" s="5">
        <f>ABS(SUMIF(Table25[[#All],[Assets]],Table25[[#This Row],[Assets]],Table25[[#All],[Sold Amount]]))</f>
        <v>15255.44</v>
      </c>
      <c r="N29" s="5">
        <f>IFERROR(Table25[[#This Row],[Total sold amount]]/Table25[[#This Row],[Total Sold number of stocks]],"")</f>
        <v>68.718198198198195</v>
      </c>
      <c r="O29" s="4">
        <f>IFERROR(Table25[[#This Row],[Total Amount bought]]/Table25[[#This Row],[Total number bought]],"")</f>
        <v>66.645964125560553</v>
      </c>
      <c r="P29" s="4">
        <f>IFERROR((Table25[[#This Row],[Average sell price]]-Table25[[#This Row],[Average buy price]])*Table25[[#This Row],[Total Sold number of stocks]],0)</f>
        <v>460.03596412555646</v>
      </c>
      <c r="Q29" s="85">
        <f>SUMIF(Table25[[#All],[Assets]],Table25[[#This Row],[Assets]],Table25[[#All],[Number of stocks]])</f>
        <v>1</v>
      </c>
    </row>
    <row r="30" spans="1:17">
      <c r="A30" t="e" vm="80">
        <v>#VALUE!</v>
      </c>
      <c r="B30" s="2">
        <v>45475</v>
      </c>
      <c r="C30" t="str" cm="1">
        <f t="array" aca="1" ref="C30" ca="1">_FV(A30,"Ticker symbol",TRUE)</f>
        <v>PYPL</v>
      </c>
      <c r="D30" s="4">
        <v>58.69</v>
      </c>
      <c r="E30" s="50">
        <v>-40</v>
      </c>
      <c r="F30" s="81">
        <f>IF(Table25[[#This Row],[Number of stocks]]&gt;0,Table25[[#This Row],[Number of stocks]],0)</f>
        <v>0</v>
      </c>
      <c r="G30" s="73">
        <f>Table25[[#This Row],[Bought]]*Table25[[#This Row],[Price]]</f>
        <v>0</v>
      </c>
      <c r="H30">
        <f>SUMIF(Table25[[#All],[Assets]],Table25[[#This Row],[Assets]],Table25[[#All],[Bought]])</f>
        <v>223</v>
      </c>
      <c r="I30">
        <f>SUMIF(Table25[[#All],[Assets]],Table25[[#This Row],[Assets]],Table25[[#All],[Bought Amount]])</f>
        <v>14862.050000000003</v>
      </c>
      <c r="J30" s="88">
        <f>IF(Table25[[#This Row],[Number of stocks]]&lt;0,Table25[[#This Row],[Number of stocks]],0)</f>
        <v>-40</v>
      </c>
      <c r="K30" s="5">
        <f>Table25[[#This Row],[Sold]]*Table25[[#This Row],[Price]]</f>
        <v>-2347.6</v>
      </c>
      <c r="L30" s="8">
        <f>ABS(SUMIF(Table25[[#All],[Assets]],Table25[[#This Row],[Assets]],Table25[[#All],[Sold]]))</f>
        <v>222</v>
      </c>
      <c r="M30" s="5">
        <f>ABS(SUMIF(Table25[[#All],[Assets]],Table25[[#This Row],[Assets]],Table25[[#All],[Sold Amount]]))</f>
        <v>15255.44</v>
      </c>
      <c r="N30" s="5">
        <f>IFERROR(Table25[[#This Row],[Total sold amount]]/Table25[[#This Row],[Total Sold number of stocks]],"")</f>
        <v>68.718198198198195</v>
      </c>
      <c r="O30" s="4">
        <f>IFERROR(Table25[[#This Row],[Total Amount bought]]/Table25[[#This Row],[Total number bought]],"")</f>
        <v>66.645964125560553</v>
      </c>
      <c r="P30" s="4">
        <f>IFERROR((Table25[[#This Row],[Average sell price]]-Table25[[#This Row],[Average buy price]])*Table25[[#This Row],[Total Sold number of stocks]],0)</f>
        <v>460.03596412555646</v>
      </c>
      <c r="Q30" s="85">
        <f>SUMIF(Table25[[#All],[Assets]],Table25[[#This Row],[Assets]],Table25[[#All],[Number of stocks]])</f>
        <v>1</v>
      </c>
    </row>
    <row r="31" spans="1:17">
      <c r="A31" t="e" vm="45">
        <v>#VALUE!</v>
      </c>
      <c r="B31" s="2">
        <v>45475</v>
      </c>
      <c r="C31" t="str" cm="1">
        <f t="array" aca="1" ref="C31" ca="1">_FV(A31,"Ticker symbol",TRUE)</f>
        <v>ACM</v>
      </c>
      <c r="D31" s="4">
        <v>85.41</v>
      </c>
      <c r="E31" s="50">
        <v>1</v>
      </c>
      <c r="F31" s="81">
        <f>IF(Table25[[#This Row],[Number of stocks]]&gt;0,Table25[[#This Row],[Number of stocks]],0)</f>
        <v>1</v>
      </c>
      <c r="G31" s="73">
        <f>Table25[[#This Row],[Bought]]*Table25[[#This Row],[Price]]</f>
        <v>85.41</v>
      </c>
      <c r="H31">
        <f>SUMIF(Table25[[#All],[Assets]],Table25[[#This Row],[Assets]],Table25[[#All],[Bought]])</f>
        <v>1</v>
      </c>
      <c r="I31">
        <f>SUMIF(Table25[[#All],[Assets]],Table25[[#This Row],[Assets]],Table25[[#All],[Bought Amount]])</f>
        <v>85.41</v>
      </c>
      <c r="J31" s="88">
        <f>IF(Table25[[#This Row],[Number of stocks]]&lt;0,Table25[[#This Row],[Number of stocks]],0)</f>
        <v>0</v>
      </c>
      <c r="K31" s="5">
        <f>Table25[[#This Row],[Sold]]*Table25[[#This Row],[Price]]</f>
        <v>0</v>
      </c>
      <c r="L31" s="8">
        <f>ABS(SUMIF(Table25[[#All],[Assets]],Table25[[#This Row],[Assets]],Table25[[#All],[Sold]]))</f>
        <v>1</v>
      </c>
      <c r="M31" s="5">
        <f>ABS(SUMIF(Table25[[#All],[Assets]],Table25[[#This Row],[Assets]],Table25[[#All],[Sold Amount]]))</f>
        <v>90.37</v>
      </c>
      <c r="N31" s="5">
        <f>IFERROR(Table25[[#This Row],[Total sold amount]]/Table25[[#This Row],[Total Sold number of stocks]],"")</f>
        <v>90.37</v>
      </c>
      <c r="O31" s="4">
        <f>IFERROR(Table25[[#This Row],[Total Amount bought]]/Table25[[#This Row],[Total number bought]],"")</f>
        <v>85.41</v>
      </c>
      <c r="P31" s="4">
        <f>IFERROR((Table25[[#This Row],[Average sell price]]-Table25[[#This Row],[Average buy price]])*Table25[[#This Row],[Total Sold number of stocks]],0)</f>
        <v>4.960000000000008</v>
      </c>
      <c r="Q31" s="85">
        <f>SUMIF(Table25[[#All],[Assets]],Table25[[#This Row],[Assets]],Table25[[#All],[Number of stocks]])</f>
        <v>0</v>
      </c>
    </row>
    <row r="32" spans="1:17">
      <c r="A32" t="e" vm="298">
        <v>#VALUE!</v>
      </c>
      <c r="B32" s="2">
        <v>45475</v>
      </c>
      <c r="C32" t="str" cm="1">
        <f t="array" aca="1" ref="C32" ca="1">_FV(A32,"Ticker symbol",TRUE)</f>
        <v>BLBD</v>
      </c>
      <c r="D32" s="4">
        <v>49.87</v>
      </c>
      <c r="E32" s="50">
        <v>5</v>
      </c>
      <c r="F32" s="81">
        <f>IF(Table25[[#This Row],[Number of stocks]]&gt;0,Table25[[#This Row],[Number of stocks]],0)</f>
        <v>5</v>
      </c>
      <c r="G32" s="73">
        <f>Table25[[#This Row],[Bought]]*Table25[[#This Row],[Price]]</f>
        <v>249.35</v>
      </c>
      <c r="H32">
        <f>SUMIF(Table25[[#All],[Assets]],Table25[[#This Row],[Assets]],Table25[[#All],[Bought]])</f>
        <v>5</v>
      </c>
      <c r="I32">
        <f>SUMIF(Table25[[#All],[Assets]],Table25[[#This Row],[Assets]],Table25[[#All],[Bought Amount]])</f>
        <v>249.35</v>
      </c>
      <c r="J32" s="88">
        <f>IF(Table25[[#This Row],[Number of stocks]]&lt;0,Table25[[#This Row],[Number of stocks]],0)</f>
        <v>0</v>
      </c>
      <c r="K32" s="5">
        <f>Table25[[#This Row],[Sold]]*Table25[[#This Row],[Price]]</f>
        <v>0</v>
      </c>
      <c r="L32" s="8">
        <f>ABS(SUMIF(Table25[[#All],[Assets]],Table25[[#This Row],[Assets]],Table25[[#All],[Sold]]))</f>
        <v>5</v>
      </c>
      <c r="M32" s="5">
        <f>ABS(SUMIF(Table25[[#All],[Assets]],Table25[[#This Row],[Assets]],Table25[[#All],[Sold Amount]]))</f>
        <v>227.10000000000002</v>
      </c>
      <c r="N32" s="5">
        <f>IFERROR(Table25[[#This Row],[Total sold amount]]/Table25[[#This Row],[Total Sold number of stocks]],"")</f>
        <v>45.42</v>
      </c>
      <c r="O32" s="4">
        <f>IFERROR(Table25[[#This Row],[Total Amount bought]]/Table25[[#This Row],[Total number bought]],"")</f>
        <v>49.87</v>
      </c>
      <c r="P32" s="4">
        <f>IFERROR((Table25[[#This Row],[Average sell price]]-Table25[[#This Row],[Average buy price]])*Table25[[#This Row],[Total Sold number of stocks]],0)</f>
        <v>-22.249999999999979</v>
      </c>
      <c r="Q32" s="85">
        <f>SUMIF(Table25[[#All],[Assets]],Table25[[#This Row],[Assets]],Table25[[#All],[Number of stocks]])</f>
        <v>0</v>
      </c>
    </row>
    <row r="33" spans="1:17">
      <c r="A33" t="e" vm="401">
        <v>#VALUE!</v>
      </c>
      <c r="B33" s="2">
        <v>45475</v>
      </c>
      <c r="C33" t="str" cm="1">
        <f t="array" aca="1" ref="C33" ca="1">_FV(A33,"Ticker symbol",TRUE)</f>
        <v>ATMU</v>
      </c>
      <c r="D33" s="4">
        <v>27.91</v>
      </c>
      <c r="E33" s="50">
        <v>4</v>
      </c>
      <c r="F33" s="81">
        <f>IF(Table25[[#This Row],[Number of stocks]]&gt;0,Table25[[#This Row],[Number of stocks]],0)</f>
        <v>4</v>
      </c>
      <c r="G33" s="73">
        <f>Table25[[#This Row],[Bought]]*Table25[[#This Row],[Price]]</f>
        <v>111.64</v>
      </c>
      <c r="H33">
        <f>SUMIF(Table25[[#All],[Assets]],Table25[[#This Row],[Assets]],Table25[[#All],[Bought]])</f>
        <v>4</v>
      </c>
      <c r="I33">
        <f>SUMIF(Table25[[#All],[Assets]],Table25[[#This Row],[Assets]],Table25[[#All],[Bought Amount]])</f>
        <v>111.64</v>
      </c>
      <c r="J33" s="88">
        <f>IF(Table25[[#This Row],[Number of stocks]]&lt;0,Table25[[#This Row],[Number of stocks]],0)</f>
        <v>0</v>
      </c>
      <c r="K33" s="5">
        <f>Table25[[#This Row],[Sold]]*Table25[[#This Row],[Price]]</f>
        <v>0</v>
      </c>
      <c r="L33" s="8">
        <f>ABS(SUMIF(Table25[[#All],[Assets]],Table25[[#This Row],[Assets]],Table25[[#All],[Sold]]))</f>
        <v>4</v>
      </c>
      <c r="M33" s="5">
        <f>ABS(SUMIF(Table25[[#All],[Assets]],Table25[[#This Row],[Assets]],Table25[[#All],[Sold Amount]]))</f>
        <v>124.08</v>
      </c>
      <c r="N33" s="5">
        <f>IFERROR(Table25[[#This Row],[Total sold amount]]/Table25[[#This Row],[Total Sold number of stocks]],"")</f>
        <v>31.02</v>
      </c>
      <c r="O33" s="4">
        <f>IFERROR(Table25[[#This Row],[Total Amount bought]]/Table25[[#This Row],[Total number bought]],"")</f>
        <v>27.91</v>
      </c>
      <c r="P33" s="4">
        <f>IFERROR((Table25[[#This Row],[Average sell price]]-Table25[[#This Row],[Average buy price]])*Table25[[#This Row],[Total Sold number of stocks]],0)</f>
        <v>12.439999999999998</v>
      </c>
      <c r="Q33" s="85">
        <f>SUMIF(Table25[[#All],[Assets]],Table25[[#This Row],[Assets]],Table25[[#All],[Number of stocks]])</f>
        <v>0</v>
      </c>
    </row>
    <row r="34" spans="1:17">
      <c r="A34" t="e" vm="418">
        <v>#VALUE!</v>
      </c>
      <c r="B34" s="2">
        <v>45475</v>
      </c>
      <c r="C34" t="str" cm="1">
        <f t="array" aca="1" ref="C34" ca="1">_FV(A34,"Ticker symbol",TRUE)</f>
        <v>WTRG</v>
      </c>
      <c r="D34" s="4">
        <v>37.26</v>
      </c>
      <c r="E34" s="50">
        <v>5</v>
      </c>
      <c r="F34" s="81">
        <f>IF(Table25[[#This Row],[Number of stocks]]&gt;0,Table25[[#This Row],[Number of stocks]],0)</f>
        <v>5</v>
      </c>
      <c r="G34" s="73">
        <f>Table25[[#This Row],[Bought]]*Table25[[#This Row],[Price]]</f>
        <v>186.29999999999998</v>
      </c>
      <c r="H34">
        <f>SUMIF(Table25[[#All],[Assets]],Table25[[#This Row],[Assets]],Table25[[#All],[Bought]])</f>
        <v>5</v>
      </c>
      <c r="I34">
        <f>SUMIF(Table25[[#All],[Assets]],Table25[[#This Row],[Assets]],Table25[[#All],[Bought Amount]])</f>
        <v>186.29999999999998</v>
      </c>
      <c r="J34" s="88">
        <f>IF(Table25[[#This Row],[Number of stocks]]&lt;0,Table25[[#This Row],[Number of stocks]],0)</f>
        <v>0</v>
      </c>
      <c r="K34" s="5">
        <f>Table25[[#This Row],[Sold]]*Table25[[#This Row],[Price]]</f>
        <v>0</v>
      </c>
      <c r="L34" s="8">
        <f>ABS(SUMIF(Table25[[#All],[Assets]],Table25[[#This Row],[Assets]],Table25[[#All],[Sold]]))</f>
        <v>5</v>
      </c>
      <c r="M34" s="5">
        <f>ABS(SUMIF(Table25[[#All],[Assets]],Table25[[#This Row],[Assets]],Table25[[#All],[Sold Amount]]))</f>
        <v>202.65</v>
      </c>
      <c r="N34" s="5">
        <f>IFERROR(Table25[[#This Row],[Total sold amount]]/Table25[[#This Row],[Total Sold number of stocks]],"")</f>
        <v>40.53</v>
      </c>
      <c r="O34" s="4">
        <f>IFERROR(Table25[[#This Row],[Total Amount bought]]/Table25[[#This Row],[Total number bought]],"")</f>
        <v>37.26</v>
      </c>
      <c r="P34" s="4">
        <f>IFERROR((Table25[[#This Row],[Average sell price]]-Table25[[#This Row],[Average buy price]])*Table25[[#This Row],[Total Sold number of stocks]],0)</f>
        <v>16.350000000000016</v>
      </c>
      <c r="Q34" s="85">
        <f>SUMIF(Table25[[#All],[Assets]],Table25[[#This Row],[Assets]],Table25[[#All],[Number of stocks]])</f>
        <v>0</v>
      </c>
    </row>
    <row r="35" spans="1:17">
      <c r="A35" t="e" vm="43">
        <v>#VALUE!</v>
      </c>
      <c r="B35" s="2">
        <v>45475</v>
      </c>
      <c r="C35" t="str" cm="1">
        <f t="array" aca="1" ref="C35" ca="1">_FV(A35,"Ticker symbol",TRUE)</f>
        <v>J</v>
      </c>
      <c r="D35" s="4">
        <v>137.56</v>
      </c>
      <c r="E35" s="50">
        <v>2</v>
      </c>
      <c r="F35" s="81">
        <f>IF(Table25[[#This Row],[Number of stocks]]&gt;0,Table25[[#This Row],[Number of stocks]],0)</f>
        <v>2</v>
      </c>
      <c r="G35" s="73">
        <f>Table25[[#This Row],[Bought]]*Table25[[#This Row],[Price]]</f>
        <v>275.12</v>
      </c>
      <c r="H35">
        <f>SUMIF(Table25[[#All],[Assets]],Table25[[#This Row],[Assets]],Table25[[#All],[Bought]])</f>
        <v>4</v>
      </c>
      <c r="I35">
        <f>SUMIF(Table25[[#All],[Assets]],Table25[[#This Row],[Assets]],Table25[[#All],[Bought Amount]])</f>
        <v>550.24</v>
      </c>
      <c r="J35" s="88">
        <f>IF(Table25[[#This Row],[Number of stocks]]&lt;0,Table25[[#This Row],[Number of stocks]],0)</f>
        <v>0</v>
      </c>
      <c r="K35" s="5">
        <f>Table25[[#This Row],[Sold]]*Table25[[#This Row],[Price]]</f>
        <v>0</v>
      </c>
      <c r="L35" s="8">
        <f>ABS(SUMIF(Table25[[#All],[Assets]],Table25[[#This Row],[Assets]],Table25[[#All],[Sold]]))</f>
        <v>4</v>
      </c>
      <c r="M35" s="5">
        <f>ABS(SUMIF(Table25[[#All],[Assets]],Table25[[#This Row],[Assets]],Table25[[#All],[Sold Amount]]))</f>
        <v>586.79999999999995</v>
      </c>
      <c r="N35" s="5">
        <f>IFERROR(Table25[[#This Row],[Total sold amount]]/Table25[[#This Row],[Total Sold number of stocks]],"")</f>
        <v>146.69999999999999</v>
      </c>
      <c r="O35" s="4">
        <f>IFERROR(Table25[[#This Row],[Total Amount bought]]/Table25[[#This Row],[Total number bought]],"")</f>
        <v>137.56</v>
      </c>
      <c r="P35" s="4">
        <f>IFERROR((Table25[[#This Row],[Average sell price]]-Table25[[#This Row],[Average buy price]])*Table25[[#This Row],[Total Sold number of stocks]],0)</f>
        <v>36.559999999999945</v>
      </c>
      <c r="Q35" s="85">
        <f>SUMIF(Table25[[#All],[Assets]],Table25[[#This Row],[Assets]],Table25[[#All],[Number of stocks]])</f>
        <v>0</v>
      </c>
    </row>
    <row r="36" spans="1:17">
      <c r="A36" t="e" vm="129">
        <v>#VALUE!</v>
      </c>
      <c r="B36" s="2">
        <v>45478</v>
      </c>
      <c r="C36" t="str" cm="1">
        <f t="array" aca="1" ref="C36" ca="1">_FV(A36,"Ticker symbol",TRUE)</f>
        <v>MRVL</v>
      </c>
      <c r="D36" s="4">
        <v>72.430000000000007</v>
      </c>
      <c r="E36" s="50">
        <v>7</v>
      </c>
      <c r="F36" s="81">
        <f>IF(Table25[[#This Row],[Number of stocks]]&gt;0,Table25[[#This Row],[Number of stocks]],0)</f>
        <v>7</v>
      </c>
      <c r="G36" s="73">
        <f>Table25[[#This Row],[Bought]]*Table25[[#This Row],[Price]]</f>
        <v>507.01000000000005</v>
      </c>
      <c r="H36">
        <f>SUMIF(Table25[[#All],[Assets]],Table25[[#This Row],[Assets]],Table25[[#All],[Bought]])</f>
        <v>105</v>
      </c>
      <c r="I36">
        <f>SUMIF(Table25[[#All],[Assets]],Table25[[#This Row],[Assets]],Table25[[#All],[Bought Amount]])</f>
        <v>8175.6200000000008</v>
      </c>
      <c r="J36" s="88">
        <f>IF(Table25[[#This Row],[Number of stocks]]&lt;0,Table25[[#This Row],[Number of stocks]],0)</f>
        <v>0</v>
      </c>
      <c r="K36" s="5">
        <f>Table25[[#This Row],[Sold]]*Table25[[#This Row],[Price]]</f>
        <v>0</v>
      </c>
      <c r="L36" s="8">
        <f>ABS(SUMIF(Table25[[#All],[Assets]],Table25[[#This Row],[Assets]],Table25[[#All],[Sold]]))</f>
        <v>83</v>
      </c>
      <c r="M36" s="5">
        <f>ABS(SUMIF(Table25[[#All],[Assets]],Table25[[#This Row],[Assets]],Table25[[#All],[Sold Amount]]))</f>
        <v>6745.73</v>
      </c>
      <c r="N36" s="5">
        <f>IFERROR(Table25[[#This Row],[Total sold amount]]/Table25[[#This Row],[Total Sold number of stocks]],"")</f>
        <v>81.273855421686747</v>
      </c>
      <c r="O36" s="4">
        <f>IFERROR(Table25[[#This Row],[Total Amount bought]]/Table25[[#This Row],[Total number bought]],"")</f>
        <v>77.86304761904762</v>
      </c>
      <c r="P36" s="4">
        <f>IFERROR((Table25[[#This Row],[Average sell price]]-Table25[[#This Row],[Average buy price]])*Table25[[#This Row],[Total Sold number of stocks]],0)</f>
        <v>283.09704761904754</v>
      </c>
      <c r="Q36" s="85">
        <f>SUMIF(Table25[[#All],[Assets]],Table25[[#This Row],[Assets]],Table25[[#All],[Number of stocks]])</f>
        <v>22</v>
      </c>
    </row>
    <row r="37" spans="1:17">
      <c r="A37" t="e" vm="372">
        <v>#VALUE!</v>
      </c>
      <c r="B37" s="2">
        <v>45478</v>
      </c>
      <c r="C37" t="str" cm="1">
        <f t="array" aca="1" ref="C37" ca="1">_FV(A37,"Ticker symbol",TRUE)</f>
        <v>AMKR</v>
      </c>
      <c r="D37" s="4">
        <v>39.92</v>
      </c>
      <c r="E37" s="50">
        <v>5</v>
      </c>
      <c r="F37" s="81">
        <f>IF(Table25[[#This Row],[Number of stocks]]&gt;0,Table25[[#This Row],[Number of stocks]],0)</f>
        <v>5</v>
      </c>
      <c r="G37" s="73">
        <f>Table25[[#This Row],[Bought]]*Table25[[#This Row],[Price]]</f>
        <v>199.60000000000002</v>
      </c>
      <c r="H37">
        <f>SUMIF(Table25[[#All],[Assets]],Table25[[#This Row],[Assets]],Table25[[#All],[Bought]])</f>
        <v>20</v>
      </c>
      <c r="I37">
        <f>SUMIF(Table25[[#All],[Assets]],Table25[[#This Row],[Assets]],Table25[[#All],[Bought Amount]])</f>
        <v>961.45</v>
      </c>
      <c r="J37" s="88">
        <f>IF(Table25[[#This Row],[Number of stocks]]&lt;0,Table25[[#This Row],[Number of stocks]],0)</f>
        <v>0</v>
      </c>
      <c r="K37" s="5">
        <f>Table25[[#This Row],[Sold]]*Table25[[#This Row],[Price]]</f>
        <v>0</v>
      </c>
      <c r="L37" s="8">
        <f>ABS(SUMIF(Table25[[#All],[Assets]],Table25[[#This Row],[Assets]],Table25[[#All],[Sold]]))</f>
        <v>5</v>
      </c>
      <c r="M37" s="5">
        <f>ABS(SUMIF(Table25[[#All],[Assets]],Table25[[#This Row],[Assets]],Table25[[#All],[Sold Amount]]))</f>
        <v>102</v>
      </c>
      <c r="N37" s="5">
        <f>IFERROR(Table25[[#This Row],[Total sold amount]]/Table25[[#This Row],[Total Sold number of stocks]],"")</f>
        <v>20.399999999999999</v>
      </c>
      <c r="O37" s="4">
        <f>IFERROR(Table25[[#This Row],[Total Amount bought]]/Table25[[#This Row],[Total number bought]],"")</f>
        <v>48.072500000000005</v>
      </c>
      <c r="P37" s="4">
        <f>IFERROR((Table25[[#This Row],[Average sell price]]-Table25[[#This Row],[Average buy price]])*Table25[[#This Row],[Total Sold number of stocks]],0)</f>
        <v>-138.36250000000004</v>
      </c>
      <c r="Q37" s="85">
        <f>SUMIF(Table25[[#All],[Assets]],Table25[[#This Row],[Assets]],Table25[[#All],[Number of stocks]])</f>
        <v>15</v>
      </c>
    </row>
    <row r="38" spans="1:17">
      <c r="A38" t="e" vm="493">
        <v>#VALUE!</v>
      </c>
      <c r="B38" s="2">
        <v>45467</v>
      </c>
      <c r="C38" t="str" cm="1">
        <f t="array" aca="1" ref="C38" ca="1">_FV(A38,"Ticker symbol",TRUE)</f>
        <v>TELL</v>
      </c>
      <c r="D38" s="4">
        <v>0.64870000000000005</v>
      </c>
      <c r="E38" s="50">
        <v>800</v>
      </c>
      <c r="F38" s="81">
        <f>IF(Table25[[#This Row],[Number of stocks]]&gt;0,Table25[[#This Row],[Number of stocks]],0)</f>
        <v>800</v>
      </c>
      <c r="G38" s="73">
        <f>Table25[[#This Row],[Bought]]*Table25[[#This Row],[Price]]</f>
        <v>518.96</v>
      </c>
      <c r="H38">
        <f>SUMIF(Table25[[#All],[Assets]],Table25[[#This Row],[Assets]],Table25[[#All],[Bought]])</f>
        <v>800</v>
      </c>
      <c r="I38">
        <f>SUMIF(Table25[[#All],[Assets]],Table25[[#This Row],[Assets]],Table25[[#All],[Bought Amount]])</f>
        <v>518.96</v>
      </c>
      <c r="J38" s="88">
        <f>IF(Table25[[#This Row],[Number of stocks]]&lt;0,Table25[[#This Row],[Number of stocks]],0)</f>
        <v>0</v>
      </c>
      <c r="K38" s="5">
        <f>Table25[[#This Row],[Sold]]*Table25[[#This Row],[Price]]</f>
        <v>0</v>
      </c>
      <c r="L38" s="8">
        <f>ABS(SUMIF(Table25[[#All],[Assets]],Table25[[#This Row],[Assets]],Table25[[#All],[Sold]]))</f>
        <v>800</v>
      </c>
      <c r="M38" s="5">
        <f>ABS(SUMIF(Table25[[#All],[Assets]],Table25[[#This Row],[Assets]],Table25[[#All],[Sold Amount]]))</f>
        <v>632</v>
      </c>
      <c r="N38" s="5">
        <f>IFERROR(Table25[[#This Row],[Total sold amount]]/Table25[[#This Row],[Total Sold number of stocks]],"")</f>
        <v>0.79</v>
      </c>
      <c r="O38" s="4">
        <f>IFERROR(Table25[[#This Row],[Total Amount bought]]/Table25[[#This Row],[Total number bought]],"")</f>
        <v>0.64870000000000005</v>
      </c>
      <c r="P38" s="4">
        <f>IFERROR((Table25[[#This Row],[Average sell price]]-Table25[[#This Row],[Average buy price]])*Table25[[#This Row],[Total Sold number of stocks]],0)</f>
        <v>113.03999999999999</v>
      </c>
      <c r="Q38" s="85">
        <f>SUMIF(Table25[[#All],[Assets]],Table25[[#This Row],[Assets]],Table25[[#All],[Number of stocks]])</f>
        <v>0</v>
      </c>
    </row>
    <row r="39" spans="1:17">
      <c r="A39" t="e" vm="481">
        <v>#VALUE!</v>
      </c>
      <c r="B39" s="2">
        <v>45419</v>
      </c>
      <c r="C39" t="str" cm="1">
        <f t="array" aca="1" ref="C39" ca="1">_FV(A39,"Ticker symbol",TRUE)</f>
        <v>DBA</v>
      </c>
      <c r="D39" s="4">
        <v>24.52</v>
      </c>
      <c r="E39" s="50">
        <v>10</v>
      </c>
      <c r="F39" s="81">
        <f>IF(Table25[[#This Row],[Number of stocks]]&gt;0,Table25[[#This Row],[Number of stocks]],0)</f>
        <v>10</v>
      </c>
      <c r="G39" s="73">
        <f>Table25[[#This Row],[Bought]]*Table25[[#This Row],[Price]]</f>
        <v>245.2</v>
      </c>
      <c r="H39">
        <f>SUMIF(Table25[[#All],[Assets]],Table25[[#This Row],[Assets]],Table25[[#All],[Bought]])</f>
        <v>10</v>
      </c>
      <c r="I39">
        <f>SUMIF(Table25[[#All],[Assets]],Table25[[#This Row],[Assets]],Table25[[#All],[Bought Amount]])</f>
        <v>245.2</v>
      </c>
      <c r="J39" s="88">
        <f>IF(Table25[[#This Row],[Number of stocks]]&lt;0,Table25[[#This Row],[Number of stocks]],0)</f>
        <v>0</v>
      </c>
      <c r="K39" s="5">
        <f>Table25[[#This Row],[Sold]]*Table25[[#This Row],[Price]]</f>
        <v>0</v>
      </c>
      <c r="L39" s="8">
        <f>ABS(SUMIF(Table25[[#All],[Assets]],Table25[[#This Row],[Assets]],Table25[[#All],[Sold]]))</f>
        <v>10</v>
      </c>
      <c r="M39" s="5">
        <f>ABS(SUMIF(Table25[[#All],[Assets]],Table25[[#This Row],[Assets]],Table25[[#All],[Sold Amount]]))</f>
        <v>257.2</v>
      </c>
      <c r="N39" s="5">
        <f>IFERROR(Table25[[#This Row],[Total sold amount]]/Table25[[#This Row],[Total Sold number of stocks]],"")</f>
        <v>25.72</v>
      </c>
      <c r="O39" s="4">
        <f>IFERROR(Table25[[#This Row],[Total Amount bought]]/Table25[[#This Row],[Total number bought]],"")</f>
        <v>24.52</v>
      </c>
      <c r="P39" s="4">
        <f>IFERROR((Table25[[#This Row],[Average sell price]]-Table25[[#This Row],[Average buy price]])*Table25[[#This Row],[Total Sold number of stocks]],0)</f>
        <v>11.999999999999993</v>
      </c>
      <c r="Q39" s="85">
        <f>SUMIF(Table25[[#All],[Assets]],Table25[[#This Row],[Assets]],Table25[[#All],[Number of stocks]])</f>
        <v>0</v>
      </c>
    </row>
    <row r="40" spans="1:17">
      <c r="A40" t="e" vm="494">
        <v>#VALUE!</v>
      </c>
      <c r="B40" s="2">
        <v>45471</v>
      </c>
      <c r="C40" t="str" cm="1">
        <f t="array" aca="1" ref="C40" ca="1">_FV(A40,"Ticker symbol",TRUE)</f>
        <v>GEO</v>
      </c>
      <c r="D40" s="4">
        <v>14.2</v>
      </c>
      <c r="E40" s="50">
        <v>30</v>
      </c>
      <c r="F40" s="81">
        <f>IF(Table25[[#This Row],[Number of stocks]]&gt;0,Table25[[#This Row],[Number of stocks]],0)</f>
        <v>30</v>
      </c>
      <c r="G40" s="73">
        <f>Table25[[#This Row],[Bought]]*Table25[[#This Row],[Price]]</f>
        <v>426</v>
      </c>
      <c r="H40">
        <f>SUMIF(Table25[[#All],[Assets]],Table25[[#This Row],[Assets]],Table25[[#All],[Bought]])</f>
        <v>30</v>
      </c>
      <c r="I40">
        <f>SUMIF(Table25[[#All],[Assets]],Table25[[#This Row],[Assets]],Table25[[#All],[Bought Amount]])</f>
        <v>426</v>
      </c>
      <c r="J40" s="88">
        <f>IF(Table25[[#This Row],[Number of stocks]]&lt;0,Table25[[#This Row],[Number of stocks]],0)</f>
        <v>0</v>
      </c>
      <c r="K40" s="5">
        <f>Table25[[#This Row],[Sold]]*Table25[[#This Row],[Price]]</f>
        <v>0</v>
      </c>
      <c r="L40" s="8">
        <f>ABS(SUMIF(Table25[[#All],[Assets]],Table25[[#This Row],[Assets]],Table25[[#All],[Sold]]))</f>
        <v>30</v>
      </c>
      <c r="M40" s="5">
        <f>ABS(SUMIF(Table25[[#All],[Assets]],Table25[[#This Row],[Assets]],Table25[[#All],[Sold Amount]]))</f>
        <v>487.75</v>
      </c>
      <c r="N40" s="5">
        <f>IFERROR(Table25[[#This Row],[Total sold amount]]/Table25[[#This Row],[Total Sold number of stocks]],"")</f>
        <v>16.258333333333333</v>
      </c>
      <c r="O40" s="4">
        <f>IFERROR(Table25[[#This Row],[Total Amount bought]]/Table25[[#This Row],[Total number bought]],"")</f>
        <v>14.2</v>
      </c>
      <c r="P40" s="4">
        <f>IFERROR((Table25[[#This Row],[Average sell price]]-Table25[[#This Row],[Average buy price]])*Table25[[#This Row],[Total Sold number of stocks]],0)</f>
        <v>61.750000000000007</v>
      </c>
      <c r="Q40" s="85">
        <f>SUMIF(Table25[[#All],[Assets]],Table25[[#This Row],[Assets]],Table25[[#All],[Number of stocks]])</f>
        <v>0</v>
      </c>
    </row>
    <row r="41" spans="1:17">
      <c r="A41" t="e" vm="563">
        <v>#VALUE!</v>
      </c>
      <c r="B41" s="2">
        <v>45478</v>
      </c>
      <c r="C41" t="str" cm="1">
        <f t="array" aca="1" ref="C41" ca="1">_FV(A41,"Ticker symbol",TRUE)</f>
        <v>PLTR</v>
      </c>
      <c r="D41" s="4">
        <v>27.21</v>
      </c>
      <c r="E41" s="50">
        <v>10</v>
      </c>
      <c r="F41" s="81">
        <f>IF(Table25[[#This Row],[Number of stocks]]&gt;0,Table25[[#This Row],[Number of stocks]],0)</f>
        <v>10</v>
      </c>
      <c r="G41" s="73">
        <f>Table25[[#This Row],[Bought]]*Table25[[#This Row],[Price]]</f>
        <v>272.10000000000002</v>
      </c>
      <c r="H41">
        <f>SUMIF(Table25[[#All],[Assets]],Table25[[#This Row],[Assets]],Table25[[#All],[Bought]])</f>
        <v>10</v>
      </c>
      <c r="I41">
        <f>SUMIF(Table25[[#All],[Assets]],Table25[[#This Row],[Assets]],Table25[[#All],[Bought Amount]])</f>
        <v>272.10000000000002</v>
      </c>
      <c r="J41" s="88">
        <f>IF(Table25[[#This Row],[Number of stocks]]&lt;0,Table25[[#This Row],[Number of stocks]],0)</f>
        <v>0</v>
      </c>
      <c r="K41" s="5">
        <f>Table25[[#This Row],[Sold]]*Table25[[#This Row],[Price]]</f>
        <v>0</v>
      </c>
      <c r="L41" s="8">
        <f>ABS(SUMIF(Table25[[#All],[Assets]],Table25[[#This Row],[Assets]],Table25[[#All],[Sold]]))</f>
        <v>10</v>
      </c>
      <c r="M41" s="5">
        <f>ABS(SUMIF(Table25[[#All],[Assets]],Table25[[#This Row],[Assets]],Table25[[#All],[Sold Amount]]))</f>
        <v>344.7</v>
      </c>
      <c r="N41" s="5">
        <f>IFERROR(Table25[[#This Row],[Total sold amount]]/Table25[[#This Row],[Total Sold number of stocks]],"")</f>
        <v>34.47</v>
      </c>
      <c r="O41" s="4">
        <f>IFERROR(Table25[[#This Row],[Total Amount bought]]/Table25[[#This Row],[Total number bought]],"")</f>
        <v>27.21</v>
      </c>
      <c r="P41" s="4">
        <f>IFERROR((Table25[[#This Row],[Average sell price]]-Table25[[#This Row],[Average buy price]])*Table25[[#This Row],[Total Sold number of stocks]],0)</f>
        <v>72.59999999999998</v>
      </c>
      <c r="Q41" s="85">
        <f>SUMIF(Table25[[#All],[Assets]],Table25[[#This Row],[Assets]],Table25[[#All],[Number of stocks]])</f>
        <v>0</v>
      </c>
    </row>
    <row r="42" spans="1:17">
      <c r="A42" t="e" vm="24">
        <v>#VALUE!</v>
      </c>
      <c r="B42" s="2">
        <v>45478</v>
      </c>
      <c r="C42" t="str" cm="1">
        <f t="array" aca="1" ref="C42" ca="1">_FV(A42,"Ticker symbol",TRUE)</f>
        <v>QCOM</v>
      </c>
      <c r="D42" s="4">
        <v>205.29</v>
      </c>
      <c r="E42" s="50">
        <v>1</v>
      </c>
      <c r="F42" s="81">
        <f>IF(Table25[[#This Row],[Number of stocks]]&gt;0,Table25[[#This Row],[Number of stocks]],0)</f>
        <v>1</v>
      </c>
      <c r="G42" s="73">
        <f>Table25[[#This Row],[Bought]]*Table25[[#This Row],[Price]]</f>
        <v>205.29</v>
      </c>
      <c r="H42">
        <f>SUMIF(Table25[[#All],[Assets]],Table25[[#This Row],[Assets]],Table25[[#All],[Bought]])</f>
        <v>58</v>
      </c>
      <c r="I42">
        <f>SUMIF(Table25[[#All],[Assets]],Table25[[#This Row],[Assets]],Table25[[#All],[Bought Amount]])</f>
        <v>9670.27</v>
      </c>
      <c r="J42" s="88">
        <f>IF(Table25[[#This Row],[Number of stocks]]&lt;0,Table25[[#This Row],[Number of stocks]],0)</f>
        <v>0</v>
      </c>
      <c r="K42" s="5">
        <f>Table25[[#This Row],[Sold]]*Table25[[#This Row],[Price]]</f>
        <v>0</v>
      </c>
      <c r="L42" s="8">
        <f>ABS(SUMIF(Table25[[#All],[Assets]],Table25[[#This Row],[Assets]],Table25[[#All],[Sold]]))</f>
        <v>57</v>
      </c>
      <c r="M42" s="5">
        <f>ABS(SUMIF(Table25[[#All],[Assets]],Table25[[#This Row],[Assets]],Table25[[#All],[Sold Amount]]))</f>
        <v>8530.1</v>
      </c>
      <c r="N42" s="5">
        <f>IFERROR(Table25[[#This Row],[Total sold amount]]/Table25[[#This Row],[Total Sold number of stocks]],"")</f>
        <v>149.65087719298245</v>
      </c>
      <c r="O42" s="4">
        <f>IFERROR(Table25[[#This Row],[Total Amount bought]]/Table25[[#This Row],[Total number bought]],"")</f>
        <v>166.72879310344828</v>
      </c>
      <c r="P42" s="4">
        <f>IFERROR((Table25[[#This Row],[Average sell price]]-Table25[[#This Row],[Average buy price]])*Table25[[#This Row],[Total Sold number of stocks]],0)</f>
        <v>-973.44120689655256</v>
      </c>
      <c r="Q42" s="85">
        <f>SUMIF(Table25[[#All],[Assets]],Table25[[#This Row],[Assets]],Table25[[#All],[Number of stocks]])</f>
        <v>1</v>
      </c>
    </row>
    <row r="43" spans="1:17">
      <c r="A43" t="e" vm="33">
        <v>#VALUE!</v>
      </c>
      <c r="B43" s="2">
        <v>45455</v>
      </c>
      <c r="C43" t="str" cm="1">
        <f t="array" aca="1" ref="C43" ca="1">_FV(A43,"Ticker symbol",TRUE)</f>
        <v>CRDO</v>
      </c>
      <c r="D43" s="4">
        <v>24.54</v>
      </c>
      <c r="E43" s="50">
        <v>30</v>
      </c>
      <c r="F43" s="81">
        <f>IF(Table25[[#This Row],[Number of stocks]]&gt;0,Table25[[#This Row],[Number of stocks]],0)</f>
        <v>30</v>
      </c>
      <c r="G43" s="73">
        <f>Table25[[#This Row],[Bought]]*Table25[[#This Row],[Price]]</f>
        <v>736.19999999999993</v>
      </c>
      <c r="H43">
        <f>SUMIF(Table25[[#All],[Assets]],Table25[[#This Row],[Assets]],Table25[[#All],[Bought]])</f>
        <v>135</v>
      </c>
      <c r="I43">
        <f>SUMIF(Table25[[#All],[Assets]],Table25[[#This Row],[Assets]],Table25[[#All],[Bought Amount]])</f>
        <v>3772.0499999999997</v>
      </c>
      <c r="J43" s="88">
        <f>IF(Table25[[#This Row],[Number of stocks]]&lt;0,Table25[[#This Row],[Number of stocks]],0)</f>
        <v>0</v>
      </c>
      <c r="K43" s="5">
        <f>Table25[[#This Row],[Sold]]*Table25[[#This Row],[Price]]</f>
        <v>0</v>
      </c>
      <c r="L43" s="8">
        <f>ABS(SUMIF(Table25[[#All],[Assets]],Table25[[#This Row],[Assets]],Table25[[#All],[Sold]]))</f>
        <v>135</v>
      </c>
      <c r="M43" s="5">
        <f>ABS(SUMIF(Table25[[#All],[Assets]],Table25[[#This Row],[Assets]],Table25[[#All],[Sold Amount]]))</f>
        <v>5564.1</v>
      </c>
      <c r="N43" s="5">
        <f>IFERROR(Table25[[#This Row],[Total sold amount]]/Table25[[#This Row],[Total Sold number of stocks]],"")</f>
        <v>41.215555555555561</v>
      </c>
      <c r="O43" s="4">
        <f>IFERROR(Table25[[#This Row],[Total Amount bought]]/Table25[[#This Row],[Total number bought]],"")</f>
        <v>27.941111111111109</v>
      </c>
      <c r="P43" s="4">
        <f>IFERROR((Table25[[#This Row],[Average sell price]]-Table25[[#This Row],[Average buy price]])*Table25[[#This Row],[Total Sold number of stocks]],0)</f>
        <v>1792.0500000000011</v>
      </c>
      <c r="Q43" s="85">
        <f>SUMIF(Table25[[#All],[Assets]],Table25[[#This Row],[Assets]],Table25[[#All],[Number of stocks]])</f>
        <v>0</v>
      </c>
    </row>
    <row r="44" spans="1:17">
      <c r="A44" t="e" vm="415">
        <v>#VALUE!</v>
      </c>
      <c r="B44" s="2">
        <v>45482</v>
      </c>
      <c r="C44" t="str" cm="1">
        <f t="array" aca="1" ref="C44" ca="1">_FV(A44,"Ticker symbol",TRUE)</f>
        <v>TUA</v>
      </c>
      <c r="D44" s="4">
        <v>21.52</v>
      </c>
      <c r="E44" s="50">
        <v>88</v>
      </c>
      <c r="F44" s="81">
        <f>IF(Table25[[#This Row],[Number of stocks]]&gt;0,Table25[[#This Row],[Number of stocks]],0)</f>
        <v>88</v>
      </c>
      <c r="G44" s="73">
        <f>Table25[[#This Row],[Bought]]*Table25[[#This Row],[Price]]</f>
        <v>1893.76</v>
      </c>
      <c r="H44">
        <f>SUMIF(Table25[[#All],[Assets]],Table25[[#This Row],[Assets]],Table25[[#All],[Bought]])</f>
        <v>260</v>
      </c>
      <c r="I44">
        <f>SUMIF(Table25[[#All],[Assets]],Table25[[#This Row],[Assets]],Table25[[#All],[Bought Amount]])</f>
        <v>5808.1</v>
      </c>
      <c r="J44" s="88">
        <f>IF(Table25[[#This Row],[Number of stocks]]&lt;0,Table25[[#This Row],[Number of stocks]],0)</f>
        <v>0</v>
      </c>
      <c r="K44" s="5">
        <f>Table25[[#This Row],[Sold]]*Table25[[#This Row],[Price]]</f>
        <v>0</v>
      </c>
      <c r="L44" s="8">
        <f>ABS(SUMIF(Table25[[#All],[Assets]],Table25[[#This Row],[Assets]],Table25[[#All],[Sold]]))</f>
        <v>260</v>
      </c>
      <c r="M44" s="5">
        <f>ABS(SUMIF(Table25[[#All],[Assets]],Table25[[#This Row],[Assets]],Table25[[#All],[Sold Amount]]))</f>
        <v>5788.97</v>
      </c>
      <c r="N44" s="5">
        <f>IFERROR(Table25[[#This Row],[Total sold amount]]/Table25[[#This Row],[Total Sold number of stocks]],"")</f>
        <v>22.265269230769231</v>
      </c>
      <c r="O44" s="4">
        <f>IFERROR(Table25[[#This Row],[Total Amount bought]]/Table25[[#This Row],[Total number bought]],"")</f>
        <v>22.338846153846156</v>
      </c>
      <c r="P44" s="4">
        <f>IFERROR((Table25[[#This Row],[Average sell price]]-Table25[[#This Row],[Average buy price]])*Table25[[#This Row],[Total Sold number of stocks]],0)</f>
        <v>-19.130000000000322</v>
      </c>
      <c r="Q44" s="85">
        <f>SUMIF(Table25[[#All],[Assets]],Table25[[#This Row],[Assets]],Table25[[#All],[Number of stocks]])</f>
        <v>0</v>
      </c>
    </row>
    <row r="45" spans="1:17">
      <c r="A45" t="e" vm="387">
        <v>#VALUE!</v>
      </c>
      <c r="B45" s="2">
        <v>45426</v>
      </c>
      <c r="C45" t="str" cm="1">
        <f t="array" aca="1" ref="C45" ca="1">_FV(A45,"Ticker symbol",TRUE)</f>
        <v>ZWS</v>
      </c>
      <c r="D45" s="4">
        <v>32.53</v>
      </c>
      <c r="E45" s="50">
        <v>1</v>
      </c>
      <c r="F45" s="81">
        <f>IF(Table25[[#This Row],[Number of stocks]]&gt;0,Table25[[#This Row],[Number of stocks]],0)</f>
        <v>1</v>
      </c>
      <c r="G45" s="73">
        <f>Table25[[#This Row],[Bought]]*Table25[[#This Row],[Price]]</f>
        <v>32.53</v>
      </c>
      <c r="H45">
        <f>SUMIF(Table25[[#All],[Assets]],Table25[[#This Row],[Assets]],Table25[[#All],[Bought]])</f>
        <v>1</v>
      </c>
      <c r="I45">
        <f>SUMIF(Table25[[#All],[Assets]],Table25[[#This Row],[Assets]],Table25[[#All],[Bought Amount]])</f>
        <v>32.53</v>
      </c>
      <c r="J45" s="88">
        <f>IF(Table25[[#This Row],[Number of stocks]]&lt;0,Table25[[#This Row],[Number of stocks]],0)</f>
        <v>0</v>
      </c>
      <c r="K45" s="5">
        <f>Table25[[#This Row],[Sold]]*Table25[[#This Row],[Price]]</f>
        <v>0</v>
      </c>
      <c r="L45" s="8">
        <f>ABS(SUMIF(Table25[[#All],[Assets]],Table25[[#This Row],[Assets]],Table25[[#All],[Sold]]))</f>
        <v>1</v>
      </c>
      <c r="M45" s="5">
        <f>ABS(SUMIF(Table25[[#All],[Assets]],Table25[[#This Row],[Assets]],Table25[[#All],[Sold Amount]]))</f>
        <v>32.26</v>
      </c>
      <c r="N45" s="5">
        <f>IFERROR(Table25[[#This Row],[Total sold amount]]/Table25[[#This Row],[Total Sold number of stocks]],"")</f>
        <v>32.26</v>
      </c>
      <c r="O45" s="4">
        <f>IFERROR(Table25[[#This Row],[Total Amount bought]]/Table25[[#This Row],[Total number bought]],"")</f>
        <v>32.53</v>
      </c>
      <c r="P45" s="4">
        <f>IFERROR((Table25[[#This Row],[Average sell price]]-Table25[[#This Row],[Average buy price]])*Table25[[#This Row],[Total Sold number of stocks]],0)</f>
        <v>-0.27000000000000313</v>
      </c>
      <c r="Q45" s="85">
        <f>SUMIF(Table25[[#All],[Assets]],Table25[[#This Row],[Assets]],Table25[[#All],[Number of stocks]])</f>
        <v>0</v>
      </c>
    </row>
    <row r="46" spans="1:17">
      <c r="A46" t="e" vm="453">
        <v>#VALUE!</v>
      </c>
      <c r="B46" s="2">
        <v>45426</v>
      </c>
      <c r="C46" t="str" cm="1">
        <f t="array" aca="1" ref="C46" ca="1">_FV(A46,"Ticker symbol",TRUE)</f>
        <v>NWPX</v>
      </c>
      <c r="D46" s="4">
        <v>35.75</v>
      </c>
      <c r="E46" s="50">
        <v>20</v>
      </c>
      <c r="F46" s="81">
        <f>IF(Table25[[#This Row],[Number of stocks]]&gt;0,Table25[[#This Row],[Number of stocks]],0)</f>
        <v>20</v>
      </c>
      <c r="G46" s="73">
        <f>Table25[[#This Row],[Bought]]*Table25[[#This Row],[Price]]</f>
        <v>715</v>
      </c>
      <c r="H46">
        <f>SUMIF(Table25[[#All],[Assets]],Table25[[#This Row],[Assets]],Table25[[#All],[Bought]])</f>
        <v>20</v>
      </c>
      <c r="I46">
        <f>SUMIF(Table25[[#All],[Assets]],Table25[[#This Row],[Assets]],Table25[[#All],[Bought Amount]])</f>
        <v>715</v>
      </c>
      <c r="J46" s="88">
        <f>IF(Table25[[#This Row],[Number of stocks]]&lt;0,Table25[[#This Row],[Number of stocks]],0)</f>
        <v>0</v>
      </c>
      <c r="K46" s="5">
        <f>Table25[[#This Row],[Sold]]*Table25[[#This Row],[Price]]</f>
        <v>0</v>
      </c>
      <c r="L46" s="8">
        <f>ABS(SUMIF(Table25[[#All],[Assets]],Table25[[#This Row],[Assets]],Table25[[#All],[Sold]]))</f>
        <v>20</v>
      </c>
      <c r="M46" s="5">
        <f>ABS(SUMIF(Table25[[#All],[Assets]],Table25[[#This Row],[Assets]],Table25[[#All],[Sold Amount]]))</f>
        <v>733.6</v>
      </c>
      <c r="N46" s="5">
        <f>IFERROR(Table25[[#This Row],[Total sold amount]]/Table25[[#This Row],[Total Sold number of stocks]],"")</f>
        <v>36.68</v>
      </c>
      <c r="O46" s="4">
        <f>IFERROR(Table25[[#This Row],[Total Amount bought]]/Table25[[#This Row],[Total number bought]],"")</f>
        <v>35.75</v>
      </c>
      <c r="P46" s="4">
        <f>IFERROR((Table25[[#This Row],[Average sell price]]-Table25[[#This Row],[Average buy price]])*Table25[[#This Row],[Total Sold number of stocks]],0)</f>
        <v>18.599999999999994</v>
      </c>
      <c r="Q46" s="85">
        <f>SUMIF(Table25[[#All],[Assets]],Table25[[#This Row],[Assets]],Table25[[#All],[Number of stocks]])</f>
        <v>0</v>
      </c>
    </row>
    <row r="47" spans="1:17">
      <c r="A47" t="e" vm="378">
        <v>#VALUE!</v>
      </c>
      <c r="B47" s="2">
        <v>45426</v>
      </c>
      <c r="C47" t="str" cm="1">
        <f t="array" aca="1" ref="C47" ca="1">_FV(A47,"Ticker symbol",TRUE)</f>
        <v>BMI</v>
      </c>
      <c r="D47" s="4">
        <v>194.67</v>
      </c>
      <c r="E47" s="50">
        <v>1</v>
      </c>
      <c r="F47" s="81">
        <f>IF(Table25[[#This Row],[Number of stocks]]&gt;0,Table25[[#This Row],[Number of stocks]],0)</f>
        <v>1</v>
      </c>
      <c r="G47" s="73">
        <f>Table25[[#This Row],[Bought]]*Table25[[#This Row],[Price]]</f>
        <v>194.67</v>
      </c>
      <c r="H47">
        <f>SUMIF(Table25[[#All],[Assets]],Table25[[#This Row],[Assets]],Table25[[#All],[Bought]])</f>
        <v>1</v>
      </c>
      <c r="I47">
        <f>SUMIF(Table25[[#All],[Assets]],Table25[[#This Row],[Assets]],Table25[[#All],[Bought Amount]])</f>
        <v>194.67</v>
      </c>
      <c r="J47" s="88">
        <f>IF(Table25[[#This Row],[Number of stocks]]&lt;0,Table25[[#This Row],[Number of stocks]],0)</f>
        <v>0</v>
      </c>
      <c r="K47" s="5">
        <f>Table25[[#This Row],[Sold]]*Table25[[#This Row],[Price]]</f>
        <v>0</v>
      </c>
      <c r="L47" s="8">
        <f>ABS(SUMIF(Table25[[#All],[Assets]],Table25[[#This Row],[Assets]],Table25[[#All],[Sold]]))</f>
        <v>1</v>
      </c>
      <c r="M47" s="5">
        <f>ABS(SUMIF(Table25[[#All],[Assets]],Table25[[#This Row],[Assets]],Table25[[#All],[Sold Amount]]))</f>
        <v>206.39</v>
      </c>
      <c r="N47" s="5">
        <f>IFERROR(Table25[[#This Row],[Total sold amount]]/Table25[[#This Row],[Total Sold number of stocks]],"")</f>
        <v>206.39</v>
      </c>
      <c r="O47" s="4">
        <f>IFERROR(Table25[[#This Row],[Total Amount bought]]/Table25[[#This Row],[Total number bought]],"")</f>
        <v>194.67</v>
      </c>
      <c r="P47" s="4">
        <f>IFERROR((Table25[[#This Row],[Average sell price]]-Table25[[#This Row],[Average buy price]])*Table25[[#This Row],[Total Sold number of stocks]],0)</f>
        <v>11.719999999999999</v>
      </c>
      <c r="Q47" s="85">
        <f>SUMIF(Table25[[#All],[Assets]],Table25[[#This Row],[Assets]],Table25[[#All],[Number of stocks]])</f>
        <v>0</v>
      </c>
    </row>
    <row r="48" spans="1:17">
      <c r="A48" t="e" vm="384">
        <v>#VALUE!</v>
      </c>
      <c r="B48" s="2">
        <v>45426</v>
      </c>
      <c r="C48" t="str" cm="1">
        <f t="array" aca="1" ref="C48" ca="1">_FV(A48,"Ticker symbol",TRUE)</f>
        <v>ITRI</v>
      </c>
      <c r="D48" s="4">
        <v>107.34</v>
      </c>
      <c r="E48" s="50">
        <v>4</v>
      </c>
      <c r="F48" s="81">
        <f>IF(Table25[[#This Row],[Number of stocks]]&gt;0,Table25[[#This Row],[Number of stocks]],0)</f>
        <v>4</v>
      </c>
      <c r="G48" s="73">
        <f>Table25[[#This Row],[Bought]]*Table25[[#This Row],[Price]]</f>
        <v>429.36</v>
      </c>
      <c r="H48">
        <f>SUMIF(Table25[[#All],[Assets]],Table25[[#This Row],[Assets]],Table25[[#All],[Bought]])</f>
        <v>4</v>
      </c>
      <c r="I48">
        <f>SUMIF(Table25[[#All],[Assets]],Table25[[#This Row],[Assets]],Table25[[#All],[Bought Amount]])</f>
        <v>429.36</v>
      </c>
      <c r="J48" s="88">
        <f>IF(Table25[[#This Row],[Number of stocks]]&lt;0,Table25[[#This Row],[Number of stocks]],0)</f>
        <v>0</v>
      </c>
      <c r="K48" s="5">
        <f>Table25[[#This Row],[Sold]]*Table25[[#This Row],[Price]]</f>
        <v>0</v>
      </c>
      <c r="L48" s="8">
        <f>ABS(SUMIF(Table25[[#All],[Assets]],Table25[[#This Row],[Assets]],Table25[[#All],[Sold]]))</f>
        <v>4</v>
      </c>
      <c r="M48" s="5">
        <f>ABS(SUMIF(Table25[[#All],[Assets]],Table25[[#This Row],[Assets]],Table25[[#All],[Sold Amount]]))</f>
        <v>414.84</v>
      </c>
      <c r="N48" s="5">
        <f>IFERROR(Table25[[#This Row],[Total sold amount]]/Table25[[#This Row],[Total Sold number of stocks]],"")</f>
        <v>103.71</v>
      </c>
      <c r="O48" s="4">
        <f>IFERROR(Table25[[#This Row],[Total Amount bought]]/Table25[[#This Row],[Total number bought]],"")</f>
        <v>107.34</v>
      </c>
      <c r="P48" s="4">
        <f>IFERROR((Table25[[#This Row],[Average sell price]]-Table25[[#This Row],[Average buy price]])*Table25[[#This Row],[Total Sold number of stocks]],0)</f>
        <v>-14.520000000000039</v>
      </c>
      <c r="Q48" s="85">
        <f>SUMIF(Table25[[#All],[Assets]],Table25[[#This Row],[Assets]],Table25[[#All],[Number of stocks]])</f>
        <v>0</v>
      </c>
    </row>
    <row r="49" spans="1:17">
      <c r="A49" t="e" vm="488">
        <v>#VALUE!</v>
      </c>
      <c r="B49" s="2">
        <v>45426</v>
      </c>
      <c r="C49" t="str" cm="1">
        <f t="array" aca="1" ref="C49" ca="1">_FV(A49,"Ticker symbol",TRUE)</f>
        <v>CECO</v>
      </c>
      <c r="D49" s="4">
        <v>24.99</v>
      </c>
      <c r="E49" s="50">
        <v>11</v>
      </c>
      <c r="F49" s="81">
        <f>IF(Table25[[#This Row],[Number of stocks]]&gt;0,Table25[[#This Row],[Number of stocks]],0)</f>
        <v>11</v>
      </c>
      <c r="G49" s="73">
        <f>Table25[[#This Row],[Bought]]*Table25[[#This Row],[Price]]</f>
        <v>274.89</v>
      </c>
      <c r="H49">
        <f>SUMIF(Table25[[#All],[Assets]],Table25[[#This Row],[Assets]],Table25[[#All],[Bought]])</f>
        <v>11</v>
      </c>
      <c r="I49">
        <f>SUMIF(Table25[[#All],[Assets]],Table25[[#This Row],[Assets]],Table25[[#All],[Bought Amount]])</f>
        <v>274.89</v>
      </c>
      <c r="J49" s="88">
        <f>IF(Table25[[#This Row],[Number of stocks]]&lt;0,Table25[[#This Row],[Number of stocks]],0)</f>
        <v>0</v>
      </c>
      <c r="K49" s="5">
        <f>Table25[[#This Row],[Sold]]*Table25[[#This Row],[Price]]</f>
        <v>0</v>
      </c>
      <c r="L49" s="8">
        <f>ABS(SUMIF(Table25[[#All],[Assets]],Table25[[#This Row],[Assets]],Table25[[#All],[Sold]]))</f>
        <v>11</v>
      </c>
      <c r="M49" s="5">
        <f>ABS(SUMIF(Table25[[#All],[Assets]],Table25[[#This Row],[Assets]],Table25[[#All],[Sold Amount]]))</f>
        <v>312.84000000000003</v>
      </c>
      <c r="N49" s="5">
        <f>IFERROR(Table25[[#This Row],[Total sold amount]]/Table25[[#This Row],[Total Sold number of stocks]],"")</f>
        <v>28.44</v>
      </c>
      <c r="O49" s="4">
        <f>IFERROR(Table25[[#This Row],[Total Amount bought]]/Table25[[#This Row],[Total number bought]],"")</f>
        <v>24.99</v>
      </c>
      <c r="P49" s="4">
        <f>IFERROR((Table25[[#This Row],[Average sell price]]-Table25[[#This Row],[Average buy price]])*Table25[[#This Row],[Total Sold number of stocks]],0)</f>
        <v>37.950000000000031</v>
      </c>
      <c r="Q49" s="85">
        <f>SUMIF(Table25[[#All],[Assets]],Table25[[#This Row],[Assets]],Table25[[#All],[Number of stocks]])</f>
        <v>0</v>
      </c>
    </row>
    <row r="50" spans="1:17">
      <c r="A50" t="e" vm="60">
        <v>#VALUE!</v>
      </c>
      <c r="B50" s="2">
        <v>45426</v>
      </c>
      <c r="C50" t="str" cm="1">
        <f t="array" aca="1" ref="C50" ca="1">_FV(A50,"Ticker symbol",TRUE)</f>
        <v>XOM</v>
      </c>
      <c r="D50" s="4">
        <v>120.33</v>
      </c>
      <c r="E50" s="50">
        <v>5</v>
      </c>
      <c r="F50" s="81">
        <f>IF(Table25[[#This Row],[Number of stocks]]&gt;0,Table25[[#This Row],[Number of stocks]],0)</f>
        <v>5</v>
      </c>
      <c r="G50" s="73">
        <f>Table25[[#This Row],[Bought]]*Table25[[#This Row],[Price]]</f>
        <v>601.65</v>
      </c>
      <c r="H50">
        <f>SUMIF(Table25[[#All],[Assets]],Table25[[#This Row],[Assets]],Table25[[#All],[Bought]])</f>
        <v>21</v>
      </c>
      <c r="I50">
        <f>SUMIF(Table25[[#All],[Assets]],Table25[[#This Row],[Assets]],Table25[[#All],[Bought Amount]])</f>
        <v>2275.41</v>
      </c>
      <c r="J50" s="88">
        <f>IF(Table25[[#This Row],[Number of stocks]]&lt;0,Table25[[#This Row],[Number of stocks]],0)</f>
        <v>0</v>
      </c>
      <c r="K50" s="5">
        <f>Table25[[#This Row],[Sold]]*Table25[[#This Row],[Price]]</f>
        <v>0</v>
      </c>
      <c r="L50" s="8">
        <f>ABS(SUMIF(Table25[[#All],[Assets]],Table25[[#This Row],[Assets]],Table25[[#All],[Sold]]))</f>
        <v>21</v>
      </c>
      <c r="M50" s="5">
        <f>ABS(SUMIF(Table25[[#All],[Assets]],Table25[[#This Row],[Assets]],Table25[[#All],[Sold Amount]]))</f>
        <v>2458.71</v>
      </c>
      <c r="N50" s="5">
        <f>IFERROR(Table25[[#This Row],[Total sold amount]]/Table25[[#This Row],[Total Sold number of stocks]],"")</f>
        <v>117.08142857142857</v>
      </c>
      <c r="O50" s="4">
        <f>IFERROR(Table25[[#This Row],[Total Amount bought]]/Table25[[#This Row],[Total number bought]],"")</f>
        <v>108.35285714285713</v>
      </c>
      <c r="P50" s="4">
        <f>IFERROR((Table25[[#This Row],[Average sell price]]-Table25[[#This Row],[Average buy price]])*Table25[[#This Row],[Total Sold number of stocks]],0)</f>
        <v>183.3000000000003</v>
      </c>
      <c r="Q50" s="85">
        <f>SUMIF(Table25[[#All],[Assets]],Table25[[#This Row],[Assets]],Table25[[#All],[Number of stocks]])</f>
        <v>0</v>
      </c>
    </row>
    <row r="51" spans="1:17">
      <c r="A51" t="e" vm="278">
        <v>#VALUE!</v>
      </c>
      <c r="B51" s="2">
        <v>45426</v>
      </c>
      <c r="C51" t="str" cm="1">
        <f t="array" aca="1" ref="C51" ca="1">_FV(A51,"Ticker symbol",TRUE)</f>
        <v>RTX</v>
      </c>
      <c r="D51" s="4">
        <v>78.25</v>
      </c>
      <c r="E51" s="50">
        <v>4</v>
      </c>
      <c r="F51" s="81">
        <f>IF(Table25[[#This Row],[Number of stocks]]&gt;0,Table25[[#This Row],[Number of stocks]],0)</f>
        <v>4</v>
      </c>
      <c r="G51" s="73">
        <f>Table25[[#This Row],[Bought]]*Table25[[#This Row],[Price]]</f>
        <v>313</v>
      </c>
      <c r="H51">
        <f>SUMIF(Table25[[#All],[Assets]],Table25[[#This Row],[Assets]],Table25[[#All],[Bought]])</f>
        <v>4</v>
      </c>
      <c r="I51">
        <f>SUMIF(Table25[[#All],[Assets]],Table25[[#This Row],[Assets]],Table25[[#All],[Bought Amount]])</f>
        <v>313</v>
      </c>
      <c r="J51" s="88">
        <f>IF(Table25[[#This Row],[Number of stocks]]&lt;0,Table25[[#This Row],[Number of stocks]],0)</f>
        <v>0</v>
      </c>
      <c r="K51" s="5">
        <f>Table25[[#This Row],[Sold]]*Table25[[#This Row],[Price]]</f>
        <v>0</v>
      </c>
      <c r="L51" s="8">
        <f>ABS(SUMIF(Table25[[#All],[Assets]],Table25[[#This Row],[Assets]],Table25[[#All],[Sold]]))</f>
        <v>4</v>
      </c>
      <c r="M51" s="5">
        <f>ABS(SUMIF(Table25[[#All],[Assets]],Table25[[#This Row],[Assets]],Table25[[#All],[Sold Amount]]))</f>
        <v>479.28</v>
      </c>
      <c r="N51" s="5">
        <f>IFERROR(Table25[[#This Row],[Total sold amount]]/Table25[[#This Row],[Total Sold number of stocks]],"")</f>
        <v>119.82</v>
      </c>
      <c r="O51" s="4">
        <f>IFERROR(Table25[[#This Row],[Total Amount bought]]/Table25[[#This Row],[Total number bought]],"")</f>
        <v>78.25</v>
      </c>
      <c r="P51" s="4">
        <f>IFERROR((Table25[[#This Row],[Average sell price]]-Table25[[#This Row],[Average buy price]])*Table25[[#This Row],[Total Sold number of stocks]],0)</f>
        <v>166.27999999999997</v>
      </c>
      <c r="Q51" s="85">
        <f>SUMIF(Table25[[#All],[Assets]],Table25[[#This Row],[Assets]],Table25[[#All],[Number of stocks]])</f>
        <v>0</v>
      </c>
    </row>
    <row r="52" spans="1:17">
      <c r="A52" t="e" vm="479">
        <v>#VALUE!</v>
      </c>
      <c r="B52" s="2">
        <v>45426</v>
      </c>
      <c r="C52" t="str" cm="1">
        <f t="array" aca="1" ref="C52" ca="1">_FV(A52,"Ticker symbol",TRUE)</f>
        <v>MOS</v>
      </c>
      <c r="D52" s="4">
        <v>32.96</v>
      </c>
      <c r="E52" s="50">
        <v>15</v>
      </c>
      <c r="F52" s="81">
        <f>IF(Table25[[#This Row],[Number of stocks]]&gt;0,Table25[[#This Row],[Number of stocks]],0)</f>
        <v>15</v>
      </c>
      <c r="G52" s="73">
        <f>Table25[[#This Row],[Bought]]*Table25[[#This Row],[Price]]</f>
        <v>494.40000000000003</v>
      </c>
      <c r="H52">
        <f>SUMIF(Table25[[#All],[Assets]],Table25[[#This Row],[Assets]],Table25[[#All],[Bought]])</f>
        <v>15</v>
      </c>
      <c r="I52">
        <f>SUMIF(Table25[[#All],[Assets]],Table25[[#This Row],[Assets]],Table25[[#All],[Bought Amount]])</f>
        <v>494.40000000000003</v>
      </c>
      <c r="J52" s="88">
        <f>IF(Table25[[#This Row],[Number of stocks]]&lt;0,Table25[[#This Row],[Number of stocks]],0)</f>
        <v>0</v>
      </c>
      <c r="K52" s="5">
        <f>Table25[[#This Row],[Sold]]*Table25[[#This Row],[Price]]</f>
        <v>0</v>
      </c>
      <c r="L52" s="8">
        <f>ABS(SUMIF(Table25[[#All],[Assets]],Table25[[#This Row],[Assets]],Table25[[#All],[Sold]]))</f>
        <v>15</v>
      </c>
      <c r="M52" s="5">
        <f>ABS(SUMIF(Table25[[#All],[Assets]],Table25[[#This Row],[Assets]],Table25[[#All],[Sold Amount]]))</f>
        <v>363.90000000000003</v>
      </c>
      <c r="N52" s="5">
        <f>IFERROR(Table25[[#This Row],[Total sold amount]]/Table25[[#This Row],[Total Sold number of stocks]],"")</f>
        <v>24.26</v>
      </c>
      <c r="O52" s="4">
        <f>IFERROR(Table25[[#This Row],[Total Amount bought]]/Table25[[#This Row],[Total number bought]],"")</f>
        <v>32.96</v>
      </c>
      <c r="P52" s="4">
        <f>IFERROR((Table25[[#This Row],[Average sell price]]-Table25[[#This Row],[Average buy price]])*Table25[[#This Row],[Total Sold number of stocks]],0)</f>
        <v>-130.5</v>
      </c>
      <c r="Q52" s="85">
        <f>SUMIF(Table25[[#All],[Assets]],Table25[[#This Row],[Assets]],Table25[[#All],[Number of stocks]])</f>
        <v>0</v>
      </c>
    </row>
    <row r="53" spans="1:17">
      <c r="A53" t="e" vm="42">
        <v>#VALUE!</v>
      </c>
      <c r="B53" s="2">
        <v>45426</v>
      </c>
      <c r="C53" t="str" cm="1">
        <f t="array" aca="1" ref="C53" ca="1">_FV(A53,"Ticker symbol",TRUE)</f>
        <v>FLR</v>
      </c>
      <c r="D53" s="4">
        <v>42.25</v>
      </c>
      <c r="E53" s="50">
        <v>16</v>
      </c>
      <c r="F53" s="81">
        <f>IF(Table25[[#This Row],[Number of stocks]]&gt;0,Table25[[#This Row],[Number of stocks]],0)</f>
        <v>16</v>
      </c>
      <c r="G53" s="73">
        <f>Table25[[#This Row],[Bought]]*Table25[[#This Row],[Price]]</f>
        <v>676</v>
      </c>
      <c r="H53">
        <f>SUMIF(Table25[[#All],[Assets]],Table25[[#This Row],[Assets]],Table25[[#All],[Bought]])</f>
        <v>91</v>
      </c>
      <c r="I53">
        <f>SUMIF(Table25[[#All],[Assets]],Table25[[#This Row],[Assets]],Table25[[#All],[Bought Amount]])</f>
        <v>4262.41</v>
      </c>
      <c r="J53" s="88">
        <f>IF(Table25[[#This Row],[Number of stocks]]&lt;0,Table25[[#This Row],[Number of stocks]],0)</f>
        <v>0</v>
      </c>
      <c r="K53" s="5">
        <f>Table25[[#This Row],[Sold]]*Table25[[#This Row],[Price]]</f>
        <v>0</v>
      </c>
      <c r="L53" s="8">
        <f>ABS(SUMIF(Table25[[#All],[Assets]],Table25[[#This Row],[Assets]],Table25[[#All],[Sold]]))</f>
        <v>91</v>
      </c>
      <c r="M53" s="5">
        <f>ABS(SUMIF(Table25[[#All],[Assets]],Table25[[#This Row],[Assets]],Table25[[#All],[Sold Amount]]))</f>
        <v>4467.7199999999993</v>
      </c>
      <c r="N53" s="5">
        <f>IFERROR(Table25[[#This Row],[Total sold amount]]/Table25[[#This Row],[Total Sold number of stocks]],"")</f>
        <v>49.09582417582417</v>
      </c>
      <c r="O53" s="4">
        <f>IFERROR(Table25[[#This Row],[Total Amount bought]]/Table25[[#This Row],[Total number bought]],"")</f>
        <v>46.839670329670327</v>
      </c>
      <c r="P53" s="4">
        <f>IFERROR((Table25[[#This Row],[Average sell price]]-Table25[[#This Row],[Average buy price]])*Table25[[#This Row],[Total Sold number of stocks]],0)</f>
        <v>205.30999999999975</v>
      </c>
      <c r="Q53" s="85">
        <f>SUMIF(Table25[[#All],[Assets]],Table25[[#This Row],[Assets]],Table25[[#All],[Number of stocks]])</f>
        <v>0</v>
      </c>
    </row>
    <row r="54" spans="1:17">
      <c r="A54" t="e" vm="116">
        <v>#VALUE!</v>
      </c>
      <c r="B54" s="2">
        <v>45426</v>
      </c>
      <c r="C54" t="str" cm="1">
        <f t="array" aca="1" ref="C54" ca="1">_FV(A54,"Ticker symbol",TRUE)</f>
        <v>MPC</v>
      </c>
      <c r="D54" s="4">
        <v>173.65</v>
      </c>
      <c r="E54" s="50">
        <v>5</v>
      </c>
      <c r="F54" s="81">
        <f>IF(Table25[[#This Row],[Number of stocks]]&gt;0,Table25[[#This Row],[Number of stocks]],0)</f>
        <v>5</v>
      </c>
      <c r="G54" s="73">
        <f>Table25[[#This Row],[Bought]]*Table25[[#This Row],[Price]]</f>
        <v>868.25</v>
      </c>
      <c r="H54">
        <f>SUMIF(Table25[[#All],[Assets]],Table25[[#This Row],[Assets]],Table25[[#All],[Bought]])</f>
        <v>23</v>
      </c>
      <c r="I54">
        <f>SUMIF(Table25[[#All],[Assets]],Table25[[#This Row],[Assets]],Table25[[#All],[Bought Amount]])</f>
        <v>3826.89</v>
      </c>
      <c r="J54" s="88">
        <f>IF(Table25[[#This Row],[Number of stocks]]&lt;0,Table25[[#This Row],[Number of stocks]],0)</f>
        <v>0</v>
      </c>
      <c r="K54" s="5">
        <f>Table25[[#This Row],[Sold]]*Table25[[#This Row],[Price]]</f>
        <v>0</v>
      </c>
      <c r="L54" s="8">
        <f>ABS(SUMIF(Table25[[#All],[Assets]],Table25[[#This Row],[Assets]],Table25[[#All],[Sold]]))</f>
        <v>23</v>
      </c>
      <c r="M54" s="5">
        <f>ABS(SUMIF(Table25[[#All],[Assets]],Table25[[#This Row],[Assets]],Table25[[#All],[Sold Amount]]))</f>
        <v>3605.23</v>
      </c>
      <c r="N54" s="5">
        <f>IFERROR(Table25[[#This Row],[Total sold amount]]/Table25[[#This Row],[Total Sold number of stocks]],"")</f>
        <v>156.74913043478261</v>
      </c>
      <c r="O54" s="4">
        <f>IFERROR(Table25[[#This Row],[Total Amount bought]]/Table25[[#This Row],[Total number bought]],"")</f>
        <v>166.38652173913042</v>
      </c>
      <c r="P54" s="4">
        <f>IFERROR((Table25[[#This Row],[Average sell price]]-Table25[[#This Row],[Average buy price]])*Table25[[#This Row],[Total Sold number of stocks]],0)</f>
        <v>-221.65999999999943</v>
      </c>
      <c r="Q54" s="85">
        <f>SUMIF(Table25[[#All],[Assets]],Table25[[#This Row],[Assets]],Table25[[#All],[Number of stocks]])</f>
        <v>0</v>
      </c>
    </row>
    <row r="55" spans="1:17">
      <c r="A55" t="e" vm="342">
        <v>#VALUE!</v>
      </c>
      <c r="B55" s="2">
        <v>45460</v>
      </c>
      <c r="C55" t="str" cm="1">
        <f t="array" aca="1" ref="C55" ca="1">_FV(A55,"Ticker symbol",TRUE)</f>
        <v>VKTX</v>
      </c>
      <c r="D55" s="4">
        <v>64.86</v>
      </c>
      <c r="E55" s="50">
        <v>7</v>
      </c>
      <c r="F55" s="81">
        <f>IF(Table25[[#This Row],[Number of stocks]]&gt;0,Table25[[#This Row],[Number of stocks]],0)</f>
        <v>7</v>
      </c>
      <c r="G55" s="73">
        <f>Table25[[#This Row],[Bought]]*Table25[[#This Row],[Price]]</f>
        <v>454.02</v>
      </c>
      <c r="H55">
        <f>SUMIF(Table25[[#All],[Assets]],Table25[[#This Row],[Assets]],Table25[[#All],[Bought]])</f>
        <v>37</v>
      </c>
      <c r="I55">
        <f>SUMIF(Table25[[#All],[Assets]],Table25[[#This Row],[Assets]],Table25[[#All],[Bought Amount]])</f>
        <v>1461.42</v>
      </c>
      <c r="J55" s="88">
        <f>IF(Table25[[#This Row],[Number of stocks]]&lt;0,Table25[[#This Row],[Number of stocks]],0)</f>
        <v>0</v>
      </c>
      <c r="K55" s="5">
        <f>Table25[[#This Row],[Sold]]*Table25[[#This Row],[Price]]</f>
        <v>0</v>
      </c>
      <c r="L55" s="8">
        <f>ABS(SUMIF(Table25[[#All],[Assets]],Table25[[#This Row],[Assets]],Table25[[#All],[Sold]]))</f>
        <v>37</v>
      </c>
      <c r="M55" s="5">
        <f>ABS(SUMIF(Table25[[#All],[Assets]],Table25[[#This Row],[Assets]],Table25[[#All],[Sold Amount]]))</f>
        <v>1546.19</v>
      </c>
      <c r="N55" s="5">
        <f>IFERROR(Table25[[#This Row],[Total sold amount]]/Table25[[#This Row],[Total Sold number of stocks]],"")</f>
        <v>41.788918918918924</v>
      </c>
      <c r="O55" s="4">
        <f>IFERROR(Table25[[#This Row],[Total Amount bought]]/Table25[[#This Row],[Total number bought]],"")</f>
        <v>39.497837837837842</v>
      </c>
      <c r="P55" s="4">
        <f>IFERROR((Table25[[#This Row],[Average sell price]]-Table25[[#This Row],[Average buy price]])*Table25[[#This Row],[Total Sold number of stocks]],0)</f>
        <v>84.77000000000001</v>
      </c>
      <c r="Q55" s="85">
        <f>SUMIF(Table25[[#All],[Assets]],Table25[[#This Row],[Assets]],Table25[[#All],[Number of stocks]])</f>
        <v>0</v>
      </c>
    </row>
    <row r="56" spans="1:17">
      <c r="A56" t="e" vm="497">
        <v>#VALUE!</v>
      </c>
      <c r="B56" s="2">
        <v>45460</v>
      </c>
      <c r="C56" t="str" cm="1">
        <f t="array" aca="1" ref="C56" ca="1">_FV(A56,"Ticker symbol",TRUE)</f>
        <v>SBOW</v>
      </c>
      <c r="D56" s="4">
        <v>31.81</v>
      </c>
      <c r="E56" s="50">
        <v>40.03</v>
      </c>
      <c r="F56" s="81">
        <f>IF(Table25[[#This Row],[Number of stocks]]&gt;0,Table25[[#This Row],[Number of stocks]],0)</f>
        <v>40.03</v>
      </c>
      <c r="G56" s="73">
        <f>Table25[[#This Row],[Bought]]*Table25[[#This Row],[Price]]</f>
        <v>1273.3543</v>
      </c>
      <c r="H56">
        <f>SUMIF(Table25[[#All],[Assets]],Table25[[#This Row],[Assets]],Table25[[#All],[Bought]])</f>
        <v>52.03</v>
      </c>
      <c r="I56">
        <f>SUMIF(Table25[[#All],[Assets]],Table25[[#This Row],[Assets]],Table25[[#All],[Bought Amount]])</f>
        <v>1648.8343</v>
      </c>
      <c r="J56" s="88">
        <f>IF(Table25[[#This Row],[Number of stocks]]&lt;0,Table25[[#This Row],[Number of stocks]],0)</f>
        <v>0</v>
      </c>
      <c r="K56" s="5">
        <f>Table25[[#This Row],[Sold]]*Table25[[#This Row],[Price]]</f>
        <v>0</v>
      </c>
      <c r="L56" s="8">
        <f>ABS(SUMIF(Table25[[#All],[Assets]],Table25[[#This Row],[Assets]],Table25[[#All],[Sold]]))</f>
        <v>52.03</v>
      </c>
      <c r="M56" s="5">
        <f>ABS(SUMIF(Table25[[#All],[Assets]],Table25[[#This Row],[Assets]],Table25[[#All],[Sold Amount]]))</f>
        <v>1395.6288</v>
      </c>
      <c r="N56" s="5">
        <f>IFERROR(Table25[[#This Row],[Total sold amount]]/Table25[[#This Row],[Total Sold number of stocks]],"")</f>
        <v>26.823540265231596</v>
      </c>
      <c r="O56" s="4">
        <f>IFERROR(Table25[[#This Row],[Total Amount bought]]/Table25[[#This Row],[Total number bought]],"")</f>
        <v>31.690069190851432</v>
      </c>
      <c r="P56" s="4">
        <f>IFERROR((Table25[[#This Row],[Average sell price]]-Table25[[#This Row],[Average buy price]])*Table25[[#This Row],[Total Sold number of stocks]],0)</f>
        <v>-253.20550000000006</v>
      </c>
      <c r="Q56" s="85">
        <f>SUMIF(Table25[[#All],[Assets]],Table25[[#This Row],[Assets]],Table25[[#All],[Number of stocks]])</f>
        <v>0</v>
      </c>
    </row>
    <row r="57" spans="1:17">
      <c r="A57" t="e" vm="32">
        <v>#VALUE!</v>
      </c>
      <c r="B57" s="2">
        <v>45451</v>
      </c>
      <c r="C57" t="str" cm="1">
        <f t="array" aca="1" ref="C57" ca="1">_FV(A57,"Ticker symbol",TRUE)</f>
        <v>MU</v>
      </c>
      <c r="D57" s="4">
        <v>132.46</v>
      </c>
      <c r="E57" s="50">
        <v>1</v>
      </c>
      <c r="F57" s="81">
        <f>IF(Table25[[#This Row],[Number of stocks]]&gt;0,Table25[[#This Row],[Number of stocks]],0)</f>
        <v>1</v>
      </c>
      <c r="G57" s="73">
        <f>Table25[[#This Row],[Bought]]*Table25[[#This Row],[Price]]</f>
        <v>132.46</v>
      </c>
      <c r="H57">
        <f>SUMIF(Table25[[#All],[Assets]],Table25[[#This Row],[Assets]],Table25[[#All],[Bought]])</f>
        <v>59</v>
      </c>
      <c r="I57">
        <f>SUMIF(Table25[[#All],[Assets]],Table25[[#This Row],[Assets]],Table25[[#All],[Bought Amount]])</f>
        <v>6964.04</v>
      </c>
      <c r="J57" s="88">
        <f>IF(Table25[[#This Row],[Number of stocks]]&lt;0,Table25[[#This Row],[Number of stocks]],0)</f>
        <v>0</v>
      </c>
      <c r="K57" s="5">
        <f>Table25[[#This Row],[Sold]]*Table25[[#This Row],[Price]]</f>
        <v>0</v>
      </c>
      <c r="L57" s="8">
        <f>ABS(SUMIF(Table25[[#All],[Assets]],Table25[[#This Row],[Assets]],Table25[[#All],[Sold]]))</f>
        <v>58</v>
      </c>
      <c r="M57" s="5">
        <f>ABS(SUMIF(Table25[[#All],[Assets]],Table25[[#This Row],[Assets]],Table25[[#All],[Sold Amount]]))</f>
        <v>6974.51</v>
      </c>
      <c r="N57" s="5">
        <f>IFERROR(Table25[[#This Row],[Total sold amount]]/Table25[[#This Row],[Total Sold number of stocks]],"")</f>
        <v>120.25017241379311</v>
      </c>
      <c r="O57" s="4">
        <f>IFERROR(Table25[[#This Row],[Total Amount bought]]/Table25[[#This Row],[Total number bought]],"")</f>
        <v>118.03457627118644</v>
      </c>
      <c r="P57" s="4">
        <f>IFERROR((Table25[[#This Row],[Average sell price]]-Table25[[#This Row],[Average buy price]])*Table25[[#This Row],[Total Sold number of stocks]],0)</f>
        <v>128.50457627118692</v>
      </c>
      <c r="Q57" s="85">
        <f>SUMIF(Table25[[#All],[Assets]],Table25[[#This Row],[Assets]],Table25[[#All],[Number of stocks]])</f>
        <v>1</v>
      </c>
    </row>
    <row r="58" spans="1:17">
      <c r="A58" t="e" vm="56">
        <v>#VALUE!</v>
      </c>
      <c r="B58" s="2">
        <v>45451</v>
      </c>
      <c r="C58" t="str" cm="1">
        <f t="array" aca="1" ref="C58" ca="1">_FV(A58,"Ticker symbol",TRUE)</f>
        <v>PBF</v>
      </c>
      <c r="D58" s="4">
        <v>53.26</v>
      </c>
      <c r="E58" s="50">
        <v>20</v>
      </c>
      <c r="F58" s="81">
        <f>IF(Table25[[#This Row],[Number of stocks]]&gt;0,Table25[[#This Row],[Number of stocks]],0)</f>
        <v>20</v>
      </c>
      <c r="G58" s="73">
        <f>Table25[[#This Row],[Bought]]*Table25[[#This Row],[Price]]</f>
        <v>1065.2</v>
      </c>
      <c r="H58">
        <f>SUMIF(Table25[[#All],[Assets]],Table25[[#This Row],[Assets]],Table25[[#All],[Bought]])</f>
        <v>55</v>
      </c>
      <c r="I58">
        <f>SUMIF(Table25[[#All],[Assets]],Table25[[#This Row],[Assets]],Table25[[#All],[Bought Amount]])</f>
        <v>2249.35</v>
      </c>
      <c r="J58" s="88">
        <f>IF(Table25[[#This Row],[Number of stocks]]&lt;0,Table25[[#This Row],[Number of stocks]],0)</f>
        <v>0</v>
      </c>
      <c r="K58" s="5">
        <f>Table25[[#This Row],[Sold]]*Table25[[#This Row],[Price]]</f>
        <v>0</v>
      </c>
      <c r="L58" s="8">
        <f>ABS(SUMIF(Table25[[#All],[Assets]],Table25[[#This Row],[Assets]],Table25[[#All],[Sold]]))</f>
        <v>15</v>
      </c>
      <c r="M58" s="5">
        <f>ABS(SUMIF(Table25[[#All],[Assets]],Table25[[#This Row],[Assets]],Table25[[#All],[Sold Amount]]))</f>
        <v>543.15</v>
      </c>
      <c r="N58" s="5">
        <f>IFERROR(Table25[[#This Row],[Total sold amount]]/Table25[[#This Row],[Total Sold number of stocks]],"")</f>
        <v>36.21</v>
      </c>
      <c r="O58" s="4">
        <f>IFERROR(Table25[[#This Row],[Total Amount bought]]/Table25[[#This Row],[Total number bought]],"")</f>
        <v>40.897272727272728</v>
      </c>
      <c r="P58" s="4">
        <f>IFERROR((Table25[[#This Row],[Average sell price]]-Table25[[#This Row],[Average buy price]])*Table25[[#This Row],[Total Sold number of stocks]],0)</f>
        <v>-70.309090909090912</v>
      </c>
      <c r="Q58" s="85">
        <f>SUMIF(Table25[[#All],[Assets]],Table25[[#This Row],[Assets]],Table25[[#All],[Number of stocks]])</f>
        <v>40</v>
      </c>
    </row>
    <row r="59" spans="1:17">
      <c r="A59" t="e" vm="325">
        <v>#VALUE!</v>
      </c>
      <c r="B59" s="2">
        <v>45451</v>
      </c>
      <c r="C59" t="str" cm="1">
        <f t="array" aca="1" ref="C59" ca="1">_FV(A59,"Ticker symbol",TRUE)</f>
        <v>PAGS</v>
      </c>
      <c r="D59" s="4">
        <v>11.1</v>
      </c>
      <c r="E59" s="50">
        <v>30</v>
      </c>
      <c r="F59" s="81">
        <f>IF(Table25[[#This Row],[Number of stocks]]&gt;0,Table25[[#This Row],[Number of stocks]],0)</f>
        <v>30</v>
      </c>
      <c r="G59" s="73">
        <f>Table25[[#This Row],[Bought]]*Table25[[#This Row],[Price]]</f>
        <v>333</v>
      </c>
      <c r="H59">
        <f>SUMIF(Table25[[#All],[Assets]],Table25[[#This Row],[Assets]],Table25[[#All],[Bought]])</f>
        <v>60</v>
      </c>
      <c r="I59">
        <f>SUMIF(Table25[[#All],[Assets]],Table25[[#This Row],[Assets]],Table25[[#All],[Bought Amount]])</f>
        <v>667.8</v>
      </c>
      <c r="J59" s="88">
        <f>IF(Table25[[#This Row],[Number of stocks]]&lt;0,Table25[[#This Row],[Number of stocks]],0)</f>
        <v>0</v>
      </c>
      <c r="K59" s="5">
        <f>Table25[[#This Row],[Sold]]*Table25[[#This Row],[Price]]</f>
        <v>0</v>
      </c>
      <c r="L59" s="8">
        <f>ABS(SUMIF(Table25[[#All],[Assets]],Table25[[#This Row],[Assets]],Table25[[#All],[Sold]]))</f>
        <v>60</v>
      </c>
      <c r="M59" s="5">
        <f>ABS(SUMIF(Table25[[#All],[Assets]],Table25[[#This Row],[Assets]],Table25[[#All],[Sold Amount]]))</f>
        <v>528</v>
      </c>
      <c r="N59" s="5">
        <f>IFERROR(Table25[[#This Row],[Total sold amount]]/Table25[[#This Row],[Total Sold number of stocks]],"")</f>
        <v>8.8000000000000007</v>
      </c>
      <c r="O59" s="4">
        <f>IFERROR(Table25[[#This Row],[Total Amount bought]]/Table25[[#This Row],[Total number bought]],"")</f>
        <v>11.129999999999999</v>
      </c>
      <c r="P59" s="4">
        <f>IFERROR((Table25[[#This Row],[Average sell price]]-Table25[[#This Row],[Average buy price]])*Table25[[#This Row],[Total Sold number of stocks]],0)</f>
        <v>-139.7999999999999</v>
      </c>
      <c r="Q59" s="85">
        <f>SUMIF(Table25[[#All],[Assets]],Table25[[#This Row],[Assets]],Table25[[#All],[Number of stocks]])</f>
        <v>0</v>
      </c>
    </row>
    <row r="60" spans="1:17">
      <c r="A60" t="e" vm="91">
        <v>#VALUE!</v>
      </c>
      <c r="B60" s="2">
        <v>45394</v>
      </c>
      <c r="C60" t="str" cm="1">
        <f t="array" aca="1" ref="C60" ca="1">_FV(A60,"Ticker symbol",TRUE)</f>
        <v>RKLB</v>
      </c>
      <c r="D60" s="4">
        <v>4.13</v>
      </c>
      <c r="E60" s="50">
        <v>0</v>
      </c>
      <c r="F60" s="81">
        <f>IF(Table25[[#This Row],[Number of stocks]]&gt;0,Table25[[#This Row],[Number of stocks]],0)</f>
        <v>0</v>
      </c>
      <c r="G60" s="73">
        <f>Table25[[#This Row],[Bought]]*Table25[[#This Row],[Price]]</f>
        <v>0</v>
      </c>
      <c r="H60">
        <f>SUMIF(Table25[[#All],[Assets]],Table25[[#This Row],[Assets]],Table25[[#All],[Bought]])</f>
        <v>22</v>
      </c>
      <c r="I60">
        <f>SUMIF(Table25[[#All],[Assets]],Table25[[#This Row],[Assets]],Table25[[#All],[Bought Amount]])</f>
        <v>1045.0999999999999</v>
      </c>
      <c r="J60" s="88">
        <f>IF(Table25[[#This Row],[Number of stocks]]&lt;0,Table25[[#This Row],[Number of stocks]],0)</f>
        <v>0</v>
      </c>
      <c r="K60" s="5">
        <f>Table25[[#This Row],[Sold]]*Table25[[#This Row],[Price]]</f>
        <v>0</v>
      </c>
      <c r="L60" s="8">
        <f>ABS(SUMIF(Table25[[#All],[Assets]],Table25[[#This Row],[Assets]],Table25[[#All],[Sold]]))</f>
        <v>21</v>
      </c>
      <c r="M60" s="5">
        <f>ABS(SUMIF(Table25[[#All],[Assets]],Table25[[#This Row],[Assets]],Table25[[#All],[Sold Amount]]))</f>
        <v>1696.64</v>
      </c>
      <c r="N60" s="5">
        <f>IFERROR(Table25[[#This Row],[Total sold amount]]/Table25[[#This Row],[Total Sold number of stocks]],"")</f>
        <v>80.792380952380952</v>
      </c>
      <c r="O60" s="4">
        <f>IFERROR(Table25[[#This Row],[Total Amount bought]]/Table25[[#This Row],[Total number bought]],"")</f>
        <v>47.50454545454545</v>
      </c>
      <c r="P60" s="4">
        <f>IFERROR((Table25[[#This Row],[Average sell price]]-Table25[[#This Row],[Average buy price]])*Table25[[#This Row],[Total Sold number of stocks]],0)</f>
        <v>699.04454545454553</v>
      </c>
      <c r="Q60" s="85">
        <f>SUMIF(Table25[[#All],[Assets]],Table25[[#This Row],[Assets]],Table25[[#All],[Number of stocks]])</f>
        <v>1</v>
      </c>
    </row>
    <row r="61" spans="1:17">
      <c r="A61" t="e" vm="24">
        <v>#VALUE!</v>
      </c>
      <c r="B61" s="2">
        <v>45394</v>
      </c>
      <c r="C61" t="str" cm="1">
        <f t="array" aca="1" ref="C61" ca="1">_FV(A61,"Ticker symbol",TRUE)</f>
        <v>QCOM</v>
      </c>
      <c r="D61" s="4">
        <v>205.29</v>
      </c>
      <c r="E61" s="50">
        <v>1</v>
      </c>
      <c r="F61" s="81">
        <f>IF(Table25[[#This Row],[Number of stocks]]&gt;0,Table25[[#This Row],[Number of stocks]],0)</f>
        <v>1</v>
      </c>
      <c r="G61" s="73">
        <f>Table25[[#This Row],[Bought]]*Table25[[#This Row],[Price]]</f>
        <v>205.29</v>
      </c>
      <c r="H61">
        <f>SUMIF(Table25[[#All],[Assets]],Table25[[#This Row],[Assets]],Table25[[#All],[Bought]])</f>
        <v>58</v>
      </c>
      <c r="I61">
        <f>SUMIF(Table25[[#All],[Assets]],Table25[[#This Row],[Assets]],Table25[[#All],[Bought Amount]])</f>
        <v>9670.27</v>
      </c>
      <c r="J61" s="88">
        <f>IF(Table25[[#This Row],[Number of stocks]]&lt;0,Table25[[#This Row],[Number of stocks]],0)</f>
        <v>0</v>
      </c>
      <c r="K61" s="5">
        <f>Table25[[#This Row],[Sold]]*Table25[[#This Row],[Price]]</f>
        <v>0</v>
      </c>
      <c r="L61" s="8">
        <f>ABS(SUMIF(Table25[[#All],[Assets]],Table25[[#This Row],[Assets]],Table25[[#All],[Sold]]))</f>
        <v>57</v>
      </c>
      <c r="M61" s="5">
        <f>ABS(SUMIF(Table25[[#All],[Assets]],Table25[[#This Row],[Assets]],Table25[[#All],[Sold Amount]]))</f>
        <v>8530.1</v>
      </c>
      <c r="N61" s="5">
        <f>IFERROR(Table25[[#This Row],[Total sold amount]]/Table25[[#This Row],[Total Sold number of stocks]],"")</f>
        <v>149.65087719298245</v>
      </c>
      <c r="O61" s="4">
        <f>IFERROR(Table25[[#This Row],[Total Amount bought]]/Table25[[#This Row],[Total number bought]],"")</f>
        <v>166.72879310344828</v>
      </c>
      <c r="P61" s="4">
        <f>IFERROR((Table25[[#This Row],[Average sell price]]-Table25[[#This Row],[Average buy price]])*Table25[[#This Row],[Total Sold number of stocks]],0)</f>
        <v>-973.44120689655256</v>
      </c>
      <c r="Q61" s="85">
        <f>SUMIF(Table25[[#All],[Assets]],Table25[[#This Row],[Assets]],Table25[[#All],[Number of stocks]])</f>
        <v>1</v>
      </c>
    </row>
    <row r="62" spans="1:17">
      <c r="A62" t="e" vm="21">
        <v>#VALUE!</v>
      </c>
      <c r="B62" s="2">
        <v>45393</v>
      </c>
      <c r="C62" t="str" cm="1">
        <f t="array" aca="1" ref="C62" ca="1">_FV(A62,"Ticker symbol",TRUE)</f>
        <v>INTC</v>
      </c>
      <c r="D62" s="4">
        <v>38.74</v>
      </c>
      <c r="E62" s="50">
        <v>100.736639</v>
      </c>
      <c r="F62" s="81">
        <f>IF(Table25[[#This Row],[Number of stocks]]&gt;0,Table25[[#This Row],[Number of stocks]],0)</f>
        <v>100.736639</v>
      </c>
      <c r="G62" s="73">
        <f>Table25[[#This Row],[Bought]]*Table25[[#This Row],[Price]]</f>
        <v>3902.5373948599999</v>
      </c>
      <c r="H62">
        <f>SUMIF(Table25[[#All],[Assets]],Table25[[#This Row],[Assets]],Table25[[#All],[Bought]])</f>
        <v>334.73663899999997</v>
      </c>
      <c r="I62">
        <f>SUMIF(Table25[[#All],[Assets]],Table25[[#This Row],[Assets]],Table25[[#All],[Bought Amount]])</f>
        <v>9755.9173948600001</v>
      </c>
      <c r="J62" s="88">
        <f>IF(Table25[[#This Row],[Number of stocks]]&lt;0,Table25[[#This Row],[Number of stocks]],0)</f>
        <v>0</v>
      </c>
      <c r="K62" s="5">
        <f>Table25[[#This Row],[Sold]]*Table25[[#This Row],[Price]]</f>
        <v>0</v>
      </c>
      <c r="L62" s="8">
        <f>ABS(SUMIF(Table25[[#All],[Assets]],Table25[[#This Row],[Assets]],Table25[[#All],[Sold]]))</f>
        <v>334.74</v>
      </c>
      <c r="M62" s="5">
        <f>ABS(SUMIF(Table25[[#All],[Assets]],Table25[[#This Row],[Assets]],Table25[[#All],[Sold Amount]]))</f>
        <v>7909.2053999999998</v>
      </c>
      <c r="N62" s="5">
        <f>IFERROR(Table25[[#This Row],[Total sold amount]]/Table25[[#This Row],[Total Sold number of stocks]],"")</f>
        <v>23.627906434844952</v>
      </c>
      <c r="O62" s="4">
        <f>IFERROR(Table25[[#This Row],[Total Amount bought]]/Table25[[#This Row],[Total number bought]],"")</f>
        <v>29.145053926588542</v>
      </c>
      <c r="P62" s="4">
        <f>IFERROR((Table25[[#This Row],[Average sell price]]-Table25[[#This Row],[Average buy price]])*Table25[[#This Row],[Total Sold number of stocks]],0)</f>
        <v>-1846.8099513862492</v>
      </c>
      <c r="Q62" s="85">
        <f>SUMIF(Table25[[#All],[Assets]],Table25[[#This Row],[Assets]],Table25[[#All],[Number of stocks]])</f>
        <v>-3.3610000000123819E-3</v>
      </c>
    </row>
    <row r="63" spans="1:17">
      <c r="A63" t="e" vm="456">
        <v>#VALUE!</v>
      </c>
      <c r="B63" s="2">
        <v>45393</v>
      </c>
      <c r="C63" t="str" cm="1">
        <f t="array" aca="1" ref="C63" ca="1">_FV(A63,"Ticker symbol",TRUE)</f>
        <v>BIL</v>
      </c>
      <c r="D63" s="4">
        <v>91.54</v>
      </c>
      <c r="E63" s="50">
        <v>30</v>
      </c>
      <c r="F63" s="81">
        <f>IF(Table25[[#This Row],[Number of stocks]]&gt;0,Table25[[#This Row],[Number of stocks]],0)</f>
        <v>30</v>
      </c>
      <c r="G63" s="73">
        <f>Table25[[#This Row],[Bought]]*Table25[[#This Row],[Price]]</f>
        <v>2746.2000000000003</v>
      </c>
      <c r="H63">
        <f>SUMIF(Table25[[#All],[Assets]],Table25[[#This Row],[Assets]],Table25[[#All],[Bought]])</f>
        <v>419</v>
      </c>
      <c r="I63">
        <f>SUMIF(Table25[[#All],[Assets]],Table25[[#This Row],[Assets]],Table25[[#All],[Bought Amount]])</f>
        <v>38555.520000000004</v>
      </c>
      <c r="J63" s="88">
        <f>IF(Table25[[#This Row],[Number of stocks]]&lt;0,Table25[[#This Row],[Number of stocks]],0)</f>
        <v>0</v>
      </c>
      <c r="K63" s="5">
        <f>Table25[[#This Row],[Sold]]*Table25[[#This Row],[Price]]</f>
        <v>0</v>
      </c>
      <c r="L63" s="8">
        <f>ABS(SUMIF(Table25[[#All],[Assets]],Table25[[#This Row],[Assets]],Table25[[#All],[Sold]]))</f>
        <v>419</v>
      </c>
      <c r="M63" s="5">
        <f>ABS(SUMIF(Table25[[#All],[Assets]],Table25[[#This Row],[Assets]],Table25[[#All],[Sold Amount]]))</f>
        <v>38372</v>
      </c>
      <c r="N63" s="5">
        <f>IFERROR(Table25[[#This Row],[Total sold amount]]/Table25[[#This Row],[Total Sold number of stocks]],"")</f>
        <v>91.579952267303099</v>
      </c>
      <c r="O63" s="4">
        <f>IFERROR(Table25[[#This Row],[Total Amount bought]]/Table25[[#This Row],[Total number bought]],"")</f>
        <v>92.017947494033422</v>
      </c>
      <c r="P63" s="4">
        <f>IFERROR((Table25[[#This Row],[Average sell price]]-Table25[[#This Row],[Average buy price]])*Table25[[#This Row],[Total Sold number of stocks]],0)</f>
        <v>-183.5200000000051</v>
      </c>
      <c r="Q63" s="85">
        <f>SUMIF(Table25[[#All],[Assets]],Table25[[#This Row],[Assets]],Table25[[#All],[Number of stocks]])</f>
        <v>0</v>
      </c>
    </row>
    <row r="64" spans="1:17">
      <c r="A64" t="e" vm="109">
        <v>#VALUE!</v>
      </c>
      <c r="B64" s="2">
        <v>45393</v>
      </c>
      <c r="C64" t="str" cm="1">
        <f t="array" aca="1" ref="C64" ca="1">_FV(A64,"Ticker symbol",TRUE)</f>
        <v>XLF</v>
      </c>
      <c r="D64" s="4">
        <v>37.76</v>
      </c>
      <c r="E64" s="50">
        <v>5</v>
      </c>
      <c r="F64" s="81">
        <f>IF(Table25[[#This Row],[Number of stocks]]&gt;0,Table25[[#This Row],[Number of stocks]],0)</f>
        <v>5</v>
      </c>
      <c r="G64" s="73">
        <f>Table25[[#This Row],[Bought]]*Table25[[#This Row],[Price]]</f>
        <v>188.79999999999998</v>
      </c>
      <c r="H64">
        <f>SUMIF(Table25[[#All],[Assets]],Table25[[#This Row],[Assets]],Table25[[#All],[Bought]])</f>
        <v>8</v>
      </c>
      <c r="I64">
        <f>SUMIF(Table25[[#All],[Assets]],Table25[[#This Row],[Assets]],Table25[[#All],[Bought Amount]])</f>
        <v>301.14999999999998</v>
      </c>
      <c r="J64" s="88">
        <f>IF(Table25[[#This Row],[Number of stocks]]&lt;0,Table25[[#This Row],[Number of stocks]],0)</f>
        <v>0</v>
      </c>
      <c r="K64" s="5">
        <f>Table25[[#This Row],[Sold]]*Table25[[#This Row],[Price]]</f>
        <v>0</v>
      </c>
      <c r="L64" s="8">
        <f>ABS(SUMIF(Table25[[#All],[Assets]],Table25[[#This Row],[Assets]],Table25[[#All],[Sold]]))</f>
        <v>8</v>
      </c>
      <c r="M64" s="5">
        <f>ABS(SUMIF(Table25[[#All],[Assets]],Table25[[#This Row],[Assets]],Table25[[#All],[Sold Amount]]))</f>
        <v>350.16</v>
      </c>
      <c r="N64" s="5">
        <f>IFERROR(Table25[[#This Row],[Total sold amount]]/Table25[[#This Row],[Total Sold number of stocks]],"")</f>
        <v>43.77</v>
      </c>
      <c r="O64" s="4">
        <f>IFERROR(Table25[[#This Row],[Total Amount bought]]/Table25[[#This Row],[Total number bought]],"")</f>
        <v>37.643749999999997</v>
      </c>
      <c r="P64" s="4">
        <f>IFERROR((Table25[[#This Row],[Average sell price]]-Table25[[#This Row],[Average buy price]])*Table25[[#This Row],[Total Sold number of stocks]],0)</f>
        <v>49.010000000000048</v>
      </c>
      <c r="Q64" s="85">
        <f>SUMIF(Table25[[#All],[Assets]],Table25[[#This Row],[Assets]],Table25[[#All],[Number of stocks]])</f>
        <v>0</v>
      </c>
    </row>
    <row r="65" spans="1:17">
      <c r="A65" t="e" vm="133">
        <v>#VALUE!</v>
      </c>
      <c r="B65" s="2">
        <v>45393</v>
      </c>
      <c r="C65" t="str" cm="1">
        <f t="array" aca="1" ref="C65" ca="1">_FV(A65,"Ticker symbol",TRUE)</f>
        <v>XLU</v>
      </c>
      <c r="D65" s="4">
        <v>64.56</v>
      </c>
      <c r="E65" s="50">
        <v>2</v>
      </c>
      <c r="F65" s="81">
        <f>IF(Table25[[#This Row],[Number of stocks]]&gt;0,Table25[[#This Row],[Number of stocks]],0)</f>
        <v>2</v>
      </c>
      <c r="G65" s="73">
        <f>Table25[[#This Row],[Bought]]*Table25[[#This Row],[Price]]</f>
        <v>129.12</v>
      </c>
      <c r="H65">
        <f>SUMIF(Table25[[#All],[Assets]],Table25[[#This Row],[Assets]],Table25[[#All],[Bought]])</f>
        <v>2</v>
      </c>
      <c r="I65">
        <f>SUMIF(Table25[[#All],[Assets]],Table25[[#This Row],[Assets]],Table25[[#All],[Bought Amount]])</f>
        <v>129.12</v>
      </c>
      <c r="J65" s="88">
        <f>IF(Table25[[#This Row],[Number of stocks]]&lt;0,Table25[[#This Row],[Number of stocks]],0)</f>
        <v>0</v>
      </c>
      <c r="K65" s="5">
        <f>Table25[[#This Row],[Sold]]*Table25[[#This Row],[Price]]</f>
        <v>0</v>
      </c>
      <c r="L65" s="8">
        <f>ABS(SUMIF(Table25[[#All],[Assets]],Table25[[#This Row],[Assets]],Table25[[#All],[Sold]]))</f>
        <v>2</v>
      </c>
      <c r="M65" s="5">
        <f>ABS(SUMIF(Table25[[#All],[Assets]],Table25[[#This Row],[Assets]],Table25[[#All],[Sold Amount]]))</f>
        <v>158.80000000000001</v>
      </c>
      <c r="N65" s="5">
        <f>IFERROR(Table25[[#This Row],[Total sold amount]]/Table25[[#This Row],[Total Sold number of stocks]],"")</f>
        <v>79.400000000000006</v>
      </c>
      <c r="O65" s="4">
        <f>IFERROR(Table25[[#This Row],[Total Amount bought]]/Table25[[#This Row],[Total number bought]],"")</f>
        <v>64.56</v>
      </c>
      <c r="P65" s="4">
        <f>IFERROR((Table25[[#This Row],[Average sell price]]-Table25[[#This Row],[Average buy price]])*Table25[[#This Row],[Total Sold number of stocks]],0)</f>
        <v>29.680000000000007</v>
      </c>
      <c r="Q65" s="85">
        <f>SUMIF(Table25[[#All],[Assets]],Table25[[#This Row],[Assets]],Table25[[#All],[Number of stocks]])</f>
        <v>0</v>
      </c>
    </row>
    <row r="66" spans="1:17">
      <c r="A66" t="e" vm="174">
        <v>#VALUE!</v>
      </c>
      <c r="B66" s="2">
        <v>45393</v>
      </c>
      <c r="C66" t="str" cm="1">
        <f t="array" aca="1" ref="C66" ca="1">_FV(A66,"Ticker symbol",TRUE)</f>
        <v>VAL</v>
      </c>
      <c r="D66" s="4">
        <v>71.77</v>
      </c>
      <c r="E66" s="50">
        <v>14</v>
      </c>
      <c r="F66" s="81">
        <f>IF(Table25[[#This Row],[Number of stocks]]&gt;0,Table25[[#This Row],[Number of stocks]],0)</f>
        <v>14</v>
      </c>
      <c r="G66" s="73">
        <f>Table25[[#This Row],[Bought]]*Table25[[#This Row],[Price]]</f>
        <v>1004.78</v>
      </c>
      <c r="H66">
        <f>SUMIF(Table25[[#All],[Assets]],Table25[[#This Row],[Assets]],Table25[[#All],[Bought]])</f>
        <v>32</v>
      </c>
      <c r="I66">
        <f>SUMIF(Table25[[#All],[Assets]],Table25[[#This Row],[Assets]],Table25[[#All],[Bought Amount]])</f>
        <v>2008.37</v>
      </c>
      <c r="J66" s="88">
        <f>IF(Table25[[#This Row],[Number of stocks]]&lt;0,Table25[[#This Row],[Number of stocks]],0)</f>
        <v>0</v>
      </c>
      <c r="K66" s="5">
        <f>Table25[[#This Row],[Sold]]*Table25[[#This Row],[Price]]</f>
        <v>0</v>
      </c>
      <c r="L66" s="8">
        <f>ABS(SUMIF(Table25[[#All],[Assets]],Table25[[#This Row],[Assets]],Table25[[#All],[Sold]]))</f>
        <v>32</v>
      </c>
      <c r="M66" s="5">
        <f>ABS(SUMIF(Table25[[#All],[Assets]],Table25[[#This Row],[Assets]],Table25[[#All],[Sold Amount]]))</f>
        <v>1677.76</v>
      </c>
      <c r="N66" s="5">
        <f>IFERROR(Table25[[#This Row],[Total sold amount]]/Table25[[#This Row],[Total Sold number of stocks]],"")</f>
        <v>52.43</v>
      </c>
      <c r="O66" s="4">
        <f>IFERROR(Table25[[#This Row],[Total Amount bought]]/Table25[[#This Row],[Total number bought]],"")</f>
        <v>62.761562499999997</v>
      </c>
      <c r="P66" s="4">
        <f>IFERROR((Table25[[#This Row],[Average sell price]]-Table25[[#This Row],[Average buy price]])*Table25[[#This Row],[Total Sold number of stocks]],0)</f>
        <v>-330.6099999999999</v>
      </c>
      <c r="Q66" s="85">
        <f>SUMIF(Table25[[#All],[Assets]],Table25[[#This Row],[Assets]],Table25[[#All],[Number of stocks]])</f>
        <v>0</v>
      </c>
    </row>
    <row r="67" spans="1:17">
      <c r="A67" t="e" vm="474">
        <v>#VALUE!</v>
      </c>
      <c r="B67" s="2">
        <v>45393</v>
      </c>
      <c r="C67" t="str" cm="1">
        <f t="array" aca="1" ref="C67" ca="1">_FV(A67,"Ticker symbol",TRUE)</f>
        <v>AAP</v>
      </c>
      <c r="D67" s="4">
        <v>84.46</v>
      </c>
      <c r="E67" s="50">
        <v>16</v>
      </c>
      <c r="F67" s="81">
        <f>IF(Table25[[#This Row],[Number of stocks]]&gt;0,Table25[[#This Row],[Number of stocks]],0)</f>
        <v>16</v>
      </c>
      <c r="G67" s="73">
        <f>Table25[[#This Row],[Bought]]*Table25[[#This Row],[Price]]</f>
        <v>1351.36</v>
      </c>
      <c r="H67">
        <f>SUMIF(Table25[[#All],[Assets]],Table25[[#This Row],[Assets]],Table25[[#All],[Bought]])</f>
        <v>16</v>
      </c>
      <c r="I67">
        <f>SUMIF(Table25[[#All],[Assets]],Table25[[#This Row],[Assets]],Table25[[#All],[Bought Amount]])</f>
        <v>1351.36</v>
      </c>
      <c r="J67" s="88">
        <f>IF(Table25[[#This Row],[Number of stocks]]&lt;0,Table25[[#This Row],[Number of stocks]],0)</f>
        <v>0</v>
      </c>
      <c r="K67" s="5">
        <f>Table25[[#This Row],[Sold]]*Table25[[#This Row],[Price]]</f>
        <v>0</v>
      </c>
      <c r="L67" s="8">
        <f>ABS(SUMIF(Table25[[#All],[Assets]],Table25[[#This Row],[Assets]],Table25[[#All],[Sold]]))</f>
        <v>16</v>
      </c>
      <c r="M67" s="5">
        <f>ABS(SUMIF(Table25[[#All],[Assets]],Table25[[#This Row],[Assets]],Table25[[#All],[Sold Amount]]))</f>
        <v>941.36</v>
      </c>
      <c r="N67" s="5">
        <f>IFERROR(Table25[[#This Row],[Total sold amount]]/Table25[[#This Row],[Total Sold number of stocks]],"")</f>
        <v>58.835000000000001</v>
      </c>
      <c r="O67" s="4">
        <f>IFERROR(Table25[[#This Row],[Total Amount bought]]/Table25[[#This Row],[Total number bought]],"")</f>
        <v>84.46</v>
      </c>
      <c r="P67" s="4">
        <f>IFERROR((Table25[[#This Row],[Average sell price]]-Table25[[#This Row],[Average buy price]])*Table25[[#This Row],[Total Sold number of stocks]],0)</f>
        <v>-409.99999999999989</v>
      </c>
      <c r="Q67" s="85">
        <f>SUMIF(Table25[[#All],[Assets]],Table25[[#This Row],[Assets]],Table25[[#All],[Number of stocks]])</f>
        <v>0</v>
      </c>
    </row>
    <row r="68" spans="1:17">
      <c r="A68" t="e" vm="157">
        <v>#VALUE!</v>
      </c>
      <c r="B68" s="2">
        <v>45393</v>
      </c>
      <c r="C68" t="str" cm="1">
        <f t="array" aca="1" ref="C68" ca="1">_FV(A68,"Ticker symbol",TRUE)</f>
        <v>HAL</v>
      </c>
      <c r="D68" s="4">
        <v>37.92</v>
      </c>
      <c r="E68" s="50">
        <v>15</v>
      </c>
      <c r="F68" s="81">
        <f>IF(Table25[[#This Row],[Number of stocks]]&gt;0,Table25[[#This Row],[Number of stocks]],0)</f>
        <v>15</v>
      </c>
      <c r="G68" s="73">
        <f>Table25[[#This Row],[Bought]]*Table25[[#This Row],[Price]]</f>
        <v>568.80000000000007</v>
      </c>
      <c r="H68">
        <f>SUMIF(Table25[[#All],[Assets]],Table25[[#This Row],[Assets]],Table25[[#All],[Bought]])</f>
        <v>15</v>
      </c>
      <c r="I68">
        <f>SUMIF(Table25[[#All],[Assets]],Table25[[#This Row],[Assets]],Table25[[#All],[Bought Amount]])</f>
        <v>568.80000000000007</v>
      </c>
      <c r="J68" s="88">
        <f>IF(Table25[[#This Row],[Number of stocks]]&lt;0,Table25[[#This Row],[Number of stocks]],0)</f>
        <v>0</v>
      </c>
      <c r="K68" s="5">
        <f>Table25[[#This Row],[Sold]]*Table25[[#This Row],[Price]]</f>
        <v>0</v>
      </c>
      <c r="L68" s="8">
        <f>ABS(SUMIF(Table25[[#All],[Assets]],Table25[[#This Row],[Assets]],Table25[[#All],[Sold]]))</f>
        <v>15</v>
      </c>
      <c r="M68" s="5">
        <f>ABS(SUMIF(Table25[[#All],[Assets]],Table25[[#This Row],[Assets]],Table25[[#All],[Sold Amount]]))</f>
        <v>469.95</v>
      </c>
      <c r="N68" s="5">
        <f>IFERROR(Table25[[#This Row],[Total sold amount]]/Table25[[#This Row],[Total Sold number of stocks]],"")</f>
        <v>31.33</v>
      </c>
      <c r="O68" s="4">
        <f>IFERROR(Table25[[#This Row],[Total Amount bought]]/Table25[[#This Row],[Total number bought]],"")</f>
        <v>37.92</v>
      </c>
      <c r="P68" s="4">
        <f>IFERROR((Table25[[#This Row],[Average sell price]]-Table25[[#This Row],[Average buy price]])*Table25[[#This Row],[Total Sold number of stocks]],0)</f>
        <v>-98.850000000000051</v>
      </c>
      <c r="Q68" s="85">
        <f>SUMIF(Table25[[#All],[Assets]],Table25[[#This Row],[Assets]],Table25[[#All],[Number of stocks]])</f>
        <v>0</v>
      </c>
    </row>
    <row r="69" spans="1:17">
      <c r="A69" t="e" vm="64">
        <v>#VALUE!</v>
      </c>
      <c r="B69" s="2">
        <v>45481</v>
      </c>
      <c r="C69" t="str" cm="1">
        <f t="array" aca="1" ref="C69" ca="1">_FV(A69,"Ticker symbol",TRUE)</f>
        <v>LULU</v>
      </c>
      <c r="D69" s="4">
        <v>296.24</v>
      </c>
      <c r="E69" s="50">
        <v>1</v>
      </c>
      <c r="F69" s="81">
        <f>IF(Table25[[#This Row],[Number of stocks]]&gt;0,Table25[[#This Row],[Number of stocks]],0)</f>
        <v>1</v>
      </c>
      <c r="G69" s="73">
        <f>Table25[[#This Row],[Bought]]*Table25[[#This Row],[Price]]</f>
        <v>296.24</v>
      </c>
      <c r="H69">
        <f>SUMIF(Table25[[#All],[Assets]],Table25[[#This Row],[Assets]],Table25[[#All],[Bought]])</f>
        <v>26</v>
      </c>
      <c r="I69">
        <f>SUMIF(Table25[[#All],[Assets]],Table25[[#This Row],[Assets]],Table25[[#All],[Bought Amount]])</f>
        <v>6272.2400000000007</v>
      </c>
      <c r="J69" s="88">
        <f>IF(Table25[[#This Row],[Number of stocks]]&lt;0,Table25[[#This Row],[Number of stocks]],0)</f>
        <v>0</v>
      </c>
      <c r="K69" s="5">
        <f>Table25[[#This Row],[Sold]]*Table25[[#This Row],[Price]]</f>
        <v>0</v>
      </c>
      <c r="L69" s="8">
        <f>ABS(SUMIF(Table25[[#All],[Assets]],Table25[[#This Row],[Assets]],Table25[[#All],[Sold]]))</f>
        <v>26</v>
      </c>
      <c r="M69" s="5">
        <f>ABS(SUMIF(Table25[[#All],[Assets]],Table25[[#This Row],[Assets]],Table25[[#All],[Sold Amount]]))</f>
        <v>6958.9199999999992</v>
      </c>
      <c r="N69" s="5">
        <f>IFERROR(Table25[[#This Row],[Total sold amount]]/Table25[[#This Row],[Total Sold number of stocks]],"")</f>
        <v>267.65076923076919</v>
      </c>
      <c r="O69" s="4">
        <f>IFERROR(Table25[[#This Row],[Total Amount bought]]/Table25[[#This Row],[Total number bought]],"")</f>
        <v>241.24000000000004</v>
      </c>
      <c r="P69" s="4">
        <f>IFERROR((Table25[[#This Row],[Average sell price]]-Table25[[#This Row],[Average buy price]])*Table25[[#This Row],[Total Sold number of stocks]],0)</f>
        <v>686.67999999999779</v>
      </c>
      <c r="Q69" s="85">
        <f>SUMIF(Table25[[#All],[Assets]],Table25[[#This Row],[Assets]],Table25[[#All],[Number of stocks]])</f>
        <v>0</v>
      </c>
    </row>
    <row r="70" spans="1:17">
      <c r="A70" t="e" vm="162">
        <v>#VALUE!</v>
      </c>
      <c r="B70" s="2">
        <v>45481</v>
      </c>
      <c r="C70" t="str" cm="1">
        <f t="array" aca="1" ref="C70" ca="1">_FV(A70,"Ticker symbol",TRUE)</f>
        <v>APA</v>
      </c>
      <c r="D70" s="4">
        <v>28.71</v>
      </c>
      <c r="E70" s="50">
        <v>36.25</v>
      </c>
      <c r="F70" s="81">
        <f>IF(Table25[[#This Row],[Number of stocks]]&gt;0,Table25[[#This Row],[Number of stocks]],0)</f>
        <v>36.25</v>
      </c>
      <c r="G70" s="73">
        <f>Table25[[#This Row],[Bought]]*Table25[[#This Row],[Price]]</f>
        <v>1040.7375</v>
      </c>
      <c r="H70">
        <f>SUMIF(Table25[[#All],[Assets]],Table25[[#This Row],[Assets]],Table25[[#All],[Bought]])</f>
        <v>87.289999999999992</v>
      </c>
      <c r="I70">
        <f>SUMIF(Table25[[#All],[Assets]],Table25[[#This Row],[Assets]],Table25[[#All],[Bought Amount]])</f>
        <v>2368.7374999999997</v>
      </c>
      <c r="J70" s="88">
        <f>IF(Table25[[#This Row],[Number of stocks]]&lt;0,Table25[[#This Row],[Number of stocks]],0)</f>
        <v>0</v>
      </c>
      <c r="K70" s="5">
        <f>Table25[[#This Row],[Sold]]*Table25[[#This Row],[Price]]</f>
        <v>0</v>
      </c>
      <c r="L70" s="8">
        <f>ABS(SUMIF(Table25[[#All],[Assets]],Table25[[#This Row],[Assets]],Table25[[#All],[Sold]]))</f>
        <v>87.289999999999992</v>
      </c>
      <c r="M70" s="5">
        <f>ABS(SUMIF(Table25[[#All],[Assets]],Table25[[#This Row],[Assets]],Table25[[#All],[Sold Amount]]))</f>
        <v>2259.0844999999999</v>
      </c>
      <c r="N70" s="5">
        <f>IFERROR(Table25[[#This Row],[Total sold amount]]/Table25[[#This Row],[Total Sold number of stocks]],"")</f>
        <v>25.880221102073548</v>
      </c>
      <c r="O70" s="4">
        <f>IFERROR(Table25[[#This Row],[Total Amount bought]]/Table25[[#This Row],[Total number bought]],"")</f>
        <v>27.136413105739489</v>
      </c>
      <c r="P70" s="4">
        <f>IFERROR((Table25[[#This Row],[Average sell price]]-Table25[[#This Row],[Average buy price]])*Table25[[#This Row],[Total Sold number of stocks]],0)</f>
        <v>-109.65299999999996</v>
      </c>
      <c r="Q70" s="85">
        <f>SUMIF(Table25[[#All],[Assets]],Table25[[#This Row],[Assets]],Table25[[#All],[Number of stocks]])</f>
        <v>0</v>
      </c>
    </row>
    <row r="71" spans="1:17">
      <c r="A71" t="e" vm="108">
        <v>#VALUE!</v>
      </c>
      <c r="B71" s="2">
        <v>45481</v>
      </c>
      <c r="C71" t="str" cm="1">
        <f t="array" aca="1" ref="C71" ca="1">_FV(A71,"Ticker symbol",TRUE)</f>
        <v>SLV</v>
      </c>
      <c r="D71" s="4">
        <v>24.62</v>
      </c>
      <c r="E71" s="50">
        <v>2</v>
      </c>
      <c r="F71" s="81">
        <f>IF(Table25[[#This Row],[Number of stocks]]&gt;0,Table25[[#This Row],[Number of stocks]],0)</f>
        <v>2</v>
      </c>
      <c r="G71" s="73">
        <f>Table25[[#This Row],[Bought]]*Table25[[#This Row],[Price]]</f>
        <v>49.24</v>
      </c>
      <c r="H71">
        <f>SUMIF(Table25[[#All],[Assets]],Table25[[#This Row],[Assets]],Table25[[#All],[Bought]])</f>
        <v>5</v>
      </c>
      <c r="I71">
        <f>SUMIF(Table25[[#All],[Assets]],Table25[[#This Row],[Assets]],Table25[[#All],[Bought Amount]])</f>
        <v>446.89000000000004</v>
      </c>
      <c r="J71" s="88">
        <f>IF(Table25[[#This Row],[Number of stocks]]&lt;0,Table25[[#This Row],[Number of stocks]],0)</f>
        <v>0</v>
      </c>
      <c r="K71" s="5">
        <f>Table25[[#This Row],[Sold]]*Table25[[#This Row],[Price]]</f>
        <v>0</v>
      </c>
      <c r="L71" s="8">
        <f>ABS(SUMIF(Table25[[#All],[Assets]],Table25[[#This Row],[Assets]],Table25[[#All],[Sold]]))</f>
        <v>0</v>
      </c>
      <c r="M71" s="5">
        <f>ABS(SUMIF(Table25[[#All],[Assets]],Table25[[#This Row],[Assets]],Table25[[#All],[Sold Amount]]))</f>
        <v>0</v>
      </c>
      <c r="N71" s="5" t="str">
        <f>IFERROR(Table25[[#This Row],[Total sold amount]]/Table25[[#This Row],[Total Sold number of stocks]],"")</f>
        <v/>
      </c>
      <c r="O71" s="4">
        <f>IFERROR(Table25[[#This Row],[Total Amount bought]]/Table25[[#This Row],[Total number bought]],"")</f>
        <v>89.378000000000014</v>
      </c>
      <c r="P71" s="4">
        <f>IFERROR((Table25[[#This Row],[Average sell price]]-Table25[[#This Row],[Average buy price]])*Table25[[#This Row],[Total Sold number of stocks]],0)</f>
        <v>0</v>
      </c>
      <c r="Q71" s="85">
        <f>SUMIF(Table25[[#All],[Assets]],Table25[[#This Row],[Assets]],Table25[[#All],[Number of stocks]])</f>
        <v>5</v>
      </c>
    </row>
    <row r="72" spans="1:17">
      <c r="A72" t="e" vm="369">
        <v>#VALUE!</v>
      </c>
      <c r="B72" s="2">
        <v>45481</v>
      </c>
      <c r="C72" t="str" cm="1">
        <f t="array" aca="1" ref="C72" ca="1">_FV(A72,"Ticker symbol",TRUE)</f>
        <v>ARKF</v>
      </c>
      <c r="D72" s="4">
        <v>29.92</v>
      </c>
      <c r="E72" s="50">
        <v>4</v>
      </c>
      <c r="F72" s="81">
        <f>IF(Table25[[#This Row],[Number of stocks]]&gt;0,Table25[[#This Row],[Number of stocks]],0)</f>
        <v>4</v>
      </c>
      <c r="G72" s="73">
        <f>Table25[[#This Row],[Bought]]*Table25[[#This Row],[Price]]</f>
        <v>119.68</v>
      </c>
      <c r="H72">
        <f>SUMIF(Table25[[#All],[Assets]],Table25[[#This Row],[Assets]],Table25[[#All],[Bought]])</f>
        <v>4</v>
      </c>
      <c r="I72">
        <f>SUMIF(Table25[[#All],[Assets]],Table25[[#This Row],[Assets]],Table25[[#All],[Bought Amount]])</f>
        <v>119.68</v>
      </c>
      <c r="J72" s="88">
        <f>IF(Table25[[#This Row],[Number of stocks]]&lt;0,Table25[[#This Row],[Number of stocks]],0)</f>
        <v>0</v>
      </c>
      <c r="K72" s="5">
        <f>Table25[[#This Row],[Sold]]*Table25[[#This Row],[Price]]</f>
        <v>0</v>
      </c>
      <c r="L72" s="8">
        <f>ABS(SUMIF(Table25[[#All],[Assets]],Table25[[#This Row],[Assets]],Table25[[#All],[Sold]]))</f>
        <v>4</v>
      </c>
      <c r="M72" s="5">
        <f>ABS(SUMIF(Table25[[#All],[Assets]],Table25[[#This Row],[Assets]],Table25[[#All],[Sold Amount]]))</f>
        <v>116.88</v>
      </c>
      <c r="N72" s="5">
        <f>IFERROR(Table25[[#This Row],[Total sold amount]]/Table25[[#This Row],[Total Sold number of stocks]],"")</f>
        <v>29.22</v>
      </c>
      <c r="O72" s="4">
        <f>IFERROR(Table25[[#This Row],[Total Amount bought]]/Table25[[#This Row],[Total number bought]],"")</f>
        <v>29.92</v>
      </c>
      <c r="P72" s="4">
        <f>IFERROR((Table25[[#This Row],[Average sell price]]-Table25[[#This Row],[Average buy price]])*Table25[[#This Row],[Total Sold number of stocks]],0)</f>
        <v>-2.8000000000000114</v>
      </c>
      <c r="Q72" s="85">
        <f>SUMIF(Table25[[#All],[Assets]],Table25[[#This Row],[Assets]],Table25[[#All],[Number of stocks]])</f>
        <v>0</v>
      </c>
    </row>
    <row r="73" spans="1:17">
      <c r="A73" t="e" vm="34">
        <v>#VALUE!</v>
      </c>
      <c r="B73" s="2">
        <v>45481</v>
      </c>
      <c r="C73" t="str" cm="1">
        <f t="array" aca="1" ref="C73" ca="1">_FV(A73,"Ticker symbol",TRUE)</f>
        <v>TSM</v>
      </c>
      <c r="D73" s="4">
        <v>159.34</v>
      </c>
      <c r="E73" s="50">
        <v>2</v>
      </c>
      <c r="F73" s="81">
        <f>IF(Table25[[#This Row],[Number of stocks]]&gt;0,Table25[[#This Row],[Number of stocks]],0)</f>
        <v>2</v>
      </c>
      <c r="G73" s="73">
        <f>Table25[[#This Row],[Bought]]*Table25[[#This Row],[Price]]</f>
        <v>318.68</v>
      </c>
      <c r="H73">
        <f>SUMIF(Table25[[#All],[Assets]],Table25[[#This Row],[Assets]],Table25[[#All],[Bought]])</f>
        <v>45</v>
      </c>
      <c r="I73">
        <f>SUMIF(Table25[[#All],[Assets]],Table25[[#This Row],[Assets]],Table25[[#All],[Bought Amount]])</f>
        <v>7503.4800000000005</v>
      </c>
      <c r="J73" s="88">
        <f>IF(Table25[[#This Row],[Number of stocks]]&lt;0,Table25[[#This Row],[Number of stocks]],0)</f>
        <v>0</v>
      </c>
      <c r="K73" s="5">
        <f>Table25[[#This Row],[Sold]]*Table25[[#This Row],[Price]]</f>
        <v>0</v>
      </c>
      <c r="L73" s="8">
        <f>ABS(SUMIF(Table25[[#All],[Assets]],Table25[[#This Row],[Assets]],Table25[[#All],[Sold]]))</f>
        <v>44</v>
      </c>
      <c r="M73" s="5">
        <f>ABS(SUMIF(Table25[[#All],[Assets]],Table25[[#This Row],[Assets]],Table25[[#All],[Sold Amount]]))</f>
        <v>7951.28</v>
      </c>
      <c r="N73" s="5">
        <f>IFERROR(Table25[[#This Row],[Total sold amount]]/Table25[[#This Row],[Total Sold number of stocks]],"")</f>
        <v>180.7109090909091</v>
      </c>
      <c r="O73" s="4">
        <f>IFERROR(Table25[[#This Row],[Total Amount bought]]/Table25[[#This Row],[Total number bought]],"")</f>
        <v>166.744</v>
      </c>
      <c r="P73" s="4">
        <f>IFERROR((Table25[[#This Row],[Average sell price]]-Table25[[#This Row],[Average buy price]])*Table25[[#This Row],[Total Sold number of stocks]],0)</f>
        <v>614.54400000000032</v>
      </c>
      <c r="Q73" s="85">
        <f>SUMIF(Table25[[#All],[Assets]],Table25[[#This Row],[Assets]],Table25[[#All],[Number of stocks]])</f>
        <v>1</v>
      </c>
    </row>
    <row r="74" spans="1:17">
      <c r="A74" t="e" vm="112">
        <v>#VALUE!</v>
      </c>
      <c r="B74" s="2">
        <v>45481</v>
      </c>
      <c r="C74" t="str" cm="1">
        <f t="array" aca="1" ref="C74" ca="1">_FV(A74,"Ticker symbol",TRUE)</f>
        <v>AMLP</v>
      </c>
      <c r="D74" s="4">
        <v>46.6</v>
      </c>
      <c r="E74" s="50">
        <v>5</v>
      </c>
      <c r="F74" s="81">
        <f>IF(Table25[[#This Row],[Number of stocks]]&gt;0,Table25[[#This Row],[Number of stocks]],0)</f>
        <v>5</v>
      </c>
      <c r="G74" s="73">
        <f>Table25[[#This Row],[Bought]]*Table25[[#This Row],[Price]]</f>
        <v>233</v>
      </c>
      <c r="H74">
        <f>SUMIF(Table25[[#All],[Assets]],Table25[[#This Row],[Assets]],Table25[[#All],[Bought]])</f>
        <v>5</v>
      </c>
      <c r="I74">
        <f>SUMIF(Table25[[#All],[Assets]],Table25[[#This Row],[Assets]],Table25[[#All],[Bought Amount]])</f>
        <v>233</v>
      </c>
      <c r="J74" s="88">
        <f>IF(Table25[[#This Row],[Number of stocks]]&lt;0,Table25[[#This Row],[Number of stocks]],0)</f>
        <v>0</v>
      </c>
      <c r="K74" s="5">
        <f>Table25[[#This Row],[Sold]]*Table25[[#This Row],[Price]]</f>
        <v>0</v>
      </c>
      <c r="L74" s="8">
        <f>ABS(SUMIF(Table25[[#All],[Assets]],Table25[[#This Row],[Assets]],Table25[[#All],[Sold]]))</f>
        <v>5</v>
      </c>
      <c r="M74" s="5">
        <f>ABS(SUMIF(Table25[[#All],[Assets]],Table25[[#This Row],[Assets]],Table25[[#All],[Sold Amount]]))</f>
        <v>259.05</v>
      </c>
      <c r="N74" s="5">
        <f>IFERROR(Table25[[#This Row],[Total sold amount]]/Table25[[#This Row],[Total Sold number of stocks]],"")</f>
        <v>51.81</v>
      </c>
      <c r="O74" s="4">
        <f>IFERROR(Table25[[#This Row],[Total Amount bought]]/Table25[[#This Row],[Total number bought]],"")</f>
        <v>46.6</v>
      </c>
      <c r="P74" s="4">
        <f>IFERROR((Table25[[#This Row],[Average sell price]]-Table25[[#This Row],[Average buy price]])*Table25[[#This Row],[Total Sold number of stocks]],0)</f>
        <v>26.050000000000004</v>
      </c>
      <c r="Q74" s="85">
        <f>SUMIF(Table25[[#All],[Assets]],Table25[[#This Row],[Assets]],Table25[[#All],[Number of stocks]])</f>
        <v>0</v>
      </c>
    </row>
    <row r="75" spans="1:17">
      <c r="A75" t="e" vm="290">
        <v>#VALUE!</v>
      </c>
      <c r="B75" s="2">
        <v>45481</v>
      </c>
      <c r="C75" t="str" cm="1">
        <f t="array" aca="1" ref="C75" ca="1">_FV(A75,"Ticker symbol",TRUE)</f>
        <v>O</v>
      </c>
      <c r="D75" s="4">
        <v>51.93</v>
      </c>
      <c r="E75" s="50">
        <v>15</v>
      </c>
      <c r="F75" s="81">
        <f>IF(Table25[[#This Row],[Number of stocks]]&gt;0,Table25[[#This Row],[Number of stocks]],0)</f>
        <v>15</v>
      </c>
      <c r="G75" s="73">
        <f>Table25[[#This Row],[Bought]]*Table25[[#This Row],[Price]]</f>
        <v>778.95</v>
      </c>
      <c r="H75">
        <f>SUMIF(Table25[[#All],[Assets]],Table25[[#This Row],[Assets]],Table25[[#All],[Bought]])</f>
        <v>15</v>
      </c>
      <c r="I75">
        <f>SUMIF(Table25[[#All],[Assets]],Table25[[#This Row],[Assets]],Table25[[#All],[Bought Amount]])</f>
        <v>778.95</v>
      </c>
      <c r="J75" s="88">
        <f>IF(Table25[[#This Row],[Number of stocks]]&lt;0,Table25[[#This Row],[Number of stocks]],0)</f>
        <v>0</v>
      </c>
      <c r="K75" s="5">
        <f>Table25[[#This Row],[Sold]]*Table25[[#This Row],[Price]]</f>
        <v>0</v>
      </c>
      <c r="L75" s="8">
        <f>ABS(SUMIF(Table25[[#All],[Assets]],Table25[[#This Row],[Assets]],Table25[[#All],[Sold]]))</f>
        <v>15</v>
      </c>
      <c r="M75" s="5">
        <f>ABS(SUMIF(Table25[[#All],[Assets]],Table25[[#This Row],[Assets]],Table25[[#All],[Sold Amount]]))</f>
        <v>821.21</v>
      </c>
      <c r="N75" s="5">
        <f>IFERROR(Table25[[#This Row],[Total sold amount]]/Table25[[#This Row],[Total Sold number of stocks]],"")</f>
        <v>54.747333333333337</v>
      </c>
      <c r="O75" s="4">
        <f>IFERROR(Table25[[#This Row],[Total Amount bought]]/Table25[[#This Row],[Total number bought]],"")</f>
        <v>51.93</v>
      </c>
      <c r="P75" s="4">
        <f>IFERROR((Table25[[#This Row],[Average sell price]]-Table25[[#This Row],[Average buy price]])*Table25[[#This Row],[Total Sold number of stocks]],0)</f>
        <v>42.260000000000062</v>
      </c>
      <c r="Q75" s="85">
        <f>SUMIF(Table25[[#All],[Assets]],Table25[[#This Row],[Assets]],Table25[[#All],[Number of stocks]])</f>
        <v>0</v>
      </c>
    </row>
    <row r="76" spans="1:17">
      <c r="A76" t="e" vm="171">
        <v>#VALUE!</v>
      </c>
      <c r="B76" s="2">
        <v>45481</v>
      </c>
      <c r="C76" t="str" cm="1">
        <f t="array" aca="1" ref="C76" ca="1">_FV(A76,"Ticker symbol",TRUE)</f>
        <v>BIDU</v>
      </c>
      <c r="D76" s="4">
        <v>94.3</v>
      </c>
      <c r="E76" s="50">
        <v>3</v>
      </c>
      <c r="F76" s="81">
        <f>IF(Table25[[#This Row],[Number of stocks]]&gt;0,Table25[[#This Row],[Number of stocks]],0)</f>
        <v>3</v>
      </c>
      <c r="G76" s="73">
        <f>Table25[[#This Row],[Bought]]*Table25[[#This Row],[Price]]</f>
        <v>282.89999999999998</v>
      </c>
      <c r="H76">
        <f>SUMIF(Table25[[#All],[Assets]],Table25[[#This Row],[Assets]],Table25[[#All],[Bought]])</f>
        <v>23</v>
      </c>
      <c r="I76">
        <f>SUMIF(Table25[[#All],[Assets]],Table25[[#This Row],[Assets]],Table25[[#All],[Bought Amount]])</f>
        <v>2077.9</v>
      </c>
      <c r="J76" s="88">
        <f>IF(Table25[[#This Row],[Number of stocks]]&lt;0,Table25[[#This Row],[Number of stocks]],0)</f>
        <v>0</v>
      </c>
      <c r="K76" s="5">
        <f>Table25[[#This Row],[Sold]]*Table25[[#This Row],[Price]]</f>
        <v>0</v>
      </c>
      <c r="L76" s="8">
        <f>ABS(SUMIF(Table25[[#All],[Assets]],Table25[[#This Row],[Assets]],Table25[[#All],[Sold]]))</f>
        <v>23</v>
      </c>
      <c r="M76" s="5">
        <f>ABS(SUMIF(Table25[[#All],[Assets]],Table25[[#This Row],[Assets]],Table25[[#All],[Sold Amount]]))</f>
        <v>2134.1499999999996</v>
      </c>
      <c r="N76" s="5">
        <f>IFERROR(Table25[[#This Row],[Total sold amount]]/Table25[[#This Row],[Total Sold number of stocks]],"")</f>
        <v>92.789130434782592</v>
      </c>
      <c r="O76" s="4">
        <f>IFERROR(Table25[[#This Row],[Total Amount bought]]/Table25[[#This Row],[Total number bought]],"")</f>
        <v>90.343478260869574</v>
      </c>
      <c r="P76" s="4">
        <f>IFERROR((Table25[[#This Row],[Average sell price]]-Table25[[#This Row],[Average buy price]])*Table25[[#This Row],[Total Sold number of stocks]],0)</f>
        <v>56.249999999999417</v>
      </c>
      <c r="Q76" s="85">
        <f>SUMIF(Table25[[#All],[Assets]],Table25[[#This Row],[Assets]],Table25[[#All],[Number of stocks]])</f>
        <v>0</v>
      </c>
    </row>
    <row r="77" spans="1:17">
      <c r="A77" t="e" vm="94">
        <v>#VALUE!</v>
      </c>
      <c r="B77" s="2">
        <v>45481</v>
      </c>
      <c r="C77" t="str" cm="1">
        <f t="array" aca="1" ref="C77" ca="1">_FV(A77,"Ticker symbol",TRUE)</f>
        <v>MAG</v>
      </c>
      <c r="D77" s="4">
        <v>12.84</v>
      </c>
      <c r="E77" s="50">
        <v>2</v>
      </c>
      <c r="F77" s="81">
        <f>IF(Table25[[#This Row],[Number of stocks]]&gt;0,Table25[[#This Row],[Number of stocks]],0)</f>
        <v>2</v>
      </c>
      <c r="G77" s="73">
        <f>Table25[[#This Row],[Bought]]*Table25[[#This Row],[Price]]</f>
        <v>25.68</v>
      </c>
      <c r="H77">
        <f>SUMIF(Table25[[#All],[Assets]],Table25[[#This Row],[Assets]],Table25[[#All],[Bought]])</f>
        <v>2</v>
      </c>
      <c r="I77">
        <f>SUMIF(Table25[[#All],[Assets]],Table25[[#This Row],[Assets]],Table25[[#All],[Bought Amount]])</f>
        <v>25.68</v>
      </c>
      <c r="J77" s="88">
        <f>IF(Table25[[#This Row],[Number of stocks]]&lt;0,Table25[[#This Row],[Number of stocks]],0)</f>
        <v>0</v>
      </c>
      <c r="K77" s="5">
        <f>Table25[[#This Row],[Sold]]*Table25[[#This Row],[Price]]</f>
        <v>0</v>
      </c>
      <c r="L77" s="8">
        <f>ABS(SUMIF(Table25[[#All],[Assets]],Table25[[#This Row],[Assets]],Table25[[#All],[Sold]]))</f>
        <v>2</v>
      </c>
      <c r="M77" s="5">
        <f>ABS(SUMIF(Table25[[#All],[Assets]],Table25[[#This Row],[Assets]],Table25[[#All],[Sold Amount]]))</f>
        <v>25.62</v>
      </c>
      <c r="N77" s="5">
        <f>IFERROR(Table25[[#This Row],[Total sold amount]]/Table25[[#This Row],[Total Sold number of stocks]],"")</f>
        <v>12.81</v>
      </c>
      <c r="O77" s="4">
        <f>IFERROR(Table25[[#This Row],[Total Amount bought]]/Table25[[#This Row],[Total number bought]],"")</f>
        <v>12.84</v>
      </c>
      <c r="P77" s="4">
        <f>IFERROR((Table25[[#This Row],[Average sell price]]-Table25[[#This Row],[Average buy price]])*Table25[[#This Row],[Total Sold number of stocks]],0)</f>
        <v>-5.9999999999998721E-2</v>
      </c>
      <c r="Q77" s="85">
        <f>SUMIF(Table25[[#All],[Assets]],Table25[[#This Row],[Assets]],Table25[[#All],[Number of stocks]])</f>
        <v>0</v>
      </c>
    </row>
    <row r="78" spans="1:17">
      <c r="A78" t="e" vm="43">
        <v>#VALUE!</v>
      </c>
      <c r="B78" s="2">
        <v>45475</v>
      </c>
      <c r="C78" t="str" cm="1">
        <f t="array" aca="1" ref="C78" ca="1">_FV(A78,"Ticker symbol",TRUE)</f>
        <v>J</v>
      </c>
      <c r="D78" s="4">
        <v>137.56</v>
      </c>
      <c r="E78" s="50">
        <v>2</v>
      </c>
      <c r="F78" s="81">
        <f>IF(Table25[[#This Row],[Number of stocks]]&gt;0,Table25[[#This Row],[Number of stocks]],0)</f>
        <v>2</v>
      </c>
      <c r="G78" s="73">
        <f>Table25[[#This Row],[Bought]]*Table25[[#This Row],[Price]]</f>
        <v>275.12</v>
      </c>
      <c r="H78">
        <f>SUMIF(Table25[[#All],[Assets]],Table25[[#This Row],[Assets]],Table25[[#All],[Bought]])</f>
        <v>4</v>
      </c>
      <c r="I78">
        <f>SUMIF(Table25[[#All],[Assets]],Table25[[#This Row],[Assets]],Table25[[#All],[Bought Amount]])</f>
        <v>550.24</v>
      </c>
      <c r="J78" s="88">
        <f>IF(Table25[[#This Row],[Number of stocks]]&lt;0,Table25[[#This Row],[Number of stocks]],0)</f>
        <v>0</v>
      </c>
      <c r="K78" s="5">
        <f>Table25[[#This Row],[Sold]]*Table25[[#This Row],[Price]]</f>
        <v>0</v>
      </c>
      <c r="L78" s="8">
        <f>ABS(SUMIF(Table25[[#All],[Assets]],Table25[[#This Row],[Assets]],Table25[[#All],[Sold]]))</f>
        <v>4</v>
      </c>
      <c r="M78" s="5">
        <f>ABS(SUMIF(Table25[[#All],[Assets]],Table25[[#This Row],[Assets]],Table25[[#All],[Sold Amount]]))</f>
        <v>586.79999999999995</v>
      </c>
      <c r="N78" s="5">
        <f>IFERROR(Table25[[#This Row],[Total sold amount]]/Table25[[#This Row],[Total Sold number of stocks]],"")</f>
        <v>146.69999999999999</v>
      </c>
      <c r="O78" s="4">
        <f>IFERROR(Table25[[#This Row],[Total Amount bought]]/Table25[[#This Row],[Total number bought]],"")</f>
        <v>137.56</v>
      </c>
      <c r="P78" s="4">
        <f>IFERROR((Table25[[#This Row],[Average sell price]]-Table25[[#This Row],[Average buy price]])*Table25[[#This Row],[Total Sold number of stocks]],0)</f>
        <v>36.559999999999945</v>
      </c>
      <c r="Q78" s="85">
        <f>SUMIF(Table25[[#All],[Assets]],Table25[[#This Row],[Assets]],Table25[[#All],[Number of stocks]])</f>
        <v>0</v>
      </c>
    </row>
    <row r="79" spans="1:17">
      <c r="A79" t="e" vm="304">
        <v>#VALUE!</v>
      </c>
      <c r="B79" s="2">
        <v>45426</v>
      </c>
      <c r="C79" t="str" cm="1">
        <f t="array" aca="1" ref="C79" ca="1">_FV(A79,"Ticker symbol",TRUE)</f>
        <v>RXRX</v>
      </c>
      <c r="D79" s="4">
        <v>10.26</v>
      </c>
      <c r="E79" s="50">
        <v>35</v>
      </c>
      <c r="F79" s="81">
        <f>IF(Table25[[#This Row],[Number of stocks]]&gt;0,Table25[[#This Row],[Number of stocks]],0)</f>
        <v>35</v>
      </c>
      <c r="G79" s="73">
        <f>Table25[[#This Row],[Bought]]*Table25[[#This Row],[Price]]</f>
        <v>359.09999999999997</v>
      </c>
      <c r="H79">
        <f>SUMIF(Table25[[#All],[Assets]],Table25[[#This Row],[Assets]],Table25[[#All],[Bought]])</f>
        <v>70</v>
      </c>
      <c r="I79">
        <f>SUMIF(Table25[[#All],[Assets]],Table25[[#This Row],[Assets]],Table25[[#All],[Bought Amount]])</f>
        <v>594.65</v>
      </c>
      <c r="J79" s="88">
        <f>IF(Table25[[#This Row],[Number of stocks]]&lt;0,Table25[[#This Row],[Number of stocks]],0)</f>
        <v>0</v>
      </c>
      <c r="K79" s="5">
        <f>Table25[[#This Row],[Sold]]*Table25[[#This Row],[Price]]</f>
        <v>0</v>
      </c>
      <c r="L79" s="8">
        <f>ABS(SUMIF(Table25[[#All],[Assets]],Table25[[#This Row],[Assets]],Table25[[#All],[Sold]]))</f>
        <v>70</v>
      </c>
      <c r="M79" s="5">
        <f>ABS(SUMIF(Table25[[#All],[Assets]],Table25[[#This Row],[Assets]],Table25[[#All],[Sold Amount]]))</f>
        <v>475.3</v>
      </c>
      <c r="N79" s="5">
        <f>IFERROR(Table25[[#This Row],[Total sold amount]]/Table25[[#This Row],[Total Sold number of stocks]],"")</f>
        <v>6.79</v>
      </c>
      <c r="O79" s="4">
        <f>IFERROR(Table25[[#This Row],[Total Amount bought]]/Table25[[#This Row],[Total number bought]],"")</f>
        <v>8.4949999999999992</v>
      </c>
      <c r="P79" s="4">
        <f>IFERROR((Table25[[#This Row],[Average sell price]]-Table25[[#This Row],[Average buy price]])*Table25[[#This Row],[Total Sold number of stocks]],0)</f>
        <v>-119.34999999999994</v>
      </c>
      <c r="Q79" s="85">
        <f>SUMIF(Table25[[#All],[Assets]],Table25[[#This Row],[Assets]],Table25[[#All],[Number of stocks]])</f>
        <v>0</v>
      </c>
    </row>
    <row r="80" spans="1:17">
      <c r="A80" t="e" vm="438">
        <v>#VALUE!</v>
      </c>
      <c r="B80" s="2">
        <v>45292</v>
      </c>
      <c r="C80" t="str" cm="1">
        <f t="array" aca="1" ref="C80" ca="1">_FV(A80,"Ticker symbol",TRUE)</f>
        <v>RIO</v>
      </c>
      <c r="D80" s="4">
        <v>73</v>
      </c>
      <c r="E80" s="50">
        <v>14</v>
      </c>
      <c r="F80" s="81">
        <f>IF(Table25[[#This Row],[Number of stocks]]&gt;0,Table25[[#This Row],[Number of stocks]],0)</f>
        <v>14</v>
      </c>
      <c r="G80" s="73">
        <f>Table25[[#This Row],[Bought]]*Table25[[#This Row],[Price]]</f>
        <v>1022</v>
      </c>
      <c r="H80">
        <f>SUMIF(Table25[[#All],[Assets]],Table25[[#This Row],[Assets]],Table25[[#All],[Bought]])</f>
        <v>20</v>
      </c>
      <c r="I80">
        <f>SUMIF(Table25[[#All],[Assets]],Table25[[#This Row],[Assets]],Table25[[#All],[Bought Amount]])</f>
        <v>1400.6</v>
      </c>
      <c r="J80" s="88">
        <f>IF(Table25[[#This Row],[Number of stocks]]&lt;0,Table25[[#This Row],[Number of stocks]],0)</f>
        <v>0</v>
      </c>
      <c r="K80" s="5">
        <f>Table25[[#This Row],[Sold]]*Table25[[#This Row],[Price]]</f>
        <v>0</v>
      </c>
      <c r="L80" s="8">
        <f>ABS(SUMIF(Table25[[#All],[Assets]],Table25[[#This Row],[Assets]],Table25[[#All],[Sold]]))</f>
        <v>20</v>
      </c>
      <c r="M80" s="5">
        <f>ABS(SUMIF(Table25[[#All],[Assets]],Table25[[#This Row],[Assets]],Table25[[#All],[Sold Amount]]))</f>
        <v>1265</v>
      </c>
      <c r="N80" s="5">
        <f>IFERROR(Table25[[#This Row],[Total sold amount]]/Table25[[#This Row],[Total Sold number of stocks]],"")</f>
        <v>63.25</v>
      </c>
      <c r="O80" s="4">
        <f>IFERROR(Table25[[#This Row],[Total Amount bought]]/Table25[[#This Row],[Total number bought]],"")</f>
        <v>70.03</v>
      </c>
      <c r="P80" s="4">
        <f>IFERROR((Table25[[#This Row],[Average sell price]]-Table25[[#This Row],[Average buy price]])*Table25[[#This Row],[Total Sold number of stocks]],0)</f>
        <v>-135.60000000000002</v>
      </c>
      <c r="Q80" s="85">
        <f>SUMIF(Table25[[#All],[Assets]],Table25[[#This Row],[Assets]],Table25[[#All],[Number of stocks]])</f>
        <v>0</v>
      </c>
    </row>
    <row r="81" spans="1:17">
      <c r="A81" t="e" vm="478">
        <v>#VALUE!</v>
      </c>
      <c r="B81" s="2">
        <v>45292</v>
      </c>
      <c r="C81" t="str" cm="1">
        <f t="array" aca="1" ref="C81" ca="1">_FV(A81,"Ticker symbol",TRUE)</f>
        <v>TM</v>
      </c>
      <c r="D81" s="4">
        <v>218.54</v>
      </c>
      <c r="E81" s="50">
        <v>3</v>
      </c>
      <c r="F81" s="81">
        <f>IF(Table25[[#This Row],[Number of stocks]]&gt;0,Table25[[#This Row],[Number of stocks]],0)</f>
        <v>3</v>
      </c>
      <c r="G81" s="73">
        <f>Table25[[#This Row],[Bought]]*Table25[[#This Row],[Price]]</f>
        <v>655.62</v>
      </c>
      <c r="H81">
        <f>SUMIF(Table25[[#All],[Assets]],Table25[[#This Row],[Assets]],Table25[[#All],[Bought]])</f>
        <v>7</v>
      </c>
      <c r="I81">
        <f>SUMIF(Table25[[#All],[Assets]],Table25[[#This Row],[Assets]],Table25[[#All],[Bought Amount]])</f>
        <v>1530.22</v>
      </c>
      <c r="J81" s="88">
        <f>IF(Table25[[#This Row],[Number of stocks]]&lt;0,Table25[[#This Row],[Number of stocks]],0)</f>
        <v>0</v>
      </c>
      <c r="K81" s="5">
        <f>Table25[[#This Row],[Sold]]*Table25[[#This Row],[Price]]</f>
        <v>0</v>
      </c>
      <c r="L81" s="8">
        <f>ABS(SUMIF(Table25[[#All],[Assets]],Table25[[#This Row],[Assets]],Table25[[#All],[Sold]]))</f>
        <v>7</v>
      </c>
      <c r="M81" s="5">
        <f>ABS(SUMIF(Table25[[#All],[Assets]],Table25[[#This Row],[Assets]],Table25[[#All],[Sold Amount]]))</f>
        <v>1262.1199999999999</v>
      </c>
      <c r="N81" s="5">
        <f>IFERROR(Table25[[#This Row],[Total sold amount]]/Table25[[#This Row],[Total Sold number of stocks]],"")</f>
        <v>180.30285714285714</v>
      </c>
      <c r="O81" s="4">
        <f>IFERROR(Table25[[#This Row],[Total Amount bought]]/Table25[[#This Row],[Total number bought]],"")</f>
        <v>218.60285714285715</v>
      </c>
      <c r="P81" s="4">
        <f>IFERROR((Table25[[#This Row],[Average sell price]]-Table25[[#This Row],[Average buy price]])*Table25[[#This Row],[Total Sold number of stocks]],0)</f>
        <v>-268.10000000000008</v>
      </c>
      <c r="Q81" s="85">
        <f>SUMIF(Table25[[#All],[Assets]],Table25[[#This Row],[Assets]],Table25[[#All],[Number of stocks]])</f>
        <v>0</v>
      </c>
    </row>
    <row r="82" spans="1:17">
      <c r="A82" t="e" vm="473">
        <v>#VALUE!</v>
      </c>
      <c r="B82" s="2">
        <v>45292</v>
      </c>
      <c r="C82" t="str" cm="1">
        <f t="array" aca="1" ref="C82" ca="1">_FV(A82,"Ticker symbol",TRUE)</f>
        <v>KMTUY</v>
      </c>
      <c r="D82" s="4">
        <v>29.41</v>
      </c>
      <c r="E82" s="50">
        <v>34</v>
      </c>
      <c r="F82" s="81">
        <f>IF(Table25[[#This Row],[Number of stocks]]&gt;0,Table25[[#This Row],[Number of stocks]],0)</f>
        <v>34</v>
      </c>
      <c r="G82" s="73">
        <f>Table25[[#This Row],[Bought]]*Table25[[#This Row],[Price]]</f>
        <v>999.94</v>
      </c>
      <c r="H82">
        <f>SUMIF(Table25[[#All],[Assets]],Table25[[#This Row],[Assets]],Table25[[#All],[Bought]])</f>
        <v>34</v>
      </c>
      <c r="I82">
        <f>SUMIF(Table25[[#All],[Assets]],Table25[[#This Row],[Assets]],Table25[[#All],[Bought Amount]])</f>
        <v>999.94</v>
      </c>
      <c r="J82" s="88">
        <f>IF(Table25[[#This Row],[Number of stocks]]&lt;0,Table25[[#This Row],[Number of stocks]],0)</f>
        <v>0</v>
      </c>
      <c r="K82" s="5">
        <f>Table25[[#This Row],[Sold]]*Table25[[#This Row],[Price]]</f>
        <v>0</v>
      </c>
      <c r="L82" s="8">
        <f>ABS(SUMIF(Table25[[#All],[Assets]],Table25[[#This Row],[Assets]],Table25[[#All],[Sold]]))</f>
        <v>34</v>
      </c>
      <c r="M82" s="5">
        <f>ABS(SUMIF(Table25[[#All],[Assets]],Table25[[#This Row],[Assets]],Table25[[#All],[Sold Amount]]))</f>
        <v>993.48</v>
      </c>
      <c r="N82" s="5">
        <f>IFERROR(Table25[[#This Row],[Total sold amount]]/Table25[[#This Row],[Total Sold number of stocks]],"")</f>
        <v>29.22</v>
      </c>
      <c r="O82" s="4">
        <f>IFERROR(Table25[[#This Row],[Total Amount bought]]/Table25[[#This Row],[Total number bought]],"")</f>
        <v>29.41</v>
      </c>
      <c r="P82" s="4">
        <f>IFERROR((Table25[[#This Row],[Average sell price]]-Table25[[#This Row],[Average buy price]])*Table25[[#This Row],[Total Sold number of stocks]],0)</f>
        <v>-6.4600000000000435</v>
      </c>
      <c r="Q82" s="85">
        <f>SUMIF(Table25[[#All],[Assets]],Table25[[#This Row],[Assets]],Table25[[#All],[Number of stocks]])</f>
        <v>0</v>
      </c>
    </row>
    <row r="83" spans="1:17">
      <c r="A83" t="e" vm="169">
        <v>#VALUE!</v>
      </c>
      <c r="B83" s="2">
        <v>45292</v>
      </c>
      <c r="C83" t="str" cm="1">
        <f t="array" aca="1" ref="C83" ca="1">_FV(A83,"Ticker symbol",TRUE)</f>
        <v>CVS</v>
      </c>
      <c r="D83" s="4">
        <v>59.97</v>
      </c>
      <c r="E83" s="50">
        <v>39</v>
      </c>
      <c r="F83" s="81">
        <f>IF(Table25[[#This Row],[Number of stocks]]&gt;0,Table25[[#This Row],[Number of stocks]],0)</f>
        <v>39</v>
      </c>
      <c r="G83" s="73">
        <f>Table25[[#This Row],[Bought]]*Table25[[#This Row],[Price]]</f>
        <v>2338.83</v>
      </c>
      <c r="H83">
        <f>SUMIF(Table25[[#All],[Assets]],Table25[[#This Row],[Assets]],Table25[[#All],[Bought]])</f>
        <v>104</v>
      </c>
      <c r="I83">
        <f>SUMIF(Table25[[#All],[Assets]],Table25[[#This Row],[Assets]],Table25[[#All],[Bought Amount]])</f>
        <v>6111.46</v>
      </c>
      <c r="J83" s="88">
        <f>IF(Table25[[#This Row],[Number of stocks]]&lt;0,Table25[[#This Row],[Number of stocks]],0)</f>
        <v>0</v>
      </c>
      <c r="K83" s="5">
        <f>Table25[[#This Row],[Sold]]*Table25[[#This Row],[Price]]</f>
        <v>0</v>
      </c>
      <c r="L83" s="8">
        <f>ABS(SUMIF(Table25[[#All],[Assets]],Table25[[#This Row],[Assets]],Table25[[#All],[Sold]]))</f>
        <v>104</v>
      </c>
      <c r="M83" s="5">
        <f>ABS(SUMIF(Table25[[#All],[Assets]],Table25[[#This Row],[Assets]],Table25[[#All],[Sold Amount]]))</f>
        <v>6244.5899999999992</v>
      </c>
      <c r="N83" s="5">
        <f>IFERROR(Table25[[#This Row],[Total sold amount]]/Table25[[#This Row],[Total Sold number of stocks]],"")</f>
        <v>60.044134615384607</v>
      </c>
      <c r="O83" s="4">
        <f>IFERROR(Table25[[#This Row],[Total Amount bought]]/Table25[[#This Row],[Total number bought]],"")</f>
        <v>58.764038461538462</v>
      </c>
      <c r="P83" s="4">
        <f>IFERROR((Table25[[#This Row],[Average sell price]]-Table25[[#This Row],[Average buy price]])*Table25[[#This Row],[Total Sold number of stocks]],0)</f>
        <v>133.12999999999909</v>
      </c>
      <c r="Q83" s="85">
        <f>SUMIF(Table25[[#All],[Assets]],Table25[[#This Row],[Assets]],Table25[[#All],[Number of stocks]])</f>
        <v>0</v>
      </c>
    </row>
    <row r="84" spans="1:17">
      <c r="A84" t="e" vm="101">
        <v>#VALUE!</v>
      </c>
      <c r="B84" s="2">
        <v>45292</v>
      </c>
      <c r="C84" t="str" cm="1">
        <f t="array" aca="1" ref="C84" ca="1">_FV(A84,"Ticker symbol",TRUE)</f>
        <v>URA</v>
      </c>
      <c r="D84" s="4">
        <v>31.07</v>
      </c>
      <c r="E84" s="50">
        <v>14</v>
      </c>
      <c r="F84" s="81">
        <f>IF(Table25[[#This Row],[Number of stocks]]&gt;0,Table25[[#This Row],[Number of stocks]],0)</f>
        <v>14</v>
      </c>
      <c r="G84" s="73">
        <f>Table25[[#This Row],[Bought]]*Table25[[#This Row],[Price]]</f>
        <v>434.98</v>
      </c>
      <c r="H84">
        <f>SUMIF(Table25[[#All],[Assets]],Table25[[#This Row],[Assets]],Table25[[#All],[Bought]])</f>
        <v>14</v>
      </c>
      <c r="I84">
        <f>SUMIF(Table25[[#All],[Assets]],Table25[[#This Row],[Assets]],Table25[[#All],[Bought Amount]])</f>
        <v>434.98</v>
      </c>
      <c r="J84" s="88">
        <f>IF(Table25[[#This Row],[Number of stocks]]&lt;0,Table25[[#This Row],[Number of stocks]],0)</f>
        <v>0</v>
      </c>
      <c r="K84" s="5">
        <f>Table25[[#This Row],[Sold]]*Table25[[#This Row],[Price]]</f>
        <v>0</v>
      </c>
      <c r="L84" s="8">
        <f>ABS(SUMIF(Table25[[#All],[Assets]],Table25[[#This Row],[Assets]],Table25[[#All],[Sold]]))</f>
        <v>0</v>
      </c>
      <c r="M84" s="5">
        <f>ABS(SUMIF(Table25[[#All],[Assets]],Table25[[#This Row],[Assets]],Table25[[#All],[Sold Amount]]))</f>
        <v>0</v>
      </c>
      <c r="N84" s="5" t="str">
        <f>IFERROR(Table25[[#This Row],[Total sold amount]]/Table25[[#This Row],[Total Sold number of stocks]],"")</f>
        <v/>
      </c>
      <c r="O84" s="4">
        <f>IFERROR(Table25[[#This Row],[Total Amount bought]]/Table25[[#This Row],[Total number bought]],"")</f>
        <v>31.07</v>
      </c>
      <c r="P84" s="4">
        <f>IFERROR((Table25[[#This Row],[Average sell price]]-Table25[[#This Row],[Average buy price]])*Table25[[#This Row],[Total Sold number of stocks]],0)</f>
        <v>0</v>
      </c>
      <c r="Q84" s="85">
        <f>SUMIF(Table25[[#All],[Assets]],Table25[[#This Row],[Assets]],Table25[[#All],[Number of stocks]])</f>
        <v>14</v>
      </c>
    </row>
    <row r="85" spans="1:17">
      <c r="A85" t="e" vm="315">
        <v>#VALUE!</v>
      </c>
      <c r="B85" s="2">
        <v>45292</v>
      </c>
      <c r="C85" t="str" cm="1">
        <f t="array" aca="1" ref="C85" ca="1">_FV(A85,"Ticker symbol",TRUE)</f>
        <v>CORZ</v>
      </c>
      <c r="D85" s="4">
        <v>8.9700000000000006</v>
      </c>
      <c r="E85" s="50">
        <v>44</v>
      </c>
      <c r="F85" s="81">
        <f>IF(Table25[[#This Row],[Number of stocks]]&gt;0,Table25[[#This Row],[Number of stocks]],0)</f>
        <v>44</v>
      </c>
      <c r="G85" s="73">
        <f>Table25[[#This Row],[Bought]]*Table25[[#This Row],[Price]]</f>
        <v>394.68</v>
      </c>
      <c r="H85">
        <f>SUMIF(Table25[[#All],[Assets]],Table25[[#This Row],[Assets]],Table25[[#All],[Bought]])</f>
        <v>64</v>
      </c>
      <c r="I85">
        <f>SUMIF(Table25[[#All],[Assets]],Table25[[#This Row],[Assets]],Table25[[#All],[Bought Amount]])</f>
        <v>605.68000000000006</v>
      </c>
      <c r="J85" s="88">
        <f>IF(Table25[[#This Row],[Number of stocks]]&lt;0,Table25[[#This Row],[Number of stocks]],0)</f>
        <v>0</v>
      </c>
      <c r="K85" s="5">
        <f>Table25[[#This Row],[Sold]]*Table25[[#This Row],[Price]]</f>
        <v>0</v>
      </c>
      <c r="L85" s="8">
        <f>ABS(SUMIF(Table25[[#All],[Assets]],Table25[[#This Row],[Assets]],Table25[[#All],[Sold]]))</f>
        <v>64</v>
      </c>
      <c r="M85" s="5">
        <f>ABS(SUMIF(Table25[[#All],[Assets]],Table25[[#This Row],[Assets]],Table25[[#All],[Sold Amount]]))</f>
        <v>794.24</v>
      </c>
      <c r="N85" s="5">
        <f>IFERROR(Table25[[#This Row],[Total sold amount]]/Table25[[#This Row],[Total Sold number of stocks]],"")</f>
        <v>12.41</v>
      </c>
      <c r="O85" s="4">
        <f>IFERROR(Table25[[#This Row],[Total Amount bought]]/Table25[[#This Row],[Total number bought]],"")</f>
        <v>9.463750000000001</v>
      </c>
      <c r="P85" s="4">
        <f>IFERROR((Table25[[#This Row],[Average sell price]]-Table25[[#This Row],[Average buy price]])*Table25[[#This Row],[Total Sold number of stocks]],0)</f>
        <v>188.55999999999995</v>
      </c>
      <c r="Q85" s="85">
        <f>SUMIF(Table25[[#All],[Assets]],Table25[[#This Row],[Assets]],Table25[[#All],[Number of stocks]])</f>
        <v>0</v>
      </c>
    </row>
    <row r="86" spans="1:17">
      <c r="A86" t="e" vm="349">
        <v>#VALUE!</v>
      </c>
      <c r="B86" s="2">
        <v>45292</v>
      </c>
      <c r="C86" t="str" cm="1">
        <f t="array" aca="1" ref="C86" ca="1">_FV(A86,"Ticker symbol",TRUE)</f>
        <v>ULH</v>
      </c>
      <c r="D86" s="4">
        <v>41.2</v>
      </c>
      <c r="E86" s="50">
        <v>5</v>
      </c>
      <c r="F86" s="81">
        <f>IF(Table25[[#This Row],[Number of stocks]]&gt;0,Table25[[#This Row],[Number of stocks]],0)</f>
        <v>5</v>
      </c>
      <c r="G86" s="73">
        <f>Table25[[#This Row],[Bought]]*Table25[[#This Row],[Price]]</f>
        <v>206</v>
      </c>
      <c r="H86">
        <f>SUMIF(Table25[[#All],[Assets]],Table25[[#This Row],[Assets]],Table25[[#All],[Bought]])</f>
        <v>5</v>
      </c>
      <c r="I86">
        <f>SUMIF(Table25[[#All],[Assets]],Table25[[#This Row],[Assets]],Table25[[#All],[Bought Amount]])</f>
        <v>206</v>
      </c>
      <c r="J86" s="88">
        <f>IF(Table25[[#This Row],[Number of stocks]]&lt;0,Table25[[#This Row],[Number of stocks]],0)</f>
        <v>0</v>
      </c>
      <c r="K86" s="5">
        <f>Table25[[#This Row],[Sold]]*Table25[[#This Row],[Price]]</f>
        <v>0</v>
      </c>
      <c r="L86" s="8">
        <f>ABS(SUMIF(Table25[[#All],[Assets]],Table25[[#This Row],[Assets]],Table25[[#All],[Sold]]))</f>
        <v>5</v>
      </c>
      <c r="M86" s="5">
        <f>ABS(SUMIF(Table25[[#All],[Assets]],Table25[[#This Row],[Assets]],Table25[[#All],[Sold Amount]]))</f>
        <v>229.65</v>
      </c>
      <c r="N86" s="5">
        <f>IFERROR(Table25[[#This Row],[Total sold amount]]/Table25[[#This Row],[Total Sold number of stocks]],"")</f>
        <v>45.93</v>
      </c>
      <c r="O86" s="4">
        <f>IFERROR(Table25[[#This Row],[Total Amount bought]]/Table25[[#This Row],[Total number bought]],"")</f>
        <v>41.2</v>
      </c>
      <c r="P86" s="4">
        <f>IFERROR((Table25[[#This Row],[Average sell price]]-Table25[[#This Row],[Average buy price]])*Table25[[#This Row],[Total Sold number of stocks]],0)</f>
        <v>23.649999999999984</v>
      </c>
      <c r="Q86" s="85">
        <f>SUMIF(Table25[[#All],[Assets]],Table25[[#This Row],[Assets]],Table25[[#All],[Number of stocks]])</f>
        <v>0</v>
      </c>
    </row>
    <row r="87" spans="1:17">
      <c r="A87" t="e" vm="272">
        <v>#VALUE!</v>
      </c>
      <c r="B87" s="2">
        <v>45292</v>
      </c>
      <c r="C87" t="str" cm="1">
        <f t="array" aca="1" ref="C87" ca="1">_FV(A87,"Ticker symbol",TRUE)</f>
        <v>NRG</v>
      </c>
      <c r="D87" s="4">
        <v>78.94</v>
      </c>
      <c r="E87" s="50">
        <v>8</v>
      </c>
      <c r="F87" s="81">
        <f>IF(Table25[[#This Row],[Number of stocks]]&gt;0,Table25[[#This Row],[Number of stocks]],0)</f>
        <v>8</v>
      </c>
      <c r="G87" s="73">
        <f>Table25[[#This Row],[Bought]]*Table25[[#This Row],[Price]]</f>
        <v>631.52</v>
      </c>
      <c r="H87">
        <f>SUMIF(Table25[[#All],[Assets]],Table25[[#This Row],[Assets]],Table25[[#All],[Bought]])</f>
        <v>8</v>
      </c>
      <c r="I87">
        <f>SUMIF(Table25[[#All],[Assets]],Table25[[#This Row],[Assets]],Table25[[#All],[Bought Amount]])</f>
        <v>631.52</v>
      </c>
      <c r="J87" s="88">
        <f>IF(Table25[[#This Row],[Number of stocks]]&lt;0,Table25[[#This Row],[Number of stocks]],0)</f>
        <v>0</v>
      </c>
      <c r="K87" s="5">
        <f>Table25[[#This Row],[Sold]]*Table25[[#This Row],[Price]]</f>
        <v>0</v>
      </c>
      <c r="L87" s="8">
        <f>ABS(SUMIF(Table25[[#All],[Assets]],Table25[[#This Row],[Assets]],Table25[[#All],[Sold]]))</f>
        <v>8</v>
      </c>
      <c r="M87" s="5">
        <f>ABS(SUMIF(Table25[[#All],[Assets]],Table25[[#This Row],[Assets]],Table25[[#All],[Sold Amount]]))</f>
        <v>671.84</v>
      </c>
      <c r="N87" s="5">
        <f>IFERROR(Table25[[#This Row],[Total sold amount]]/Table25[[#This Row],[Total Sold number of stocks]],"")</f>
        <v>83.98</v>
      </c>
      <c r="O87" s="4">
        <f>IFERROR(Table25[[#This Row],[Total Amount bought]]/Table25[[#This Row],[Total number bought]],"")</f>
        <v>78.94</v>
      </c>
      <c r="P87" s="4">
        <f>IFERROR((Table25[[#This Row],[Average sell price]]-Table25[[#This Row],[Average buy price]])*Table25[[#This Row],[Total Sold number of stocks]],0)</f>
        <v>40.32000000000005</v>
      </c>
      <c r="Q87" s="85">
        <f>SUMIF(Table25[[#All],[Assets]],Table25[[#This Row],[Assets]],Table25[[#All],[Number of stocks]])</f>
        <v>0</v>
      </c>
    </row>
    <row r="88" spans="1:17">
      <c r="A88" t="e" vm="120">
        <v>#VALUE!</v>
      </c>
      <c r="B88" s="2">
        <v>45292</v>
      </c>
      <c r="C88" t="str" cm="1">
        <f t="array" aca="1" ref="C88" ca="1">_FV(A88,"Ticker symbol",TRUE)</f>
        <v>REPX</v>
      </c>
      <c r="D88" s="4">
        <v>27.09</v>
      </c>
      <c r="E88" s="50">
        <v>20</v>
      </c>
      <c r="F88" s="81">
        <f>IF(Table25[[#This Row],[Number of stocks]]&gt;0,Table25[[#This Row],[Number of stocks]],0)</f>
        <v>20</v>
      </c>
      <c r="G88" s="73">
        <f>Table25[[#This Row],[Bought]]*Table25[[#This Row],[Price]]</f>
        <v>541.79999999999995</v>
      </c>
      <c r="H88">
        <f>SUMIF(Table25[[#All],[Assets]],Table25[[#This Row],[Assets]],Table25[[#All],[Bought]])</f>
        <v>20</v>
      </c>
      <c r="I88">
        <f>SUMIF(Table25[[#All],[Assets]],Table25[[#This Row],[Assets]],Table25[[#All],[Bought Amount]])</f>
        <v>541.79999999999995</v>
      </c>
      <c r="J88" s="88">
        <f>IF(Table25[[#This Row],[Number of stocks]]&lt;0,Table25[[#This Row],[Number of stocks]],0)</f>
        <v>0</v>
      </c>
      <c r="K88" s="5">
        <f>Table25[[#This Row],[Sold]]*Table25[[#This Row],[Price]]</f>
        <v>0</v>
      </c>
      <c r="L88" s="8">
        <f>ABS(SUMIF(Table25[[#All],[Assets]],Table25[[#This Row],[Assets]],Table25[[#All],[Sold]]))</f>
        <v>20</v>
      </c>
      <c r="M88" s="5">
        <f>ABS(SUMIF(Table25[[#All],[Assets]],Table25[[#This Row],[Assets]],Table25[[#All],[Sold Amount]]))</f>
        <v>549.20000000000005</v>
      </c>
      <c r="N88" s="5">
        <f>IFERROR(Table25[[#This Row],[Total sold amount]]/Table25[[#This Row],[Total Sold number of stocks]],"")</f>
        <v>27.46</v>
      </c>
      <c r="O88" s="4">
        <f>IFERROR(Table25[[#This Row],[Total Amount bought]]/Table25[[#This Row],[Total number bought]],"")</f>
        <v>27.089999999999996</v>
      </c>
      <c r="P88" s="4">
        <f>IFERROR((Table25[[#This Row],[Average sell price]]-Table25[[#This Row],[Average buy price]])*Table25[[#This Row],[Total Sold number of stocks]],0)</f>
        <v>7.4000000000000909</v>
      </c>
      <c r="Q88" s="85">
        <f>SUMIF(Table25[[#All],[Assets]],Table25[[#This Row],[Assets]],Table25[[#All],[Number of stocks]])</f>
        <v>0</v>
      </c>
    </row>
    <row r="89" spans="1:17">
      <c r="A89" t="e" vm="62">
        <v>#VALUE!</v>
      </c>
      <c r="B89" s="2">
        <v>45292</v>
      </c>
      <c r="C89" t="str" cm="1">
        <f t="array" aca="1" ref="C89" ca="1">_FV(A89,"Ticker symbol",TRUE)</f>
        <v>EQT</v>
      </c>
      <c r="D89" s="4">
        <v>40.68</v>
      </c>
      <c r="E89" s="50">
        <v>20</v>
      </c>
      <c r="F89" s="81">
        <f>IF(Table25[[#This Row],[Number of stocks]]&gt;0,Table25[[#This Row],[Number of stocks]],0)</f>
        <v>20</v>
      </c>
      <c r="G89" s="73">
        <f>Table25[[#This Row],[Bought]]*Table25[[#This Row],[Price]]</f>
        <v>813.6</v>
      </c>
      <c r="H89">
        <f>SUMIF(Table25[[#All],[Assets]],Table25[[#This Row],[Assets]],Table25[[#All],[Bought]])</f>
        <v>20</v>
      </c>
      <c r="I89">
        <f>SUMIF(Table25[[#All],[Assets]],Table25[[#This Row],[Assets]],Table25[[#All],[Bought Amount]])</f>
        <v>813.6</v>
      </c>
      <c r="J89" s="88">
        <f>IF(Table25[[#This Row],[Number of stocks]]&lt;0,Table25[[#This Row],[Number of stocks]],0)</f>
        <v>0</v>
      </c>
      <c r="K89" s="5">
        <f>Table25[[#This Row],[Sold]]*Table25[[#This Row],[Price]]</f>
        <v>0</v>
      </c>
      <c r="L89" s="8">
        <f>ABS(SUMIF(Table25[[#All],[Assets]],Table25[[#This Row],[Assets]],Table25[[#All],[Sold]]))</f>
        <v>20</v>
      </c>
      <c r="M89" s="5">
        <f>ABS(SUMIF(Table25[[#All],[Assets]],Table25[[#This Row],[Assets]],Table25[[#All],[Sold Amount]]))</f>
        <v>645.79999999999995</v>
      </c>
      <c r="N89" s="5">
        <f>IFERROR(Table25[[#This Row],[Total sold amount]]/Table25[[#This Row],[Total Sold number of stocks]],"")</f>
        <v>32.29</v>
      </c>
      <c r="O89" s="4">
        <f>IFERROR(Table25[[#This Row],[Total Amount bought]]/Table25[[#This Row],[Total number bought]],"")</f>
        <v>40.68</v>
      </c>
      <c r="P89" s="4">
        <f>IFERROR((Table25[[#This Row],[Average sell price]]-Table25[[#This Row],[Average buy price]])*Table25[[#This Row],[Total Sold number of stocks]],0)</f>
        <v>-167.8</v>
      </c>
      <c r="Q89" s="85">
        <f>SUMIF(Table25[[#All],[Assets]],Table25[[#This Row],[Assets]],Table25[[#All],[Number of stocks]])</f>
        <v>0</v>
      </c>
    </row>
    <row r="90" spans="1:17">
      <c r="A90" t="e" vm="448">
        <v>#VALUE!</v>
      </c>
      <c r="B90" s="2">
        <v>45292</v>
      </c>
      <c r="C90" t="str" cm="1">
        <f t="array" aca="1" ref="C90" ca="1">_FV(A90,"Ticker symbol",TRUE)</f>
        <v>AZZ</v>
      </c>
      <c r="D90" s="4">
        <v>79.069999999999993</v>
      </c>
      <c r="E90" s="50">
        <v>10</v>
      </c>
      <c r="F90" s="81">
        <f>IF(Table25[[#This Row],[Number of stocks]]&gt;0,Table25[[#This Row],[Number of stocks]],0)</f>
        <v>10</v>
      </c>
      <c r="G90" s="73">
        <f>Table25[[#This Row],[Bought]]*Table25[[#This Row],[Price]]</f>
        <v>790.69999999999993</v>
      </c>
      <c r="H90">
        <f>SUMIF(Table25[[#All],[Assets]],Table25[[#This Row],[Assets]],Table25[[#All],[Bought]])</f>
        <v>10</v>
      </c>
      <c r="I90">
        <f>SUMIF(Table25[[#All],[Assets]],Table25[[#This Row],[Assets]],Table25[[#All],[Bought Amount]])</f>
        <v>790.69999999999993</v>
      </c>
      <c r="J90" s="88">
        <f>IF(Table25[[#This Row],[Number of stocks]]&lt;0,Table25[[#This Row],[Number of stocks]],0)</f>
        <v>0</v>
      </c>
      <c r="K90" s="5">
        <f>Table25[[#This Row],[Sold]]*Table25[[#This Row],[Price]]</f>
        <v>0</v>
      </c>
      <c r="L90" s="8">
        <f>ABS(SUMIF(Table25[[#All],[Assets]],Table25[[#This Row],[Assets]],Table25[[#All],[Sold]]))</f>
        <v>10</v>
      </c>
      <c r="M90" s="5">
        <f>ABS(SUMIF(Table25[[#All],[Assets]],Table25[[#This Row],[Assets]],Table25[[#All],[Sold Amount]]))</f>
        <v>818.1</v>
      </c>
      <c r="N90" s="5">
        <f>IFERROR(Table25[[#This Row],[Total sold amount]]/Table25[[#This Row],[Total Sold number of stocks]],"")</f>
        <v>81.81</v>
      </c>
      <c r="O90" s="4">
        <f>IFERROR(Table25[[#This Row],[Total Amount bought]]/Table25[[#This Row],[Total number bought]],"")</f>
        <v>79.069999999999993</v>
      </c>
      <c r="P90" s="4">
        <f>IFERROR((Table25[[#This Row],[Average sell price]]-Table25[[#This Row],[Average buy price]])*Table25[[#This Row],[Total Sold number of stocks]],0)</f>
        <v>27.400000000000091</v>
      </c>
      <c r="Q90" s="85">
        <f>SUMIF(Table25[[#All],[Assets]],Table25[[#This Row],[Assets]],Table25[[#All],[Number of stocks]])</f>
        <v>0</v>
      </c>
    </row>
    <row r="91" spans="1:17">
      <c r="A91" t="e" vm="253">
        <v>#VALUE!</v>
      </c>
      <c r="B91" s="2">
        <v>45292</v>
      </c>
      <c r="C91" t="str" cm="1">
        <f t="array" aca="1" ref="C91" ca="1">_FV(A91,"Ticker symbol",TRUE)</f>
        <v>QS</v>
      </c>
      <c r="D91" s="4">
        <v>5.53</v>
      </c>
      <c r="E91" s="50">
        <v>20</v>
      </c>
      <c r="F91" s="81">
        <f>IF(Table25[[#This Row],[Number of stocks]]&gt;0,Table25[[#This Row],[Number of stocks]],0)</f>
        <v>20</v>
      </c>
      <c r="G91" s="73">
        <f>Table25[[#This Row],[Bought]]*Table25[[#This Row],[Price]]</f>
        <v>110.60000000000001</v>
      </c>
      <c r="H91">
        <f>SUMIF(Table25[[#All],[Assets]],Table25[[#This Row],[Assets]],Table25[[#All],[Bought]])</f>
        <v>120</v>
      </c>
      <c r="I91">
        <f>SUMIF(Table25[[#All],[Assets]],Table25[[#This Row],[Assets]],Table25[[#All],[Bought Amount]])</f>
        <v>702.6</v>
      </c>
      <c r="J91" s="88">
        <f>IF(Table25[[#This Row],[Number of stocks]]&lt;0,Table25[[#This Row],[Number of stocks]],0)</f>
        <v>0</v>
      </c>
      <c r="K91" s="5">
        <f>Table25[[#This Row],[Sold]]*Table25[[#This Row],[Price]]</f>
        <v>0</v>
      </c>
      <c r="L91" s="8">
        <f>ABS(SUMIF(Table25[[#All],[Assets]],Table25[[#This Row],[Assets]],Table25[[#All],[Sold]]))</f>
        <v>120</v>
      </c>
      <c r="M91" s="5">
        <f>ABS(SUMIF(Table25[[#All],[Assets]],Table25[[#This Row],[Assets]],Table25[[#All],[Sold Amount]]))</f>
        <v>1188</v>
      </c>
      <c r="N91" s="5">
        <f>IFERROR(Table25[[#This Row],[Total sold amount]]/Table25[[#This Row],[Total Sold number of stocks]],"")</f>
        <v>9.9</v>
      </c>
      <c r="O91" s="4">
        <f>IFERROR(Table25[[#This Row],[Total Amount bought]]/Table25[[#This Row],[Total number bought]],"")</f>
        <v>5.8550000000000004</v>
      </c>
      <c r="P91" s="4">
        <f>IFERROR((Table25[[#This Row],[Average sell price]]-Table25[[#This Row],[Average buy price]])*Table25[[#This Row],[Total Sold number of stocks]],0)</f>
        <v>485.4</v>
      </c>
      <c r="Q91" s="85">
        <f>SUMIF(Table25[[#All],[Assets]],Table25[[#This Row],[Assets]],Table25[[#All],[Number of stocks]])</f>
        <v>0</v>
      </c>
    </row>
    <row r="92" spans="1:17">
      <c r="A92" t="e" vm="431">
        <v>#VALUE!</v>
      </c>
      <c r="B92" s="2">
        <v>45292</v>
      </c>
      <c r="C92" t="str" cm="1">
        <f t="array" aca="1" ref="C92" ca="1">_FV(A92,"Ticker symbol",TRUE)</f>
        <v>PRIM</v>
      </c>
      <c r="D92" s="4">
        <v>53.36</v>
      </c>
      <c r="E92" s="50">
        <v>16</v>
      </c>
      <c r="F92" s="81">
        <f>IF(Table25[[#This Row],[Number of stocks]]&gt;0,Table25[[#This Row],[Number of stocks]],0)</f>
        <v>16</v>
      </c>
      <c r="G92" s="73">
        <f>Table25[[#This Row],[Bought]]*Table25[[#This Row],[Price]]</f>
        <v>853.76</v>
      </c>
      <c r="H92">
        <f>SUMIF(Table25[[#All],[Assets]],Table25[[#This Row],[Assets]],Table25[[#All],[Bought]])</f>
        <v>16</v>
      </c>
      <c r="I92">
        <f>SUMIF(Table25[[#All],[Assets]],Table25[[#This Row],[Assets]],Table25[[#All],[Bought Amount]])</f>
        <v>853.76</v>
      </c>
      <c r="J92" s="88">
        <f>IF(Table25[[#This Row],[Number of stocks]]&lt;0,Table25[[#This Row],[Number of stocks]],0)</f>
        <v>0</v>
      </c>
      <c r="K92" s="5">
        <f>Table25[[#This Row],[Sold]]*Table25[[#This Row],[Price]]</f>
        <v>0</v>
      </c>
      <c r="L92" s="8">
        <f>ABS(SUMIF(Table25[[#All],[Assets]],Table25[[#This Row],[Assets]],Table25[[#All],[Sold]]))</f>
        <v>16</v>
      </c>
      <c r="M92" s="5">
        <f>ABS(SUMIF(Table25[[#All],[Assets]],Table25[[#This Row],[Assets]],Table25[[#All],[Sold Amount]]))</f>
        <v>969.76</v>
      </c>
      <c r="N92" s="5">
        <f>IFERROR(Table25[[#This Row],[Total sold amount]]/Table25[[#This Row],[Total Sold number of stocks]],"")</f>
        <v>60.61</v>
      </c>
      <c r="O92" s="4">
        <f>IFERROR(Table25[[#This Row],[Total Amount bought]]/Table25[[#This Row],[Total number bought]],"")</f>
        <v>53.36</v>
      </c>
      <c r="P92" s="4">
        <f>IFERROR((Table25[[#This Row],[Average sell price]]-Table25[[#This Row],[Average buy price]])*Table25[[#This Row],[Total Sold number of stocks]],0)</f>
        <v>116</v>
      </c>
      <c r="Q92" s="85">
        <f>SUMIF(Table25[[#All],[Assets]],Table25[[#This Row],[Assets]],Table25[[#All],[Number of stocks]])</f>
        <v>0</v>
      </c>
    </row>
    <row r="93" spans="1:17">
      <c r="A93" t="e" vm="505">
        <v>#VALUE!</v>
      </c>
      <c r="B93" s="2">
        <v>45292</v>
      </c>
      <c r="C93" t="str" cm="1">
        <f t="array" aca="1" ref="C93" ca="1">_FV(A93,"Ticker symbol",TRUE)</f>
        <v>TPICQ</v>
      </c>
      <c r="D93" s="4">
        <v>4.7300000000000004</v>
      </c>
      <c r="E93" s="50">
        <v>22</v>
      </c>
      <c r="F93" s="81">
        <f>IF(Table25[[#This Row],[Number of stocks]]&gt;0,Table25[[#This Row],[Number of stocks]],0)</f>
        <v>22</v>
      </c>
      <c r="G93" s="73">
        <f>Table25[[#This Row],[Bought]]*Table25[[#This Row],[Price]]</f>
        <v>104.06</v>
      </c>
      <c r="H93">
        <f>SUMIF(Table25[[#All],[Assets]],Table25[[#This Row],[Assets]],Table25[[#All],[Bought]])</f>
        <v>22</v>
      </c>
      <c r="I93">
        <f>SUMIF(Table25[[#All],[Assets]],Table25[[#This Row],[Assets]],Table25[[#All],[Bought Amount]])</f>
        <v>104.06</v>
      </c>
      <c r="J93" s="88">
        <f>IF(Table25[[#This Row],[Number of stocks]]&lt;0,Table25[[#This Row],[Number of stocks]],0)</f>
        <v>0</v>
      </c>
      <c r="K93" s="5">
        <f>Table25[[#This Row],[Sold]]*Table25[[#This Row],[Price]]</f>
        <v>0</v>
      </c>
      <c r="L93" s="8">
        <f>ABS(SUMIF(Table25[[#All],[Assets]],Table25[[#This Row],[Assets]],Table25[[#All],[Sold]]))</f>
        <v>22</v>
      </c>
      <c r="M93" s="5">
        <f>ABS(SUMIF(Table25[[#All],[Assets]],Table25[[#This Row],[Assets]],Table25[[#All],[Sold Amount]]))</f>
        <v>96.800000000000011</v>
      </c>
      <c r="N93" s="5">
        <f>IFERROR(Table25[[#This Row],[Total sold amount]]/Table25[[#This Row],[Total Sold number of stocks]],"")</f>
        <v>4.4000000000000004</v>
      </c>
      <c r="O93" s="4">
        <f>IFERROR(Table25[[#This Row],[Total Amount bought]]/Table25[[#This Row],[Total number bought]],"")</f>
        <v>4.7300000000000004</v>
      </c>
      <c r="P93" s="4">
        <f>IFERROR((Table25[[#This Row],[Average sell price]]-Table25[[#This Row],[Average buy price]])*Table25[[#This Row],[Total Sold number of stocks]],0)</f>
        <v>-7.2600000000000016</v>
      </c>
      <c r="Q93" s="85">
        <f>SUMIF(Table25[[#All],[Assets]],Table25[[#This Row],[Assets]],Table25[[#All],[Number of stocks]])</f>
        <v>0</v>
      </c>
    </row>
    <row r="94" spans="1:17">
      <c r="A94" t="e" vm="391">
        <v>#VALUE!</v>
      </c>
      <c r="B94" s="2">
        <v>45292</v>
      </c>
      <c r="C94" t="str" cm="1">
        <f t="array" aca="1" ref="C94" ca="1">_FV(A94,"Ticker symbol",TRUE)</f>
        <v>SQM</v>
      </c>
      <c r="D94" s="4">
        <v>45.38</v>
      </c>
      <c r="E94" s="50">
        <v>4</v>
      </c>
      <c r="F94" s="81">
        <f>IF(Table25[[#This Row],[Number of stocks]]&gt;0,Table25[[#This Row],[Number of stocks]],0)</f>
        <v>4</v>
      </c>
      <c r="G94" s="73">
        <f>Table25[[#This Row],[Bought]]*Table25[[#This Row],[Price]]</f>
        <v>181.52</v>
      </c>
      <c r="H94">
        <f>SUMIF(Table25[[#All],[Assets]],Table25[[#This Row],[Assets]],Table25[[#All],[Bought]])</f>
        <v>4</v>
      </c>
      <c r="I94">
        <f>SUMIF(Table25[[#All],[Assets]],Table25[[#This Row],[Assets]],Table25[[#All],[Bought Amount]])</f>
        <v>181.52</v>
      </c>
      <c r="J94" s="88">
        <f>IF(Table25[[#This Row],[Number of stocks]]&lt;0,Table25[[#This Row],[Number of stocks]],0)</f>
        <v>0</v>
      </c>
      <c r="K94" s="5">
        <f>Table25[[#This Row],[Sold]]*Table25[[#This Row],[Price]]</f>
        <v>0</v>
      </c>
      <c r="L94" s="8">
        <f>ABS(SUMIF(Table25[[#All],[Assets]],Table25[[#This Row],[Assets]],Table25[[#All],[Sold]]))</f>
        <v>4</v>
      </c>
      <c r="M94" s="5">
        <f>ABS(SUMIF(Table25[[#All],[Assets]],Table25[[#This Row],[Assets]],Table25[[#All],[Sold Amount]]))</f>
        <v>170</v>
      </c>
      <c r="N94" s="5">
        <f>IFERROR(Table25[[#This Row],[Total sold amount]]/Table25[[#This Row],[Total Sold number of stocks]],"")</f>
        <v>42.5</v>
      </c>
      <c r="O94" s="4">
        <f>IFERROR(Table25[[#This Row],[Total Amount bought]]/Table25[[#This Row],[Total number bought]],"")</f>
        <v>45.38</v>
      </c>
      <c r="P94" s="4">
        <f>IFERROR((Table25[[#This Row],[Average sell price]]-Table25[[#This Row],[Average buy price]])*Table25[[#This Row],[Total Sold number of stocks]],0)</f>
        <v>-11.52000000000001</v>
      </c>
      <c r="Q94" s="85">
        <f>SUMIF(Table25[[#All],[Assets]],Table25[[#This Row],[Assets]],Table25[[#All],[Number of stocks]])</f>
        <v>0</v>
      </c>
    </row>
    <row r="95" spans="1:17">
      <c r="A95" t="e" vm="487">
        <v>#VALUE!</v>
      </c>
      <c r="B95" s="2">
        <v>45292</v>
      </c>
      <c r="C95" t="str" cm="1">
        <f t="array" aca="1" ref="C95" ca="1">_FV(A95,"Ticker symbol",TRUE)</f>
        <v>ENR</v>
      </c>
      <c r="D95" s="4">
        <v>27.87</v>
      </c>
      <c r="E95" s="50">
        <v>20</v>
      </c>
      <c r="F95" s="81">
        <f>IF(Table25[[#This Row],[Number of stocks]]&gt;0,Table25[[#This Row],[Number of stocks]],0)</f>
        <v>20</v>
      </c>
      <c r="G95" s="73">
        <f>Table25[[#This Row],[Bought]]*Table25[[#This Row],[Price]]</f>
        <v>557.4</v>
      </c>
      <c r="H95">
        <f>SUMIF(Table25[[#All],[Assets]],Table25[[#This Row],[Assets]],Table25[[#All],[Bought]])</f>
        <v>20</v>
      </c>
      <c r="I95">
        <f>SUMIF(Table25[[#All],[Assets]],Table25[[#This Row],[Assets]],Table25[[#All],[Bought Amount]])</f>
        <v>557.4</v>
      </c>
      <c r="J95" s="88">
        <f>IF(Table25[[#This Row],[Number of stocks]]&lt;0,Table25[[#This Row],[Number of stocks]],0)</f>
        <v>0</v>
      </c>
      <c r="K95" s="5">
        <f>Table25[[#This Row],[Sold]]*Table25[[#This Row],[Price]]</f>
        <v>0</v>
      </c>
      <c r="L95" s="8">
        <f>ABS(SUMIF(Table25[[#All],[Assets]],Table25[[#This Row],[Assets]],Table25[[#All],[Sold]]))</f>
        <v>20</v>
      </c>
      <c r="M95" s="5">
        <f>ABS(SUMIF(Table25[[#All],[Assets]],Table25[[#This Row],[Assets]],Table25[[#All],[Sold Amount]]))</f>
        <v>633</v>
      </c>
      <c r="N95" s="5">
        <f>IFERROR(Table25[[#This Row],[Total sold amount]]/Table25[[#This Row],[Total Sold number of stocks]],"")</f>
        <v>31.65</v>
      </c>
      <c r="O95" s="4">
        <f>IFERROR(Table25[[#This Row],[Total Amount bought]]/Table25[[#This Row],[Total number bought]],"")</f>
        <v>27.869999999999997</v>
      </c>
      <c r="P95" s="4">
        <f>IFERROR((Table25[[#This Row],[Average sell price]]-Table25[[#This Row],[Average buy price]])*Table25[[#This Row],[Total Sold number of stocks]],0)</f>
        <v>75.600000000000023</v>
      </c>
      <c r="Q95" s="85">
        <f>SUMIF(Table25[[#All],[Assets]],Table25[[#This Row],[Assets]],Table25[[#All],[Number of stocks]])</f>
        <v>0</v>
      </c>
    </row>
    <row r="96" spans="1:17">
      <c r="A96" t="e" vm="417">
        <v>#VALUE!</v>
      </c>
      <c r="B96" s="2">
        <v>45292</v>
      </c>
      <c r="C96" t="str" cm="1">
        <f t="array" aca="1" ref="C96" ca="1">_FV(A96,"Ticker symbol",TRUE)</f>
        <v>JCI</v>
      </c>
      <c r="D96" s="4">
        <v>70.319999999999993</v>
      </c>
      <c r="E96" s="50">
        <v>1</v>
      </c>
      <c r="F96" s="81">
        <f>IF(Table25[[#This Row],[Number of stocks]]&gt;0,Table25[[#This Row],[Number of stocks]],0)</f>
        <v>1</v>
      </c>
      <c r="G96" s="73">
        <f>Table25[[#This Row],[Bought]]*Table25[[#This Row],[Price]]</f>
        <v>70.319999999999993</v>
      </c>
      <c r="H96">
        <f>SUMIF(Table25[[#All],[Assets]],Table25[[#This Row],[Assets]],Table25[[#All],[Bought]])</f>
        <v>1</v>
      </c>
      <c r="I96">
        <f>SUMIF(Table25[[#All],[Assets]],Table25[[#This Row],[Assets]],Table25[[#All],[Bought Amount]])</f>
        <v>70.319999999999993</v>
      </c>
      <c r="J96" s="88">
        <f>IF(Table25[[#This Row],[Number of stocks]]&lt;0,Table25[[#This Row],[Number of stocks]],0)</f>
        <v>0</v>
      </c>
      <c r="K96" s="5">
        <f>Table25[[#This Row],[Sold]]*Table25[[#This Row],[Price]]</f>
        <v>0</v>
      </c>
      <c r="L96" s="8">
        <f>ABS(SUMIF(Table25[[#All],[Assets]],Table25[[#This Row],[Assets]],Table25[[#All],[Sold]]))</f>
        <v>1</v>
      </c>
      <c r="M96" s="5">
        <f>ABS(SUMIF(Table25[[#All],[Assets]],Table25[[#This Row],[Assets]],Table25[[#All],[Sold Amount]]))</f>
        <v>75.28</v>
      </c>
      <c r="N96" s="5">
        <f>IFERROR(Table25[[#This Row],[Total sold amount]]/Table25[[#This Row],[Total Sold number of stocks]],"")</f>
        <v>75.28</v>
      </c>
      <c r="O96" s="4">
        <f>IFERROR(Table25[[#This Row],[Total Amount bought]]/Table25[[#This Row],[Total number bought]],"")</f>
        <v>70.319999999999993</v>
      </c>
      <c r="P96" s="4">
        <f>IFERROR((Table25[[#This Row],[Average sell price]]-Table25[[#This Row],[Average buy price]])*Table25[[#This Row],[Total Sold number of stocks]],0)</f>
        <v>4.960000000000008</v>
      </c>
      <c r="Q96" s="85">
        <f>SUMIF(Table25[[#All],[Assets]],Table25[[#This Row],[Assets]],Table25[[#All],[Number of stocks]])</f>
        <v>0</v>
      </c>
    </row>
    <row r="97" spans="1:17">
      <c r="A97" t="e" vm="504">
        <v>#VALUE!</v>
      </c>
      <c r="B97" s="2">
        <v>45292</v>
      </c>
      <c r="C97" t="str" cm="1">
        <f t="array" aca="1" ref="C97" ca="1">_FV(A97,"Ticker symbol",TRUE)</f>
        <v>NXT</v>
      </c>
      <c r="D97" s="4">
        <v>57.71</v>
      </c>
      <c r="E97" s="50">
        <v>15</v>
      </c>
      <c r="F97" s="81">
        <f>IF(Table25[[#This Row],[Number of stocks]]&gt;0,Table25[[#This Row],[Number of stocks]],0)</f>
        <v>15</v>
      </c>
      <c r="G97" s="73">
        <f>Table25[[#This Row],[Bought]]*Table25[[#This Row],[Price]]</f>
        <v>865.65</v>
      </c>
      <c r="H97">
        <f>SUMIF(Table25[[#All],[Assets]],Table25[[#This Row],[Assets]],Table25[[#All],[Bought]])</f>
        <v>27</v>
      </c>
      <c r="I97">
        <f>SUMIF(Table25[[#All],[Assets]],Table25[[#This Row],[Assets]],Table25[[#All],[Bought Amount]])</f>
        <v>1372.77</v>
      </c>
      <c r="J97" s="88">
        <f>IF(Table25[[#This Row],[Number of stocks]]&lt;0,Table25[[#This Row],[Number of stocks]],0)</f>
        <v>0</v>
      </c>
      <c r="K97" s="5">
        <f>Table25[[#This Row],[Sold]]*Table25[[#This Row],[Price]]</f>
        <v>0</v>
      </c>
      <c r="L97" s="8">
        <f>ABS(SUMIF(Table25[[#All],[Assets]],Table25[[#This Row],[Assets]],Table25[[#All],[Sold]]))</f>
        <v>27</v>
      </c>
      <c r="M97" s="5">
        <f>ABS(SUMIF(Table25[[#All],[Assets]],Table25[[#This Row],[Assets]],Table25[[#All],[Sold Amount]]))</f>
        <v>965.46</v>
      </c>
      <c r="N97" s="5">
        <f>IFERROR(Table25[[#This Row],[Total sold amount]]/Table25[[#This Row],[Total Sold number of stocks]],"")</f>
        <v>35.757777777777783</v>
      </c>
      <c r="O97" s="4">
        <f>IFERROR(Table25[[#This Row],[Total Amount bought]]/Table25[[#This Row],[Total number bought]],"")</f>
        <v>50.843333333333334</v>
      </c>
      <c r="P97" s="4">
        <f>IFERROR((Table25[[#This Row],[Average sell price]]-Table25[[#This Row],[Average buy price]])*Table25[[#This Row],[Total Sold number of stocks]],0)</f>
        <v>-407.30999999999989</v>
      </c>
      <c r="Q97" s="85">
        <f>SUMIF(Table25[[#All],[Assets]],Table25[[#This Row],[Assets]],Table25[[#All],[Number of stocks]])</f>
        <v>0</v>
      </c>
    </row>
    <row r="98" spans="1:17">
      <c r="A98" t="e" vm="358">
        <v>#VALUE!</v>
      </c>
      <c r="B98" s="2">
        <v>45292</v>
      </c>
      <c r="C98" t="str" cm="1">
        <f t="array" aca="1" ref="C98" ca="1">_FV(A98,"Ticker symbol",TRUE)</f>
        <v>GEV</v>
      </c>
      <c r="D98" s="4">
        <v>166.9</v>
      </c>
      <c r="E98" s="50">
        <v>1</v>
      </c>
      <c r="F98" s="81">
        <f>IF(Table25[[#This Row],[Number of stocks]]&gt;0,Table25[[#This Row],[Number of stocks]],0)</f>
        <v>1</v>
      </c>
      <c r="G98" s="73">
        <f>Table25[[#This Row],[Bought]]*Table25[[#This Row],[Price]]</f>
        <v>166.9</v>
      </c>
      <c r="H98">
        <f>SUMIF(Table25[[#All],[Assets]],Table25[[#This Row],[Assets]],Table25[[#All],[Bought]])</f>
        <v>1</v>
      </c>
      <c r="I98">
        <f>SUMIF(Table25[[#All],[Assets]],Table25[[#This Row],[Assets]],Table25[[#All],[Bought Amount]])</f>
        <v>166.9</v>
      </c>
      <c r="J98" s="88">
        <f>IF(Table25[[#This Row],[Number of stocks]]&lt;0,Table25[[#This Row],[Number of stocks]],0)</f>
        <v>0</v>
      </c>
      <c r="K98" s="5">
        <f>Table25[[#This Row],[Sold]]*Table25[[#This Row],[Price]]</f>
        <v>0</v>
      </c>
      <c r="L98" s="8">
        <f>ABS(SUMIF(Table25[[#All],[Assets]],Table25[[#This Row],[Assets]],Table25[[#All],[Sold]]))</f>
        <v>1</v>
      </c>
      <c r="M98" s="5">
        <f>ABS(SUMIF(Table25[[#All],[Assets]],Table25[[#This Row],[Assets]],Table25[[#All],[Sold Amount]]))</f>
        <v>272.07</v>
      </c>
      <c r="N98" s="5">
        <f>IFERROR(Table25[[#This Row],[Total sold amount]]/Table25[[#This Row],[Total Sold number of stocks]],"")</f>
        <v>272.07</v>
      </c>
      <c r="O98" s="4">
        <f>IFERROR(Table25[[#This Row],[Total Amount bought]]/Table25[[#This Row],[Total number bought]],"")</f>
        <v>166.9</v>
      </c>
      <c r="P98" s="4">
        <f>IFERROR((Table25[[#This Row],[Average sell price]]-Table25[[#This Row],[Average buy price]])*Table25[[#This Row],[Total Sold number of stocks]],0)</f>
        <v>105.16999999999999</v>
      </c>
      <c r="Q98" s="85">
        <f>SUMIF(Table25[[#All],[Assets]],Table25[[#This Row],[Assets]],Table25[[#All],[Number of stocks]])</f>
        <v>0</v>
      </c>
    </row>
    <row r="99" spans="1:17">
      <c r="A99" t="e" vm="321">
        <v>#VALUE!</v>
      </c>
      <c r="B99" s="2">
        <v>45292</v>
      </c>
      <c r="C99" t="str" cm="1">
        <f t="array" aca="1" ref="C99" ca="1">_FV(A99,"Ticker symbol",TRUE)</f>
        <v>RYCEY</v>
      </c>
      <c r="D99" s="4">
        <v>5.82</v>
      </c>
      <c r="E99" s="50">
        <v>3</v>
      </c>
      <c r="F99" s="81">
        <f>IF(Table25[[#This Row],[Number of stocks]]&gt;0,Table25[[#This Row],[Number of stocks]],0)</f>
        <v>3</v>
      </c>
      <c r="G99" s="73">
        <f>Table25[[#This Row],[Bought]]*Table25[[#This Row],[Price]]</f>
        <v>17.46</v>
      </c>
      <c r="H99">
        <f>SUMIF(Table25[[#All],[Assets]],Table25[[#This Row],[Assets]],Table25[[#All],[Bought]])</f>
        <v>3</v>
      </c>
      <c r="I99">
        <f>SUMIF(Table25[[#All],[Assets]],Table25[[#This Row],[Assets]],Table25[[#All],[Bought Amount]])</f>
        <v>17.46</v>
      </c>
      <c r="J99" s="88">
        <f>IF(Table25[[#This Row],[Number of stocks]]&lt;0,Table25[[#This Row],[Number of stocks]],0)</f>
        <v>0</v>
      </c>
      <c r="K99" s="5">
        <f>Table25[[#This Row],[Sold]]*Table25[[#This Row],[Price]]</f>
        <v>0</v>
      </c>
      <c r="L99" s="8">
        <f>ABS(SUMIF(Table25[[#All],[Assets]],Table25[[#This Row],[Assets]],Table25[[#All],[Sold]]))</f>
        <v>3</v>
      </c>
      <c r="M99" s="5">
        <f>ABS(SUMIF(Table25[[#All],[Assets]],Table25[[#This Row],[Assets]],Table25[[#All],[Sold Amount]]))</f>
        <v>20.73</v>
      </c>
      <c r="N99" s="5">
        <f>IFERROR(Table25[[#This Row],[Total sold amount]]/Table25[[#This Row],[Total Sold number of stocks]],"")</f>
        <v>6.91</v>
      </c>
      <c r="O99" s="4">
        <f>IFERROR(Table25[[#This Row],[Total Amount bought]]/Table25[[#This Row],[Total number bought]],"")</f>
        <v>5.82</v>
      </c>
      <c r="P99" s="4">
        <f>IFERROR((Table25[[#This Row],[Average sell price]]-Table25[[#This Row],[Average buy price]])*Table25[[#This Row],[Total Sold number of stocks]],0)</f>
        <v>3.2699999999999996</v>
      </c>
      <c r="Q99" s="85">
        <f>SUMIF(Table25[[#All],[Assets]],Table25[[#This Row],[Assets]],Table25[[#All],[Number of stocks]])</f>
        <v>0</v>
      </c>
    </row>
    <row r="100" spans="1:17">
      <c r="A100" t="e" vm="329">
        <v>#VALUE!</v>
      </c>
      <c r="B100" s="2">
        <v>45292</v>
      </c>
      <c r="C100" t="str" cm="1">
        <f t="array" aca="1" ref="C100" ca="1">_FV(A100,"Ticker symbol",TRUE)</f>
        <v>SDIG</v>
      </c>
      <c r="D100" s="4">
        <v>3.97</v>
      </c>
      <c r="E100" s="50">
        <v>300</v>
      </c>
      <c r="F100" s="81">
        <f>IF(Table25[[#This Row],[Number of stocks]]&gt;0,Table25[[#This Row],[Number of stocks]],0)</f>
        <v>300</v>
      </c>
      <c r="G100" s="73">
        <f>Table25[[#This Row],[Bought]]*Table25[[#This Row],[Price]]</f>
        <v>1191</v>
      </c>
      <c r="H100">
        <f>SUMIF(Table25[[#All],[Assets]],Table25[[#This Row],[Assets]],Table25[[#All],[Bought]])</f>
        <v>420</v>
      </c>
      <c r="I100">
        <f>SUMIF(Table25[[#All],[Assets]],Table25[[#This Row],[Assets]],Table25[[#All],[Bought Amount]])</f>
        <v>1650</v>
      </c>
      <c r="J100" s="88">
        <f>IF(Table25[[#This Row],[Number of stocks]]&lt;0,Table25[[#This Row],[Number of stocks]],0)</f>
        <v>0</v>
      </c>
      <c r="K100" s="5">
        <f>Table25[[#This Row],[Sold]]*Table25[[#This Row],[Price]]</f>
        <v>0</v>
      </c>
      <c r="L100" s="8">
        <f>ABS(SUMIF(Table25[[#All],[Assets]],Table25[[#This Row],[Assets]],Table25[[#All],[Sold]]))</f>
        <v>420</v>
      </c>
      <c r="M100" s="5">
        <f>ABS(SUMIF(Table25[[#All],[Assets]],Table25[[#This Row],[Assets]],Table25[[#All],[Sold Amount]]))</f>
        <v>2037.2</v>
      </c>
      <c r="N100" s="5">
        <f>IFERROR(Table25[[#This Row],[Total sold amount]]/Table25[[#This Row],[Total Sold number of stocks]],"")</f>
        <v>4.8504761904761908</v>
      </c>
      <c r="O100" s="4">
        <f>IFERROR(Table25[[#This Row],[Total Amount bought]]/Table25[[#This Row],[Total number bought]],"")</f>
        <v>3.9285714285714284</v>
      </c>
      <c r="P100" s="4">
        <f>IFERROR((Table25[[#This Row],[Average sell price]]-Table25[[#This Row],[Average buy price]])*Table25[[#This Row],[Total Sold number of stocks]],0)</f>
        <v>387.20000000000022</v>
      </c>
      <c r="Q100" s="85">
        <f>SUMIF(Table25[[#All],[Assets]],Table25[[#This Row],[Assets]],Table25[[#All],[Number of stocks]])</f>
        <v>0</v>
      </c>
    </row>
    <row r="101" spans="1:17">
      <c r="A101" t="e" vm="309">
        <v>#VALUE!</v>
      </c>
      <c r="B101" s="2">
        <v>45292</v>
      </c>
      <c r="C101" t="str" cm="1">
        <f t="array" aca="1" ref="C101" ca="1">_FV(A101,"Ticker symbol",TRUE)</f>
        <v>IREN</v>
      </c>
      <c r="D101" s="4">
        <v>13.56</v>
      </c>
      <c r="E101" s="50">
        <v>18</v>
      </c>
      <c r="F101" s="81">
        <f>IF(Table25[[#This Row],[Number of stocks]]&gt;0,Table25[[#This Row],[Number of stocks]],0)</f>
        <v>18</v>
      </c>
      <c r="G101" s="73">
        <f>Table25[[#This Row],[Bought]]*Table25[[#This Row],[Price]]</f>
        <v>244.08</v>
      </c>
      <c r="H101">
        <f>SUMIF(Table25[[#All],[Assets]],Table25[[#This Row],[Assets]],Table25[[#All],[Bought]])</f>
        <v>48</v>
      </c>
      <c r="I101">
        <f>SUMIF(Table25[[#All],[Assets]],Table25[[#This Row],[Assets]],Table25[[#All],[Bought Amount]])</f>
        <v>545.28</v>
      </c>
      <c r="J101" s="88">
        <f>IF(Table25[[#This Row],[Number of stocks]]&lt;0,Table25[[#This Row],[Number of stocks]],0)</f>
        <v>0</v>
      </c>
      <c r="K101" s="5">
        <f>Table25[[#This Row],[Sold]]*Table25[[#This Row],[Price]]</f>
        <v>0</v>
      </c>
      <c r="L101" s="8">
        <f>ABS(SUMIF(Table25[[#All],[Assets]],Table25[[#This Row],[Assets]],Table25[[#All],[Sold]]))</f>
        <v>48</v>
      </c>
      <c r="M101" s="5">
        <f>ABS(SUMIF(Table25[[#All],[Assets]],Table25[[#This Row],[Assets]],Table25[[#All],[Sold Amount]]))</f>
        <v>470.40000000000003</v>
      </c>
      <c r="N101" s="5">
        <f>IFERROR(Table25[[#This Row],[Total sold amount]]/Table25[[#This Row],[Total Sold number of stocks]],"")</f>
        <v>9.8000000000000007</v>
      </c>
      <c r="O101" s="4">
        <f>IFERROR(Table25[[#This Row],[Total Amount bought]]/Table25[[#This Row],[Total number bought]],"")</f>
        <v>11.36</v>
      </c>
      <c r="P101" s="4">
        <f>IFERROR((Table25[[#This Row],[Average sell price]]-Table25[[#This Row],[Average buy price]])*Table25[[#This Row],[Total Sold number of stocks]],0)</f>
        <v>-74.879999999999939</v>
      </c>
      <c r="Q101" s="85">
        <f>SUMIF(Table25[[#All],[Assets]],Table25[[#This Row],[Assets]],Table25[[#All],[Number of stocks]])</f>
        <v>0</v>
      </c>
    </row>
    <row r="102" spans="1:17">
      <c r="A102" t="e" vm="160">
        <v>#VALUE!</v>
      </c>
      <c r="B102" s="2">
        <v>45292</v>
      </c>
      <c r="C102" t="str" cm="1">
        <f t="array" aca="1" ref="C102" ca="1">_FV(A102,"Ticker symbol",TRUE)</f>
        <v>VST</v>
      </c>
      <c r="D102" s="4">
        <v>88.03</v>
      </c>
      <c r="E102" s="50">
        <v>3</v>
      </c>
      <c r="F102" s="81">
        <f>IF(Table25[[#This Row],[Number of stocks]]&gt;0,Table25[[#This Row],[Number of stocks]],0)</f>
        <v>3</v>
      </c>
      <c r="G102" s="73">
        <f>Table25[[#This Row],[Bought]]*Table25[[#This Row],[Price]]</f>
        <v>264.09000000000003</v>
      </c>
      <c r="H102">
        <f>SUMIF(Table25[[#All],[Assets]],Table25[[#This Row],[Assets]],Table25[[#All],[Bought]])</f>
        <v>8</v>
      </c>
      <c r="I102">
        <f>SUMIF(Table25[[#All],[Assets]],Table25[[#This Row],[Assets]],Table25[[#All],[Bought Amount]])</f>
        <v>620.8900000000001</v>
      </c>
      <c r="J102" s="88">
        <f>IF(Table25[[#This Row],[Number of stocks]]&lt;0,Table25[[#This Row],[Number of stocks]],0)</f>
        <v>0</v>
      </c>
      <c r="K102" s="5">
        <f>Table25[[#This Row],[Sold]]*Table25[[#This Row],[Price]]</f>
        <v>0</v>
      </c>
      <c r="L102" s="8">
        <f>ABS(SUMIF(Table25[[#All],[Assets]],Table25[[#This Row],[Assets]],Table25[[#All],[Sold]]))</f>
        <v>8</v>
      </c>
      <c r="M102" s="5">
        <f>ABS(SUMIF(Table25[[#All],[Assets]],Table25[[#This Row],[Assets]],Table25[[#All],[Sold Amount]]))</f>
        <v>1068</v>
      </c>
      <c r="N102" s="5">
        <f>IFERROR(Table25[[#This Row],[Total sold amount]]/Table25[[#This Row],[Total Sold number of stocks]],"")</f>
        <v>133.5</v>
      </c>
      <c r="O102" s="4">
        <f>IFERROR(Table25[[#This Row],[Total Amount bought]]/Table25[[#This Row],[Total number bought]],"")</f>
        <v>77.611250000000013</v>
      </c>
      <c r="P102" s="4">
        <f>IFERROR((Table25[[#This Row],[Average sell price]]-Table25[[#This Row],[Average buy price]])*Table25[[#This Row],[Total Sold number of stocks]],0)</f>
        <v>447.1099999999999</v>
      </c>
      <c r="Q102" s="85">
        <f>SUMIF(Table25[[#All],[Assets]],Table25[[#This Row],[Assets]],Table25[[#All],[Number of stocks]])</f>
        <v>0</v>
      </c>
    </row>
    <row r="103" spans="1:17">
      <c r="A103" t="e" vm="469">
        <v>#VALUE!</v>
      </c>
      <c r="B103" s="2">
        <v>45292</v>
      </c>
      <c r="C103" t="str" cm="1">
        <f t="array" aca="1" ref="C103" ca="1">_FV(A103,"Ticker symbol",TRUE)</f>
        <v>LNN</v>
      </c>
      <c r="D103" s="4">
        <v>129.79</v>
      </c>
      <c r="E103" s="50">
        <v>5</v>
      </c>
      <c r="F103" s="81">
        <f>IF(Table25[[#This Row],[Number of stocks]]&gt;0,Table25[[#This Row],[Number of stocks]],0)</f>
        <v>5</v>
      </c>
      <c r="G103" s="73">
        <f>Table25[[#This Row],[Bought]]*Table25[[#This Row],[Price]]</f>
        <v>648.94999999999993</v>
      </c>
      <c r="H103">
        <f>SUMIF(Table25[[#All],[Assets]],Table25[[#This Row],[Assets]],Table25[[#All],[Bought]])</f>
        <v>10</v>
      </c>
      <c r="I103">
        <f>SUMIF(Table25[[#All],[Assets]],Table25[[#This Row],[Assets]],Table25[[#All],[Bought Amount]])</f>
        <v>1343.3</v>
      </c>
      <c r="J103" s="88">
        <f>IF(Table25[[#This Row],[Number of stocks]]&lt;0,Table25[[#This Row],[Number of stocks]],0)</f>
        <v>0</v>
      </c>
      <c r="K103" s="5">
        <f>Table25[[#This Row],[Sold]]*Table25[[#This Row],[Price]]</f>
        <v>0</v>
      </c>
      <c r="L103" s="8">
        <f>ABS(SUMIF(Table25[[#All],[Assets]],Table25[[#This Row],[Assets]],Table25[[#All],[Sold]]))</f>
        <v>10</v>
      </c>
      <c r="M103" s="5">
        <f>ABS(SUMIF(Table25[[#All],[Assets]],Table25[[#This Row],[Assets]],Table25[[#All],[Sold Amount]]))</f>
        <v>1273.9000000000001</v>
      </c>
      <c r="N103" s="5">
        <f>IFERROR(Table25[[#This Row],[Total sold amount]]/Table25[[#This Row],[Total Sold number of stocks]],"")</f>
        <v>127.39000000000001</v>
      </c>
      <c r="O103" s="4">
        <f>IFERROR(Table25[[#This Row],[Total Amount bought]]/Table25[[#This Row],[Total number bought]],"")</f>
        <v>134.32999999999998</v>
      </c>
      <c r="P103" s="4">
        <f>IFERROR((Table25[[#This Row],[Average sell price]]-Table25[[#This Row],[Average buy price]])*Table25[[#This Row],[Total Sold number of stocks]],0)</f>
        <v>-69.399999999999693</v>
      </c>
      <c r="Q103" s="85">
        <f>SUMIF(Table25[[#All],[Assets]],Table25[[#This Row],[Assets]],Table25[[#All],[Number of stocks]])</f>
        <v>0</v>
      </c>
    </row>
    <row r="104" spans="1:17">
      <c r="A104" t="e" vm="366">
        <v>#VALUE!</v>
      </c>
      <c r="B104" s="2">
        <v>45292</v>
      </c>
      <c r="C104" t="str" cm="1">
        <f t="array" aca="1" ref="C104" ca="1">_FV(A104,"Ticker symbol",TRUE)</f>
        <v>SNV</v>
      </c>
      <c r="D104" s="4">
        <v>38.770000000000003</v>
      </c>
      <c r="E104" s="50">
        <v>10</v>
      </c>
      <c r="F104" s="81">
        <f>IF(Table25[[#This Row],[Number of stocks]]&gt;0,Table25[[#This Row],[Number of stocks]],0)</f>
        <v>10</v>
      </c>
      <c r="G104" s="73">
        <f>Table25[[#This Row],[Bought]]*Table25[[#This Row],[Price]]</f>
        <v>387.70000000000005</v>
      </c>
      <c r="H104">
        <f>SUMIF(Table25[[#All],[Assets]],Table25[[#This Row],[Assets]],Table25[[#All],[Bought]])</f>
        <v>10</v>
      </c>
      <c r="I104">
        <f>SUMIF(Table25[[#All],[Assets]],Table25[[#This Row],[Assets]],Table25[[#All],[Bought Amount]])</f>
        <v>387.70000000000005</v>
      </c>
      <c r="J104" s="88">
        <f>IF(Table25[[#This Row],[Number of stocks]]&lt;0,Table25[[#This Row],[Number of stocks]],0)</f>
        <v>0</v>
      </c>
      <c r="K104" s="5">
        <f>Table25[[#This Row],[Sold]]*Table25[[#This Row],[Price]]</f>
        <v>0</v>
      </c>
      <c r="L104" s="8">
        <f>ABS(SUMIF(Table25[[#All],[Assets]],Table25[[#This Row],[Assets]],Table25[[#All],[Sold]]))</f>
        <v>10</v>
      </c>
      <c r="M104" s="5">
        <f>ABS(SUMIF(Table25[[#All],[Assets]],Table25[[#This Row],[Assets]],Table25[[#All],[Sold Amount]]))</f>
        <v>454</v>
      </c>
      <c r="N104" s="5">
        <f>IFERROR(Table25[[#This Row],[Total sold amount]]/Table25[[#This Row],[Total Sold number of stocks]],"")</f>
        <v>45.4</v>
      </c>
      <c r="O104" s="4">
        <f>IFERROR(Table25[[#This Row],[Total Amount bought]]/Table25[[#This Row],[Total number bought]],"")</f>
        <v>38.770000000000003</v>
      </c>
      <c r="P104" s="4">
        <f>IFERROR((Table25[[#This Row],[Average sell price]]-Table25[[#This Row],[Average buy price]])*Table25[[#This Row],[Total Sold number of stocks]],0)</f>
        <v>66.299999999999955</v>
      </c>
      <c r="Q104" s="85">
        <f>SUMIF(Table25[[#All],[Assets]],Table25[[#This Row],[Assets]],Table25[[#All],[Number of stocks]])</f>
        <v>0</v>
      </c>
    </row>
    <row r="105" spans="1:17">
      <c r="A105" t="e" vm="415">
        <v>#VALUE!</v>
      </c>
      <c r="B105" s="2">
        <v>45483</v>
      </c>
      <c r="C105" t="str" cm="1">
        <f t="array" aca="1" ref="C105" ca="1">_FV(A105,"Ticker symbol",TRUE)</f>
        <v>TUA</v>
      </c>
      <c r="D105" s="4">
        <v>22.63</v>
      </c>
      <c r="E105" s="50">
        <v>100</v>
      </c>
      <c r="F105" s="81">
        <f>IF(Table25[[#This Row],[Number of stocks]]&gt;0,Table25[[#This Row],[Number of stocks]],0)</f>
        <v>100</v>
      </c>
      <c r="G105" s="73">
        <f>Table25[[#This Row],[Bought]]*Table25[[#This Row],[Price]]</f>
        <v>2263</v>
      </c>
      <c r="H105">
        <f>SUMIF(Table25[[#All],[Assets]],Table25[[#This Row],[Assets]],Table25[[#All],[Bought]])</f>
        <v>260</v>
      </c>
      <c r="I105">
        <f>SUMIF(Table25[[#All],[Assets]],Table25[[#This Row],[Assets]],Table25[[#All],[Bought Amount]])</f>
        <v>5808.1</v>
      </c>
      <c r="J105" s="88">
        <f>IF(Table25[[#This Row],[Number of stocks]]&lt;0,Table25[[#This Row],[Number of stocks]],0)</f>
        <v>0</v>
      </c>
      <c r="K105" s="5">
        <f>Table25[[#This Row],[Sold]]*Table25[[#This Row],[Price]]</f>
        <v>0</v>
      </c>
      <c r="L105" s="8">
        <f>ABS(SUMIF(Table25[[#All],[Assets]],Table25[[#This Row],[Assets]],Table25[[#All],[Sold]]))</f>
        <v>260</v>
      </c>
      <c r="M105" s="5">
        <f>ABS(SUMIF(Table25[[#All],[Assets]],Table25[[#This Row],[Assets]],Table25[[#All],[Sold Amount]]))</f>
        <v>5788.97</v>
      </c>
      <c r="N105" s="5">
        <f>IFERROR(Table25[[#This Row],[Total sold amount]]/Table25[[#This Row],[Total Sold number of stocks]],"")</f>
        <v>22.265269230769231</v>
      </c>
      <c r="O105" s="4">
        <f>IFERROR(Table25[[#This Row],[Total Amount bought]]/Table25[[#This Row],[Total number bought]],"")</f>
        <v>22.338846153846156</v>
      </c>
      <c r="P105" s="4">
        <f>IFERROR((Table25[[#This Row],[Average sell price]]-Table25[[#This Row],[Average buy price]])*Table25[[#This Row],[Total Sold number of stocks]],0)</f>
        <v>-19.130000000000322</v>
      </c>
      <c r="Q105" s="85">
        <f>SUMIF(Table25[[#All],[Assets]],Table25[[#This Row],[Assets]],Table25[[#All],[Number of stocks]])</f>
        <v>0</v>
      </c>
    </row>
    <row r="106" spans="1:17">
      <c r="A106" t="e" vm="121">
        <v>#VALUE!</v>
      </c>
      <c r="B106" s="2">
        <v>45483</v>
      </c>
      <c r="C106" t="str" cm="1">
        <f t="array" aca="1" ref="C106" ca="1">_FV(A106,"Ticker symbol",TRUE)</f>
        <v>IWM</v>
      </c>
      <c r="D106" s="4">
        <v>201.76</v>
      </c>
      <c r="E106" s="50">
        <v>1</v>
      </c>
      <c r="F106" s="81">
        <f>IF(Table25[[#This Row],[Number of stocks]]&gt;0,Table25[[#This Row],[Number of stocks]],0)</f>
        <v>1</v>
      </c>
      <c r="G106" s="73">
        <f>Table25[[#This Row],[Bought]]*Table25[[#This Row],[Price]]</f>
        <v>201.76</v>
      </c>
      <c r="H106">
        <f>SUMIF(Table25[[#All],[Assets]],Table25[[#This Row],[Assets]],Table25[[#All],[Bought]])</f>
        <v>1</v>
      </c>
      <c r="I106">
        <f>SUMIF(Table25[[#All],[Assets]],Table25[[#This Row],[Assets]],Table25[[#All],[Bought Amount]])</f>
        <v>201.76</v>
      </c>
      <c r="J106" s="88">
        <f>IF(Table25[[#This Row],[Number of stocks]]&lt;0,Table25[[#This Row],[Number of stocks]],0)</f>
        <v>0</v>
      </c>
      <c r="K106" s="5">
        <f>Table25[[#This Row],[Sold]]*Table25[[#This Row],[Price]]</f>
        <v>0</v>
      </c>
      <c r="L106" s="8">
        <f>ABS(SUMIF(Table25[[#All],[Assets]],Table25[[#This Row],[Assets]],Table25[[#All],[Sold]]))</f>
        <v>1</v>
      </c>
      <c r="M106" s="5">
        <f>ABS(SUMIF(Table25[[#All],[Assets]],Table25[[#This Row],[Assets]],Table25[[#All],[Sold Amount]]))</f>
        <v>226.51</v>
      </c>
      <c r="N106" s="5">
        <f>IFERROR(Table25[[#This Row],[Total sold amount]]/Table25[[#This Row],[Total Sold number of stocks]],"")</f>
        <v>226.51</v>
      </c>
      <c r="O106" s="4">
        <f>IFERROR(Table25[[#This Row],[Total Amount bought]]/Table25[[#This Row],[Total number bought]],"")</f>
        <v>201.76</v>
      </c>
      <c r="P106" s="4">
        <f>IFERROR((Table25[[#This Row],[Average sell price]]-Table25[[#This Row],[Average buy price]])*Table25[[#This Row],[Total Sold number of stocks]],0)</f>
        <v>24.75</v>
      </c>
      <c r="Q106" s="85">
        <f>SUMIF(Table25[[#All],[Assets]],Table25[[#This Row],[Assets]],Table25[[#All],[Number of stocks]])</f>
        <v>0</v>
      </c>
    </row>
    <row r="107" spans="1:17">
      <c r="A107" t="e" vm="52">
        <v>#VALUE!</v>
      </c>
      <c r="B107" s="2">
        <v>45483</v>
      </c>
      <c r="C107" t="str" cm="1">
        <f t="array" aca="1" ref="C107" ca="1">_FV(A107,"Ticker symbol",TRUE)</f>
        <v>SMR</v>
      </c>
      <c r="D107" s="4">
        <v>13.02</v>
      </c>
      <c r="E107" s="50">
        <v>5</v>
      </c>
      <c r="F107" s="81">
        <f>IF(Table25[[#This Row],[Number of stocks]]&gt;0,Table25[[#This Row],[Number of stocks]],0)</f>
        <v>5</v>
      </c>
      <c r="G107" s="73">
        <f>Table25[[#This Row],[Bought]]*Table25[[#This Row],[Price]]</f>
        <v>65.099999999999994</v>
      </c>
      <c r="H107">
        <f>SUMIF(Table25[[#All],[Assets]],Table25[[#This Row],[Assets]],Table25[[#All],[Bought]])</f>
        <v>8</v>
      </c>
      <c r="I107">
        <f>SUMIF(Table25[[#All],[Assets]],Table25[[#This Row],[Assets]],Table25[[#All],[Bought Amount]])</f>
        <v>87.63</v>
      </c>
      <c r="J107" s="88">
        <f>IF(Table25[[#This Row],[Number of stocks]]&lt;0,Table25[[#This Row],[Number of stocks]],0)</f>
        <v>0</v>
      </c>
      <c r="K107" s="5">
        <f>Table25[[#This Row],[Sold]]*Table25[[#This Row],[Price]]</f>
        <v>0</v>
      </c>
      <c r="L107" s="8">
        <f>ABS(SUMIF(Table25[[#All],[Assets]],Table25[[#This Row],[Assets]],Table25[[#All],[Sold]]))</f>
        <v>8</v>
      </c>
      <c r="M107" s="5">
        <f>ABS(SUMIF(Table25[[#All],[Assets]],Table25[[#This Row],[Assets]],Table25[[#All],[Sold Amount]]))</f>
        <v>207.52999999999997</v>
      </c>
      <c r="N107" s="5">
        <f>IFERROR(Table25[[#This Row],[Total sold amount]]/Table25[[#This Row],[Total Sold number of stocks]],"")</f>
        <v>25.941249999999997</v>
      </c>
      <c r="O107" s="4">
        <f>IFERROR(Table25[[#This Row],[Total Amount bought]]/Table25[[#This Row],[Total number bought]],"")</f>
        <v>10.953749999999999</v>
      </c>
      <c r="P107" s="4">
        <f>IFERROR((Table25[[#This Row],[Average sell price]]-Table25[[#This Row],[Average buy price]])*Table25[[#This Row],[Total Sold number of stocks]],0)</f>
        <v>119.89999999999998</v>
      </c>
      <c r="Q107" s="85">
        <f>SUMIF(Table25[[#All],[Assets]],Table25[[#This Row],[Assets]],Table25[[#All],[Number of stocks]])</f>
        <v>0</v>
      </c>
    </row>
    <row r="108" spans="1:17">
      <c r="A108" t="e" vm="415">
        <v>#VALUE!</v>
      </c>
      <c r="B108" s="2">
        <v>45484</v>
      </c>
      <c r="C108" t="str" cm="1">
        <f t="array" aca="1" ref="C108" ca="1">_FV(A108,"Ticker symbol",TRUE)</f>
        <v>TUA</v>
      </c>
      <c r="D108" s="4">
        <v>21.77</v>
      </c>
      <c r="E108" s="50">
        <v>-38</v>
      </c>
      <c r="F108" s="81">
        <f>IF(Table25[[#This Row],[Number of stocks]]&gt;0,Table25[[#This Row],[Number of stocks]],0)</f>
        <v>0</v>
      </c>
      <c r="G108" s="73">
        <f>Table25[[#This Row],[Bought]]*Table25[[#This Row],[Price]]</f>
        <v>0</v>
      </c>
      <c r="H108">
        <f>SUMIF(Table25[[#All],[Assets]],Table25[[#This Row],[Assets]],Table25[[#All],[Bought]])</f>
        <v>260</v>
      </c>
      <c r="I108">
        <f>SUMIF(Table25[[#All],[Assets]],Table25[[#This Row],[Assets]],Table25[[#All],[Bought Amount]])</f>
        <v>5808.1</v>
      </c>
      <c r="J108" s="88">
        <f>IF(Table25[[#This Row],[Number of stocks]]&lt;0,Table25[[#This Row],[Number of stocks]],0)</f>
        <v>-38</v>
      </c>
      <c r="K108" s="5">
        <f>Table25[[#This Row],[Sold]]*Table25[[#This Row],[Price]]</f>
        <v>-827.26</v>
      </c>
      <c r="L108" s="8">
        <f>ABS(SUMIF(Table25[[#All],[Assets]],Table25[[#This Row],[Assets]],Table25[[#All],[Sold]]))</f>
        <v>260</v>
      </c>
      <c r="M108" s="5">
        <f>ABS(SUMIF(Table25[[#All],[Assets]],Table25[[#This Row],[Assets]],Table25[[#All],[Sold Amount]]))</f>
        <v>5788.97</v>
      </c>
      <c r="N108" s="5">
        <f>IFERROR(Table25[[#This Row],[Total sold amount]]/Table25[[#This Row],[Total Sold number of stocks]],"")</f>
        <v>22.265269230769231</v>
      </c>
      <c r="O108" s="4">
        <f>IFERROR(Table25[[#This Row],[Total Amount bought]]/Table25[[#This Row],[Total number bought]],"")</f>
        <v>22.338846153846156</v>
      </c>
      <c r="P108" s="4">
        <f>IFERROR((Table25[[#This Row],[Average sell price]]-Table25[[#This Row],[Average buy price]])*Table25[[#This Row],[Total Sold number of stocks]],0)</f>
        <v>-19.130000000000322</v>
      </c>
      <c r="Q108" s="85">
        <f>SUMIF(Table25[[#All],[Assets]],Table25[[#This Row],[Assets]],Table25[[#All],[Number of stocks]])</f>
        <v>0</v>
      </c>
    </row>
    <row r="109" spans="1:17">
      <c r="A109" t="e" vm="19">
        <v>#VALUE!</v>
      </c>
      <c r="B109" s="2">
        <v>45484</v>
      </c>
      <c r="C109" t="str" cm="1">
        <f t="array" aca="1" ref="C109" ca="1">_FV(A109,"Ticker symbol",TRUE)</f>
        <v>OUST</v>
      </c>
      <c r="D109" s="4">
        <v>12.66</v>
      </c>
      <c r="E109" s="50">
        <v>20</v>
      </c>
      <c r="F109" s="81">
        <f>IF(Table25[[#This Row],[Number of stocks]]&gt;0,Table25[[#This Row],[Number of stocks]],0)</f>
        <v>20</v>
      </c>
      <c r="G109" s="73">
        <f>Table25[[#This Row],[Bought]]*Table25[[#This Row],[Price]]</f>
        <v>253.2</v>
      </c>
      <c r="H109">
        <f>SUMIF(Table25[[#All],[Assets]],Table25[[#This Row],[Assets]],Table25[[#All],[Bought]])</f>
        <v>324</v>
      </c>
      <c r="I109">
        <f>SUMIF(Table25[[#All],[Assets]],Table25[[#This Row],[Assets]],Table25[[#All],[Bought Amount]])</f>
        <v>4403.8500000000004</v>
      </c>
      <c r="J109" s="88">
        <f>IF(Table25[[#This Row],[Number of stocks]]&lt;0,Table25[[#This Row],[Number of stocks]],0)</f>
        <v>0</v>
      </c>
      <c r="K109" s="5">
        <f>Table25[[#This Row],[Sold]]*Table25[[#This Row],[Price]]</f>
        <v>0</v>
      </c>
      <c r="L109" s="8">
        <f>ABS(SUMIF(Table25[[#All],[Assets]],Table25[[#This Row],[Assets]],Table25[[#All],[Sold]]))</f>
        <v>299</v>
      </c>
      <c r="M109" s="5">
        <f>ABS(SUMIF(Table25[[#All],[Assets]],Table25[[#This Row],[Assets]],Table25[[#All],[Sold Amount]]))</f>
        <v>6222.84</v>
      </c>
      <c r="N109" s="5">
        <f>IFERROR(Table25[[#This Row],[Total sold amount]]/Table25[[#This Row],[Total Sold number of stocks]],"")</f>
        <v>20.81217391304348</v>
      </c>
      <c r="O109" s="4">
        <f>IFERROR(Table25[[#This Row],[Total Amount bought]]/Table25[[#This Row],[Total number bought]],"")</f>
        <v>13.59212962962963</v>
      </c>
      <c r="P109" s="4">
        <f>IFERROR((Table25[[#This Row],[Average sell price]]-Table25[[#This Row],[Average buy price]])*Table25[[#This Row],[Total Sold number of stocks]],0)</f>
        <v>2158.7932407407411</v>
      </c>
      <c r="Q109" s="85">
        <f>SUMIF(Table25[[#All],[Assets]],Table25[[#This Row],[Assets]],Table25[[#All],[Number of stocks]])</f>
        <v>25</v>
      </c>
    </row>
    <row r="110" spans="1:17">
      <c r="A110" t="e" vm="85">
        <v>#VALUE!</v>
      </c>
      <c r="B110" s="2">
        <v>45484</v>
      </c>
      <c r="C110" t="str" cm="1">
        <f t="array" aca="1" ref="C110" ca="1">_FV(A110,"Ticker symbol",TRUE)</f>
        <v>HOOD</v>
      </c>
      <c r="D110" s="4">
        <v>22.9</v>
      </c>
      <c r="E110" s="50">
        <v>2</v>
      </c>
      <c r="F110" s="81">
        <f>IF(Table25[[#This Row],[Number of stocks]]&gt;0,Table25[[#This Row],[Number of stocks]],0)</f>
        <v>2</v>
      </c>
      <c r="G110" s="73">
        <f>Table25[[#This Row],[Bought]]*Table25[[#This Row],[Price]]</f>
        <v>45.8</v>
      </c>
      <c r="H110">
        <f>SUMIF(Table25[[#All],[Assets]],Table25[[#This Row],[Assets]],Table25[[#All],[Bought]])</f>
        <v>105</v>
      </c>
      <c r="I110">
        <f>SUMIF(Table25[[#All],[Assets]],Table25[[#This Row],[Assets]],Table25[[#All],[Bought Amount]])</f>
        <v>4056.0900000000006</v>
      </c>
      <c r="J110" s="88">
        <f>IF(Table25[[#This Row],[Number of stocks]]&lt;0,Table25[[#This Row],[Number of stocks]],0)</f>
        <v>0</v>
      </c>
      <c r="K110" s="5">
        <f>Table25[[#This Row],[Sold]]*Table25[[#This Row],[Price]]</f>
        <v>0</v>
      </c>
      <c r="L110" s="8">
        <f>ABS(SUMIF(Table25[[#All],[Assets]],Table25[[#This Row],[Assets]],Table25[[#All],[Sold]]))</f>
        <v>80</v>
      </c>
      <c r="M110" s="5">
        <f>ABS(SUMIF(Table25[[#All],[Assets]],Table25[[#This Row],[Assets]],Table25[[#All],[Sold Amount]]))</f>
        <v>2255.4300000000003</v>
      </c>
      <c r="N110" s="5">
        <f>IFERROR(Table25[[#This Row],[Total sold amount]]/Table25[[#This Row],[Total Sold number of stocks]],"")</f>
        <v>28.192875000000004</v>
      </c>
      <c r="O110" s="4">
        <f>IFERROR(Table25[[#This Row],[Total Amount bought]]/Table25[[#This Row],[Total number bought]],"")</f>
        <v>38.629428571428576</v>
      </c>
      <c r="P110" s="4">
        <f>IFERROR((Table25[[#This Row],[Average sell price]]-Table25[[#This Row],[Average buy price]])*Table25[[#This Row],[Total Sold number of stocks]],0)</f>
        <v>-834.92428571428582</v>
      </c>
      <c r="Q110" s="85">
        <f>SUMIF(Table25[[#All],[Assets]],Table25[[#This Row],[Assets]],Table25[[#All],[Number of stocks]])</f>
        <v>25</v>
      </c>
    </row>
    <row r="111" spans="1:17">
      <c r="A111" t="e" vm="456">
        <v>#VALUE!</v>
      </c>
      <c r="B111" s="2">
        <v>45495</v>
      </c>
      <c r="C111" t="str" cm="1">
        <f t="array" aca="1" ref="C111" ca="1">_FV(A111,"Ticker symbol",TRUE)</f>
        <v>BIL</v>
      </c>
      <c r="D111" s="4">
        <v>91.69</v>
      </c>
      <c r="E111" s="50">
        <v>5</v>
      </c>
      <c r="F111" s="81">
        <f>IF(Table25[[#This Row],[Number of stocks]]&gt;0,Table25[[#This Row],[Number of stocks]],0)</f>
        <v>5</v>
      </c>
      <c r="G111" s="73">
        <f>Table25[[#This Row],[Bought]]*Table25[[#This Row],[Price]]</f>
        <v>458.45</v>
      </c>
      <c r="H111">
        <f>SUMIF(Table25[[#All],[Assets]],Table25[[#This Row],[Assets]],Table25[[#All],[Bought]])</f>
        <v>419</v>
      </c>
      <c r="I111">
        <f>SUMIF(Table25[[#All],[Assets]],Table25[[#This Row],[Assets]],Table25[[#All],[Bought Amount]])</f>
        <v>38555.520000000004</v>
      </c>
      <c r="J111" s="88">
        <f>IF(Table25[[#This Row],[Number of stocks]]&lt;0,Table25[[#This Row],[Number of stocks]],0)</f>
        <v>0</v>
      </c>
      <c r="K111" s="5">
        <f>Table25[[#This Row],[Sold]]*Table25[[#This Row],[Price]]</f>
        <v>0</v>
      </c>
      <c r="L111" s="8">
        <f>ABS(SUMIF(Table25[[#All],[Assets]],Table25[[#This Row],[Assets]],Table25[[#All],[Sold]]))</f>
        <v>419</v>
      </c>
      <c r="M111" s="5">
        <f>ABS(SUMIF(Table25[[#All],[Assets]],Table25[[#This Row],[Assets]],Table25[[#All],[Sold Amount]]))</f>
        <v>38372</v>
      </c>
      <c r="N111" s="5">
        <f>IFERROR(Table25[[#This Row],[Total sold amount]]/Table25[[#This Row],[Total Sold number of stocks]],"")</f>
        <v>91.579952267303099</v>
      </c>
      <c r="O111" s="4">
        <f>IFERROR(Table25[[#This Row],[Total Amount bought]]/Table25[[#This Row],[Total number bought]],"")</f>
        <v>92.017947494033422</v>
      </c>
      <c r="P111" s="4">
        <f>IFERROR((Table25[[#This Row],[Average sell price]]-Table25[[#This Row],[Average buy price]])*Table25[[#This Row],[Total Sold number of stocks]],0)</f>
        <v>-183.5200000000051</v>
      </c>
      <c r="Q111" s="85">
        <f>SUMIF(Table25[[#All],[Assets]],Table25[[#This Row],[Assets]],Table25[[#All],[Number of stocks]])</f>
        <v>0</v>
      </c>
    </row>
    <row r="112" spans="1:17">
      <c r="A112" t="e" vm="313">
        <v>#VALUE!</v>
      </c>
      <c r="B112" s="2">
        <v>45484</v>
      </c>
      <c r="C112" t="str" cm="1">
        <f t="array" aca="1" ref="C112" ca="1">_FV(A112,"Ticker symbol",TRUE)</f>
        <v>APLD</v>
      </c>
      <c r="D112" s="4">
        <v>6.06</v>
      </c>
      <c r="E112" s="50">
        <v>20</v>
      </c>
      <c r="F112" s="81">
        <f>IF(Table25[[#This Row],[Number of stocks]]&gt;0,Table25[[#This Row],[Number of stocks]],0)</f>
        <v>20</v>
      </c>
      <c r="G112" s="73">
        <f>Table25[[#This Row],[Bought]]*Table25[[#This Row],[Price]]</f>
        <v>121.19999999999999</v>
      </c>
      <c r="H112">
        <f>SUMIF(Table25[[#All],[Assets]],Table25[[#This Row],[Assets]],Table25[[#All],[Bought]])</f>
        <v>380</v>
      </c>
      <c r="I112">
        <f>SUMIF(Table25[[#All],[Assets]],Table25[[#This Row],[Assets]],Table25[[#All],[Bought Amount]])</f>
        <v>2450.8000000000002</v>
      </c>
      <c r="J112" s="88">
        <f>IF(Table25[[#This Row],[Number of stocks]]&lt;0,Table25[[#This Row],[Number of stocks]],0)</f>
        <v>0</v>
      </c>
      <c r="K112" s="5">
        <f>Table25[[#This Row],[Sold]]*Table25[[#This Row],[Price]]</f>
        <v>0</v>
      </c>
      <c r="L112" s="8">
        <f>ABS(SUMIF(Table25[[#All],[Assets]],Table25[[#This Row],[Assets]],Table25[[#All],[Sold]]))</f>
        <v>380</v>
      </c>
      <c r="M112" s="5">
        <f>ABS(SUMIF(Table25[[#All],[Assets]],Table25[[#This Row],[Assets]],Table25[[#All],[Sold Amount]]))</f>
        <v>2418.3000000000002</v>
      </c>
      <c r="N112" s="5">
        <f>IFERROR(Table25[[#This Row],[Total sold amount]]/Table25[[#This Row],[Total Sold number of stocks]],"")</f>
        <v>6.3639473684210532</v>
      </c>
      <c r="O112" s="4">
        <f>IFERROR(Table25[[#This Row],[Total Amount bought]]/Table25[[#This Row],[Total number bought]],"")</f>
        <v>6.4494736842105267</v>
      </c>
      <c r="P112" s="4">
        <f>IFERROR((Table25[[#This Row],[Average sell price]]-Table25[[#This Row],[Average buy price]])*Table25[[#This Row],[Total Sold number of stocks]],0)</f>
        <v>-32.499999999999915</v>
      </c>
      <c r="Q112" s="85">
        <f>SUMIF(Table25[[#All],[Assets]],Table25[[#This Row],[Assets]],Table25[[#All],[Number of stocks]])</f>
        <v>0</v>
      </c>
    </row>
    <row r="113" spans="1:17">
      <c r="A113" t="e" vm="313">
        <v>#VALUE!</v>
      </c>
      <c r="B113" s="2">
        <v>45485</v>
      </c>
      <c r="C113" t="str" cm="1">
        <f t="array" aca="1" ref="C113" ca="1">_FV(A113,"Ticker symbol",TRUE)</f>
        <v>APLD</v>
      </c>
      <c r="D113" s="4">
        <v>5.96</v>
      </c>
      <c r="E113" s="50">
        <v>70</v>
      </c>
      <c r="F113" s="81">
        <f>IF(Table25[[#This Row],[Number of stocks]]&gt;0,Table25[[#This Row],[Number of stocks]],0)</f>
        <v>70</v>
      </c>
      <c r="G113" s="73">
        <f>Table25[[#This Row],[Bought]]*Table25[[#This Row],[Price]]</f>
        <v>417.2</v>
      </c>
      <c r="H113">
        <f>SUMIF(Table25[[#All],[Assets]],Table25[[#This Row],[Assets]],Table25[[#All],[Bought]])</f>
        <v>380</v>
      </c>
      <c r="I113">
        <f>SUMIF(Table25[[#All],[Assets]],Table25[[#This Row],[Assets]],Table25[[#All],[Bought Amount]])</f>
        <v>2450.8000000000002</v>
      </c>
      <c r="J113" s="88">
        <f>IF(Table25[[#This Row],[Number of stocks]]&lt;0,Table25[[#This Row],[Number of stocks]],0)</f>
        <v>0</v>
      </c>
      <c r="K113" s="5">
        <f>Table25[[#This Row],[Sold]]*Table25[[#This Row],[Price]]</f>
        <v>0</v>
      </c>
      <c r="L113" s="8">
        <f>ABS(SUMIF(Table25[[#All],[Assets]],Table25[[#This Row],[Assets]],Table25[[#All],[Sold]]))</f>
        <v>380</v>
      </c>
      <c r="M113" s="5">
        <f>ABS(SUMIF(Table25[[#All],[Assets]],Table25[[#This Row],[Assets]],Table25[[#All],[Sold Amount]]))</f>
        <v>2418.3000000000002</v>
      </c>
      <c r="N113" s="5">
        <f>IFERROR(Table25[[#This Row],[Total sold amount]]/Table25[[#This Row],[Total Sold number of stocks]],"")</f>
        <v>6.3639473684210532</v>
      </c>
      <c r="O113" s="4">
        <f>IFERROR(Table25[[#This Row],[Total Amount bought]]/Table25[[#This Row],[Total number bought]],"")</f>
        <v>6.4494736842105267</v>
      </c>
      <c r="P113" s="4">
        <f>IFERROR((Table25[[#This Row],[Average sell price]]-Table25[[#This Row],[Average buy price]])*Table25[[#This Row],[Total Sold number of stocks]],0)</f>
        <v>-32.499999999999915</v>
      </c>
      <c r="Q113" s="85">
        <f>SUMIF(Table25[[#All],[Assets]],Table25[[#This Row],[Assets]],Table25[[#All],[Number of stocks]])</f>
        <v>0</v>
      </c>
    </row>
    <row r="114" spans="1:17">
      <c r="A114" t="e" vm="313">
        <v>#VALUE!</v>
      </c>
      <c r="B114" s="2">
        <v>45485</v>
      </c>
      <c r="C114" t="str" cm="1">
        <f t="array" aca="1" ref="C114" ca="1">_FV(A114,"Ticker symbol",TRUE)</f>
        <v>APLD</v>
      </c>
      <c r="D114" s="4">
        <v>6.48</v>
      </c>
      <c r="E114" s="50">
        <v>110</v>
      </c>
      <c r="F114" s="81">
        <f>IF(Table25[[#This Row],[Number of stocks]]&gt;0,Table25[[#This Row],[Number of stocks]],0)</f>
        <v>110</v>
      </c>
      <c r="G114" s="73">
        <f>Table25[[#This Row],[Bought]]*Table25[[#This Row],[Price]]</f>
        <v>712.80000000000007</v>
      </c>
      <c r="H114">
        <f>SUMIF(Table25[[#All],[Assets]],Table25[[#This Row],[Assets]],Table25[[#All],[Bought]])</f>
        <v>380</v>
      </c>
      <c r="I114">
        <f>SUMIF(Table25[[#All],[Assets]],Table25[[#This Row],[Assets]],Table25[[#All],[Bought Amount]])</f>
        <v>2450.8000000000002</v>
      </c>
      <c r="J114" s="88">
        <f>IF(Table25[[#This Row],[Number of stocks]]&lt;0,Table25[[#This Row],[Number of stocks]],0)</f>
        <v>0</v>
      </c>
      <c r="K114" s="5">
        <f>Table25[[#This Row],[Sold]]*Table25[[#This Row],[Price]]</f>
        <v>0</v>
      </c>
      <c r="L114" s="8">
        <f>ABS(SUMIF(Table25[[#All],[Assets]],Table25[[#This Row],[Assets]],Table25[[#All],[Sold]]))</f>
        <v>380</v>
      </c>
      <c r="M114" s="5">
        <f>ABS(SUMIF(Table25[[#All],[Assets]],Table25[[#This Row],[Assets]],Table25[[#All],[Sold Amount]]))</f>
        <v>2418.3000000000002</v>
      </c>
      <c r="N114" s="5">
        <f>IFERROR(Table25[[#This Row],[Total sold amount]]/Table25[[#This Row],[Total Sold number of stocks]],"")</f>
        <v>6.3639473684210532</v>
      </c>
      <c r="O114" s="4">
        <f>IFERROR(Table25[[#This Row],[Total Amount bought]]/Table25[[#This Row],[Total number bought]],"")</f>
        <v>6.4494736842105267</v>
      </c>
      <c r="P114" s="4">
        <f>IFERROR((Table25[[#This Row],[Average sell price]]-Table25[[#This Row],[Average buy price]])*Table25[[#This Row],[Total Sold number of stocks]],0)</f>
        <v>-32.499999999999915</v>
      </c>
      <c r="Q114" s="85">
        <f>SUMIF(Table25[[#All],[Assets]],Table25[[#This Row],[Assets]],Table25[[#All],[Number of stocks]])</f>
        <v>0</v>
      </c>
    </row>
    <row r="115" spans="1:17">
      <c r="A115" t="e" vm="415">
        <v>#VALUE!</v>
      </c>
      <c r="B115" s="2">
        <v>45485</v>
      </c>
      <c r="C115" t="str" cm="1">
        <f t="array" aca="1" ref="C115" ca="1">_FV(A115,"Ticker symbol",TRUE)</f>
        <v>TUA</v>
      </c>
      <c r="D115" s="4">
        <v>22.92</v>
      </c>
      <c r="E115" s="50">
        <v>50</v>
      </c>
      <c r="F115" s="81">
        <f>IF(Table25[[#This Row],[Number of stocks]]&gt;0,Table25[[#This Row],[Number of stocks]],0)</f>
        <v>50</v>
      </c>
      <c r="G115" s="73">
        <f>Table25[[#This Row],[Bought]]*Table25[[#This Row],[Price]]</f>
        <v>1146</v>
      </c>
      <c r="H115">
        <f>SUMIF(Table25[[#All],[Assets]],Table25[[#This Row],[Assets]],Table25[[#All],[Bought]])</f>
        <v>260</v>
      </c>
      <c r="I115">
        <f>SUMIF(Table25[[#All],[Assets]],Table25[[#This Row],[Assets]],Table25[[#All],[Bought Amount]])</f>
        <v>5808.1</v>
      </c>
      <c r="J115" s="88">
        <f>IF(Table25[[#This Row],[Number of stocks]]&lt;0,Table25[[#This Row],[Number of stocks]],0)</f>
        <v>0</v>
      </c>
      <c r="K115" s="5">
        <f>Table25[[#This Row],[Sold]]*Table25[[#This Row],[Price]]</f>
        <v>0</v>
      </c>
      <c r="L115" s="8">
        <f>ABS(SUMIF(Table25[[#All],[Assets]],Table25[[#This Row],[Assets]],Table25[[#All],[Sold]]))</f>
        <v>260</v>
      </c>
      <c r="M115" s="5">
        <f>ABS(SUMIF(Table25[[#All],[Assets]],Table25[[#This Row],[Assets]],Table25[[#All],[Sold Amount]]))</f>
        <v>5788.97</v>
      </c>
      <c r="N115" s="5">
        <f>IFERROR(Table25[[#This Row],[Total sold amount]]/Table25[[#This Row],[Total Sold number of stocks]],"")</f>
        <v>22.265269230769231</v>
      </c>
      <c r="O115" s="4">
        <f>IFERROR(Table25[[#This Row],[Total Amount bought]]/Table25[[#This Row],[Total number bought]],"")</f>
        <v>22.338846153846156</v>
      </c>
      <c r="P115" s="4">
        <f>IFERROR((Table25[[#This Row],[Average sell price]]-Table25[[#This Row],[Average buy price]])*Table25[[#This Row],[Total Sold number of stocks]],0)</f>
        <v>-19.130000000000322</v>
      </c>
      <c r="Q115" s="85">
        <f>SUMIF(Table25[[#All],[Assets]],Table25[[#This Row],[Assets]],Table25[[#All],[Number of stocks]])</f>
        <v>0</v>
      </c>
    </row>
    <row r="116" spans="1:17">
      <c r="A116" t="e" vm="415">
        <v>#VALUE!</v>
      </c>
      <c r="B116" s="2">
        <v>45485</v>
      </c>
      <c r="C116" t="str" cm="1">
        <f t="array" aca="1" ref="C116" ca="1">_FV(A116,"Ticker symbol",TRUE)</f>
        <v>TUA</v>
      </c>
      <c r="D116" s="4">
        <v>22.97</v>
      </c>
      <c r="E116" s="50">
        <v>22</v>
      </c>
      <c r="F116" s="81">
        <f>IF(Table25[[#This Row],[Number of stocks]]&gt;0,Table25[[#This Row],[Number of stocks]],0)</f>
        <v>22</v>
      </c>
      <c r="G116" s="73">
        <f>Table25[[#This Row],[Bought]]*Table25[[#This Row],[Price]]</f>
        <v>505.34</v>
      </c>
      <c r="H116">
        <f>SUMIF(Table25[[#All],[Assets]],Table25[[#This Row],[Assets]],Table25[[#All],[Bought]])</f>
        <v>260</v>
      </c>
      <c r="I116">
        <f>SUMIF(Table25[[#All],[Assets]],Table25[[#This Row],[Assets]],Table25[[#All],[Bought Amount]])</f>
        <v>5808.1</v>
      </c>
      <c r="J116" s="88">
        <f>IF(Table25[[#This Row],[Number of stocks]]&lt;0,Table25[[#This Row],[Number of stocks]],0)</f>
        <v>0</v>
      </c>
      <c r="K116" s="5">
        <f>Table25[[#This Row],[Sold]]*Table25[[#This Row],[Price]]</f>
        <v>0</v>
      </c>
      <c r="L116" s="8">
        <f>ABS(SUMIF(Table25[[#All],[Assets]],Table25[[#This Row],[Assets]],Table25[[#All],[Sold]]))</f>
        <v>260</v>
      </c>
      <c r="M116" s="5">
        <f>ABS(SUMIF(Table25[[#All],[Assets]],Table25[[#This Row],[Assets]],Table25[[#All],[Sold Amount]]))</f>
        <v>5788.97</v>
      </c>
      <c r="N116" s="5">
        <f>IFERROR(Table25[[#This Row],[Total sold amount]]/Table25[[#This Row],[Total Sold number of stocks]],"")</f>
        <v>22.265269230769231</v>
      </c>
      <c r="O116" s="4">
        <f>IFERROR(Table25[[#This Row],[Total Amount bought]]/Table25[[#This Row],[Total number bought]],"")</f>
        <v>22.338846153846156</v>
      </c>
      <c r="P116" s="4">
        <f>IFERROR((Table25[[#This Row],[Average sell price]]-Table25[[#This Row],[Average buy price]])*Table25[[#This Row],[Total Sold number of stocks]],0)</f>
        <v>-19.130000000000322</v>
      </c>
      <c r="Q116" s="85">
        <f>SUMIF(Table25[[#All],[Assets]],Table25[[#This Row],[Assets]],Table25[[#All],[Number of stocks]])</f>
        <v>0</v>
      </c>
    </row>
    <row r="117" spans="1:17">
      <c r="A117" t="e" vm="13">
        <v>#VALUE!</v>
      </c>
      <c r="B117" s="2">
        <v>45488</v>
      </c>
      <c r="C117" t="str" cm="1">
        <f t="array" aca="1" ref="C117" ca="1">_FV(A117,"Ticker symbol",TRUE)</f>
        <v>ON</v>
      </c>
      <c r="D117" s="4">
        <v>77.12</v>
      </c>
      <c r="E117" s="50">
        <v>4</v>
      </c>
      <c r="F117" s="81">
        <f>IF(Table25[[#This Row],[Number of stocks]]&gt;0,Table25[[#This Row],[Number of stocks]],0)</f>
        <v>4</v>
      </c>
      <c r="G117" s="73">
        <f>Table25[[#This Row],[Bought]]*Table25[[#This Row],[Price]]</f>
        <v>308.48</v>
      </c>
      <c r="H117">
        <f>SUMIF(Table25[[#All],[Assets]],Table25[[#This Row],[Assets]],Table25[[#All],[Bought]])</f>
        <v>326</v>
      </c>
      <c r="I117">
        <f>SUMIF(Table25[[#All],[Assets]],Table25[[#This Row],[Assets]],Table25[[#All],[Bought Amount]])</f>
        <v>19172.809999999998</v>
      </c>
      <c r="J117" s="88">
        <f>IF(Table25[[#This Row],[Number of stocks]]&lt;0,Table25[[#This Row],[Number of stocks]],0)</f>
        <v>0</v>
      </c>
      <c r="K117" s="5">
        <f>Table25[[#This Row],[Sold]]*Table25[[#This Row],[Price]]</f>
        <v>0</v>
      </c>
      <c r="L117" s="8">
        <f>ABS(SUMIF(Table25[[#All],[Assets]],Table25[[#This Row],[Assets]],Table25[[#All],[Sold]]))</f>
        <v>283</v>
      </c>
      <c r="M117" s="5">
        <f>ABS(SUMIF(Table25[[#All],[Assets]],Table25[[#This Row],[Assets]],Table25[[#All],[Sold Amount]]))</f>
        <v>15700.74</v>
      </c>
      <c r="N117" s="5">
        <f>IFERROR(Table25[[#This Row],[Total sold amount]]/Table25[[#This Row],[Total Sold number of stocks]],"")</f>
        <v>55.47964664310954</v>
      </c>
      <c r="O117" s="4">
        <f>IFERROR(Table25[[#This Row],[Total Amount bought]]/Table25[[#This Row],[Total number bought]],"")</f>
        <v>58.812300613496923</v>
      </c>
      <c r="P117" s="4">
        <f>IFERROR((Table25[[#This Row],[Average sell price]]-Table25[[#This Row],[Average buy price]])*Table25[[#This Row],[Total Sold number of stocks]],0)</f>
        <v>-943.14107361962954</v>
      </c>
      <c r="Q117" s="85">
        <f>SUMIF(Table25[[#All],[Assets]],Table25[[#This Row],[Assets]],Table25[[#All],[Number of stocks]])</f>
        <v>43</v>
      </c>
    </row>
    <row r="118" spans="1:17">
      <c r="A118" t="e" vm="26">
        <v>#VALUE!</v>
      </c>
      <c r="B118" s="2">
        <v>45488</v>
      </c>
      <c r="C118" t="str" cm="1">
        <f t="array" aca="1" ref="C118" ca="1">_FV(A118,"Ticker symbol",TRUE)</f>
        <v>AEHR</v>
      </c>
      <c r="D118" s="4">
        <v>16.43</v>
      </c>
      <c r="E118" s="50">
        <v>45</v>
      </c>
      <c r="F118" s="81">
        <f>IF(Table25[[#This Row],[Number of stocks]]&gt;0,Table25[[#This Row],[Number of stocks]],0)</f>
        <v>45</v>
      </c>
      <c r="G118" s="73">
        <f>Table25[[#This Row],[Bought]]*Table25[[#This Row],[Price]]</f>
        <v>739.35</v>
      </c>
      <c r="H118">
        <f>SUMIF(Table25[[#All],[Assets]],Table25[[#This Row],[Assets]],Table25[[#All],[Bought]])</f>
        <v>559</v>
      </c>
      <c r="I118">
        <f>SUMIF(Table25[[#All],[Assets]],Table25[[#This Row],[Assets]],Table25[[#All],[Bought Amount]])</f>
        <v>7405.6399999999994</v>
      </c>
      <c r="J118" s="88">
        <f>IF(Table25[[#This Row],[Number of stocks]]&lt;0,Table25[[#This Row],[Number of stocks]],0)</f>
        <v>0</v>
      </c>
      <c r="K118" s="5">
        <f>Table25[[#This Row],[Sold]]*Table25[[#This Row],[Price]]</f>
        <v>0</v>
      </c>
      <c r="L118" s="8">
        <f>ABS(SUMIF(Table25[[#All],[Assets]],Table25[[#This Row],[Assets]],Table25[[#All],[Sold]]))</f>
        <v>539</v>
      </c>
      <c r="M118" s="5">
        <f>ABS(SUMIF(Table25[[#All],[Assets]],Table25[[#This Row],[Assets]],Table25[[#All],[Sold Amount]]))</f>
        <v>9662.32</v>
      </c>
      <c r="N118" s="5">
        <f>IFERROR(Table25[[#This Row],[Total sold amount]]/Table25[[#This Row],[Total Sold number of stocks]],"")</f>
        <v>17.92638218923933</v>
      </c>
      <c r="O118" s="4">
        <f>IFERROR(Table25[[#This Row],[Total Amount bought]]/Table25[[#This Row],[Total number bought]],"")</f>
        <v>13.248014311270124</v>
      </c>
      <c r="P118" s="4">
        <f>IFERROR((Table25[[#This Row],[Average sell price]]-Table25[[#This Row],[Average buy price]])*Table25[[#This Row],[Total Sold number of stocks]],0)</f>
        <v>2521.6402862254022</v>
      </c>
      <c r="Q118" s="85">
        <f>SUMIF(Table25[[#All],[Assets]],Table25[[#This Row],[Assets]],Table25[[#All],[Number of stocks]])</f>
        <v>20</v>
      </c>
    </row>
    <row r="119" spans="1:17">
      <c r="A119" t="e" vm="520">
        <v>#VALUE!</v>
      </c>
      <c r="B119" s="2">
        <v>45488</v>
      </c>
      <c r="C119" t="str" cm="1">
        <f t="array" aca="1" ref="C119" ca="1">_FV(A119,"Ticker symbol",TRUE)</f>
        <v>ACLS</v>
      </c>
      <c r="D119" s="4">
        <v>148.9</v>
      </c>
      <c r="E119" s="50">
        <v>3</v>
      </c>
      <c r="F119" s="81">
        <f>IF(Table25[[#This Row],[Number of stocks]]&gt;0,Table25[[#This Row],[Number of stocks]],0)</f>
        <v>3</v>
      </c>
      <c r="G119" s="73">
        <f>Table25[[#This Row],[Bought]]*Table25[[#This Row],[Price]]</f>
        <v>446.70000000000005</v>
      </c>
      <c r="H119">
        <f>SUMIF(Table25[[#All],[Assets]],Table25[[#This Row],[Assets]],Table25[[#All],[Bought]])</f>
        <v>7</v>
      </c>
      <c r="I119">
        <f>SUMIF(Table25[[#All],[Assets]],Table25[[#This Row],[Assets]],Table25[[#All],[Bought Amount]])</f>
        <v>898.38000000000011</v>
      </c>
      <c r="J119" s="88">
        <f>IF(Table25[[#This Row],[Number of stocks]]&lt;0,Table25[[#This Row],[Number of stocks]],0)</f>
        <v>0</v>
      </c>
      <c r="K119" s="5">
        <f>Table25[[#This Row],[Sold]]*Table25[[#This Row],[Price]]</f>
        <v>0</v>
      </c>
      <c r="L119" s="8">
        <f>ABS(SUMIF(Table25[[#All],[Assets]],Table25[[#This Row],[Assets]],Table25[[#All],[Sold]]))</f>
        <v>7</v>
      </c>
      <c r="M119" s="5">
        <f>ABS(SUMIF(Table25[[#All],[Assets]],Table25[[#This Row],[Assets]],Table25[[#All],[Sold Amount]]))</f>
        <v>423.28999999999996</v>
      </c>
      <c r="N119" s="5">
        <f>IFERROR(Table25[[#This Row],[Total sold amount]]/Table25[[#This Row],[Total Sold number of stocks]],"")</f>
        <v>60.469999999999992</v>
      </c>
      <c r="O119" s="4">
        <f>IFERROR(Table25[[#This Row],[Total Amount bought]]/Table25[[#This Row],[Total number bought]],"")</f>
        <v>128.34</v>
      </c>
      <c r="P119" s="4">
        <f>IFERROR((Table25[[#This Row],[Average sell price]]-Table25[[#This Row],[Average buy price]])*Table25[[#This Row],[Total Sold number of stocks]],0)</f>
        <v>-475.09000000000003</v>
      </c>
      <c r="Q119" s="85">
        <f>SUMIF(Table25[[#All],[Assets]],Table25[[#This Row],[Assets]],Table25[[#All],[Number of stocks]])</f>
        <v>0</v>
      </c>
    </row>
    <row r="120" spans="1:17">
      <c r="A120" t="e" vm="456">
        <v>#VALUE!</v>
      </c>
      <c r="B120" s="2">
        <v>45494</v>
      </c>
      <c r="C120" t="str" cm="1">
        <f t="array" aca="1" ref="C120" ca="1">_FV(A120,"Ticker symbol",TRUE)</f>
        <v>BIL</v>
      </c>
      <c r="D120" s="4">
        <v>91.67</v>
      </c>
      <c r="E120" s="50">
        <v>-10</v>
      </c>
      <c r="F120" s="81">
        <f>IF(Table25[[#This Row],[Number of stocks]]&gt;0,Table25[[#This Row],[Number of stocks]],0)</f>
        <v>0</v>
      </c>
      <c r="G120" s="73">
        <f>Table25[[#This Row],[Bought]]*Table25[[#This Row],[Price]]</f>
        <v>0</v>
      </c>
      <c r="H120">
        <f>SUMIF(Table25[[#All],[Assets]],Table25[[#This Row],[Assets]],Table25[[#All],[Bought]])</f>
        <v>419</v>
      </c>
      <c r="I120">
        <f>SUMIF(Table25[[#All],[Assets]],Table25[[#This Row],[Assets]],Table25[[#All],[Bought Amount]])</f>
        <v>38555.520000000004</v>
      </c>
      <c r="J120" s="88">
        <f>IF(Table25[[#This Row],[Number of stocks]]&lt;0,Table25[[#This Row],[Number of stocks]],0)</f>
        <v>-10</v>
      </c>
      <c r="K120" s="5">
        <f>Table25[[#This Row],[Sold]]*Table25[[#This Row],[Price]]</f>
        <v>-916.7</v>
      </c>
      <c r="L120" s="8">
        <f>ABS(SUMIF(Table25[[#All],[Assets]],Table25[[#This Row],[Assets]],Table25[[#All],[Sold]]))</f>
        <v>419</v>
      </c>
      <c r="M120" s="5">
        <f>ABS(SUMIF(Table25[[#All],[Assets]],Table25[[#This Row],[Assets]],Table25[[#All],[Sold Amount]]))</f>
        <v>38372</v>
      </c>
      <c r="N120" s="5">
        <f>IFERROR(Table25[[#This Row],[Total sold amount]]/Table25[[#This Row],[Total Sold number of stocks]],"")</f>
        <v>91.579952267303099</v>
      </c>
      <c r="O120" s="4">
        <f>IFERROR(Table25[[#This Row],[Total Amount bought]]/Table25[[#This Row],[Total number bought]],"")</f>
        <v>92.017947494033422</v>
      </c>
      <c r="P120" s="4">
        <f>IFERROR((Table25[[#This Row],[Average sell price]]-Table25[[#This Row],[Average buy price]])*Table25[[#This Row],[Total Sold number of stocks]],0)</f>
        <v>-183.5200000000051</v>
      </c>
      <c r="Q120" s="85">
        <f>SUMIF(Table25[[#All],[Assets]],Table25[[#This Row],[Assets]],Table25[[#All],[Number of stocks]])</f>
        <v>0</v>
      </c>
    </row>
    <row r="121" spans="1:17">
      <c r="A121" t="e" vm="456">
        <v>#VALUE!</v>
      </c>
      <c r="B121" s="2">
        <v>45491</v>
      </c>
      <c r="C121" t="str" cm="1">
        <f t="array" aca="1" ref="C121" ca="1">_FV(A121,"Ticker symbol",TRUE)</f>
        <v>BIL</v>
      </c>
      <c r="D121" s="4">
        <v>91.64</v>
      </c>
      <c r="E121" s="50">
        <v>11</v>
      </c>
      <c r="F121" s="81">
        <f>IF(Table25[[#This Row],[Number of stocks]]&gt;0,Table25[[#This Row],[Number of stocks]],0)</f>
        <v>11</v>
      </c>
      <c r="G121" s="73">
        <f>Table25[[#This Row],[Bought]]*Table25[[#This Row],[Price]]</f>
        <v>1008.04</v>
      </c>
      <c r="H121">
        <f>SUMIF(Table25[[#All],[Assets]],Table25[[#This Row],[Assets]],Table25[[#All],[Bought]])</f>
        <v>419</v>
      </c>
      <c r="I121">
        <f>SUMIF(Table25[[#All],[Assets]],Table25[[#This Row],[Assets]],Table25[[#All],[Bought Amount]])</f>
        <v>38555.520000000004</v>
      </c>
      <c r="J121" s="88">
        <f>IF(Table25[[#This Row],[Number of stocks]]&lt;0,Table25[[#This Row],[Number of stocks]],0)</f>
        <v>0</v>
      </c>
      <c r="K121" s="5">
        <f>Table25[[#This Row],[Sold]]*Table25[[#This Row],[Price]]</f>
        <v>0</v>
      </c>
      <c r="L121" s="8">
        <f>ABS(SUMIF(Table25[[#All],[Assets]],Table25[[#This Row],[Assets]],Table25[[#All],[Sold]]))</f>
        <v>419</v>
      </c>
      <c r="M121" s="5">
        <f>ABS(SUMIF(Table25[[#All],[Assets]],Table25[[#This Row],[Assets]],Table25[[#All],[Sold Amount]]))</f>
        <v>38372</v>
      </c>
      <c r="N121" s="5">
        <f>IFERROR(Table25[[#This Row],[Total sold amount]]/Table25[[#This Row],[Total Sold number of stocks]],"")</f>
        <v>91.579952267303099</v>
      </c>
      <c r="O121" s="4">
        <f>IFERROR(Table25[[#This Row],[Total Amount bought]]/Table25[[#This Row],[Total number bought]],"")</f>
        <v>92.017947494033422</v>
      </c>
      <c r="P121" s="4">
        <f>IFERROR((Table25[[#This Row],[Average sell price]]-Table25[[#This Row],[Average buy price]])*Table25[[#This Row],[Total Sold number of stocks]],0)</f>
        <v>-183.5200000000051</v>
      </c>
      <c r="Q121" s="85">
        <f>SUMIF(Table25[[#All],[Assets]],Table25[[#This Row],[Assets]],Table25[[#All],[Number of stocks]])</f>
        <v>0</v>
      </c>
    </row>
    <row r="122" spans="1:17">
      <c r="A122" t="e" vm="494">
        <v>#VALUE!</v>
      </c>
      <c r="B122" s="2">
        <v>45489</v>
      </c>
      <c r="C122" t="str" cm="1">
        <f t="array" aca="1" ref="C122" ca="1">_FV(A122,"Ticker symbol",TRUE)</f>
        <v>GEO</v>
      </c>
      <c r="D122" s="4">
        <v>17.75</v>
      </c>
      <c r="E122" s="50">
        <v>-5</v>
      </c>
      <c r="F122" s="81">
        <f>IF(Table25[[#This Row],[Number of stocks]]&gt;0,Table25[[#This Row],[Number of stocks]],0)</f>
        <v>0</v>
      </c>
      <c r="G122" s="73">
        <f>Table25[[#This Row],[Bought]]*Table25[[#This Row],[Price]]</f>
        <v>0</v>
      </c>
      <c r="H122">
        <f>SUMIF(Table25[[#All],[Assets]],Table25[[#This Row],[Assets]],Table25[[#All],[Bought]])</f>
        <v>30</v>
      </c>
      <c r="I122">
        <f>SUMIF(Table25[[#All],[Assets]],Table25[[#This Row],[Assets]],Table25[[#All],[Bought Amount]])</f>
        <v>426</v>
      </c>
      <c r="J122" s="88">
        <f>IF(Table25[[#This Row],[Number of stocks]]&lt;0,Table25[[#This Row],[Number of stocks]],0)</f>
        <v>-5</v>
      </c>
      <c r="K122" s="5">
        <f>Table25[[#This Row],[Sold]]*Table25[[#This Row],[Price]]</f>
        <v>-88.75</v>
      </c>
      <c r="L122" s="8">
        <f>ABS(SUMIF(Table25[[#All],[Assets]],Table25[[#This Row],[Assets]],Table25[[#All],[Sold]]))</f>
        <v>30</v>
      </c>
      <c r="M122" s="5">
        <f>ABS(SUMIF(Table25[[#All],[Assets]],Table25[[#This Row],[Assets]],Table25[[#All],[Sold Amount]]))</f>
        <v>487.75</v>
      </c>
      <c r="N122" s="5">
        <f>IFERROR(Table25[[#This Row],[Total sold amount]]/Table25[[#This Row],[Total Sold number of stocks]],"")</f>
        <v>16.258333333333333</v>
      </c>
      <c r="O122" s="4">
        <f>IFERROR(Table25[[#This Row],[Total Amount bought]]/Table25[[#This Row],[Total number bought]],"")</f>
        <v>14.2</v>
      </c>
      <c r="P122" s="4">
        <f>IFERROR((Table25[[#This Row],[Average sell price]]-Table25[[#This Row],[Average buy price]])*Table25[[#This Row],[Total Sold number of stocks]],0)</f>
        <v>61.750000000000007</v>
      </c>
      <c r="Q122" s="85">
        <f>SUMIF(Table25[[#All],[Assets]],Table25[[#This Row],[Assets]],Table25[[#All],[Number of stocks]])</f>
        <v>0</v>
      </c>
    </row>
    <row r="123" spans="1:17">
      <c r="A123" t="e" vm="290">
        <v>#VALUE!</v>
      </c>
      <c r="B123" s="2">
        <v>45489</v>
      </c>
      <c r="C123" t="str" cm="1">
        <f t="array" aca="1" ref="C123" ca="1">_FV(A123,"Ticker symbol",TRUE)</f>
        <v>O</v>
      </c>
      <c r="D123" s="4">
        <v>55.97</v>
      </c>
      <c r="E123" s="50">
        <v>-1</v>
      </c>
      <c r="F123" s="81">
        <f>IF(Table25[[#This Row],[Number of stocks]]&gt;0,Table25[[#This Row],[Number of stocks]],0)</f>
        <v>0</v>
      </c>
      <c r="G123" s="73">
        <f>Table25[[#This Row],[Bought]]*Table25[[#This Row],[Price]]</f>
        <v>0</v>
      </c>
      <c r="H123">
        <f>SUMIF(Table25[[#All],[Assets]],Table25[[#This Row],[Assets]],Table25[[#All],[Bought]])</f>
        <v>15</v>
      </c>
      <c r="I123">
        <f>SUMIF(Table25[[#All],[Assets]],Table25[[#This Row],[Assets]],Table25[[#All],[Bought Amount]])</f>
        <v>778.95</v>
      </c>
      <c r="J123" s="88">
        <f>IF(Table25[[#This Row],[Number of stocks]]&lt;0,Table25[[#This Row],[Number of stocks]],0)</f>
        <v>-1</v>
      </c>
      <c r="K123" s="5">
        <f>Table25[[#This Row],[Sold]]*Table25[[#This Row],[Price]]</f>
        <v>-55.97</v>
      </c>
      <c r="L123" s="8">
        <f>ABS(SUMIF(Table25[[#All],[Assets]],Table25[[#This Row],[Assets]],Table25[[#All],[Sold]]))</f>
        <v>15</v>
      </c>
      <c r="M123" s="5">
        <f>ABS(SUMIF(Table25[[#All],[Assets]],Table25[[#This Row],[Assets]],Table25[[#All],[Sold Amount]]))</f>
        <v>821.21</v>
      </c>
      <c r="N123" s="5">
        <f>IFERROR(Table25[[#This Row],[Total sold amount]]/Table25[[#This Row],[Total Sold number of stocks]],"")</f>
        <v>54.747333333333337</v>
      </c>
      <c r="O123" s="4">
        <f>IFERROR(Table25[[#This Row],[Total Amount bought]]/Table25[[#This Row],[Total number bought]],"")</f>
        <v>51.93</v>
      </c>
      <c r="P123" s="4">
        <f>IFERROR((Table25[[#This Row],[Average sell price]]-Table25[[#This Row],[Average buy price]])*Table25[[#This Row],[Total Sold number of stocks]],0)</f>
        <v>42.260000000000062</v>
      </c>
      <c r="Q123" s="85">
        <f>SUMIF(Table25[[#All],[Assets]],Table25[[#This Row],[Assets]],Table25[[#All],[Number of stocks]])</f>
        <v>0</v>
      </c>
    </row>
    <row r="124" spans="1:17">
      <c r="A124" t="e" vm="46">
        <v>#VALUE!</v>
      </c>
      <c r="B124" s="2">
        <v>45489</v>
      </c>
      <c r="C124" t="str" cm="1">
        <f t="array" aca="1" ref="C124" ca="1">_FV(A124,"Ticker symbol",TRUE)</f>
        <v>ASPI</v>
      </c>
      <c r="D124" s="4">
        <v>3.83</v>
      </c>
      <c r="E124" s="50">
        <v>-319</v>
      </c>
      <c r="F124" s="81">
        <f>IF(Table25[[#This Row],[Number of stocks]]&gt;0,Table25[[#This Row],[Number of stocks]],0)</f>
        <v>0</v>
      </c>
      <c r="G124" s="73">
        <f>Table25[[#This Row],[Bought]]*Table25[[#This Row],[Price]]</f>
        <v>0</v>
      </c>
      <c r="H124">
        <f>SUMIF(Table25[[#All],[Assets]],Table25[[#This Row],[Assets]],Table25[[#All],[Bought]])</f>
        <v>1899</v>
      </c>
      <c r="I124">
        <f>SUMIF(Table25[[#All],[Assets]],Table25[[#This Row],[Assets]],Table25[[#All],[Bought Amount]])</f>
        <v>8555.869999999999</v>
      </c>
      <c r="J124" s="88">
        <f>IF(Table25[[#This Row],[Number of stocks]]&lt;0,Table25[[#This Row],[Number of stocks]],0)</f>
        <v>-319</v>
      </c>
      <c r="K124" s="5">
        <f>Table25[[#This Row],[Sold]]*Table25[[#This Row],[Price]]</f>
        <v>-1221.77</v>
      </c>
      <c r="L124" s="8">
        <f>ABS(SUMIF(Table25[[#All],[Assets]],Table25[[#This Row],[Assets]],Table25[[#All],[Sold]]))</f>
        <v>1599</v>
      </c>
      <c r="M124" s="5">
        <f>ABS(SUMIF(Table25[[#All],[Assets]],Table25[[#This Row],[Assets]],Table25[[#All],[Sold Amount]]))</f>
        <v>8799.17</v>
      </c>
      <c r="N124" s="5">
        <f>IFERROR(Table25[[#This Row],[Total sold amount]]/Table25[[#This Row],[Total Sold number of stocks]],"")</f>
        <v>5.5029205753595996</v>
      </c>
      <c r="O124" s="4">
        <f>IFERROR(Table25[[#This Row],[Total Amount bought]]/Table25[[#This Row],[Total number bought]],"")</f>
        <v>4.5054607688256976</v>
      </c>
      <c r="P124" s="4">
        <f>IFERROR((Table25[[#This Row],[Average sell price]]-Table25[[#This Row],[Average buy price]])*Table25[[#This Row],[Total Sold number of stocks]],0)</f>
        <v>1594.9382306477094</v>
      </c>
      <c r="Q124" s="85">
        <f>SUMIF(Table25[[#All],[Assets]],Table25[[#This Row],[Assets]],Table25[[#All],[Number of stocks]])</f>
        <v>300</v>
      </c>
    </row>
    <row r="125" spans="1:17">
      <c r="A125" t="e" vm="80">
        <v>#VALUE!</v>
      </c>
      <c r="B125" s="2">
        <v>45489</v>
      </c>
      <c r="C125" t="str" cm="1">
        <f t="array" aca="1" ref="C125" ca="1">_FV(A125,"Ticker symbol",TRUE)</f>
        <v>PYPL</v>
      </c>
      <c r="D125" s="4">
        <v>61.2</v>
      </c>
      <c r="E125" s="50">
        <v>-20</v>
      </c>
      <c r="F125" s="81">
        <f>IF(Table25[[#This Row],[Number of stocks]]&gt;0,Table25[[#This Row],[Number of stocks]],0)</f>
        <v>0</v>
      </c>
      <c r="G125" s="73">
        <f>Table25[[#This Row],[Bought]]*Table25[[#This Row],[Price]]</f>
        <v>0</v>
      </c>
      <c r="H125">
        <f>SUMIF(Table25[[#All],[Assets]],Table25[[#This Row],[Assets]],Table25[[#All],[Bought]])</f>
        <v>223</v>
      </c>
      <c r="I125">
        <f>SUMIF(Table25[[#All],[Assets]],Table25[[#This Row],[Assets]],Table25[[#All],[Bought Amount]])</f>
        <v>14862.050000000003</v>
      </c>
      <c r="J125" s="88">
        <f>IF(Table25[[#This Row],[Number of stocks]]&lt;0,Table25[[#This Row],[Number of stocks]],0)</f>
        <v>-20</v>
      </c>
      <c r="K125" s="5">
        <f>Table25[[#This Row],[Sold]]*Table25[[#This Row],[Price]]</f>
        <v>-1224</v>
      </c>
      <c r="L125" s="8">
        <f>ABS(SUMIF(Table25[[#All],[Assets]],Table25[[#This Row],[Assets]],Table25[[#All],[Sold]]))</f>
        <v>222</v>
      </c>
      <c r="M125" s="5">
        <f>ABS(SUMIF(Table25[[#All],[Assets]],Table25[[#This Row],[Assets]],Table25[[#All],[Sold Amount]]))</f>
        <v>15255.44</v>
      </c>
      <c r="N125" s="5">
        <f>IFERROR(Table25[[#This Row],[Total sold amount]]/Table25[[#This Row],[Total Sold number of stocks]],"")</f>
        <v>68.718198198198195</v>
      </c>
      <c r="O125" s="4">
        <f>IFERROR(Table25[[#This Row],[Total Amount bought]]/Table25[[#This Row],[Total number bought]],"")</f>
        <v>66.645964125560553</v>
      </c>
      <c r="P125" s="4">
        <f>IFERROR((Table25[[#This Row],[Average sell price]]-Table25[[#This Row],[Average buy price]])*Table25[[#This Row],[Total Sold number of stocks]],0)</f>
        <v>460.03596412555646</v>
      </c>
      <c r="Q125" s="85">
        <f>SUMIF(Table25[[#All],[Assets]],Table25[[#This Row],[Assets]],Table25[[#All],[Number of stocks]])</f>
        <v>1</v>
      </c>
    </row>
    <row r="126" spans="1:17">
      <c r="A126" t="e" vm="493">
        <v>#VALUE!</v>
      </c>
      <c r="B126" s="2">
        <v>45489</v>
      </c>
      <c r="C126" t="str" cm="1">
        <f t="array" aca="1" ref="C126" ca="1">_FV(A126,"Ticker symbol",TRUE)</f>
        <v>TELL</v>
      </c>
      <c r="D126" s="4">
        <v>0.65</v>
      </c>
      <c r="E126" s="50">
        <v>-400</v>
      </c>
      <c r="F126" s="81">
        <f>IF(Table25[[#This Row],[Number of stocks]]&gt;0,Table25[[#This Row],[Number of stocks]],0)</f>
        <v>0</v>
      </c>
      <c r="G126" s="73">
        <f>Table25[[#This Row],[Bought]]*Table25[[#This Row],[Price]]</f>
        <v>0</v>
      </c>
      <c r="H126">
        <f>SUMIF(Table25[[#All],[Assets]],Table25[[#This Row],[Assets]],Table25[[#All],[Bought]])</f>
        <v>800</v>
      </c>
      <c r="I126">
        <f>SUMIF(Table25[[#All],[Assets]],Table25[[#This Row],[Assets]],Table25[[#All],[Bought Amount]])</f>
        <v>518.96</v>
      </c>
      <c r="J126" s="88">
        <f>IF(Table25[[#This Row],[Number of stocks]]&lt;0,Table25[[#This Row],[Number of stocks]],0)</f>
        <v>-400</v>
      </c>
      <c r="K126" s="5">
        <f>Table25[[#This Row],[Sold]]*Table25[[#This Row],[Price]]</f>
        <v>-260</v>
      </c>
      <c r="L126" s="8">
        <f>ABS(SUMIF(Table25[[#All],[Assets]],Table25[[#This Row],[Assets]],Table25[[#All],[Sold]]))</f>
        <v>800</v>
      </c>
      <c r="M126" s="5">
        <f>ABS(SUMIF(Table25[[#All],[Assets]],Table25[[#This Row],[Assets]],Table25[[#All],[Sold Amount]]))</f>
        <v>632</v>
      </c>
      <c r="N126" s="5">
        <f>IFERROR(Table25[[#This Row],[Total sold amount]]/Table25[[#This Row],[Total Sold number of stocks]],"")</f>
        <v>0.79</v>
      </c>
      <c r="O126" s="4">
        <f>IFERROR(Table25[[#This Row],[Total Amount bought]]/Table25[[#This Row],[Total number bought]],"")</f>
        <v>0.64870000000000005</v>
      </c>
      <c r="P126" s="4">
        <f>IFERROR((Table25[[#This Row],[Average sell price]]-Table25[[#This Row],[Average buy price]])*Table25[[#This Row],[Total Sold number of stocks]],0)</f>
        <v>113.03999999999999</v>
      </c>
      <c r="Q126" s="85">
        <f>SUMIF(Table25[[#All],[Assets]],Table25[[#This Row],[Assets]],Table25[[#All],[Number of stocks]])</f>
        <v>0</v>
      </c>
    </row>
    <row r="127" spans="1:17">
      <c r="A127" t="e" vm="169">
        <v>#VALUE!</v>
      </c>
      <c r="B127" s="2">
        <v>45489</v>
      </c>
      <c r="C127" t="str" cm="1">
        <f t="array" aca="1" ref="C127" ca="1">_FV(A127,"Ticker symbol",TRUE)</f>
        <v>CVS</v>
      </c>
      <c r="D127" s="4">
        <v>60.21</v>
      </c>
      <c r="E127" s="50">
        <v>-19</v>
      </c>
      <c r="F127" s="81">
        <f>IF(Table25[[#This Row],[Number of stocks]]&gt;0,Table25[[#This Row],[Number of stocks]],0)</f>
        <v>0</v>
      </c>
      <c r="G127" s="73">
        <f>Table25[[#This Row],[Bought]]*Table25[[#This Row],[Price]]</f>
        <v>0</v>
      </c>
      <c r="H127">
        <f>SUMIF(Table25[[#All],[Assets]],Table25[[#This Row],[Assets]],Table25[[#All],[Bought]])</f>
        <v>104</v>
      </c>
      <c r="I127">
        <f>SUMIF(Table25[[#All],[Assets]],Table25[[#This Row],[Assets]],Table25[[#All],[Bought Amount]])</f>
        <v>6111.46</v>
      </c>
      <c r="J127" s="88">
        <f>IF(Table25[[#This Row],[Number of stocks]]&lt;0,Table25[[#This Row],[Number of stocks]],0)</f>
        <v>-19</v>
      </c>
      <c r="K127" s="5">
        <f>Table25[[#This Row],[Sold]]*Table25[[#This Row],[Price]]</f>
        <v>-1143.99</v>
      </c>
      <c r="L127" s="8">
        <f>ABS(SUMIF(Table25[[#All],[Assets]],Table25[[#This Row],[Assets]],Table25[[#All],[Sold]]))</f>
        <v>104</v>
      </c>
      <c r="M127" s="5">
        <f>ABS(SUMIF(Table25[[#All],[Assets]],Table25[[#This Row],[Assets]],Table25[[#All],[Sold Amount]]))</f>
        <v>6244.5899999999992</v>
      </c>
      <c r="N127" s="5">
        <f>IFERROR(Table25[[#This Row],[Total sold amount]]/Table25[[#This Row],[Total Sold number of stocks]],"")</f>
        <v>60.044134615384607</v>
      </c>
      <c r="O127" s="4">
        <f>IFERROR(Table25[[#This Row],[Total Amount bought]]/Table25[[#This Row],[Total number bought]],"")</f>
        <v>58.764038461538462</v>
      </c>
      <c r="P127" s="4">
        <f>IFERROR((Table25[[#This Row],[Average sell price]]-Table25[[#This Row],[Average buy price]])*Table25[[#This Row],[Total Sold number of stocks]],0)</f>
        <v>133.12999999999909</v>
      </c>
      <c r="Q127" s="85">
        <f>SUMIF(Table25[[#All],[Assets]],Table25[[#This Row],[Assets]],Table25[[#All],[Number of stocks]])</f>
        <v>0</v>
      </c>
    </row>
    <row r="128" spans="1:17">
      <c r="A128" t="e" vm="456">
        <v>#VALUE!</v>
      </c>
      <c r="B128" s="2">
        <v>45489</v>
      </c>
      <c r="C128" t="str" cm="1">
        <f t="array" aca="1" ref="C128" ca="1">_FV(A128,"Ticker symbol",TRUE)</f>
        <v>BIL</v>
      </c>
      <c r="D128" s="4">
        <v>91.61</v>
      </c>
      <c r="E128" s="50">
        <v>-10</v>
      </c>
      <c r="F128" s="81">
        <f>IF(Table25[[#This Row],[Number of stocks]]&gt;0,Table25[[#This Row],[Number of stocks]],0)</f>
        <v>0</v>
      </c>
      <c r="G128" s="73">
        <f>Table25[[#This Row],[Bought]]*Table25[[#This Row],[Price]]</f>
        <v>0</v>
      </c>
      <c r="H128">
        <f>SUMIF(Table25[[#All],[Assets]],Table25[[#This Row],[Assets]],Table25[[#All],[Bought]])</f>
        <v>419</v>
      </c>
      <c r="I128">
        <f>SUMIF(Table25[[#All],[Assets]],Table25[[#This Row],[Assets]],Table25[[#All],[Bought Amount]])</f>
        <v>38555.520000000004</v>
      </c>
      <c r="J128" s="88">
        <f>IF(Table25[[#This Row],[Number of stocks]]&lt;0,Table25[[#This Row],[Number of stocks]],0)</f>
        <v>-10</v>
      </c>
      <c r="K128" s="5">
        <f>Table25[[#This Row],[Sold]]*Table25[[#This Row],[Price]]</f>
        <v>-916.1</v>
      </c>
      <c r="L128" s="8">
        <f>ABS(SUMIF(Table25[[#All],[Assets]],Table25[[#This Row],[Assets]],Table25[[#All],[Sold]]))</f>
        <v>419</v>
      </c>
      <c r="M128" s="5">
        <f>ABS(SUMIF(Table25[[#All],[Assets]],Table25[[#This Row],[Assets]],Table25[[#All],[Sold Amount]]))</f>
        <v>38372</v>
      </c>
      <c r="N128" s="5">
        <f>IFERROR(Table25[[#This Row],[Total sold amount]]/Table25[[#This Row],[Total Sold number of stocks]],"")</f>
        <v>91.579952267303099</v>
      </c>
      <c r="O128" s="4">
        <f>IFERROR(Table25[[#This Row],[Total Amount bought]]/Table25[[#This Row],[Total number bought]],"")</f>
        <v>92.017947494033422</v>
      </c>
      <c r="P128" s="4">
        <f>IFERROR((Table25[[#This Row],[Average sell price]]-Table25[[#This Row],[Average buy price]])*Table25[[#This Row],[Total Sold number of stocks]],0)</f>
        <v>-183.5200000000051</v>
      </c>
      <c r="Q128" s="85">
        <f>SUMIF(Table25[[#All],[Assets]],Table25[[#This Row],[Assets]],Table25[[#All],[Number of stocks]])</f>
        <v>0</v>
      </c>
    </row>
    <row r="129" spans="1:17">
      <c r="A129" t="e" vm="85">
        <v>#VALUE!</v>
      </c>
      <c r="B129" s="2">
        <v>45489</v>
      </c>
      <c r="C129" t="str" cm="1">
        <f t="array" aca="1" ref="C129" ca="1">_FV(A129,"Ticker symbol",TRUE)</f>
        <v>HOOD</v>
      </c>
      <c r="D129" s="4">
        <v>25.84</v>
      </c>
      <c r="E129" s="50">
        <v>2</v>
      </c>
      <c r="F129" s="81">
        <f>IF(Table25[[#This Row],[Number of stocks]]&gt;0,Table25[[#This Row],[Number of stocks]],0)</f>
        <v>2</v>
      </c>
      <c r="G129" s="73">
        <f>Table25[[#This Row],[Bought]]*Table25[[#This Row],[Price]]</f>
        <v>51.68</v>
      </c>
      <c r="H129">
        <f>SUMIF(Table25[[#All],[Assets]],Table25[[#This Row],[Assets]],Table25[[#All],[Bought]])</f>
        <v>105</v>
      </c>
      <c r="I129">
        <f>SUMIF(Table25[[#All],[Assets]],Table25[[#This Row],[Assets]],Table25[[#All],[Bought Amount]])</f>
        <v>4056.0900000000006</v>
      </c>
      <c r="J129" s="88">
        <f>IF(Table25[[#This Row],[Number of stocks]]&lt;0,Table25[[#This Row],[Number of stocks]],0)</f>
        <v>0</v>
      </c>
      <c r="K129" s="5">
        <f>Table25[[#This Row],[Sold]]*Table25[[#This Row],[Price]]</f>
        <v>0</v>
      </c>
      <c r="L129" s="8">
        <f>ABS(SUMIF(Table25[[#All],[Assets]],Table25[[#This Row],[Assets]],Table25[[#All],[Sold]]))</f>
        <v>80</v>
      </c>
      <c r="M129" s="5">
        <f>ABS(SUMIF(Table25[[#All],[Assets]],Table25[[#This Row],[Assets]],Table25[[#All],[Sold Amount]]))</f>
        <v>2255.4300000000003</v>
      </c>
      <c r="N129" s="5">
        <f>IFERROR(Table25[[#This Row],[Total sold amount]]/Table25[[#This Row],[Total Sold number of stocks]],"")</f>
        <v>28.192875000000004</v>
      </c>
      <c r="O129" s="4">
        <f>IFERROR(Table25[[#This Row],[Total Amount bought]]/Table25[[#This Row],[Total number bought]],"")</f>
        <v>38.629428571428576</v>
      </c>
      <c r="P129" s="4">
        <f>IFERROR((Table25[[#This Row],[Average sell price]]-Table25[[#This Row],[Average buy price]])*Table25[[#This Row],[Total Sold number of stocks]],0)</f>
        <v>-834.92428571428582</v>
      </c>
      <c r="Q129" s="85">
        <f>SUMIF(Table25[[#All],[Assets]],Table25[[#This Row],[Assets]],Table25[[#All],[Number of stocks]])</f>
        <v>25</v>
      </c>
    </row>
    <row r="130" spans="1:17">
      <c r="A130" t="e" vm="497">
        <v>#VALUE!</v>
      </c>
      <c r="B130" s="2">
        <v>45489</v>
      </c>
      <c r="C130" t="str" cm="1">
        <f t="array" aca="1" ref="C130" ca="1">_FV(A130,"Ticker symbol",TRUE)</f>
        <v>SBOW</v>
      </c>
      <c r="D130" s="4">
        <v>38.83</v>
      </c>
      <c r="E130" s="50">
        <v>-15</v>
      </c>
      <c r="F130" s="81">
        <f>IF(Table25[[#This Row],[Number of stocks]]&gt;0,Table25[[#This Row],[Number of stocks]],0)</f>
        <v>0</v>
      </c>
      <c r="G130" s="73">
        <f>Table25[[#This Row],[Bought]]*Table25[[#This Row],[Price]]</f>
        <v>0</v>
      </c>
      <c r="H130">
        <f>SUMIF(Table25[[#All],[Assets]],Table25[[#This Row],[Assets]],Table25[[#All],[Bought]])</f>
        <v>52.03</v>
      </c>
      <c r="I130">
        <f>SUMIF(Table25[[#All],[Assets]],Table25[[#This Row],[Assets]],Table25[[#All],[Bought Amount]])</f>
        <v>1648.8343</v>
      </c>
      <c r="J130" s="88">
        <f>IF(Table25[[#This Row],[Number of stocks]]&lt;0,Table25[[#This Row],[Number of stocks]],0)</f>
        <v>-15</v>
      </c>
      <c r="K130" s="5">
        <f>Table25[[#This Row],[Sold]]*Table25[[#This Row],[Price]]</f>
        <v>-582.44999999999993</v>
      </c>
      <c r="L130" s="8">
        <f>ABS(SUMIF(Table25[[#All],[Assets]],Table25[[#This Row],[Assets]],Table25[[#All],[Sold]]))</f>
        <v>52.03</v>
      </c>
      <c r="M130" s="5">
        <f>ABS(SUMIF(Table25[[#All],[Assets]],Table25[[#This Row],[Assets]],Table25[[#All],[Sold Amount]]))</f>
        <v>1395.6288</v>
      </c>
      <c r="N130" s="5">
        <f>IFERROR(Table25[[#This Row],[Total sold amount]]/Table25[[#This Row],[Total Sold number of stocks]],"")</f>
        <v>26.823540265231596</v>
      </c>
      <c r="O130" s="4">
        <f>IFERROR(Table25[[#This Row],[Total Amount bought]]/Table25[[#This Row],[Total number bought]],"")</f>
        <v>31.690069190851432</v>
      </c>
      <c r="P130" s="4">
        <f>IFERROR((Table25[[#This Row],[Average sell price]]-Table25[[#This Row],[Average buy price]])*Table25[[#This Row],[Total Sold number of stocks]],0)</f>
        <v>-253.20550000000006</v>
      </c>
      <c r="Q130" s="85">
        <f>SUMIF(Table25[[#All],[Assets]],Table25[[#This Row],[Assets]],Table25[[#All],[Number of stocks]])</f>
        <v>0</v>
      </c>
    </row>
    <row r="131" spans="1:17">
      <c r="A131" t="e" vm="32">
        <v>#VALUE!</v>
      </c>
      <c r="B131" s="2">
        <v>45489</v>
      </c>
      <c r="C131" t="str" cm="1">
        <f t="array" aca="1" ref="C131" ca="1">_FV(A131,"Ticker symbol",TRUE)</f>
        <v>MU</v>
      </c>
      <c r="D131" s="4">
        <v>128.62</v>
      </c>
      <c r="E131" s="50">
        <v>3</v>
      </c>
      <c r="F131" s="81">
        <f>IF(Table25[[#This Row],[Number of stocks]]&gt;0,Table25[[#This Row],[Number of stocks]],0)</f>
        <v>3</v>
      </c>
      <c r="G131" s="73">
        <f>Table25[[#This Row],[Bought]]*Table25[[#This Row],[Price]]</f>
        <v>385.86</v>
      </c>
      <c r="H131">
        <f>SUMIF(Table25[[#All],[Assets]],Table25[[#This Row],[Assets]],Table25[[#All],[Bought]])</f>
        <v>59</v>
      </c>
      <c r="I131">
        <f>SUMIF(Table25[[#All],[Assets]],Table25[[#This Row],[Assets]],Table25[[#All],[Bought Amount]])</f>
        <v>6964.04</v>
      </c>
      <c r="J131" s="88">
        <f>IF(Table25[[#This Row],[Number of stocks]]&lt;0,Table25[[#This Row],[Number of stocks]],0)</f>
        <v>0</v>
      </c>
      <c r="K131" s="5">
        <f>Table25[[#This Row],[Sold]]*Table25[[#This Row],[Price]]</f>
        <v>0</v>
      </c>
      <c r="L131" s="8">
        <f>ABS(SUMIF(Table25[[#All],[Assets]],Table25[[#This Row],[Assets]],Table25[[#All],[Sold]]))</f>
        <v>58</v>
      </c>
      <c r="M131" s="5">
        <f>ABS(SUMIF(Table25[[#All],[Assets]],Table25[[#This Row],[Assets]],Table25[[#All],[Sold Amount]]))</f>
        <v>6974.51</v>
      </c>
      <c r="N131" s="5">
        <f>IFERROR(Table25[[#This Row],[Total sold amount]]/Table25[[#This Row],[Total Sold number of stocks]],"")</f>
        <v>120.25017241379311</v>
      </c>
      <c r="O131" s="4">
        <f>IFERROR(Table25[[#This Row],[Total Amount bought]]/Table25[[#This Row],[Total number bought]],"")</f>
        <v>118.03457627118644</v>
      </c>
      <c r="P131" s="4">
        <f>IFERROR((Table25[[#This Row],[Average sell price]]-Table25[[#This Row],[Average buy price]])*Table25[[#This Row],[Total Sold number of stocks]],0)</f>
        <v>128.50457627118692</v>
      </c>
      <c r="Q131" s="85">
        <f>SUMIF(Table25[[#All],[Assets]],Table25[[#This Row],[Assets]],Table25[[#All],[Number of stocks]])</f>
        <v>1</v>
      </c>
    </row>
    <row r="132" spans="1:17">
      <c r="A132" t="e" vm="32">
        <v>#VALUE!</v>
      </c>
      <c r="B132" s="2">
        <v>45489</v>
      </c>
      <c r="C132" t="str" cm="1">
        <f t="array" aca="1" ref="C132" ca="1">_FV(A132,"Ticker symbol",TRUE)</f>
        <v>MU</v>
      </c>
      <c r="D132" s="4">
        <v>127.88</v>
      </c>
      <c r="E132" s="50">
        <v>1</v>
      </c>
      <c r="F132" s="81">
        <f>IF(Table25[[#This Row],[Number of stocks]]&gt;0,Table25[[#This Row],[Number of stocks]],0)</f>
        <v>1</v>
      </c>
      <c r="G132" s="73">
        <f>Table25[[#This Row],[Bought]]*Table25[[#This Row],[Price]]</f>
        <v>127.88</v>
      </c>
      <c r="H132">
        <f>SUMIF(Table25[[#All],[Assets]],Table25[[#This Row],[Assets]],Table25[[#All],[Bought]])</f>
        <v>59</v>
      </c>
      <c r="I132">
        <f>SUMIF(Table25[[#All],[Assets]],Table25[[#This Row],[Assets]],Table25[[#All],[Bought Amount]])</f>
        <v>6964.04</v>
      </c>
      <c r="J132" s="88">
        <f>IF(Table25[[#This Row],[Number of stocks]]&lt;0,Table25[[#This Row],[Number of stocks]],0)</f>
        <v>0</v>
      </c>
      <c r="K132" s="5">
        <f>Table25[[#This Row],[Sold]]*Table25[[#This Row],[Price]]</f>
        <v>0</v>
      </c>
      <c r="L132" s="8">
        <f>ABS(SUMIF(Table25[[#All],[Assets]],Table25[[#This Row],[Assets]],Table25[[#All],[Sold]]))</f>
        <v>58</v>
      </c>
      <c r="M132" s="5">
        <f>ABS(SUMIF(Table25[[#All],[Assets]],Table25[[#This Row],[Assets]],Table25[[#All],[Sold Amount]]))</f>
        <v>6974.51</v>
      </c>
      <c r="N132" s="5">
        <f>IFERROR(Table25[[#This Row],[Total sold amount]]/Table25[[#This Row],[Total Sold number of stocks]],"")</f>
        <v>120.25017241379311</v>
      </c>
      <c r="O132" s="4">
        <f>IFERROR(Table25[[#This Row],[Total Amount bought]]/Table25[[#This Row],[Total number bought]],"")</f>
        <v>118.03457627118644</v>
      </c>
      <c r="P132" s="4">
        <f>IFERROR((Table25[[#This Row],[Average sell price]]-Table25[[#This Row],[Average buy price]])*Table25[[#This Row],[Total Sold number of stocks]],0)</f>
        <v>128.50457627118692</v>
      </c>
      <c r="Q132" s="85">
        <f>SUMIF(Table25[[#All],[Assets]],Table25[[#This Row],[Assets]],Table25[[#All],[Number of stocks]])</f>
        <v>1</v>
      </c>
    </row>
    <row r="133" spans="1:17">
      <c r="A133" t="e" vm="415">
        <v>#VALUE!</v>
      </c>
      <c r="B133" s="2">
        <v>45489</v>
      </c>
      <c r="C133" t="str" cm="1">
        <f t="array" aca="1" ref="C133" ca="1">_FV(A133,"Ticker symbol",TRUE)</f>
        <v>TUA</v>
      </c>
      <c r="D133" s="4">
        <v>21.9</v>
      </c>
      <c r="E133" s="50">
        <v>-60</v>
      </c>
      <c r="F133" s="81">
        <f>IF(Table25[[#This Row],[Number of stocks]]&gt;0,Table25[[#This Row],[Number of stocks]],0)</f>
        <v>0</v>
      </c>
      <c r="G133" s="73">
        <f>Table25[[#This Row],[Bought]]*Table25[[#This Row],[Price]]</f>
        <v>0</v>
      </c>
      <c r="H133">
        <f>SUMIF(Table25[[#All],[Assets]],Table25[[#This Row],[Assets]],Table25[[#All],[Bought]])</f>
        <v>260</v>
      </c>
      <c r="I133">
        <f>SUMIF(Table25[[#All],[Assets]],Table25[[#This Row],[Assets]],Table25[[#All],[Bought Amount]])</f>
        <v>5808.1</v>
      </c>
      <c r="J133" s="88">
        <f>IF(Table25[[#This Row],[Number of stocks]]&lt;0,Table25[[#This Row],[Number of stocks]],0)</f>
        <v>-60</v>
      </c>
      <c r="K133" s="5">
        <f>Table25[[#This Row],[Sold]]*Table25[[#This Row],[Price]]</f>
        <v>-1314</v>
      </c>
      <c r="L133" s="8">
        <f>ABS(SUMIF(Table25[[#All],[Assets]],Table25[[#This Row],[Assets]],Table25[[#All],[Sold]]))</f>
        <v>260</v>
      </c>
      <c r="M133" s="5">
        <f>ABS(SUMIF(Table25[[#All],[Assets]],Table25[[#This Row],[Assets]],Table25[[#All],[Sold Amount]]))</f>
        <v>5788.97</v>
      </c>
      <c r="N133" s="5">
        <f>IFERROR(Table25[[#This Row],[Total sold amount]]/Table25[[#This Row],[Total Sold number of stocks]],"")</f>
        <v>22.265269230769231</v>
      </c>
      <c r="O133" s="4">
        <f>IFERROR(Table25[[#This Row],[Total Amount bought]]/Table25[[#This Row],[Total number bought]],"")</f>
        <v>22.338846153846156</v>
      </c>
      <c r="P133" s="4">
        <f>IFERROR((Table25[[#This Row],[Average sell price]]-Table25[[#This Row],[Average buy price]])*Table25[[#This Row],[Total Sold number of stocks]],0)</f>
        <v>-19.130000000000322</v>
      </c>
      <c r="Q133" s="85">
        <f>SUMIF(Table25[[#All],[Assets]],Table25[[#This Row],[Assets]],Table25[[#All],[Number of stocks]])</f>
        <v>0</v>
      </c>
    </row>
    <row r="134" spans="1:17">
      <c r="A134" t="e" vm="437">
        <v>#VALUE!</v>
      </c>
      <c r="B134" s="2">
        <v>45491</v>
      </c>
      <c r="C134" t="str" cm="1">
        <f t="array" aca="1" ref="C134" ca="1">_FV(A134,"Ticker symbol",TRUE)</f>
        <v>EMXC</v>
      </c>
      <c r="D134" s="4">
        <v>60.84</v>
      </c>
      <c r="E134" s="50">
        <v>14</v>
      </c>
      <c r="F134" s="81">
        <f>IF(Table25[[#This Row],[Number of stocks]]&gt;0,Table25[[#This Row],[Number of stocks]],0)</f>
        <v>14</v>
      </c>
      <c r="G134" s="73">
        <f>Table25[[#This Row],[Bought]]*Table25[[#This Row],[Price]]</f>
        <v>851.76</v>
      </c>
      <c r="H134">
        <f>SUMIF(Table25[[#All],[Assets]],Table25[[#This Row],[Assets]],Table25[[#All],[Bought]])</f>
        <v>14</v>
      </c>
      <c r="I134">
        <f>SUMIF(Table25[[#All],[Assets]],Table25[[#This Row],[Assets]],Table25[[#All],[Bought Amount]])</f>
        <v>851.76</v>
      </c>
      <c r="J134" s="88">
        <f>IF(Table25[[#This Row],[Number of stocks]]&lt;0,Table25[[#This Row],[Number of stocks]],0)</f>
        <v>0</v>
      </c>
      <c r="K134" s="5">
        <f>Table25[[#This Row],[Sold]]*Table25[[#This Row],[Price]]</f>
        <v>0</v>
      </c>
      <c r="L134" s="8">
        <f>ABS(SUMIF(Table25[[#All],[Assets]],Table25[[#This Row],[Assets]],Table25[[#All],[Sold]]))</f>
        <v>14</v>
      </c>
      <c r="M134" s="5">
        <f>ABS(SUMIF(Table25[[#All],[Assets]],Table25[[#This Row],[Assets]],Table25[[#All],[Sold Amount]]))</f>
        <v>850.78000000000009</v>
      </c>
      <c r="N134" s="5">
        <f>IFERROR(Table25[[#This Row],[Total sold amount]]/Table25[[#This Row],[Total Sold number of stocks]],"")</f>
        <v>60.77</v>
      </c>
      <c r="O134" s="4">
        <f>IFERROR(Table25[[#This Row],[Total Amount bought]]/Table25[[#This Row],[Total number bought]],"")</f>
        <v>60.839999999999996</v>
      </c>
      <c r="P134" s="4">
        <f>IFERROR((Table25[[#This Row],[Average sell price]]-Table25[[#This Row],[Average buy price]])*Table25[[#This Row],[Total Sold number of stocks]],0)</f>
        <v>-0.9799999999999045</v>
      </c>
      <c r="Q134" s="85">
        <f>SUMIF(Table25[[#All],[Assets]],Table25[[#This Row],[Assets]],Table25[[#All],[Number of stocks]])</f>
        <v>0</v>
      </c>
    </row>
    <row r="135" spans="1:17">
      <c r="A135" t="e" vm="456">
        <v>#VALUE!</v>
      </c>
      <c r="B135" s="2">
        <v>45489</v>
      </c>
      <c r="C135" t="str" cm="1">
        <f t="array" aca="1" ref="C135" ca="1">_FV(A135,"Ticker symbol",TRUE)</f>
        <v>BIL</v>
      </c>
      <c r="D135" s="4">
        <v>91.6</v>
      </c>
      <c r="E135" s="50">
        <v>30</v>
      </c>
      <c r="F135" s="81">
        <f>IF(Table25[[#This Row],[Number of stocks]]&gt;0,Table25[[#This Row],[Number of stocks]],0)</f>
        <v>30</v>
      </c>
      <c r="G135" s="73">
        <f>Table25[[#This Row],[Bought]]*Table25[[#This Row],[Price]]</f>
        <v>2748</v>
      </c>
      <c r="H135">
        <f>SUMIF(Table25[[#All],[Assets]],Table25[[#This Row],[Assets]],Table25[[#All],[Bought]])</f>
        <v>419</v>
      </c>
      <c r="I135">
        <f>SUMIF(Table25[[#All],[Assets]],Table25[[#This Row],[Assets]],Table25[[#All],[Bought Amount]])</f>
        <v>38555.520000000004</v>
      </c>
      <c r="J135" s="88">
        <f>IF(Table25[[#This Row],[Number of stocks]]&lt;0,Table25[[#This Row],[Number of stocks]],0)</f>
        <v>0</v>
      </c>
      <c r="K135" s="5">
        <f>Table25[[#This Row],[Sold]]*Table25[[#This Row],[Price]]</f>
        <v>0</v>
      </c>
      <c r="L135" s="8">
        <f>ABS(SUMIF(Table25[[#All],[Assets]],Table25[[#This Row],[Assets]],Table25[[#All],[Sold]]))</f>
        <v>419</v>
      </c>
      <c r="M135" s="5">
        <f>ABS(SUMIF(Table25[[#All],[Assets]],Table25[[#This Row],[Assets]],Table25[[#All],[Sold Amount]]))</f>
        <v>38372</v>
      </c>
      <c r="N135" s="5">
        <f>IFERROR(Table25[[#This Row],[Total sold amount]]/Table25[[#This Row],[Total Sold number of stocks]],"")</f>
        <v>91.579952267303099</v>
      </c>
      <c r="O135" s="4">
        <f>IFERROR(Table25[[#This Row],[Total Amount bought]]/Table25[[#This Row],[Total number bought]],"")</f>
        <v>92.017947494033422</v>
      </c>
      <c r="P135" s="4">
        <f>IFERROR((Table25[[#This Row],[Average sell price]]-Table25[[#This Row],[Average buy price]])*Table25[[#This Row],[Total Sold number of stocks]],0)</f>
        <v>-183.5200000000051</v>
      </c>
      <c r="Q135" s="85">
        <f>SUMIF(Table25[[#All],[Assets]],Table25[[#This Row],[Assets]],Table25[[#All],[Number of stocks]])</f>
        <v>0</v>
      </c>
    </row>
    <row r="136" spans="1:17">
      <c r="A136" t="e" vm="456">
        <v>#VALUE!</v>
      </c>
      <c r="B136" s="2">
        <v>45488</v>
      </c>
      <c r="C136" t="str" cm="1">
        <f t="array" aca="1" ref="C136" ca="1">_FV(A136,"Ticker symbol",TRUE)</f>
        <v>BIL</v>
      </c>
      <c r="D136" s="4">
        <v>91.59</v>
      </c>
      <c r="E136" s="50">
        <v>-13</v>
      </c>
      <c r="F136" s="81">
        <f>IF(Table25[[#This Row],[Number of stocks]]&gt;0,Table25[[#This Row],[Number of stocks]],0)</f>
        <v>0</v>
      </c>
      <c r="G136" s="73">
        <f>Table25[[#This Row],[Bought]]*Table25[[#This Row],[Price]]</f>
        <v>0</v>
      </c>
      <c r="H136">
        <f>SUMIF(Table25[[#All],[Assets]],Table25[[#This Row],[Assets]],Table25[[#All],[Bought]])</f>
        <v>419</v>
      </c>
      <c r="I136">
        <f>SUMIF(Table25[[#All],[Assets]],Table25[[#This Row],[Assets]],Table25[[#All],[Bought Amount]])</f>
        <v>38555.520000000004</v>
      </c>
      <c r="J136" s="88">
        <f>IF(Table25[[#This Row],[Number of stocks]]&lt;0,Table25[[#This Row],[Number of stocks]],0)</f>
        <v>-13</v>
      </c>
      <c r="K136" s="5">
        <f>Table25[[#This Row],[Sold]]*Table25[[#This Row],[Price]]</f>
        <v>-1190.67</v>
      </c>
      <c r="L136" s="8">
        <f>ABS(SUMIF(Table25[[#All],[Assets]],Table25[[#This Row],[Assets]],Table25[[#All],[Sold]]))</f>
        <v>419</v>
      </c>
      <c r="M136" s="5">
        <f>ABS(SUMIF(Table25[[#All],[Assets]],Table25[[#This Row],[Assets]],Table25[[#All],[Sold Amount]]))</f>
        <v>38372</v>
      </c>
      <c r="N136" s="5">
        <f>IFERROR(Table25[[#This Row],[Total sold amount]]/Table25[[#This Row],[Total Sold number of stocks]],"")</f>
        <v>91.579952267303099</v>
      </c>
      <c r="O136" s="4">
        <f>IFERROR(Table25[[#This Row],[Total Amount bought]]/Table25[[#This Row],[Total number bought]],"")</f>
        <v>92.017947494033422</v>
      </c>
      <c r="P136" s="4">
        <f>IFERROR((Table25[[#This Row],[Average sell price]]-Table25[[#This Row],[Average buy price]])*Table25[[#This Row],[Total Sold number of stocks]],0)</f>
        <v>-183.5200000000051</v>
      </c>
      <c r="Q136" s="85">
        <f>SUMIF(Table25[[#All],[Assets]],Table25[[#This Row],[Assets]],Table25[[#All],[Number of stocks]])</f>
        <v>0</v>
      </c>
    </row>
    <row r="137" spans="1:17">
      <c r="A137" t="e" vm="415">
        <v>#VALUE!</v>
      </c>
      <c r="B137" s="2">
        <v>45495</v>
      </c>
      <c r="C137" t="str" cm="1">
        <f t="array" aca="1" ref="C137" ca="1">_FV(A137,"Ticker symbol",TRUE)</f>
        <v>TUA</v>
      </c>
      <c r="D137" s="4">
        <v>21.73</v>
      </c>
      <c r="E137" s="50">
        <v>-30</v>
      </c>
      <c r="F137" s="81">
        <f>IF(Table25[[#This Row],[Number of stocks]]&gt;0,Table25[[#This Row],[Number of stocks]],0)</f>
        <v>0</v>
      </c>
      <c r="G137" s="73">
        <f>Table25[[#This Row],[Bought]]*Table25[[#This Row],[Price]]</f>
        <v>0</v>
      </c>
      <c r="H137">
        <f>SUMIF(Table25[[#All],[Assets]],Table25[[#This Row],[Assets]],Table25[[#All],[Bought]])</f>
        <v>260</v>
      </c>
      <c r="I137">
        <f>SUMIF(Table25[[#All],[Assets]],Table25[[#This Row],[Assets]],Table25[[#All],[Bought Amount]])</f>
        <v>5808.1</v>
      </c>
      <c r="J137" s="88">
        <f>IF(Table25[[#This Row],[Number of stocks]]&lt;0,Table25[[#This Row],[Number of stocks]],0)</f>
        <v>-30</v>
      </c>
      <c r="K137" s="5">
        <f>Table25[[#This Row],[Sold]]*Table25[[#This Row],[Price]]</f>
        <v>-651.9</v>
      </c>
      <c r="L137" s="8">
        <f>ABS(SUMIF(Table25[[#All],[Assets]],Table25[[#This Row],[Assets]],Table25[[#All],[Sold]]))</f>
        <v>260</v>
      </c>
      <c r="M137" s="5">
        <f>ABS(SUMIF(Table25[[#All],[Assets]],Table25[[#This Row],[Assets]],Table25[[#All],[Sold Amount]]))</f>
        <v>5788.97</v>
      </c>
      <c r="N137" s="5">
        <f>IFERROR(Table25[[#This Row],[Total sold amount]]/Table25[[#This Row],[Total Sold number of stocks]],"")</f>
        <v>22.265269230769231</v>
      </c>
      <c r="O137" s="4">
        <f>IFERROR(Table25[[#This Row],[Total Amount bought]]/Table25[[#This Row],[Total number bought]],"")</f>
        <v>22.338846153846156</v>
      </c>
      <c r="P137" s="4">
        <f>IFERROR((Table25[[#This Row],[Average sell price]]-Table25[[#This Row],[Average buy price]])*Table25[[#This Row],[Total Sold number of stocks]],0)</f>
        <v>-19.130000000000322</v>
      </c>
      <c r="Q137" s="85">
        <f>SUMIF(Table25[[#All],[Assets]],Table25[[#This Row],[Assets]],Table25[[#All],[Number of stocks]])</f>
        <v>0</v>
      </c>
    </row>
    <row r="138" spans="1:17">
      <c r="A138" t="e" vm="415">
        <v>#VALUE!</v>
      </c>
      <c r="B138" s="2">
        <v>45492</v>
      </c>
      <c r="C138" t="str" cm="1">
        <f t="array" aca="1" ref="C138" ca="1">_FV(A138,"Ticker symbol",TRUE)</f>
        <v>TUA</v>
      </c>
      <c r="D138" s="4">
        <v>21.78</v>
      </c>
      <c r="E138" s="50">
        <v>-5</v>
      </c>
      <c r="F138" s="81">
        <f>IF(Table25[[#This Row],[Number of stocks]]&gt;0,Table25[[#This Row],[Number of stocks]],0)</f>
        <v>0</v>
      </c>
      <c r="G138" s="73">
        <f>Table25[[#This Row],[Bought]]*Table25[[#This Row],[Price]]</f>
        <v>0</v>
      </c>
      <c r="H138">
        <f>SUMIF(Table25[[#All],[Assets]],Table25[[#This Row],[Assets]],Table25[[#All],[Bought]])</f>
        <v>260</v>
      </c>
      <c r="I138">
        <f>SUMIF(Table25[[#All],[Assets]],Table25[[#This Row],[Assets]],Table25[[#All],[Bought Amount]])</f>
        <v>5808.1</v>
      </c>
      <c r="J138" s="88">
        <f>IF(Table25[[#This Row],[Number of stocks]]&lt;0,Table25[[#This Row],[Number of stocks]],0)</f>
        <v>-5</v>
      </c>
      <c r="K138" s="5">
        <f>Table25[[#This Row],[Sold]]*Table25[[#This Row],[Price]]</f>
        <v>-108.9</v>
      </c>
      <c r="L138" s="8">
        <f>ABS(SUMIF(Table25[[#All],[Assets]],Table25[[#This Row],[Assets]],Table25[[#All],[Sold]]))</f>
        <v>260</v>
      </c>
      <c r="M138" s="5">
        <f>ABS(SUMIF(Table25[[#All],[Assets]],Table25[[#This Row],[Assets]],Table25[[#All],[Sold Amount]]))</f>
        <v>5788.97</v>
      </c>
      <c r="N138" s="5">
        <f>IFERROR(Table25[[#This Row],[Total sold amount]]/Table25[[#This Row],[Total Sold number of stocks]],"")</f>
        <v>22.265269230769231</v>
      </c>
      <c r="O138" s="4">
        <f>IFERROR(Table25[[#This Row],[Total Amount bought]]/Table25[[#This Row],[Total number bought]],"")</f>
        <v>22.338846153846156</v>
      </c>
      <c r="P138" s="4">
        <f>IFERROR((Table25[[#This Row],[Average sell price]]-Table25[[#This Row],[Average buy price]])*Table25[[#This Row],[Total Sold number of stocks]],0)</f>
        <v>-19.130000000000322</v>
      </c>
      <c r="Q138" s="85">
        <f>SUMIF(Table25[[#All],[Assets]],Table25[[#This Row],[Assets]],Table25[[#All],[Number of stocks]])</f>
        <v>0</v>
      </c>
    </row>
    <row r="139" spans="1:17">
      <c r="A139" t="e" vm="415">
        <v>#VALUE!</v>
      </c>
      <c r="B139" s="2">
        <v>45492</v>
      </c>
      <c r="C139" t="str" cm="1">
        <f t="array" aca="1" ref="C139" ca="1">_FV(A139,"Ticker symbol",TRUE)</f>
        <v>TUA</v>
      </c>
      <c r="D139" s="4">
        <v>21.78</v>
      </c>
      <c r="E139" s="50">
        <v>-7</v>
      </c>
      <c r="F139" s="81">
        <f>IF(Table25[[#This Row],[Number of stocks]]&gt;0,Table25[[#This Row],[Number of stocks]],0)</f>
        <v>0</v>
      </c>
      <c r="G139" s="73">
        <f>Table25[[#This Row],[Bought]]*Table25[[#This Row],[Price]]</f>
        <v>0</v>
      </c>
      <c r="H139">
        <f>SUMIF(Table25[[#All],[Assets]],Table25[[#This Row],[Assets]],Table25[[#All],[Bought]])</f>
        <v>260</v>
      </c>
      <c r="I139">
        <f>SUMIF(Table25[[#All],[Assets]],Table25[[#This Row],[Assets]],Table25[[#All],[Bought Amount]])</f>
        <v>5808.1</v>
      </c>
      <c r="J139" s="88">
        <f>IF(Table25[[#This Row],[Number of stocks]]&lt;0,Table25[[#This Row],[Number of stocks]],0)</f>
        <v>-7</v>
      </c>
      <c r="K139" s="5">
        <f>Table25[[#This Row],[Sold]]*Table25[[#This Row],[Price]]</f>
        <v>-152.46</v>
      </c>
      <c r="L139" s="8">
        <f>ABS(SUMIF(Table25[[#All],[Assets]],Table25[[#This Row],[Assets]],Table25[[#All],[Sold]]))</f>
        <v>260</v>
      </c>
      <c r="M139" s="5">
        <f>ABS(SUMIF(Table25[[#All],[Assets]],Table25[[#This Row],[Assets]],Table25[[#All],[Sold Amount]]))</f>
        <v>5788.97</v>
      </c>
      <c r="N139" s="5">
        <f>IFERROR(Table25[[#This Row],[Total sold amount]]/Table25[[#This Row],[Total Sold number of stocks]],"")</f>
        <v>22.265269230769231</v>
      </c>
      <c r="O139" s="4">
        <f>IFERROR(Table25[[#This Row],[Total Amount bought]]/Table25[[#This Row],[Total number bought]],"")</f>
        <v>22.338846153846156</v>
      </c>
      <c r="P139" s="4">
        <f>IFERROR((Table25[[#This Row],[Average sell price]]-Table25[[#This Row],[Average buy price]])*Table25[[#This Row],[Total Sold number of stocks]],0)</f>
        <v>-19.130000000000322</v>
      </c>
      <c r="Q139" s="85">
        <f>SUMIF(Table25[[#All],[Assets]],Table25[[#This Row],[Assets]],Table25[[#All],[Number of stocks]])</f>
        <v>0</v>
      </c>
    </row>
    <row r="140" spans="1:17">
      <c r="A140" t="e" vm="415">
        <v>#VALUE!</v>
      </c>
      <c r="B140" s="2">
        <v>45492</v>
      </c>
      <c r="C140" t="str" cm="1">
        <f t="array" aca="1" ref="C140" ca="1">_FV(A140,"Ticker symbol",TRUE)</f>
        <v>TUA</v>
      </c>
      <c r="D140" s="4">
        <v>21.8</v>
      </c>
      <c r="E140" s="50">
        <v>-5</v>
      </c>
      <c r="F140" s="81">
        <f>IF(Table25[[#This Row],[Number of stocks]]&gt;0,Table25[[#This Row],[Number of stocks]],0)</f>
        <v>0</v>
      </c>
      <c r="G140" s="73">
        <f>Table25[[#This Row],[Bought]]*Table25[[#This Row],[Price]]</f>
        <v>0</v>
      </c>
      <c r="H140">
        <f>SUMIF(Table25[[#All],[Assets]],Table25[[#This Row],[Assets]],Table25[[#All],[Bought]])</f>
        <v>260</v>
      </c>
      <c r="I140">
        <f>SUMIF(Table25[[#All],[Assets]],Table25[[#This Row],[Assets]],Table25[[#All],[Bought Amount]])</f>
        <v>5808.1</v>
      </c>
      <c r="J140" s="88">
        <f>IF(Table25[[#This Row],[Number of stocks]]&lt;0,Table25[[#This Row],[Number of stocks]],0)</f>
        <v>-5</v>
      </c>
      <c r="K140" s="5">
        <f>Table25[[#This Row],[Sold]]*Table25[[#This Row],[Price]]</f>
        <v>-109</v>
      </c>
      <c r="L140" s="8">
        <f>ABS(SUMIF(Table25[[#All],[Assets]],Table25[[#This Row],[Assets]],Table25[[#All],[Sold]]))</f>
        <v>260</v>
      </c>
      <c r="M140" s="5">
        <f>ABS(SUMIF(Table25[[#All],[Assets]],Table25[[#This Row],[Assets]],Table25[[#All],[Sold Amount]]))</f>
        <v>5788.97</v>
      </c>
      <c r="N140" s="5">
        <f>IFERROR(Table25[[#This Row],[Total sold amount]]/Table25[[#This Row],[Total Sold number of stocks]],"")</f>
        <v>22.265269230769231</v>
      </c>
      <c r="O140" s="4">
        <f>IFERROR(Table25[[#This Row],[Total Amount bought]]/Table25[[#This Row],[Total number bought]],"")</f>
        <v>22.338846153846156</v>
      </c>
      <c r="P140" s="4">
        <f>IFERROR((Table25[[#This Row],[Average sell price]]-Table25[[#This Row],[Average buy price]])*Table25[[#This Row],[Total Sold number of stocks]],0)</f>
        <v>-19.130000000000322</v>
      </c>
      <c r="Q140" s="85">
        <f>SUMIF(Table25[[#All],[Assets]],Table25[[#This Row],[Assets]],Table25[[#All],[Number of stocks]])</f>
        <v>0</v>
      </c>
    </row>
    <row r="141" spans="1:17">
      <c r="A141" t="e" vm="64">
        <v>#VALUE!</v>
      </c>
      <c r="B141" s="2">
        <v>45495</v>
      </c>
      <c r="C141" t="str" cm="1">
        <f t="array" aca="1" ref="C141" ca="1">_FV(A141,"Ticker symbol",TRUE)</f>
        <v>LULU</v>
      </c>
      <c r="D141" s="4">
        <v>283</v>
      </c>
      <c r="E141" s="50">
        <v>1</v>
      </c>
      <c r="F141" s="81">
        <f>IF(Table25[[#This Row],[Number of stocks]]&gt;0,Table25[[#This Row],[Number of stocks]],0)</f>
        <v>1</v>
      </c>
      <c r="G141" s="73">
        <f>Table25[[#This Row],[Bought]]*Table25[[#This Row],[Price]]</f>
        <v>283</v>
      </c>
      <c r="H141">
        <f>SUMIF(Table25[[#All],[Assets]],Table25[[#This Row],[Assets]],Table25[[#All],[Bought]])</f>
        <v>26</v>
      </c>
      <c r="I141">
        <f>SUMIF(Table25[[#All],[Assets]],Table25[[#This Row],[Assets]],Table25[[#All],[Bought Amount]])</f>
        <v>6272.2400000000007</v>
      </c>
      <c r="J141" s="88">
        <f>IF(Table25[[#This Row],[Number of stocks]]&lt;0,Table25[[#This Row],[Number of stocks]],0)</f>
        <v>0</v>
      </c>
      <c r="K141" s="5">
        <f>Table25[[#This Row],[Sold]]*Table25[[#This Row],[Price]]</f>
        <v>0</v>
      </c>
      <c r="L141" s="8">
        <f>ABS(SUMIF(Table25[[#All],[Assets]],Table25[[#This Row],[Assets]],Table25[[#All],[Sold]]))</f>
        <v>26</v>
      </c>
      <c r="M141" s="5">
        <f>ABS(SUMIF(Table25[[#All],[Assets]],Table25[[#This Row],[Assets]],Table25[[#All],[Sold Amount]]))</f>
        <v>6958.9199999999992</v>
      </c>
      <c r="N141" s="5">
        <f>IFERROR(Table25[[#This Row],[Total sold amount]]/Table25[[#This Row],[Total Sold number of stocks]],"")</f>
        <v>267.65076923076919</v>
      </c>
      <c r="O141" s="4">
        <f>IFERROR(Table25[[#This Row],[Total Amount bought]]/Table25[[#This Row],[Total number bought]],"")</f>
        <v>241.24000000000004</v>
      </c>
      <c r="P141" s="4">
        <f>IFERROR((Table25[[#This Row],[Average sell price]]-Table25[[#This Row],[Average buy price]])*Table25[[#This Row],[Total Sold number of stocks]],0)</f>
        <v>686.67999999999779</v>
      </c>
      <c r="Q141" s="85">
        <f>SUMIF(Table25[[#All],[Assets]],Table25[[#This Row],[Assets]],Table25[[#All],[Number of stocks]])</f>
        <v>0</v>
      </c>
    </row>
    <row r="142" spans="1:17">
      <c r="A142" t="e" vm="85">
        <v>#VALUE!</v>
      </c>
      <c r="B142" s="2">
        <v>45495</v>
      </c>
      <c r="C142" t="str" cm="1">
        <f t="array" aca="1" ref="C142" ca="1">_FV(A142,"Ticker symbol",TRUE)</f>
        <v>HOOD</v>
      </c>
      <c r="D142" s="4">
        <v>24.49</v>
      </c>
      <c r="E142" s="50">
        <v>30</v>
      </c>
      <c r="F142" s="81">
        <f>IF(Table25[[#This Row],[Number of stocks]]&gt;0,Table25[[#This Row],[Number of stocks]],0)</f>
        <v>30</v>
      </c>
      <c r="G142" s="73">
        <f>Table25[[#This Row],[Bought]]*Table25[[#This Row],[Price]]</f>
        <v>734.69999999999993</v>
      </c>
      <c r="H142">
        <f>SUMIF(Table25[[#All],[Assets]],Table25[[#This Row],[Assets]],Table25[[#All],[Bought]])</f>
        <v>105</v>
      </c>
      <c r="I142">
        <f>SUMIF(Table25[[#All],[Assets]],Table25[[#This Row],[Assets]],Table25[[#All],[Bought Amount]])</f>
        <v>4056.0900000000006</v>
      </c>
      <c r="J142" s="88">
        <f>IF(Table25[[#This Row],[Number of stocks]]&lt;0,Table25[[#This Row],[Number of stocks]],0)</f>
        <v>0</v>
      </c>
      <c r="K142" s="5">
        <f>Table25[[#This Row],[Sold]]*Table25[[#This Row],[Price]]</f>
        <v>0</v>
      </c>
      <c r="L142" s="8">
        <f>ABS(SUMIF(Table25[[#All],[Assets]],Table25[[#This Row],[Assets]],Table25[[#All],[Sold]]))</f>
        <v>80</v>
      </c>
      <c r="M142" s="5">
        <f>ABS(SUMIF(Table25[[#All],[Assets]],Table25[[#This Row],[Assets]],Table25[[#All],[Sold Amount]]))</f>
        <v>2255.4300000000003</v>
      </c>
      <c r="N142" s="5">
        <f>IFERROR(Table25[[#This Row],[Total sold amount]]/Table25[[#This Row],[Total Sold number of stocks]],"")</f>
        <v>28.192875000000004</v>
      </c>
      <c r="O142" s="4">
        <f>IFERROR(Table25[[#This Row],[Total Amount bought]]/Table25[[#This Row],[Total number bought]],"")</f>
        <v>38.629428571428576</v>
      </c>
      <c r="P142" s="4">
        <f>IFERROR((Table25[[#This Row],[Average sell price]]-Table25[[#This Row],[Average buy price]])*Table25[[#This Row],[Total Sold number of stocks]],0)</f>
        <v>-834.92428571428582</v>
      </c>
      <c r="Q142" s="85">
        <f>SUMIF(Table25[[#All],[Assets]],Table25[[#This Row],[Assets]],Table25[[#All],[Number of stocks]])</f>
        <v>25</v>
      </c>
    </row>
    <row r="143" spans="1:17">
      <c r="A143" t="e" vm="456">
        <v>#VALUE!</v>
      </c>
      <c r="B143" s="2">
        <v>45484</v>
      </c>
      <c r="C143" t="str" cm="1">
        <f t="array" aca="1" ref="C143" ca="1">_FV(A143,"Ticker symbol",TRUE)</f>
        <v>BIL</v>
      </c>
      <c r="D143" s="4">
        <v>91.55</v>
      </c>
      <c r="E143" s="50">
        <v>-7</v>
      </c>
      <c r="F143" s="81">
        <f>IF(Table25[[#This Row],[Number of stocks]]&gt;0,Table25[[#This Row],[Number of stocks]],0)</f>
        <v>0</v>
      </c>
      <c r="G143" s="73">
        <f>Table25[[#This Row],[Bought]]*Table25[[#This Row],[Price]]</f>
        <v>0</v>
      </c>
      <c r="H143">
        <f>SUMIF(Table25[[#All],[Assets]],Table25[[#This Row],[Assets]],Table25[[#All],[Bought]])</f>
        <v>419</v>
      </c>
      <c r="I143">
        <f>SUMIF(Table25[[#All],[Assets]],Table25[[#This Row],[Assets]],Table25[[#All],[Bought Amount]])</f>
        <v>38555.520000000004</v>
      </c>
      <c r="J143" s="88">
        <f>IF(Table25[[#This Row],[Number of stocks]]&lt;0,Table25[[#This Row],[Number of stocks]],0)</f>
        <v>-7</v>
      </c>
      <c r="K143" s="5">
        <f>Table25[[#This Row],[Sold]]*Table25[[#This Row],[Price]]</f>
        <v>-640.85</v>
      </c>
      <c r="L143" s="8">
        <f>ABS(SUMIF(Table25[[#All],[Assets]],Table25[[#This Row],[Assets]],Table25[[#All],[Sold]]))</f>
        <v>419</v>
      </c>
      <c r="M143" s="5">
        <f>ABS(SUMIF(Table25[[#All],[Assets]],Table25[[#This Row],[Assets]],Table25[[#All],[Sold Amount]]))</f>
        <v>38372</v>
      </c>
      <c r="N143" s="5">
        <f>IFERROR(Table25[[#This Row],[Total sold amount]]/Table25[[#This Row],[Total Sold number of stocks]],"")</f>
        <v>91.579952267303099</v>
      </c>
      <c r="O143" s="4">
        <f>IFERROR(Table25[[#This Row],[Total Amount bought]]/Table25[[#This Row],[Total number bought]],"")</f>
        <v>92.017947494033422</v>
      </c>
      <c r="P143" s="4">
        <f>IFERROR((Table25[[#This Row],[Average sell price]]-Table25[[#This Row],[Average buy price]])*Table25[[#This Row],[Total Sold number of stocks]],0)</f>
        <v>-183.5200000000051</v>
      </c>
      <c r="Q143" s="85">
        <f>SUMIF(Table25[[#All],[Assets]],Table25[[#This Row],[Assets]],Table25[[#All],[Number of stocks]])</f>
        <v>0</v>
      </c>
    </row>
    <row r="144" spans="1:17">
      <c r="A144" t="e" vm="456">
        <v>#VALUE!</v>
      </c>
      <c r="B144" s="2">
        <v>45492</v>
      </c>
      <c r="C144" t="str" cm="1">
        <f t="array" aca="1" ref="C144" ca="1">_FV(A144,"Ticker symbol",TRUE)</f>
        <v>BIL</v>
      </c>
      <c r="D144" s="4">
        <v>91.68</v>
      </c>
      <c r="E144" s="50">
        <v>7</v>
      </c>
      <c r="F144" s="81">
        <f>IF(Table25[[#This Row],[Number of stocks]]&gt;0,Table25[[#This Row],[Number of stocks]],0)</f>
        <v>7</v>
      </c>
      <c r="G144" s="73">
        <f>Table25[[#This Row],[Bought]]*Table25[[#This Row],[Price]]</f>
        <v>641.76</v>
      </c>
      <c r="H144">
        <f>SUMIF(Table25[[#All],[Assets]],Table25[[#This Row],[Assets]],Table25[[#All],[Bought]])</f>
        <v>419</v>
      </c>
      <c r="I144">
        <f>SUMIF(Table25[[#All],[Assets]],Table25[[#This Row],[Assets]],Table25[[#All],[Bought Amount]])</f>
        <v>38555.520000000004</v>
      </c>
      <c r="J144" s="88">
        <f>IF(Table25[[#This Row],[Number of stocks]]&lt;0,Table25[[#This Row],[Number of stocks]],0)</f>
        <v>0</v>
      </c>
      <c r="K144" s="5">
        <f>Table25[[#This Row],[Sold]]*Table25[[#This Row],[Price]]</f>
        <v>0</v>
      </c>
      <c r="L144" s="8">
        <f>ABS(SUMIF(Table25[[#All],[Assets]],Table25[[#This Row],[Assets]],Table25[[#All],[Sold]]))</f>
        <v>419</v>
      </c>
      <c r="M144" s="5">
        <f>ABS(SUMIF(Table25[[#All],[Assets]],Table25[[#This Row],[Assets]],Table25[[#All],[Sold Amount]]))</f>
        <v>38372</v>
      </c>
      <c r="N144" s="5">
        <f>IFERROR(Table25[[#This Row],[Total sold amount]]/Table25[[#This Row],[Total Sold number of stocks]],"")</f>
        <v>91.579952267303099</v>
      </c>
      <c r="O144" s="4">
        <f>IFERROR(Table25[[#This Row],[Total Amount bought]]/Table25[[#This Row],[Total number bought]],"")</f>
        <v>92.017947494033422</v>
      </c>
      <c r="P144" s="4">
        <f>IFERROR((Table25[[#This Row],[Average sell price]]-Table25[[#This Row],[Average buy price]])*Table25[[#This Row],[Total Sold number of stocks]],0)</f>
        <v>-183.5200000000051</v>
      </c>
      <c r="Q144" s="85">
        <f>SUMIF(Table25[[#All],[Assets]],Table25[[#This Row],[Assets]],Table25[[#All],[Number of stocks]])</f>
        <v>0</v>
      </c>
    </row>
    <row r="145" spans="1:17">
      <c r="A145" t="e" vm="288">
        <v>#VALUE!</v>
      </c>
      <c r="B145" s="2">
        <v>45492</v>
      </c>
      <c r="C145" t="str" cm="1">
        <f t="array" aca="1" ref="C145" ca="1">_FV(A145,"Ticker symbol",TRUE)</f>
        <v>JXN</v>
      </c>
      <c r="D145" s="4">
        <v>82.96</v>
      </c>
      <c r="E145" s="50">
        <v>1</v>
      </c>
      <c r="F145" s="81">
        <f>IF(Table25[[#This Row],[Number of stocks]]&gt;0,Table25[[#This Row],[Number of stocks]],0)</f>
        <v>1</v>
      </c>
      <c r="G145" s="73">
        <f>Table25[[#This Row],[Bought]]*Table25[[#This Row],[Price]]</f>
        <v>82.96</v>
      </c>
      <c r="H145">
        <f>SUMIF(Table25[[#All],[Assets]],Table25[[#This Row],[Assets]],Table25[[#All],[Bought]])</f>
        <v>1</v>
      </c>
      <c r="I145">
        <f>SUMIF(Table25[[#All],[Assets]],Table25[[#This Row],[Assets]],Table25[[#All],[Bought Amount]])</f>
        <v>82.96</v>
      </c>
      <c r="J145" s="88">
        <f>IF(Table25[[#This Row],[Number of stocks]]&lt;0,Table25[[#This Row],[Number of stocks]],0)</f>
        <v>0</v>
      </c>
      <c r="K145" s="5">
        <f>Table25[[#This Row],[Sold]]*Table25[[#This Row],[Price]]</f>
        <v>0</v>
      </c>
      <c r="L145" s="8">
        <f>ABS(SUMIF(Table25[[#All],[Assets]],Table25[[#This Row],[Assets]],Table25[[#All],[Sold]]))</f>
        <v>1</v>
      </c>
      <c r="M145" s="5">
        <f>ABS(SUMIF(Table25[[#All],[Assets]],Table25[[#This Row],[Assets]],Table25[[#All],[Sold Amount]]))</f>
        <v>82.4</v>
      </c>
      <c r="N145" s="5">
        <f>IFERROR(Table25[[#This Row],[Total sold amount]]/Table25[[#This Row],[Total Sold number of stocks]],"")</f>
        <v>82.4</v>
      </c>
      <c r="O145" s="4">
        <f>IFERROR(Table25[[#This Row],[Total Amount bought]]/Table25[[#This Row],[Total number bought]],"")</f>
        <v>82.96</v>
      </c>
      <c r="P145" s="4">
        <f>IFERROR((Table25[[#This Row],[Average sell price]]-Table25[[#This Row],[Average buy price]])*Table25[[#This Row],[Total Sold number of stocks]],0)</f>
        <v>-0.55999999999998806</v>
      </c>
      <c r="Q145" s="85">
        <f>SUMIF(Table25[[#All],[Assets]],Table25[[#This Row],[Assets]],Table25[[#All],[Number of stocks]])</f>
        <v>0</v>
      </c>
    </row>
    <row r="146" spans="1:17">
      <c r="A146" t="e" vm="494">
        <v>#VALUE!</v>
      </c>
      <c r="B146" s="2">
        <v>45496</v>
      </c>
      <c r="C146" t="str" cm="1">
        <f t="array" aca="1" ref="C146" ca="1">_FV(A146,"Ticker symbol",TRUE)</f>
        <v>GEO</v>
      </c>
      <c r="D146" s="4">
        <v>15.96</v>
      </c>
      <c r="E146" s="50">
        <v>-25</v>
      </c>
      <c r="F146" s="81">
        <f>IF(Table25[[#This Row],[Number of stocks]]&gt;0,Table25[[#This Row],[Number of stocks]],0)</f>
        <v>0</v>
      </c>
      <c r="G146" s="73">
        <f>Table25[[#This Row],[Bought]]*Table25[[#This Row],[Price]]</f>
        <v>0</v>
      </c>
      <c r="H146">
        <f>SUMIF(Table25[[#All],[Assets]],Table25[[#This Row],[Assets]],Table25[[#All],[Bought]])</f>
        <v>30</v>
      </c>
      <c r="I146">
        <f>SUMIF(Table25[[#All],[Assets]],Table25[[#This Row],[Assets]],Table25[[#All],[Bought Amount]])</f>
        <v>426</v>
      </c>
      <c r="J146" s="88">
        <f>IF(Table25[[#This Row],[Number of stocks]]&lt;0,Table25[[#This Row],[Number of stocks]],0)</f>
        <v>-25</v>
      </c>
      <c r="K146" s="5">
        <f>Table25[[#This Row],[Sold]]*Table25[[#This Row],[Price]]</f>
        <v>-399</v>
      </c>
      <c r="L146" s="8">
        <f>ABS(SUMIF(Table25[[#All],[Assets]],Table25[[#This Row],[Assets]],Table25[[#All],[Sold]]))</f>
        <v>30</v>
      </c>
      <c r="M146" s="5">
        <f>ABS(SUMIF(Table25[[#All],[Assets]],Table25[[#This Row],[Assets]],Table25[[#All],[Sold Amount]]))</f>
        <v>487.75</v>
      </c>
      <c r="N146" s="5">
        <f>IFERROR(Table25[[#This Row],[Total sold amount]]/Table25[[#This Row],[Total Sold number of stocks]],"")</f>
        <v>16.258333333333333</v>
      </c>
      <c r="O146" s="4">
        <f>IFERROR(Table25[[#This Row],[Total Amount bought]]/Table25[[#This Row],[Total number bought]],"")</f>
        <v>14.2</v>
      </c>
      <c r="P146" s="4">
        <f>IFERROR((Table25[[#This Row],[Average sell price]]-Table25[[#This Row],[Average buy price]])*Table25[[#This Row],[Total Sold number of stocks]],0)</f>
        <v>61.750000000000007</v>
      </c>
      <c r="Q146" s="85">
        <f>SUMIF(Table25[[#All],[Assets]],Table25[[#This Row],[Assets]],Table25[[#All],[Number of stocks]])</f>
        <v>0</v>
      </c>
    </row>
    <row r="147" spans="1:17">
      <c r="A147" t="e" vm="366">
        <v>#VALUE!</v>
      </c>
      <c r="B147" s="2">
        <v>45496</v>
      </c>
      <c r="C147" t="str" cm="1">
        <f t="array" aca="1" ref="C147" ca="1">_FV(A147,"Ticker symbol",TRUE)</f>
        <v>SNV</v>
      </c>
      <c r="D147" s="4">
        <v>45.4</v>
      </c>
      <c r="E147" s="50">
        <v>-10</v>
      </c>
      <c r="F147" s="81">
        <f>IF(Table25[[#This Row],[Number of stocks]]&gt;0,Table25[[#This Row],[Number of stocks]],0)</f>
        <v>0</v>
      </c>
      <c r="G147" s="73">
        <f>Table25[[#This Row],[Bought]]*Table25[[#This Row],[Price]]</f>
        <v>0</v>
      </c>
      <c r="H147">
        <f>SUMIF(Table25[[#All],[Assets]],Table25[[#This Row],[Assets]],Table25[[#All],[Bought]])</f>
        <v>10</v>
      </c>
      <c r="I147">
        <f>SUMIF(Table25[[#All],[Assets]],Table25[[#This Row],[Assets]],Table25[[#All],[Bought Amount]])</f>
        <v>387.70000000000005</v>
      </c>
      <c r="J147" s="88">
        <f>IF(Table25[[#This Row],[Number of stocks]]&lt;0,Table25[[#This Row],[Number of stocks]],0)</f>
        <v>-10</v>
      </c>
      <c r="K147" s="5">
        <f>Table25[[#This Row],[Sold]]*Table25[[#This Row],[Price]]</f>
        <v>-454</v>
      </c>
      <c r="L147" s="8">
        <f>ABS(SUMIF(Table25[[#All],[Assets]],Table25[[#This Row],[Assets]],Table25[[#All],[Sold]]))</f>
        <v>10</v>
      </c>
      <c r="M147" s="5">
        <f>ABS(SUMIF(Table25[[#All],[Assets]],Table25[[#This Row],[Assets]],Table25[[#All],[Sold Amount]]))</f>
        <v>454</v>
      </c>
      <c r="N147" s="5">
        <f>IFERROR(Table25[[#This Row],[Total sold amount]]/Table25[[#This Row],[Total Sold number of stocks]],"")</f>
        <v>45.4</v>
      </c>
      <c r="O147" s="4">
        <f>IFERROR(Table25[[#This Row],[Total Amount bought]]/Table25[[#This Row],[Total number bought]],"")</f>
        <v>38.770000000000003</v>
      </c>
      <c r="P147" s="4">
        <f>IFERROR((Table25[[#This Row],[Average sell price]]-Table25[[#This Row],[Average buy price]])*Table25[[#This Row],[Total Sold number of stocks]],0)</f>
        <v>66.299999999999955</v>
      </c>
      <c r="Q147" s="85">
        <f>SUMIF(Table25[[#All],[Assets]],Table25[[#This Row],[Assets]],Table25[[#All],[Number of stocks]])</f>
        <v>0</v>
      </c>
    </row>
    <row r="148" spans="1:17">
      <c r="A148" t="e" vm="147">
        <v>#VALUE!</v>
      </c>
      <c r="B148" s="2">
        <v>45287</v>
      </c>
      <c r="C148" t="str" cm="1">
        <f t="array" aca="1" ref="C148" ca="1">_FV(A148,"Ticker symbol",TRUE)</f>
        <v>XLE</v>
      </c>
      <c r="D148" s="4">
        <v>84.24</v>
      </c>
      <c r="E148" s="50">
        <v>22</v>
      </c>
      <c r="F148" s="81">
        <f>IF(Table25[[#This Row],[Number of stocks]]&gt;0,Table25[[#This Row],[Number of stocks]],0)</f>
        <v>22</v>
      </c>
      <c r="G148" s="73">
        <f>Table25[[#This Row],[Bought]]*Table25[[#This Row],[Price]]</f>
        <v>1853.28</v>
      </c>
      <c r="H148">
        <f>SUMIF(Table25[[#All],[Assets]],Table25[[#This Row],[Assets]],Table25[[#All],[Bought]])</f>
        <v>22</v>
      </c>
      <c r="I148">
        <f>SUMIF(Table25[[#All],[Assets]],Table25[[#This Row],[Assets]],Table25[[#All],[Bought Amount]])</f>
        <v>1853.28</v>
      </c>
      <c r="J148" s="88">
        <f>IF(Table25[[#This Row],[Number of stocks]]&lt;0,Table25[[#This Row],[Number of stocks]],0)</f>
        <v>0</v>
      </c>
      <c r="K148" s="5">
        <f>Table25[[#This Row],[Sold]]*Table25[[#This Row],[Price]]</f>
        <v>0</v>
      </c>
      <c r="L148" s="8">
        <f>ABS(SUMIF(Table25[[#All],[Assets]],Table25[[#This Row],[Assets]],Table25[[#All],[Sold]]))</f>
        <v>22</v>
      </c>
      <c r="M148" s="5">
        <f>ABS(SUMIF(Table25[[#All],[Assets]],Table25[[#This Row],[Assets]],Table25[[#All],[Sold Amount]]))</f>
        <v>1985.0600000000002</v>
      </c>
      <c r="N148" s="5">
        <f>IFERROR(Table25[[#This Row],[Total sold amount]]/Table25[[#This Row],[Total Sold number of stocks]],"")</f>
        <v>90.23</v>
      </c>
      <c r="O148" s="4">
        <f>IFERROR(Table25[[#This Row],[Total Amount bought]]/Table25[[#This Row],[Total number bought]],"")</f>
        <v>84.24</v>
      </c>
      <c r="P148" s="4">
        <f>IFERROR((Table25[[#This Row],[Average sell price]]-Table25[[#This Row],[Average buy price]])*Table25[[#This Row],[Total Sold number of stocks]],0)</f>
        <v>131.7800000000002</v>
      </c>
      <c r="Q148" s="85">
        <f>SUMIF(Table25[[#All],[Assets]],Table25[[#This Row],[Assets]],Table25[[#All],[Number of stocks]])</f>
        <v>0</v>
      </c>
    </row>
    <row r="149" spans="1:17">
      <c r="A149" t="e" vm="52">
        <v>#VALUE!</v>
      </c>
      <c r="B149" s="2">
        <v>45101</v>
      </c>
      <c r="C149" t="str" cm="1">
        <f t="array" aca="1" ref="C149" ca="1">_FV(A149,"Ticker symbol",TRUE)</f>
        <v>SMR</v>
      </c>
      <c r="D149" s="4">
        <v>7.51</v>
      </c>
      <c r="E149" s="50">
        <v>3</v>
      </c>
      <c r="F149" s="81">
        <f>IF(Table25[[#This Row],[Number of stocks]]&gt;0,Table25[[#This Row],[Number of stocks]],0)</f>
        <v>3</v>
      </c>
      <c r="G149" s="73">
        <f>Table25[[#This Row],[Bought]]*Table25[[#This Row],[Price]]</f>
        <v>22.53</v>
      </c>
      <c r="H149">
        <f>SUMIF(Table25[[#All],[Assets]],Table25[[#This Row],[Assets]],Table25[[#All],[Bought]])</f>
        <v>8</v>
      </c>
      <c r="I149">
        <f>SUMIF(Table25[[#All],[Assets]],Table25[[#This Row],[Assets]],Table25[[#All],[Bought Amount]])</f>
        <v>87.63</v>
      </c>
      <c r="J149" s="88">
        <f>IF(Table25[[#This Row],[Number of stocks]]&lt;0,Table25[[#This Row],[Number of stocks]],0)</f>
        <v>0</v>
      </c>
      <c r="K149" s="5">
        <f>Table25[[#This Row],[Sold]]*Table25[[#This Row],[Price]]</f>
        <v>0</v>
      </c>
      <c r="L149" s="8">
        <f>ABS(SUMIF(Table25[[#All],[Assets]],Table25[[#This Row],[Assets]],Table25[[#All],[Sold]]))</f>
        <v>8</v>
      </c>
      <c r="M149" s="5">
        <f>ABS(SUMIF(Table25[[#All],[Assets]],Table25[[#This Row],[Assets]],Table25[[#All],[Sold Amount]]))</f>
        <v>207.52999999999997</v>
      </c>
      <c r="N149" s="5">
        <f>IFERROR(Table25[[#This Row],[Total sold amount]]/Table25[[#This Row],[Total Sold number of stocks]],"")</f>
        <v>25.941249999999997</v>
      </c>
      <c r="O149" s="4">
        <f>IFERROR(Table25[[#This Row],[Total Amount bought]]/Table25[[#This Row],[Total number bought]],"")</f>
        <v>10.953749999999999</v>
      </c>
      <c r="P149" s="4">
        <f>IFERROR((Table25[[#This Row],[Average sell price]]-Table25[[#This Row],[Average buy price]])*Table25[[#This Row],[Total Sold number of stocks]],0)</f>
        <v>119.89999999999998</v>
      </c>
      <c r="Q149" s="85">
        <f>SUMIF(Table25[[#All],[Assets]],Table25[[#This Row],[Assets]],Table25[[#All],[Number of stocks]])</f>
        <v>0</v>
      </c>
    </row>
    <row r="150" spans="1:17">
      <c r="A150" t="e" vm="34">
        <v>#VALUE!</v>
      </c>
      <c r="B150" s="2">
        <v>45139</v>
      </c>
      <c r="C150" t="str" cm="1">
        <f t="array" aca="1" ref="C150" ca="1">_FV(A150,"Ticker symbol",TRUE)</f>
        <v>TSM</v>
      </c>
      <c r="D150" s="4">
        <v>98.79</v>
      </c>
      <c r="E150" s="50">
        <v>7</v>
      </c>
      <c r="F150" s="81">
        <f>IF(Table25[[#This Row],[Number of stocks]]&gt;0,Table25[[#This Row],[Number of stocks]],0)</f>
        <v>7</v>
      </c>
      <c r="G150" s="73">
        <f>Table25[[#This Row],[Bought]]*Table25[[#This Row],[Price]]</f>
        <v>691.53000000000009</v>
      </c>
      <c r="H150">
        <f>SUMIF(Table25[[#All],[Assets]],Table25[[#This Row],[Assets]],Table25[[#All],[Bought]])</f>
        <v>45</v>
      </c>
      <c r="I150">
        <f>SUMIF(Table25[[#All],[Assets]],Table25[[#This Row],[Assets]],Table25[[#All],[Bought Amount]])</f>
        <v>7503.4800000000005</v>
      </c>
      <c r="J150" s="88">
        <f>IF(Table25[[#This Row],[Number of stocks]]&lt;0,Table25[[#This Row],[Number of stocks]],0)</f>
        <v>0</v>
      </c>
      <c r="K150" s="5">
        <f>Table25[[#This Row],[Sold]]*Table25[[#This Row],[Price]]</f>
        <v>0</v>
      </c>
      <c r="L150" s="8">
        <f>ABS(SUMIF(Table25[[#All],[Assets]],Table25[[#This Row],[Assets]],Table25[[#All],[Sold]]))</f>
        <v>44</v>
      </c>
      <c r="M150" s="5">
        <f>ABS(SUMIF(Table25[[#All],[Assets]],Table25[[#This Row],[Assets]],Table25[[#All],[Sold Amount]]))</f>
        <v>7951.28</v>
      </c>
      <c r="N150" s="5">
        <f>IFERROR(Table25[[#This Row],[Total sold amount]]/Table25[[#This Row],[Total Sold number of stocks]],"")</f>
        <v>180.7109090909091</v>
      </c>
      <c r="O150" s="4">
        <f>IFERROR(Table25[[#This Row],[Total Amount bought]]/Table25[[#This Row],[Total number bought]],"")</f>
        <v>166.744</v>
      </c>
      <c r="P150" s="4">
        <f>IFERROR((Table25[[#This Row],[Average sell price]]-Table25[[#This Row],[Average buy price]])*Table25[[#This Row],[Total Sold number of stocks]],0)</f>
        <v>614.54400000000032</v>
      </c>
      <c r="Q150" s="85">
        <f>SUMIF(Table25[[#All],[Assets]],Table25[[#This Row],[Assets]],Table25[[#All],[Number of stocks]])</f>
        <v>1</v>
      </c>
    </row>
    <row r="151" spans="1:17">
      <c r="A151" t="e" vm="108">
        <v>#VALUE!</v>
      </c>
      <c r="B151" s="2">
        <v>45142</v>
      </c>
      <c r="C151" t="str" cm="1">
        <f t="array" aca="1" ref="C151" ca="1">_FV(A151,"Ticker symbol",TRUE)</f>
        <v>SLV</v>
      </c>
      <c r="D151" s="4">
        <v>132.55000000000001</v>
      </c>
      <c r="E151" s="50">
        <v>3</v>
      </c>
      <c r="F151" s="81">
        <f>IF(Table25[[#This Row],[Number of stocks]]&gt;0,Table25[[#This Row],[Number of stocks]],0)</f>
        <v>3</v>
      </c>
      <c r="G151" s="73">
        <f>Table25[[#This Row],[Bought]]*Table25[[#This Row],[Price]]</f>
        <v>397.65000000000003</v>
      </c>
      <c r="H151">
        <f>SUMIF(Table25[[#All],[Assets]],Table25[[#This Row],[Assets]],Table25[[#All],[Bought]])</f>
        <v>5</v>
      </c>
      <c r="I151">
        <f>SUMIF(Table25[[#All],[Assets]],Table25[[#This Row],[Assets]],Table25[[#All],[Bought Amount]])</f>
        <v>446.89000000000004</v>
      </c>
      <c r="J151" s="88">
        <f>IF(Table25[[#This Row],[Number of stocks]]&lt;0,Table25[[#This Row],[Number of stocks]],0)</f>
        <v>0</v>
      </c>
      <c r="K151" s="5">
        <f>Table25[[#This Row],[Sold]]*Table25[[#This Row],[Price]]</f>
        <v>0</v>
      </c>
      <c r="L151" s="8">
        <f>ABS(SUMIF(Table25[[#All],[Assets]],Table25[[#This Row],[Assets]],Table25[[#All],[Sold]]))</f>
        <v>0</v>
      </c>
      <c r="M151" s="5">
        <f>ABS(SUMIF(Table25[[#All],[Assets]],Table25[[#This Row],[Assets]],Table25[[#All],[Sold Amount]]))</f>
        <v>0</v>
      </c>
      <c r="N151" s="5" t="str">
        <f>IFERROR(Table25[[#This Row],[Total sold amount]]/Table25[[#This Row],[Total Sold number of stocks]],"")</f>
        <v/>
      </c>
      <c r="O151" s="4">
        <f>IFERROR(Table25[[#This Row],[Total Amount bought]]/Table25[[#This Row],[Total number bought]],"")</f>
        <v>89.378000000000014</v>
      </c>
      <c r="P151" s="4">
        <f>IFERROR((Table25[[#This Row],[Average sell price]]-Table25[[#This Row],[Average buy price]])*Table25[[#This Row],[Total Sold number of stocks]],0)</f>
        <v>0</v>
      </c>
      <c r="Q151" s="85">
        <f>SUMIF(Table25[[#All],[Assets]],Table25[[#This Row],[Assets]],Table25[[#All],[Number of stocks]])</f>
        <v>5</v>
      </c>
    </row>
    <row r="152" spans="1:17">
      <c r="A152" t="e" vm="497">
        <v>#VALUE!</v>
      </c>
      <c r="B152" s="2">
        <v>45203</v>
      </c>
      <c r="C152" t="str" cm="1">
        <f t="array" aca="1" ref="C152" ca="1">_FV(A152,"Ticker symbol",TRUE)</f>
        <v>SBOW</v>
      </c>
      <c r="D152" s="4">
        <v>31.29</v>
      </c>
      <c r="E152" s="50">
        <v>12</v>
      </c>
      <c r="F152" s="81">
        <f>IF(Table25[[#This Row],[Number of stocks]]&gt;0,Table25[[#This Row],[Number of stocks]],0)</f>
        <v>12</v>
      </c>
      <c r="G152" s="73">
        <f>Table25[[#This Row],[Bought]]*Table25[[#This Row],[Price]]</f>
        <v>375.48</v>
      </c>
      <c r="H152">
        <f>SUMIF(Table25[[#All],[Assets]],Table25[[#This Row],[Assets]],Table25[[#All],[Bought]])</f>
        <v>52.03</v>
      </c>
      <c r="I152">
        <f>SUMIF(Table25[[#All],[Assets]],Table25[[#This Row],[Assets]],Table25[[#All],[Bought Amount]])</f>
        <v>1648.8343</v>
      </c>
      <c r="J152" s="88">
        <f>IF(Table25[[#This Row],[Number of stocks]]&lt;0,Table25[[#This Row],[Number of stocks]],0)</f>
        <v>0</v>
      </c>
      <c r="K152" s="5">
        <f>Table25[[#This Row],[Sold]]*Table25[[#This Row],[Price]]</f>
        <v>0</v>
      </c>
      <c r="L152" s="8">
        <f>ABS(SUMIF(Table25[[#All],[Assets]],Table25[[#This Row],[Assets]],Table25[[#All],[Sold]]))</f>
        <v>52.03</v>
      </c>
      <c r="M152" s="5">
        <f>ABS(SUMIF(Table25[[#All],[Assets]],Table25[[#This Row],[Assets]],Table25[[#All],[Sold Amount]]))</f>
        <v>1395.6288</v>
      </c>
      <c r="N152" s="5">
        <f>IFERROR(Table25[[#This Row],[Total sold amount]]/Table25[[#This Row],[Total Sold number of stocks]],"")</f>
        <v>26.823540265231596</v>
      </c>
      <c r="O152" s="4">
        <f>IFERROR(Table25[[#This Row],[Total Amount bought]]/Table25[[#This Row],[Total number bought]],"")</f>
        <v>31.690069190851432</v>
      </c>
      <c r="P152" s="4">
        <f>IFERROR((Table25[[#This Row],[Average sell price]]-Table25[[#This Row],[Average buy price]])*Table25[[#This Row],[Total Sold number of stocks]],0)</f>
        <v>-253.20550000000006</v>
      </c>
      <c r="Q152" s="85">
        <f>SUMIF(Table25[[#All],[Assets]],Table25[[#This Row],[Assets]],Table25[[#All],[Number of stocks]])</f>
        <v>0</v>
      </c>
    </row>
    <row r="153" spans="1:17">
      <c r="A153" t="e" vm="56">
        <v>#VALUE!</v>
      </c>
      <c r="B153" s="2">
        <v>45237</v>
      </c>
      <c r="C153" t="str" cm="1">
        <f t="array" aca="1" ref="C153" ca="1">_FV(A153,"Ticker symbol",TRUE)</f>
        <v>PBF</v>
      </c>
      <c r="D153" s="4">
        <v>44.57</v>
      </c>
      <c r="E153" s="50">
        <v>15</v>
      </c>
      <c r="F153" s="81">
        <f>IF(Table25[[#This Row],[Number of stocks]]&gt;0,Table25[[#This Row],[Number of stocks]],0)</f>
        <v>15</v>
      </c>
      <c r="G153" s="73">
        <f>Table25[[#This Row],[Bought]]*Table25[[#This Row],[Price]]</f>
        <v>668.55</v>
      </c>
      <c r="H153">
        <f>SUMIF(Table25[[#All],[Assets]],Table25[[#This Row],[Assets]],Table25[[#All],[Bought]])</f>
        <v>55</v>
      </c>
      <c r="I153">
        <f>SUMIF(Table25[[#All],[Assets]],Table25[[#This Row],[Assets]],Table25[[#All],[Bought Amount]])</f>
        <v>2249.35</v>
      </c>
      <c r="J153" s="88">
        <f>IF(Table25[[#This Row],[Number of stocks]]&lt;0,Table25[[#This Row],[Number of stocks]],0)</f>
        <v>0</v>
      </c>
      <c r="K153" s="5">
        <f>Table25[[#This Row],[Sold]]*Table25[[#This Row],[Price]]</f>
        <v>0</v>
      </c>
      <c r="L153" s="8">
        <f>ABS(SUMIF(Table25[[#All],[Assets]],Table25[[#This Row],[Assets]],Table25[[#All],[Sold]]))</f>
        <v>15</v>
      </c>
      <c r="M153" s="5">
        <f>ABS(SUMIF(Table25[[#All],[Assets]],Table25[[#This Row],[Assets]],Table25[[#All],[Sold Amount]]))</f>
        <v>543.15</v>
      </c>
      <c r="N153" s="5">
        <f>IFERROR(Table25[[#This Row],[Total sold amount]]/Table25[[#This Row],[Total Sold number of stocks]],"")</f>
        <v>36.21</v>
      </c>
      <c r="O153" s="4">
        <f>IFERROR(Table25[[#This Row],[Total Amount bought]]/Table25[[#This Row],[Total number bought]],"")</f>
        <v>40.897272727272728</v>
      </c>
      <c r="P153" s="4">
        <f>IFERROR((Table25[[#This Row],[Average sell price]]-Table25[[#This Row],[Average buy price]])*Table25[[#This Row],[Total Sold number of stocks]],0)</f>
        <v>-70.309090909090912</v>
      </c>
      <c r="Q153" s="85">
        <f>SUMIF(Table25[[#All],[Assets]],Table25[[#This Row],[Assets]],Table25[[#All],[Number of stocks]])</f>
        <v>40</v>
      </c>
    </row>
    <row r="154" spans="1:17">
      <c r="A154" t="e" vm="109">
        <v>#VALUE!</v>
      </c>
      <c r="B154" s="2">
        <v>45287</v>
      </c>
      <c r="C154" t="str" cm="1">
        <f t="array" aca="1" ref="C154" ca="1">_FV(A154,"Ticker symbol",TRUE)</f>
        <v>XLF</v>
      </c>
      <c r="D154" s="4">
        <v>37.450000000000003</v>
      </c>
      <c r="E154" s="50">
        <v>3</v>
      </c>
      <c r="F154" s="81">
        <f>IF(Table25[[#This Row],[Number of stocks]]&gt;0,Table25[[#This Row],[Number of stocks]],0)</f>
        <v>3</v>
      </c>
      <c r="G154" s="73">
        <f>Table25[[#This Row],[Bought]]*Table25[[#This Row],[Price]]</f>
        <v>112.35000000000001</v>
      </c>
      <c r="H154">
        <f>SUMIF(Table25[[#All],[Assets]],Table25[[#This Row],[Assets]],Table25[[#All],[Bought]])</f>
        <v>8</v>
      </c>
      <c r="I154">
        <f>SUMIF(Table25[[#All],[Assets]],Table25[[#This Row],[Assets]],Table25[[#All],[Bought Amount]])</f>
        <v>301.14999999999998</v>
      </c>
      <c r="J154" s="88">
        <f>IF(Table25[[#This Row],[Number of stocks]]&lt;0,Table25[[#This Row],[Number of stocks]],0)</f>
        <v>0</v>
      </c>
      <c r="K154" s="5">
        <f>Table25[[#This Row],[Sold]]*Table25[[#This Row],[Price]]</f>
        <v>0</v>
      </c>
      <c r="L154" s="8">
        <f>ABS(SUMIF(Table25[[#All],[Assets]],Table25[[#This Row],[Assets]],Table25[[#All],[Sold]]))</f>
        <v>8</v>
      </c>
      <c r="M154" s="5">
        <f>ABS(SUMIF(Table25[[#All],[Assets]],Table25[[#This Row],[Assets]],Table25[[#All],[Sold Amount]]))</f>
        <v>350.16</v>
      </c>
      <c r="N154" s="5">
        <f>IFERROR(Table25[[#This Row],[Total sold amount]]/Table25[[#This Row],[Total Sold number of stocks]],"")</f>
        <v>43.77</v>
      </c>
      <c r="O154" s="4">
        <f>IFERROR(Table25[[#This Row],[Total Amount bought]]/Table25[[#This Row],[Total number bought]],"")</f>
        <v>37.643749999999997</v>
      </c>
      <c r="P154" s="4">
        <f>IFERROR((Table25[[#This Row],[Average sell price]]-Table25[[#This Row],[Average buy price]])*Table25[[#This Row],[Total Sold number of stocks]],0)</f>
        <v>49.010000000000048</v>
      </c>
      <c r="Q154" s="85">
        <f>SUMIF(Table25[[#All],[Assets]],Table25[[#This Row],[Assets]],Table25[[#All],[Number of stocks]])</f>
        <v>0</v>
      </c>
    </row>
    <row r="155" spans="1:17">
      <c r="A155" t="e" vm="162">
        <v>#VALUE!</v>
      </c>
      <c r="B155" s="2">
        <v>45434</v>
      </c>
      <c r="C155" t="str" cm="1">
        <f t="array" aca="1" ref="C155" ca="1">_FV(A155,"Ticker symbol",TRUE)</f>
        <v>APA</v>
      </c>
      <c r="D155" s="4">
        <v>30</v>
      </c>
      <c r="E155" s="50">
        <v>1.04</v>
      </c>
      <c r="F155" s="81">
        <f>IF(Table25[[#This Row],[Number of stocks]]&gt;0,Table25[[#This Row],[Number of stocks]],0)</f>
        <v>1.04</v>
      </c>
      <c r="G155" s="73">
        <f>Table25[[#This Row],[Bought]]*Table25[[#This Row],[Price]]</f>
        <v>31.200000000000003</v>
      </c>
      <c r="H155">
        <f>SUMIF(Table25[[#All],[Assets]],Table25[[#This Row],[Assets]],Table25[[#All],[Bought]])</f>
        <v>87.289999999999992</v>
      </c>
      <c r="I155">
        <f>SUMIF(Table25[[#All],[Assets]],Table25[[#This Row],[Assets]],Table25[[#All],[Bought Amount]])</f>
        <v>2368.7374999999997</v>
      </c>
      <c r="J155" s="88">
        <f>IF(Table25[[#This Row],[Number of stocks]]&lt;0,Table25[[#This Row],[Number of stocks]],0)</f>
        <v>0</v>
      </c>
      <c r="K155" s="5">
        <f>Table25[[#This Row],[Sold]]*Table25[[#This Row],[Price]]</f>
        <v>0</v>
      </c>
      <c r="L155" s="8">
        <f>ABS(SUMIF(Table25[[#All],[Assets]],Table25[[#This Row],[Assets]],Table25[[#All],[Sold]]))</f>
        <v>87.289999999999992</v>
      </c>
      <c r="M155" s="5">
        <f>ABS(SUMIF(Table25[[#All],[Assets]],Table25[[#This Row],[Assets]],Table25[[#All],[Sold Amount]]))</f>
        <v>2259.0844999999999</v>
      </c>
      <c r="N155" s="5">
        <f>IFERROR(Table25[[#This Row],[Total sold amount]]/Table25[[#This Row],[Total Sold number of stocks]],"")</f>
        <v>25.880221102073548</v>
      </c>
      <c r="O155" s="4">
        <f>IFERROR(Table25[[#This Row],[Total Amount bought]]/Table25[[#This Row],[Total number bought]],"")</f>
        <v>27.136413105739489</v>
      </c>
      <c r="P155" s="4">
        <f>IFERROR((Table25[[#This Row],[Average sell price]]-Table25[[#This Row],[Average buy price]])*Table25[[#This Row],[Total Sold number of stocks]],0)</f>
        <v>-109.65299999999996</v>
      </c>
      <c r="Q155" s="85">
        <f>SUMIF(Table25[[#All],[Assets]],Table25[[#This Row],[Assets]],Table25[[#All],[Number of stocks]])</f>
        <v>0</v>
      </c>
    </row>
    <row r="156" spans="1:17">
      <c r="A156" t="e" vm="100">
        <v>#VALUE!</v>
      </c>
      <c r="B156" s="2">
        <v>45394</v>
      </c>
      <c r="C156" t="str" cm="1">
        <f t="array" aca="1" ref="C156" ca="1">_FV(A156,"Ticker symbol",TRUE)</f>
        <v>FNV</v>
      </c>
      <c r="D156" s="4">
        <v>119.72</v>
      </c>
      <c r="E156" s="50">
        <v>2</v>
      </c>
      <c r="F156" s="81">
        <f>IF(Table25[[#This Row],[Number of stocks]]&gt;0,Table25[[#This Row],[Number of stocks]],0)</f>
        <v>2</v>
      </c>
      <c r="G156" s="73">
        <f>Table25[[#This Row],[Bought]]*Table25[[#This Row],[Price]]</f>
        <v>239.44</v>
      </c>
      <c r="H156">
        <f>SUMIF(Table25[[#All],[Assets]],Table25[[#This Row],[Assets]],Table25[[#All],[Bought]])</f>
        <v>80</v>
      </c>
      <c r="I156">
        <f>SUMIF(Table25[[#All],[Assets]],Table25[[#This Row],[Assets]],Table25[[#All],[Bought Amount]])</f>
        <v>10074.099999999999</v>
      </c>
      <c r="J156" s="88">
        <f>IF(Table25[[#This Row],[Number of stocks]]&lt;0,Table25[[#This Row],[Number of stocks]],0)</f>
        <v>0</v>
      </c>
      <c r="K156" s="5">
        <f>Table25[[#This Row],[Sold]]*Table25[[#This Row],[Price]]</f>
        <v>0</v>
      </c>
      <c r="L156" s="8">
        <f>ABS(SUMIF(Table25[[#All],[Assets]],Table25[[#This Row],[Assets]],Table25[[#All],[Sold]]))</f>
        <v>80</v>
      </c>
      <c r="M156" s="5">
        <f>ABS(SUMIF(Table25[[#All],[Assets]],Table25[[#This Row],[Assets]],Table25[[#All],[Sold Amount]]))</f>
        <v>9798.76</v>
      </c>
      <c r="N156" s="5">
        <f>IFERROR(Table25[[#This Row],[Total sold amount]]/Table25[[#This Row],[Total Sold number of stocks]],"")</f>
        <v>122.4845</v>
      </c>
      <c r="O156" s="4">
        <f>IFERROR(Table25[[#This Row],[Total Amount bought]]/Table25[[#This Row],[Total number bought]],"")</f>
        <v>125.92624999999998</v>
      </c>
      <c r="P156" s="4">
        <f>IFERROR((Table25[[#This Row],[Average sell price]]-Table25[[#This Row],[Average buy price]])*Table25[[#This Row],[Total Sold number of stocks]],0)</f>
        <v>-275.33999999999878</v>
      </c>
      <c r="Q156" s="85">
        <f>SUMIF(Table25[[#All],[Assets]],Table25[[#This Row],[Assets]],Table25[[#All],[Number of stocks]])</f>
        <v>0</v>
      </c>
    </row>
    <row r="157" spans="1:17">
      <c r="A157" t="e" vm="97">
        <v>#VALUE!</v>
      </c>
      <c r="B157" s="2">
        <v>45394</v>
      </c>
      <c r="C157" t="str" cm="1">
        <f t="array" aca="1" ref="C157" ca="1">_FV(A157,"Ticker symbol",TRUE)</f>
        <v>AG</v>
      </c>
      <c r="D157" s="4">
        <v>7.68</v>
      </c>
      <c r="E157" s="50">
        <v>37</v>
      </c>
      <c r="F157" s="81">
        <f>IF(Table25[[#This Row],[Number of stocks]]&gt;0,Table25[[#This Row],[Number of stocks]],0)</f>
        <v>37</v>
      </c>
      <c r="G157" s="73">
        <f>Table25[[#This Row],[Bought]]*Table25[[#This Row],[Price]]</f>
        <v>284.15999999999997</v>
      </c>
      <c r="H157">
        <f>SUMIF(Table25[[#All],[Assets]],Table25[[#This Row],[Assets]],Table25[[#All],[Bought]])</f>
        <v>37</v>
      </c>
      <c r="I157">
        <f>SUMIF(Table25[[#All],[Assets]],Table25[[#This Row],[Assets]],Table25[[#All],[Bought Amount]])</f>
        <v>284.15999999999997</v>
      </c>
      <c r="J157" s="88">
        <f>IF(Table25[[#This Row],[Number of stocks]]&lt;0,Table25[[#This Row],[Number of stocks]],0)</f>
        <v>0</v>
      </c>
      <c r="K157" s="5">
        <f>Table25[[#This Row],[Sold]]*Table25[[#This Row],[Price]]</f>
        <v>0</v>
      </c>
      <c r="L157" s="8">
        <f>ABS(SUMIF(Table25[[#All],[Assets]],Table25[[#This Row],[Assets]],Table25[[#All],[Sold]]))</f>
        <v>37</v>
      </c>
      <c r="M157" s="5">
        <f>ABS(SUMIF(Table25[[#All],[Assets]],Table25[[#This Row],[Assets]],Table25[[#All],[Sold Amount]]))</f>
        <v>208.31</v>
      </c>
      <c r="N157" s="5">
        <f>IFERROR(Table25[[#This Row],[Total sold amount]]/Table25[[#This Row],[Total Sold number of stocks]],"")</f>
        <v>5.63</v>
      </c>
      <c r="O157" s="4">
        <f>IFERROR(Table25[[#This Row],[Total Amount bought]]/Table25[[#This Row],[Total number bought]],"")</f>
        <v>7.6799999999999988</v>
      </c>
      <c r="P157" s="4">
        <f>IFERROR((Table25[[#This Row],[Average sell price]]-Table25[[#This Row],[Average buy price]])*Table25[[#This Row],[Total Sold number of stocks]],0)</f>
        <v>-75.849999999999966</v>
      </c>
      <c r="Q157" s="85">
        <f>SUMIF(Table25[[#All],[Assets]],Table25[[#This Row],[Assets]],Table25[[#All],[Number of stocks]])</f>
        <v>0</v>
      </c>
    </row>
    <row r="158" spans="1:17">
      <c r="A158" t="e" vm="478">
        <v>#VALUE!</v>
      </c>
      <c r="B158" s="2">
        <v>45440</v>
      </c>
      <c r="C158" t="str" cm="1">
        <f t="array" aca="1" ref="C158" ca="1">_FV(A158,"Ticker symbol",TRUE)</f>
        <v>TM</v>
      </c>
      <c r="D158" s="4">
        <v>218.65</v>
      </c>
      <c r="E158" s="50">
        <v>4</v>
      </c>
      <c r="F158" s="81">
        <f>IF(Table25[[#This Row],[Number of stocks]]&gt;0,Table25[[#This Row],[Number of stocks]],0)</f>
        <v>4</v>
      </c>
      <c r="G158" s="73">
        <f>Table25[[#This Row],[Bought]]*Table25[[#This Row],[Price]]</f>
        <v>874.6</v>
      </c>
      <c r="H158">
        <f>SUMIF(Table25[[#All],[Assets]],Table25[[#This Row],[Assets]],Table25[[#All],[Bought]])</f>
        <v>7</v>
      </c>
      <c r="I158">
        <f>SUMIF(Table25[[#All],[Assets]],Table25[[#This Row],[Assets]],Table25[[#All],[Bought Amount]])</f>
        <v>1530.22</v>
      </c>
      <c r="J158" s="88">
        <f>IF(Table25[[#This Row],[Number of stocks]]&lt;0,Table25[[#This Row],[Number of stocks]],0)</f>
        <v>0</v>
      </c>
      <c r="K158" s="5">
        <f>Table25[[#This Row],[Sold]]*Table25[[#This Row],[Price]]</f>
        <v>0</v>
      </c>
      <c r="L158" s="8">
        <f>ABS(SUMIF(Table25[[#All],[Assets]],Table25[[#This Row],[Assets]],Table25[[#All],[Sold]]))</f>
        <v>7</v>
      </c>
      <c r="M158" s="5">
        <f>ABS(SUMIF(Table25[[#All],[Assets]],Table25[[#This Row],[Assets]],Table25[[#All],[Sold Amount]]))</f>
        <v>1262.1199999999999</v>
      </c>
      <c r="N158" s="5">
        <f>IFERROR(Table25[[#This Row],[Total sold amount]]/Table25[[#This Row],[Total Sold number of stocks]],"")</f>
        <v>180.30285714285714</v>
      </c>
      <c r="O158" s="4">
        <f>IFERROR(Table25[[#This Row],[Total Amount bought]]/Table25[[#This Row],[Total number bought]],"")</f>
        <v>218.60285714285715</v>
      </c>
      <c r="P158" s="4">
        <f>IFERROR((Table25[[#This Row],[Average sell price]]-Table25[[#This Row],[Average buy price]])*Table25[[#This Row],[Total Sold number of stocks]],0)</f>
        <v>-268.10000000000008</v>
      </c>
      <c r="Q158" s="85">
        <f>SUMIF(Table25[[#All],[Assets]],Table25[[#This Row],[Assets]],Table25[[#All],[Number of stocks]])</f>
        <v>0</v>
      </c>
    </row>
    <row r="159" spans="1:17">
      <c r="A159" t="e" vm="116">
        <v>#VALUE!</v>
      </c>
      <c r="B159" s="2">
        <v>45467</v>
      </c>
      <c r="C159" t="str" cm="1">
        <f t="array" aca="1" ref="C159" ca="1">_FV(A159,"Ticker symbol",TRUE)</f>
        <v>MPC</v>
      </c>
      <c r="D159" s="4">
        <v>173.57</v>
      </c>
      <c r="E159" s="50">
        <v>4</v>
      </c>
      <c r="F159" s="81">
        <f>IF(Table25[[#This Row],[Number of stocks]]&gt;0,Table25[[#This Row],[Number of stocks]],0)</f>
        <v>4</v>
      </c>
      <c r="G159" s="73">
        <f>Table25[[#This Row],[Bought]]*Table25[[#This Row],[Price]]</f>
        <v>694.28</v>
      </c>
      <c r="H159">
        <f>SUMIF(Table25[[#All],[Assets]],Table25[[#This Row],[Assets]],Table25[[#All],[Bought]])</f>
        <v>23</v>
      </c>
      <c r="I159">
        <f>SUMIF(Table25[[#All],[Assets]],Table25[[#This Row],[Assets]],Table25[[#All],[Bought Amount]])</f>
        <v>3826.89</v>
      </c>
      <c r="J159" s="88">
        <f>IF(Table25[[#This Row],[Number of stocks]]&lt;0,Table25[[#This Row],[Number of stocks]],0)</f>
        <v>0</v>
      </c>
      <c r="K159" s="5">
        <f>Table25[[#This Row],[Sold]]*Table25[[#This Row],[Price]]</f>
        <v>0</v>
      </c>
      <c r="L159" s="8">
        <f>ABS(SUMIF(Table25[[#All],[Assets]],Table25[[#This Row],[Assets]],Table25[[#All],[Sold]]))</f>
        <v>23</v>
      </c>
      <c r="M159" s="5">
        <f>ABS(SUMIF(Table25[[#All],[Assets]],Table25[[#This Row],[Assets]],Table25[[#All],[Sold Amount]]))</f>
        <v>3605.23</v>
      </c>
      <c r="N159" s="5">
        <f>IFERROR(Table25[[#This Row],[Total sold amount]]/Table25[[#This Row],[Total Sold number of stocks]],"")</f>
        <v>156.74913043478261</v>
      </c>
      <c r="O159" s="4">
        <f>IFERROR(Table25[[#This Row],[Total Amount bought]]/Table25[[#This Row],[Total number bought]],"")</f>
        <v>166.38652173913042</v>
      </c>
      <c r="P159" s="4">
        <f>IFERROR((Table25[[#This Row],[Average sell price]]-Table25[[#This Row],[Average buy price]])*Table25[[#This Row],[Total Sold number of stocks]],0)</f>
        <v>-221.65999999999943</v>
      </c>
      <c r="Q159" s="85">
        <f>SUMIF(Table25[[#All],[Assets]],Table25[[#This Row],[Assets]],Table25[[#All],[Number of stocks]])</f>
        <v>0</v>
      </c>
    </row>
    <row r="160" spans="1:17">
      <c r="A160" t="e" vm="169">
        <v>#VALUE!</v>
      </c>
      <c r="B160" s="2">
        <v>45467</v>
      </c>
      <c r="C160" t="str" cm="1">
        <f t="array" aca="1" ref="C160" ca="1">_FV(A160,"Ticker symbol",TRUE)</f>
        <v>CVS</v>
      </c>
      <c r="D160" s="4">
        <v>61.65</v>
      </c>
      <c r="E160" s="50">
        <v>5</v>
      </c>
      <c r="F160" s="81">
        <f>IF(Table25[[#This Row],[Number of stocks]]&gt;0,Table25[[#This Row],[Number of stocks]],0)</f>
        <v>5</v>
      </c>
      <c r="G160" s="73">
        <f>Table25[[#This Row],[Bought]]*Table25[[#This Row],[Price]]</f>
        <v>308.25</v>
      </c>
      <c r="H160">
        <f>SUMIF(Table25[[#All],[Assets]],Table25[[#This Row],[Assets]],Table25[[#All],[Bought]])</f>
        <v>104</v>
      </c>
      <c r="I160">
        <f>SUMIF(Table25[[#All],[Assets]],Table25[[#This Row],[Assets]],Table25[[#All],[Bought Amount]])</f>
        <v>6111.46</v>
      </c>
      <c r="J160" s="88">
        <f>IF(Table25[[#This Row],[Number of stocks]]&lt;0,Table25[[#This Row],[Number of stocks]],0)</f>
        <v>0</v>
      </c>
      <c r="K160" s="5">
        <f>Table25[[#This Row],[Sold]]*Table25[[#This Row],[Price]]</f>
        <v>0</v>
      </c>
      <c r="L160" s="8">
        <f>ABS(SUMIF(Table25[[#All],[Assets]],Table25[[#This Row],[Assets]],Table25[[#All],[Sold]]))</f>
        <v>104</v>
      </c>
      <c r="M160" s="5">
        <f>ABS(SUMIF(Table25[[#All],[Assets]],Table25[[#This Row],[Assets]],Table25[[#All],[Sold Amount]]))</f>
        <v>6244.5899999999992</v>
      </c>
      <c r="N160" s="5">
        <f>IFERROR(Table25[[#This Row],[Total sold amount]]/Table25[[#This Row],[Total Sold number of stocks]],"")</f>
        <v>60.044134615384607</v>
      </c>
      <c r="O160" s="4">
        <f>IFERROR(Table25[[#This Row],[Total Amount bought]]/Table25[[#This Row],[Total number bought]],"")</f>
        <v>58.764038461538462</v>
      </c>
      <c r="P160" s="4">
        <f>IFERROR((Table25[[#This Row],[Average sell price]]-Table25[[#This Row],[Average buy price]])*Table25[[#This Row],[Total Sold number of stocks]],0)</f>
        <v>133.12999999999909</v>
      </c>
      <c r="Q160" s="85">
        <f>SUMIF(Table25[[#All],[Assets]],Table25[[#This Row],[Assets]],Table25[[#All],[Number of stocks]])</f>
        <v>0</v>
      </c>
    </row>
    <row r="161" spans="1:17">
      <c r="A161" t="e" vm="325">
        <v>#VALUE!</v>
      </c>
      <c r="B161" s="2">
        <v>45467</v>
      </c>
      <c r="C161" t="str" cm="1">
        <f t="array" aca="1" ref="C161" ca="1">_FV(A161,"Ticker symbol",TRUE)</f>
        <v>PAGS</v>
      </c>
      <c r="D161" s="4">
        <v>11.16</v>
      </c>
      <c r="E161" s="50">
        <v>30</v>
      </c>
      <c r="F161" s="81">
        <f>IF(Table25[[#This Row],[Number of stocks]]&gt;0,Table25[[#This Row],[Number of stocks]],0)</f>
        <v>30</v>
      </c>
      <c r="G161" s="73">
        <f>Table25[[#This Row],[Bought]]*Table25[[#This Row],[Price]]</f>
        <v>334.8</v>
      </c>
      <c r="H161">
        <f>SUMIF(Table25[[#All],[Assets]],Table25[[#This Row],[Assets]],Table25[[#All],[Bought]])</f>
        <v>60</v>
      </c>
      <c r="I161">
        <f>SUMIF(Table25[[#All],[Assets]],Table25[[#This Row],[Assets]],Table25[[#All],[Bought Amount]])</f>
        <v>667.8</v>
      </c>
      <c r="J161" s="88">
        <f>IF(Table25[[#This Row],[Number of stocks]]&lt;0,Table25[[#This Row],[Number of stocks]],0)</f>
        <v>0</v>
      </c>
      <c r="K161" s="5">
        <f>Table25[[#This Row],[Sold]]*Table25[[#This Row],[Price]]</f>
        <v>0</v>
      </c>
      <c r="L161" s="8">
        <f>ABS(SUMIF(Table25[[#All],[Assets]],Table25[[#This Row],[Assets]],Table25[[#All],[Sold]]))</f>
        <v>60</v>
      </c>
      <c r="M161" s="5">
        <f>ABS(SUMIF(Table25[[#All],[Assets]],Table25[[#This Row],[Assets]],Table25[[#All],[Sold Amount]]))</f>
        <v>528</v>
      </c>
      <c r="N161" s="5">
        <f>IFERROR(Table25[[#This Row],[Total sold amount]]/Table25[[#This Row],[Total Sold number of stocks]],"")</f>
        <v>8.8000000000000007</v>
      </c>
      <c r="O161" s="4">
        <f>IFERROR(Table25[[#This Row],[Total Amount bought]]/Table25[[#This Row],[Total number bought]],"")</f>
        <v>11.129999999999999</v>
      </c>
      <c r="P161" s="4">
        <f>IFERROR((Table25[[#This Row],[Average sell price]]-Table25[[#This Row],[Average buy price]])*Table25[[#This Row],[Total Sold number of stocks]],0)</f>
        <v>-139.7999999999999</v>
      </c>
      <c r="Q161" s="85">
        <f>SUMIF(Table25[[#All],[Assets]],Table25[[#This Row],[Assets]],Table25[[#All],[Number of stocks]])</f>
        <v>0</v>
      </c>
    </row>
    <row r="162" spans="1:17">
      <c r="A162" t="e" vm="58">
        <v>#VALUE!</v>
      </c>
      <c r="B162" s="2">
        <v>45467</v>
      </c>
      <c r="C162" t="str" cm="1">
        <f t="array" aca="1" ref="C162" ca="1">_FV(A162,"Ticker symbol",TRUE)</f>
        <v>LNG</v>
      </c>
      <c r="D162" s="4">
        <v>168.12</v>
      </c>
      <c r="E162" s="50">
        <v>2</v>
      </c>
      <c r="F162" s="81">
        <f>IF(Table25[[#This Row],[Number of stocks]]&gt;0,Table25[[#This Row],[Number of stocks]],0)</f>
        <v>2</v>
      </c>
      <c r="G162" s="73">
        <f>Table25[[#This Row],[Bought]]*Table25[[#This Row],[Price]]</f>
        <v>336.24</v>
      </c>
      <c r="H162">
        <f>SUMIF(Table25[[#All],[Assets]],Table25[[#This Row],[Assets]],Table25[[#All],[Bought]])</f>
        <v>2</v>
      </c>
      <c r="I162">
        <f>SUMIF(Table25[[#All],[Assets]],Table25[[#This Row],[Assets]],Table25[[#All],[Bought Amount]])</f>
        <v>336.24</v>
      </c>
      <c r="J162" s="88">
        <f>IF(Table25[[#This Row],[Number of stocks]]&lt;0,Table25[[#This Row],[Number of stocks]],0)</f>
        <v>0</v>
      </c>
      <c r="K162" s="5">
        <f>Table25[[#This Row],[Sold]]*Table25[[#This Row],[Price]]</f>
        <v>0</v>
      </c>
      <c r="L162" s="8">
        <f>ABS(SUMIF(Table25[[#All],[Assets]],Table25[[#This Row],[Assets]],Table25[[#All],[Sold]]))</f>
        <v>1</v>
      </c>
      <c r="M162" s="5">
        <f>ABS(SUMIF(Table25[[#All],[Assets]],Table25[[#This Row],[Assets]],Table25[[#All],[Sold Amount]]))</f>
        <v>234.07</v>
      </c>
      <c r="N162" s="5">
        <f>IFERROR(Table25[[#This Row],[Total sold amount]]/Table25[[#This Row],[Total Sold number of stocks]],"")</f>
        <v>234.07</v>
      </c>
      <c r="O162" s="4">
        <f>IFERROR(Table25[[#This Row],[Total Amount bought]]/Table25[[#This Row],[Total number bought]],"")</f>
        <v>168.12</v>
      </c>
      <c r="P162" s="4">
        <f>IFERROR((Table25[[#This Row],[Average sell price]]-Table25[[#This Row],[Average buy price]])*Table25[[#This Row],[Total Sold number of stocks]],0)</f>
        <v>65.949999999999989</v>
      </c>
      <c r="Q162" s="85">
        <f>SUMIF(Table25[[#All],[Assets]],Table25[[#This Row],[Assets]],Table25[[#All],[Number of stocks]])</f>
        <v>1</v>
      </c>
    </row>
    <row r="163" spans="1:17">
      <c r="A163" t="e" vm="159">
        <v>#VALUE!</v>
      </c>
      <c r="B163" s="2">
        <v>45467</v>
      </c>
      <c r="C163" t="str" cm="1">
        <f t="array" aca="1" ref="C163" ca="1">_FV(A163,"Ticker symbol",TRUE)</f>
        <v>BABA</v>
      </c>
      <c r="D163" s="4">
        <v>75.14</v>
      </c>
      <c r="E163" s="50">
        <v>4</v>
      </c>
      <c r="F163" s="81">
        <f>IF(Table25[[#This Row],[Number of stocks]]&gt;0,Table25[[#This Row],[Number of stocks]],0)</f>
        <v>4</v>
      </c>
      <c r="G163" s="73">
        <f>Table25[[#This Row],[Bought]]*Table25[[#This Row],[Price]]</f>
        <v>300.56</v>
      </c>
      <c r="H163">
        <f>SUMIF(Table25[[#All],[Assets]],Table25[[#This Row],[Assets]],Table25[[#All],[Bought]])</f>
        <v>128</v>
      </c>
      <c r="I163">
        <f>SUMIF(Table25[[#All],[Assets]],Table25[[#This Row],[Assets]],Table25[[#All],[Bought Amount]])</f>
        <v>12533.52</v>
      </c>
      <c r="J163" s="88">
        <f>IF(Table25[[#This Row],[Number of stocks]]&lt;0,Table25[[#This Row],[Number of stocks]],0)</f>
        <v>0</v>
      </c>
      <c r="K163" s="5">
        <f>Table25[[#This Row],[Sold]]*Table25[[#This Row],[Price]]</f>
        <v>0</v>
      </c>
      <c r="L163" s="8">
        <f>ABS(SUMIF(Table25[[#All],[Assets]],Table25[[#This Row],[Assets]],Table25[[#All],[Sold]]))</f>
        <v>128</v>
      </c>
      <c r="M163" s="5">
        <f>ABS(SUMIF(Table25[[#All],[Assets]],Table25[[#This Row],[Assets]],Table25[[#All],[Sold Amount]]))</f>
        <v>17148.419999999998</v>
      </c>
      <c r="N163" s="5">
        <f>IFERROR(Table25[[#This Row],[Total sold amount]]/Table25[[#This Row],[Total Sold number of stocks]],"")</f>
        <v>133.97203124999999</v>
      </c>
      <c r="O163" s="4">
        <f>IFERROR(Table25[[#This Row],[Total Amount bought]]/Table25[[#This Row],[Total number bought]],"")</f>
        <v>97.918125000000003</v>
      </c>
      <c r="P163" s="4">
        <f>IFERROR((Table25[[#This Row],[Average sell price]]-Table25[[#This Row],[Average buy price]])*Table25[[#This Row],[Total Sold number of stocks]],0)</f>
        <v>4614.8999999999978</v>
      </c>
      <c r="Q163" s="85">
        <f>SUMIF(Table25[[#All],[Assets]],Table25[[#This Row],[Assets]],Table25[[#All],[Number of stocks]])</f>
        <v>0</v>
      </c>
    </row>
    <row r="164" spans="1:17">
      <c r="A164" t="e" vm="270">
        <v>#VALUE!</v>
      </c>
      <c r="B164" s="2">
        <v>45497</v>
      </c>
      <c r="C164" t="str" cm="1">
        <f t="array" aca="1" ref="C164" ca="1">_FV(A164,"Ticker symbol",TRUE)</f>
        <v>APEI</v>
      </c>
      <c r="D164" s="4">
        <v>19.45</v>
      </c>
      <c r="E164" s="50">
        <v>30</v>
      </c>
      <c r="F164" s="81">
        <f>IF(Table25[[#This Row],[Number of stocks]]&gt;0,Table25[[#This Row],[Number of stocks]],0)</f>
        <v>30</v>
      </c>
      <c r="G164" s="73">
        <f>Table25[[#This Row],[Bought]]*Table25[[#This Row],[Price]]</f>
        <v>583.5</v>
      </c>
      <c r="H164">
        <f>SUMIF(Table25[[#All],[Assets]],Table25[[#This Row],[Assets]],Table25[[#All],[Bought]])</f>
        <v>55</v>
      </c>
      <c r="I164">
        <f>SUMIF(Table25[[#All],[Assets]],Table25[[#This Row],[Assets]],Table25[[#All],[Bought Amount]])</f>
        <v>895</v>
      </c>
      <c r="J164" s="88">
        <f>IF(Table25[[#This Row],[Number of stocks]]&lt;0,Table25[[#This Row],[Number of stocks]],0)</f>
        <v>0</v>
      </c>
      <c r="K164" s="5">
        <f>Table25[[#This Row],[Sold]]*Table25[[#This Row],[Price]]</f>
        <v>0</v>
      </c>
      <c r="L164" s="8">
        <f>ABS(SUMIF(Table25[[#All],[Assets]],Table25[[#This Row],[Assets]],Table25[[#All],[Sold]]))</f>
        <v>55</v>
      </c>
      <c r="M164" s="5">
        <f>ABS(SUMIF(Table25[[#All],[Assets]],Table25[[#This Row],[Assets]],Table25[[#All],[Sold Amount]]))</f>
        <v>1069.2</v>
      </c>
      <c r="N164" s="5">
        <f>IFERROR(Table25[[#This Row],[Total sold amount]]/Table25[[#This Row],[Total Sold number of stocks]],"")</f>
        <v>19.440000000000001</v>
      </c>
      <c r="O164" s="4">
        <f>IFERROR(Table25[[#This Row],[Total Amount bought]]/Table25[[#This Row],[Total number bought]],"")</f>
        <v>16.272727272727273</v>
      </c>
      <c r="P164" s="4">
        <f>IFERROR((Table25[[#This Row],[Average sell price]]-Table25[[#This Row],[Average buy price]])*Table25[[#This Row],[Total Sold number of stocks]],0)</f>
        <v>174.20000000000005</v>
      </c>
      <c r="Q164" s="85">
        <f>SUMIF(Table25[[#All],[Assets]],Table25[[#This Row],[Assets]],Table25[[#All],[Number of stocks]])</f>
        <v>0</v>
      </c>
    </row>
    <row r="165" spans="1:17">
      <c r="A165" t="e" vm="71">
        <v>#VALUE!</v>
      </c>
      <c r="B165" s="2">
        <v>45497</v>
      </c>
      <c r="C165" t="str" cm="1">
        <f t="array" aca="1" ref="C165" ca="1">_FV(A165,"Ticker symbol",TRUE)</f>
        <v>TKNO</v>
      </c>
      <c r="D165" s="4">
        <v>3.43</v>
      </c>
      <c r="E165" s="50">
        <v>80</v>
      </c>
      <c r="F165" s="81">
        <f>IF(Table25[[#This Row],[Number of stocks]]&gt;0,Table25[[#This Row],[Number of stocks]],0)</f>
        <v>80</v>
      </c>
      <c r="G165" s="73">
        <f>Table25[[#This Row],[Bought]]*Table25[[#This Row],[Price]]</f>
        <v>274.40000000000003</v>
      </c>
      <c r="H165">
        <f>SUMIF(Table25[[#All],[Assets]],Table25[[#This Row],[Assets]],Table25[[#All],[Bought]])</f>
        <v>2166.0267990000002</v>
      </c>
      <c r="I165">
        <f>SUMIF(Table25[[#All],[Assets]],Table25[[#This Row],[Assets]],Table25[[#All],[Bought Amount]])</f>
        <v>13370.91512648</v>
      </c>
      <c r="J165" s="88">
        <f>IF(Table25[[#This Row],[Number of stocks]]&lt;0,Table25[[#This Row],[Number of stocks]],0)</f>
        <v>0</v>
      </c>
      <c r="K165" s="5">
        <f>Table25[[#This Row],[Sold]]*Table25[[#This Row],[Price]]</f>
        <v>0</v>
      </c>
      <c r="L165" s="8">
        <f>ABS(SUMIF(Table25[[#All],[Assets]],Table25[[#This Row],[Assets]],Table25[[#All],[Sold]]))</f>
        <v>2083</v>
      </c>
      <c r="M165" s="5">
        <f>ABS(SUMIF(Table25[[#All],[Assets]],Table25[[#This Row],[Assets]],Table25[[#All],[Sold Amount]]))</f>
        <v>11153.28</v>
      </c>
      <c r="N165" s="5">
        <f>IFERROR(Table25[[#This Row],[Total sold amount]]/Table25[[#This Row],[Total Sold number of stocks]],"")</f>
        <v>5.3544311089774368</v>
      </c>
      <c r="O165" s="4">
        <f>IFERROR(Table25[[#This Row],[Total Amount bought]]/Table25[[#This Row],[Total number bought]],"")</f>
        <v>6.1730146333614213</v>
      </c>
      <c r="P165" s="4">
        <f>IFERROR((Table25[[#This Row],[Average sell price]]-Table25[[#This Row],[Average buy price]])*Table25[[#This Row],[Total Sold number of stocks]],0)</f>
        <v>-1705.1094812918398</v>
      </c>
      <c r="Q165" s="85">
        <f>SUMIF(Table25[[#All],[Assets]],Table25[[#This Row],[Assets]],Table25[[#All],[Number of stocks]])</f>
        <v>83.026798999999983</v>
      </c>
    </row>
    <row r="166" spans="1:17">
      <c r="A166" t="e" vm="80">
        <v>#VALUE!</v>
      </c>
      <c r="B166" s="2">
        <v>45497</v>
      </c>
      <c r="C166" t="str" cm="1">
        <f t="array" aca="1" ref="C166" ca="1">_FV(A166,"Ticker symbol",TRUE)</f>
        <v>PYPL</v>
      </c>
      <c r="D166" s="4">
        <v>58.68</v>
      </c>
      <c r="E166" s="50">
        <v>-20</v>
      </c>
      <c r="F166" s="81">
        <f>IF(Table25[[#This Row],[Number of stocks]]&gt;0,Table25[[#This Row],[Number of stocks]],0)</f>
        <v>0</v>
      </c>
      <c r="G166" s="73">
        <f>Table25[[#This Row],[Bought]]*Table25[[#This Row],[Price]]</f>
        <v>0</v>
      </c>
      <c r="H166">
        <f>SUMIF(Table25[[#All],[Assets]],Table25[[#This Row],[Assets]],Table25[[#All],[Bought]])</f>
        <v>223</v>
      </c>
      <c r="I166">
        <f>SUMIF(Table25[[#All],[Assets]],Table25[[#This Row],[Assets]],Table25[[#All],[Bought Amount]])</f>
        <v>14862.050000000003</v>
      </c>
      <c r="J166" s="88">
        <f>IF(Table25[[#This Row],[Number of stocks]]&lt;0,Table25[[#This Row],[Number of stocks]],0)</f>
        <v>-20</v>
      </c>
      <c r="K166" s="5">
        <f>Table25[[#This Row],[Sold]]*Table25[[#This Row],[Price]]</f>
        <v>-1173.5999999999999</v>
      </c>
      <c r="L166" s="8">
        <f>ABS(SUMIF(Table25[[#All],[Assets]],Table25[[#This Row],[Assets]],Table25[[#All],[Sold]]))</f>
        <v>222</v>
      </c>
      <c r="M166" s="5">
        <f>ABS(SUMIF(Table25[[#All],[Assets]],Table25[[#This Row],[Assets]],Table25[[#All],[Sold Amount]]))</f>
        <v>15255.44</v>
      </c>
      <c r="N166" s="5">
        <f>IFERROR(Table25[[#This Row],[Total sold amount]]/Table25[[#This Row],[Total Sold number of stocks]],"")</f>
        <v>68.718198198198195</v>
      </c>
      <c r="O166" s="4">
        <f>IFERROR(Table25[[#This Row],[Total Amount bought]]/Table25[[#This Row],[Total number bought]],"")</f>
        <v>66.645964125560553</v>
      </c>
      <c r="P166" s="4">
        <f>IFERROR((Table25[[#This Row],[Average sell price]]-Table25[[#This Row],[Average buy price]])*Table25[[#This Row],[Total Sold number of stocks]],0)</f>
        <v>460.03596412555646</v>
      </c>
      <c r="Q166" s="85">
        <f>SUMIF(Table25[[#All],[Assets]],Table25[[#This Row],[Assets]],Table25[[#All],[Number of stocks]])</f>
        <v>1</v>
      </c>
    </row>
    <row r="167" spans="1:17">
      <c r="A167" t="e" vm="138">
        <v>#VALUE!</v>
      </c>
      <c r="B167" s="2">
        <v>45497</v>
      </c>
      <c r="C167" t="str" cm="1">
        <f t="array" aca="1" ref="C167" ca="1">_FV(A167,"Ticker symbol",TRUE)</f>
        <v>PRGS</v>
      </c>
      <c r="D167" s="4">
        <v>55.93</v>
      </c>
      <c r="E167" s="50">
        <v>8</v>
      </c>
      <c r="F167" s="81">
        <f>IF(Table25[[#This Row],[Number of stocks]]&gt;0,Table25[[#This Row],[Number of stocks]],0)</f>
        <v>8</v>
      </c>
      <c r="G167" s="73">
        <f>Table25[[#This Row],[Bought]]*Table25[[#This Row],[Price]]</f>
        <v>447.44</v>
      </c>
      <c r="H167">
        <f>SUMIF(Table25[[#All],[Assets]],Table25[[#This Row],[Assets]],Table25[[#All],[Bought]])</f>
        <v>8</v>
      </c>
      <c r="I167">
        <f>SUMIF(Table25[[#All],[Assets]],Table25[[#This Row],[Assets]],Table25[[#All],[Bought Amount]])</f>
        <v>447.44</v>
      </c>
      <c r="J167" s="88">
        <f>IF(Table25[[#This Row],[Number of stocks]]&lt;0,Table25[[#This Row],[Number of stocks]],0)</f>
        <v>0</v>
      </c>
      <c r="K167" s="5">
        <f>Table25[[#This Row],[Sold]]*Table25[[#This Row],[Price]]</f>
        <v>0</v>
      </c>
      <c r="L167" s="8">
        <f>ABS(SUMIF(Table25[[#All],[Assets]],Table25[[#This Row],[Assets]],Table25[[#All],[Sold]]))</f>
        <v>8</v>
      </c>
      <c r="M167" s="5">
        <f>ABS(SUMIF(Table25[[#All],[Assets]],Table25[[#This Row],[Assets]],Table25[[#All],[Sold Amount]]))</f>
        <v>448.72</v>
      </c>
      <c r="N167" s="5">
        <f>IFERROR(Table25[[#This Row],[Total sold amount]]/Table25[[#This Row],[Total Sold number of stocks]],"")</f>
        <v>56.09</v>
      </c>
      <c r="O167" s="4">
        <f>IFERROR(Table25[[#This Row],[Total Amount bought]]/Table25[[#This Row],[Total number bought]],"")</f>
        <v>55.93</v>
      </c>
      <c r="P167" s="4">
        <f>IFERROR((Table25[[#This Row],[Average sell price]]-Table25[[#This Row],[Average buy price]])*Table25[[#This Row],[Total Sold number of stocks]],0)</f>
        <v>1.2800000000000296</v>
      </c>
      <c r="Q167" s="85">
        <f>SUMIF(Table25[[#All],[Assets]],Table25[[#This Row],[Assets]],Table25[[#All],[Number of stocks]])</f>
        <v>0</v>
      </c>
    </row>
    <row r="168" spans="1:17">
      <c r="A168" t="e" vm="12">
        <v>#VALUE!</v>
      </c>
      <c r="B168" s="2">
        <v>45498</v>
      </c>
      <c r="C168" t="str" cm="1">
        <f t="array" aca="1" ref="C168" ca="1">_FV(A168,"Ticker symbol",TRUE)</f>
        <v>TER</v>
      </c>
      <c r="D168" s="4">
        <v>124.02</v>
      </c>
      <c r="E168" s="50">
        <v>3</v>
      </c>
      <c r="F168" s="81">
        <f>IF(Table25[[#This Row],[Number of stocks]]&gt;0,Table25[[#This Row],[Number of stocks]],0)</f>
        <v>3</v>
      </c>
      <c r="G168" s="73">
        <f>Table25[[#This Row],[Bought]]*Table25[[#This Row],[Price]]</f>
        <v>372.06</v>
      </c>
      <c r="H168">
        <f>SUMIF(Table25[[#All],[Assets]],Table25[[#This Row],[Assets]],Table25[[#All],[Bought]])</f>
        <v>37</v>
      </c>
      <c r="I168">
        <f>SUMIF(Table25[[#All],[Assets]],Table25[[#This Row],[Assets]],Table25[[#All],[Bought Amount]])</f>
        <v>4100.1100000000006</v>
      </c>
      <c r="J168" s="88">
        <f>IF(Table25[[#This Row],[Number of stocks]]&lt;0,Table25[[#This Row],[Number of stocks]],0)</f>
        <v>0</v>
      </c>
      <c r="K168" s="5">
        <f>Table25[[#This Row],[Sold]]*Table25[[#This Row],[Price]]</f>
        <v>0</v>
      </c>
      <c r="L168" s="8">
        <f>ABS(SUMIF(Table25[[#All],[Assets]],Table25[[#This Row],[Assets]],Table25[[#All],[Sold]]))</f>
        <v>16</v>
      </c>
      <c r="M168" s="5">
        <f>ABS(SUMIF(Table25[[#All],[Assets]],Table25[[#This Row],[Assets]],Table25[[#All],[Sold Amount]]))</f>
        <v>2853.3999999999996</v>
      </c>
      <c r="N168" s="5">
        <f>IFERROR(Table25[[#This Row],[Total sold amount]]/Table25[[#This Row],[Total Sold number of stocks]],"")</f>
        <v>178.33749999999998</v>
      </c>
      <c r="O168" s="4">
        <f>IFERROR(Table25[[#This Row],[Total Amount bought]]/Table25[[#This Row],[Total number bought]],"")</f>
        <v>110.8137837837838</v>
      </c>
      <c r="P168" s="4">
        <f>IFERROR((Table25[[#This Row],[Average sell price]]-Table25[[#This Row],[Average buy price]])*Table25[[#This Row],[Total Sold number of stocks]],0)</f>
        <v>1080.3794594594588</v>
      </c>
      <c r="Q168" s="85">
        <f>SUMIF(Table25[[#All],[Assets]],Table25[[#This Row],[Assets]],Table25[[#All],[Number of stocks]])</f>
        <v>21</v>
      </c>
    </row>
    <row r="169" spans="1:17">
      <c r="A169" t="e" vm="138">
        <v>#VALUE!</v>
      </c>
      <c r="B169" s="2">
        <v>45498</v>
      </c>
      <c r="C169" t="str" cm="1">
        <f t="array" aca="1" ref="C169" ca="1">_FV(A169,"Ticker symbol",TRUE)</f>
        <v>PRGS</v>
      </c>
      <c r="D169" s="4">
        <v>56.09</v>
      </c>
      <c r="E169" s="50">
        <v>-8</v>
      </c>
      <c r="F169" s="81">
        <f>IF(Table25[[#This Row],[Number of stocks]]&gt;0,Table25[[#This Row],[Number of stocks]],0)</f>
        <v>0</v>
      </c>
      <c r="G169" s="73">
        <f>Table25[[#This Row],[Bought]]*Table25[[#This Row],[Price]]</f>
        <v>0</v>
      </c>
      <c r="H169">
        <f>SUMIF(Table25[[#All],[Assets]],Table25[[#This Row],[Assets]],Table25[[#All],[Bought]])</f>
        <v>8</v>
      </c>
      <c r="I169">
        <f>SUMIF(Table25[[#All],[Assets]],Table25[[#This Row],[Assets]],Table25[[#All],[Bought Amount]])</f>
        <v>447.44</v>
      </c>
      <c r="J169" s="88">
        <f>IF(Table25[[#This Row],[Number of stocks]]&lt;0,Table25[[#This Row],[Number of stocks]],0)</f>
        <v>-8</v>
      </c>
      <c r="K169" s="5">
        <f>Table25[[#This Row],[Sold]]*Table25[[#This Row],[Price]]</f>
        <v>-448.72</v>
      </c>
      <c r="L169" s="8">
        <f>ABS(SUMIF(Table25[[#All],[Assets]],Table25[[#This Row],[Assets]],Table25[[#All],[Sold]]))</f>
        <v>8</v>
      </c>
      <c r="M169" s="5">
        <f>ABS(SUMIF(Table25[[#All],[Assets]],Table25[[#This Row],[Assets]],Table25[[#All],[Sold Amount]]))</f>
        <v>448.72</v>
      </c>
      <c r="N169" s="5">
        <f>IFERROR(Table25[[#This Row],[Total sold amount]]/Table25[[#This Row],[Total Sold number of stocks]],"")</f>
        <v>56.09</v>
      </c>
      <c r="O169" s="4">
        <f>IFERROR(Table25[[#This Row],[Total Amount bought]]/Table25[[#This Row],[Total number bought]],"")</f>
        <v>55.93</v>
      </c>
      <c r="P169" s="4">
        <f>IFERROR((Table25[[#This Row],[Average sell price]]-Table25[[#This Row],[Average buy price]])*Table25[[#This Row],[Total Sold number of stocks]],0)</f>
        <v>1.2800000000000296</v>
      </c>
      <c r="Q169" s="85">
        <f>SUMIF(Table25[[#All],[Assets]],Table25[[#This Row],[Assets]],Table25[[#All],[Number of stocks]])</f>
        <v>0</v>
      </c>
    </row>
    <row r="170" spans="1:17">
      <c r="A170" t="e" vm="12">
        <v>#VALUE!</v>
      </c>
      <c r="B170" s="2">
        <v>45498</v>
      </c>
      <c r="C170" t="str" cm="1">
        <f t="array" aca="1" ref="C170" ca="1">_FV(A170,"Ticker symbol",TRUE)</f>
        <v>TER</v>
      </c>
      <c r="D170" s="4">
        <v>124.23</v>
      </c>
      <c r="E170" s="50">
        <v>3</v>
      </c>
      <c r="F170" s="81">
        <f>IF(Table25[[#This Row],[Number of stocks]]&gt;0,Table25[[#This Row],[Number of stocks]],0)</f>
        <v>3</v>
      </c>
      <c r="G170" s="73">
        <f>Table25[[#This Row],[Bought]]*Table25[[#This Row],[Price]]</f>
        <v>372.69</v>
      </c>
      <c r="H170">
        <f>SUMIF(Table25[[#All],[Assets]],Table25[[#This Row],[Assets]],Table25[[#All],[Bought]])</f>
        <v>37</v>
      </c>
      <c r="I170">
        <f>SUMIF(Table25[[#All],[Assets]],Table25[[#This Row],[Assets]],Table25[[#All],[Bought Amount]])</f>
        <v>4100.1100000000006</v>
      </c>
      <c r="J170" s="88">
        <f>IF(Table25[[#This Row],[Number of stocks]]&lt;0,Table25[[#This Row],[Number of stocks]],0)</f>
        <v>0</v>
      </c>
      <c r="K170" s="5">
        <f>Table25[[#This Row],[Sold]]*Table25[[#This Row],[Price]]</f>
        <v>0</v>
      </c>
      <c r="L170" s="8">
        <f>ABS(SUMIF(Table25[[#All],[Assets]],Table25[[#This Row],[Assets]],Table25[[#All],[Sold]]))</f>
        <v>16</v>
      </c>
      <c r="M170" s="5">
        <f>ABS(SUMIF(Table25[[#All],[Assets]],Table25[[#This Row],[Assets]],Table25[[#All],[Sold Amount]]))</f>
        <v>2853.3999999999996</v>
      </c>
      <c r="N170" s="5">
        <f>IFERROR(Table25[[#This Row],[Total sold amount]]/Table25[[#This Row],[Total Sold number of stocks]],"")</f>
        <v>178.33749999999998</v>
      </c>
      <c r="O170" s="4">
        <f>IFERROR(Table25[[#This Row],[Total Amount bought]]/Table25[[#This Row],[Total number bought]],"")</f>
        <v>110.8137837837838</v>
      </c>
      <c r="P170" s="4">
        <f>IFERROR((Table25[[#This Row],[Average sell price]]-Table25[[#This Row],[Average buy price]])*Table25[[#This Row],[Total Sold number of stocks]],0)</f>
        <v>1080.3794594594588</v>
      </c>
      <c r="Q170" s="85">
        <f>SUMIF(Table25[[#All],[Assets]],Table25[[#This Row],[Assets]],Table25[[#All],[Number of stocks]])</f>
        <v>21</v>
      </c>
    </row>
    <row r="171" spans="1:17">
      <c r="A171" t="e" vm="116">
        <v>#VALUE!</v>
      </c>
      <c r="B171" s="2">
        <v>45498</v>
      </c>
      <c r="C171" t="str" cm="1">
        <f t="array" aca="1" ref="C171" ca="1">_FV(A171,"Ticker symbol",TRUE)</f>
        <v>MPC</v>
      </c>
      <c r="D171" s="4">
        <v>168.76</v>
      </c>
      <c r="E171" s="50">
        <v>5</v>
      </c>
      <c r="F171" s="81">
        <f>IF(Table25[[#This Row],[Number of stocks]]&gt;0,Table25[[#This Row],[Number of stocks]],0)</f>
        <v>5</v>
      </c>
      <c r="G171" s="73">
        <f>Table25[[#This Row],[Bought]]*Table25[[#This Row],[Price]]</f>
        <v>843.8</v>
      </c>
      <c r="H171">
        <f>SUMIF(Table25[[#All],[Assets]],Table25[[#This Row],[Assets]],Table25[[#All],[Bought]])</f>
        <v>23</v>
      </c>
      <c r="I171">
        <f>SUMIF(Table25[[#All],[Assets]],Table25[[#This Row],[Assets]],Table25[[#All],[Bought Amount]])</f>
        <v>3826.89</v>
      </c>
      <c r="J171" s="88">
        <f>IF(Table25[[#This Row],[Number of stocks]]&lt;0,Table25[[#This Row],[Number of stocks]],0)</f>
        <v>0</v>
      </c>
      <c r="K171" s="5">
        <f>Table25[[#This Row],[Sold]]*Table25[[#This Row],[Price]]</f>
        <v>0</v>
      </c>
      <c r="L171" s="8">
        <f>ABS(SUMIF(Table25[[#All],[Assets]],Table25[[#This Row],[Assets]],Table25[[#All],[Sold]]))</f>
        <v>23</v>
      </c>
      <c r="M171" s="5">
        <f>ABS(SUMIF(Table25[[#All],[Assets]],Table25[[#This Row],[Assets]],Table25[[#All],[Sold Amount]]))</f>
        <v>3605.23</v>
      </c>
      <c r="N171" s="5">
        <f>IFERROR(Table25[[#This Row],[Total sold amount]]/Table25[[#This Row],[Total Sold number of stocks]],"")</f>
        <v>156.74913043478261</v>
      </c>
      <c r="O171" s="4">
        <f>IFERROR(Table25[[#This Row],[Total Amount bought]]/Table25[[#This Row],[Total number bought]],"")</f>
        <v>166.38652173913042</v>
      </c>
      <c r="P171" s="4">
        <f>IFERROR((Table25[[#This Row],[Average sell price]]-Table25[[#This Row],[Average buy price]])*Table25[[#This Row],[Total Sold number of stocks]],0)</f>
        <v>-221.65999999999943</v>
      </c>
      <c r="Q171" s="85">
        <f>SUMIF(Table25[[#All],[Assets]],Table25[[#This Row],[Assets]],Table25[[#All],[Number of stocks]])</f>
        <v>0</v>
      </c>
    </row>
    <row r="172" spans="1:17">
      <c r="A172" t="e" vm="64">
        <v>#VALUE!</v>
      </c>
      <c r="B172" s="2">
        <v>45498</v>
      </c>
      <c r="C172" t="str" cm="1">
        <f t="array" aca="1" ref="C172" ca="1">_FV(A172,"Ticker symbol",TRUE)</f>
        <v>LULU</v>
      </c>
      <c r="D172" s="4">
        <v>251.84</v>
      </c>
      <c r="E172" s="50">
        <v>2</v>
      </c>
      <c r="F172" s="81">
        <f>IF(Table25[[#This Row],[Number of stocks]]&gt;0,Table25[[#This Row],[Number of stocks]],0)</f>
        <v>2</v>
      </c>
      <c r="G172" s="73">
        <f>Table25[[#This Row],[Bought]]*Table25[[#This Row],[Price]]</f>
        <v>503.68</v>
      </c>
      <c r="H172">
        <f>SUMIF(Table25[[#All],[Assets]],Table25[[#This Row],[Assets]],Table25[[#All],[Bought]])</f>
        <v>26</v>
      </c>
      <c r="I172">
        <f>SUMIF(Table25[[#All],[Assets]],Table25[[#This Row],[Assets]],Table25[[#All],[Bought Amount]])</f>
        <v>6272.2400000000007</v>
      </c>
      <c r="J172" s="88">
        <f>IF(Table25[[#This Row],[Number of stocks]]&lt;0,Table25[[#This Row],[Number of stocks]],0)</f>
        <v>0</v>
      </c>
      <c r="K172" s="5">
        <f>Table25[[#This Row],[Sold]]*Table25[[#This Row],[Price]]</f>
        <v>0</v>
      </c>
      <c r="L172" s="8">
        <f>ABS(SUMIF(Table25[[#All],[Assets]],Table25[[#This Row],[Assets]],Table25[[#All],[Sold]]))</f>
        <v>26</v>
      </c>
      <c r="M172" s="5">
        <f>ABS(SUMIF(Table25[[#All],[Assets]],Table25[[#This Row],[Assets]],Table25[[#All],[Sold Amount]]))</f>
        <v>6958.9199999999992</v>
      </c>
      <c r="N172" s="5">
        <f>IFERROR(Table25[[#This Row],[Total sold amount]]/Table25[[#This Row],[Total Sold number of stocks]],"")</f>
        <v>267.65076923076919</v>
      </c>
      <c r="O172" s="4">
        <f>IFERROR(Table25[[#This Row],[Total Amount bought]]/Table25[[#This Row],[Total number bought]],"")</f>
        <v>241.24000000000004</v>
      </c>
      <c r="P172" s="4">
        <f>IFERROR((Table25[[#This Row],[Average sell price]]-Table25[[#This Row],[Average buy price]])*Table25[[#This Row],[Total Sold number of stocks]],0)</f>
        <v>686.67999999999779</v>
      </c>
      <c r="Q172" s="85">
        <f>SUMIF(Table25[[#All],[Assets]],Table25[[#This Row],[Assets]],Table25[[#All],[Number of stocks]])</f>
        <v>0</v>
      </c>
    </row>
    <row r="173" spans="1:17">
      <c r="A173" t="e" vm="64">
        <v>#VALUE!</v>
      </c>
      <c r="B173" s="2">
        <v>45498</v>
      </c>
      <c r="C173" t="str" cm="1">
        <f t="array" aca="1" ref="C173" ca="1">_FV(A173,"Ticker symbol",TRUE)</f>
        <v>LULU</v>
      </c>
      <c r="D173" s="4">
        <v>262.69</v>
      </c>
      <c r="E173" s="50">
        <v>4</v>
      </c>
      <c r="F173" s="81">
        <f>IF(Table25[[#This Row],[Number of stocks]]&gt;0,Table25[[#This Row],[Number of stocks]],0)</f>
        <v>4</v>
      </c>
      <c r="G173" s="73">
        <f>Table25[[#This Row],[Bought]]*Table25[[#This Row],[Price]]</f>
        <v>1050.76</v>
      </c>
      <c r="H173">
        <f>SUMIF(Table25[[#All],[Assets]],Table25[[#This Row],[Assets]],Table25[[#All],[Bought]])</f>
        <v>26</v>
      </c>
      <c r="I173">
        <f>SUMIF(Table25[[#All],[Assets]],Table25[[#This Row],[Assets]],Table25[[#All],[Bought Amount]])</f>
        <v>6272.2400000000007</v>
      </c>
      <c r="J173" s="88">
        <f>IF(Table25[[#This Row],[Number of stocks]]&lt;0,Table25[[#This Row],[Number of stocks]],0)</f>
        <v>0</v>
      </c>
      <c r="K173" s="5">
        <f>Table25[[#This Row],[Sold]]*Table25[[#This Row],[Price]]</f>
        <v>0</v>
      </c>
      <c r="L173" s="8">
        <f>ABS(SUMIF(Table25[[#All],[Assets]],Table25[[#This Row],[Assets]],Table25[[#All],[Sold]]))</f>
        <v>26</v>
      </c>
      <c r="M173" s="5">
        <f>ABS(SUMIF(Table25[[#All],[Assets]],Table25[[#This Row],[Assets]],Table25[[#All],[Sold Amount]]))</f>
        <v>6958.9199999999992</v>
      </c>
      <c r="N173" s="5">
        <f>IFERROR(Table25[[#This Row],[Total sold amount]]/Table25[[#This Row],[Total Sold number of stocks]],"")</f>
        <v>267.65076923076919</v>
      </c>
      <c r="O173" s="4">
        <f>IFERROR(Table25[[#This Row],[Total Amount bought]]/Table25[[#This Row],[Total number bought]],"")</f>
        <v>241.24000000000004</v>
      </c>
      <c r="P173" s="4">
        <f>IFERROR((Table25[[#This Row],[Average sell price]]-Table25[[#This Row],[Average buy price]])*Table25[[#This Row],[Total Sold number of stocks]],0)</f>
        <v>686.67999999999779</v>
      </c>
      <c r="Q173" s="85">
        <f>SUMIF(Table25[[#All],[Assets]],Table25[[#This Row],[Assets]],Table25[[#All],[Number of stocks]])</f>
        <v>0</v>
      </c>
    </row>
    <row r="174" spans="1:17">
      <c r="A174" t="e" vm="84">
        <v>#VALUE!</v>
      </c>
      <c r="B174" s="2">
        <v>45502</v>
      </c>
      <c r="C174" t="str" cm="1">
        <f t="array" aca="1" ref="C174" ca="1">_FV(A174,"Ticker symbol",TRUE)</f>
        <v>COIN</v>
      </c>
      <c r="D174" s="4">
        <v>252.1</v>
      </c>
      <c r="E174" s="50">
        <v>1</v>
      </c>
      <c r="F174" s="81">
        <f>IF(Table25[[#This Row],[Number of stocks]]&gt;0,Table25[[#This Row],[Number of stocks]],0)</f>
        <v>1</v>
      </c>
      <c r="G174" s="73">
        <f>Table25[[#This Row],[Bought]]*Table25[[#This Row],[Price]]</f>
        <v>252.1</v>
      </c>
      <c r="H174">
        <f>SUMIF(Table25[[#All],[Assets]],Table25[[#This Row],[Assets]],Table25[[#All],[Bought]])</f>
        <v>11</v>
      </c>
      <c r="I174">
        <f>SUMIF(Table25[[#All],[Assets]],Table25[[#This Row],[Assets]],Table25[[#All],[Bought Amount]])</f>
        <v>3624.34</v>
      </c>
      <c r="J174" s="88">
        <f>IF(Table25[[#This Row],[Number of stocks]]&lt;0,Table25[[#This Row],[Number of stocks]],0)</f>
        <v>0</v>
      </c>
      <c r="K174" s="5">
        <f>Table25[[#This Row],[Sold]]*Table25[[#This Row],[Price]]</f>
        <v>0</v>
      </c>
      <c r="L174" s="8">
        <f>ABS(SUMIF(Table25[[#All],[Assets]],Table25[[#This Row],[Assets]],Table25[[#All],[Sold]]))</f>
        <v>11</v>
      </c>
      <c r="M174" s="5">
        <f>ABS(SUMIF(Table25[[#All],[Assets]],Table25[[#This Row],[Assets]],Table25[[#All],[Sold Amount]]))</f>
        <v>3399.23</v>
      </c>
      <c r="N174" s="5">
        <f>IFERROR(Table25[[#This Row],[Total sold amount]]/Table25[[#This Row],[Total Sold number of stocks]],"")</f>
        <v>309.02090909090907</v>
      </c>
      <c r="O174" s="4">
        <f>IFERROR(Table25[[#This Row],[Total Amount bought]]/Table25[[#This Row],[Total number bought]],"")</f>
        <v>329.48545454545456</v>
      </c>
      <c r="P174" s="4">
        <f>IFERROR((Table25[[#This Row],[Average sell price]]-Table25[[#This Row],[Average buy price]])*Table25[[#This Row],[Total Sold number of stocks]],0)</f>
        <v>-225.11000000000035</v>
      </c>
      <c r="Q174" s="85">
        <f>SUMIF(Table25[[#All],[Assets]],Table25[[#This Row],[Assets]],Table25[[#All],[Number of stocks]])</f>
        <v>0</v>
      </c>
    </row>
    <row r="175" spans="1:17">
      <c r="A175" t="e" vm="313">
        <v>#VALUE!</v>
      </c>
      <c r="B175" s="2">
        <v>45502</v>
      </c>
      <c r="C175" t="str" cm="1">
        <f t="array" aca="1" ref="C175" ca="1">_FV(A175,"Ticker symbol",TRUE)</f>
        <v>APLD</v>
      </c>
      <c r="D175" s="4">
        <v>4.5199999999999996</v>
      </c>
      <c r="E175" s="50">
        <v>80</v>
      </c>
      <c r="F175" s="81">
        <f>IF(Table25[[#This Row],[Number of stocks]]&gt;0,Table25[[#This Row],[Number of stocks]],0)</f>
        <v>80</v>
      </c>
      <c r="G175" s="73">
        <f>Table25[[#This Row],[Bought]]*Table25[[#This Row],[Price]]</f>
        <v>361.59999999999997</v>
      </c>
      <c r="H175">
        <f>SUMIF(Table25[[#All],[Assets]],Table25[[#This Row],[Assets]],Table25[[#All],[Bought]])</f>
        <v>380</v>
      </c>
      <c r="I175">
        <f>SUMIF(Table25[[#All],[Assets]],Table25[[#This Row],[Assets]],Table25[[#All],[Bought Amount]])</f>
        <v>2450.8000000000002</v>
      </c>
      <c r="J175" s="88">
        <f>IF(Table25[[#This Row],[Number of stocks]]&lt;0,Table25[[#This Row],[Number of stocks]],0)</f>
        <v>0</v>
      </c>
      <c r="K175" s="5">
        <f>Table25[[#This Row],[Sold]]*Table25[[#This Row],[Price]]</f>
        <v>0</v>
      </c>
      <c r="L175" s="8">
        <f>ABS(SUMIF(Table25[[#All],[Assets]],Table25[[#This Row],[Assets]],Table25[[#All],[Sold]]))</f>
        <v>380</v>
      </c>
      <c r="M175" s="5">
        <f>ABS(SUMIF(Table25[[#All],[Assets]],Table25[[#This Row],[Assets]],Table25[[#All],[Sold Amount]]))</f>
        <v>2418.3000000000002</v>
      </c>
      <c r="N175" s="5">
        <f>IFERROR(Table25[[#This Row],[Total sold amount]]/Table25[[#This Row],[Total Sold number of stocks]],"")</f>
        <v>6.3639473684210532</v>
      </c>
      <c r="O175" s="4">
        <f>IFERROR(Table25[[#This Row],[Total Amount bought]]/Table25[[#This Row],[Total number bought]],"")</f>
        <v>6.4494736842105267</v>
      </c>
      <c r="P175" s="4">
        <f>IFERROR((Table25[[#This Row],[Average sell price]]-Table25[[#This Row],[Average buy price]])*Table25[[#This Row],[Total Sold number of stocks]],0)</f>
        <v>-32.499999999999915</v>
      </c>
      <c r="Q175" s="85">
        <f>SUMIF(Table25[[#All],[Assets]],Table25[[#This Row],[Assets]],Table25[[#All],[Number of stocks]])</f>
        <v>0</v>
      </c>
    </row>
    <row r="176" spans="1:17">
      <c r="A176" t="e" vm="309">
        <v>#VALUE!</v>
      </c>
      <c r="B176" s="2">
        <v>45502</v>
      </c>
      <c r="C176" t="str" cm="1">
        <f t="array" aca="1" ref="C176" ca="1">_FV(A176,"Ticker symbol",TRUE)</f>
        <v>IREN</v>
      </c>
      <c r="D176" s="4">
        <v>10.039999999999999</v>
      </c>
      <c r="E176" s="50">
        <v>30</v>
      </c>
      <c r="F176" s="81">
        <f>IF(Table25[[#This Row],[Number of stocks]]&gt;0,Table25[[#This Row],[Number of stocks]],0)</f>
        <v>30</v>
      </c>
      <c r="G176" s="73">
        <f>Table25[[#This Row],[Bought]]*Table25[[#This Row],[Price]]</f>
        <v>301.2</v>
      </c>
      <c r="H176">
        <f>SUMIF(Table25[[#All],[Assets]],Table25[[#This Row],[Assets]],Table25[[#All],[Bought]])</f>
        <v>48</v>
      </c>
      <c r="I176">
        <f>SUMIF(Table25[[#All],[Assets]],Table25[[#This Row],[Assets]],Table25[[#All],[Bought Amount]])</f>
        <v>545.28</v>
      </c>
      <c r="J176" s="88">
        <f>IF(Table25[[#This Row],[Number of stocks]]&lt;0,Table25[[#This Row],[Number of stocks]],0)</f>
        <v>0</v>
      </c>
      <c r="K176" s="5">
        <f>Table25[[#This Row],[Sold]]*Table25[[#This Row],[Price]]</f>
        <v>0</v>
      </c>
      <c r="L176" s="8">
        <f>ABS(SUMIF(Table25[[#All],[Assets]],Table25[[#This Row],[Assets]],Table25[[#All],[Sold]]))</f>
        <v>48</v>
      </c>
      <c r="M176" s="5">
        <f>ABS(SUMIF(Table25[[#All],[Assets]],Table25[[#This Row],[Assets]],Table25[[#All],[Sold Amount]]))</f>
        <v>470.40000000000003</v>
      </c>
      <c r="N176" s="5">
        <f>IFERROR(Table25[[#This Row],[Total sold amount]]/Table25[[#This Row],[Total Sold number of stocks]],"")</f>
        <v>9.8000000000000007</v>
      </c>
      <c r="O176" s="4">
        <f>IFERROR(Table25[[#This Row],[Total Amount bought]]/Table25[[#This Row],[Total number bought]],"")</f>
        <v>11.36</v>
      </c>
      <c r="P176" s="4">
        <f>IFERROR((Table25[[#This Row],[Average sell price]]-Table25[[#This Row],[Average buy price]])*Table25[[#This Row],[Total Sold number of stocks]],0)</f>
        <v>-74.879999999999939</v>
      </c>
      <c r="Q176" s="85">
        <f>SUMIF(Table25[[#All],[Assets]],Table25[[#This Row],[Assets]],Table25[[#All],[Number of stocks]])</f>
        <v>0</v>
      </c>
    </row>
    <row r="177" spans="1:17">
      <c r="A177" t="e" vm="329">
        <v>#VALUE!</v>
      </c>
      <c r="B177" s="2">
        <v>45502</v>
      </c>
      <c r="C177" t="str" cm="1">
        <f t="array" aca="1" ref="C177" ca="1">_FV(A177,"Ticker symbol",TRUE)</f>
        <v>SDIG</v>
      </c>
      <c r="D177" s="4">
        <v>3.28</v>
      </c>
      <c r="E177" s="50">
        <v>100</v>
      </c>
      <c r="F177" s="81">
        <f>IF(Table25[[#This Row],[Number of stocks]]&gt;0,Table25[[#This Row],[Number of stocks]],0)</f>
        <v>100</v>
      </c>
      <c r="G177" s="73">
        <f>Table25[[#This Row],[Bought]]*Table25[[#This Row],[Price]]</f>
        <v>328</v>
      </c>
      <c r="H177">
        <f>SUMIF(Table25[[#All],[Assets]],Table25[[#This Row],[Assets]],Table25[[#All],[Bought]])</f>
        <v>420</v>
      </c>
      <c r="I177">
        <f>SUMIF(Table25[[#All],[Assets]],Table25[[#This Row],[Assets]],Table25[[#All],[Bought Amount]])</f>
        <v>1650</v>
      </c>
      <c r="J177" s="88">
        <f>IF(Table25[[#This Row],[Number of stocks]]&lt;0,Table25[[#This Row],[Number of stocks]],0)</f>
        <v>0</v>
      </c>
      <c r="K177" s="5">
        <f>Table25[[#This Row],[Sold]]*Table25[[#This Row],[Price]]</f>
        <v>0</v>
      </c>
      <c r="L177" s="8">
        <f>ABS(SUMIF(Table25[[#All],[Assets]],Table25[[#This Row],[Assets]],Table25[[#All],[Sold]]))</f>
        <v>420</v>
      </c>
      <c r="M177" s="5">
        <f>ABS(SUMIF(Table25[[#All],[Assets]],Table25[[#This Row],[Assets]],Table25[[#All],[Sold Amount]]))</f>
        <v>2037.2</v>
      </c>
      <c r="N177" s="5">
        <f>IFERROR(Table25[[#This Row],[Total sold amount]]/Table25[[#This Row],[Total Sold number of stocks]],"")</f>
        <v>4.8504761904761908</v>
      </c>
      <c r="O177" s="4">
        <f>IFERROR(Table25[[#This Row],[Total Amount bought]]/Table25[[#This Row],[Total number bought]],"")</f>
        <v>3.9285714285714284</v>
      </c>
      <c r="P177" s="4">
        <f>IFERROR((Table25[[#This Row],[Average sell price]]-Table25[[#This Row],[Average buy price]])*Table25[[#This Row],[Total Sold number of stocks]],0)</f>
        <v>387.20000000000022</v>
      </c>
      <c r="Q177" s="85">
        <f>SUMIF(Table25[[#All],[Assets]],Table25[[#This Row],[Assets]],Table25[[#All],[Number of stocks]])</f>
        <v>0</v>
      </c>
    </row>
    <row r="178" spans="1:17">
      <c r="A178" t="e" vm="315">
        <v>#VALUE!</v>
      </c>
      <c r="B178" s="2">
        <v>45502</v>
      </c>
      <c r="C178" t="str" cm="1">
        <f t="array" aca="1" ref="C178" ca="1">_FV(A178,"Ticker symbol",TRUE)</f>
        <v>CORZ</v>
      </c>
      <c r="D178" s="4">
        <v>10.55</v>
      </c>
      <c r="E178" s="50">
        <v>20</v>
      </c>
      <c r="F178" s="81">
        <f>IF(Table25[[#This Row],[Number of stocks]]&gt;0,Table25[[#This Row],[Number of stocks]],0)</f>
        <v>20</v>
      </c>
      <c r="G178" s="73">
        <f>Table25[[#This Row],[Bought]]*Table25[[#This Row],[Price]]</f>
        <v>211</v>
      </c>
      <c r="H178">
        <f>SUMIF(Table25[[#All],[Assets]],Table25[[#This Row],[Assets]],Table25[[#All],[Bought]])</f>
        <v>64</v>
      </c>
      <c r="I178">
        <f>SUMIF(Table25[[#All],[Assets]],Table25[[#This Row],[Assets]],Table25[[#All],[Bought Amount]])</f>
        <v>605.68000000000006</v>
      </c>
      <c r="J178" s="88">
        <f>IF(Table25[[#This Row],[Number of stocks]]&lt;0,Table25[[#This Row],[Number of stocks]],0)</f>
        <v>0</v>
      </c>
      <c r="K178" s="5">
        <f>Table25[[#This Row],[Sold]]*Table25[[#This Row],[Price]]</f>
        <v>0</v>
      </c>
      <c r="L178" s="8">
        <f>ABS(SUMIF(Table25[[#All],[Assets]],Table25[[#This Row],[Assets]],Table25[[#All],[Sold]]))</f>
        <v>64</v>
      </c>
      <c r="M178" s="5">
        <f>ABS(SUMIF(Table25[[#All],[Assets]],Table25[[#This Row],[Assets]],Table25[[#All],[Sold Amount]]))</f>
        <v>794.24</v>
      </c>
      <c r="N178" s="5">
        <f>IFERROR(Table25[[#This Row],[Total sold amount]]/Table25[[#This Row],[Total Sold number of stocks]],"")</f>
        <v>12.41</v>
      </c>
      <c r="O178" s="4">
        <f>IFERROR(Table25[[#This Row],[Total Amount bought]]/Table25[[#This Row],[Total number bought]],"")</f>
        <v>9.463750000000001</v>
      </c>
      <c r="P178" s="4">
        <f>IFERROR((Table25[[#This Row],[Average sell price]]-Table25[[#This Row],[Average buy price]])*Table25[[#This Row],[Total Sold number of stocks]],0)</f>
        <v>188.55999999999995</v>
      </c>
      <c r="Q178" s="85">
        <f>SUMIF(Table25[[#All],[Assets]],Table25[[#This Row],[Assets]],Table25[[#All],[Number of stocks]])</f>
        <v>0</v>
      </c>
    </row>
    <row r="179" spans="1:17">
      <c r="A179" t="e" vm="456">
        <v>#VALUE!</v>
      </c>
      <c r="B179" s="2">
        <v>45502</v>
      </c>
      <c r="C179" t="str" cm="1">
        <f t="array" aca="1" ref="C179" ca="1">_FV(A179,"Ticker symbol",TRUE)</f>
        <v>BIL</v>
      </c>
      <c r="D179" s="4">
        <v>91.67</v>
      </c>
      <c r="E179" s="50">
        <v>6</v>
      </c>
      <c r="F179" s="81">
        <f>IF(Table25[[#This Row],[Number of stocks]]&gt;0,Table25[[#This Row],[Number of stocks]],0)</f>
        <v>6</v>
      </c>
      <c r="G179" s="73">
        <f>Table25[[#This Row],[Bought]]*Table25[[#This Row],[Price]]</f>
        <v>550.02</v>
      </c>
      <c r="H179">
        <f>SUMIF(Table25[[#All],[Assets]],Table25[[#This Row],[Assets]],Table25[[#All],[Bought]])</f>
        <v>419</v>
      </c>
      <c r="I179">
        <f>SUMIF(Table25[[#All],[Assets]],Table25[[#This Row],[Assets]],Table25[[#All],[Bought Amount]])</f>
        <v>38555.520000000004</v>
      </c>
      <c r="J179" s="88">
        <f>IF(Table25[[#This Row],[Number of stocks]]&lt;0,Table25[[#This Row],[Number of stocks]],0)</f>
        <v>0</v>
      </c>
      <c r="K179" s="5">
        <f>Table25[[#This Row],[Sold]]*Table25[[#This Row],[Price]]</f>
        <v>0</v>
      </c>
      <c r="L179" s="8">
        <f>ABS(SUMIF(Table25[[#All],[Assets]],Table25[[#This Row],[Assets]],Table25[[#All],[Sold]]))</f>
        <v>419</v>
      </c>
      <c r="M179" s="5">
        <f>ABS(SUMIF(Table25[[#All],[Assets]],Table25[[#This Row],[Assets]],Table25[[#All],[Sold Amount]]))</f>
        <v>38372</v>
      </c>
      <c r="N179" s="5">
        <f>IFERROR(Table25[[#This Row],[Total sold amount]]/Table25[[#This Row],[Total Sold number of stocks]],"")</f>
        <v>91.579952267303099</v>
      </c>
      <c r="O179" s="4">
        <f>IFERROR(Table25[[#This Row],[Total Amount bought]]/Table25[[#This Row],[Total number bought]],"")</f>
        <v>92.017947494033422</v>
      </c>
      <c r="P179" s="4">
        <f>IFERROR((Table25[[#This Row],[Average sell price]]-Table25[[#This Row],[Average buy price]])*Table25[[#This Row],[Total Sold number of stocks]],0)</f>
        <v>-183.5200000000051</v>
      </c>
      <c r="Q179" s="85">
        <f>SUMIF(Table25[[#All],[Assets]],Table25[[#This Row],[Assets]],Table25[[#All],[Number of stocks]])</f>
        <v>0</v>
      </c>
    </row>
    <row r="180" spans="1:17">
      <c r="A180" t="e" vm="80">
        <v>#VALUE!</v>
      </c>
      <c r="B180" s="2">
        <v>45502</v>
      </c>
      <c r="C180" t="str" cm="1">
        <f t="array" aca="1" ref="C180" ca="1">_FV(A180,"Ticker symbol",TRUE)</f>
        <v>PYPL</v>
      </c>
      <c r="D180" s="4">
        <v>58.8</v>
      </c>
      <c r="E180" s="50">
        <v>5</v>
      </c>
      <c r="F180" s="81">
        <f>IF(Table25[[#This Row],[Number of stocks]]&gt;0,Table25[[#This Row],[Number of stocks]],0)</f>
        <v>5</v>
      </c>
      <c r="G180" s="73">
        <f>Table25[[#This Row],[Bought]]*Table25[[#This Row],[Price]]</f>
        <v>294</v>
      </c>
      <c r="H180">
        <f>SUMIF(Table25[[#All],[Assets]],Table25[[#This Row],[Assets]],Table25[[#All],[Bought]])</f>
        <v>223</v>
      </c>
      <c r="I180">
        <f>SUMIF(Table25[[#All],[Assets]],Table25[[#This Row],[Assets]],Table25[[#All],[Bought Amount]])</f>
        <v>14862.050000000003</v>
      </c>
      <c r="J180" s="88">
        <f>IF(Table25[[#This Row],[Number of stocks]]&lt;0,Table25[[#This Row],[Number of stocks]],0)</f>
        <v>0</v>
      </c>
      <c r="K180" s="5">
        <f>Table25[[#This Row],[Sold]]*Table25[[#This Row],[Price]]</f>
        <v>0</v>
      </c>
      <c r="L180" s="8">
        <f>ABS(SUMIF(Table25[[#All],[Assets]],Table25[[#This Row],[Assets]],Table25[[#All],[Sold]]))</f>
        <v>222</v>
      </c>
      <c r="M180" s="5">
        <f>ABS(SUMIF(Table25[[#All],[Assets]],Table25[[#This Row],[Assets]],Table25[[#All],[Sold Amount]]))</f>
        <v>15255.44</v>
      </c>
      <c r="N180" s="5">
        <f>IFERROR(Table25[[#This Row],[Total sold amount]]/Table25[[#This Row],[Total Sold number of stocks]],"")</f>
        <v>68.718198198198195</v>
      </c>
      <c r="O180" s="4">
        <f>IFERROR(Table25[[#This Row],[Total Amount bought]]/Table25[[#This Row],[Total number bought]],"")</f>
        <v>66.645964125560553</v>
      </c>
      <c r="P180" s="4">
        <f>IFERROR((Table25[[#This Row],[Average sell price]]-Table25[[#This Row],[Average buy price]])*Table25[[#This Row],[Total Sold number of stocks]],0)</f>
        <v>460.03596412555646</v>
      </c>
      <c r="Q180" s="85">
        <f>SUMIF(Table25[[#All],[Assets]],Table25[[#This Row],[Assets]],Table25[[#All],[Number of stocks]])</f>
        <v>1</v>
      </c>
    </row>
    <row r="181" spans="1:17">
      <c r="A181" t="e" vm="456">
        <v>#VALUE!</v>
      </c>
      <c r="B181" s="2">
        <v>45503</v>
      </c>
      <c r="C181" t="str" cm="1">
        <f t="array" aca="1" ref="C181" ca="1">_FV(A181,"Ticker symbol",TRUE)</f>
        <v>BIL</v>
      </c>
      <c r="D181" s="4">
        <v>91.78</v>
      </c>
      <c r="E181" s="50">
        <v>-15</v>
      </c>
      <c r="F181" s="81">
        <f>IF(Table25[[#This Row],[Number of stocks]]&gt;0,Table25[[#This Row],[Number of stocks]],0)</f>
        <v>0</v>
      </c>
      <c r="G181" s="73">
        <f>Table25[[#This Row],[Bought]]*Table25[[#This Row],[Price]]</f>
        <v>0</v>
      </c>
      <c r="H181">
        <f>SUMIF(Table25[[#All],[Assets]],Table25[[#This Row],[Assets]],Table25[[#All],[Bought]])</f>
        <v>419</v>
      </c>
      <c r="I181">
        <f>SUMIF(Table25[[#All],[Assets]],Table25[[#This Row],[Assets]],Table25[[#All],[Bought Amount]])</f>
        <v>38555.520000000004</v>
      </c>
      <c r="J181" s="88">
        <f>IF(Table25[[#This Row],[Number of stocks]]&lt;0,Table25[[#This Row],[Number of stocks]],0)</f>
        <v>-15</v>
      </c>
      <c r="K181" s="5">
        <f>Table25[[#This Row],[Sold]]*Table25[[#This Row],[Price]]</f>
        <v>-1376.7</v>
      </c>
      <c r="L181" s="8">
        <f>ABS(SUMIF(Table25[[#All],[Assets]],Table25[[#This Row],[Assets]],Table25[[#All],[Sold]]))</f>
        <v>419</v>
      </c>
      <c r="M181" s="5">
        <f>ABS(SUMIF(Table25[[#All],[Assets]],Table25[[#This Row],[Assets]],Table25[[#All],[Sold Amount]]))</f>
        <v>38372</v>
      </c>
      <c r="N181" s="5">
        <f>IFERROR(Table25[[#This Row],[Total sold amount]]/Table25[[#This Row],[Total Sold number of stocks]],"")</f>
        <v>91.579952267303099</v>
      </c>
      <c r="O181" s="4">
        <f>IFERROR(Table25[[#This Row],[Total Amount bought]]/Table25[[#This Row],[Total number bought]],"")</f>
        <v>92.017947494033422</v>
      </c>
      <c r="P181" s="4">
        <f>IFERROR((Table25[[#This Row],[Average sell price]]-Table25[[#This Row],[Average buy price]])*Table25[[#This Row],[Total Sold number of stocks]],0)</f>
        <v>-183.5200000000051</v>
      </c>
      <c r="Q181" s="85">
        <f>SUMIF(Table25[[#All],[Assets]],Table25[[#This Row],[Assets]],Table25[[#All],[Number of stocks]])</f>
        <v>0</v>
      </c>
    </row>
    <row r="182" spans="1:17">
      <c r="A182" t="e" vm="128">
        <v>#VALUE!</v>
      </c>
      <c r="B182" s="2">
        <v>45503</v>
      </c>
      <c r="C182" t="str" cm="1">
        <f t="array" aca="1" ref="C182" ca="1">_FV(A182,"Ticker symbol",TRUE)</f>
        <v>AXON</v>
      </c>
      <c r="D182" s="4">
        <v>314.19</v>
      </c>
      <c r="E182" s="50">
        <v>-1</v>
      </c>
      <c r="F182" s="81">
        <f>IF(Table25[[#This Row],[Number of stocks]]&gt;0,Table25[[#This Row],[Number of stocks]],0)</f>
        <v>0</v>
      </c>
      <c r="G182" s="73">
        <f>Table25[[#This Row],[Bought]]*Table25[[#This Row],[Price]]</f>
        <v>0</v>
      </c>
      <c r="H182">
        <f>SUMIF(Table25[[#All],[Assets]],Table25[[#This Row],[Assets]],Table25[[#All],[Bought]])</f>
        <v>5</v>
      </c>
      <c r="I182">
        <f>SUMIF(Table25[[#All],[Assets]],Table25[[#This Row],[Assets]],Table25[[#All],[Bought Amount]])</f>
        <v>1437.6899999999998</v>
      </c>
      <c r="J182" s="88">
        <f>IF(Table25[[#This Row],[Number of stocks]]&lt;0,Table25[[#This Row],[Number of stocks]],0)</f>
        <v>-1</v>
      </c>
      <c r="K182" s="5">
        <f>Table25[[#This Row],[Sold]]*Table25[[#This Row],[Price]]</f>
        <v>-314.19</v>
      </c>
      <c r="L182" s="8">
        <f>ABS(SUMIF(Table25[[#All],[Assets]],Table25[[#This Row],[Assets]],Table25[[#All],[Sold]]))</f>
        <v>5</v>
      </c>
      <c r="M182" s="5">
        <f>ABS(SUMIF(Table25[[#All],[Assets]],Table25[[#This Row],[Assets]],Table25[[#All],[Sold Amount]]))</f>
        <v>1963.1</v>
      </c>
      <c r="N182" s="5">
        <f>IFERROR(Table25[[#This Row],[Total sold amount]]/Table25[[#This Row],[Total Sold number of stocks]],"")</f>
        <v>392.62</v>
      </c>
      <c r="O182" s="4">
        <f>IFERROR(Table25[[#This Row],[Total Amount bought]]/Table25[[#This Row],[Total number bought]],"")</f>
        <v>287.53799999999995</v>
      </c>
      <c r="P182" s="4">
        <f>IFERROR((Table25[[#This Row],[Average sell price]]-Table25[[#This Row],[Average buy price]])*Table25[[#This Row],[Total Sold number of stocks]],0)</f>
        <v>525.41000000000031</v>
      </c>
      <c r="Q182" s="85">
        <f>SUMIF(Table25[[#All],[Assets]],Table25[[#This Row],[Assets]],Table25[[#All],[Number of stocks]])</f>
        <v>0</v>
      </c>
    </row>
    <row r="183" spans="1:17">
      <c r="A183" t="e" vm="360">
        <v>#VALUE!</v>
      </c>
      <c r="B183" s="2">
        <v>45503</v>
      </c>
      <c r="C183" t="str" cm="1">
        <f t="array" aca="1" ref="C183" ca="1">_FV(A183,"Ticker symbol",TRUE)</f>
        <v>APOG</v>
      </c>
      <c r="D183" s="4">
        <v>68.150000000000006</v>
      </c>
      <c r="E183" s="50">
        <v>-2</v>
      </c>
      <c r="F183" s="81">
        <f>IF(Table25[[#This Row],[Number of stocks]]&gt;0,Table25[[#This Row],[Number of stocks]],0)</f>
        <v>0</v>
      </c>
      <c r="G183" s="73">
        <f>Table25[[#This Row],[Bought]]*Table25[[#This Row],[Price]]</f>
        <v>0</v>
      </c>
      <c r="H183">
        <f>SUMIF(Table25[[#All],[Assets]],Table25[[#This Row],[Assets]],Table25[[#All],[Bought]])</f>
        <v>2</v>
      </c>
      <c r="I183">
        <f>SUMIF(Table25[[#All],[Assets]],Table25[[#This Row],[Assets]],Table25[[#All],[Bought Amount]])</f>
        <v>123.9</v>
      </c>
      <c r="J183" s="88">
        <f>IF(Table25[[#This Row],[Number of stocks]]&lt;0,Table25[[#This Row],[Number of stocks]],0)</f>
        <v>-2</v>
      </c>
      <c r="K183" s="5">
        <f>Table25[[#This Row],[Sold]]*Table25[[#This Row],[Price]]</f>
        <v>-136.30000000000001</v>
      </c>
      <c r="L183" s="8">
        <f>ABS(SUMIF(Table25[[#All],[Assets]],Table25[[#This Row],[Assets]],Table25[[#All],[Sold]]))</f>
        <v>2</v>
      </c>
      <c r="M183" s="5">
        <f>ABS(SUMIF(Table25[[#All],[Assets]],Table25[[#This Row],[Assets]],Table25[[#All],[Sold Amount]]))</f>
        <v>136.30000000000001</v>
      </c>
      <c r="N183" s="5">
        <f>IFERROR(Table25[[#This Row],[Total sold amount]]/Table25[[#This Row],[Total Sold number of stocks]],"")</f>
        <v>68.150000000000006</v>
      </c>
      <c r="O183" s="4">
        <f>IFERROR(Table25[[#This Row],[Total Amount bought]]/Table25[[#This Row],[Total number bought]],"")</f>
        <v>61.95</v>
      </c>
      <c r="P183" s="4">
        <f>IFERROR((Table25[[#This Row],[Average sell price]]-Table25[[#This Row],[Average buy price]])*Table25[[#This Row],[Total Sold number of stocks]],0)</f>
        <v>12.400000000000006</v>
      </c>
      <c r="Q183" s="85">
        <f>SUMIF(Table25[[#All],[Assets]],Table25[[#This Row],[Assets]],Table25[[#All],[Number of stocks]])</f>
        <v>0</v>
      </c>
    </row>
    <row r="184" spans="1:17">
      <c r="A184" t="e" vm="10">
        <v>#VALUE!</v>
      </c>
      <c r="B184" s="2">
        <v>45503</v>
      </c>
      <c r="C184" t="str" cm="1">
        <f t="array" aca="1" ref="C184" ca="1">_FV(A184,"Ticker symbol",TRUE)</f>
        <v>ESLT</v>
      </c>
      <c r="D184" s="4">
        <v>179.46</v>
      </c>
      <c r="E184" s="50">
        <v>-1</v>
      </c>
      <c r="F184" s="81">
        <f>IF(Table25[[#This Row],[Number of stocks]]&gt;0,Table25[[#This Row],[Number of stocks]],0)</f>
        <v>0</v>
      </c>
      <c r="G184" s="73">
        <f>Table25[[#This Row],[Bought]]*Table25[[#This Row],[Price]]</f>
        <v>0</v>
      </c>
      <c r="H184">
        <f>SUMIF(Table25[[#All],[Assets]],Table25[[#This Row],[Assets]],Table25[[#All],[Bought]])</f>
        <v>2</v>
      </c>
      <c r="I184">
        <f>SUMIF(Table25[[#All],[Assets]],Table25[[#This Row],[Assets]],Table25[[#All],[Bought Amount]])</f>
        <v>635.72</v>
      </c>
      <c r="J184" s="88">
        <f>IF(Table25[[#This Row],[Number of stocks]]&lt;0,Table25[[#This Row],[Number of stocks]],0)</f>
        <v>-1</v>
      </c>
      <c r="K184" s="5">
        <f>Table25[[#This Row],[Sold]]*Table25[[#This Row],[Price]]</f>
        <v>-179.46</v>
      </c>
      <c r="L184" s="8">
        <f>ABS(SUMIF(Table25[[#All],[Assets]],Table25[[#This Row],[Assets]],Table25[[#All],[Sold]]))</f>
        <v>2</v>
      </c>
      <c r="M184" s="5">
        <f>ABS(SUMIF(Table25[[#All],[Assets]],Table25[[#This Row],[Assets]],Table25[[#All],[Sold Amount]]))</f>
        <v>637.45000000000005</v>
      </c>
      <c r="N184" s="5">
        <f>IFERROR(Table25[[#This Row],[Total sold amount]]/Table25[[#This Row],[Total Sold number of stocks]],"")</f>
        <v>318.72500000000002</v>
      </c>
      <c r="O184" s="4">
        <f>IFERROR(Table25[[#This Row],[Total Amount bought]]/Table25[[#This Row],[Total number bought]],"")</f>
        <v>317.86</v>
      </c>
      <c r="P184" s="4">
        <f>IFERROR((Table25[[#This Row],[Average sell price]]-Table25[[#This Row],[Average buy price]])*Table25[[#This Row],[Total Sold number of stocks]],0)</f>
        <v>1.7300000000000182</v>
      </c>
      <c r="Q184" s="85">
        <f>SUMIF(Table25[[#All],[Assets]],Table25[[#This Row],[Assets]],Table25[[#All],[Number of stocks]])</f>
        <v>0</v>
      </c>
    </row>
    <row r="185" spans="1:17">
      <c r="A185" t="e" vm="404">
        <v>#VALUE!</v>
      </c>
      <c r="B185" s="2">
        <v>45503</v>
      </c>
      <c r="C185" t="str" cm="1">
        <f t="array" aca="1" ref="C185" ca="1">_FV(A185,"Ticker symbol",TRUE)</f>
        <v>AMR</v>
      </c>
      <c r="D185" s="4">
        <v>291</v>
      </c>
      <c r="E185" s="50">
        <v>-1</v>
      </c>
      <c r="F185" s="81">
        <f>IF(Table25[[#This Row],[Number of stocks]]&gt;0,Table25[[#This Row],[Number of stocks]],0)</f>
        <v>0</v>
      </c>
      <c r="G185" s="73">
        <f>Table25[[#This Row],[Bought]]*Table25[[#This Row],[Price]]</f>
        <v>0</v>
      </c>
      <c r="H185">
        <f>SUMIF(Table25[[#All],[Assets]],Table25[[#This Row],[Assets]],Table25[[#All],[Bought]])</f>
        <v>1</v>
      </c>
      <c r="I185">
        <f>SUMIF(Table25[[#All],[Assets]],Table25[[#This Row],[Assets]],Table25[[#All],[Bought Amount]])</f>
        <v>321.58999999999997</v>
      </c>
      <c r="J185" s="88">
        <f>IF(Table25[[#This Row],[Number of stocks]]&lt;0,Table25[[#This Row],[Number of stocks]],0)</f>
        <v>-1</v>
      </c>
      <c r="K185" s="5">
        <f>Table25[[#This Row],[Sold]]*Table25[[#This Row],[Price]]</f>
        <v>-291</v>
      </c>
      <c r="L185" s="8">
        <f>ABS(SUMIF(Table25[[#All],[Assets]],Table25[[#This Row],[Assets]],Table25[[#All],[Sold]]))</f>
        <v>1</v>
      </c>
      <c r="M185" s="5">
        <f>ABS(SUMIF(Table25[[#All],[Assets]],Table25[[#This Row],[Assets]],Table25[[#All],[Sold Amount]]))</f>
        <v>291</v>
      </c>
      <c r="N185" s="5">
        <f>IFERROR(Table25[[#This Row],[Total sold amount]]/Table25[[#This Row],[Total Sold number of stocks]],"")</f>
        <v>291</v>
      </c>
      <c r="O185" s="4">
        <f>IFERROR(Table25[[#This Row],[Total Amount bought]]/Table25[[#This Row],[Total number bought]],"")</f>
        <v>321.58999999999997</v>
      </c>
      <c r="P185" s="4">
        <f>IFERROR((Table25[[#This Row],[Average sell price]]-Table25[[#This Row],[Average buy price]])*Table25[[#This Row],[Total Sold number of stocks]],0)</f>
        <v>-30.589999999999975</v>
      </c>
      <c r="Q185" s="85">
        <f>SUMIF(Table25[[#All],[Assets]],Table25[[#This Row],[Assets]],Table25[[#All],[Number of stocks]])</f>
        <v>0</v>
      </c>
    </row>
    <row r="186" spans="1:17">
      <c r="A186" t="e" vm="318">
        <v>#VALUE!</v>
      </c>
      <c r="B186" s="2">
        <v>45503</v>
      </c>
      <c r="C186" t="str" cm="1">
        <f t="array" aca="1" ref="C186" ca="1">_FV(A186,"Ticker symbol",TRUE)</f>
        <v>NUE</v>
      </c>
      <c r="D186" s="4">
        <v>160.16999999999999</v>
      </c>
      <c r="E186" s="50">
        <v>-2</v>
      </c>
      <c r="F186" s="81">
        <f>IF(Table25[[#This Row],[Number of stocks]]&gt;0,Table25[[#This Row],[Number of stocks]],0)</f>
        <v>0</v>
      </c>
      <c r="G186" s="73">
        <f>Table25[[#This Row],[Bought]]*Table25[[#This Row],[Price]]</f>
        <v>0</v>
      </c>
      <c r="H186">
        <f>SUMIF(Table25[[#All],[Assets]],Table25[[#This Row],[Assets]],Table25[[#All],[Bought]])</f>
        <v>2</v>
      </c>
      <c r="I186">
        <f>SUMIF(Table25[[#All],[Assets]],Table25[[#This Row],[Assets]],Table25[[#All],[Bought Amount]])</f>
        <v>311.04000000000002</v>
      </c>
      <c r="J186" s="88">
        <f>IF(Table25[[#This Row],[Number of stocks]]&lt;0,Table25[[#This Row],[Number of stocks]],0)</f>
        <v>-2</v>
      </c>
      <c r="K186" s="5">
        <f>Table25[[#This Row],[Sold]]*Table25[[#This Row],[Price]]</f>
        <v>-320.33999999999997</v>
      </c>
      <c r="L186" s="8">
        <f>ABS(SUMIF(Table25[[#All],[Assets]],Table25[[#This Row],[Assets]],Table25[[#All],[Sold]]))</f>
        <v>2</v>
      </c>
      <c r="M186" s="5">
        <f>ABS(SUMIF(Table25[[#All],[Assets]],Table25[[#This Row],[Assets]],Table25[[#All],[Sold Amount]]))</f>
        <v>320.33999999999997</v>
      </c>
      <c r="N186" s="5">
        <f>IFERROR(Table25[[#This Row],[Total sold amount]]/Table25[[#This Row],[Total Sold number of stocks]],"")</f>
        <v>160.16999999999999</v>
      </c>
      <c r="O186" s="4">
        <f>IFERROR(Table25[[#This Row],[Total Amount bought]]/Table25[[#This Row],[Total number bought]],"")</f>
        <v>155.52000000000001</v>
      </c>
      <c r="P186" s="4">
        <f>IFERROR((Table25[[#This Row],[Average sell price]]-Table25[[#This Row],[Average buy price]])*Table25[[#This Row],[Total Sold number of stocks]],0)</f>
        <v>9.2999999999999545</v>
      </c>
      <c r="Q186" s="85">
        <f>SUMIF(Table25[[#All],[Assets]],Table25[[#This Row],[Assets]],Table25[[#All],[Number of stocks]])</f>
        <v>0</v>
      </c>
    </row>
    <row r="187" spans="1:17">
      <c r="A187" t="e" vm="453">
        <v>#VALUE!</v>
      </c>
      <c r="B187" s="2">
        <v>45503</v>
      </c>
      <c r="C187" t="str" cm="1">
        <f t="array" aca="1" ref="C187" ca="1">_FV(A187,"Ticker symbol",TRUE)</f>
        <v>NWPX</v>
      </c>
      <c r="D187" s="4">
        <v>36.68</v>
      </c>
      <c r="E187" s="50">
        <v>-20</v>
      </c>
      <c r="F187" s="81">
        <f>IF(Table25[[#This Row],[Number of stocks]]&gt;0,Table25[[#This Row],[Number of stocks]],0)</f>
        <v>0</v>
      </c>
      <c r="G187" s="73">
        <f>Table25[[#This Row],[Bought]]*Table25[[#This Row],[Price]]</f>
        <v>0</v>
      </c>
      <c r="H187">
        <f>SUMIF(Table25[[#All],[Assets]],Table25[[#This Row],[Assets]],Table25[[#All],[Bought]])</f>
        <v>20</v>
      </c>
      <c r="I187">
        <f>SUMIF(Table25[[#All],[Assets]],Table25[[#This Row],[Assets]],Table25[[#All],[Bought Amount]])</f>
        <v>715</v>
      </c>
      <c r="J187" s="88">
        <f>IF(Table25[[#This Row],[Number of stocks]]&lt;0,Table25[[#This Row],[Number of stocks]],0)</f>
        <v>-20</v>
      </c>
      <c r="K187" s="5">
        <f>Table25[[#This Row],[Sold]]*Table25[[#This Row],[Price]]</f>
        <v>-733.6</v>
      </c>
      <c r="L187" s="8">
        <f>ABS(SUMIF(Table25[[#All],[Assets]],Table25[[#This Row],[Assets]],Table25[[#All],[Sold]]))</f>
        <v>20</v>
      </c>
      <c r="M187" s="5">
        <f>ABS(SUMIF(Table25[[#All],[Assets]],Table25[[#This Row],[Assets]],Table25[[#All],[Sold Amount]]))</f>
        <v>733.6</v>
      </c>
      <c r="N187" s="5">
        <f>IFERROR(Table25[[#This Row],[Total sold amount]]/Table25[[#This Row],[Total Sold number of stocks]],"")</f>
        <v>36.68</v>
      </c>
      <c r="O187" s="4">
        <f>IFERROR(Table25[[#This Row],[Total Amount bought]]/Table25[[#This Row],[Total number bought]],"")</f>
        <v>35.75</v>
      </c>
      <c r="P187" s="4">
        <f>IFERROR((Table25[[#This Row],[Average sell price]]-Table25[[#This Row],[Average buy price]])*Table25[[#This Row],[Total Sold number of stocks]],0)</f>
        <v>18.599999999999994</v>
      </c>
      <c r="Q187" s="85">
        <f>SUMIF(Table25[[#All],[Assets]],Table25[[#This Row],[Assets]],Table25[[#All],[Number of stocks]])</f>
        <v>0</v>
      </c>
    </row>
    <row r="188" spans="1:17">
      <c r="A188" t="e" vm="43">
        <v>#VALUE!</v>
      </c>
      <c r="B188" s="2">
        <v>45503</v>
      </c>
      <c r="C188" t="str" cm="1">
        <f t="array" aca="1" ref="C188" ca="1">_FV(A188,"Ticker symbol",TRUE)</f>
        <v>J</v>
      </c>
      <c r="D188" s="4">
        <v>146.69999999999999</v>
      </c>
      <c r="E188" s="50">
        <v>-4</v>
      </c>
      <c r="F188" s="81">
        <f>IF(Table25[[#This Row],[Number of stocks]]&gt;0,Table25[[#This Row],[Number of stocks]],0)</f>
        <v>0</v>
      </c>
      <c r="G188" s="73">
        <f>Table25[[#This Row],[Bought]]*Table25[[#This Row],[Price]]</f>
        <v>0</v>
      </c>
      <c r="H188">
        <f>SUMIF(Table25[[#All],[Assets]],Table25[[#This Row],[Assets]],Table25[[#All],[Bought]])</f>
        <v>4</v>
      </c>
      <c r="I188">
        <f>SUMIF(Table25[[#All],[Assets]],Table25[[#This Row],[Assets]],Table25[[#All],[Bought Amount]])</f>
        <v>550.24</v>
      </c>
      <c r="J188" s="88">
        <f>IF(Table25[[#This Row],[Number of stocks]]&lt;0,Table25[[#This Row],[Number of stocks]],0)</f>
        <v>-4</v>
      </c>
      <c r="K188" s="5">
        <f>Table25[[#This Row],[Sold]]*Table25[[#This Row],[Price]]</f>
        <v>-586.79999999999995</v>
      </c>
      <c r="L188" s="8">
        <f>ABS(SUMIF(Table25[[#All],[Assets]],Table25[[#This Row],[Assets]],Table25[[#All],[Sold]]))</f>
        <v>4</v>
      </c>
      <c r="M188" s="5">
        <f>ABS(SUMIF(Table25[[#All],[Assets]],Table25[[#This Row],[Assets]],Table25[[#All],[Sold Amount]]))</f>
        <v>586.79999999999995</v>
      </c>
      <c r="N188" s="5">
        <f>IFERROR(Table25[[#This Row],[Total sold amount]]/Table25[[#This Row],[Total Sold number of stocks]],"")</f>
        <v>146.69999999999999</v>
      </c>
      <c r="O188" s="4">
        <f>IFERROR(Table25[[#This Row],[Total Amount bought]]/Table25[[#This Row],[Total number bought]],"")</f>
        <v>137.56</v>
      </c>
      <c r="P188" s="4">
        <f>IFERROR((Table25[[#This Row],[Average sell price]]-Table25[[#This Row],[Average buy price]])*Table25[[#This Row],[Total Sold number of stocks]],0)</f>
        <v>36.559999999999945</v>
      </c>
      <c r="Q188" s="85">
        <f>SUMIF(Table25[[#All],[Assets]],Table25[[#This Row],[Assets]],Table25[[#All],[Number of stocks]])</f>
        <v>0</v>
      </c>
    </row>
    <row r="189" spans="1:17">
      <c r="A189" t="e" vm="384">
        <v>#VALUE!</v>
      </c>
      <c r="B189" s="2">
        <v>45503</v>
      </c>
      <c r="C189" t="str" cm="1">
        <f t="array" aca="1" ref="C189" ca="1">_FV(A189,"Ticker symbol",TRUE)</f>
        <v>ITRI</v>
      </c>
      <c r="D189" s="4">
        <v>103.71</v>
      </c>
      <c r="E189" s="50">
        <v>-4</v>
      </c>
      <c r="F189" s="81">
        <f>IF(Table25[[#This Row],[Number of stocks]]&gt;0,Table25[[#This Row],[Number of stocks]],0)</f>
        <v>0</v>
      </c>
      <c r="G189" s="73">
        <f>Table25[[#This Row],[Bought]]*Table25[[#This Row],[Price]]</f>
        <v>0</v>
      </c>
      <c r="H189">
        <f>SUMIF(Table25[[#All],[Assets]],Table25[[#This Row],[Assets]],Table25[[#All],[Bought]])</f>
        <v>4</v>
      </c>
      <c r="I189">
        <f>SUMIF(Table25[[#All],[Assets]],Table25[[#This Row],[Assets]],Table25[[#All],[Bought Amount]])</f>
        <v>429.36</v>
      </c>
      <c r="J189" s="88">
        <f>IF(Table25[[#This Row],[Number of stocks]]&lt;0,Table25[[#This Row],[Number of stocks]],0)</f>
        <v>-4</v>
      </c>
      <c r="K189" s="5">
        <f>Table25[[#This Row],[Sold]]*Table25[[#This Row],[Price]]</f>
        <v>-414.84</v>
      </c>
      <c r="L189" s="8">
        <f>ABS(SUMIF(Table25[[#All],[Assets]],Table25[[#This Row],[Assets]],Table25[[#All],[Sold]]))</f>
        <v>4</v>
      </c>
      <c r="M189" s="5">
        <f>ABS(SUMIF(Table25[[#All],[Assets]],Table25[[#This Row],[Assets]],Table25[[#All],[Sold Amount]]))</f>
        <v>414.84</v>
      </c>
      <c r="N189" s="5">
        <f>IFERROR(Table25[[#This Row],[Total sold amount]]/Table25[[#This Row],[Total Sold number of stocks]],"")</f>
        <v>103.71</v>
      </c>
      <c r="O189" s="4">
        <f>IFERROR(Table25[[#This Row],[Total Amount bought]]/Table25[[#This Row],[Total number bought]],"")</f>
        <v>107.34</v>
      </c>
      <c r="P189" s="4">
        <f>IFERROR((Table25[[#This Row],[Average sell price]]-Table25[[#This Row],[Average buy price]])*Table25[[#This Row],[Total Sold number of stocks]],0)</f>
        <v>-14.520000000000039</v>
      </c>
      <c r="Q189" s="85">
        <f>SUMIF(Table25[[#All],[Assets]],Table25[[#This Row],[Assets]],Table25[[#All],[Number of stocks]])</f>
        <v>0</v>
      </c>
    </row>
    <row r="190" spans="1:17">
      <c r="A190" t="e" vm="293">
        <v>#VALUE!</v>
      </c>
      <c r="B190" s="2">
        <v>45503</v>
      </c>
      <c r="C190" t="str" cm="1">
        <f t="array" aca="1" ref="C190" ca="1">_FV(A190,"Ticker symbol",TRUE)</f>
        <v>TTEK</v>
      </c>
      <c r="D190" s="4">
        <v>213.26</v>
      </c>
      <c r="E190" s="50">
        <v>-2</v>
      </c>
      <c r="F190" s="81">
        <f>IF(Table25[[#This Row],[Number of stocks]]&gt;0,Table25[[#This Row],[Number of stocks]],0)</f>
        <v>0</v>
      </c>
      <c r="G190" s="73">
        <f>Table25[[#This Row],[Bought]]*Table25[[#This Row],[Price]]</f>
        <v>0</v>
      </c>
      <c r="H190">
        <f>SUMIF(Table25[[#All],[Assets]],Table25[[#This Row],[Assets]],Table25[[#All],[Bought]])</f>
        <v>2</v>
      </c>
      <c r="I190">
        <f>SUMIF(Table25[[#All],[Assets]],Table25[[#This Row],[Assets]],Table25[[#All],[Bought Amount]])</f>
        <v>396.82</v>
      </c>
      <c r="J190" s="88">
        <f>IF(Table25[[#This Row],[Number of stocks]]&lt;0,Table25[[#This Row],[Number of stocks]],0)</f>
        <v>-2</v>
      </c>
      <c r="K190" s="5">
        <f>Table25[[#This Row],[Sold]]*Table25[[#This Row],[Price]]</f>
        <v>-426.52</v>
      </c>
      <c r="L190" s="8">
        <f>ABS(SUMIF(Table25[[#All],[Assets]],Table25[[#This Row],[Assets]],Table25[[#All],[Sold]]))</f>
        <v>2</v>
      </c>
      <c r="M190" s="5">
        <f>ABS(SUMIF(Table25[[#All],[Assets]],Table25[[#This Row],[Assets]],Table25[[#All],[Sold Amount]]))</f>
        <v>426.52</v>
      </c>
      <c r="N190" s="5">
        <f>IFERROR(Table25[[#This Row],[Total sold amount]]/Table25[[#This Row],[Total Sold number of stocks]],"")</f>
        <v>213.26</v>
      </c>
      <c r="O190" s="4">
        <f>IFERROR(Table25[[#This Row],[Total Amount bought]]/Table25[[#This Row],[Total number bought]],"")</f>
        <v>198.41</v>
      </c>
      <c r="P190" s="4">
        <f>IFERROR((Table25[[#This Row],[Average sell price]]-Table25[[#This Row],[Average buy price]])*Table25[[#This Row],[Total Sold number of stocks]],0)</f>
        <v>29.699999999999989</v>
      </c>
      <c r="Q190" s="85">
        <f>SUMIF(Table25[[#All],[Assets]],Table25[[#This Row],[Assets]],Table25[[#All],[Number of stocks]])</f>
        <v>0</v>
      </c>
    </row>
    <row r="191" spans="1:17">
      <c r="A191" t="e" vm="488">
        <v>#VALUE!</v>
      </c>
      <c r="B191" s="2">
        <v>45503</v>
      </c>
      <c r="C191" t="str" cm="1">
        <f t="array" aca="1" ref="C191" ca="1">_FV(A191,"Ticker symbol",TRUE)</f>
        <v>CECO</v>
      </c>
      <c r="D191" s="4">
        <v>28.44</v>
      </c>
      <c r="E191" s="50">
        <v>-11</v>
      </c>
      <c r="F191" s="81">
        <f>IF(Table25[[#This Row],[Number of stocks]]&gt;0,Table25[[#This Row],[Number of stocks]],0)</f>
        <v>0</v>
      </c>
      <c r="G191" s="73">
        <f>Table25[[#This Row],[Bought]]*Table25[[#This Row],[Price]]</f>
        <v>0</v>
      </c>
      <c r="H191">
        <f>SUMIF(Table25[[#All],[Assets]],Table25[[#This Row],[Assets]],Table25[[#All],[Bought]])</f>
        <v>11</v>
      </c>
      <c r="I191">
        <f>SUMIF(Table25[[#All],[Assets]],Table25[[#This Row],[Assets]],Table25[[#All],[Bought Amount]])</f>
        <v>274.89</v>
      </c>
      <c r="J191" s="88">
        <f>IF(Table25[[#This Row],[Number of stocks]]&lt;0,Table25[[#This Row],[Number of stocks]],0)</f>
        <v>-11</v>
      </c>
      <c r="K191" s="5">
        <f>Table25[[#This Row],[Sold]]*Table25[[#This Row],[Price]]</f>
        <v>-312.84000000000003</v>
      </c>
      <c r="L191" s="8">
        <f>ABS(SUMIF(Table25[[#All],[Assets]],Table25[[#This Row],[Assets]],Table25[[#All],[Sold]]))</f>
        <v>11</v>
      </c>
      <c r="M191" s="5">
        <f>ABS(SUMIF(Table25[[#All],[Assets]],Table25[[#This Row],[Assets]],Table25[[#All],[Sold Amount]]))</f>
        <v>312.84000000000003</v>
      </c>
      <c r="N191" s="5">
        <f>IFERROR(Table25[[#This Row],[Total sold amount]]/Table25[[#This Row],[Total Sold number of stocks]],"")</f>
        <v>28.44</v>
      </c>
      <c r="O191" s="4">
        <f>IFERROR(Table25[[#This Row],[Total Amount bought]]/Table25[[#This Row],[Total number bought]],"")</f>
        <v>24.99</v>
      </c>
      <c r="P191" s="4">
        <f>IFERROR((Table25[[#This Row],[Average sell price]]-Table25[[#This Row],[Average buy price]])*Table25[[#This Row],[Total Sold number of stocks]],0)</f>
        <v>37.950000000000031</v>
      </c>
      <c r="Q191" s="85">
        <f>SUMIF(Table25[[#All],[Assets]],Table25[[#This Row],[Assets]],Table25[[#All],[Number of stocks]])</f>
        <v>0</v>
      </c>
    </row>
    <row r="192" spans="1:17">
      <c r="A192" t="e" vm="378">
        <v>#VALUE!</v>
      </c>
      <c r="B192" s="2">
        <v>45503</v>
      </c>
      <c r="C192" t="str" cm="1">
        <f t="array" aca="1" ref="C192" ca="1">_FV(A192,"Ticker symbol",TRUE)</f>
        <v>BMI</v>
      </c>
      <c r="D192" s="4">
        <v>206.39</v>
      </c>
      <c r="E192" s="50">
        <v>-1</v>
      </c>
      <c r="F192" s="81">
        <f>IF(Table25[[#This Row],[Number of stocks]]&gt;0,Table25[[#This Row],[Number of stocks]],0)</f>
        <v>0</v>
      </c>
      <c r="G192" s="73">
        <f>Table25[[#This Row],[Bought]]*Table25[[#This Row],[Price]]</f>
        <v>0</v>
      </c>
      <c r="H192">
        <f>SUMIF(Table25[[#All],[Assets]],Table25[[#This Row],[Assets]],Table25[[#All],[Bought]])</f>
        <v>1</v>
      </c>
      <c r="I192">
        <f>SUMIF(Table25[[#All],[Assets]],Table25[[#This Row],[Assets]],Table25[[#All],[Bought Amount]])</f>
        <v>194.67</v>
      </c>
      <c r="J192" s="88">
        <f>IF(Table25[[#This Row],[Number of stocks]]&lt;0,Table25[[#This Row],[Number of stocks]],0)</f>
        <v>-1</v>
      </c>
      <c r="K192" s="5">
        <f>Table25[[#This Row],[Sold]]*Table25[[#This Row],[Price]]</f>
        <v>-206.39</v>
      </c>
      <c r="L192" s="8">
        <f>ABS(SUMIF(Table25[[#All],[Assets]],Table25[[#This Row],[Assets]],Table25[[#All],[Sold]]))</f>
        <v>1</v>
      </c>
      <c r="M192" s="5">
        <f>ABS(SUMIF(Table25[[#All],[Assets]],Table25[[#This Row],[Assets]],Table25[[#All],[Sold Amount]]))</f>
        <v>206.39</v>
      </c>
      <c r="N192" s="5">
        <f>IFERROR(Table25[[#This Row],[Total sold amount]]/Table25[[#This Row],[Total Sold number of stocks]],"")</f>
        <v>206.39</v>
      </c>
      <c r="O192" s="4">
        <f>IFERROR(Table25[[#This Row],[Total Amount bought]]/Table25[[#This Row],[Total number bought]],"")</f>
        <v>194.67</v>
      </c>
      <c r="P192" s="4">
        <f>IFERROR((Table25[[#This Row],[Average sell price]]-Table25[[#This Row],[Average buy price]])*Table25[[#This Row],[Total Sold number of stocks]],0)</f>
        <v>11.719999999999999</v>
      </c>
      <c r="Q192" s="85">
        <f>SUMIF(Table25[[#All],[Assets]],Table25[[#This Row],[Assets]],Table25[[#All],[Number of stocks]])</f>
        <v>0</v>
      </c>
    </row>
    <row r="193" spans="1:17">
      <c r="A193" t="e" vm="373">
        <v>#VALUE!</v>
      </c>
      <c r="B193" s="2">
        <v>45503</v>
      </c>
      <c r="C193" t="str" cm="1">
        <f t="array" aca="1" ref="C193" ca="1">_FV(A193,"Ticker symbol",TRUE)</f>
        <v>XYL</v>
      </c>
      <c r="D193" s="4">
        <v>136.62</v>
      </c>
      <c r="E193" s="50">
        <v>-1</v>
      </c>
      <c r="F193" s="81">
        <f>IF(Table25[[#This Row],[Number of stocks]]&gt;0,Table25[[#This Row],[Number of stocks]],0)</f>
        <v>0</v>
      </c>
      <c r="G193" s="73">
        <f>Table25[[#This Row],[Bought]]*Table25[[#This Row],[Price]]</f>
        <v>0</v>
      </c>
      <c r="H193">
        <f>SUMIF(Table25[[#All],[Assets]],Table25[[#This Row],[Assets]],Table25[[#All],[Bought]])</f>
        <v>1</v>
      </c>
      <c r="I193">
        <f>SUMIF(Table25[[#All],[Assets]],Table25[[#This Row],[Assets]],Table25[[#All],[Bought Amount]])</f>
        <v>131.83000000000001</v>
      </c>
      <c r="J193" s="88">
        <f>IF(Table25[[#This Row],[Number of stocks]]&lt;0,Table25[[#This Row],[Number of stocks]],0)</f>
        <v>-1</v>
      </c>
      <c r="K193" s="5">
        <f>Table25[[#This Row],[Sold]]*Table25[[#This Row],[Price]]</f>
        <v>-136.62</v>
      </c>
      <c r="L193" s="8">
        <f>ABS(SUMIF(Table25[[#All],[Assets]],Table25[[#This Row],[Assets]],Table25[[#All],[Sold]]))</f>
        <v>1</v>
      </c>
      <c r="M193" s="5">
        <f>ABS(SUMIF(Table25[[#All],[Assets]],Table25[[#This Row],[Assets]],Table25[[#All],[Sold Amount]]))</f>
        <v>136.62</v>
      </c>
      <c r="N193" s="5">
        <f>IFERROR(Table25[[#This Row],[Total sold amount]]/Table25[[#This Row],[Total Sold number of stocks]],"")</f>
        <v>136.62</v>
      </c>
      <c r="O193" s="4">
        <f>IFERROR(Table25[[#This Row],[Total Amount bought]]/Table25[[#This Row],[Total number bought]],"")</f>
        <v>131.83000000000001</v>
      </c>
      <c r="P193" s="4">
        <f>IFERROR((Table25[[#This Row],[Average sell price]]-Table25[[#This Row],[Average buy price]])*Table25[[#This Row],[Total Sold number of stocks]],0)</f>
        <v>4.789999999999992</v>
      </c>
      <c r="Q193" s="85">
        <f>SUMIF(Table25[[#All],[Assets]],Table25[[#This Row],[Assets]],Table25[[#All],[Number of stocks]])</f>
        <v>0</v>
      </c>
    </row>
    <row r="194" spans="1:17">
      <c r="A194" t="e" vm="401">
        <v>#VALUE!</v>
      </c>
      <c r="B194" s="2">
        <v>45503</v>
      </c>
      <c r="C194" t="str" cm="1">
        <f t="array" aca="1" ref="C194" ca="1">_FV(A194,"Ticker symbol",TRUE)</f>
        <v>ATMU</v>
      </c>
      <c r="D194" s="4">
        <v>31.02</v>
      </c>
      <c r="E194" s="50">
        <v>-4</v>
      </c>
      <c r="F194" s="81">
        <f>IF(Table25[[#This Row],[Number of stocks]]&gt;0,Table25[[#This Row],[Number of stocks]],0)</f>
        <v>0</v>
      </c>
      <c r="G194" s="73">
        <f>Table25[[#This Row],[Bought]]*Table25[[#This Row],[Price]]</f>
        <v>0</v>
      </c>
      <c r="H194">
        <f>SUMIF(Table25[[#All],[Assets]],Table25[[#This Row],[Assets]],Table25[[#All],[Bought]])</f>
        <v>4</v>
      </c>
      <c r="I194">
        <f>SUMIF(Table25[[#All],[Assets]],Table25[[#This Row],[Assets]],Table25[[#All],[Bought Amount]])</f>
        <v>111.64</v>
      </c>
      <c r="J194" s="88">
        <f>IF(Table25[[#This Row],[Number of stocks]]&lt;0,Table25[[#This Row],[Number of stocks]],0)</f>
        <v>-4</v>
      </c>
      <c r="K194" s="5">
        <f>Table25[[#This Row],[Sold]]*Table25[[#This Row],[Price]]</f>
        <v>-124.08</v>
      </c>
      <c r="L194" s="8">
        <f>ABS(SUMIF(Table25[[#All],[Assets]],Table25[[#This Row],[Assets]],Table25[[#All],[Sold]]))</f>
        <v>4</v>
      </c>
      <c r="M194" s="5">
        <f>ABS(SUMIF(Table25[[#All],[Assets]],Table25[[#This Row],[Assets]],Table25[[#All],[Sold Amount]]))</f>
        <v>124.08</v>
      </c>
      <c r="N194" s="5">
        <f>IFERROR(Table25[[#This Row],[Total sold amount]]/Table25[[#This Row],[Total Sold number of stocks]],"")</f>
        <v>31.02</v>
      </c>
      <c r="O194" s="4">
        <f>IFERROR(Table25[[#This Row],[Total Amount bought]]/Table25[[#This Row],[Total number bought]],"")</f>
        <v>27.91</v>
      </c>
      <c r="P194" s="4">
        <f>IFERROR((Table25[[#This Row],[Average sell price]]-Table25[[#This Row],[Average buy price]])*Table25[[#This Row],[Total Sold number of stocks]],0)</f>
        <v>12.439999999999998</v>
      </c>
      <c r="Q194" s="85">
        <f>SUMIF(Table25[[#All],[Assets]],Table25[[#This Row],[Assets]],Table25[[#All],[Number of stocks]])</f>
        <v>0</v>
      </c>
    </row>
    <row r="195" spans="1:17">
      <c r="A195" t="e" vm="45">
        <v>#VALUE!</v>
      </c>
      <c r="B195" s="2">
        <v>45503</v>
      </c>
      <c r="C195" t="str" cm="1">
        <f t="array" aca="1" ref="C195" ca="1">_FV(A195,"Ticker symbol",TRUE)</f>
        <v>ACM</v>
      </c>
      <c r="D195" s="4">
        <v>90.37</v>
      </c>
      <c r="E195" s="50">
        <v>-1</v>
      </c>
      <c r="F195" s="81">
        <f>IF(Table25[[#This Row],[Number of stocks]]&gt;0,Table25[[#This Row],[Number of stocks]],0)</f>
        <v>0</v>
      </c>
      <c r="G195" s="73">
        <f>Table25[[#This Row],[Bought]]*Table25[[#This Row],[Price]]</f>
        <v>0</v>
      </c>
      <c r="H195">
        <f>SUMIF(Table25[[#All],[Assets]],Table25[[#This Row],[Assets]],Table25[[#All],[Bought]])</f>
        <v>1</v>
      </c>
      <c r="I195">
        <f>SUMIF(Table25[[#All],[Assets]],Table25[[#This Row],[Assets]],Table25[[#All],[Bought Amount]])</f>
        <v>85.41</v>
      </c>
      <c r="J195" s="88">
        <f>IF(Table25[[#This Row],[Number of stocks]]&lt;0,Table25[[#This Row],[Number of stocks]],0)</f>
        <v>-1</v>
      </c>
      <c r="K195" s="5">
        <f>Table25[[#This Row],[Sold]]*Table25[[#This Row],[Price]]</f>
        <v>-90.37</v>
      </c>
      <c r="L195" s="8">
        <f>ABS(SUMIF(Table25[[#All],[Assets]],Table25[[#This Row],[Assets]],Table25[[#All],[Sold]]))</f>
        <v>1</v>
      </c>
      <c r="M195" s="5">
        <f>ABS(SUMIF(Table25[[#All],[Assets]],Table25[[#This Row],[Assets]],Table25[[#All],[Sold Amount]]))</f>
        <v>90.37</v>
      </c>
      <c r="N195" s="5">
        <f>IFERROR(Table25[[#This Row],[Total sold amount]]/Table25[[#This Row],[Total Sold number of stocks]],"")</f>
        <v>90.37</v>
      </c>
      <c r="O195" s="4">
        <f>IFERROR(Table25[[#This Row],[Total Amount bought]]/Table25[[#This Row],[Total number bought]],"")</f>
        <v>85.41</v>
      </c>
      <c r="P195" s="4">
        <f>IFERROR((Table25[[#This Row],[Average sell price]]-Table25[[#This Row],[Average buy price]])*Table25[[#This Row],[Total Sold number of stocks]],0)</f>
        <v>4.960000000000008</v>
      </c>
      <c r="Q195" s="85">
        <f>SUMIF(Table25[[#All],[Assets]],Table25[[#This Row],[Assets]],Table25[[#All],[Number of stocks]])</f>
        <v>0</v>
      </c>
    </row>
    <row r="196" spans="1:17">
      <c r="A196" t="e" vm="387">
        <v>#VALUE!</v>
      </c>
      <c r="B196" s="2">
        <v>45503</v>
      </c>
      <c r="C196" t="str" cm="1">
        <f t="array" aca="1" ref="C196" ca="1">_FV(A196,"Ticker symbol",TRUE)</f>
        <v>ZWS</v>
      </c>
      <c r="D196" s="4">
        <v>32.26</v>
      </c>
      <c r="E196" s="50">
        <v>-1</v>
      </c>
      <c r="F196" s="81">
        <f>IF(Table25[[#This Row],[Number of stocks]]&gt;0,Table25[[#This Row],[Number of stocks]],0)</f>
        <v>0</v>
      </c>
      <c r="G196" s="73">
        <f>Table25[[#This Row],[Bought]]*Table25[[#This Row],[Price]]</f>
        <v>0</v>
      </c>
      <c r="H196">
        <f>SUMIF(Table25[[#All],[Assets]],Table25[[#This Row],[Assets]],Table25[[#All],[Bought]])</f>
        <v>1</v>
      </c>
      <c r="I196">
        <f>SUMIF(Table25[[#All],[Assets]],Table25[[#This Row],[Assets]],Table25[[#All],[Bought Amount]])</f>
        <v>32.53</v>
      </c>
      <c r="J196" s="88">
        <f>IF(Table25[[#This Row],[Number of stocks]]&lt;0,Table25[[#This Row],[Number of stocks]],0)</f>
        <v>-1</v>
      </c>
      <c r="K196" s="5">
        <f>Table25[[#This Row],[Sold]]*Table25[[#This Row],[Price]]</f>
        <v>-32.26</v>
      </c>
      <c r="L196" s="8">
        <f>ABS(SUMIF(Table25[[#All],[Assets]],Table25[[#This Row],[Assets]],Table25[[#All],[Sold]]))</f>
        <v>1</v>
      </c>
      <c r="M196" s="5">
        <f>ABS(SUMIF(Table25[[#All],[Assets]],Table25[[#This Row],[Assets]],Table25[[#All],[Sold Amount]]))</f>
        <v>32.26</v>
      </c>
      <c r="N196" s="5">
        <f>IFERROR(Table25[[#This Row],[Total sold amount]]/Table25[[#This Row],[Total Sold number of stocks]],"")</f>
        <v>32.26</v>
      </c>
      <c r="O196" s="4">
        <f>IFERROR(Table25[[#This Row],[Total Amount bought]]/Table25[[#This Row],[Total number bought]],"")</f>
        <v>32.53</v>
      </c>
      <c r="P196" s="4">
        <f>IFERROR((Table25[[#This Row],[Average sell price]]-Table25[[#This Row],[Average buy price]])*Table25[[#This Row],[Total Sold number of stocks]],0)</f>
        <v>-0.27000000000000313</v>
      </c>
      <c r="Q196" s="85">
        <f>SUMIF(Table25[[#All],[Assets]],Table25[[#This Row],[Assets]],Table25[[#All],[Number of stocks]])</f>
        <v>0</v>
      </c>
    </row>
    <row r="197" spans="1:17">
      <c r="A197" t="e" vm="512">
        <v>#VALUE!</v>
      </c>
      <c r="B197" s="2">
        <v>45503</v>
      </c>
      <c r="C197" t="str" cm="1">
        <f t="array" aca="1" ref="C197" ca="1">_FV(A197,"Ticker symbol",TRUE)</f>
        <v>FORM</v>
      </c>
      <c r="D197" s="4">
        <v>51.46</v>
      </c>
      <c r="E197" s="50">
        <v>6</v>
      </c>
      <c r="F197" s="81">
        <f>IF(Table25[[#This Row],[Number of stocks]]&gt;0,Table25[[#This Row],[Number of stocks]],0)</f>
        <v>6</v>
      </c>
      <c r="G197" s="73">
        <f>Table25[[#This Row],[Bought]]*Table25[[#This Row],[Price]]</f>
        <v>308.76</v>
      </c>
      <c r="H197">
        <f>SUMIF(Table25[[#All],[Assets]],Table25[[#This Row],[Assets]],Table25[[#All],[Bought]])</f>
        <v>6</v>
      </c>
      <c r="I197">
        <f>SUMIF(Table25[[#All],[Assets]],Table25[[#This Row],[Assets]],Table25[[#All],[Bought Amount]])</f>
        <v>308.76</v>
      </c>
      <c r="J197" s="88">
        <f>IF(Table25[[#This Row],[Number of stocks]]&lt;0,Table25[[#This Row],[Number of stocks]],0)</f>
        <v>0</v>
      </c>
      <c r="K197" s="5">
        <f>Table25[[#This Row],[Sold]]*Table25[[#This Row],[Price]]</f>
        <v>0</v>
      </c>
      <c r="L197" s="8">
        <f>ABS(SUMIF(Table25[[#All],[Assets]],Table25[[#This Row],[Assets]],Table25[[#All],[Sold]]))</f>
        <v>6</v>
      </c>
      <c r="M197" s="5">
        <f>ABS(SUMIF(Table25[[#All],[Assets]],Table25[[#This Row],[Assets]],Table25[[#All],[Sold Amount]]))</f>
        <v>196.20000000000002</v>
      </c>
      <c r="N197" s="5">
        <f>IFERROR(Table25[[#This Row],[Total sold amount]]/Table25[[#This Row],[Total Sold number of stocks]],"")</f>
        <v>32.700000000000003</v>
      </c>
      <c r="O197" s="4">
        <f>IFERROR(Table25[[#This Row],[Total Amount bought]]/Table25[[#This Row],[Total number bought]],"")</f>
        <v>51.46</v>
      </c>
      <c r="P197" s="4">
        <f>IFERROR((Table25[[#This Row],[Average sell price]]-Table25[[#This Row],[Average buy price]])*Table25[[#This Row],[Total Sold number of stocks]],0)</f>
        <v>-112.55999999999999</v>
      </c>
      <c r="Q197" s="85">
        <f>SUMIF(Table25[[#All],[Assets]],Table25[[#This Row],[Assets]],Table25[[#All],[Number of stocks]])</f>
        <v>0</v>
      </c>
    </row>
    <row r="198" spans="1:17">
      <c r="A198" t="e" vm="47">
        <v>#VALUE!</v>
      </c>
      <c r="B198" s="2">
        <v>45503</v>
      </c>
      <c r="C198" t="str" cm="1">
        <f t="array" aca="1" ref="C198" ca="1">_FV(A198,"Ticker symbol",TRUE)</f>
        <v>CCJ</v>
      </c>
      <c r="D198" s="4">
        <v>44.63</v>
      </c>
      <c r="E198" s="50">
        <v>10</v>
      </c>
      <c r="F198" s="81">
        <f>IF(Table25[[#This Row],[Number of stocks]]&gt;0,Table25[[#This Row],[Number of stocks]],0)</f>
        <v>10</v>
      </c>
      <c r="G198" s="73">
        <f>Table25[[#This Row],[Bought]]*Table25[[#This Row],[Price]]</f>
        <v>446.3</v>
      </c>
      <c r="H198">
        <f>SUMIF(Table25[[#All],[Assets]],Table25[[#This Row],[Assets]],Table25[[#All],[Bought]])</f>
        <v>10</v>
      </c>
      <c r="I198">
        <f>SUMIF(Table25[[#All],[Assets]],Table25[[#This Row],[Assets]],Table25[[#All],[Bought Amount]])</f>
        <v>446.3</v>
      </c>
      <c r="J198" s="88">
        <f>IF(Table25[[#This Row],[Number of stocks]]&lt;0,Table25[[#This Row],[Number of stocks]],0)</f>
        <v>0</v>
      </c>
      <c r="K198" s="5">
        <f>Table25[[#This Row],[Sold]]*Table25[[#This Row],[Price]]</f>
        <v>0</v>
      </c>
      <c r="L198" s="8">
        <f>ABS(SUMIF(Table25[[#All],[Assets]],Table25[[#This Row],[Assets]],Table25[[#All],[Sold]]))</f>
        <v>10</v>
      </c>
      <c r="M198" s="5">
        <f>ABS(SUMIF(Table25[[#All],[Assets]],Table25[[#This Row],[Assets]],Table25[[#All],[Sold Amount]]))</f>
        <v>412.9</v>
      </c>
      <c r="N198" s="5">
        <f>IFERROR(Table25[[#This Row],[Total sold amount]]/Table25[[#This Row],[Total Sold number of stocks]],"")</f>
        <v>41.29</v>
      </c>
      <c r="O198" s="4">
        <f>IFERROR(Table25[[#This Row],[Total Amount bought]]/Table25[[#This Row],[Total number bought]],"")</f>
        <v>44.63</v>
      </c>
      <c r="P198" s="4">
        <f>IFERROR((Table25[[#This Row],[Average sell price]]-Table25[[#This Row],[Average buy price]])*Table25[[#This Row],[Total Sold number of stocks]],0)</f>
        <v>-33.400000000000034</v>
      </c>
      <c r="Q198" s="85">
        <f>SUMIF(Table25[[#All],[Assets]],Table25[[#This Row],[Assets]],Table25[[#All],[Number of stocks]])</f>
        <v>0</v>
      </c>
    </row>
    <row r="199" spans="1:17">
      <c r="A199" t="e" vm="160">
        <v>#VALUE!</v>
      </c>
      <c r="B199" s="2">
        <v>45503</v>
      </c>
      <c r="C199" t="str" cm="1">
        <f t="array" aca="1" ref="C199" ca="1">_FV(A199,"Ticker symbol",TRUE)</f>
        <v>VST</v>
      </c>
      <c r="D199" s="4">
        <v>71.36</v>
      </c>
      <c r="E199" s="50">
        <v>5</v>
      </c>
      <c r="F199" s="81">
        <f>IF(Table25[[#This Row],[Number of stocks]]&gt;0,Table25[[#This Row],[Number of stocks]],0)</f>
        <v>5</v>
      </c>
      <c r="G199" s="73">
        <f>Table25[[#This Row],[Bought]]*Table25[[#This Row],[Price]]</f>
        <v>356.8</v>
      </c>
      <c r="H199">
        <f>SUMIF(Table25[[#All],[Assets]],Table25[[#This Row],[Assets]],Table25[[#All],[Bought]])</f>
        <v>8</v>
      </c>
      <c r="I199">
        <f>SUMIF(Table25[[#All],[Assets]],Table25[[#This Row],[Assets]],Table25[[#All],[Bought Amount]])</f>
        <v>620.8900000000001</v>
      </c>
      <c r="J199" s="88">
        <f>IF(Table25[[#This Row],[Number of stocks]]&lt;0,Table25[[#This Row],[Number of stocks]],0)</f>
        <v>0</v>
      </c>
      <c r="K199" s="5">
        <f>Table25[[#This Row],[Sold]]*Table25[[#This Row],[Price]]</f>
        <v>0</v>
      </c>
      <c r="L199" s="8">
        <f>ABS(SUMIF(Table25[[#All],[Assets]],Table25[[#This Row],[Assets]],Table25[[#All],[Sold]]))</f>
        <v>8</v>
      </c>
      <c r="M199" s="5">
        <f>ABS(SUMIF(Table25[[#All],[Assets]],Table25[[#This Row],[Assets]],Table25[[#All],[Sold Amount]]))</f>
        <v>1068</v>
      </c>
      <c r="N199" s="5">
        <f>IFERROR(Table25[[#This Row],[Total sold amount]]/Table25[[#This Row],[Total Sold number of stocks]],"")</f>
        <v>133.5</v>
      </c>
      <c r="O199" s="4">
        <f>IFERROR(Table25[[#This Row],[Total Amount bought]]/Table25[[#This Row],[Total number bought]],"")</f>
        <v>77.611250000000013</v>
      </c>
      <c r="P199" s="4">
        <f>IFERROR((Table25[[#This Row],[Average sell price]]-Table25[[#This Row],[Average buy price]])*Table25[[#This Row],[Total Sold number of stocks]],0)</f>
        <v>447.1099999999999</v>
      </c>
      <c r="Q199" s="85">
        <f>SUMIF(Table25[[#All],[Assets]],Table25[[#This Row],[Assets]],Table25[[#All],[Number of stocks]])</f>
        <v>0</v>
      </c>
    </row>
    <row r="200" spans="1:17">
      <c r="A200" t="e" vm="456">
        <v>#VALUE!</v>
      </c>
      <c r="B200" s="2">
        <v>45503</v>
      </c>
      <c r="C200" t="str" cm="1">
        <f t="array" aca="1" ref="C200" ca="1">_FV(A200,"Ticker symbol",TRUE)</f>
        <v>BIL</v>
      </c>
      <c r="D200" s="4">
        <v>91.79</v>
      </c>
      <c r="E200" s="50">
        <v>20</v>
      </c>
      <c r="F200" s="81">
        <f>IF(Table25[[#This Row],[Number of stocks]]&gt;0,Table25[[#This Row],[Number of stocks]],0)</f>
        <v>20</v>
      </c>
      <c r="G200" s="73">
        <f>Table25[[#This Row],[Bought]]*Table25[[#This Row],[Price]]</f>
        <v>1835.8000000000002</v>
      </c>
      <c r="H200">
        <f>SUMIF(Table25[[#All],[Assets]],Table25[[#This Row],[Assets]],Table25[[#All],[Bought]])</f>
        <v>419</v>
      </c>
      <c r="I200">
        <f>SUMIF(Table25[[#All],[Assets]],Table25[[#This Row],[Assets]],Table25[[#All],[Bought Amount]])</f>
        <v>38555.520000000004</v>
      </c>
      <c r="J200" s="88">
        <f>IF(Table25[[#This Row],[Number of stocks]]&lt;0,Table25[[#This Row],[Number of stocks]],0)</f>
        <v>0</v>
      </c>
      <c r="K200" s="5">
        <f>Table25[[#This Row],[Sold]]*Table25[[#This Row],[Price]]</f>
        <v>0</v>
      </c>
      <c r="L200" s="8">
        <f>ABS(SUMIF(Table25[[#All],[Assets]],Table25[[#This Row],[Assets]],Table25[[#All],[Sold]]))</f>
        <v>419</v>
      </c>
      <c r="M200" s="5">
        <f>ABS(SUMIF(Table25[[#All],[Assets]],Table25[[#This Row],[Assets]],Table25[[#All],[Sold Amount]]))</f>
        <v>38372</v>
      </c>
      <c r="N200" s="5">
        <f>IFERROR(Table25[[#This Row],[Total sold amount]]/Table25[[#This Row],[Total Sold number of stocks]],"")</f>
        <v>91.579952267303099</v>
      </c>
      <c r="O200" s="4">
        <f>IFERROR(Table25[[#This Row],[Total Amount bought]]/Table25[[#This Row],[Total number bought]],"")</f>
        <v>92.017947494033422</v>
      </c>
      <c r="P200" s="4">
        <f>IFERROR((Table25[[#This Row],[Average sell price]]-Table25[[#This Row],[Average buy price]])*Table25[[#This Row],[Total Sold number of stocks]],0)</f>
        <v>-183.5200000000051</v>
      </c>
      <c r="Q200" s="85">
        <f>SUMIF(Table25[[#All],[Assets]],Table25[[#This Row],[Assets]],Table25[[#All],[Number of stocks]])</f>
        <v>0</v>
      </c>
    </row>
    <row r="201" spans="1:17">
      <c r="A201" t="e" vm="34">
        <v>#VALUE!</v>
      </c>
      <c r="B201" s="2">
        <v>45503</v>
      </c>
      <c r="C201" t="str" cm="1">
        <f t="array" aca="1" ref="C201" ca="1">_FV(A201,"Ticker symbol",TRUE)</f>
        <v>TSM</v>
      </c>
      <c r="D201" s="4">
        <v>155.01</v>
      </c>
      <c r="E201" s="50">
        <v>2</v>
      </c>
      <c r="F201" s="81">
        <f>IF(Table25[[#This Row],[Number of stocks]]&gt;0,Table25[[#This Row],[Number of stocks]],0)</f>
        <v>2</v>
      </c>
      <c r="G201" s="73">
        <f>Table25[[#This Row],[Bought]]*Table25[[#This Row],[Price]]</f>
        <v>310.02</v>
      </c>
      <c r="H201">
        <f>SUMIF(Table25[[#All],[Assets]],Table25[[#This Row],[Assets]],Table25[[#All],[Bought]])</f>
        <v>45</v>
      </c>
      <c r="I201">
        <f>SUMIF(Table25[[#All],[Assets]],Table25[[#This Row],[Assets]],Table25[[#All],[Bought Amount]])</f>
        <v>7503.4800000000005</v>
      </c>
      <c r="J201" s="88">
        <f>IF(Table25[[#This Row],[Number of stocks]]&lt;0,Table25[[#This Row],[Number of stocks]],0)</f>
        <v>0</v>
      </c>
      <c r="K201" s="5">
        <f>Table25[[#This Row],[Sold]]*Table25[[#This Row],[Price]]</f>
        <v>0</v>
      </c>
      <c r="L201" s="8">
        <f>ABS(SUMIF(Table25[[#All],[Assets]],Table25[[#This Row],[Assets]],Table25[[#All],[Sold]]))</f>
        <v>44</v>
      </c>
      <c r="M201" s="5">
        <f>ABS(SUMIF(Table25[[#All],[Assets]],Table25[[#This Row],[Assets]],Table25[[#All],[Sold Amount]]))</f>
        <v>7951.28</v>
      </c>
      <c r="N201" s="5">
        <f>IFERROR(Table25[[#This Row],[Total sold amount]]/Table25[[#This Row],[Total Sold number of stocks]],"")</f>
        <v>180.7109090909091</v>
      </c>
      <c r="O201" s="4">
        <f>IFERROR(Table25[[#This Row],[Total Amount bought]]/Table25[[#This Row],[Total number bought]],"")</f>
        <v>166.744</v>
      </c>
      <c r="P201" s="4">
        <f>IFERROR((Table25[[#This Row],[Average sell price]]-Table25[[#This Row],[Average buy price]])*Table25[[#This Row],[Total Sold number of stocks]],0)</f>
        <v>614.54400000000032</v>
      </c>
      <c r="Q201" s="85">
        <f>SUMIF(Table25[[#All],[Assets]],Table25[[#This Row],[Assets]],Table25[[#All],[Number of stocks]])</f>
        <v>1</v>
      </c>
    </row>
    <row r="202" spans="1:17">
      <c r="A202" t="e" vm="24">
        <v>#VALUE!</v>
      </c>
      <c r="B202" s="2">
        <v>45503</v>
      </c>
      <c r="C202" t="str" cm="1">
        <f t="array" aca="1" ref="C202" ca="1">_FV(A202,"Ticker symbol",TRUE)</f>
        <v>QCOM</v>
      </c>
      <c r="D202" s="4">
        <v>169.92</v>
      </c>
      <c r="E202" s="50">
        <v>5</v>
      </c>
      <c r="F202" s="81">
        <f>IF(Table25[[#This Row],[Number of stocks]]&gt;0,Table25[[#This Row],[Number of stocks]],0)</f>
        <v>5</v>
      </c>
      <c r="G202" s="73">
        <f>Table25[[#This Row],[Bought]]*Table25[[#This Row],[Price]]</f>
        <v>849.59999999999991</v>
      </c>
      <c r="H202">
        <f>SUMIF(Table25[[#All],[Assets]],Table25[[#This Row],[Assets]],Table25[[#All],[Bought]])</f>
        <v>58</v>
      </c>
      <c r="I202">
        <f>SUMIF(Table25[[#All],[Assets]],Table25[[#This Row],[Assets]],Table25[[#All],[Bought Amount]])</f>
        <v>9670.27</v>
      </c>
      <c r="J202" s="88">
        <f>IF(Table25[[#This Row],[Number of stocks]]&lt;0,Table25[[#This Row],[Number of stocks]],0)</f>
        <v>0</v>
      </c>
      <c r="K202" s="5">
        <f>Table25[[#This Row],[Sold]]*Table25[[#This Row],[Price]]</f>
        <v>0</v>
      </c>
      <c r="L202" s="8">
        <f>ABS(SUMIF(Table25[[#All],[Assets]],Table25[[#This Row],[Assets]],Table25[[#All],[Sold]]))</f>
        <v>57</v>
      </c>
      <c r="M202" s="5">
        <f>ABS(SUMIF(Table25[[#All],[Assets]],Table25[[#This Row],[Assets]],Table25[[#All],[Sold Amount]]))</f>
        <v>8530.1</v>
      </c>
      <c r="N202" s="5">
        <f>IFERROR(Table25[[#This Row],[Total sold amount]]/Table25[[#This Row],[Total Sold number of stocks]],"")</f>
        <v>149.65087719298245</v>
      </c>
      <c r="O202" s="4">
        <f>IFERROR(Table25[[#This Row],[Total Amount bought]]/Table25[[#This Row],[Total number bought]],"")</f>
        <v>166.72879310344828</v>
      </c>
      <c r="P202" s="4">
        <f>IFERROR((Table25[[#This Row],[Average sell price]]-Table25[[#This Row],[Average buy price]])*Table25[[#This Row],[Total Sold number of stocks]],0)</f>
        <v>-973.44120689655256</v>
      </c>
      <c r="Q202" s="85">
        <f>SUMIF(Table25[[#All],[Assets]],Table25[[#This Row],[Assets]],Table25[[#All],[Number of stocks]])</f>
        <v>1</v>
      </c>
    </row>
    <row r="203" spans="1:17">
      <c r="A203" t="e" vm="456">
        <v>#VALUE!</v>
      </c>
      <c r="B203" s="2">
        <v>45503</v>
      </c>
      <c r="C203" t="str" cm="1">
        <f t="array" aca="1" ref="C203" ca="1">_FV(A203,"Ticker symbol",TRUE)</f>
        <v>BIL</v>
      </c>
      <c r="D203" s="4">
        <v>91.79</v>
      </c>
      <c r="E203" s="50">
        <v>30</v>
      </c>
      <c r="F203" s="81">
        <f>IF(Table25[[#This Row],[Number of stocks]]&gt;0,Table25[[#This Row],[Number of stocks]],0)</f>
        <v>30</v>
      </c>
      <c r="G203" s="73">
        <f>Table25[[#This Row],[Bought]]*Table25[[#This Row],[Price]]</f>
        <v>2753.7000000000003</v>
      </c>
      <c r="H203">
        <f>SUMIF(Table25[[#All],[Assets]],Table25[[#This Row],[Assets]],Table25[[#All],[Bought]])</f>
        <v>419</v>
      </c>
      <c r="I203">
        <f>SUMIF(Table25[[#All],[Assets]],Table25[[#This Row],[Assets]],Table25[[#All],[Bought Amount]])</f>
        <v>38555.520000000004</v>
      </c>
      <c r="J203" s="88">
        <f>IF(Table25[[#This Row],[Number of stocks]]&lt;0,Table25[[#This Row],[Number of stocks]],0)</f>
        <v>0</v>
      </c>
      <c r="K203" s="5">
        <f>Table25[[#This Row],[Sold]]*Table25[[#This Row],[Price]]</f>
        <v>0</v>
      </c>
      <c r="L203" s="8">
        <f>ABS(SUMIF(Table25[[#All],[Assets]],Table25[[#This Row],[Assets]],Table25[[#All],[Sold]]))</f>
        <v>419</v>
      </c>
      <c r="M203" s="5">
        <f>ABS(SUMIF(Table25[[#All],[Assets]],Table25[[#This Row],[Assets]],Table25[[#All],[Sold Amount]]))</f>
        <v>38372</v>
      </c>
      <c r="N203" s="5">
        <f>IFERROR(Table25[[#This Row],[Total sold amount]]/Table25[[#This Row],[Total Sold number of stocks]],"")</f>
        <v>91.579952267303099</v>
      </c>
      <c r="O203" s="4">
        <f>IFERROR(Table25[[#This Row],[Total Amount bought]]/Table25[[#This Row],[Total number bought]],"")</f>
        <v>92.017947494033422</v>
      </c>
      <c r="P203" s="4">
        <f>IFERROR((Table25[[#This Row],[Average sell price]]-Table25[[#This Row],[Average buy price]])*Table25[[#This Row],[Total Sold number of stocks]],0)</f>
        <v>-183.5200000000051</v>
      </c>
      <c r="Q203" s="85">
        <f>SUMIF(Table25[[#All],[Assets]],Table25[[#This Row],[Assets]],Table25[[#All],[Number of stocks]])</f>
        <v>0</v>
      </c>
    </row>
    <row r="204" spans="1:17">
      <c r="A204" t="e" vm="35">
        <v>#VALUE!</v>
      </c>
      <c r="B204" s="2">
        <v>45504</v>
      </c>
      <c r="C204" t="str" cm="1">
        <f t="array" aca="1" ref="C204" ca="1">_FV(A204,"Ticker symbol",TRUE)</f>
        <v>VRT</v>
      </c>
      <c r="D204" s="4">
        <v>78.38</v>
      </c>
      <c r="E204" s="50">
        <v>2</v>
      </c>
      <c r="F204" s="81">
        <f>IF(Table25[[#This Row],[Number of stocks]]&gt;0,Table25[[#This Row],[Number of stocks]],0)</f>
        <v>2</v>
      </c>
      <c r="G204" s="73">
        <f>Table25[[#This Row],[Bought]]*Table25[[#This Row],[Price]]</f>
        <v>156.76</v>
      </c>
      <c r="H204">
        <f>SUMIF(Table25[[#All],[Assets]],Table25[[#This Row],[Assets]],Table25[[#All],[Bought]])</f>
        <v>24</v>
      </c>
      <c r="I204">
        <f>SUMIF(Table25[[#All],[Assets]],Table25[[#This Row],[Assets]],Table25[[#All],[Bought Amount]])</f>
        <v>2071.3599999999997</v>
      </c>
      <c r="J204" s="88">
        <f>IF(Table25[[#This Row],[Number of stocks]]&lt;0,Table25[[#This Row],[Number of stocks]],0)</f>
        <v>0</v>
      </c>
      <c r="K204" s="5">
        <f>Table25[[#This Row],[Sold]]*Table25[[#This Row],[Price]]</f>
        <v>0</v>
      </c>
      <c r="L204" s="8">
        <f>ABS(SUMIF(Table25[[#All],[Assets]],Table25[[#This Row],[Assets]],Table25[[#All],[Sold]]))</f>
        <v>24</v>
      </c>
      <c r="M204" s="5">
        <f>ABS(SUMIF(Table25[[#All],[Assets]],Table25[[#This Row],[Assets]],Table25[[#All],[Sold Amount]]))</f>
        <v>2694.0499999999997</v>
      </c>
      <c r="N204" s="5">
        <f>IFERROR(Table25[[#This Row],[Total sold amount]]/Table25[[#This Row],[Total Sold number of stocks]],"")</f>
        <v>112.25208333333332</v>
      </c>
      <c r="O204" s="4">
        <f>IFERROR(Table25[[#This Row],[Total Amount bought]]/Table25[[#This Row],[Total number bought]],"")</f>
        <v>86.306666666666658</v>
      </c>
      <c r="P204" s="4">
        <f>IFERROR((Table25[[#This Row],[Average sell price]]-Table25[[#This Row],[Average buy price]])*Table25[[#This Row],[Total Sold number of stocks]],0)</f>
        <v>622.68999999999983</v>
      </c>
      <c r="Q204" s="85">
        <f>SUMIF(Table25[[#All],[Assets]],Table25[[#This Row],[Assets]],Table25[[#All],[Number of stocks]])</f>
        <v>0</v>
      </c>
    </row>
    <row r="205" spans="1:17">
      <c r="A205" t="e" vm="456">
        <v>#VALUE!</v>
      </c>
      <c r="B205" s="2">
        <v>45504</v>
      </c>
      <c r="C205" t="str" cm="1">
        <f t="array" aca="1" ref="C205" ca="1">_FV(A205,"Ticker symbol",TRUE)</f>
        <v>BIL</v>
      </c>
      <c r="D205" s="4">
        <v>91.79</v>
      </c>
      <c r="E205" s="50">
        <v>-11</v>
      </c>
      <c r="F205" s="81">
        <f>IF(Table25[[#This Row],[Number of stocks]]&gt;0,Table25[[#This Row],[Number of stocks]],0)</f>
        <v>0</v>
      </c>
      <c r="G205" s="73">
        <f>Table25[[#This Row],[Bought]]*Table25[[#This Row],[Price]]</f>
        <v>0</v>
      </c>
      <c r="H205">
        <f>SUMIF(Table25[[#All],[Assets]],Table25[[#This Row],[Assets]],Table25[[#All],[Bought]])</f>
        <v>419</v>
      </c>
      <c r="I205">
        <f>SUMIF(Table25[[#All],[Assets]],Table25[[#This Row],[Assets]],Table25[[#All],[Bought Amount]])</f>
        <v>38555.520000000004</v>
      </c>
      <c r="J205" s="88">
        <f>IF(Table25[[#This Row],[Number of stocks]]&lt;0,Table25[[#This Row],[Number of stocks]],0)</f>
        <v>-11</v>
      </c>
      <c r="K205" s="5">
        <f>Table25[[#This Row],[Sold]]*Table25[[#This Row],[Price]]</f>
        <v>-1009.69</v>
      </c>
      <c r="L205" s="8">
        <f>ABS(SUMIF(Table25[[#All],[Assets]],Table25[[#This Row],[Assets]],Table25[[#All],[Sold]]))</f>
        <v>419</v>
      </c>
      <c r="M205" s="5">
        <f>ABS(SUMIF(Table25[[#All],[Assets]],Table25[[#This Row],[Assets]],Table25[[#All],[Sold Amount]]))</f>
        <v>38372</v>
      </c>
      <c r="N205" s="5">
        <f>IFERROR(Table25[[#This Row],[Total sold amount]]/Table25[[#This Row],[Total Sold number of stocks]],"")</f>
        <v>91.579952267303099</v>
      </c>
      <c r="O205" s="4">
        <f>IFERROR(Table25[[#This Row],[Total Amount bought]]/Table25[[#This Row],[Total number bought]],"")</f>
        <v>92.017947494033422</v>
      </c>
      <c r="P205" s="4">
        <f>IFERROR((Table25[[#This Row],[Average sell price]]-Table25[[#This Row],[Average buy price]])*Table25[[#This Row],[Total Sold number of stocks]],0)</f>
        <v>-183.5200000000051</v>
      </c>
      <c r="Q205" s="85">
        <f>SUMIF(Table25[[#All],[Assets]],Table25[[#This Row],[Assets]],Table25[[#All],[Number of stocks]])</f>
        <v>0</v>
      </c>
    </row>
    <row r="206" spans="1:17">
      <c r="A206" t="e" vm="35">
        <v>#VALUE!</v>
      </c>
      <c r="B206" s="2">
        <v>45504</v>
      </c>
      <c r="C206" t="str" cm="1">
        <f t="array" aca="1" ref="C206" ca="1">_FV(A206,"Ticker symbol",TRUE)</f>
        <v>VRT</v>
      </c>
      <c r="D206" s="4">
        <v>78.05</v>
      </c>
      <c r="E206" s="50">
        <v>12</v>
      </c>
      <c r="F206" s="81">
        <f>IF(Table25[[#This Row],[Number of stocks]]&gt;0,Table25[[#This Row],[Number of stocks]],0)</f>
        <v>12</v>
      </c>
      <c r="G206" s="73">
        <f>Table25[[#This Row],[Bought]]*Table25[[#This Row],[Price]]</f>
        <v>936.59999999999991</v>
      </c>
      <c r="H206">
        <f>SUMIF(Table25[[#All],[Assets]],Table25[[#This Row],[Assets]],Table25[[#All],[Bought]])</f>
        <v>24</v>
      </c>
      <c r="I206">
        <f>SUMIF(Table25[[#All],[Assets]],Table25[[#This Row],[Assets]],Table25[[#All],[Bought Amount]])</f>
        <v>2071.3599999999997</v>
      </c>
      <c r="J206" s="88">
        <f>IF(Table25[[#This Row],[Number of stocks]]&lt;0,Table25[[#This Row],[Number of stocks]],0)</f>
        <v>0</v>
      </c>
      <c r="K206" s="5">
        <f>Table25[[#This Row],[Sold]]*Table25[[#This Row],[Price]]</f>
        <v>0</v>
      </c>
      <c r="L206" s="8">
        <f>ABS(SUMIF(Table25[[#All],[Assets]],Table25[[#This Row],[Assets]],Table25[[#All],[Sold]]))</f>
        <v>24</v>
      </c>
      <c r="M206" s="5">
        <f>ABS(SUMIF(Table25[[#All],[Assets]],Table25[[#This Row],[Assets]],Table25[[#All],[Sold Amount]]))</f>
        <v>2694.0499999999997</v>
      </c>
      <c r="N206" s="5">
        <f>IFERROR(Table25[[#This Row],[Total sold amount]]/Table25[[#This Row],[Total Sold number of stocks]],"")</f>
        <v>112.25208333333332</v>
      </c>
      <c r="O206" s="4">
        <f>IFERROR(Table25[[#This Row],[Total Amount bought]]/Table25[[#This Row],[Total number bought]],"")</f>
        <v>86.306666666666658</v>
      </c>
      <c r="P206" s="4">
        <f>IFERROR((Table25[[#This Row],[Average sell price]]-Table25[[#This Row],[Average buy price]])*Table25[[#This Row],[Total Sold number of stocks]],0)</f>
        <v>622.68999999999983</v>
      </c>
      <c r="Q206" s="85">
        <f>SUMIF(Table25[[#All],[Assets]],Table25[[#This Row],[Assets]],Table25[[#All],[Number of stocks]])</f>
        <v>0</v>
      </c>
    </row>
    <row r="207" spans="1:17">
      <c r="A207" t="e" vm="80">
        <v>#VALUE!</v>
      </c>
      <c r="B207" s="2">
        <v>45504</v>
      </c>
      <c r="C207" t="str" cm="1">
        <f t="array" aca="1" ref="C207" ca="1">_FV(A207,"Ticker symbol",TRUE)</f>
        <v>PYPL</v>
      </c>
      <c r="D207" s="4">
        <v>66.72</v>
      </c>
      <c r="E207" s="50">
        <v>8</v>
      </c>
      <c r="F207" s="81">
        <f>IF(Table25[[#This Row],[Number of stocks]]&gt;0,Table25[[#This Row],[Number of stocks]],0)</f>
        <v>8</v>
      </c>
      <c r="G207" s="73">
        <f>Table25[[#This Row],[Bought]]*Table25[[#This Row],[Price]]</f>
        <v>533.76</v>
      </c>
      <c r="H207">
        <f>SUMIF(Table25[[#All],[Assets]],Table25[[#This Row],[Assets]],Table25[[#All],[Bought]])</f>
        <v>223</v>
      </c>
      <c r="I207">
        <f>SUMIF(Table25[[#All],[Assets]],Table25[[#This Row],[Assets]],Table25[[#All],[Bought Amount]])</f>
        <v>14862.050000000003</v>
      </c>
      <c r="J207" s="88">
        <f>IF(Table25[[#This Row],[Number of stocks]]&lt;0,Table25[[#This Row],[Number of stocks]],0)</f>
        <v>0</v>
      </c>
      <c r="K207" s="5">
        <f>Table25[[#This Row],[Sold]]*Table25[[#This Row],[Price]]</f>
        <v>0</v>
      </c>
      <c r="L207" s="8">
        <f>ABS(SUMIF(Table25[[#All],[Assets]],Table25[[#This Row],[Assets]],Table25[[#All],[Sold]]))</f>
        <v>222</v>
      </c>
      <c r="M207" s="5">
        <f>ABS(SUMIF(Table25[[#All],[Assets]],Table25[[#This Row],[Assets]],Table25[[#All],[Sold Amount]]))</f>
        <v>15255.44</v>
      </c>
      <c r="N207" s="5">
        <f>IFERROR(Table25[[#This Row],[Total sold amount]]/Table25[[#This Row],[Total Sold number of stocks]],"")</f>
        <v>68.718198198198195</v>
      </c>
      <c r="O207" s="4">
        <f>IFERROR(Table25[[#This Row],[Total Amount bought]]/Table25[[#This Row],[Total number bought]],"")</f>
        <v>66.645964125560553</v>
      </c>
      <c r="P207" s="4">
        <f>IFERROR((Table25[[#This Row],[Average sell price]]-Table25[[#This Row],[Average buy price]])*Table25[[#This Row],[Total Sold number of stocks]],0)</f>
        <v>460.03596412555646</v>
      </c>
      <c r="Q207" s="85">
        <f>SUMIF(Table25[[#All],[Assets]],Table25[[#This Row],[Assets]],Table25[[#All],[Number of stocks]])</f>
        <v>1</v>
      </c>
    </row>
    <row r="208" spans="1:17">
      <c r="A208" t="e" vm="35">
        <v>#VALUE!</v>
      </c>
      <c r="B208" s="2">
        <v>45504</v>
      </c>
      <c r="C208" t="str" cm="1">
        <f t="array" aca="1" ref="C208" ca="1">_FV(A208,"Ticker symbol",TRUE)</f>
        <v>VRT</v>
      </c>
      <c r="D208" s="4">
        <v>80.430000000000007</v>
      </c>
      <c r="E208" s="50">
        <v>1</v>
      </c>
      <c r="F208" s="81">
        <f>IF(Table25[[#This Row],[Number of stocks]]&gt;0,Table25[[#This Row],[Number of stocks]],0)</f>
        <v>1</v>
      </c>
      <c r="G208" s="73">
        <f>Table25[[#This Row],[Bought]]*Table25[[#This Row],[Price]]</f>
        <v>80.430000000000007</v>
      </c>
      <c r="H208">
        <f>SUMIF(Table25[[#All],[Assets]],Table25[[#This Row],[Assets]],Table25[[#All],[Bought]])</f>
        <v>24</v>
      </c>
      <c r="I208">
        <f>SUMIF(Table25[[#All],[Assets]],Table25[[#This Row],[Assets]],Table25[[#All],[Bought Amount]])</f>
        <v>2071.3599999999997</v>
      </c>
      <c r="J208" s="88">
        <f>IF(Table25[[#This Row],[Number of stocks]]&lt;0,Table25[[#This Row],[Number of stocks]],0)</f>
        <v>0</v>
      </c>
      <c r="K208" s="5">
        <f>Table25[[#This Row],[Sold]]*Table25[[#This Row],[Price]]</f>
        <v>0</v>
      </c>
      <c r="L208" s="8">
        <f>ABS(SUMIF(Table25[[#All],[Assets]],Table25[[#This Row],[Assets]],Table25[[#All],[Sold]]))</f>
        <v>24</v>
      </c>
      <c r="M208" s="5">
        <f>ABS(SUMIF(Table25[[#All],[Assets]],Table25[[#This Row],[Assets]],Table25[[#All],[Sold Amount]]))</f>
        <v>2694.0499999999997</v>
      </c>
      <c r="N208" s="5">
        <f>IFERROR(Table25[[#This Row],[Total sold amount]]/Table25[[#This Row],[Total Sold number of stocks]],"")</f>
        <v>112.25208333333332</v>
      </c>
      <c r="O208" s="4">
        <f>IFERROR(Table25[[#This Row],[Total Amount bought]]/Table25[[#This Row],[Total number bought]],"")</f>
        <v>86.306666666666658</v>
      </c>
      <c r="P208" s="4">
        <f>IFERROR((Table25[[#This Row],[Average sell price]]-Table25[[#This Row],[Average buy price]])*Table25[[#This Row],[Total Sold number of stocks]],0)</f>
        <v>622.68999999999983</v>
      </c>
      <c r="Q208" s="85">
        <f>SUMIF(Table25[[#All],[Assets]],Table25[[#This Row],[Assets]],Table25[[#All],[Number of stocks]])</f>
        <v>0</v>
      </c>
    </row>
    <row r="209" spans="1:17">
      <c r="A209" t="e" vm="59">
        <v>#VALUE!</v>
      </c>
      <c r="B209" s="2">
        <v>45505</v>
      </c>
      <c r="C209" t="str" cm="1">
        <f t="array" aca="1" ref="C209" ca="1">_FV(A209,"Ticker symbol",TRUE)</f>
        <v>EOG</v>
      </c>
      <c r="D209" s="4">
        <v>125.2</v>
      </c>
      <c r="E209" s="50">
        <v>-1</v>
      </c>
      <c r="F209" s="81">
        <f>IF(Table25[[#This Row],[Number of stocks]]&gt;0,Table25[[#This Row],[Number of stocks]],0)</f>
        <v>0</v>
      </c>
      <c r="G209" s="73">
        <f>Table25[[#This Row],[Bought]]*Table25[[#This Row],[Price]]</f>
        <v>0</v>
      </c>
      <c r="H209">
        <f>SUMIF(Table25[[#All],[Assets]],Table25[[#This Row],[Assets]],Table25[[#All],[Bought]])</f>
        <v>5</v>
      </c>
      <c r="I209">
        <f>SUMIF(Table25[[#All],[Assets]],Table25[[#This Row],[Assets]],Table25[[#All],[Bought Amount]])</f>
        <v>595.38</v>
      </c>
      <c r="J209" s="88">
        <f>IF(Table25[[#This Row],[Number of stocks]]&lt;0,Table25[[#This Row],[Number of stocks]],0)</f>
        <v>-1</v>
      </c>
      <c r="K209" s="5">
        <f>Table25[[#This Row],[Sold]]*Table25[[#This Row],[Price]]</f>
        <v>-125.2</v>
      </c>
      <c r="L209" s="8">
        <f>ABS(SUMIF(Table25[[#All],[Assets]],Table25[[#This Row],[Assets]],Table25[[#All],[Sold]]))</f>
        <v>5</v>
      </c>
      <c r="M209" s="5">
        <f>ABS(SUMIF(Table25[[#All],[Assets]],Table25[[#This Row],[Assets]],Table25[[#All],[Sold Amount]]))</f>
        <v>575.31999999999994</v>
      </c>
      <c r="N209" s="5">
        <f>IFERROR(Table25[[#This Row],[Total sold amount]]/Table25[[#This Row],[Total Sold number of stocks]],"")</f>
        <v>115.06399999999999</v>
      </c>
      <c r="O209" s="4">
        <f>IFERROR(Table25[[#This Row],[Total Amount bought]]/Table25[[#This Row],[Total number bought]],"")</f>
        <v>119.07599999999999</v>
      </c>
      <c r="P209" s="4">
        <f>IFERROR((Table25[[#This Row],[Average sell price]]-Table25[[#This Row],[Average buy price]])*Table25[[#This Row],[Total Sold number of stocks]],0)</f>
        <v>-20.060000000000002</v>
      </c>
      <c r="Q209" s="85">
        <f>SUMIF(Table25[[#All],[Assets]],Table25[[#This Row],[Assets]],Table25[[#All],[Number of stocks]])</f>
        <v>0</v>
      </c>
    </row>
    <row r="210" spans="1:17">
      <c r="A210" t="e" vm="493">
        <v>#VALUE!</v>
      </c>
      <c r="B210" s="2">
        <v>45505</v>
      </c>
      <c r="C210" t="str" cm="1">
        <f t="array" aca="1" ref="C210" ca="1">_FV(A210,"Ticker symbol",TRUE)</f>
        <v>TELL</v>
      </c>
      <c r="D210" s="4">
        <v>0.93</v>
      </c>
      <c r="E210" s="50">
        <v>-400</v>
      </c>
      <c r="F210" s="81">
        <f>IF(Table25[[#This Row],[Number of stocks]]&gt;0,Table25[[#This Row],[Number of stocks]],0)</f>
        <v>0</v>
      </c>
      <c r="G210" s="73">
        <f>Table25[[#This Row],[Bought]]*Table25[[#This Row],[Price]]</f>
        <v>0</v>
      </c>
      <c r="H210">
        <f>SUMIF(Table25[[#All],[Assets]],Table25[[#This Row],[Assets]],Table25[[#All],[Bought]])</f>
        <v>800</v>
      </c>
      <c r="I210">
        <f>SUMIF(Table25[[#All],[Assets]],Table25[[#This Row],[Assets]],Table25[[#All],[Bought Amount]])</f>
        <v>518.96</v>
      </c>
      <c r="J210" s="88">
        <f>IF(Table25[[#This Row],[Number of stocks]]&lt;0,Table25[[#This Row],[Number of stocks]],0)</f>
        <v>-400</v>
      </c>
      <c r="K210" s="5">
        <f>Table25[[#This Row],[Sold]]*Table25[[#This Row],[Price]]</f>
        <v>-372</v>
      </c>
      <c r="L210" s="8">
        <f>ABS(SUMIF(Table25[[#All],[Assets]],Table25[[#This Row],[Assets]],Table25[[#All],[Sold]]))</f>
        <v>800</v>
      </c>
      <c r="M210" s="5">
        <f>ABS(SUMIF(Table25[[#All],[Assets]],Table25[[#This Row],[Assets]],Table25[[#All],[Sold Amount]]))</f>
        <v>632</v>
      </c>
      <c r="N210" s="5">
        <f>IFERROR(Table25[[#This Row],[Total sold amount]]/Table25[[#This Row],[Total Sold number of stocks]],"")</f>
        <v>0.79</v>
      </c>
      <c r="O210" s="4">
        <f>IFERROR(Table25[[#This Row],[Total Amount bought]]/Table25[[#This Row],[Total number bought]],"")</f>
        <v>0.64870000000000005</v>
      </c>
      <c r="P210" s="4">
        <f>IFERROR((Table25[[#This Row],[Average sell price]]-Table25[[#This Row],[Average buy price]])*Table25[[#This Row],[Total Sold number of stocks]],0)</f>
        <v>113.03999999999999</v>
      </c>
      <c r="Q210" s="85">
        <f>SUMIF(Table25[[#All],[Assets]],Table25[[#This Row],[Assets]],Table25[[#All],[Number of stocks]])</f>
        <v>0</v>
      </c>
    </row>
    <row r="211" spans="1:17">
      <c r="A211" t="e" vm="456">
        <v>#VALUE!</v>
      </c>
      <c r="B211" s="2">
        <v>45505</v>
      </c>
      <c r="C211" t="str" cm="1">
        <f t="array" aca="1" ref="C211" ca="1">_FV(A211,"Ticker symbol",TRUE)</f>
        <v>BIL</v>
      </c>
      <c r="D211" s="4">
        <v>91.42</v>
      </c>
      <c r="E211" s="50">
        <v>-8</v>
      </c>
      <c r="F211" s="81">
        <f>IF(Table25[[#This Row],[Number of stocks]]&gt;0,Table25[[#This Row],[Number of stocks]],0)</f>
        <v>0</v>
      </c>
      <c r="G211" s="73">
        <f>Table25[[#This Row],[Bought]]*Table25[[#This Row],[Price]]</f>
        <v>0</v>
      </c>
      <c r="H211">
        <f>SUMIF(Table25[[#All],[Assets]],Table25[[#This Row],[Assets]],Table25[[#All],[Bought]])</f>
        <v>419</v>
      </c>
      <c r="I211">
        <f>SUMIF(Table25[[#All],[Assets]],Table25[[#This Row],[Assets]],Table25[[#All],[Bought Amount]])</f>
        <v>38555.520000000004</v>
      </c>
      <c r="J211" s="88">
        <f>IF(Table25[[#This Row],[Number of stocks]]&lt;0,Table25[[#This Row],[Number of stocks]],0)</f>
        <v>-8</v>
      </c>
      <c r="K211" s="5">
        <f>Table25[[#This Row],[Sold]]*Table25[[#This Row],[Price]]</f>
        <v>-731.36</v>
      </c>
      <c r="L211" s="8">
        <f>ABS(SUMIF(Table25[[#All],[Assets]],Table25[[#This Row],[Assets]],Table25[[#All],[Sold]]))</f>
        <v>419</v>
      </c>
      <c r="M211" s="5">
        <f>ABS(SUMIF(Table25[[#All],[Assets]],Table25[[#This Row],[Assets]],Table25[[#All],[Sold Amount]]))</f>
        <v>38372</v>
      </c>
      <c r="N211" s="5">
        <f>IFERROR(Table25[[#This Row],[Total sold amount]]/Table25[[#This Row],[Total Sold number of stocks]],"")</f>
        <v>91.579952267303099</v>
      </c>
      <c r="O211" s="4">
        <f>IFERROR(Table25[[#This Row],[Total Amount bought]]/Table25[[#This Row],[Total number bought]],"")</f>
        <v>92.017947494033422</v>
      </c>
      <c r="P211" s="4">
        <f>IFERROR((Table25[[#This Row],[Average sell price]]-Table25[[#This Row],[Average buy price]])*Table25[[#This Row],[Total Sold number of stocks]],0)</f>
        <v>-183.5200000000051</v>
      </c>
      <c r="Q211" s="85">
        <f>SUMIF(Table25[[#All],[Assets]],Table25[[#This Row],[Assets]],Table25[[#All],[Number of stocks]])</f>
        <v>0</v>
      </c>
    </row>
    <row r="212" spans="1:17">
      <c r="A212" t="e" vm="456">
        <v>#VALUE!</v>
      </c>
      <c r="B212" s="2">
        <v>45505</v>
      </c>
      <c r="C212" t="str" cm="1">
        <f t="array" aca="1" ref="C212" ca="1">_FV(A212,"Ticker symbol",TRUE)</f>
        <v>BIL</v>
      </c>
      <c r="D212" s="4">
        <v>91.42</v>
      </c>
      <c r="E212" s="50">
        <v>-11</v>
      </c>
      <c r="F212" s="81">
        <f>IF(Table25[[#This Row],[Number of stocks]]&gt;0,Table25[[#This Row],[Number of stocks]],0)</f>
        <v>0</v>
      </c>
      <c r="G212" s="73">
        <f>Table25[[#This Row],[Bought]]*Table25[[#This Row],[Price]]</f>
        <v>0</v>
      </c>
      <c r="H212">
        <f>SUMIF(Table25[[#All],[Assets]],Table25[[#This Row],[Assets]],Table25[[#All],[Bought]])</f>
        <v>419</v>
      </c>
      <c r="I212">
        <f>SUMIF(Table25[[#All],[Assets]],Table25[[#This Row],[Assets]],Table25[[#All],[Bought Amount]])</f>
        <v>38555.520000000004</v>
      </c>
      <c r="J212" s="88">
        <f>IF(Table25[[#This Row],[Number of stocks]]&lt;0,Table25[[#This Row],[Number of stocks]],0)</f>
        <v>-11</v>
      </c>
      <c r="K212" s="5">
        <f>Table25[[#This Row],[Sold]]*Table25[[#This Row],[Price]]</f>
        <v>-1005.62</v>
      </c>
      <c r="L212" s="8">
        <f>ABS(SUMIF(Table25[[#All],[Assets]],Table25[[#This Row],[Assets]],Table25[[#All],[Sold]]))</f>
        <v>419</v>
      </c>
      <c r="M212" s="5">
        <f>ABS(SUMIF(Table25[[#All],[Assets]],Table25[[#This Row],[Assets]],Table25[[#All],[Sold Amount]]))</f>
        <v>38372</v>
      </c>
      <c r="N212" s="5">
        <f>IFERROR(Table25[[#This Row],[Total sold amount]]/Table25[[#This Row],[Total Sold number of stocks]],"")</f>
        <v>91.579952267303099</v>
      </c>
      <c r="O212" s="4">
        <f>IFERROR(Table25[[#This Row],[Total Amount bought]]/Table25[[#This Row],[Total number bought]],"")</f>
        <v>92.017947494033422</v>
      </c>
      <c r="P212" s="4">
        <f>IFERROR((Table25[[#This Row],[Average sell price]]-Table25[[#This Row],[Average buy price]])*Table25[[#This Row],[Total Sold number of stocks]],0)</f>
        <v>-183.5200000000051</v>
      </c>
      <c r="Q212" s="85">
        <f>SUMIF(Table25[[#All],[Assets]],Table25[[#This Row],[Assets]],Table25[[#All],[Number of stocks]])</f>
        <v>0</v>
      </c>
    </row>
    <row r="213" spans="1:17">
      <c r="A213" t="e" vm="29">
        <v>#VALUE!</v>
      </c>
      <c r="B213" s="2">
        <v>45505</v>
      </c>
      <c r="C213" t="str" cm="1">
        <f t="array" aca="1" ref="C213" ca="1">_FV(A213,"Ticker symbol",TRUE)</f>
        <v>NVDA</v>
      </c>
      <c r="D213" s="4">
        <v>106.65</v>
      </c>
      <c r="E213" s="50">
        <v>2</v>
      </c>
      <c r="F213" s="81">
        <f>IF(Table25[[#This Row],[Number of stocks]]&gt;0,Table25[[#This Row],[Number of stocks]],0)</f>
        <v>2</v>
      </c>
      <c r="G213" s="73">
        <f>Table25[[#This Row],[Bought]]*Table25[[#This Row],[Price]]</f>
        <v>213.3</v>
      </c>
      <c r="H213">
        <f>SUMIF(Table25[[#All],[Assets]],Table25[[#This Row],[Assets]],Table25[[#All],[Bought]])</f>
        <v>4</v>
      </c>
      <c r="I213">
        <f>SUMIF(Table25[[#All],[Assets]],Table25[[#This Row],[Assets]],Table25[[#All],[Bought Amount]])</f>
        <v>519.04</v>
      </c>
      <c r="J213" s="88">
        <f>IF(Table25[[#This Row],[Number of stocks]]&lt;0,Table25[[#This Row],[Number of stocks]],0)</f>
        <v>0</v>
      </c>
      <c r="K213" s="5">
        <f>Table25[[#This Row],[Sold]]*Table25[[#This Row],[Price]]</f>
        <v>0</v>
      </c>
      <c r="L213" s="8">
        <f>ABS(SUMIF(Table25[[#All],[Assets]],Table25[[#This Row],[Assets]],Table25[[#All],[Sold]]))</f>
        <v>3</v>
      </c>
      <c r="M213" s="5">
        <f>ABS(SUMIF(Table25[[#All],[Assets]],Table25[[#This Row],[Assets]],Table25[[#All],[Sold Amount]]))</f>
        <v>455.75</v>
      </c>
      <c r="N213" s="5">
        <f>IFERROR(Table25[[#This Row],[Total sold amount]]/Table25[[#This Row],[Total Sold number of stocks]],"")</f>
        <v>151.91666666666666</v>
      </c>
      <c r="O213" s="4">
        <f>IFERROR(Table25[[#This Row],[Total Amount bought]]/Table25[[#This Row],[Total number bought]],"")</f>
        <v>129.76</v>
      </c>
      <c r="P213" s="4">
        <f>IFERROR((Table25[[#This Row],[Average sell price]]-Table25[[#This Row],[Average buy price]])*Table25[[#This Row],[Total Sold number of stocks]],0)</f>
        <v>66.47</v>
      </c>
      <c r="Q213" s="85">
        <f>SUMIF(Table25[[#All],[Assets]],Table25[[#This Row],[Assets]],Table25[[#All],[Number of stocks]])</f>
        <v>1</v>
      </c>
    </row>
    <row r="214" spans="1:17">
      <c r="A214" t="e" vm="60">
        <v>#VALUE!</v>
      </c>
      <c r="B214" s="2">
        <v>45506</v>
      </c>
      <c r="C214" t="str" cm="1">
        <f t="array" aca="1" ref="C214" ca="1">_FV(A214,"Ticker symbol",TRUE)</f>
        <v>XOM</v>
      </c>
      <c r="D214" s="4">
        <v>116.11</v>
      </c>
      <c r="E214" s="50">
        <v>-11</v>
      </c>
      <c r="F214" s="81">
        <f>IF(Table25[[#This Row],[Number of stocks]]&gt;0,Table25[[#This Row],[Number of stocks]],0)</f>
        <v>0</v>
      </c>
      <c r="G214" s="73">
        <f>Table25[[#This Row],[Bought]]*Table25[[#This Row],[Price]]</f>
        <v>0</v>
      </c>
      <c r="H214">
        <f>SUMIF(Table25[[#All],[Assets]],Table25[[#This Row],[Assets]],Table25[[#All],[Bought]])</f>
        <v>21</v>
      </c>
      <c r="I214">
        <f>SUMIF(Table25[[#All],[Assets]],Table25[[#This Row],[Assets]],Table25[[#All],[Bought Amount]])</f>
        <v>2275.41</v>
      </c>
      <c r="J214" s="88">
        <f>IF(Table25[[#This Row],[Number of stocks]]&lt;0,Table25[[#This Row],[Number of stocks]],0)</f>
        <v>-11</v>
      </c>
      <c r="K214" s="5">
        <f>Table25[[#This Row],[Sold]]*Table25[[#This Row],[Price]]</f>
        <v>-1277.21</v>
      </c>
      <c r="L214" s="8">
        <f>ABS(SUMIF(Table25[[#All],[Assets]],Table25[[#This Row],[Assets]],Table25[[#All],[Sold]]))</f>
        <v>21</v>
      </c>
      <c r="M214" s="5">
        <f>ABS(SUMIF(Table25[[#All],[Assets]],Table25[[#This Row],[Assets]],Table25[[#All],[Sold Amount]]))</f>
        <v>2458.71</v>
      </c>
      <c r="N214" s="5">
        <f>IFERROR(Table25[[#This Row],[Total sold amount]]/Table25[[#This Row],[Total Sold number of stocks]],"")</f>
        <v>117.08142857142857</v>
      </c>
      <c r="O214" s="4">
        <f>IFERROR(Table25[[#This Row],[Total Amount bought]]/Table25[[#This Row],[Total number bought]],"")</f>
        <v>108.35285714285713</v>
      </c>
      <c r="P214" s="4">
        <f>IFERROR((Table25[[#This Row],[Average sell price]]-Table25[[#This Row],[Average buy price]])*Table25[[#This Row],[Total Sold number of stocks]],0)</f>
        <v>183.3000000000003</v>
      </c>
      <c r="Q214" s="85">
        <f>SUMIF(Table25[[#All],[Assets]],Table25[[#This Row],[Assets]],Table25[[#All],[Number of stocks]])</f>
        <v>0</v>
      </c>
    </row>
    <row r="215" spans="1:17">
      <c r="A215" t="e" vm="85">
        <v>#VALUE!</v>
      </c>
      <c r="B215" s="2">
        <v>45506</v>
      </c>
      <c r="C215" t="str" cm="1">
        <f t="array" aca="1" ref="C215" ca="1">_FV(A215,"Ticker symbol",TRUE)</f>
        <v>HOOD</v>
      </c>
      <c r="D215" s="4">
        <v>18.03</v>
      </c>
      <c r="E215" s="50">
        <v>-17</v>
      </c>
      <c r="F215" s="81">
        <f>IF(Table25[[#This Row],[Number of stocks]]&gt;0,Table25[[#This Row],[Number of stocks]],0)</f>
        <v>0</v>
      </c>
      <c r="G215" s="73">
        <f>Table25[[#This Row],[Bought]]*Table25[[#This Row],[Price]]</f>
        <v>0</v>
      </c>
      <c r="H215">
        <f>SUMIF(Table25[[#All],[Assets]],Table25[[#This Row],[Assets]],Table25[[#All],[Bought]])</f>
        <v>105</v>
      </c>
      <c r="I215">
        <f>SUMIF(Table25[[#All],[Assets]],Table25[[#This Row],[Assets]],Table25[[#All],[Bought Amount]])</f>
        <v>4056.0900000000006</v>
      </c>
      <c r="J215" s="88">
        <f>IF(Table25[[#This Row],[Number of stocks]]&lt;0,Table25[[#This Row],[Number of stocks]],0)</f>
        <v>-17</v>
      </c>
      <c r="K215" s="5">
        <f>Table25[[#This Row],[Sold]]*Table25[[#This Row],[Price]]</f>
        <v>-306.51</v>
      </c>
      <c r="L215" s="8">
        <f>ABS(SUMIF(Table25[[#All],[Assets]],Table25[[#This Row],[Assets]],Table25[[#All],[Sold]]))</f>
        <v>80</v>
      </c>
      <c r="M215" s="5">
        <f>ABS(SUMIF(Table25[[#All],[Assets]],Table25[[#This Row],[Assets]],Table25[[#All],[Sold Amount]]))</f>
        <v>2255.4300000000003</v>
      </c>
      <c r="N215" s="5">
        <f>IFERROR(Table25[[#This Row],[Total sold amount]]/Table25[[#This Row],[Total Sold number of stocks]],"")</f>
        <v>28.192875000000004</v>
      </c>
      <c r="O215" s="4">
        <f>IFERROR(Table25[[#This Row],[Total Amount bought]]/Table25[[#This Row],[Total number bought]],"")</f>
        <v>38.629428571428576</v>
      </c>
      <c r="P215" s="4">
        <f>IFERROR((Table25[[#This Row],[Average sell price]]-Table25[[#This Row],[Average buy price]])*Table25[[#This Row],[Total Sold number of stocks]],0)</f>
        <v>-834.92428571428582</v>
      </c>
      <c r="Q215" s="85">
        <f>SUMIF(Table25[[#All],[Assets]],Table25[[#This Row],[Assets]],Table25[[#All],[Number of stocks]])</f>
        <v>25</v>
      </c>
    </row>
    <row r="216" spans="1:17">
      <c r="A216" t="e" vm="456">
        <v>#VALUE!</v>
      </c>
      <c r="B216" s="2">
        <v>45506</v>
      </c>
      <c r="C216" t="str" cm="1">
        <f t="array" aca="1" ref="C216" ca="1">_FV(A216,"Ticker symbol",TRUE)</f>
        <v>BIL</v>
      </c>
      <c r="D216" s="4">
        <v>91.47</v>
      </c>
      <c r="E216" s="50">
        <v>25</v>
      </c>
      <c r="F216" s="81">
        <f>IF(Table25[[#This Row],[Number of stocks]]&gt;0,Table25[[#This Row],[Number of stocks]],0)</f>
        <v>25</v>
      </c>
      <c r="G216" s="73">
        <f>Table25[[#This Row],[Bought]]*Table25[[#This Row],[Price]]</f>
        <v>2286.75</v>
      </c>
      <c r="H216">
        <f>SUMIF(Table25[[#All],[Assets]],Table25[[#This Row],[Assets]],Table25[[#All],[Bought]])</f>
        <v>419</v>
      </c>
      <c r="I216">
        <f>SUMIF(Table25[[#All],[Assets]],Table25[[#This Row],[Assets]],Table25[[#All],[Bought Amount]])</f>
        <v>38555.520000000004</v>
      </c>
      <c r="J216" s="88">
        <f>IF(Table25[[#This Row],[Number of stocks]]&lt;0,Table25[[#This Row],[Number of stocks]],0)</f>
        <v>0</v>
      </c>
      <c r="K216" s="5">
        <f>Table25[[#This Row],[Sold]]*Table25[[#This Row],[Price]]</f>
        <v>0</v>
      </c>
      <c r="L216" s="8">
        <f>ABS(SUMIF(Table25[[#All],[Assets]],Table25[[#This Row],[Assets]],Table25[[#All],[Sold]]))</f>
        <v>419</v>
      </c>
      <c r="M216" s="5">
        <f>ABS(SUMIF(Table25[[#All],[Assets]],Table25[[#This Row],[Assets]],Table25[[#All],[Sold Amount]]))</f>
        <v>38372</v>
      </c>
      <c r="N216" s="5">
        <f>IFERROR(Table25[[#This Row],[Total sold amount]]/Table25[[#This Row],[Total Sold number of stocks]],"")</f>
        <v>91.579952267303099</v>
      </c>
      <c r="O216" s="4">
        <f>IFERROR(Table25[[#This Row],[Total Amount bought]]/Table25[[#This Row],[Total number bought]],"")</f>
        <v>92.017947494033422</v>
      </c>
      <c r="P216" s="4">
        <f>IFERROR((Table25[[#This Row],[Average sell price]]-Table25[[#This Row],[Average buy price]])*Table25[[#This Row],[Total Sold number of stocks]],0)</f>
        <v>-183.5200000000051</v>
      </c>
      <c r="Q216" s="85">
        <f>SUMIF(Table25[[#All],[Assets]],Table25[[#This Row],[Assets]],Table25[[#All],[Number of stocks]])</f>
        <v>0</v>
      </c>
    </row>
    <row r="217" spans="1:17">
      <c r="A217" t="e" vm="34">
        <v>#VALUE!</v>
      </c>
      <c r="B217" s="2">
        <v>45506</v>
      </c>
      <c r="C217" t="str" cm="1">
        <f t="array" aca="1" ref="C217" ca="1">_FV(A217,"Ticker symbol",TRUE)</f>
        <v>TSM</v>
      </c>
      <c r="D217" s="4">
        <v>152</v>
      </c>
      <c r="E217" s="50">
        <v>6</v>
      </c>
      <c r="F217" s="81">
        <f>IF(Table25[[#This Row],[Number of stocks]]&gt;0,Table25[[#This Row],[Number of stocks]],0)</f>
        <v>6</v>
      </c>
      <c r="G217" s="73">
        <f>Table25[[#This Row],[Bought]]*Table25[[#This Row],[Price]]</f>
        <v>912</v>
      </c>
      <c r="H217">
        <f>SUMIF(Table25[[#All],[Assets]],Table25[[#This Row],[Assets]],Table25[[#All],[Bought]])</f>
        <v>45</v>
      </c>
      <c r="I217">
        <f>SUMIF(Table25[[#All],[Assets]],Table25[[#This Row],[Assets]],Table25[[#All],[Bought Amount]])</f>
        <v>7503.4800000000005</v>
      </c>
      <c r="J217" s="88">
        <f>IF(Table25[[#This Row],[Number of stocks]]&lt;0,Table25[[#This Row],[Number of stocks]],0)</f>
        <v>0</v>
      </c>
      <c r="K217" s="5">
        <f>Table25[[#This Row],[Sold]]*Table25[[#This Row],[Price]]</f>
        <v>0</v>
      </c>
      <c r="L217" s="8">
        <f>ABS(SUMIF(Table25[[#All],[Assets]],Table25[[#This Row],[Assets]],Table25[[#All],[Sold]]))</f>
        <v>44</v>
      </c>
      <c r="M217" s="5">
        <f>ABS(SUMIF(Table25[[#All],[Assets]],Table25[[#This Row],[Assets]],Table25[[#All],[Sold Amount]]))</f>
        <v>7951.28</v>
      </c>
      <c r="N217" s="5">
        <f>IFERROR(Table25[[#This Row],[Total sold amount]]/Table25[[#This Row],[Total Sold number of stocks]],"")</f>
        <v>180.7109090909091</v>
      </c>
      <c r="O217" s="4">
        <f>IFERROR(Table25[[#This Row],[Total Amount bought]]/Table25[[#This Row],[Total number bought]],"")</f>
        <v>166.744</v>
      </c>
      <c r="P217" s="4">
        <f>IFERROR((Table25[[#This Row],[Average sell price]]-Table25[[#This Row],[Average buy price]])*Table25[[#This Row],[Total Sold number of stocks]],0)</f>
        <v>614.54400000000032</v>
      </c>
      <c r="Q217" s="85">
        <f>SUMIF(Table25[[#All],[Assets]],Table25[[#This Row],[Assets]],Table25[[#All],[Number of stocks]])</f>
        <v>1</v>
      </c>
    </row>
    <row r="218" spans="1:17">
      <c r="A218" t="e" vm="32">
        <v>#VALUE!</v>
      </c>
      <c r="B218" s="2">
        <v>45506</v>
      </c>
      <c r="C218" t="str" cm="1">
        <f t="array" aca="1" ref="C218" ca="1">_FV(A218,"Ticker symbol",TRUE)</f>
        <v>MU</v>
      </c>
      <c r="D218" s="4">
        <v>93.91</v>
      </c>
      <c r="E218" s="50">
        <v>1</v>
      </c>
      <c r="F218" s="81">
        <f>IF(Table25[[#This Row],[Number of stocks]]&gt;0,Table25[[#This Row],[Number of stocks]],0)</f>
        <v>1</v>
      </c>
      <c r="G218" s="73">
        <f>Table25[[#This Row],[Bought]]*Table25[[#This Row],[Price]]</f>
        <v>93.91</v>
      </c>
      <c r="H218">
        <f>SUMIF(Table25[[#All],[Assets]],Table25[[#This Row],[Assets]],Table25[[#All],[Bought]])</f>
        <v>59</v>
      </c>
      <c r="I218">
        <f>SUMIF(Table25[[#All],[Assets]],Table25[[#This Row],[Assets]],Table25[[#All],[Bought Amount]])</f>
        <v>6964.04</v>
      </c>
      <c r="J218" s="88">
        <f>IF(Table25[[#This Row],[Number of stocks]]&lt;0,Table25[[#This Row],[Number of stocks]],0)</f>
        <v>0</v>
      </c>
      <c r="K218" s="5">
        <f>Table25[[#This Row],[Sold]]*Table25[[#This Row],[Price]]</f>
        <v>0</v>
      </c>
      <c r="L218" s="8">
        <f>ABS(SUMIF(Table25[[#All],[Assets]],Table25[[#This Row],[Assets]],Table25[[#All],[Sold]]))</f>
        <v>58</v>
      </c>
      <c r="M218" s="5">
        <f>ABS(SUMIF(Table25[[#All],[Assets]],Table25[[#This Row],[Assets]],Table25[[#All],[Sold Amount]]))</f>
        <v>6974.51</v>
      </c>
      <c r="N218" s="5">
        <f>IFERROR(Table25[[#This Row],[Total sold amount]]/Table25[[#This Row],[Total Sold number of stocks]],"")</f>
        <v>120.25017241379311</v>
      </c>
      <c r="O218" s="4">
        <f>IFERROR(Table25[[#This Row],[Total Amount bought]]/Table25[[#This Row],[Total number bought]],"")</f>
        <v>118.03457627118644</v>
      </c>
      <c r="P218" s="4">
        <f>IFERROR((Table25[[#This Row],[Average sell price]]-Table25[[#This Row],[Average buy price]])*Table25[[#This Row],[Total Sold number of stocks]],0)</f>
        <v>128.50457627118692</v>
      </c>
      <c r="Q218" s="85">
        <f>SUMIF(Table25[[#All],[Assets]],Table25[[#This Row],[Assets]],Table25[[#All],[Number of stocks]])</f>
        <v>1</v>
      </c>
    </row>
    <row r="219" spans="1:17">
      <c r="A219" t="e" vm="415">
        <v>#VALUE!</v>
      </c>
      <c r="B219" s="2">
        <v>45506</v>
      </c>
      <c r="C219" t="str" cm="1">
        <f t="array" aca="1" ref="C219" ca="1">_FV(A219,"Ticker symbol",TRUE)</f>
        <v>TUA</v>
      </c>
      <c r="D219" s="4">
        <v>22.83</v>
      </c>
      <c r="E219" s="50">
        <v>-115</v>
      </c>
      <c r="F219" s="81">
        <f>IF(Table25[[#This Row],[Number of stocks]]&gt;0,Table25[[#This Row],[Number of stocks]],0)</f>
        <v>0</v>
      </c>
      <c r="G219" s="73">
        <f>Table25[[#This Row],[Bought]]*Table25[[#This Row],[Price]]</f>
        <v>0</v>
      </c>
      <c r="H219">
        <f>SUMIF(Table25[[#All],[Assets]],Table25[[#This Row],[Assets]],Table25[[#All],[Bought]])</f>
        <v>260</v>
      </c>
      <c r="I219">
        <f>SUMIF(Table25[[#All],[Assets]],Table25[[#This Row],[Assets]],Table25[[#All],[Bought Amount]])</f>
        <v>5808.1</v>
      </c>
      <c r="J219" s="88">
        <f>IF(Table25[[#This Row],[Number of stocks]]&lt;0,Table25[[#This Row],[Number of stocks]],0)</f>
        <v>-115</v>
      </c>
      <c r="K219" s="5">
        <f>Table25[[#This Row],[Sold]]*Table25[[#This Row],[Price]]</f>
        <v>-2625.45</v>
      </c>
      <c r="L219" s="8">
        <f>ABS(SUMIF(Table25[[#All],[Assets]],Table25[[#This Row],[Assets]],Table25[[#All],[Sold]]))</f>
        <v>260</v>
      </c>
      <c r="M219" s="5">
        <f>ABS(SUMIF(Table25[[#All],[Assets]],Table25[[#This Row],[Assets]],Table25[[#All],[Sold Amount]]))</f>
        <v>5788.97</v>
      </c>
      <c r="N219" s="5">
        <f>IFERROR(Table25[[#This Row],[Total sold amount]]/Table25[[#This Row],[Total Sold number of stocks]],"")</f>
        <v>22.265269230769231</v>
      </c>
      <c r="O219" s="4">
        <f>IFERROR(Table25[[#This Row],[Total Amount bought]]/Table25[[#This Row],[Total number bought]],"")</f>
        <v>22.338846153846156</v>
      </c>
      <c r="P219" s="4">
        <f>IFERROR((Table25[[#This Row],[Average sell price]]-Table25[[#This Row],[Average buy price]])*Table25[[#This Row],[Total Sold number of stocks]],0)</f>
        <v>-19.130000000000322</v>
      </c>
      <c r="Q219" s="85">
        <f>SUMIF(Table25[[#All],[Assets]],Table25[[#This Row],[Assets]],Table25[[#All],[Number of stocks]])</f>
        <v>0</v>
      </c>
    </row>
    <row r="220" spans="1:17">
      <c r="A220" t="e" vm="32">
        <v>#VALUE!</v>
      </c>
      <c r="B220" s="2">
        <v>45506</v>
      </c>
      <c r="C220" t="str" cm="1">
        <f t="array" aca="1" ref="C220" ca="1">_FV(A220,"Ticker symbol",TRUE)</f>
        <v>MU</v>
      </c>
      <c r="D220" s="4">
        <v>93.26</v>
      </c>
      <c r="E220" s="50">
        <v>3</v>
      </c>
      <c r="F220" s="81">
        <f>IF(Table25[[#This Row],[Number of stocks]]&gt;0,Table25[[#This Row],[Number of stocks]],0)</f>
        <v>3</v>
      </c>
      <c r="G220" s="73">
        <f>Table25[[#This Row],[Bought]]*Table25[[#This Row],[Price]]</f>
        <v>279.78000000000003</v>
      </c>
      <c r="H220">
        <f>SUMIF(Table25[[#All],[Assets]],Table25[[#This Row],[Assets]],Table25[[#All],[Bought]])</f>
        <v>59</v>
      </c>
      <c r="I220">
        <f>SUMIF(Table25[[#All],[Assets]],Table25[[#This Row],[Assets]],Table25[[#All],[Bought Amount]])</f>
        <v>6964.04</v>
      </c>
      <c r="J220" s="88">
        <f>IF(Table25[[#This Row],[Number of stocks]]&lt;0,Table25[[#This Row],[Number of stocks]],0)</f>
        <v>0</v>
      </c>
      <c r="K220" s="5">
        <f>Table25[[#This Row],[Sold]]*Table25[[#This Row],[Price]]</f>
        <v>0</v>
      </c>
      <c r="L220" s="8">
        <f>ABS(SUMIF(Table25[[#All],[Assets]],Table25[[#This Row],[Assets]],Table25[[#All],[Sold]]))</f>
        <v>58</v>
      </c>
      <c r="M220" s="5">
        <f>ABS(SUMIF(Table25[[#All],[Assets]],Table25[[#This Row],[Assets]],Table25[[#All],[Sold Amount]]))</f>
        <v>6974.51</v>
      </c>
      <c r="N220" s="5">
        <f>IFERROR(Table25[[#This Row],[Total sold amount]]/Table25[[#This Row],[Total Sold number of stocks]],"")</f>
        <v>120.25017241379311</v>
      </c>
      <c r="O220" s="4">
        <f>IFERROR(Table25[[#This Row],[Total Amount bought]]/Table25[[#This Row],[Total number bought]],"")</f>
        <v>118.03457627118644</v>
      </c>
      <c r="P220" s="4">
        <f>IFERROR((Table25[[#This Row],[Average sell price]]-Table25[[#This Row],[Average buy price]])*Table25[[#This Row],[Total Sold number of stocks]],0)</f>
        <v>128.50457627118692</v>
      </c>
      <c r="Q220" s="85">
        <f>SUMIF(Table25[[#All],[Assets]],Table25[[#This Row],[Assets]],Table25[[#All],[Number of stocks]])</f>
        <v>1</v>
      </c>
    </row>
    <row r="221" spans="1:17">
      <c r="A221" t="e" vm="32">
        <v>#VALUE!</v>
      </c>
      <c r="B221" s="2">
        <v>45506</v>
      </c>
      <c r="C221" t="str" cm="1">
        <f t="array" aca="1" ref="C221" ca="1">_FV(A221,"Ticker symbol",TRUE)</f>
        <v>MU</v>
      </c>
      <c r="D221" s="4">
        <v>96.74</v>
      </c>
      <c r="E221" s="50">
        <v>2</v>
      </c>
      <c r="F221" s="81">
        <f>IF(Table25[[#This Row],[Number of stocks]]&gt;0,Table25[[#This Row],[Number of stocks]],0)</f>
        <v>2</v>
      </c>
      <c r="G221" s="73">
        <f>Table25[[#This Row],[Bought]]*Table25[[#This Row],[Price]]</f>
        <v>193.48</v>
      </c>
      <c r="H221">
        <f>SUMIF(Table25[[#All],[Assets]],Table25[[#This Row],[Assets]],Table25[[#All],[Bought]])</f>
        <v>59</v>
      </c>
      <c r="I221">
        <f>SUMIF(Table25[[#All],[Assets]],Table25[[#This Row],[Assets]],Table25[[#All],[Bought Amount]])</f>
        <v>6964.04</v>
      </c>
      <c r="J221" s="88">
        <f>IF(Table25[[#This Row],[Number of stocks]]&lt;0,Table25[[#This Row],[Number of stocks]],0)</f>
        <v>0</v>
      </c>
      <c r="K221" s="5">
        <f>Table25[[#This Row],[Sold]]*Table25[[#This Row],[Price]]</f>
        <v>0</v>
      </c>
      <c r="L221" s="8">
        <f>ABS(SUMIF(Table25[[#All],[Assets]],Table25[[#This Row],[Assets]],Table25[[#All],[Sold]]))</f>
        <v>58</v>
      </c>
      <c r="M221" s="5">
        <f>ABS(SUMIF(Table25[[#All],[Assets]],Table25[[#This Row],[Assets]],Table25[[#All],[Sold Amount]]))</f>
        <v>6974.51</v>
      </c>
      <c r="N221" s="5">
        <f>IFERROR(Table25[[#This Row],[Total sold amount]]/Table25[[#This Row],[Total Sold number of stocks]],"")</f>
        <v>120.25017241379311</v>
      </c>
      <c r="O221" s="4">
        <f>IFERROR(Table25[[#This Row],[Total Amount bought]]/Table25[[#This Row],[Total number bought]],"")</f>
        <v>118.03457627118644</v>
      </c>
      <c r="P221" s="4">
        <f>IFERROR((Table25[[#This Row],[Average sell price]]-Table25[[#This Row],[Average buy price]])*Table25[[#This Row],[Total Sold number of stocks]],0)</f>
        <v>128.50457627118692</v>
      </c>
      <c r="Q221" s="85">
        <f>SUMIF(Table25[[#All],[Assets]],Table25[[#This Row],[Assets]],Table25[[#All],[Number of stocks]])</f>
        <v>1</v>
      </c>
    </row>
    <row r="222" spans="1:17">
      <c r="A222" t="e" vm="456">
        <v>#VALUE!</v>
      </c>
      <c r="B222" s="2">
        <v>45509</v>
      </c>
      <c r="C222" t="str" cm="1">
        <f t="array" aca="1" ref="C222" ca="1">_FV(A222,"Ticker symbol",TRUE)</f>
        <v>BIL</v>
      </c>
      <c r="D222" s="4">
        <v>91.47</v>
      </c>
      <c r="E222" s="50">
        <v>17</v>
      </c>
      <c r="F222" s="81">
        <f>IF(Table25[[#This Row],[Number of stocks]]&gt;0,Table25[[#This Row],[Number of stocks]],0)</f>
        <v>17</v>
      </c>
      <c r="G222" s="73">
        <f>Table25[[#This Row],[Bought]]*Table25[[#This Row],[Price]]</f>
        <v>1554.99</v>
      </c>
      <c r="H222">
        <f>SUMIF(Table25[[#All],[Assets]],Table25[[#This Row],[Assets]],Table25[[#All],[Bought]])</f>
        <v>419</v>
      </c>
      <c r="I222">
        <f>SUMIF(Table25[[#All],[Assets]],Table25[[#This Row],[Assets]],Table25[[#All],[Bought Amount]])</f>
        <v>38555.520000000004</v>
      </c>
      <c r="J222" s="88">
        <f>IF(Table25[[#This Row],[Number of stocks]]&lt;0,Table25[[#This Row],[Number of stocks]],0)</f>
        <v>0</v>
      </c>
      <c r="K222" s="5">
        <f>Table25[[#This Row],[Sold]]*Table25[[#This Row],[Price]]</f>
        <v>0</v>
      </c>
      <c r="L222" s="8">
        <f>ABS(SUMIF(Table25[[#All],[Assets]],Table25[[#This Row],[Assets]],Table25[[#All],[Sold]]))</f>
        <v>419</v>
      </c>
      <c r="M222" s="5">
        <f>ABS(SUMIF(Table25[[#All],[Assets]],Table25[[#This Row],[Assets]],Table25[[#All],[Sold Amount]]))</f>
        <v>38372</v>
      </c>
      <c r="N222" s="5">
        <f>IFERROR(Table25[[#This Row],[Total sold amount]]/Table25[[#This Row],[Total Sold number of stocks]],"")</f>
        <v>91.579952267303099</v>
      </c>
      <c r="O222" s="4">
        <f>IFERROR(Table25[[#This Row],[Total Amount bought]]/Table25[[#This Row],[Total number bought]],"")</f>
        <v>92.017947494033422</v>
      </c>
      <c r="P222" s="4">
        <f>IFERROR((Table25[[#This Row],[Average sell price]]-Table25[[#This Row],[Average buy price]])*Table25[[#This Row],[Total Sold number of stocks]],0)</f>
        <v>-183.5200000000051</v>
      </c>
      <c r="Q222" s="85">
        <f>SUMIF(Table25[[#All],[Assets]],Table25[[#This Row],[Assets]],Table25[[#All],[Number of stocks]])</f>
        <v>0</v>
      </c>
    </row>
    <row r="223" spans="1:17">
      <c r="A223" t="e" vm="21">
        <v>#VALUE!</v>
      </c>
      <c r="B223" s="2">
        <v>45510</v>
      </c>
      <c r="C223" t="str" cm="1">
        <f t="array" aca="1" ref="C223" ca="1">_FV(A223,"Ticker symbol",TRUE)</f>
        <v>INTC</v>
      </c>
      <c r="D223" s="4">
        <v>20.25</v>
      </c>
      <c r="E223" s="50">
        <v>-50</v>
      </c>
      <c r="F223" s="81">
        <f>IF(Table25[[#This Row],[Number of stocks]]&gt;0,Table25[[#This Row],[Number of stocks]],0)</f>
        <v>0</v>
      </c>
      <c r="G223" s="73">
        <f>Table25[[#This Row],[Bought]]*Table25[[#This Row],[Price]]</f>
        <v>0</v>
      </c>
      <c r="H223">
        <f>SUMIF(Table25[[#All],[Assets]],Table25[[#This Row],[Assets]],Table25[[#All],[Bought]])</f>
        <v>334.73663899999997</v>
      </c>
      <c r="I223">
        <f>SUMIF(Table25[[#All],[Assets]],Table25[[#This Row],[Assets]],Table25[[#All],[Bought Amount]])</f>
        <v>9755.9173948600001</v>
      </c>
      <c r="J223" s="88">
        <f>IF(Table25[[#This Row],[Number of stocks]]&lt;0,Table25[[#This Row],[Number of stocks]],0)</f>
        <v>-50</v>
      </c>
      <c r="K223" s="5">
        <f>Table25[[#This Row],[Sold]]*Table25[[#This Row],[Price]]</f>
        <v>-1012.5</v>
      </c>
      <c r="L223" s="8">
        <f>ABS(SUMIF(Table25[[#All],[Assets]],Table25[[#This Row],[Assets]],Table25[[#All],[Sold]]))</f>
        <v>334.74</v>
      </c>
      <c r="M223" s="5">
        <f>ABS(SUMIF(Table25[[#All],[Assets]],Table25[[#This Row],[Assets]],Table25[[#All],[Sold Amount]]))</f>
        <v>7909.2053999999998</v>
      </c>
      <c r="N223" s="5">
        <f>IFERROR(Table25[[#This Row],[Total sold amount]]/Table25[[#This Row],[Total Sold number of stocks]],"")</f>
        <v>23.627906434844952</v>
      </c>
      <c r="O223" s="4">
        <f>IFERROR(Table25[[#This Row],[Total Amount bought]]/Table25[[#This Row],[Total number bought]],"")</f>
        <v>29.145053926588542</v>
      </c>
      <c r="P223" s="4">
        <f>IFERROR((Table25[[#This Row],[Average sell price]]-Table25[[#This Row],[Average buy price]])*Table25[[#This Row],[Total Sold number of stocks]],0)</f>
        <v>-1846.8099513862492</v>
      </c>
      <c r="Q223" s="85">
        <f>SUMIF(Table25[[#All],[Assets]],Table25[[#This Row],[Assets]],Table25[[#All],[Number of stocks]])</f>
        <v>-3.3610000000123819E-3</v>
      </c>
    </row>
    <row r="224" spans="1:17">
      <c r="A224" t="e" vm="11">
        <v>#VALUE!</v>
      </c>
      <c r="B224" s="2">
        <v>45510</v>
      </c>
      <c r="C224" t="str" cm="1">
        <f t="array" aca="1" ref="C224" ca="1">_FV(A224,"Ticker symbol",TRUE)</f>
        <v>AMZN</v>
      </c>
      <c r="D224" s="4">
        <v>161.13</v>
      </c>
      <c r="E224" s="50">
        <v>5</v>
      </c>
      <c r="F224" s="81">
        <f>IF(Table25[[#This Row],[Number of stocks]]&gt;0,Table25[[#This Row],[Number of stocks]],0)</f>
        <v>5</v>
      </c>
      <c r="G224" s="73">
        <f>Table25[[#This Row],[Bought]]*Table25[[#This Row],[Price]]</f>
        <v>805.65</v>
      </c>
      <c r="H224">
        <f>SUMIF(Table25[[#All],[Assets]],Table25[[#This Row],[Assets]],Table25[[#All],[Bought]])</f>
        <v>14</v>
      </c>
      <c r="I224">
        <f>SUMIF(Table25[[#All],[Assets]],Table25[[#This Row],[Assets]],Table25[[#All],[Bought Amount]])</f>
        <v>2779.23</v>
      </c>
      <c r="J224" s="88">
        <f>IF(Table25[[#This Row],[Number of stocks]]&lt;0,Table25[[#This Row],[Number of stocks]],0)</f>
        <v>0</v>
      </c>
      <c r="K224" s="5">
        <f>Table25[[#This Row],[Sold]]*Table25[[#This Row],[Price]]</f>
        <v>0</v>
      </c>
      <c r="L224" s="8">
        <f>ABS(SUMIF(Table25[[#All],[Assets]],Table25[[#This Row],[Assets]],Table25[[#All],[Sold]]))</f>
        <v>9</v>
      </c>
      <c r="M224" s="5">
        <f>ABS(SUMIF(Table25[[#All],[Assets]],Table25[[#This Row],[Assets]],Table25[[#All],[Sold Amount]]))</f>
        <v>1854.81</v>
      </c>
      <c r="N224" s="5">
        <f>IFERROR(Table25[[#This Row],[Total sold amount]]/Table25[[#This Row],[Total Sold number of stocks]],"")</f>
        <v>206.09</v>
      </c>
      <c r="O224" s="4">
        <f>IFERROR(Table25[[#This Row],[Total Amount bought]]/Table25[[#This Row],[Total number bought]],"")</f>
        <v>198.51642857142858</v>
      </c>
      <c r="P224" s="4">
        <f>IFERROR((Table25[[#This Row],[Average sell price]]-Table25[[#This Row],[Average buy price]])*Table25[[#This Row],[Total Sold number of stocks]],0)</f>
        <v>68.16214285714284</v>
      </c>
      <c r="Q224" s="85">
        <f>SUMIF(Table25[[#All],[Assets]],Table25[[#This Row],[Assets]],Table25[[#All],[Number of stocks]])</f>
        <v>5</v>
      </c>
    </row>
    <row r="225" spans="1:17">
      <c r="A225" t="e" vm="128">
        <v>#VALUE!</v>
      </c>
      <c r="B225" s="2">
        <v>45510</v>
      </c>
      <c r="C225" t="str" cm="1">
        <f t="array" aca="1" ref="C225" ca="1">_FV(A225,"Ticker symbol",TRUE)</f>
        <v>AXON</v>
      </c>
      <c r="D225" s="4">
        <v>286.95</v>
      </c>
      <c r="E225" s="50">
        <v>1</v>
      </c>
      <c r="F225" s="81">
        <f>IF(Table25[[#This Row],[Number of stocks]]&gt;0,Table25[[#This Row],[Number of stocks]],0)</f>
        <v>1</v>
      </c>
      <c r="G225" s="73">
        <f>Table25[[#This Row],[Bought]]*Table25[[#This Row],[Price]]</f>
        <v>286.95</v>
      </c>
      <c r="H225">
        <f>SUMIF(Table25[[#All],[Assets]],Table25[[#This Row],[Assets]],Table25[[#All],[Bought]])</f>
        <v>5</v>
      </c>
      <c r="I225">
        <f>SUMIF(Table25[[#All],[Assets]],Table25[[#This Row],[Assets]],Table25[[#All],[Bought Amount]])</f>
        <v>1437.6899999999998</v>
      </c>
      <c r="J225" s="88">
        <f>IF(Table25[[#This Row],[Number of stocks]]&lt;0,Table25[[#This Row],[Number of stocks]],0)</f>
        <v>0</v>
      </c>
      <c r="K225" s="5">
        <f>Table25[[#This Row],[Sold]]*Table25[[#This Row],[Price]]</f>
        <v>0</v>
      </c>
      <c r="L225" s="8">
        <f>ABS(SUMIF(Table25[[#All],[Assets]],Table25[[#This Row],[Assets]],Table25[[#All],[Sold]]))</f>
        <v>5</v>
      </c>
      <c r="M225" s="5">
        <f>ABS(SUMIF(Table25[[#All],[Assets]],Table25[[#This Row],[Assets]],Table25[[#All],[Sold Amount]]))</f>
        <v>1963.1</v>
      </c>
      <c r="N225" s="5">
        <f>IFERROR(Table25[[#This Row],[Total sold amount]]/Table25[[#This Row],[Total Sold number of stocks]],"")</f>
        <v>392.62</v>
      </c>
      <c r="O225" s="4">
        <f>IFERROR(Table25[[#This Row],[Total Amount bought]]/Table25[[#This Row],[Total number bought]],"")</f>
        <v>287.53799999999995</v>
      </c>
      <c r="P225" s="4">
        <f>IFERROR((Table25[[#This Row],[Average sell price]]-Table25[[#This Row],[Average buy price]])*Table25[[#This Row],[Total Sold number of stocks]],0)</f>
        <v>525.41000000000031</v>
      </c>
      <c r="Q225" s="85">
        <f>SUMIF(Table25[[#All],[Assets]],Table25[[#This Row],[Assets]],Table25[[#All],[Number of stocks]])</f>
        <v>0</v>
      </c>
    </row>
    <row r="226" spans="1:17">
      <c r="A226" t="e" vm="64">
        <v>#VALUE!</v>
      </c>
      <c r="B226" s="2">
        <v>45510</v>
      </c>
      <c r="C226" t="str" cm="1">
        <f t="array" aca="1" ref="C226" ca="1">_FV(A226,"Ticker symbol",TRUE)</f>
        <v>LULU</v>
      </c>
      <c r="D226" s="4">
        <v>235.04</v>
      </c>
      <c r="E226" s="50">
        <v>-3</v>
      </c>
      <c r="F226" s="81">
        <f>IF(Table25[[#This Row],[Number of stocks]]&gt;0,Table25[[#This Row],[Number of stocks]],0)</f>
        <v>0</v>
      </c>
      <c r="G226" s="73">
        <f>Table25[[#This Row],[Bought]]*Table25[[#This Row],[Price]]</f>
        <v>0</v>
      </c>
      <c r="H226">
        <f>SUMIF(Table25[[#All],[Assets]],Table25[[#This Row],[Assets]],Table25[[#All],[Bought]])</f>
        <v>26</v>
      </c>
      <c r="I226">
        <f>SUMIF(Table25[[#All],[Assets]],Table25[[#This Row],[Assets]],Table25[[#All],[Bought Amount]])</f>
        <v>6272.2400000000007</v>
      </c>
      <c r="J226" s="88">
        <f>IF(Table25[[#This Row],[Number of stocks]]&lt;0,Table25[[#This Row],[Number of stocks]],0)</f>
        <v>-3</v>
      </c>
      <c r="K226" s="5">
        <f>Table25[[#This Row],[Sold]]*Table25[[#This Row],[Price]]</f>
        <v>-705.12</v>
      </c>
      <c r="L226" s="8">
        <f>ABS(SUMIF(Table25[[#All],[Assets]],Table25[[#This Row],[Assets]],Table25[[#All],[Sold]]))</f>
        <v>26</v>
      </c>
      <c r="M226" s="5">
        <f>ABS(SUMIF(Table25[[#All],[Assets]],Table25[[#This Row],[Assets]],Table25[[#All],[Sold Amount]]))</f>
        <v>6958.9199999999992</v>
      </c>
      <c r="N226" s="5">
        <f>IFERROR(Table25[[#This Row],[Total sold amount]]/Table25[[#This Row],[Total Sold number of stocks]],"")</f>
        <v>267.65076923076919</v>
      </c>
      <c r="O226" s="4">
        <f>IFERROR(Table25[[#This Row],[Total Amount bought]]/Table25[[#This Row],[Total number bought]],"")</f>
        <v>241.24000000000004</v>
      </c>
      <c r="P226" s="4">
        <f>IFERROR((Table25[[#This Row],[Average sell price]]-Table25[[#This Row],[Average buy price]])*Table25[[#This Row],[Total Sold number of stocks]],0)</f>
        <v>686.67999999999779</v>
      </c>
      <c r="Q226" s="85">
        <f>SUMIF(Table25[[#All],[Assets]],Table25[[#This Row],[Assets]],Table25[[#All],[Number of stocks]])</f>
        <v>0</v>
      </c>
    </row>
    <row r="227" spans="1:17">
      <c r="A227" t="e" vm="128">
        <v>#VALUE!</v>
      </c>
      <c r="B227" s="2">
        <v>45510</v>
      </c>
      <c r="C227" t="str" cm="1">
        <f t="array" aca="1" ref="C227" ca="1">_FV(A227,"Ticker symbol",TRUE)</f>
        <v>AXON</v>
      </c>
      <c r="D227" s="4">
        <v>287.45999999999998</v>
      </c>
      <c r="E227" s="50">
        <v>3</v>
      </c>
      <c r="F227" s="81">
        <f>IF(Table25[[#This Row],[Number of stocks]]&gt;0,Table25[[#This Row],[Number of stocks]],0)</f>
        <v>3</v>
      </c>
      <c r="G227" s="73">
        <f>Table25[[#This Row],[Bought]]*Table25[[#This Row],[Price]]</f>
        <v>862.37999999999988</v>
      </c>
      <c r="H227">
        <f>SUMIF(Table25[[#All],[Assets]],Table25[[#This Row],[Assets]],Table25[[#All],[Bought]])</f>
        <v>5</v>
      </c>
      <c r="I227">
        <f>SUMIF(Table25[[#All],[Assets]],Table25[[#This Row],[Assets]],Table25[[#All],[Bought Amount]])</f>
        <v>1437.6899999999998</v>
      </c>
      <c r="J227" s="88">
        <f>IF(Table25[[#This Row],[Number of stocks]]&lt;0,Table25[[#This Row],[Number of stocks]],0)</f>
        <v>0</v>
      </c>
      <c r="K227" s="5">
        <f>Table25[[#This Row],[Sold]]*Table25[[#This Row],[Price]]</f>
        <v>0</v>
      </c>
      <c r="L227" s="8">
        <f>ABS(SUMIF(Table25[[#All],[Assets]],Table25[[#This Row],[Assets]],Table25[[#All],[Sold]]))</f>
        <v>5</v>
      </c>
      <c r="M227" s="5">
        <f>ABS(SUMIF(Table25[[#All],[Assets]],Table25[[#This Row],[Assets]],Table25[[#All],[Sold Amount]]))</f>
        <v>1963.1</v>
      </c>
      <c r="N227" s="5">
        <f>IFERROR(Table25[[#This Row],[Total sold amount]]/Table25[[#This Row],[Total Sold number of stocks]],"")</f>
        <v>392.62</v>
      </c>
      <c r="O227" s="4">
        <f>IFERROR(Table25[[#This Row],[Total Amount bought]]/Table25[[#This Row],[Total number bought]],"")</f>
        <v>287.53799999999995</v>
      </c>
      <c r="P227" s="4">
        <f>IFERROR((Table25[[#This Row],[Average sell price]]-Table25[[#This Row],[Average buy price]])*Table25[[#This Row],[Total Sold number of stocks]],0)</f>
        <v>525.41000000000031</v>
      </c>
      <c r="Q227" s="85">
        <f>SUMIF(Table25[[#All],[Assets]],Table25[[#This Row],[Assets]],Table25[[#All],[Number of stocks]])</f>
        <v>0</v>
      </c>
    </row>
    <row r="228" spans="1:17">
      <c r="A228" t="e" vm="456">
        <v>#VALUE!</v>
      </c>
      <c r="B228" s="2">
        <v>45510</v>
      </c>
      <c r="C228" t="str" cm="1">
        <f t="array" aca="1" ref="C228" ca="1">_FV(A228,"Ticker symbol",TRUE)</f>
        <v>BIL</v>
      </c>
      <c r="D228" s="4">
        <v>91.48</v>
      </c>
      <c r="E228" s="50">
        <v>-2</v>
      </c>
      <c r="F228" s="81">
        <f>IF(Table25[[#This Row],[Number of stocks]]&gt;0,Table25[[#This Row],[Number of stocks]],0)</f>
        <v>0</v>
      </c>
      <c r="G228" s="73">
        <f>Table25[[#This Row],[Bought]]*Table25[[#This Row],[Price]]</f>
        <v>0</v>
      </c>
      <c r="H228">
        <f>SUMIF(Table25[[#All],[Assets]],Table25[[#This Row],[Assets]],Table25[[#All],[Bought]])</f>
        <v>419</v>
      </c>
      <c r="I228">
        <f>SUMIF(Table25[[#All],[Assets]],Table25[[#This Row],[Assets]],Table25[[#All],[Bought Amount]])</f>
        <v>38555.520000000004</v>
      </c>
      <c r="J228" s="88">
        <f>IF(Table25[[#This Row],[Number of stocks]]&lt;0,Table25[[#This Row],[Number of stocks]],0)</f>
        <v>-2</v>
      </c>
      <c r="K228" s="5">
        <f>Table25[[#This Row],[Sold]]*Table25[[#This Row],[Price]]</f>
        <v>-182.96</v>
      </c>
      <c r="L228" s="8">
        <f>ABS(SUMIF(Table25[[#All],[Assets]],Table25[[#This Row],[Assets]],Table25[[#All],[Sold]]))</f>
        <v>419</v>
      </c>
      <c r="M228" s="5">
        <f>ABS(SUMIF(Table25[[#All],[Assets]],Table25[[#This Row],[Assets]],Table25[[#All],[Sold Amount]]))</f>
        <v>38372</v>
      </c>
      <c r="N228" s="5">
        <f>IFERROR(Table25[[#This Row],[Total sold amount]]/Table25[[#This Row],[Total Sold number of stocks]],"")</f>
        <v>91.579952267303099</v>
      </c>
      <c r="O228" s="4">
        <f>IFERROR(Table25[[#This Row],[Total Amount bought]]/Table25[[#This Row],[Total number bought]],"")</f>
        <v>92.017947494033422</v>
      </c>
      <c r="P228" s="4">
        <f>IFERROR((Table25[[#This Row],[Average sell price]]-Table25[[#This Row],[Average buy price]])*Table25[[#This Row],[Total Sold number of stocks]],0)</f>
        <v>-183.5200000000051</v>
      </c>
      <c r="Q228" s="85">
        <f>SUMIF(Table25[[#All],[Assets]],Table25[[#This Row],[Assets]],Table25[[#All],[Number of stocks]])</f>
        <v>0</v>
      </c>
    </row>
    <row r="229" spans="1:17">
      <c r="A229" t="e" vm="474">
        <v>#VALUE!</v>
      </c>
      <c r="B229" s="2">
        <v>45510</v>
      </c>
      <c r="C229" t="str" cm="1">
        <f t="array" aca="1" ref="C229" ca="1">_FV(A229,"Ticker symbol",TRUE)</f>
        <v>AAP</v>
      </c>
      <c r="D229" s="4">
        <v>58.77</v>
      </c>
      <c r="E229" s="50">
        <v>-8</v>
      </c>
      <c r="F229" s="81">
        <f>IF(Table25[[#This Row],[Number of stocks]]&gt;0,Table25[[#This Row],[Number of stocks]],0)</f>
        <v>0</v>
      </c>
      <c r="G229" s="73">
        <f>Table25[[#This Row],[Bought]]*Table25[[#This Row],[Price]]</f>
        <v>0</v>
      </c>
      <c r="H229">
        <f>SUMIF(Table25[[#All],[Assets]],Table25[[#This Row],[Assets]],Table25[[#All],[Bought]])</f>
        <v>16</v>
      </c>
      <c r="I229">
        <f>SUMIF(Table25[[#All],[Assets]],Table25[[#This Row],[Assets]],Table25[[#All],[Bought Amount]])</f>
        <v>1351.36</v>
      </c>
      <c r="J229" s="88">
        <f>IF(Table25[[#This Row],[Number of stocks]]&lt;0,Table25[[#This Row],[Number of stocks]],0)</f>
        <v>-8</v>
      </c>
      <c r="K229" s="5">
        <f>Table25[[#This Row],[Sold]]*Table25[[#This Row],[Price]]</f>
        <v>-470.16</v>
      </c>
      <c r="L229" s="8">
        <f>ABS(SUMIF(Table25[[#All],[Assets]],Table25[[#This Row],[Assets]],Table25[[#All],[Sold]]))</f>
        <v>16</v>
      </c>
      <c r="M229" s="5">
        <f>ABS(SUMIF(Table25[[#All],[Assets]],Table25[[#This Row],[Assets]],Table25[[#All],[Sold Amount]]))</f>
        <v>941.36</v>
      </c>
      <c r="N229" s="5">
        <f>IFERROR(Table25[[#This Row],[Total sold amount]]/Table25[[#This Row],[Total Sold number of stocks]],"")</f>
        <v>58.835000000000001</v>
      </c>
      <c r="O229" s="4">
        <f>IFERROR(Table25[[#This Row],[Total Amount bought]]/Table25[[#This Row],[Total number bought]],"")</f>
        <v>84.46</v>
      </c>
      <c r="P229" s="4">
        <f>IFERROR((Table25[[#This Row],[Average sell price]]-Table25[[#This Row],[Average buy price]])*Table25[[#This Row],[Total Sold number of stocks]],0)</f>
        <v>-409.99999999999989</v>
      </c>
      <c r="Q229" s="85">
        <f>SUMIF(Table25[[#All],[Assets]],Table25[[#This Row],[Assets]],Table25[[#All],[Number of stocks]])</f>
        <v>0</v>
      </c>
    </row>
    <row r="230" spans="1:17">
      <c r="A230" t="e" vm="474">
        <v>#VALUE!</v>
      </c>
      <c r="B230" s="2">
        <v>45510</v>
      </c>
      <c r="C230" t="str" cm="1">
        <f t="array" aca="1" ref="C230" ca="1">_FV(A230,"Ticker symbol",TRUE)</f>
        <v>AAP</v>
      </c>
      <c r="D230" s="4">
        <v>58.9</v>
      </c>
      <c r="E230" s="50">
        <v>-8</v>
      </c>
      <c r="F230" s="81">
        <f>IF(Table25[[#This Row],[Number of stocks]]&gt;0,Table25[[#This Row],[Number of stocks]],0)</f>
        <v>0</v>
      </c>
      <c r="G230" s="73">
        <f>Table25[[#This Row],[Bought]]*Table25[[#This Row],[Price]]</f>
        <v>0</v>
      </c>
      <c r="H230">
        <f>SUMIF(Table25[[#All],[Assets]],Table25[[#This Row],[Assets]],Table25[[#All],[Bought]])</f>
        <v>16</v>
      </c>
      <c r="I230">
        <f>SUMIF(Table25[[#All],[Assets]],Table25[[#This Row],[Assets]],Table25[[#All],[Bought Amount]])</f>
        <v>1351.36</v>
      </c>
      <c r="J230" s="88">
        <f>IF(Table25[[#This Row],[Number of stocks]]&lt;0,Table25[[#This Row],[Number of stocks]],0)</f>
        <v>-8</v>
      </c>
      <c r="K230" s="5">
        <f>Table25[[#This Row],[Sold]]*Table25[[#This Row],[Price]]</f>
        <v>-471.2</v>
      </c>
      <c r="L230" s="8">
        <f>ABS(SUMIF(Table25[[#All],[Assets]],Table25[[#This Row],[Assets]],Table25[[#All],[Sold]]))</f>
        <v>16</v>
      </c>
      <c r="M230" s="5">
        <f>ABS(SUMIF(Table25[[#All],[Assets]],Table25[[#This Row],[Assets]],Table25[[#All],[Sold Amount]]))</f>
        <v>941.36</v>
      </c>
      <c r="N230" s="5">
        <f>IFERROR(Table25[[#This Row],[Total sold amount]]/Table25[[#This Row],[Total Sold number of stocks]],"")</f>
        <v>58.835000000000001</v>
      </c>
      <c r="O230" s="4">
        <f>IFERROR(Table25[[#This Row],[Total Amount bought]]/Table25[[#This Row],[Total number bought]],"")</f>
        <v>84.46</v>
      </c>
      <c r="P230" s="4">
        <f>IFERROR((Table25[[#This Row],[Average sell price]]-Table25[[#This Row],[Average buy price]])*Table25[[#This Row],[Total Sold number of stocks]],0)</f>
        <v>-409.99999999999989</v>
      </c>
      <c r="Q230" s="85">
        <f>SUMIF(Table25[[#All],[Assets]],Table25[[#This Row],[Assets]],Table25[[#All],[Number of stocks]])</f>
        <v>0</v>
      </c>
    </row>
    <row r="231" spans="1:17">
      <c r="A231" t="e" vm="278">
        <v>#VALUE!</v>
      </c>
      <c r="B231" s="2">
        <v>45510</v>
      </c>
      <c r="C231" t="str" cm="1">
        <f t="array" aca="1" ref="C231" ca="1">_FV(A231,"Ticker symbol",TRUE)</f>
        <v>RTX</v>
      </c>
      <c r="D231" s="4">
        <v>115.65</v>
      </c>
      <c r="E231" s="50">
        <v>-2</v>
      </c>
      <c r="F231" s="81">
        <f>IF(Table25[[#This Row],[Number of stocks]]&gt;0,Table25[[#This Row],[Number of stocks]],0)</f>
        <v>0</v>
      </c>
      <c r="G231" s="73">
        <f>Table25[[#This Row],[Bought]]*Table25[[#This Row],[Price]]</f>
        <v>0</v>
      </c>
      <c r="H231">
        <f>SUMIF(Table25[[#All],[Assets]],Table25[[#This Row],[Assets]],Table25[[#All],[Bought]])</f>
        <v>4</v>
      </c>
      <c r="I231">
        <f>SUMIF(Table25[[#All],[Assets]],Table25[[#This Row],[Assets]],Table25[[#All],[Bought Amount]])</f>
        <v>313</v>
      </c>
      <c r="J231" s="88">
        <f>IF(Table25[[#This Row],[Number of stocks]]&lt;0,Table25[[#This Row],[Number of stocks]],0)</f>
        <v>-2</v>
      </c>
      <c r="K231" s="5">
        <f>Table25[[#This Row],[Sold]]*Table25[[#This Row],[Price]]</f>
        <v>-231.3</v>
      </c>
      <c r="L231" s="8">
        <f>ABS(SUMIF(Table25[[#All],[Assets]],Table25[[#This Row],[Assets]],Table25[[#All],[Sold]]))</f>
        <v>4</v>
      </c>
      <c r="M231" s="5">
        <f>ABS(SUMIF(Table25[[#All],[Assets]],Table25[[#This Row],[Assets]],Table25[[#All],[Sold Amount]]))</f>
        <v>479.28</v>
      </c>
      <c r="N231" s="5">
        <f>IFERROR(Table25[[#This Row],[Total sold amount]]/Table25[[#This Row],[Total Sold number of stocks]],"")</f>
        <v>119.82</v>
      </c>
      <c r="O231" s="4">
        <f>IFERROR(Table25[[#This Row],[Total Amount bought]]/Table25[[#This Row],[Total number bought]],"")</f>
        <v>78.25</v>
      </c>
      <c r="P231" s="4">
        <f>IFERROR((Table25[[#This Row],[Average sell price]]-Table25[[#This Row],[Average buy price]])*Table25[[#This Row],[Total Sold number of stocks]],0)</f>
        <v>166.27999999999997</v>
      </c>
      <c r="Q231" s="85">
        <f>SUMIF(Table25[[#All],[Assets]],Table25[[#This Row],[Assets]],Table25[[#All],[Number of stocks]])</f>
        <v>0</v>
      </c>
    </row>
    <row r="232" spans="1:17">
      <c r="A232" t="e" vm="461">
        <v>#VALUE!</v>
      </c>
      <c r="B232" s="2">
        <v>45510</v>
      </c>
      <c r="C232" t="str" cm="1">
        <f t="array" aca="1" ref="C232" ca="1">_FV(A232,"Ticker symbol",TRUE)</f>
        <v>SVIX</v>
      </c>
      <c r="D232" s="4">
        <v>23</v>
      </c>
      <c r="E232" s="50">
        <v>9</v>
      </c>
      <c r="F232" s="81">
        <f>IF(Table25[[#This Row],[Number of stocks]]&gt;0,Table25[[#This Row],[Number of stocks]],0)</f>
        <v>9</v>
      </c>
      <c r="G232" s="73">
        <f>Table25[[#This Row],[Bought]]*Table25[[#This Row],[Price]]</f>
        <v>207</v>
      </c>
      <c r="H232">
        <f>SUMIF(Table25[[#All],[Assets]],Table25[[#This Row],[Assets]],Table25[[#All],[Bought]])</f>
        <v>209</v>
      </c>
      <c r="I232">
        <f>SUMIF(Table25[[#All],[Assets]],Table25[[#This Row],[Assets]],Table25[[#All],[Bought Amount]])</f>
        <v>2907</v>
      </c>
      <c r="J232" s="88">
        <f>IF(Table25[[#This Row],[Number of stocks]]&lt;0,Table25[[#This Row],[Number of stocks]],0)</f>
        <v>0</v>
      </c>
      <c r="K232" s="5">
        <f>Table25[[#This Row],[Sold]]*Table25[[#This Row],[Price]]</f>
        <v>0</v>
      </c>
      <c r="L232" s="8">
        <f>ABS(SUMIF(Table25[[#All],[Assets]],Table25[[#This Row],[Assets]],Table25[[#All],[Sold]]))</f>
        <v>209</v>
      </c>
      <c r="M232" s="5">
        <f>ABS(SUMIF(Table25[[#All],[Assets]],Table25[[#This Row],[Assets]],Table25[[#All],[Sold Amount]]))</f>
        <v>2607.3000000000002</v>
      </c>
      <c r="N232" s="5">
        <f>IFERROR(Table25[[#This Row],[Total sold amount]]/Table25[[#This Row],[Total Sold number of stocks]],"")</f>
        <v>12.47511961722488</v>
      </c>
      <c r="O232" s="4">
        <f>IFERROR(Table25[[#This Row],[Total Amount bought]]/Table25[[#This Row],[Total number bought]],"")</f>
        <v>13.909090909090908</v>
      </c>
      <c r="P232" s="4">
        <f>IFERROR((Table25[[#This Row],[Average sell price]]-Table25[[#This Row],[Average buy price]])*Table25[[#This Row],[Total Sold number of stocks]],0)</f>
        <v>-299.69999999999982</v>
      </c>
      <c r="Q232" s="85">
        <f>SUMIF(Table25[[#All],[Assets]],Table25[[#This Row],[Assets]],Table25[[#All],[Number of stocks]])</f>
        <v>0</v>
      </c>
    </row>
    <row r="233" spans="1:17">
      <c r="A233" t="e" vm="497">
        <v>#VALUE!</v>
      </c>
      <c r="B233" s="2">
        <v>45511</v>
      </c>
      <c r="C233" t="str" cm="1">
        <f t="array" aca="1" ref="C233" ca="1">_FV(A233,"Ticker symbol",TRUE)</f>
        <v>SBOW</v>
      </c>
      <c r="D233" s="4">
        <v>21.96</v>
      </c>
      <c r="E233" s="50">
        <v>-37.03</v>
      </c>
      <c r="F233" s="81">
        <f>IF(Table25[[#This Row],[Number of stocks]]&gt;0,Table25[[#This Row],[Number of stocks]],0)</f>
        <v>0</v>
      </c>
      <c r="G233" s="73">
        <f>Table25[[#This Row],[Bought]]*Table25[[#This Row],[Price]]</f>
        <v>0</v>
      </c>
      <c r="H233">
        <f>SUMIF(Table25[[#All],[Assets]],Table25[[#This Row],[Assets]],Table25[[#All],[Bought]])</f>
        <v>52.03</v>
      </c>
      <c r="I233">
        <f>SUMIF(Table25[[#All],[Assets]],Table25[[#This Row],[Assets]],Table25[[#All],[Bought Amount]])</f>
        <v>1648.8343</v>
      </c>
      <c r="J233" s="88">
        <f>IF(Table25[[#This Row],[Number of stocks]]&lt;0,Table25[[#This Row],[Number of stocks]],0)</f>
        <v>-37.03</v>
      </c>
      <c r="K233" s="5">
        <f>Table25[[#This Row],[Sold]]*Table25[[#This Row],[Price]]</f>
        <v>-813.17880000000002</v>
      </c>
      <c r="L233" s="8">
        <f>ABS(SUMIF(Table25[[#All],[Assets]],Table25[[#This Row],[Assets]],Table25[[#All],[Sold]]))</f>
        <v>52.03</v>
      </c>
      <c r="M233" s="5">
        <f>ABS(SUMIF(Table25[[#All],[Assets]],Table25[[#This Row],[Assets]],Table25[[#All],[Sold Amount]]))</f>
        <v>1395.6288</v>
      </c>
      <c r="N233" s="5">
        <f>IFERROR(Table25[[#This Row],[Total sold amount]]/Table25[[#This Row],[Total Sold number of stocks]],"")</f>
        <v>26.823540265231596</v>
      </c>
      <c r="O233" s="4">
        <f>IFERROR(Table25[[#This Row],[Total Amount bought]]/Table25[[#This Row],[Total number bought]],"")</f>
        <v>31.690069190851432</v>
      </c>
      <c r="P233" s="4">
        <f>IFERROR((Table25[[#This Row],[Average sell price]]-Table25[[#This Row],[Average buy price]])*Table25[[#This Row],[Total Sold number of stocks]],0)</f>
        <v>-253.20550000000006</v>
      </c>
      <c r="Q233" s="85">
        <f>SUMIF(Table25[[#All],[Assets]],Table25[[#This Row],[Assets]],Table25[[#All],[Number of stocks]])</f>
        <v>0</v>
      </c>
    </row>
    <row r="234" spans="1:17">
      <c r="A234" t="e" vm="340">
        <v>#VALUE!</v>
      </c>
      <c r="B234" s="2">
        <v>45511</v>
      </c>
      <c r="C234" t="str" cm="1">
        <f t="array" aca="1" ref="C234" ca="1">_FV(A234,"Ticker symbol",TRUE)</f>
        <v>PNTG</v>
      </c>
      <c r="D234" s="4">
        <v>29.2</v>
      </c>
      <c r="E234" s="50">
        <v>4</v>
      </c>
      <c r="F234" s="81">
        <f>IF(Table25[[#This Row],[Number of stocks]]&gt;0,Table25[[#This Row],[Number of stocks]],0)</f>
        <v>4</v>
      </c>
      <c r="G234" s="73">
        <f>Table25[[#This Row],[Bought]]*Table25[[#This Row],[Price]]</f>
        <v>116.8</v>
      </c>
      <c r="H234">
        <f>SUMIF(Table25[[#All],[Assets]],Table25[[#This Row],[Assets]],Table25[[#All],[Bought]])</f>
        <v>4</v>
      </c>
      <c r="I234">
        <f>SUMIF(Table25[[#All],[Assets]],Table25[[#This Row],[Assets]],Table25[[#All],[Bought Amount]])</f>
        <v>116.8</v>
      </c>
      <c r="J234" s="88">
        <f>IF(Table25[[#This Row],[Number of stocks]]&lt;0,Table25[[#This Row],[Number of stocks]],0)</f>
        <v>0</v>
      </c>
      <c r="K234" s="5">
        <f>Table25[[#This Row],[Sold]]*Table25[[#This Row],[Price]]</f>
        <v>0</v>
      </c>
      <c r="L234" s="8">
        <f>ABS(SUMIF(Table25[[#All],[Assets]],Table25[[#This Row],[Assets]],Table25[[#All],[Sold]]))</f>
        <v>4</v>
      </c>
      <c r="M234" s="5">
        <f>ABS(SUMIF(Table25[[#All],[Assets]],Table25[[#This Row],[Assets]],Table25[[#All],[Sold Amount]]))</f>
        <v>116.8</v>
      </c>
      <c r="N234" s="5">
        <f>IFERROR(Table25[[#This Row],[Total sold amount]]/Table25[[#This Row],[Total Sold number of stocks]],"")</f>
        <v>29.2</v>
      </c>
      <c r="O234" s="4">
        <f>IFERROR(Table25[[#This Row],[Total Amount bought]]/Table25[[#This Row],[Total number bought]],"")</f>
        <v>29.2</v>
      </c>
      <c r="P234" s="4">
        <f>IFERROR((Table25[[#This Row],[Average sell price]]-Table25[[#This Row],[Average buy price]])*Table25[[#This Row],[Total Sold number of stocks]],0)</f>
        <v>0</v>
      </c>
      <c r="Q234" s="85">
        <f>SUMIF(Table25[[#All],[Assets]],Table25[[#This Row],[Assets]],Table25[[#All],[Number of stocks]])</f>
        <v>0</v>
      </c>
    </row>
    <row r="235" spans="1:17">
      <c r="A235" t="e" vm="456">
        <v>#VALUE!</v>
      </c>
      <c r="B235" s="2">
        <v>45511</v>
      </c>
      <c r="C235" t="str" cm="1">
        <f t="array" aca="1" ref="C235" ca="1">_FV(A235,"Ticker symbol",TRUE)</f>
        <v>BIL</v>
      </c>
      <c r="D235" s="4">
        <v>91.5</v>
      </c>
      <c r="E235" s="50">
        <v>4</v>
      </c>
      <c r="F235" s="81">
        <f>IF(Table25[[#This Row],[Number of stocks]]&gt;0,Table25[[#This Row],[Number of stocks]],0)</f>
        <v>4</v>
      </c>
      <c r="G235" s="73">
        <f>Table25[[#This Row],[Bought]]*Table25[[#This Row],[Price]]</f>
        <v>366</v>
      </c>
      <c r="H235">
        <f>SUMIF(Table25[[#All],[Assets]],Table25[[#This Row],[Assets]],Table25[[#All],[Bought]])</f>
        <v>419</v>
      </c>
      <c r="I235">
        <f>SUMIF(Table25[[#All],[Assets]],Table25[[#This Row],[Assets]],Table25[[#All],[Bought Amount]])</f>
        <v>38555.520000000004</v>
      </c>
      <c r="J235" s="88">
        <f>IF(Table25[[#This Row],[Number of stocks]]&lt;0,Table25[[#This Row],[Number of stocks]],0)</f>
        <v>0</v>
      </c>
      <c r="K235" s="5">
        <f>Table25[[#This Row],[Sold]]*Table25[[#This Row],[Price]]</f>
        <v>0</v>
      </c>
      <c r="L235" s="8">
        <f>ABS(SUMIF(Table25[[#All],[Assets]],Table25[[#This Row],[Assets]],Table25[[#All],[Sold]]))</f>
        <v>419</v>
      </c>
      <c r="M235" s="5">
        <f>ABS(SUMIF(Table25[[#All],[Assets]],Table25[[#This Row],[Assets]],Table25[[#All],[Sold Amount]]))</f>
        <v>38372</v>
      </c>
      <c r="N235" s="5">
        <f>IFERROR(Table25[[#This Row],[Total sold amount]]/Table25[[#This Row],[Total Sold number of stocks]],"")</f>
        <v>91.579952267303099</v>
      </c>
      <c r="O235" s="4">
        <f>IFERROR(Table25[[#This Row],[Total Amount bought]]/Table25[[#This Row],[Total number bought]],"")</f>
        <v>92.017947494033422</v>
      </c>
      <c r="P235" s="4">
        <f>IFERROR((Table25[[#This Row],[Average sell price]]-Table25[[#This Row],[Average buy price]])*Table25[[#This Row],[Total Sold number of stocks]],0)</f>
        <v>-183.5200000000051</v>
      </c>
      <c r="Q235" s="85">
        <f>SUMIF(Table25[[#All],[Assets]],Table25[[#This Row],[Assets]],Table25[[#All],[Number of stocks]])</f>
        <v>0</v>
      </c>
    </row>
    <row r="236" spans="1:17">
      <c r="A236" t="e" vm="270">
        <v>#VALUE!</v>
      </c>
      <c r="B236" s="2">
        <v>45511</v>
      </c>
      <c r="C236" t="str" cm="1">
        <f t="array" aca="1" ref="C236" ca="1">_FV(A236,"Ticker symbol",TRUE)</f>
        <v>APEI</v>
      </c>
      <c r="D236" s="4">
        <v>12.46</v>
      </c>
      <c r="E236" s="50">
        <v>25</v>
      </c>
      <c r="F236" s="81">
        <f>IF(Table25[[#This Row],[Number of stocks]]&gt;0,Table25[[#This Row],[Number of stocks]],0)</f>
        <v>25</v>
      </c>
      <c r="G236" s="73">
        <f>Table25[[#This Row],[Bought]]*Table25[[#This Row],[Price]]</f>
        <v>311.5</v>
      </c>
      <c r="H236">
        <f>SUMIF(Table25[[#All],[Assets]],Table25[[#This Row],[Assets]],Table25[[#All],[Bought]])</f>
        <v>55</v>
      </c>
      <c r="I236">
        <f>SUMIF(Table25[[#All],[Assets]],Table25[[#This Row],[Assets]],Table25[[#All],[Bought Amount]])</f>
        <v>895</v>
      </c>
      <c r="J236" s="88">
        <f>IF(Table25[[#This Row],[Number of stocks]]&lt;0,Table25[[#This Row],[Number of stocks]],0)</f>
        <v>0</v>
      </c>
      <c r="K236" s="5">
        <f>Table25[[#This Row],[Sold]]*Table25[[#This Row],[Price]]</f>
        <v>0</v>
      </c>
      <c r="L236" s="8">
        <f>ABS(SUMIF(Table25[[#All],[Assets]],Table25[[#This Row],[Assets]],Table25[[#All],[Sold]]))</f>
        <v>55</v>
      </c>
      <c r="M236" s="5">
        <f>ABS(SUMIF(Table25[[#All],[Assets]],Table25[[#This Row],[Assets]],Table25[[#All],[Sold Amount]]))</f>
        <v>1069.2</v>
      </c>
      <c r="N236" s="5">
        <f>IFERROR(Table25[[#This Row],[Total sold amount]]/Table25[[#This Row],[Total Sold number of stocks]],"")</f>
        <v>19.440000000000001</v>
      </c>
      <c r="O236" s="4">
        <f>IFERROR(Table25[[#This Row],[Total Amount bought]]/Table25[[#This Row],[Total number bought]],"")</f>
        <v>16.272727272727273</v>
      </c>
      <c r="P236" s="4">
        <f>IFERROR((Table25[[#This Row],[Average sell price]]-Table25[[#This Row],[Average buy price]])*Table25[[#This Row],[Total Sold number of stocks]],0)</f>
        <v>174.20000000000005</v>
      </c>
      <c r="Q236" s="85">
        <f>SUMIF(Table25[[#All],[Assets]],Table25[[#This Row],[Assets]],Table25[[#All],[Number of stocks]])</f>
        <v>0</v>
      </c>
    </row>
    <row r="237" spans="1:17">
      <c r="A237" t="e" vm="456">
        <v>#VALUE!</v>
      </c>
      <c r="B237" s="2">
        <v>45512</v>
      </c>
      <c r="C237" t="str" cm="1">
        <f t="array" aca="1" ref="C237" ca="1">_FV(A237,"Ticker symbol",TRUE)</f>
        <v>BIL</v>
      </c>
      <c r="D237" s="4">
        <v>91.52</v>
      </c>
      <c r="E237" s="50">
        <v>-3</v>
      </c>
      <c r="F237" s="81">
        <f>IF(Table25[[#This Row],[Number of stocks]]&gt;0,Table25[[#This Row],[Number of stocks]],0)</f>
        <v>0</v>
      </c>
      <c r="G237" s="73">
        <f>Table25[[#This Row],[Bought]]*Table25[[#This Row],[Price]]</f>
        <v>0</v>
      </c>
      <c r="H237">
        <f>SUMIF(Table25[[#All],[Assets]],Table25[[#This Row],[Assets]],Table25[[#All],[Bought]])</f>
        <v>419</v>
      </c>
      <c r="I237">
        <f>SUMIF(Table25[[#All],[Assets]],Table25[[#This Row],[Assets]],Table25[[#All],[Bought Amount]])</f>
        <v>38555.520000000004</v>
      </c>
      <c r="J237" s="88">
        <f>IF(Table25[[#This Row],[Number of stocks]]&lt;0,Table25[[#This Row],[Number of stocks]],0)</f>
        <v>-3</v>
      </c>
      <c r="K237" s="5">
        <f>Table25[[#This Row],[Sold]]*Table25[[#This Row],[Price]]</f>
        <v>-274.56</v>
      </c>
      <c r="L237" s="8">
        <f>ABS(SUMIF(Table25[[#All],[Assets]],Table25[[#This Row],[Assets]],Table25[[#All],[Sold]]))</f>
        <v>419</v>
      </c>
      <c r="M237" s="5">
        <f>ABS(SUMIF(Table25[[#All],[Assets]],Table25[[#This Row],[Assets]],Table25[[#All],[Sold Amount]]))</f>
        <v>38372</v>
      </c>
      <c r="N237" s="5">
        <f>IFERROR(Table25[[#This Row],[Total sold amount]]/Table25[[#This Row],[Total Sold number of stocks]],"")</f>
        <v>91.579952267303099</v>
      </c>
      <c r="O237" s="4">
        <f>IFERROR(Table25[[#This Row],[Total Amount bought]]/Table25[[#This Row],[Total number bought]],"")</f>
        <v>92.017947494033422</v>
      </c>
      <c r="P237" s="4">
        <f>IFERROR((Table25[[#This Row],[Average sell price]]-Table25[[#This Row],[Average buy price]])*Table25[[#This Row],[Total Sold number of stocks]],0)</f>
        <v>-183.5200000000051</v>
      </c>
      <c r="Q237" s="85">
        <f>SUMIF(Table25[[#All],[Assets]],Table25[[#This Row],[Assets]],Table25[[#All],[Number of stocks]])</f>
        <v>0</v>
      </c>
    </row>
    <row r="238" spans="1:17">
      <c r="A238" t="e" vm="367">
        <v>#VALUE!</v>
      </c>
      <c r="B238" s="2">
        <v>45512</v>
      </c>
      <c r="C238" t="str" cm="1">
        <f t="array" aca="1" ref="C238" ca="1">_FV(A238,"Ticker symbol",TRUE)</f>
        <v>OKTA</v>
      </c>
      <c r="D238" s="4">
        <v>88.87</v>
      </c>
      <c r="E238" s="50">
        <v>1</v>
      </c>
      <c r="F238" s="81">
        <f>IF(Table25[[#This Row],[Number of stocks]]&gt;0,Table25[[#This Row],[Number of stocks]],0)</f>
        <v>1</v>
      </c>
      <c r="G238" s="73">
        <f>Table25[[#This Row],[Bought]]*Table25[[#This Row],[Price]]</f>
        <v>88.87</v>
      </c>
      <c r="H238">
        <f>SUMIF(Table25[[#All],[Assets]],Table25[[#This Row],[Assets]],Table25[[#All],[Bought]])</f>
        <v>1</v>
      </c>
      <c r="I238">
        <f>SUMIF(Table25[[#All],[Assets]],Table25[[#This Row],[Assets]],Table25[[#All],[Bought Amount]])</f>
        <v>88.87</v>
      </c>
      <c r="J238" s="88">
        <f>IF(Table25[[#This Row],[Number of stocks]]&lt;0,Table25[[#This Row],[Number of stocks]],0)</f>
        <v>0</v>
      </c>
      <c r="K238" s="5">
        <f>Table25[[#This Row],[Sold]]*Table25[[#This Row],[Price]]</f>
        <v>0</v>
      </c>
      <c r="L238" s="8">
        <f>ABS(SUMIF(Table25[[#All],[Assets]],Table25[[#This Row],[Assets]],Table25[[#All],[Sold]]))</f>
        <v>1</v>
      </c>
      <c r="M238" s="5">
        <f>ABS(SUMIF(Table25[[#All],[Assets]],Table25[[#This Row],[Assets]],Table25[[#All],[Sold Amount]]))</f>
        <v>79.319999999999993</v>
      </c>
      <c r="N238" s="5">
        <f>IFERROR(Table25[[#This Row],[Total sold amount]]/Table25[[#This Row],[Total Sold number of stocks]],"")</f>
        <v>79.319999999999993</v>
      </c>
      <c r="O238" s="4">
        <f>IFERROR(Table25[[#This Row],[Total Amount bought]]/Table25[[#This Row],[Total number bought]],"")</f>
        <v>88.87</v>
      </c>
      <c r="P238" s="4">
        <f>IFERROR((Table25[[#This Row],[Average sell price]]-Table25[[#This Row],[Average buy price]])*Table25[[#This Row],[Total Sold number of stocks]],0)</f>
        <v>-9.5500000000000114</v>
      </c>
      <c r="Q238" s="85">
        <f>SUMIF(Table25[[#All],[Assets]],Table25[[#This Row],[Assets]],Table25[[#All],[Number of stocks]])</f>
        <v>0</v>
      </c>
    </row>
    <row r="239" spans="1:17">
      <c r="A239" t="e" vm="456">
        <v>#VALUE!</v>
      </c>
      <c r="B239" s="2">
        <v>45512</v>
      </c>
      <c r="C239" t="str" cm="1">
        <f t="array" aca="1" ref="C239" ca="1">_FV(A239,"Ticker symbol",TRUE)</f>
        <v>BIL</v>
      </c>
      <c r="D239" s="4">
        <v>91.52</v>
      </c>
      <c r="E239" s="50">
        <v>-10</v>
      </c>
      <c r="F239" s="81">
        <f>IF(Table25[[#This Row],[Number of stocks]]&gt;0,Table25[[#This Row],[Number of stocks]],0)</f>
        <v>0</v>
      </c>
      <c r="G239" s="73">
        <f>Table25[[#This Row],[Bought]]*Table25[[#This Row],[Price]]</f>
        <v>0</v>
      </c>
      <c r="H239">
        <f>SUMIF(Table25[[#All],[Assets]],Table25[[#This Row],[Assets]],Table25[[#All],[Bought]])</f>
        <v>419</v>
      </c>
      <c r="I239">
        <f>SUMIF(Table25[[#All],[Assets]],Table25[[#This Row],[Assets]],Table25[[#All],[Bought Amount]])</f>
        <v>38555.520000000004</v>
      </c>
      <c r="J239" s="88">
        <f>IF(Table25[[#This Row],[Number of stocks]]&lt;0,Table25[[#This Row],[Number of stocks]],0)</f>
        <v>-10</v>
      </c>
      <c r="K239" s="5">
        <f>Table25[[#This Row],[Sold]]*Table25[[#This Row],[Price]]</f>
        <v>-915.19999999999993</v>
      </c>
      <c r="L239" s="8">
        <f>ABS(SUMIF(Table25[[#All],[Assets]],Table25[[#This Row],[Assets]],Table25[[#All],[Sold]]))</f>
        <v>419</v>
      </c>
      <c r="M239" s="5">
        <f>ABS(SUMIF(Table25[[#All],[Assets]],Table25[[#This Row],[Assets]],Table25[[#All],[Sold Amount]]))</f>
        <v>38372</v>
      </c>
      <c r="N239" s="5">
        <f>IFERROR(Table25[[#This Row],[Total sold amount]]/Table25[[#This Row],[Total Sold number of stocks]],"")</f>
        <v>91.579952267303099</v>
      </c>
      <c r="O239" s="4">
        <f>IFERROR(Table25[[#This Row],[Total Amount bought]]/Table25[[#This Row],[Total number bought]],"")</f>
        <v>92.017947494033422</v>
      </c>
      <c r="P239" s="4">
        <f>IFERROR((Table25[[#This Row],[Average sell price]]-Table25[[#This Row],[Average buy price]])*Table25[[#This Row],[Total Sold number of stocks]],0)</f>
        <v>-183.5200000000051</v>
      </c>
      <c r="Q239" s="85">
        <f>SUMIF(Table25[[#All],[Assets]],Table25[[#This Row],[Assets]],Table25[[#All],[Number of stocks]])</f>
        <v>0</v>
      </c>
    </row>
    <row r="240" spans="1:17">
      <c r="A240" t="e" vm="462">
        <v>#VALUE!</v>
      </c>
      <c r="B240" s="2">
        <v>45512</v>
      </c>
      <c r="C240" t="str" cm="1">
        <f t="array" aca="1" ref="C240" ca="1">_FV(A240,"Ticker symbol",TRUE)</f>
        <v>ENTG</v>
      </c>
      <c r="D240" s="4">
        <v>103.91</v>
      </c>
      <c r="E240" s="50">
        <v>8</v>
      </c>
      <c r="F240" s="81">
        <f>IF(Table25[[#This Row],[Number of stocks]]&gt;0,Table25[[#This Row],[Number of stocks]],0)</f>
        <v>8</v>
      </c>
      <c r="G240" s="73">
        <f>Table25[[#This Row],[Bought]]*Table25[[#This Row],[Price]]</f>
        <v>831.28</v>
      </c>
      <c r="H240">
        <f>SUMIF(Table25[[#All],[Assets]],Table25[[#This Row],[Assets]],Table25[[#All],[Bought]])</f>
        <v>8</v>
      </c>
      <c r="I240">
        <f>SUMIF(Table25[[#All],[Assets]],Table25[[#This Row],[Assets]],Table25[[#All],[Bought Amount]])</f>
        <v>831.28</v>
      </c>
      <c r="J240" s="88">
        <f>IF(Table25[[#This Row],[Number of stocks]]&lt;0,Table25[[#This Row],[Number of stocks]],0)</f>
        <v>0</v>
      </c>
      <c r="K240" s="5">
        <f>Table25[[#This Row],[Sold]]*Table25[[#This Row],[Price]]</f>
        <v>0</v>
      </c>
      <c r="L240" s="8">
        <f>ABS(SUMIF(Table25[[#All],[Assets]],Table25[[#This Row],[Assets]],Table25[[#All],[Sold]]))</f>
        <v>8</v>
      </c>
      <c r="M240" s="5">
        <f>ABS(SUMIF(Table25[[#All],[Assets]],Table25[[#This Row],[Assets]],Table25[[#All],[Sold Amount]]))</f>
        <v>791.04</v>
      </c>
      <c r="N240" s="5">
        <f>IFERROR(Table25[[#This Row],[Total sold amount]]/Table25[[#This Row],[Total Sold number of stocks]],"")</f>
        <v>98.88</v>
      </c>
      <c r="O240" s="4">
        <f>IFERROR(Table25[[#This Row],[Total Amount bought]]/Table25[[#This Row],[Total number bought]],"")</f>
        <v>103.91</v>
      </c>
      <c r="P240" s="4">
        <f>IFERROR((Table25[[#This Row],[Average sell price]]-Table25[[#This Row],[Average buy price]])*Table25[[#This Row],[Total Sold number of stocks]],0)</f>
        <v>-40.240000000000009</v>
      </c>
      <c r="Q240" s="85">
        <f>SUMIF(Table25[[#All],[Assets]],Table25[[#This Row],[Assets]],Table25[[#All],[Number of stocks]])</f>
        <v>0</v>
      </c>
    </row>
    <row r="241" spans="1:17">
      <c r="A241" t="e" vm="515">
        <v>#VALUE!</v>
      </c>
      <c r="B241" s="2">
        <v>45512</v>
      </c>
      <c r="C241" t="str" cm="1">
        <f t="array" aca="1" ref="C241" ca="1">_FV(A241,"Ticker symbol",TRUE)</f>
        <v>SOUN</v>
      </c>
      <c r="D241" s="4">
        <v>5.1100000000000003</v>
      </c>
      <c r="E241" s="50">
        <v>20</v>
      </c>
      <c r="F241" s="81">
        <f>IF(Table25[[#This Row],[Number of stocks]]&gt;0,Table25[[#This Row],[Number of stocks]],0)</f>
        <v>20</v>
      </c>
      <c r="G241" s="73">
        <f>Table25[[#This Row],[Bought]]*Table25[[#This Row],[Price]]</f>
        <v>102.2</v>
      </c>
      <c r="H241">
        <f>SUMIF(Table25[[#All],[Assets]],Table25[[#This Row],[Assets]],Table25[[#All],[Bought]])</f>
        <v>20</v>
      </c>
      <c r="I241">
        <f>SUMIF(Table25[[#All],[Assets]],Table25[[#This Row],[Assets]],Table25[[#All],[Bought Amount]])</f>
        <v>102.2</v>
      </c>
      <c r="J241" s="88">
        <f>IF(Table25[[#This Row],[Number of stocks]]&lt;0,Table25[[#This Row],[Number of stocks]],0)</f>
        <v>0</v>
      </c>
      <c r="K241" s="5">
        <f>Table25[[#This Row],[Sold]]*Table25[[#This Row],[Price]]</f>
        <v>0</v>
      </c>
      <c r="L241" s="8">
        <f>ABS(SUMIF(Table25[[#All],[Assets]],Table25[[#This Row],[Assets]],Table25[[#All],[Sold]]))</f>
        <v>20</v>
      </c>
      <c r="M241" s="5">
        <f>ABS(SUMIF(Table25[[#All],[Assets]],Table25[[#This Row],[Assets]],Table25[[#All],[Sold Amount]]))</f>
        <v>431</v>
      </c>
      <c r="N241" s="5">
        <f>IFERROR(Table25[[#This Row],[Total sold amount]]/Table25[[#This Row],[Total Sold number of stocks]],"")</f>
        <v>21.55</v>
      </c>
      <c r="O241" s="4">
        <f>IFERROR(Table25[[#This Row],[Total Amount bought]]/Table25[[#This Row],[Total number bought]],"")</f>
        <v>5.1100000000000003</v>
      </c>
      <c r="P241" s="4">
        <f>IFERROR((Table25[[#This Row],[Average sell price]]-Table25[[#This Row],[Average buy price]])*Table25[[#This Row],[Total Sold number of stocks]],0)</f>
        <v>328.8</v>
      </c>
      <c r="Q241" s="85">
        <f>SUMIF(Table25[[#All],[Assets]],Table25[[#This Row],[Assets]],Table25[[#All],[Number of stocks]])</f>
        <v>0</v>
      </c>
    </row>
    <row r="242" spans="1:17">
      <c r="A242" t="e" vm="456">
        <v>#VALUE!</v>
      </c>
      <c r="B242" s="2">
        <v>45512</v>
      </c>
      <c r="C242" t="str" cm="1">
        <f t="array" aca="1" ref="C242" ca="1">_FV(A242,"Ticker symbol",TRUE)</f>
        <v>BIL</v>
      </c>
      <c r="D242" s="4">
        <v>91.51</v>
      </c>
      <c r="E242" s="50">
        <v>-19</v>
      </c>
      <c r="F242" s="81">
        <f>IF(Table25[[#This Row],[Number of stocks]]&gt;0,Table25[[#This Row],[Number of stocks]],0)</f>
        <v>0</v>
      </c>
      <c r="G242" s="73">
        <f>Table25[[#This Row],[Bought]]*Table25[[#This Row],[Price]]</f>
        <v>0</v>
      </c>
      <c r="H242">
        <f>SUMIF(Table25[[#All],[Assets]],Table25[[#This Row],[Assets]],Table25[[#All],[Bought]])</f>
        <v>419</v>
      </c>
      <c r="I242">
        <f>SUMIF(Table25[[#All],[Assets]],Table25[[#This Row],[Assets]],Table25[[#All],[Bought Amount]])</f>
        <v>38555.520000000004</v>
      </c>
      <c r="J242" s="88">
        <f>IF(Table25[[#This Row],[Number of stocks]]&lt;0,Table25[[#This Row],[Number of stocks]],0)</f>
        <v>-19</v>
      </c>
      <c r="K242" s="5">
        <f>Table25[[#This Row],[Sold]]*Table25[[#This Row],[Price]]</f>
        <v>-1738.69</v>
      </c>
      <c r="L242" s="8">
        <f>ABS(SUMIF(Table25[[#All],[Assets]],Table25[[#This Row],[Assets]],Table25[[#All],[Sold]]))</f>
        <v>419</v>
      </c>
      <c r="M242" s="5">
        <f>ABS(SUMIF(Table25[[#All],[Assets]],Table25[[#This Row],[Assets]],Table25[[#All],[Sold Amount]]))</f>
        <v>38372</v>
      </c>
      <c r="N242" s="5">
        <f>IFERROR(Table25[[#This Row],[Total sold amount]]/Table25[[#This Row],[Total Sold number of stocks]],"")</f>
        <v>91.579952267303099</v>
      </c>
      <c r="O242" s="4">
        <f>IFERROR(Table25[[#This Row],[Total Amount bought]]/Table25[[#This Row],[Total number bought]],"")</f>
        <v>92.017947494033422</v>
      </c>
      <c r="P242" s="4">
        <f>IFERROR((Table25[[#This Row],[Average sell price]]-Table25[[#This Row],[Average buy price]])*Table25[[#This Row],[Total Sold number of stocks]],0)</f>
        <v>-183.5200000000051</v>
      </c>
      <c r="Q242" s="85">
        <f>SUMIF(Table25[[#All],[Assets]],Table25[[#This Row],[Assets]],Table25[[#All],[Number of stocks]])</f>
        <v>0</v>
      </c>
    </row>
    <row r="243" spans="1:17">
      <c r="A243" t="e" vm="169">
        <v>#VALUE!</v>
      </c>
      <c r="B243" s="2">
        <v>45512</v>
      </c>
      <c r="C243" t="str" cm="1">
        <f t="array" aca="1" ref="C243" ca="1">_FV(A243,"Ticker symbol",TRUE)</f>
        <v>CVS</v>
      </c>
      <c r="D243" s="4">
        <v>57.61</v>
      </c>
      <c r="E243" s="50">
        <v>30</v>
      </c>
      <c r="F243" s="81">
        <f>IF(Table25[[#This Row],[Number of stocks]]&gt;0,Table25[[#This Row],[Number of stocks]],0)</f>
        <v>30</v>
      </c>
      <c r="G243" s="73">
        <f>Table25[[#This Row],[Bought]]*Table25[[#This Row],[Price]]</f>
        <v>1728.3</v>
      </c>
      <c r="H243">
        <f>SUMIF(Table25[[#All],[Assets]],Table25[[#This Row],[Assets]],Table25[[#All],[Bought]])</f>
        <v>104</v>
      </c>
      <c r="I243">
        <f>SUMIF(Table25[[#All],[Assets]],Table25[[#This Row],[Assets]],Table25[[#All],[Bought Amount]])</f>
        <v>6111.46</v>
      </c>
      <c r="J243" s="88">
        <f>IF(Table25[[#This Row],[Number of stocks]]&lt;0,Table25[[#This Row],[Number of stocks]],0)</f>
        <v>0</v>
      </c>
      <c r="K243" s="5">
        <f>Table25[[#This Row],[Sold]]*Table25[[#This Row],[Price]]</f>
        <v>0</v>
      </c>
      <c r="L243" s="8">
        <f>ABS(SUMIF(Table25[[#All],[Assets]],Table25[[#This Row],[Assets]],Table25[[#All],[Sold]]))</f>
        <v>104</v>
      </c>
      <c r="M243" s="5">
        <f>ABS(SUMIF(Table25[[#All],[Assets]],Table25[[#This Row],[Assets]],Table25[[#All],[Sold Amount]]))</f>
        <v>6244.5899999999992</v>
      </c>
      <c r="N243" s="5">
        <f>IFERROR(Table25[[#This Row],[Total sold amount]]/Table25[[#This Row],[Total Sold number of stocks]],"")</f>
        <v>60.044134615384607</v>
      </c>
      <c r="O243" s="4">
        <f>IFERROR(Table25[[#This Row],[Total Amount bought]]/Table25[[#This Row],[Total number bought]],"")</f>
        <v>58.764038461538462</v>
      </c>
      <c r="P243" s="4">
        <f>IFERROR((Table25[[#This Row],[Average sell price]]-Table25[[#This Row],[Average buy price]])*Table25[[#This Row],[Total Sold number of stocks]],0)</f>
        <v>133.12999999999909</v>
      </c>
      <c r="Q243" s="85">
        <f>SUMIF(Table25[[#All],[Assets]],Table25[[#This Row],[Assets]],Table25[[#All],[Number of stocks]])</f>
        <v>0</v>
      </c>
    </row>
    <row r="244" spans="1:17">
      <c r="A244" t="e" vm="128">
        <v>#VALUE!</v>
      </c>
      <c r="B244" s="2">
        <v>45512</v>
      </c>
      <c r="C244" t="str" cm="1">
        <f t="array" aca="1" ref="C244" ca="1">_FV(A244,"Ticker symbol",TRUE)</f>
        <v>AXON</v>
      </c>
      <c r="D244" s="4">
        <v>368.37</v>
      </c>
      <c r="E244" s="50">
        <v>-1</v>
      </c>
      <c r="F244" s="81">
        <f>IF(Table25[[#This Row],[Number of stocks]]&gt;0,Table25[[#This Row],[Number of stocks]],0)</f>
        <v>0</v>
      </c>
      <c r="G244" s="73">
        <f>Table25[[#This Row],[Bought]]*Table25[[#This Row],[Price]]</f>
        <v>0</v>
      </c>
      <c r="H244">
        <f>SUMIF(Table25[[#All],[Assets]],Table25[[#This Row],[Assets]],Table25[[#All],[Bought]])</f>
        <v>5</v>
      </c>
      <c r="I244">
        <f>SUMIF(Table25[[#All],[Assets]],Table25[[#This Row],[Assets]],Table25[[#All],[Bought Amount]])</f>
        <v>1437.6899999999998</v>
      </c>
      <c r="J244" s="88">
        <f>IF(Table25[[#This Row],[Number of stocks]]&lt;0,Table25[[#This Row],[Number of stocks]],0)</f>
        <v>-1</v>
      </c>
      <c r="K244" s="5">
        <f>Table25[[#This Row],[Sold]]*Table25[[#This Row],[Price]]</f>
        <v>-368.37</v>
      </c>
      <c r="L244" s="8">
        <f>ABS(SUMIF(Table25[[#All],[Assets]],Table25[[#This Row],[Assets]],Table25[[#All],[Sold]]))</f>
        <v>5</v>
      </c>
      <c r="M244" s="5">
        <f>ABS(SUMIF(Table25[[#All],[Assets]],Table25[[#This Row],[Assets]],Table25[[#All],[Sold Amount]]))</f>
        <v>1963.1</v>
      </c>
      <c r="N244" s="5">
        <f>IFERROR(Table25[[#This Row],[Total sold amount]]/Table25[[#This Row],[Total Sold number of stocks]],"")</f>
        <v>392.62</v>
      </c>
      <c r="O244" s="4">
        <f>IFERROR(Table25[[#This Row],[Total Amount bought]]/Table25[[#This Row],[Total number bought]],"")</f>
        <v>287.53799999999995</v>
      </c>
      <c r="P244" s="4">
        <f>IFERROR((Table25[[#This Row],[Average sell price]]-Table25[[#This Row],[Average buy price]])*Table25[[#This Row],[Total Sold number of stocks]],0)</f>
        <v>525.41000000000031</v>
      </c>
      <c r="Q244" s="85">
        <f>SUMIF(Table25[[#All],[Assets]],Table25[[#This Row],[Assets]],Table25[[#All],[Number of stocks]])</f>
        <v>0</v>
      </c>
    </row>
    <row r="245" spans="1:17">
      <c r="A245" t="e" vm="438">
        <v>#VALUE!</v>
      </c>
      <c r="B245" s="2">
        <v>45512</v>
      </c>
      <c r="C245" t="str" cm="1">
        <f t="array" aca="1" ref="C245" ca="1">_FV(A245,"Ticker symbol",TRUE)</f>
        <v>RIO</v>
      </c>
      <c r="D245" s="4">
        <v>63.1</v>
      </c>
      <c r="E245" s="50">
        <v>6</v>
      </c>
      <c r="F245" s="81">
        <f>IF(Table25[[#This Row],[Number of stocks]]&gt;0,Table25[[#This Row],[Number of stocks]],0)</f>
        <v>6</v>
      </c>
      <c r="G245" s="73">
        <f>Table25[[#This Row],[Bought]]*Table25[[#This Row],[Price]]</f>
        <v>378.6</v>
      </c>
      <c r="H245">
        <f>SUMIF(Table25[[#All],[Assets]],Table25[[#This Row],[Assets]],Table25[[#All],[Bought]])</f>
        <v>20</v>
      </c>
      <c r="I245">
        <f>SUMIF(Table25[[#All],[Assets]],Table25[[#This Row],[Assets]],Table25[[#All],[Bought Amount]])</f>
        <v>1400.6</v>
      </c>
      <c r="J245" s="88">
        <f>IF(Table25[[#This Row],[Number of stocks]]&lt;0,Table25[[#This Row],[Number of stocks]],0)</f>
        <v>0</v>
      </c>
      <c r="K245" s="5">
        <f>Table25[[#This Row],[Sold]]*Table25[[#This Row],[Price]]</f>
        <v>0</v>
      </c>
      <c r="L245" s="8">
        <f>ABS(SUMIF(Table25[[#All],[Assets]],Table25[[#This Row],[Assets]],Table25[[#All],[Sold]]))</f>
        <v>20</v>
      </c>
      <c r="M245" s="5">
        <f>ABS(SUMIF(Table25[[#All],[Assets]],Table25[[#This Row],[Assets]],Table25[[#All],[Sold Amount]]))</f>
        <v>1265</v>
      </c>
      <c r="N245" s="5">
        <f>IFERROR(Table25[[#This Row],[Total sold amount]]/Table25[[#This Row],[Total Sold number of stocks]],"")</f>
        <v>63.25</v>
      </c>
      <c r="O245" s="4">
        <f>IFERROR(Table25[[#This Row],[Total Amount bought]]/Table25[[#This Row],[Total number bought]],"")</f>
        <v>70.03</v>
      </c>
      <c r="P245" s="4">
        <f>IFERROR((Table25[[#This Row],[Average sell price]]-Table25[[#This Row],[Average buy price]])*Table25[[#This Row],[Total Sold number of stocks]],0)</f>
        <v>-135.60000000000002</v>
      </c>
      <c r="Q245" s="85">
        <f>SUMIF(Table25[[#All],[Assets]],Table25[[#This Row],[Assets]],Table25[[#All],[Number of stocks]])</f>
        <v>0</v>
      </c>
    </row>
    <row r="246" spans="1:17">
      <c r="A246" t="e" vm="456">
        <v>#VALUE!</v>
      </c>
      <c r="B246" s="2">
        <v>45512</v>
      </c>
      <c r="C246" t="str" cm="1">
        <f t="array" aca="1" ref="C246" ca="1">_FV(A246,"Ticker symbol",TRUE)</f>
        <v>BIL</v>
      </c>
      <c r="D246" s="4">
        <v>91.52</v>
      </c>
      <c r="E246" s="50">
        <v>-10</v>
      </c>
      <c r="F246" s="81">
        <f>IF(Table25[[#This Row],[Number of stocks]]&gt;0,Table25[[#This Row],[Number of stocks]],0)</f>
        <v>0</v>
      </c>
      <c r="G246" s="73">
        <f>Table25[[#This Row],[Bought]]*Table25[[#This Row],[Price]]</f>
        <v>0</v>
      </c>
      <c r="H246">
        <f>SUMIF(Table25[[#All],[Assets]],Table25[[#This Row],[Assets]],Table25[[#All],[Bought]])</f>
        <v>419</v>
      </c>
      <c r="I246">
        <f>SUMIF(Table25[[#All],[Assets]],Table25[[#This Row],[Assets]],Table25[[#All],[Bought Amount]])</f>
        <v>38555.520000000004</v>
      </c>
      <c r="J246" s="88">
        <f>IF(Table25[[#This Row],[Number of stocks]]&lt;0,Table25[[#This Row],[Number of stocks]],0)</f>
        <v>-10</v>
      </c>
      <c r="K246" s="5">
        <f>Table25[[#This Row],[Sold]]*Table25[[#This Row],[Price]]</f>
        <v>-915.19999999999993</v>
      </c>
      <c r="L246" s="8">
        <f>ABS(SUMIF(Table25[[#All],[Assets]],Table25[[#This Row],[Assets]],Table25[[#All],[Sold]]))</f>
        <v>419</v>
      </c>
      <c r="M246" s="5">
        <f>ABS(SUMIF(Table25[[#All],[Assets]],Table25[[#This Row],[Assets]],Table25[[#All],[Sold Amount]]))</f>
        <v>38372</v>
      </c>
      <c r="N246" s="5">
        <f>IFERROR(Table25[[#This Row],[Total sold amount]]/Table25[[#This Row],[Total Sold number of stocks]],"")</f>
        <v>91.579952267303099</v>
      </c>
      <c r="O246" s="4">
        <f>IFERROR(Table25[[#This Row],[Total Amount bought]]/Table25[[#This Row],[Total number bought]],"")</f>
        <v>92.017947494033422</v>
      </c>
      <c r="P246" s="4">
        <f>IFERROR((Table25[[#This Row],[Average sell price]]-Table25[[#This Row],[Average buy price]])*Table25[[#This Row],[Total Sold number of stocks]],0)</f>
        <v>-183.5200000000051</v>
      </c>
      <c r="Q246" s="85">
        <f>SUMIF(Table25[[#All],[Assets]],Table25[[#This Row],[Assets]],Table25[[#All],[Number of stocks]])</f>
        <v>0</v>
      </c>
    </row>
    <row r="247" spans="1:17">
      <c r="A247" t="e" vm="368">
        <v>#VALUE!</v>
      </c>
      <c r="B247" s="2">
        <v>45512</v>
      </c>
      <c r="C247" t="str" cm="1">
        <f t="array" aca="1" ref="C247" ca="1">_FV(A247,"Ticker symbol",TRUE)</f>
        <v>BKD</v>
      </c>
      <c r="D247" s="4">
        <v>7.31</v>
      </c>
      <c r="E247" s="50">
        <v>40</v>
      </c>
      <c r="F247" s="81">
        <f>IF(Table25[[#This Row],[Number of stocks]]&gt;0,Table25[[#This Row],[Number of stocks]],0)</f>
        <v>40</v>
      </c>
      <c r="G247" s="73">
        <f>Table25[[#This Row],[Bought]]*Table25[[#This Row],[Price]]</f>
        <v>292.39999999999998</v>
      </c>
      <c r="H247">
        <f>SUMIF(Table25[[#All],[Assets]],Table25[[#This Row],[Assets]],Table25[[#All],[Bought]])</f>
        <v>40</v>
      </c>
      <c r="I247">
        <f>SUMIF(Table25[[#All],[Assets]],Table25[[#This Row],[Assets]],Table25[[#All],[Bought Amount]])</f>
        <v>292.39999999999998</v>
      </c>
      <c r="J247" s="88">
        <f>IF(Table25[[#This Row],[Number of stocks]]&lt;0,Table25[[#This Row],[Number of stocks]],0)</f>
        <v>0</v>
      </c>
      <c r="K247" s="5">
        <f>Table25[[#This Row],[Sold]]*Table25[[#This Row],[Price]]</f>
        <v>0</v>
      </c>
      <c r="L247" s="8">
        <f>ABS(SUMIF(Table25[[#All],[Assets]],Table25[[#This Row],[Assets]],Table25[[#All],[Sold]]))</f>
        <v>40</v>
      </c>
      <c r="M247" s="5">
        <f>ABS(SUMIF(Table25[[#All],[Assets]],Table25[[#This Row],[Assets]],Table25[[#All],[Sold Amount]]))</f>
        <v>283.2</v>
      </c>
      <c r="N247" s="5">
        <f>IFERROR(Table25[[#This Row],[Total sold amount]]/Table25[[#This Row],[Total Sold number of stocks]],"")</f>
        <v>7.08</v>
      </c>
      <c r="O247" s="4">
        <f>IFERROR(Table25[[#This Row],[Total Amount bought]]/Table25[[#This Row],[Total number bought]],"")</f>
        <v>7.31</v>
      </c>
      <c r="P247" s="4">
        <f>IFERROR((Table25[[#This Row],[Average sell price]]-Table25[[#This Row],[Average buy price]])*Table25[[#This Row],[Total Sold number of stocks]],0)</f>
        <v>-9.1999999999999815</v>
      </c>
      <c r="Q247" s="85">
        <f>SUMIF(Table25[[#All],[Assets]],Table25[[#This Row],[Assets]],Table25[[#All],[Number of stocks]])</f>
        <v>0</v>
      </c>
    </row>
    <row r="248" spans="1:17">
      <c r="A248" t="e" vm="412">
        <v>#VALUE!</v>
      </c>
      <c r="B248" s="2">
        <v>45512</v>
      </c>
      <c r="C248" t="str" cm="1">
        <f t="array" aca="1" ref="C248" ca="1">_FV(A248,"Ticker symbol",TRUE)</f>
        <v>OHI</v>
      </c>
      <c r="D248" s="4">
        <v>37.43</v>
      </c>
      <c r="E248" s="50">
        <v>8</v>
      </c>
      <c r="F248" s="81">
        <f>IF(Table25[[#This Row],[Number of stocks]]&gt;0,Table25[[#This Row],[Number of stocks]],0)</f>
        <v>8</v>
      </c>
      <c r="G248" s="73">
        <f>Table25[[#This Row],[Bought]]*Table25[[#This Row],[Price]]</f>
        <v>299.44</v>
      </c>
      <c r="H248">
        <f>SUMIF(Table25[[#All],[Assets]],Table25[[#This Row],[Assets]],Table25[[#All],[Bought]])</f>
        <v>8</v>
      </c>
      <c r="I248">
        <f>SUMIF(Table25[[#All],[Assets]],Table25[[#This Row],[Assets]],Table25[[#All],[Bought Amount]])</f>
        <v>299.44</v>
      </c>
      <c r="J248" s="88">
        <f>IF(Table25[[#This Row],[Number of stocks]]&lt;0,Table25[[#This Row],[Number of stocks]],0)</f>
        <v>0</v>
      </c>
      <c r="K248" s="5">
        <f>Table25[[#This Row],[Sold]]*Table25[[#This Row],[Price]]</f>
        <v>0</v>
      </c>
      <c r="L248" s="8">
        <f>ABS(SUMIF(Table25[[#All],[Assets]],Table25[[#This Row],[Assets]],Table25[[#All],[Sold]]))</f>
        <v>8</v>
      </c>
      <c r="M248" s="5">
        <f>ABS(SUMIF(Table25[[#All],[Assets]],Table25[[#This Row],[Assets]],Table25[[#All],[Sold Amount]]))</f>
        <v>316.16000000000003</v>
      </c>
      <c r="N248" s="5">
        <f>IFERROR(Table25[[#This Row],[Total sold amount]]/Table25[[#This Row],[Total Sold number of stocks]],"")</f>
        <v>39.520000000000003</v>
      </c>
      <c r="O248" s="4">
        <f>IFERROR(Table25[[#This Row],[Total Amount bought]]/Table25[[#This Row],[Total number bought]],"")</f>
        <v>37.43</v>
      </c>
      <c r="P248" s="4">
        <f>IFERROR((Table25[[#This Row],[Average sell price]]-Table25[[#This Row],[Average buy price]])*Table25[[#This Row],[Total Sold number of stocks]],0)</f>
        <v>16.720000000000027</v>
      </c>
      <c r="Q248" s="85">
        <f>SUMIF(Table25[[#All],[Assets]],Table25[[#This Row],[Assets]],Table25[[#All],[Number of stocks]])</f>
        <v>0</v>
      </c>
    </row>
    <row r="249" spans="1:17">
      <c r="A249" t="e" vm="332">
        <v>#VALUE!</v>
      </c>
      <c r="B249" s="2">
        <v>45512</v>
      </c>
      <c r="C249" t="str" cm="1">
        <f t="array" aca="1" ref="C249" ca="1">_FV(A249,"Ticker symbol",TRUE)</f>
        <v>INNV</v>
      </c>
      <c r="D249" s="4">
        <v>6</v>
      </c>
      <c r="E249" s="50">
        <v>50</v>
      </c>
      <c r="F249" s="81">
        <f>IF(Table25[[#This Row],[Number of stocks]]&gt;0,Table25[[#This Row],[Number of stocks]],0)</f>
        <v>50</v>
      </c>
      <c r="G249" s="73">
        <f>Table25[[#This Row],[Bought]]*Table25[[#This Row],[Price]]</f>
        <v>300</v>
      </c>
      <c r="H249">
        <f>SUMIF(Table25[[#All],[Assets]],Table25[[#This Row],[Assets]],Table25[[#All],[Bought]])</f>
        <v>50</v>
      </c>
      <c r="I249">
        <f>SUMIF(Table25[[#All],[Assets]],Table25[[#This Row],[Assets]],Table25[[#All],[Bought Amount]])</f>
        <v>300</v>
      </c>
      <c r="J249" s="88">
        <f>IF(Table25[[#This Row],[Number of stocks]]&lt;0,Table25[[#This Row],[Number of stocks]],0)</f>
        <v>0</v>
      </c>
      <c r="K249" s="5">
        <f>Table25[[#This Row],[Sold]]*Table25[[#This Row],[Price]]</f>
        <v>0</v>
      </c>
      <c r="L249" s="8">
        <f>ABS(SUMIF(Table25[[#All],[Assets]],Table25[[#This Row],[Assets]],Table25[[#All],[Sold]]))</f>
        <v>50</v>
      </c>
      <c r="M249" s="5">
        <f>ABS(SUMIF(Table25[[#All],[Assets]],Table25[[#This Row],[Assets]],Table25[[#All],[Sold Amount]]))</f>
        <v>319</v>
      </c>
      <c r="N249" s="5">
        <f>IFERROR(Table25[[#This Row],[Total sold amount]]/Table25[[#This Row],[Total Sold number of stocks]],"")</f>
        <v>6.38</v>
      </c>
      <c r="O249" s="4">
        <f>IFERROR(Table25[[#This Row],[Total Amount bought]]/Table25[[#This Row],[Total number bought]],"")</f>
        <v>6</v>
      </c>
      <c r="P249" s="4">
        <f>IFERROR((Table25[[#This Row],[Average sell price]]-Table25[[#This Row],[Average buy price]])*Table25[[#This Row],[Total Sold number of stocks]],0)</f>
        <v>18.999999999999993</v>
      </c>
      <c r="Q249" s="85">
        <f>SUMIF(Table25[[#All],[Assets]],Table25[[#This Row],[Assets]],Table25[[#All],[Number of stocks]])</f>
        <v>0</v>
      </c>
    </row>
    <row r="250" spans="1:17">
      <c r="A250" t="e" vm="456">
        <v>#VALUE!</v>
      </c>
      <c r="B250" s="2">
        <v>45512</v>
      </c>
      <c r="C250" t="str" cm="1">
        <f t="array" aca="1" ref="C250" ca="1">_FV(A250,"Ticker symbol",TRUE)</f>
        <v>BIL</v>
      </c>
      <c r="D250" s="4">
        <v>91.52</v>
      </c>
      <c r="E250" s="50">
        <v>-6</v>
      </c>
      <c r="F250" s="81">
        <f>IF(Table25[[#This Row],[Number of stocks]]&gt;0,Table25[[#This Row],[Number of stocks]],0)</f>
        <v>0</v>
      </c>
      <c r="G250" s="73">
        <f>Table25[[#This Row],[Bought]]*Table25[[#This Row],[Price]]</f>
        <v>0</v>
      </c>
      <c r="H250">
        <f>SUMIF(Table25[[#All],[Assets]],Table25[[#This Row],[Assets]],Table25[[#All],[Bought]])</f>
        <v>419</v>
      </c>
      <c r="I250">
        <f>SUMIF(Table25[[#All],[Assets]],Table25[[#This Row],[Assets]],Table25[[#All],[Bought Amount]])</f>
        <v>38555.520000000004</v>
      </c>
      <c r="J250" s="88">
        <f>IF(Table25[[#This Row],[Number of stocks]]&lt;0,Table25[[#This Row],[Number of stocks]],0)</f>
        <v>-6</v>
      </c>
      <c r="K250" s="5">
        <f>Table25[[#This Row],[Sold]]*Table25[[#This Row],[Price]]</f>
        <v>-549.12</v>
      </c>
      <c r="L250" s="8">
        <f>ABS(SUMIF(Table25[[#All],[Assets]],Table25[[#This Row],[Assets]],Table25[[#All],[Sold]]))</f>
        <v>419</v>
      </c>
      <c r="M250" s="5">
        <f>ABS(SUMIF(Table25[[#All],[Assets]],Table25[[#This Row],[Assets]],Table25[[#All],[Sold Amount]]))</f>
        <v>38372</v>
      </c>
      <c r="N250" s="5">
        <f>IFERROR(Table25[[#This Row],[Total sold amount]]/Table25[[#This Row],[Total Sold number of stocks]],"")</f>
        <v>91.579952267303099</v>
      </c>
      <c r="O250" s="4">
        <f>IFERROR(Table25[[#This Row],[Total Amount bought]]/Table25[[#This Row],[Total number bought]],"")</f>
        <v>92.017947494033422</v>
      </c>
      <c r="P250" s="4">
        <f>IFERROR((Table25[[#This Row],[Average sell price]]-Table25[[#This Row],[Average buy price]])*Table25[[#This Row],[Total Sold number of stocks]],0)</f>
        <v>-183.5200000000051</v>
      </c>
      <c r="Q250" s="85">
        <f>SUMIF(Table25[[#All],[Assets]],Table25[[#This Row],[Assets]],Table25[[#All],[Number of stocks]])</f>
        <v>0</v>
      </c>
    </row>
    <row r="251" spans="1:17">
      <c r="A251" t="e" vm="520">
        <v>#VALUE!</v>
      </c>
      <c r="B251" s="2">
        <v>45512</v>
      </c>
      <c r="C251" t="str" cm="1">
        <f t="array" aca="1" ref="C251" ca="1">_FV(A251,"Ticker symbol",TRUE)</f>
        <v>ACLS</v>
      </c>
      <c r="D251" s="4">
        <v>112.92</v>
      </c>
      <c r="E251" s="50">
        <v>4</v>
      </c>
      <c r="F251" s="81">
        <f>IF(Table25[[#This Row],[Number of stocks]]&gt;0,Table25[[#This Row],[Number of stocks]],0)</f>
        <v>4</v>
      </c>
      <c r="G251" s="73">
        <f>Table25[[#This Row],[Bought]]*Table25[[#This Row],[Price]]</f>
        <v>451.68</v>
      </c>
      <c r="H251">
        <f>SUMIF(Table25[[#All],[Assets]],Table25[[#This Row],[Assets]],Table25[[#All],[Bought]])</f>
        <v>7</v>
      </c>
      <c r="I251">
        <f>SUMIF(Table25[[#All],[Assets]],Table25[[#This Row],[Assets]],Table25[[#All],[Bought Amount]])</f>
        <v>898.38000000000011</v>
      </c>
      <c r="J251" s="88">
        <f>IF(Table25[[#This Row],[Number of stocks]]&lt;0,Table25[[#This Row],[Number of stocks]],0)</f>
        <v>0</v>
      </c>
      <c r="K251" s="5">
        <f>Table25[[#This Row],[Sold]]*Table25[[#This Row],[Price]]</f>
        <v>0</v>
      </c>
      <c r="L251" s="8">
        <f>ABS(SUMIF(Table25[[#All],[Assets]],Table25[[#This Row],[Assets]],Table25[[#All],[Sold]]))</f>
        <v>7</v>
      </c>
      <c r="M251" s="5">
        <f>ABS(SUMIF(Table25[[#All],[Assets]],Table25[[#This Row],[Assets]],Table25[[#All],[Sold Amount]]))</f>
        <v>423.28999999999996</v>
      </c>
      <c r="N251" s="5">
        <f>IFERROR(Table25[[#This Row],[Total sold amount]]/Table25[[#This Row],[Total Sold number of stocks]],"")</f>
        <v>60.469999999999992</v>
      </c>
      <c r="O251" s="4">
        <f>IFERROR(Table25[[#This Row],[Total Amount bought]]/Table25[[#This Row],[Total number bought]],"")</f>
        <v>128.34</v>
      </c>
      <c r="P251" s="4">
        <f>IFERROR((Table25[[#This Row],[Average sell price]]-Table25[[#This Row],[Average buy price]])*Table25[[#This Row],[Total Sold number of stocks]],0)</f>
        <v>-475.09000000000003</v>
      </c>
      <c r="Q251" s="85">
        <f>SUMIF(Table25[[#All],[Assets]],Table25[[#This Row],[Assets]],Table25[[#All],[Number of stocks]])</f>
        <v>0</v>
      </c>
    </row>
    <row r="252" spans="1:17">
      <c r="A252" t="e" vm="465">
        <v>#VALUE!</v>
      </c>
      <c r="B252" s="2">
        <v>45512</v>
      </c>
      <c r="C252" t="str" cm="1">
        <f t="array" aca="1" ref="C252" ca="1">_FV(A252,"Ticker symbol",TRUE)</f>
        <v>APP</v>
      </c>
      <c r="D252" s="4">
        <v>76.19</v>
      </c>
      <c r="E252" s="50">
        <v>1</v>
      </c>
      <c r="F252" s="81">
        <f>IF(Table25[[#This Row],[Number of stocks]]&gt;0,Table25[[#This Row],[Number of stocks]],0)</f>
        <v>1</v>
      </c>
      <c r="G252" s="73">
        <f>Table25[[#This Row],[Bought]]*Table25[[#This Row],[Price]]</f>
        <v>76.19</v>
      </c>
      <c r="H252">
        <f>SUMIF(Table25[[#All],[Assets]],Table25[[#This Row],[Assets]],Table25[[#All],[Bought]])</f>
        <v>1</v>
      </c>
      <c r="I252">
        <f>SUMIF(Table25[[#All],[Assets]],Table25[[#This Row],[Assets]],Table25[[#All],[Bought Amount]])</f>
        <v>76.19</v>
      </c>
      <c r="J252" s="88">
        <f>IF(Table25[[#This Row],[Number of stocks]]&lt;0,Table25[[#This Row],[Number of stocks]],0)</f>
        <v>0</v>
      </c>
      <c r="K252" s="5">
        <f>Table25[[#This Row],[Sold]]*Table25[[#This Row],[Price]]</f>
        <v>0</v>
      </c>
      <c r="L252" s="8">
        <f>ABS(SUMIF(Table25[[#All],[Assets]],Table25[[#This Row],[Assets]],Table25[[#All],[Sold]]))</f>
        <v>1</v>
      </c>
      <c r="M252" s="5">
        <f>ABS(SUMIF(Table25[[#All],[Assets]],Table25[[#This Row],[Assets]],Table25[[#All],[Sold Amount]]))</f>
        <v>329.69</v>
      </c>
      <c r="N252" s="5">
        <f>IFERROR(Table25[[#This Row],[Total sold amount]]/Table25[[#This Row],[Total Sold number of stocks]],"")</f>
        <v>329.69</v>
      </c>
      <c r="O252" s="4">
        <f>IFERROR(Table25[[#This Row],[Total Amount bought]]/Table25[[#This Row],[Total number bought]],"")</f>
        <v>76.19</v>
      </c>
      <c r="P252" s="4">
        <f>IFERROR((Table25[[#This Row],[Average sell price]]-Table25[[#This Row],[Average buy price]])*Table25[[#This Row],[Total Sold number of stocks]],0)</f>
        <v>253.5</v>
      </c>
      <c r="Q252" s="85">
        <f>SUMIF(Table25[[#All],[Assets]],Table25[[#This Row],[Assets]],Table25[[#All],[Number of stocks]])</f>
        <v>0</v>
      </c>
    </row>
    <row r="253" spans="1:17">
      <c r="A253" t="e" vm="159">
        <v>#VALUE!</v>
      </c>
      <c r="B253" s="2">
        <v>45513</v>
      </c>
      <c r="C253" t="str" cm="1">
        <f t="array" aca="1" ref="C253" ca="1">_FV(A253,"Ticker symbol",TRUE)</f>
        <v>BABA</v>
      </c>
      <c r="D253" s="4">
        <v>79.650000000000006</v>
      </c>
      <c r="E253" s="50">
        <v>9</v>
      </c>
      <c r="F253" s="81">
        <f>IF(Table25[[#This Row],[Number of stocks]]&gt;0,Table25[[#This Row],[Number of stocks]],0)</f>
        <v>9</v>
      </c>
      <c r="G253" s="73">
        <f>Table25[[#This Row],[Bought]]*Table25[[#This Row],[Price]]</f>
        <v>716.85</v>
      </c>
      <c r="H253">
        <f>SUMIF(Table25[[#All],[Assets]],Table25[[#This Row],[Assets]],Table25[[#All],[Bought]])</f>
        <v>128</v>
      </c>
      <c r="I253">
        <f>SUMIF(Table25[[#All],[Assets]],Table25[[#This Row],[Assets]],Table25[[#All],[Bought Amount]])</f>
        <v>12533.52</v>
      </c>
      <c r="J253" s="88">
        <f>IF(Table25[[#This Row],[Number of stocks]]&lt;0,Table25[[#This Row],[Number of stocks]],0)</f>
        <v>0</v>
      </c>
      <c r="K253" s="5">
        <f>Table25[[#This Row],[Sold]]*Table25[[#This Row],[Price]]</f>
        <v>0</v>
      </c>
      <c r="L253" s="8">
        <f>ABS(SUMIF(Table25[[#All],[Assets]],Table25[[#This Row],[Assets]],Table25[[#All],[Sold]]))</f>
        <v>128</v>
      </c>
      <c r="M253" s="5">
        <f>ABS(SUMIF(Table25[[#All],[Assets]],Table25[[#This Row],[Assets]],Table25[[#All],[Sold Amount]]))</f>
        <v>17148.419999999998</v>
      </c>
      <c r="N253" s="5">
        <f>IFERROR(Table25[[#This Row],[Total sold amount]]/Table25[[#This Row],[Total Sold number of stocks]],"")</f>
        <v>133.97203124999999</v>
      </c>
      <c r="O253" s="4">
        <f>IFERROR(Table25[[#This Row],[Total Amount bought]]/Table25[[#This Row],[Total number bought]],"")</f>
        <v>97.918125000000003</v>
      </c>
      <c r="P253" s="4">
        <f>IFERROR((Table25[[#This Row],[Average sell price]]-Table25[[#This Row],[Average buy price]])*Table25[[#This Row],[Total Sold number of stocks]],0)</f>
        <v>4614.8999999999978</v>
      </c>
      <c r="Q253" s="85">
        <f>SUMIF(Table25[[#All],[Assets]],Table25[[#This Row],[Assets]],Table25[[#All],[Number of stocks]])</f>
        <v>0</v>
      </c>
    </row>
    <row r="254" spans="1:17">
      <c r="A254" t="e" vm="13">
        <v>#VALUE!</v>
      </c>
      <c r="B254" s="2">
        <v>45513</v>
      </c>
      <c r="C254" t="str" cm="1">
        <f t="array" aca="1" ref="C254" ca="1">_FV(A254,"Ticker symbol",TRUE)</f>
        <v>ON</v>
      </c>
      <c r="D254" s="4">
        <v>70.290000000000006</v>
      </c>
      <c r="E254" s="50">
        <v>1</v>
      </c>
      <c r="F254" s="81">
        <f>IF(Table25[[#This Row],[Number of stocks]]&gt;0,Table25[[#This Row],[Number of stocks]],0)</f>
        <v>1</v>
      </c>
      <c r="G254" s="73">
        <f>Table25[[#This Row],[Bought]]*Table25[[#This Row],[Price]]</f>
        <v>70.290000000000006</v>
      </c>
      <c r="H254">
        <f>SUMIF(Table25[[#All],[Assets]],Table25[[#This Row],[Assets]],Table25[[#All],[Bought]])</f>
        <v>326</v>
      </c>
      <c r="I254">
        <f>SUMIF(Table25[[#All],[Assets]],Table25[[#This Row],[Assets]],Table25[[#All],[Bought Amount]])</f>
        <v>19172.809999999998</v>
      </c>
      <c r="J254" s="88">
        <f>IF(Table25[[#This Row],[Number of stocks]]&lt;0,Table25[[#This Row],[Number of stocks]],0)</f>
        <v>0</v>
      </c>
      <c r="K254" s="5">
        <f>Table25[[#This Row],[Sold]]*Table25[[#This Row],[Price]]</f>
        <v>0</v>
      </c>
      <c r="L254" s="8">
        <f>ABS(SUMIF(Table25[[#All],[Assets]],Table25[[#This Row],[Assets]],Table25[[#All],[Sold]]))</f>
        <v>283</v>
      </c>
      <c r="M254" s="5">
        <f>ABS(SUMIF(Table25[[#All],[Assets]],Table25[[#This Row],[Assets]],Table25[[#All],[Sold Amount]]))</f>
        <v>15700.74</v>
      </c>
      <c r="N254" s="5">
        <f>IFERROR(Table25[[#This Row],[Total sold amount]]/Table25[[#This Row],[Total Sold number of stocks]],"")</f>
        <v>55.47964664310954</v>
      </c>
      <c r="O254" s="4">
        <f>IFERROR(Table25[[#This Row],[Total Amount bought]]/Table25[[#This Row],[Total number bought]],"")</f>
        <v>58.812300613496923</v>
      </c>
      <c r="P254" s="4">
        <f>IFERROR((Table25[[#This Row],[Average sell price]]-Table25[[#This Row],[Average buy price]])*Table25[[#This Row],[Total Sold number of stocks]],0)</f>
        <v>-943.14107361962954</v>
      </c>
      <c r="Q254" s="85">
        <f>SUMIF(Table25[[#All],[Assets]],Table25[[#This Row],[Assets]],Table25[[#All],[Number of stocks]])</f>
        <v>43</v>
      </c>
    </row>
    <row r="255" spans="1:17">
      <c r="A255" t="e" vm="456">
        <v>#VALUE!</v>
      </c>
      <c r="B255" s="2">
        <v>45513</v>
      </c>
      <c r="C255" t="str" cm="1">
        <f t="array" aca="1" ref="C255" ca="1">_FV(A255,"Ticker symbol",TRUE)</f>
        <v>BIL</v>
      </c>
      <c r="D255" s="4">
        <v>91.54</v>
      </c>
      <c r="E255" s="50">
        <v>-10</v>
      </c>
      <c r="F255" s="81">
        <f>IF(Table25[[#This Row],[Number of stocks]]&gt;0,Table25[[#This Row],[Number of stocks]],0)</f>
        <v>0</v>
      </c>
      <c r="G255" s="73">
        <f>Table25[[#This Row],[Bought]]*Table25[[#This Row],[Price]]</f>
        <v>0</v>
      </c>
      <c r="H255">
        <f>SUMIF(Table25[[#All],[Assets]],Table25[[#This Row],[Assets]],Table25[[#All],[Bought]])</f>
        <v>419</v>
      </c>
      <c r="I255">
        <f>SUMIF(Table25[[#All],[Assets]],Table25[[#This Row],[Assets]],Table25[[#All],[Bought Amount]])</f>
        <v>38555.520000000004</v>
      </c>
      <c r="J255" s="88">
        <f>IF(Table25[[#This Row],[Number of stocks]]&lt;0,Table25[[#This Row],[Number of stocks]],0)</f>
        <v>-10</v>
      </c>
      <c r="K255" s="5">
        <f>Table25[[#This Row],[Sold]]*Table25[[#This Row],[Price]]</f>
        <v>-915.40000000000009</v>
      </c>
      <c r="L255" s="8">
        <f>ABS(SUMIF(Table25[[#All],[Assets]],Table25[[#This Row],[Assets]],Table25[[#All],[Sold]]))</f>
        <v>419</v>
      </c>
      <c r="M255" s="5">
        <f>ABS(SUMIF(Table25[[#All],[Assets]],Table25[[#This Row],[Assets]],Table25[[#All],[Sold Amount]]))</f>
        <v>38372</v>
      </c>
      <c r="N255" s="5">
        <f>IFERROR(Table25[[#This Row],[Total sold amount]]/Table25[[#This Row],[Total Sold number of stocks]],"")</f>
        <v>91.579952267303099</v>
      </c>
      <c r="O255" s="4">
        <f>IFERROR(Table25[[#This Row],[Total Amount bought]]/Table25[[#This Row],[Total number bought]],"")</f>
        <v>92.017947494033422</v>
      </c>
      <c r="P255" s="4">
        <f>IFERROR((Table25[[#This Row],[Average sell price]]-Table25[[#This Row],[Average buy price]])*Table25[[#This Row],[Total Sold number of stocks]],0)</f>
        <v>-183.5200000000051</v>
      </c>
      <c r="Q255" s="85">
        <f>SUMIF(Table25[[#All],[Assets]],Table25[[#This Row],[Assets]],Table25[[#All],[Number of stocks]])</f>
        <v>0</v>
      </c>
    </row>
    <row r="256" spans="1:17">
      <c r="A256" t="e" vm="13">
        <v>#VALUE!</v>
      </c>
      <c r="B256" s="2">
        <v>45513</v>
      </c>
      <c r="C256" t="str" cm="1">
        <f t="array" aca="1" ref="C256" ca="1">_FV(A256,"Ticker symbol",TRUE)</f>
        <v>ON</v>
      </c>
      <c r="D256" s="4">
        <v>70.56</v>
      </c>
      <c r="E256" s="50">
        <v>8</v>
      </c>
      <c r="F256" s="81">
        <f>IF(Table25[[#This Row],[Number of stocks]]&gt;0,Table25[[#This Row],[Number of stocks]],0)</f>
        <v>8</v>
      </c>
      <c r="G256" s="73">
        <f>Table25[[#This Row],[Bought]]*Table25[[#This Row],[Price]]</f>
        <v>564.48</v>
      </c>
      <c r="H256">
        <f>SUMIF(Table25[[#All],[Assets]],Table25[[#This Row],[Assets]],Table25[[#All],[Bought]])</f>
        <v>326</v>
      </c>
      <c r="I256">
        <f>SUMIF(Table25[[#All],[Assets]],Table25[[#This Row],[Assets]],Table25[[#All],[Bought Amount]])</f>
        <v>19172.809999999998</v>
      </c>
      <c r="J256" s="88">
        <f>IF(Table25[[#This Row],[Number of stocks]]&lt;0,Table25[[#This Row],[Number of stocks]],0)</f>
        <v>0</v>
      </c>
      <c r="K256" s="5">
        <f>Table25[[#This Row],[Sold]]*Table25[[#This Row],[Price]]</f>
        <v>0</v>
      </c>
      <c r="L256" s="8">
        <f>ABS(SUMIF(Table25[[#All],[Assets]],Table25[[#This Row],[Assets]],Table25[[#All],[Sold]]))</f>
        <v>283</v>
      </c>
      <c r="M256" s="5">
        <f>ABS(SUMIF(Table25[[#All],[Assets]],Table25[[#This Row],[Assets]],Table25[[#All],[Sold Amount]]))</f>
        <v>15700.74</v>
      </c>
      <c r="N256" s="5">
        <f>IFERROR(Table25[[#This Row],[Total sold amount]]/Table25[[#This Row],[Total Sold number of stocks]],"")</f>
        <v>55.47964664310954</v>
      </c>
      <c r="O256" s="4">
        <f>IFERROR(Table25[[#This Row],[Total Amount bought]]/Table25[[#This Row],[Total number bought]],"")</f>
        <v>58.812300613496923</v>
      </c>
      <c r="P256" s="4">
        <f>IFERROR((Table25[[#This Row],[Average sell price]]-Table25[[#This Row],[Average buy price]])*Table25[[#This Row],[Total Sold number of stocks]],0)</f>
        <v>-943.14107361962954</v>
      </c>
      <c r="Q256" s="85">
        <f>SUMIF(Table25[[#All],[Assets]],Table25[[#This Row],[Assets]],Table25[[#All],[Number of stocks]])</f>
        <v>43</v>
      </c>
    </row>
    <row r="257" spans="1:17">
      <c r="A257" t="e" vm="159">
        <v>#VALUE!</v>
      </c>
      <c r="B257" s="2">
        <v>45513</v>
      </c>
      <c r="C257" t="str" cm="1">
        <f t="array" aca="1" ref="C257" ca="1">_FV(A257,"Ticker symbol",TRUE)</f>
        <v>BABA</v>
      </c>
      <c r="D257" s="4">
        <v>79.87</v>
      </c>
      <c r="E257" s="50">
        <v>1</v>
      </c>
      <c r="F257" s="81">
        <f>IF(Table25[[#This Row],[Number of stocks]]&gt;0,Table25[[#This Row],[Number of stocks]],0)</f>
        <v>1</v>
      </c>
      <c r="G257" s="73">
        <f>Table25[[#This Row],[Bought]]*Table25[[#This Row],[Price]]</f>
        <v>79.87</v>
      </c>
      <c r="H257">
        <f>SUMIF(Table25[[#All],[Assets]],Table25[[#This Row],[Assets]],Table25[[#All],[Bought]])</f>
        <v>128</v>
      </c>
      <c r="I257">
        <f>SUMIF(Table25[[#All],[Assets]],Table25[[#This Row],[Assets]],Table25[[#All],[Bought Amount]])</f>
        <v>12533.52</v>
      </c>
      <c r="J257" s="88">
        <f>IF(Table25[[#This Row],[Number of stocks]]&lt;0,Table25[[#This Row],[Number of stocks]],0)</f>
        <v>0</v>
      </c>
      <c r="K257" s="5">
        <f>Table25[[#This Row],[Sold]]*Table25[[#This Row],[Price]]</f>
        <v>0</v>
      </c>
      <c r="L257" s="8">
        <f>ABS(SUMIF(Table25[[#All],[Assets]],Table25[[#This Row],[Assets]],Table25[[#All],[Sold]]))</f>
        <v>128</v>
      </c>
      <c r="M257" s="5">
        <f>ABS(SUMIF(Table25[[#All],[Assets]],Table25[[#This Row],[Assets]],Table25[[#All],[Sold Amount]]))</f>
        <v>17148.419999999998</v>
      </c>
      <c r="N257" s="5">
        <f>IFERROR(Table25[[#This Row],[Total sold amount]]/Table25[[#This Row],[Total Sold number of stocks]],"")</f>
        <v>133.97203124999999</v>
      </c>
      <c r="O257" s="4">
        <f>IFERROR(Table25[[#This Row],[Total Amount bought]]/Table25[[#This Row],[Total number bought]],"")</f>
        <v>97.918125000000003</v>
      </c>
      <c r="P257" s="4">
        <f>IFERROR((Table25[[#This Row],[Average sell price]]-Table25[[#This Row],[Average buy price]])*Table25[[#This Row],[Total Sold number of stocks]],0)</f>
        <v>4614.8999999999978</v>
      </c>
      <c r="Q257" s="85">
        <f>SUMIF(Table25[[#All],[Assets]],Table25[[#This Row],[Assets]],Table25[[#All],[Number of stocks]])</f>
        <v>0</v>
      </c>
    </row>
    <row r="258" spans="1:17">
      <c r="A258" t="e" vm="21">
        <v>#VALUE!</v>
      </c>
      <c r="B258" s="2">
        <v>45513</v>
      </c>
      <c r="C258" t="str" cm="1">
        <f t="array" aca="1" ref="C258" ca="1">_FV(A258,"Ticker symbol",TRUE)</f>
        <v>INTC</v>
      </c>
      <c r="D258" s="4">
        <v>19.71</v>
      </c>
      <c r="E258" s="50">
        <v>-50.74</v>
      </c>
      <c r="F258" s="81">
        <f>IF(Table25[[#This Row],[Number of stocks]]&gt;0,Table25[[#This Row],[Number of stocks]],0)</f>
        <v>0</v>
      </c>
      <c r="G258" s="73">
        <f>Table25[[#This Row],[Bought]]*Table25[[#This Row],[Price]]</f>
        <v>0</v>
      </c>
      <c r="H258">
        <f>SUMIF(Table25[[#All],[Assets]],Table25[[#This Row],[Assets]],Table25[[#All],[Bought]])</f>
        <v>334.73663899999997</v>
      </c>
      <c r="I258">
        <f>SUMIF(Table25[[#All],[Assets]],Table25[[#This Row],[Assets]],Table25[[#All],[Bought Amount]])</f>
        <v>9755.9173948600001</v>
      </c>
      <c r="J258" s="88">
        <f>IF(Table25[[#This Row],[Number of stocks]]&lt;0,Table25[[#This Row],[Number of stocks]],0)</f>
        <v>-50.74</v>
      </c>
      <c r="K258" s="5">
        <f>Table25[[#This Row],[Sold]]*Table25[[#This Row],[Price]]</f>
        <v>-1000.0854</v>
      </c>
      <c r="L258" s="8">
        <f>ABS(SUMIF(Table25[[#All],[Assets]],Table25[[#This Row],[Assets]],Table25[[#All],[Sold]]))</f>
        <v>334.74</v>
      </c>
      <c r="M258" s="5">
        <f>ABS(SUMIF(Table25[[#All],[Assets]],Table25[[#This Row],[Assets]],Table25[[#All],[Sold Amount]]))</f>
        <v>7909.2053999999998</v>
      </c>
      <c r="N258" s="5">
        <f>IFERROR(Table25[[#This Row],[Total sold amount]]/Table25[[#This Row],[Total Sold number of stocks]],"")</f>
        <v>23.627906434844952</v>
      </c>
      <c r="O258" s="4">
        <f>IFERROR(Table25[[#This Row],[Total Amount bought]]/Table25[[#This Row],[Total number bought]],"")</f>
        <v>29.145053926588542</v>
      </c>
      <c r="P258" s="4">
        <f>IFERROR((Table25[[#This Row],[Average sell price]]-Table25[[#This Row],[Average buy price]])*Table25[[#This Row],[Total Sold number of stocks]],0)</f>
        <v>-1846.8099513862492</v>
      </c>
      <c r="Q258" s="85">
        <f>SUMIF(Table25[[#All],[Assets]],Table25[[#This Row],[Assets]],Table25[[#All],[Number of stocks]])</f>
        <v>-3.3610000000123819E-3</v>
      </c>
    </row>
    <row r="259" spans="1:17">
      <c r="A259" t="e" vm="85">
        <v>#VALUE!</v>
      </c>
      <c r="B259" s="2">
        <v>45513</v>
      </c>
      <c r="C259" t="str" cm="1">
        <f t="array" aca="1" ref="C259" ca="1">_FV(A259,"Ticker symbol",TRUE)</f>
        <v>HOOD</v>
      </c>
      <c r="D259" s="4">
        <v>18.8</v>
      </c>
      <c r="E259" s="50">
        <v>24</v>
      </c>
      <c r="F259" s="81">
        <f>IF(Table25[[#This Row],[Number of stocks]]&gt;0,Table25[[#This Row],[Number of stocks]],0)</f>
        <v>24</v>
      </c>
      <c r="G259" s="73">
        <f>Table25[[#This Row],[Bought]]*Table25[[#This Row],[Price]]</f>
        <v>451.20000000000005</v>
      </c>
      <c r="H259">
        <f>SUMIF(Table25[[#All],[Assets]],Table25[[#This Row],[Assets]],Table25[[#All],[Bought]])</f>
        <v>105</v>
      </c>
      <c r="I259">
        <f>SUMIF(Table25[[#All],[Assets]],Table25[[#This Row],[Assets]],Table25[[#All],[Bought Amount]])</f>
        <v>4056.0900000000006</v>
      </c>
      <c r="J259" s="88">
        <f>IF(Table25[[#This Row],[Number of stocks]]&lt;0,Table25[[#This Row],[Number of stocks]],0)</f>
        <v>0</v>
      </c>
      <c r="K259" s="5">
        <f>Table25[[#This Row],[Sold]]*Table25[[#This Row],[Price]]</f>
        <v>0</v>
      </c>
      <c r="L259" s="8">
        <f>ABS(SUMIF(Table25[[#All],[Assets]],Table25[[#This Row],[Assets]],Table25[[#All],[Sold]]))</f>
        <v>80</v>
      </c>
      <c r="M259" s="5">
        <f>ABS(SUMIF(Table25[[#All],[Assets]],Table25[[#This Row],[Assets]],Table25[[#All],[Sold Amount]]))</f>
        <v>2255.4300000000003</v>
      </c>
      <c r="N259" s="5">
        <f>IFERROR(Table25[[#This Row],[Total sold amount]]/Table25[[#This Row],[Total Sold number of stocks]],"")</f>
        <v>28.192875000000004</v>
      </c>
      <c r="O259" s="4">
        <f>IFERROR(Table25[[#This Row],[Total Amount bought]]/Table25[[#This Row],[Total number bought]],"")</f>
        <v>38.629428571428576</v>
      </c>
      <c r="P259" s="4">
        <f>IFERROR((Table25[[#This Row],[Average sell price]]-Table25[[#This Row],[Average buy price]])*Table25[[#This Row],[Total Sold number of stocks]],0)</f>
        <v>-834.92428571428582</v>
      </c>
      <c r="Q259" s="85">
        <f>SUMIF(Table25[[#All],[Assets]],Table25[[#This Row],[Assets]],Table25[[#All],[Number of stocks]])</f>
        <v>25</v>
      </c>
    </row>
    <row r="260" spans="1:17">
      <c r="A260" t="e" vm="32">
        <v>#VALUE!</v>
      </c>
      <c r="B260" s="2">
        <v>45516</v>
      </c>
      <c r="C260" t="str" cm="1">
        <f t="array" aca="1" ref="C260" ca="1">_FV(A260,"Ticker symbol",TRUE)</f>
        <v>MU</v>
      </c>
      <c r="D260" s="4">
        <v>92.91</v>
      </c>
      <c r="E260" s="50">
        <v>-6</v>
      </c>
      <c r="F260" s="81">
        <f>IF(Table25[[#This Row],[Number of stocks]]&gt;0,Table25[[#This Row],[Number of stocks]],0)</f>
        <v>0</v>
      </c>
      <c r="G260" s="73">
        <f>Table25[[#This Row],[Bought]]*Table25[[#This Row],[Price]]</f>
        <v>0</v>
      </c>
      <c r="H260">
        <f>SUMIF(Table25[[#All],[Assets]],Table25[[#This Row],[Assets]],Table25[[#All],[Bought]])</f>
        <v>59</v>
      </c>
      <c r="I260">
        <f>SUMIF(Table25[[#All],[Assets]],Table25[[#This Row],[Assets]],Table25[[#All],[Bought Amount]])</f>
        <v>6964.04</v>
      </c>
      <c r="J260" s="88">
        <f>IF(Table25[[#This Row],[Number of stocks]]&lt;0,Table25[[#This Row],[Number of stocks]],0)</f>
        <v>-6</v>
      </c>
      <c r="K260" s="5">
        <f>Table25[[#This Row],[Sold]]*Table25[[#This Row],[Price]]</f>
        <v>-557.46</v>
      </c>
      <c r="L260" s="8">
        <f>ABS(SUMIF(Table25[[#All],[Assets]],Table25[[#This Row],[Assets]],Table25[[#All],[Sold]]))</f>
        <v>58</v>
      </c>
      <c r="M260" s="5">
        <f>ABS(SUMIF(Table25[[#All],[Assets]],Table25[[#This Row],[Assets]],Table25[[#All],[Sold Amount]]))</f>
        <v>6974.51</v>
      </c>
      <c r="N260" s="5">
        <f>IFERROR(Table25[[#This Row],[Total sold amount]]/Table25[[#This Row],[Total Sold number of stocks]],"")</f>
        <v>120.25017241379311</v>
      </c>
      <c r="O260" s="4">
        <f>IFERROR(Table25[[#This Row],[Total Amount bought]]/Table25[[#This Row],[Total number bought]],"")</f>
        <v>118.03457627118644</v>
      </c>
      <c r="P260" s="4">
        <f>IFERROR((Table25[[#This Row],[Average sell price]]-Table25[[#This Row],[Average buy price]])*Table25[[#This Row],[Total Sold number of stocks]],0)</f>
        <v>128.50457627118692</v>
      </c>
      <c r="Q260" s="85">
        <f>SUMIF(Table25[[#All],[Assets]],Table25[[#This Row],[Assets]],Table25[[#All],[Number of stocks]])</f>
        <v>1</v>
      </c>
    </row>
    <row r="261" spans="1:17">
      <c r="A261" t="e" vm="34">
        <v>#VALUE!</v>
      </c>
      <c r="B261" s="2">
        <v>45516</v>
      </c>
      <c r="C261" t="str" cm="1">
        <f t="array" aca="1" ref="C261" ca="1">_FV(A261,"Ticker symbol",TRUE)</f>
        <v>TSM</v>
      </c>
      <c r="D261" s="4">
        <v>165.81</v>
      </c>
      <c r="E261" s="50">
        <v>-3</v>
      </c>
      <c r="F261" s="81">
        <f>IF(Table25[[#This Row],[Number of stocks]]&gt;0,Table25[[#This Row],[Number of stocks]],0)</f>
        <v>0</v>
      </c>
      <c r="G261" s="73">
        <f>Table25[[#This Row],[Bought]]*Table25[[#This Row],[Price]]</f>
        <v>0</v>
      </c>
      <c r="H261">
        <f>SUMIF(Table25[[#All],[Assets]],Table25[[#This Row],[Assets]],Table25[[#All],[Bought]])</f>
        <v>45</v>
      </c>
      <c r="I261">
        <f>SUMIF(Table25[[#All],[Assets]],Table25[[#This Row],[Assets]],Table25[[#All],[Bought Amount]])</f>
        <v>7503.4800000000005</v>
      </c>
      <c r="J261" s="88">
        <f>IF(Table25[[#This Row],[Number of stocks]]&lt;0,Table25[[#This Row],[Number of stocks]],0)</f>
        <v>-3</v>
      </c>
      <c r="K261" s="5">
        <f>Table25[[#This Row],[Sold]]*Table25[[#This Row],[Price]]</f>
        <v>-497.43</v>
      </c>
      <c r="L261" s="8">
        <f>ABS(SUMIF(Table25[[#All],[Assets]],Table25[[#This Row],[Assets]],Table25[[#All],[Sold]]))</f>
        <v>44</v>
      </c>
      <c r="M261" s="5">
        <f>ABS(SUMIF(Table25[[#All],[Assets]],Table25[[#This Row],[Assets]],Table25[[#All],[Sold Amount]]))</f>
        <v>7951.28</v>
      </c>
      <c r="N261" s="5">
        <f>IFERROR(Table25[[#This Row],[Total sold amount]]/Table25[[#This Row],[Total Sold number of stocks]],"")</f>
        <v>180.7109090909091</v>
      </c>
      <c r="O261" s="4">
        <f>IFERROR(Table25[[#This Row],[Total Amount bought]]/Table25[[#This Row],[Total number bought]],"")</f>
        <v>166.744</v>
      </c>
      <c r="P261" s="4">
        <f>IFERROR((Table25[[#This Row],[Average sell price]]-Table25[[#This Row],[Average buy price]])*Table25[[#This Row],[Total Sold number of stocks]],0)</f>
        <v>614.54400000000032</v>
      </c>
      <c r="Q261" s="85">
        <f>SUMIF(Table25[[#All],[Assets]],Table25[[#This Row],[Assets]],Table25[[#All],[Number of stocks]])</f>
        <v>1</v>
      </c>
    </row>
    <row r="262" spans="1:17">
      <c r="A262" t="e" vm="34">
        <v>#VALUE!</v>
      </c>
      <c r="B262" s="2">
        <v>45516</v>
      </c>
      <c r="C262" t="str" cm="1">
        <f t="array" aca="1" ref="C262" ca="1">_FV(A262,"Ticker symbol",TRUE)</f>
        <v>TSM</v>
      </c>
      <c r="D262" s="4">
        <v>168.98</v>
      </c>
      <c r="E262" s="50">
        <v>7</v>
      </c>
      <c r="F262" s="81">
        <f>IF(Table25[[#This Row],[Number of stocks]]&gt;0,Table25[[#This Row],[Number of stocks]],0)</f>
        <v>7</v>
      </c>
      <c r="G262" s="73">
        <f>Table25[[#This Row],[Bought]]*Table25[[#This Row],[Price]]</f>
        <v>1182.8599999999999</v>
      </c>
      <c r="H262">
        <f>SUMIF(Table25[[#All],[Assets]],Table25[[#This Row],[Assets]],Table25[[#All],[Bought]])</f>
        <v>45</v>
      </c>
      <c r="I262">
        <f>SUMIF(Table25[[#All],[Assets]],Table25[[#This Row],[Assets]],Table25[[#All],[Bought Amount]])</f>
        <v>7503.4800000000005</v>
      </c>
      <c r="J262" s="88">
        <f>IF(Table25[[#This Row],[Number of stocks]]&lt;0,Table25[[#This Row],[Number of stocks]],0)</f>
        <v>0</v>
      </c>
      <c r="K262" s="5">
        <f>Table25[[#This Row],[Sold]]*Table25[[#This Row],[Price]]</f>
        <v>0</v>
      </c>
      <c r="L262" s="8">
        <f>ABS(SUMIF(Table25[[#All],[Assets]],Table25[[#This Row],[Assets]],Table25[[#All],[Sold]]))</f>
        <v>44</v>
      </c>
      <c r="M262" s="5">
        <f>ABS(SUMIF(Table25[[#All],[Assets]],Table25[[#This Row],[Assets]],Table25[[#All],[Sold Amount]]))</f>
        <v>7951.28</v>
      </c>
      <c r="N262" s="5">
        <f>IFERROR(Table25[[#This Row],[Total sold amount]]/Table25[[#This Row],[Total Sold number of stocks]],"")</f>
        <v>180.7109090909091</v>
      </c>
      <c r="O262" s="4">
        <f>IFERROR(Table25[[#This Row],[Total Amount bought]]/Table25[[#This Row],[Total number bought]],"")</f>
        <v>166.744</v>
      </c>
      <c r="P262" s="4">
        <f>IFERROR((Table25[[#This Row],[Average sell price]]-Table25[[#This Row],[Average buy price]])*Table25[[#This Row],[Total Sold number of stocks]],0)</f>
        <v>614.54400000000032</v>
      </c>
      <c r="Q262" s="85">
        <f>SUMIF(Table25[[#All],[Assets]],Table25[[#This Row],[Assets]],Table25[[#All],[Number of stocks]])</f>
        <v>1</v>
      </c>
    </row>
    <row r="263" spans="1:17">
      <c r="A263" t="e" vm="456">
        <v>#VALUE!</v>
      </c>
      <c r="B263" s="2">
        <v>45516</v>
      </c>
      <c r="C263" t="str" cm="1">
        <f t="array" aca="1" ref="C263" ca="1">_FV(A263,"Ticker symbol",TRUE)</f>
        <v>BIL</v>
      </c>
      <c r="D263" s="4">
        <v>91.56</v>
      </c>
      <c r="E263" s="50">
        <v>12</v>
      </c>
      <c r="F263" s="81">
        <f>IF(Table25[[#This Row],[Number of stocks]]&gt;0,Table25[[#This Row],[Number of stocks]],0)</f>
        <v>12</v>
      </c>
      <c r="G263" s="73">
        <f>Table25[[#This Row],[Bought]]*Table25[[#This Row],[Price]]</f>
        <v>1098.72</v>
      </c>
      <c r="H263">
        <f>SUMIF(Table25[[#All],[Assets]],Table25[[#This Row],[Assets]],Table25[[#All],[Bought]])</f>
        <v>419</v>
      </c>
      <c r="I263">
        <f>SUMIF(Table25[[#All],[Assets]],Table25[[#This Row],[Assets]],Table25[[#All],[Bought Amount]])</f>
        <v>38555.520000000004</v>
      </c>
      <c r="J263" s="88">
        <f>IF(Table25[[#This Row],[Number of stocks]]&lt;0,Table25[[#This Row],[Number of stocks]],0)</f>
        <v>0</v>
      </c>
      <c r="K263" s="5">
        <f>Table25[[#This Row],[Sold]]*Table25[[#This Row],[Price]]</f>
        <v>0</v>
      </c>
      <c r="L263" s="8">
        <f>ABS(SUMIF(Table25[[#All],[Assets]],Table25[[#This Row],[Assets]],Table25[[#All],[Sold]]))</f>
        <v>419</v>
      </c>
      <c r="M263" s="5">
        <f>ABS(SUMIF(Table25[[#All],[Assets]],Table25[[#This Row],[Assets]],Table25[[#All],[Sold Amount]]))</f>
        <v>38372</v>
      </c>
      <c r="N263" s="5">
        <f>IFERROR(Table25[[#This Row],[Total sold amount]]/Table25[[#This Row],[Total Sold number of stocks]],"")</f>
        <v>91.579952267303099</v>
      </c>
      <c r="O263" s="4">
        <f>IFERROR(Table25[[#This Row],[Total Amount bought]]/Table25[[#This Row],[Total number bought]],"")</f>
        <v>92.017947494033422</v>
      </c>
      <c r="P263" s="4">
        <f>IFERROR((Table25[[#This Row],[Average sell price]]-Table25[[#This Row],[Average buy price]])*Table25[[#This Row],[Total Sold number of stocks]],0)</f>
        <v>-183.5200000000051</v>
      </c>
      <c r="Q263" s="85">
        <f>SUMIF(Table25[[#All],[Assets]],Table25[[#This Row],[Assets]],Table25[[#All],[Number of stocks]])</f>
        <v>0</v>
      </c>
    </row>
    <row r="264" spans="1:17">
      <c r="A264" t="e" vm="268">
        <v>#VALUE!</v>
      </c>
      <c r="B264" s="2">
        <v>45518</v>
      </c>
      <c r="C264" t="str" cm="1">
        <f t="array" aca="1" ref="C264" ca="1">_FV(A264,"Ticker symbol",TRUE)</f>
        <v>KNTK</v>
      </c>
      <c r="D264" s="4">
        <v>40.83</v>
      </c>
      <c r="E264" s="50">
        <v>10</v>
      </c>
      <c r="F264" s="81">
        <f>IF(Table25[[#This Row],[Number of stocks]]&gt;0,Table25[[#This Row],[Number of stocks]],0)</f>
        <v>10</v>
      </c>
      <c r="G264" s="73">
        <f>Table25[[#This Row],[Bought]]*Table25[[#This Row],[Price]]</f>
        <v>408.29999999999995</v>
      </c>
      <c r="H264">
        <f>SUMIF(Table25[[#All],[Assets]],Table25[[#This Row],[Assets]],Table25[[#All],[Bought]])</f>
        <v>70</v>
      </c>
      <c r="I264">
        <f>SUMIF(Table25[[#All],[Assets]],Table25[[#This Row],[Assets]],Table25[[#All],[Bought Amount]])</f>
        <v>2985.8999999999996</v>
      </c>
      <c r="J264" s="88">
        <f>IF(Table25[[#This Row],[Number of stocks]]&lt;0,Table25[[#This Row],[Number of stocks]],0)</f>
        <v>0</v>
      </c>
      <c r="K264" s="5">
        <f>Table25[[#This Row],[Sold]]*Table25[[#This Row],[Price]]</f>
        <v>0</v>
      </c>
      <c r="L264" s="8">
        <f>ABS(SUMIF(Table25[[#All],[Assets]],Table25[[#This Row],[Assets]],Table25[[#All],[Sold]]))</f>
        <v>70</v>
      </c>
      <c r="M264" s="5">
        <f>ABS(SUMIF(Table25[[#All],[Assets]],Table25[[#This Row],[Assets]],Table25[[#All],[Sold Amount]]))</f>
        <v>4037</v>
      </c>
      <c r="N264" s="5">
        <f>IFERROR(Table25[[#This Row],[Total sold amount]]/Table25[[#This Row],[Total Sold number of stocks]],"")</f>
        <v>57.671428571428571</v>
      </c>
      <c r="O264" s="4">
        <f>IFERROR(Table25[[#This Row],[Total Amount bought]]/Table25[[#This Row],[Total number bought]],"")</f>
        <v>42.655714285714282</v>
      </c>
      <c r="P264" s="4">
        <f>IFERROR((Table25[[#This Row],[Average sell price]]-Table25[[#This Row],[Average buy price]])*Table25[[#This Row],[Total Sold number of stocks]],0)</f>
        <v>1051.1000000000001</v>
      </c>
      <c r="Q264" s="85">
        <f>SUMIF(Table25[[#All],[Assets]],Table25[[#This Row],[Assets]],Table25[[#All],[Number of stocks]])</f>
        <v>0</v>
      </c>
    </row>
    <row r="265" spans="1:17">
      <c r="A265" t="e" vm="183">
        <v>#VALUE!</v>
      </c>
      <c r="B265" s="2">
        <v>45518</v>
      </c>
      <c r="C265" t="str" cm="1">
        <f t="array" aca="1" ref="C265" ca="1">_FV(A265,"Ticker symbol",TRUE)</f>
        <v>ESOA</v>
      </c>
      <c r="D265" s="4">
        <v>9.07</v>
      </c>
      <c r="E265" s="50">
        <v>40</v>
      </c>
      <c r="F265" s="81">
        <f>IF(Table25[[#This Row],[Number of stocks]]&gt;0,Table25[[#This Row],[Number of stocks]],0)</f>
        <v>40</v>
      </c>
      <c r="G265" s="73">
        <f>Table25[[#This Row],[Bought]]*Table25[[#This Row],[Price]]</f>
        <v>362.8</v>
      </c>
      <c r="H265">
        <f>SUMIF(Table25[[#All],[Assets]],Table25[[#This Row],[Assets]],Table25[[#All],[Bought]])</f>
        <v>1832</v>
      </c>
      <c r="I265">
        <f>SUMIF(Table25[[#All],[Assets]],Table25[[#This Row],[Assets]],Table25[[#All],[Bought Amount]])</f>
        <v>18152.78</v>
      </c>
      <c r="J265" s="88">
        <f>IF(Table25[[#This Row],[Number of stocks]]&lt;0,Table25[[#This Row],[Number of stocks]],0)</f>
        <v>0</v>
      </c>
      <c r="K265" s="5">
        <f>Table25[[#This Row],[Sold]]*Table25[[#This Row],[Price]]</f>
        <v>0</v>
      </c>
      <c r="L265" s="8">
        <f>ABS(SUMIF(Table25[[#All],[Assets]],Table25[[#This Row],[Assets]],Table25[[#All],[Sold]]))</f>
        <v>1568</v>
      </c>
      <c r="M265" s="5">
        <f>ABS(SUMIF(Table25[[#All],[Assets]],Table25[[#This Row],[Assets]],Table25[[#All],[Sold Amount]]))</f>
        <v>14668</v>
      </c>
      <c r="N265" s="5">
        <f>IFERROR(Table25[[#This Row],[Total sold amount]]/Table25[[#This Row],[Total Sold number of stocks]],"")</f>
        <v>9.3545918367346932</v>
      </c>
      <c r="O265" s="4">
        <f>IFERROR(Table25[[#This Row],[Total Amount bought]]/Table25[[#This Row],[Total number bought]],"")</f>
        <v>9.9087227074235802</v>
      </c>
      <c r="P265" s="4">
        <f>IFERROR((Table25[[#This Row],[Average sell price]]-Table25[[#This Row],[Average buy price]])*Table25[[#This Row],[Total Sold number of stocks]],0)</f>
        <v>-868.87720524017482</v>
      </c>
      <c r="Q265" s="85">
        <f>SUMIF(Table25[[#All],[Assets]],Table25[[#This Row],[Assets]],Table25[[#All],[Number of stocks]])</f>
        <v>264</v>
      </c>
    </row>
    <row r="266" spans="1:17">
      <c r="A266" t="e" vm="225">
        <v>#VALUE!</v>
      </c>
      <c r="B266" s="2">
        <v>45518</v>
      </c>
      <c r="C266" t="str" cm="1">
        <f t="array" aca="1" ref="C266" ca="1">_FV(A266,"Ticker symbol",TRUE)</f>
        <v>ARQ</v>
      </c>
      <c r="D266" s="4">
        <v>6.08</v>
      </c>
      <c r="E266" s="50">
        <v>60</v>
      </c>
      <c r="F266" s="81">
        <f>IF(Table25[[#This Row],[Number of stocks]]&gt;0,Table25[[#This Row],[Number of stocks]],0)</f>
        <v>60</v>
      </c>
      <c r="G266" s="73">
        <f>Table25[[#This Row],[Bought]]*Table25[[#This Row],[Price]]</f>
        <v>364.8</v>
      </c>
      <c r="H266">
        <f>SUMIF(Table25[[#All],[Assets]],Table25[[#This Row],[Assets]],Table25[[#All],[Bought]])</f>
        <v>60</v>
      </c>
      <c r="I266">
        <f>SUMIF(Table25[[#All],[Assets]],Table25[[#This Row],[Assets]],Table25[[#All],[Bought Amount]])</f>
        <v>364.8</v>
      </c>
      <c r="J266" s="88">
        <f>IF(Table25[[#This Row],[Number of stocks]]&lt;0,Table25[[#This Row],[Number of stocks]],0)</f>
        <v>0</v>
      </c>
      <c r="K266" s="5">
        <f>Table25[[#This Row],[Sold]]*Table25[[#This Row],[Price]]</f>
        <v>0</v>
      </c>
      <c r="L266" s="8">
        <f>ABS(SUMIF(Table25[[#All],[Assets]],Table25[[#This Row],[Assets]],Table25[[#All],[Sold]]))</f>
        <v>50</v>
      </c>
      <c r="M266" s="5">
        <f>ABS(SUMIF(Table25[[#All],[Assets]],Table25[[#This Row],[Assets]],Table25[[#All],[Sold Amount]]))</f>
        <v>310.5</v>
      </c>
      <c r="N266" s="5">
        <f>IFERROR(Table25[[#This Row],[Total sold amount]]/Table25[[#This Row],[Total Sold number of stocks]],"")</f>
        <v>6.21</v>
      </c>
      <c r="O266" s="4">
        <f>IFERROR(Table25[[#This Row],[Total Amount bought]]/Table25[[#This Row],[Total number bought]],"")</f>
        <v>6.08</v>
      </c>
      <c r="P266" s="4">
        <f>IFERROR((Table25[[#This Row],[Average sell price]]-Table25[[#This Row],[Average buy price]])*Table25[[#This Row],[Total Sold number of stocks]],0)</f>
        <v>6.4999999999999947</v>
      </c>
      <c r="Q266" s="85">
        <f>SUMIF(Table25[[#All],[Assets]],Table25[[#This Row],[Assets]],Table25[[#All],[Number of stocks]])</f>
        <v>10</v>
      </c>
    </row>
    <row r="267" spans="1:17">
      <c r="A267" t="e" vm="269">
        <v>#VALUE!</v>
      </c>
      <c r="B267" s="2">
        <v>45518</v>
      </c>
      <c r="C267" t="str" cm="1">
        <f t="array" aca="1" ref="C267" ca="1">_FV(A267,"Ticker symbol",TRUE)</f>
        <v>ARIS</v>
      </c>
      <c r="D267" s="4">
        <v>15.59</v>
      </c>
      <c r="E267" s="50">
        <v>30</v>
      </c>
      <c r="F267" s="81">
        <f>IF(Table25[[#This Row],[Number of stocks]]&gt;0,Table25[[#This Row],[Number of stocks]],0)</f>
        <v>30</v>
      </c>
      <c r="G267" s="73">
        <f>Table25[[#This Row],[Bought]]*Table25[[#This Row],[Price]]</f>
        <v>467.7</v>
      </c>
      <c r="H267">
        <f>SUMIF(Table25[[#All],[Assets]],Table25[[#This Row],[Assets]],Table25[[#All],[Bought]])</f>
        <v>34</v>
      </c>
      <c r="I267">
        <f>SUMIF(Table25[[#All],[Assets]],Table25[[#This Row],[Assets]],Table25[[#All],[Bought Amount]])</f>
        <v>533.29999999999995</v>
      </c>
      <c r="J267" s="88">
        <f>IF(Table25[[#This Row],[Number of stocks]]&lt;0,Table25[[#This Row],[Number of stocks]],0)</f>
        <v>0</v>
      </c>
      <c r="K267" s="5">
        <f>Table25[[#This Row],[Sold]]*Table25[[#This Row],[Price]]</f>
        <v>0</v>
      </c>
      <c r="L267" s="8">
        <f>ABS(SUMIF(Table25[[#All],[Assets]],Table25[[#This Row],[Assets]],Table25[[#All],[Sold]]))</f>
        <v>34</v>
      </c>
      <c r="M267" s="5">
        <f>ABS(SUMIF(Table25[[#All],[Assets]],Table25[[#This Row],[Assets]],Table25[[#All],[Sold Amount]]))</f>
        <v>861.31999999999994</v>
      </c>
      <c r="N267" s="5">
        <f>IFERROR(Table25[[#This Row],[Total sold amount]]/Table25[[#This Row],[Total Sold number of stocks]],"")</f>
        <v>25.332941176470587</v>
      </c>
      <c r="O267" s="4">
        <f>IFERROR(Table25[[#This Row],[Total Amount bought]]/Table25[[#This Row],[Total number bought]],"")</f>
        <v>15.685294117647057</v>
      </c>
      <c r="P267" s="4">
        <f>IFERROR((Table25[[#This Row],[Average sell price]]-Table25[[#This Row],[Average buy price]])*Table25[[#This Row],[Total Sold number of stocks]],0)</f>
        <v>328.02000000000004</v>
      </c>
      <c r="Q267" s="85">
        <f>SUMIF(Table25[[#All],[Assets]],Table25[[#This Row],[Assets]],Table25[[#All],[Number of stocks]])</f>
        <v>0</v>
      </c>
    </row>
    <row r="268" spans="1:17">
      <c r="A268" t="e" vm="218">
        <v>#VALUE!</v>
      </c>
      <c r="B268" s="2">
        <v>45518</v>
      </c>
      <c r="C268" t="str" cm="1">
        <f t="array" aca="1" ref="C268" ca="1">_FV(A268,"Ticker symbol",TRUE)</f>
        <v>WTTR</v>
      </c>
      <c r="D268" s="4">
        <v>10.81</v>
      </c>
      <c r="E268" s="50">
        <v>25</v>
      </c>
      <c r="F268" s="81">
        <f>IF(Table25[[#This Row],[Number of stocks]]&gt;0,Table25[[#This Row],[Number of stocks]],0)</f>
        <v>25</v>
      </c>
      <c r="G268" s="73">
        <f>Table25[[#This Row],[Bought]]*Table25[[#This Row],[Price]]</f>
        <v>270.25</v>
      </c>
      <c r="H268">
        <f>SUMIF(Table25[[#All],[Assets]],Table25[[#This Row],[Assets]],Table25[[#All],[Bought]])</f>
        <v>25</v>
      </c>
      <c r="I268">
        <f>SUMIF(Table25[[#All],[Assets]],Table25[[#This Row],[Assets]],Table25[[#All],[Bought Amount]])</f>
        <v>270.25</v>
      </c>
      <c r="J268" s="88">
        <f>IF(Table25[[#This Row],[Number of stocks]]&lt;0,Table25[[#This Row],[Number of stocks]],0)</f>
        <v>0</v>
      </c>
      <c r="K268" s="5">
        <f>Table25[[#This Row],[Sold]]*Table25[[#This Row],[Price]]</f>
        <v>0</v>
      </c>
      <c r="L268" s="8">
        <f>ABS(SUMIF(Table25[[#All],[Assets]],Table25[[#This Row],[Assets]],Table25[[#All],[Sold]]))</f>
        <v>0</v>
      </c>
      <c r="M268" s="5">
        <f>ABS(SUMIF(Table25[[#All],[Assets]],Table25[[#This Row],[Assets]],Table25[[#All],[Sold Amount]]))</f>
        <v>0</v>
      </c>
      <c r="N268" s="5" t="str">
        <f>IFERROR(Table25[[#This Row],[Total sold amount]]/Table25[[#This Row],[Total Sold number of stocks]],"")</f>
        <v/>
      </c>
      <c r="O268" s="4">
        <f>IFERROR(Table25[[#This Row],[Total Amount bought]]/Table25[[#This Row],[Total number bought]],"")</f>
        <v>10.81</v>
      </c>
      <c r="P268" s="4">
        <f>IFERROR((Table25[[#This Row],[Average sell price]]-Table25[[#This Row],[Average buy price]])*Table25[[#This Row],[Total Sold number of stocks]],0)</f>
        <v>0</v>
      </c>
      <c r="Q268" s="85">
        <f>SUMIF(Table25[[#All],[Assets]],Table25[[#This Row],[Assets]],Table25[[#All],[Number of stocks]])</f>
        <v>25</v>
      </c>
    </row>
    <row r="269" spans="1:17">
      <c r="A269" t="e" vm="456">
        <v>#VALUE!</v>
      </c>
      <c r="B269" s="2">
        <v>45518</v>
      </c>
      <c r="C269" t="str" cm="1">
        <f t="array" aca="1" ref="C269" ca="1">_FV(A269,"Ticker symbol",TRUE)</f>
        <v>BIL</v>
      </c>
      <c r="D269" s="4">
        <v>91.57</v>
      </c>
      <c r="E269" s="50">
        <v>-3</v>
      </c>
      <c r="F269" s="81">
        <f>IF(Table25[[#This Row],[Number of stocks]]&gt;0,Table25[[#This Row],[Number of stocks]],0)</f>
        <v>0</v>
      </c>
      <c r="G269" s="73">
        <f>Table25[[#This Row],[Bought]]*Table25[[#This Row],[Price]]</f>
        <v>0</v>
      </c>
      <c r="H269">
        <f>SUMIF(Table25[[#All],[Assets]],Table25[[#This Row],[Assets]],Table25[[#All],[Bought]])</f>
        <v>419</v>
      </c>
      <c r="I269">
        <f>SUMIF(Table25[[#All],[Assets]],Table25[[#This Row],[Assets]],Table25[[#All],[Bought Amount]])</f>
        <v>38555.520000000004</v>
      </c>
      <c r="J269" s="88">
        <f>IF(Table25[[#This Row],[Number of stocks]]&lt;0,Table25[[#This Row],[Number of stocks]],0)</f>
        <v>-3</v>
      </c>
      <c r="K269" s="5">
        <f>Table25[[#This Row],[Sold]]*Table25[[#This Row],[Price]]</f>
        <v>-274.70999999999998</v>
      </c>
      <c r="L269" s="8">
        <f>ABS(SUMIF(Table25[[#All],[Assets]],Table25[[#This Row],[Assets]],Table25[[#All],[Sold]]))</f>
        <v>419</v>
      </c>
      <c r="M269" s="5">
        <f>ABS(SUMIF(Table25[[#All],[Assets]],Table25[[#This Row],[Assets]],Table25[[#All],[Sold Amount]]))</f>
        <v>38372</v>
      </c>
      <c r="N269" s="5">
        <f>IFERROR(Table25[[#This Row],[Total sold amount]]/Table25[[#This Row],[Total Sold number of stocks]],"")</f>
        <v>91.579952267303099</v>
      </c>
      <c r="O269" s="4">
        <f>IFERROR(Table25[[#This Row],[Total Amount bought]]/Table25[[#This Row],[Total number bought]],"")</f>
        <v>92.017947494033422</v>
      </c>
      <c r="P269" s="4">
        <f>IFERROR((Table25[[#This Row],[Average sell price]]-Table25[[#This Row],[Average buy price]])*Table25[[#This Row],[Total Sold number of stocks]],0)</f>
        <v>-183.5200000000051</v>
      </c>
      <c r="Q269" s="85">
        <f>SUMIF(Table25[[#All],[Assets]],Table25[[#This Row],[Assets]],Table25[[#All],[Number of stocks]])</f>
        <v>0</v>
      </c>
    </row>
    <row r="270" spans="1:17">
      <c r="A270" t="e" vm="456">
        <v>#VALUE!</v>
      </c>
      <c r="B270" s="2">
        <v>45518</v>
      </c>
      <c r="C270" t="str" cm="1">
        <f t="array" aca="1" ref="C270" ca="1">_FV(A270,"Ticker symbol",TRUE)</f>
        <v>BIL</v>
      </c>
      <c r="D270" s="4">
        <v>91.59</v>
      </c>
      <c r="E270" s="50">
        <v>-9</v>
      </c>
      <c r="F270" s="81">
        <f>IF(Table25[[#This Row],[Number of stocks]]&gt;0,Table25[[#This Row],[Number of stocks]],0)</f>
        <v>0</v>
      </c>
      <c r="G270" s="73">
        <f>Table25[[#This Row],[Bought]]*Table25[[#This Row],[Price]]</f>
        <v>0</v>
      </c>
      <c r="H270">
        <f>SUMIF(Table25[[#All],[Assets]],Table25[[#This Row],[Assets]],Table25[[#All],[Bought]])</f>
        <v>419</v>
      </c>
      <c r="I270">
        <f>SUMIF(Table25[[#All],[Assets]],Table25[[#This Row],[Assets]],Table25[[#All],[Bought Amount]])</f>
        <v>38555.520000000004</v>
      </c>
      <c r="J270" s="88">
        <f>IF(Table25[[#This Row],[Number of stocks]]&lt;0,Table25[[#This Row],[Number of stocks]],0)</f>
        <v>-9</v>
      </c>
      <c r="K270" s="5">
        <f>Table25[[#This Row],[Sold]]*Table25[[#This Row],[Price]]</f>
        <v>-824.31000000000006</v>
      </c>
      <c r="L270" s="8">
        <f>ABS(SUMIF(Table25[[#All],[Assets]],Table25[[#This Row],[Assets]],Table25[[#All],[Sold]]))</f>
        <v>419</v>
      </c>
      <c r="M270" s="5">
        <f>ABS(SUMIF(Table25[[#All],[Assets]],Table25[[#This Row],[Assets]],Table25[[#All],[Sold Amount]]))</f>
        <v>38372</v>
      </c>
      <c r="N270" s="5">
        <f>IFERROR(Table25[[#This Row],[Total sold amount]]/Table25[[#This Row],[Total Sold number of stocks]],"")</f>
        <v>91.579952267303099</v>
      </c>
      <c r="O270" s="4">
        <f>IFERROR(Table25[[#This Row],[Total Amount bought]]/Table25[[#This Row],[Total number bought]],"")</f>
        <v>92.017947494033422</v>
      </c>
      <c r="P270" s="4">
        <f>IFERROR((Table25[[#This Row],[Average sell price]]-Table25[[#This Row],[Average buy price]])*Table25[[#This Row],[Total Sold number of stocks]],0)</f>
        <v>-183.5200000000051</v>
      </c>
      <c r="Q270" s="85">
        <f>SUMIF(Table25[[#All],[Assets]],Table25[[#This Row],[Assets]],Table25[[#All],[Number of stocks]])</f>
        <v>0</v>
      </c>
    </row>
    <row r="271" spans="1:17">
      <c r="A271" t="e" vm="183">
        <v>#VALUE!</v>
      </c>
      <c r="B271" s="2">
        <v>45518</v>
      </c>
      <c r="C271" t="str" cm="1">
        <f t="array" aca="1" ref="C271" ca="1">_FV(A271,"Ticker symbol",TRUE)</f>
        <v>ESOA</v>
      </c>
      <c r="D271" s="4">
        <v>8.57</v>
      </c>
      <c r="E271" s="50">
        <v>30</v>
      </c>
      <c r="F271" s="81">
        <f>IF(Table25[[#This Row],[Number of stocks]]&gt;0,Table25[[#This Row],[Number of stocks]],0)</f>
        <v>30</v>
      </c>
      <c r="G271" s="73">
        <f>Table25[[#This Row],[Bought]]*Table25[[#This Row],[Price]]</f>
        <v>257.10000000000002</v>
      </c>
      <c r="H271">
        <f>SUMIF(Table25[[#All],[Assets]],Table25[[#This Row],[Assets]],Table25[[#All],[Bought]])</f>
        <v>1832</v>
      </c>
      <c r="I271">
        <f>SUMIF(Table25[[#All],[Assets]],Table25[[#This Row],[Assets]],Table25[[#All],[Bought Amount]])</f>
        <v>18152.78</v>
      </c>
      <c r="J271" s="88">
        <f>IF(Table25[[#This Row],[Number of stocks]]&lt;0,Table25[[#This Row],[Number of stocks]],0)</f>
        <v>0</v>
      </c>
      <c r="K271" s="5">
        <f>Table25[[#This Row],[Sold]]*Table25[[#This Row],[Price]]</f>
        <v>0</v>
      </c>
      <c r="L271" s="8">
        <f>ABS(SUMIF(Table25[[#All],[Assets]],Table25[[#This Row],[Assets]],Table25[[#All],[Sold]]))</f>
        <v>1568</v>
      </c>
      <c r="M271" s="5">
        <f>ABS(SUMIF(Table25[[#All],[Assets]],Table25[[#This Row],[Assets]],Table25[[#All],[Sold Amount]]))</f>
        <v>14668</v>
      </c>
      <c r="N271" s="5">
        <f>IFERROR(Table25[[#This Row],[Total sold amount]]/Table25[[#This Row],[Total Sold number of stocks]],"")</f>
        <v>9.3545918367346932</v>
      </c>
      <c r="O271" s="4">
        <f>IFERROR(Table25[[#This Row],[Total Amount bought]]/Table25[[#This Row],[Total number bought]],"")</f>
        <v>9.9087227074235802</v>
      </c>
      <c r="P271" s="4">
        <f>IFERROR((Table25[[#This Row],[Average sell price]]-Table25[[#This Row],[Average buy price]])*Table25[[#This Row],[Total Sold number of stocks]],0)</f>
        <v>-868.87720524017482</v>
      </c>
      <c r="Q271" s="85">
        <f>SUMIF(Table25[[#All],[Assets]],Table25[[#This Row],[Assets]],Table25[[#All],[Number of stocks]])</f>
        <v>264</v>
      </c>
    </row>
    <row r="272" spans="1:17">
      <c r="A272" t="e" vm="64">
        <v>#VALUE!</v>
      </c>
      <c r="B272" s="2">
        <v>45519</v>
      </c>
      <c r="C272" t="str" cm="1">
        <f t="array" aca="1" ref="C272" ca="1">_FV(A272,"Ticker symbol",TRUE)</f>
        <v>LULU</v>
      </c>
      <c r="D272" s="4">
        <v>249.5</v>
      </c>
      <c r="E272" s="50">
        <v>12</v>
      </c>
      <c r="F272" s="81">
        <f>IF(Table25[[#This Row],[Number of stocks]]&gt;0,Table25[[#This Row],[Number of stocks]],0)</f>
        <v>12</v>
      </c>
      <c r="G272" s="73">
        <f>Table25[[#This Row],[Bought]]*Table25[[#This Row],[Price]]</f>
        <v>2994</v>
      </c>
      <c r="H272">
        <f>SUMIF(Table25[[#All],[Assets]],Table25[[#This Row],[Assets]],Table25[[#All],[Bought]])</f>
        <v>26</v>
      </c>
      <c r="I272">
        <f>SUMIF(Table25[[#All],[Assets]],Table25[[#This Row],[Assets]],Table25[[#All],[Bought Amount]])</f>
        <v>6272.2400000000007</v>
      </c>
      <c r="J272" s="88">
        <f>IF(Table25[[#This Row],[Number of stocks]]&lt;0,Table25[[#This Row],[Number of stocks]],0)</f>
        <v>0</v>
      </c>
      <c r="K272" s="5">
        <f>Table25[[#This Row],[Sold]]*Table25[[#This Row],[Price]]</f>
        <v>0</v>
      </c>
      <c r="L272" s="8">
        <f>ABS(SUMIF(Table25[[#All],[Assets]],Table25[[#This Row],[Assets]],Table25[[#All],[Sold]]))</f>
        <v>26</v>
      </c>
      <c r="M272" s="5">
        <f>ABS(SUMIF(Table25[[#All],[Assets]],Table25[[#This Row],[Assets]],Table25[[#All],[Sold Amount]]))</f>
        <v>6958.9199999999992</v>
      </c>
      <c r="N272" s="5">
        <f>IFERROR(Table25[[#This Row],[Total sold amount]]/Table25[[#This Row],[Total Sold number of stocks]],"")</f>
        <v>267.65076923076919</v>
      </c>
      <c r="O272" s="4">
        <f>IFERROR(Table25[[#This Row],[Total Amount bought]]/Table25[[#This Row],[Total number bought]],"")</f>
        <v>241.24000000000004</v>
      </c>
      <c r="P272" s="4">
        <f>IFERROR((Table25[[#This Row],[Average sell price]]-Table25[[#This Row],[Average buy price]])*Table25[[#This Row],[Total Sold number of stocks]],0)</f>
        <v>686.67999999999779</v>
      </c>
      <c r="Q272" s="85">
        <f>SUMIF(Table25[[#All],[Assets]],Table25[[#This Row],[Assets]],Table25[[#All],[Number of stocks]])</f>
        <v>0</v>
      </c>
    </row>
    <row r="273" spans="1:17">
      <c r="A273" t="e" vm="268">
        <v>#VALUE!</v>
      </c>
      <c r="B273" s="2">
        <v>45519</v>
      </c>
      <c r="C273" t="str" cm="1">
        <f t="array" aca="1" ref="C273" ca="1">_FV(A273,"Ticker symbol",TRUE)</f>
        <v>KNTK</v>
      </c>
      <c r="D273" s="4">
        <v>42.96</v>
      </c>
      <c r="E273" s="50">
        <v>60</v>
      </c>
      <c r="F273" s="81">
        <f>IF(Table25[[#This Row],[Number of stocks]]&gt;0,Table25[[#This Row],[Number of stocks]],0)</f>
        <v>60</v>
      </c>
      <c r="G273" s="73">
        <f>Table25[[#This Row],[Bought]]*Table25[[#This Row],[Price]]</f>
        <v>2577.6</v>
      </c>
      <c r="H273">
        <f>SUMIF(Table25[[#All],[Assets]],Table25[[#This Row],[Assets]],Table25[[#All],[Bought]])</f>
        <v>70</v>
      </c>
      <c r="I273">
        <f>SUMIF(Table25[[#All],[Assets]],Table25[[#This Row],[Assets]],Table25[[#All],[Bought Amount]])</f>
        <v>2985.8999999999996</v>
      </c>
      <c r="J273" s="88">
        <f>IF(Table25[[#This Row],[Number of stocks]]&lt;0,Table25[[#This Row],[Number of stocks]],0)</f>
        <v>0</v>
      </c>
      <c r="K273" s="5">
        <f>Table25[[#This Row],[Sold]]*Table25[[#This Row],[Price]]</f>
        <v>0</v>
      </c>
      <c r="L273" s="8">
        <f>ABS(SUMIF(Table25[[#All],[Assets]],Table25[[#This Row],[Assets]],Table25[[#All],[Sold]]))</f>
        <v>70</v>
      </c>
      <c r="M273" s="5">
        <f>ABS(SUMIF(Table25[[#All],[Assets]],Table25[[#This Row],[Assets]],Table25[[#All],[Sold Amount]]))</f>
        <v>4037</v>
      </c>
      <c r="N273" s="5">
        <f>IFERROR(Table25[[#This Row],[Total sold amount]]/Table25[[#This Row],[Total Sold number of stocks]],"")</f>
        <v>57.671428571428571</v>
      </c>
      <c r="O273" s="4">
        <f>IFERROR(Table25[[#This Row],[Total Amount bought]]/Table25[[#This Row],[Total number bought]],"")</f>
        <v>42.655714285714282</v>
      </c>
      <c r="P273" s="4">
        <f>IFERROR((Table25[[#This Row],[Average sell price]]-Table25[[#This Row],[Average buy price]])*Table25[[#This Row],[Total Sold number of stocks]],0)</f>
        <v>1051.1000000000001</v>
      </c>
      <c r="Q273" s="85">
        <f>SUMIF(Table25[[#All],[Assets]],Table25[[#This Row],[Assets]],Table25[[#All],[Number of stocks]])</f>
        <v>0</v>
      </c>
    </row>
    <row r="274" spans="1:17">
      <c r="A274" t="e" vm="80">
        <v>#VALUE!</v>
      </c>
      <c r="B274" s="2">
        <v>45519</v>
      </c>
      <c r="C274" t="str" cm="1">
        <f t="array" aca="1" ref="C274" ca="1">_FV(A274,"Ticker symbol",TRUE)</f>
        <v>PYPL</v>
      </c>
      <c r="D274" s="4">
        <v>67.239999999999995</v>
      </c>
      <c r="E274" s="50">
        <v>32</v>
      </c>
      <c r="F274" s="81">
        <f>IF(Table25[[#This Row],[Number of stocks]]&gt;0,Table25[[#This Row],[Number of stocks]],0)</f>
        <v>32</v>
      </c>
      <c r="G274" s="73">
        <f>Table25[[#This Row],[Bought]]*Table25[[#This Row],[Price]]</f>
        <v>2151.6799999999998</v>
      </c>
      <c r="H274">
        <f>SUMIF(Table25[[#All],[Assets]],Table25[[#This Row],[Assets]],Table25[[#All],[Bought]])</f>
        <v>223</v>
      </c>
      <c r="I274">
        <f>SUMIF(Table25[[#All],[Assets]],Table25[[#This Row],[Assets]],Table25[[#All],[Bought Amount]])</f>
        <v>14862.050000000003</v>
      </c>
      <c r="J274" s="88">
        <f>IF(Table25[[#This Row],[Number of stocks]]&lt;0,Table25[[#This Row],[Number of stocks]],0)</f>
        <v>0</v>
      </c>
      <c r="K274" s="5">
        <f>Table25[[#This Row],[Sold]]*Table25[[#This Row],[Price]]</f>
        <v>0</v>
      </c>
      <c r="L274" s="8">
        <f>ABS(SUMIF(Table25[[#All],[Assets]],Table25[[#This Row],[Assets]],Table25[[#All],[Sold]]))</f>
        <v>222</v>
      </c>
      <c r="M274" s="5">
        <f>ABS(SUMIF(Table25[[#All],[Assets]],Table25[[#This Row],[Assets]],Table25[[#All],[Sold Amount]]))</f>
        <v>15255.44</v>
      </c>
      <c r="N274" s="5">
        <f>IFERROR(Table25[[#This Row],[Total sold amount]]/Table25[[#This Row],[Total Sold number of stocks]],"")</f>
        <v>68.718198198198195</v>
      </c>
      <c r="O274" s="4">
        <f>IFERROR(Table25[[#This Row],[Total Amount bought]]/Table25[[#This Row],[Total number bought]],"")</f>
        <v>66.645964125560553</v>
      </c>
      <c r="P274" s="4">
        <f>IFERROR((Table25[[#This Row],[Average sell price]]-Table25[[#This Row],[Average buy price]])*Table25[[#This Row],[Total Sold number of stocks]],0)</f>
        <v>460.03596412555646</v>
      </c>
      <c r="Q274" s="85">
        <f>SUMIF(Table25[[#All],[Assets]],Table25[[#This Row],[Assets]],Table25[[#All],[Number of stocks]])</f>
        <v>1</v>
      </c>
    </row>
    <row r="275" spans="1:17">
      <c r="A275" t="e" vm="269">
        <v>#VALUE!</v>
      </c>
      <c r="B275" s="2">
        <v>45519</v>
      </c>
      <c r="C275" t="str" cm="1">
        <f t="array" aca="1" ref="C275" ca="1">_FV(A275,"Ticker symbol",TRUE)</f>
        <v>ARIS</v>
      </c>
      <c r="D275" s="4">
        <v>16.399999999999999</v>
      </c>
      <c r="E275" s="50">
        <v>4</v>
      </c>
      <c r="F275" s="81">
        <f>IF(Table25[[#This Row],[Number of stocks]]&gt;0,Table25[[#This Row],[Number of stocks]],0)</f>
        <v>4</v>
      </c>
      <c r="G275" s="73">
        <f>Table25[[#This Row],[Bought]]*Table25[[#This Row],[Price]]</f>
        <v>65.599999999999994</v>
      </c>
      <c r="H275">
        <f>SUMIF(Table25[[#All],[Assets]],Table25[[#This Row],[Assets]],Table25[[#All],[Bought]])</f>
        <v>34</v>
      </c>
      <c r="I275">
        <f>SUMIF(Table25[[#All],[Assets]],Table25[[#This Row],[Assets]],Table25[[#All],[Bought Amount]])</f>
        <v>533.29999999999995</v>
      </c>
      <c r="J275" s="88">
        <f>IF(Table25[[#This Row],[Number of stocks]]&lt;0,Table25[[#This Row],[Number of stocks]],0)</f>
        <v>0</v>
      </c>
      <c r="K275" s="5">
        <f>Table25[[#This Row],[Sold]]*Table25[[#This Row],[Price]]</f>
        <v>0</v>
      </c>
      <c r="L275" s="8">
        <f>ABS(SUMIF(Table25[[#All],[Assets]],Table25[[#This Row],[Assets]],Table25[[#All],[Sold]]))</f>
        <v>34</v>
      </c>
      <c r="M275" s="5">
        <f>ABS(SUMIF(Table25[[#All],[Assets]],Table25[[#This Row],[Assets]],Table25[[#All],[Sold Amount]]))</f>
        <v>861.31999999999994</v>
      </c>
      <c r="N275" s="5">
        <f>IFERROR(Table25[[#This Row],[Total sold amount]]/Table25[[#This Row],[Total Sold number of stocks]],"")</f>
        <v>25.332941176470587</v>
      </c>
      <c r="O275" s="4">
        <f>IFERROR(Table25[[#This Row],[Total Amount bought]]/Table25[[#This Row],[Total number bought]],"")</f>
        <v>15.685294117647057</v>
      </c>
      <c r="P275" s="4">
        <f>IFERROR((Table25[[#This Row],[Average sell price]]-Table25[[#This Row],[Average buy price]])*Table25[[#This Row],[Total Sold number of stocks]],0)</f>
        <v>328.02000000000004</v>
      </c>
      <c r="Q275" s="85">
        <f>SUMIF(Table25[[#All],[Assets]],Table25[[#This Row],[Assets]],Table25[[#All],[Number of stocks]])</f>
        <v>0</v>
      </c>
    </row>
    <row r="276" spans="1:17">
      <c r="A276" t="e" vm="456">
        <v>#VALUE!</v>
      </c>
      <c r="B276" s="2">
        <v>45519</v>
      </c>
      <c r="C276" t="str" cm="1">
        <f t="array" aca="1" ref="C276" ca="1">_FV(A276,"Ticker symbol",TRUE)</f>
        <v>BIL</v>
      </c>
      <c r="D276" s="4">
        <v>91.6</v>
      </c>
      <c r="E276" s="50">
        <v>-4</v>
      </c>
      <c r="F276" s="81">
        <f>IF(Table25[[#This Row],[Number of stocks]]&gt;0,Table25[[#This Row],[Number of stocks]],0)</f>
        <v>0</v>
      </c>
      <c r="G276" s="73">
        <f>Table25[[#This Row],[Bought]]*Table25[[#This Row],[Price]]</f>
        <v>0</v>
      </c>
      <c r="H276">
        <f>SUMIF(Table25[[#All],[Assets]],Table25[[#This Row],[Assets]],Table25[[#All],[Bought]])</f>
        <v>419</v>
      </c>
      <c r="I276">
        <f>SUMIF(Table25[[#All],[Assets]],Table25[[#This Row],[Assets]],Table25[[#All],[Bought Amount]])</f>
        <v>38555.520000000004</v>
      </c>
      <c r="J276" s="88">
        <f>IF(Table25[[#This Row],[Number of stocks]]&lt;0,Table25[[#This Row],[Number of stocks]],0)</f>
        <v>-4</v>
      </c>
      <c r="K276" s="5">
        <f>Table25[[#This Row],[Sold]]*Table25[[#This Row],[Price]]</f>
        <v>-366.4</v>
      </c>
      <c r="L276" s="8">
        <f>ABS(SUMIF(Table25[[#All],[Assets]],Table25[[#This Row],[Assets]],Table25[[#All],[Sold]]))</f>
        <v>419</v>
      </c>
      <c r="M276" s="5">
        <f>ABS(SUMIF(Table25[[#All],[Assets]],Table25[[#This Row],[Assets]],Table25[[#All],[Sold Amount]]))</f>
        <v>38372</v>
      </c>
      <c r="N276" s="5">
        <f>IFERROR(Table25[[#This Row],[Total sold amount]]/Table25[[#This Row],[Total Sold number of stocks]],"")</f>
        <v>91.579952267303099</v>
      </c>
      <c r="O276" s="4">
        <f>IFERROR(Table25[[#This Row],[Total Amount bought]]/Table25[[#This Row],[Total number bought]],"")</f>
        <v>92.017947494033422</v>
      </c>
      <c r="P276" s="4">
        <f>IFERROR((Table25[[#This Row],[Average sell price]]-Table25[[#This Row],[Average buy price]])*Table25[[#This Row],[Total Sold number of stocks]],0)</f>
        <v>-183.5200000000051</v>
      </c>
      <c r="Q276" s="85">
        <f>SUMIF(Table25[[#All],[Assets]],Table25[[#This Row],[Assets]],Table25[[#All],[Number of stocks]])</f>
        <v>0</v>
      </c>
    </row>
    <row r="277" spans="1:17">
      <c r="A277" t="e" vm="71">
        <v>#VALUE!</v>
      </c>
      <c r="B277" s="2">
        <v>45520</v>
      </c>
      <c r="C277" t="str" cm="1">
        <f t="array" aca="1" ref="C277" ca="1">_FV(A277,"Ticker symbol",TRUE)</f>
        <v>TKNO</v>
      </c>
      <c r="D277" s="4">
        <v>4.7</v>
      </c>
      <c r="E277" s="50">
        <v>30</v>
      </c>
      <c r="F277" s="81">
        <f>IF(Table25[[#This Row],[Number of stocks]]&gt;0,Table25[[#This Row],[Number of stocks]],0)</f>
        <v>30</v>
      </c>
      <c r="G277" s="73">
        <f>Table25[[#This Row],[Bought]]*Table25[[#This Row],[Price]]</f>
        <v>141</v>
      </c>
      <c r="H277">
        <f>SUMIF(Table25[[#All],[Assets]],Table25[[#This Row],[Assets]],Table25[[#All],[Bought]])</f>
        <v>2166.0267990000002</v>
      </c>
      <c r="I277">
        <f>SUMIF(Table25[[#All],[Assets]],Table25[[#This Row],[Assets]],Table25[[#All],[Bought Amount]])</f>
        <v>13370.91512648</v>
      </c>
      <c r="J277" s="88">
        <f>IF(Table25[[#This Row],[Number of stocks]]&lt;0,Table25[[#This Row],[Number of stocks]],0)</f>
        <v>0</v>
      </c>
      <c r="K277" s="5">
        <f>Table25[[#This Row],[Sold]]*Table25[[#This Row],[Price]]</f>
        <v>0</v>
      </c>
      <c r="L277" s="8">
        <f>ABS(SUMIF(Table25[[#All],[Assets]],Table25[[#This Row],[Assets]],Table25[[#All],[Sold]]))</f>
        <v>2083</v>
      </c>
      <c r="M277" s="5">
        <f>ABS(SUMIF(Table25[[#All],[Assets]],Table25[[#This Row],[Assets]],Table25[[#All],[Sold Amount]]))</f>
        <v>11153.28</v>
      </c>
      <c r="N277" s="5">
        <f>IFERROR(Table25[[#This Row],[Total sold amount]]/Table25[[#This Row],[Total Sold number of stocks]],"")</f>
        <v>5.3544311089774368</v>
      </c>
      <c r="O277" s="4">
        <f>IFERROR(Table25[[#This Row],[Total Amount bought]]/Table25[[#This Row],[Total number bought]],"")</f>
        <v>6.1730146333614213</v>
      </c>
      <c r="P277" s="4">
        <f>IFERROR((Table25[[#This Row],[Average sell price]]-Table25[[#This Row],[Average buy price]])*Table25[[#This Row],[Total Sold number of stocks]],0)</f>
        <v>-1705.1094812918398</v>
      </c>
      <c r="Q277" s="85">
        <f>SUMIF(Table25[[#All],[Assets]],Table25[[#This Row],[Assets]],Table25[[#All],[Number of stocks]])</f>
        <v>83.026798999999983</v>
      </c>
    </row>
    <row r="278" spans="1:17">
      <c r="A278" t="e" vm="62">
        <v>#VALUE!</v>
      </c>
      <c r="B278" s="2">
        <v>45520</v>
      </c>
      <c r="C278" t="str" cm="1">
        <f t="array" aca="1" ref="C278" ca="1">_FV(A278,"Ticker symbol",TRUE)</f>
        <v>EQT</v>
      </c>
      <c r="D278" s="4">
        <v>32.29</v>
      </c>
      <c r="E278" s="50">
        <v>-20</v>
      </c>
      <c r="F278" s="81">
        <f>IF(Table25[[#This Row],[Number of stocks]]&gt;0,Table25[[#This Row],[Number of stocks]],0)</f>
        <v>0</v>
      </c>
      <c r="G278" s="73">
        <f>Table25[[#This Row],[Bought]]*Table25[[#This Row],[Price]]</f>
        <v>0</v>
      </c>
      <c r="H278">
        <f>SUMIF(Table25[[#All],[Assets]],Table25[[#This Row],[Assets]],Table25[[#All],[Bought]])</f>
        <v>20</v>
      </c>
      <c r="I278">
        <f>SUMIF(Table25[[#All],[Assets]],Table25[[#This Row],[Assets]],Table25[[#All],[Bought Amount]])</f>
        <v>813.6</v>
      </c>
      <c r="J278" s="88">
        <f>IF(Table25[[#This Row],[Number of stocks]]&lt;0,Table25[[#This Row],[Number of stocks]],0)</f>
        <v>-20</v>
      </c>
      <c r="K278" s="5">
        <f>Table25[[#This Row],[Sold]]*Table25[[#This Row],[Price]]</f>
        <v>-645.79999999999995</v>
      </c>
      <c r="L278" s="8">
        <f>ABS(SUMIF(Table25[[#All],[Assets]],Table25[[#This Row],[Assets]],Table25[[#All],[Sold]]))</f>
        <v>20</v>
      </c>
      <c r="M278" s="5">
        <f>ABS(SUMIF(Table25[[#All],[Assets]],Table25[[#This Row],[Assets]],Table25[[#All],[Sold Amount]]))</f>
        <v>645.79999999999995</v>
      </c>
      <c r="N278" s="5">
        <f>IFERROR(Table25[[#This Row],[Total sold amount]]/Table25[[#This Row],[Total Sold number of stocks]],"")</f>
        <v>32.29</v>
      </c>
      <c r="O278" s="4">
        <f>IFERROR(Table25[[#This Row],[Total Amount bought]]/Table25[[#This Row],[Total number bought]],"")</f>
        <v>40.68</v>
      </c>
      <c r="P278" s="4">
        <f>IFERROR((Table25[[#This Row],[Average sell price]]-Table25[[#This Row],[Average buy price]])*Table25[[#This Row],[Total Sold number of stocks]],0)</f>
        <v>-167.8</v>
      </c>
      <c r="Q278" s="85">
        <f>SUMIF(Table25[[#All],[Assets]],Table25[[#This Row],[Assets]],Table25[[#All],[Number of stocks]])</f>
        <v>0</v>
      </c>
    </row>
    <row r="279" spans="1:17">
      <c r="A279" t="e" vm="157">
        <v>#VALUE!</v>
      </c>
      <c r="B279" s="2">
        <v>45520</v>
      </c>
      <c r="C279" t="str" cm="1">
        <f t="array" aca="1" ref="C279" ca="1">_FV(A279,"Ticker symbol",TRUE)</f>
        <v>HAL</v>
      </c>
      <c r="D279" s="4">
        <v>31.33</v>
      </c>
      <c r="E279" s="50">
        <v>-15</v>
      </c>
      <c r="F279" s="81">
        <f>IF(Table25[[#This Row],[Number of stocks]]&gt;0,Table25[[#This Row],[Number of stocks]],0)</f>
        <v>0</v>
      </c>
      <c r="G279" s="73">
        <f>Table25[[#This Row],[Bought]]*Table25[[#This Row],[Price]]</f>
        <v>0</v>
      </c>
      <c r="H279">
        <f>SUMIF(Table25[[#All],[Assets]],Table25[[#This Row],[Assets]],Table25[[#All],[Bought]])</f>
        <v>15</v>
      </c>
      <c r="I279">
        <f>SUMIF(Table25[[#All],[Assets]],Table25[[#This Row],[Assets]],Table25[[#All],[Bought Amount]])</f>
        <v>568.80000000000007</v>
      </c>
      <c r="J279" s="88">
        <f>IF(Table25[[#This Row],[Number of stocks]]&lt;0,Table25[[#This Row],[Number of stocks]],0)</f>
        <v>-15</v>
      </c>
      <c r="K279" s="5">
        <f>Table25[[#This Row],[Sold]]*Table25[[#This Row],[Price]]</f>
        <v>-469.95</v>
      </c>
      <c r="L279" s="8">
        <f>ABS(SUMIF(Table25[[#All],[Assets]],Table25[[#This Row],[Assets]],Table25[[#All],[Sold]]))</f>
        <v>15</v>
      </c>
      <c r="M279" s="5">
        <f>ABS(SUMIF(Table25[[#All],[Assets]],Table25[[#This Row],[Assets]],Table25[[#All],[Sold Amount]]))</f>
        <v>469.95</v>
      </c>
      <c r="N279" s="5">
        <f>IFERROR(Table25[[#This Row],[Total sold amount]]/Table25[[#This Row],[Total Sold number of stocks]],"")</f>
        <v>31.33</v>
      </c>
      <c r="O279" s="4">
        <f>IFERROR(Table25[[#This Row],[Total Amount bought]]/Table25[[#This Row],[Total number bought]],"")</f>
        <v>37.92</v>
      </c>
      <c r="P279" s="4">
        <f>IFERROR((Table25[[#This Row],[Average sell price]]-Table25[[#This Row],[Average buy price]])*Table25[[#This Row],[Total Sold number of stocks]],0)</f>
        <v>-98.850000000000051</v>
      </c>
      <c r="Q279" s="85">
        <f>SUMIF(Table25[[#All],[Assets]],Table25[[#This Row],[Assets]],Table25[[#All],[Number of stocks]])</f>
        <v>0</v>
      </c>
    </row>
    <row r="280" spans="1:17">
      <c r="A280" t="e" vm="602">
        <v>#VALUE!</v>
      </c>
      <c r="B280" s="2">
        <v>45520</v>
      </c>
      <c r="C280" t="str" cm="1">
        <f t="array" aca="1" ref="C280" ca="1">_FV(A280,"Ticker symbol",TRUE)</f>
        <v>SWN</v>
      </c>
      <c r="D280" s="4">
        <v>6.26</v>
      </c>
      <c r="E280" s="50">
        <v>-100.18</v>
      </c>
      <c r="F280" s="81">
        <f>IF(Table25[[#This Row],[Number of stocks]]&gt;0,Table25[[#This Row],[Number of stocks]],0)</f>
        <v>0</v>
      </c>
      <c r="G280" s="73">
        <f>Table25[[#This Row],[Bought]]*Table25[[#This Row],[Price]]</f>
        <v>0</v>
      </c>
      <c r="H280">
        <f>SUMIF(Table25[[#All],[Assets]],Table25[[#This Row],[Assets]],Table25[[#All],[Bought]])</f>
        <v>250.180722</v>
      </c>
      <c r="I280">
        <f>SUMIF(Table25[[#All],[Assets]],Table25[[#This Row],[Assets]],Table25[[#All],[Bought Amount]])</f>
        <v>1718.74156014</v>
      </c>
      <c r="J280" s="88">
        <f>IF(Table25[[#This Row],[Number of stocks]]&lt;0,Table25[[#This Row],[Number of stocks]],0)</f>
        <v>-100.18</v>
      </c>
      <c r="K280" s="5">
        <f>Table25[[#This Row],[Sold]]*Table25[[#This Row],[Price]]</f>
        <v>-627.1268</v>
      </c>
      <c r="L280" s="8">
        <f>ABS(SUMIF(Table25[[#All],[Assets]],Table25[[#This Row],[Assets]],Table25[[#All],[Sold]]))</f>
        <v>250.18</v>
      </c>
      <c r="M280" s="5">
        <f>ABS(SUMIF(Table25[[#All],[Assets]],Table25[[#This Row],[Assets]],Table25[[#All],[Sold Amount]]))</f>
        <v>1639.6268</v>
      </c>
      <c r="N280" s="5">
        <f>IFERROR(Table25[[#This Row],[Total sold amount]]/Table25[[#This Row],[Total Sold number of stocks]],"")</f>
        <v>6.553788472299944</v>
      </c>
      <c r="O280" s="4">
        <f>IFERROR(Table25[[#This Row],[Total Amount bought]]/Table25[[#This Row],[Total number bought]],"")</f>
        <v>6.87</v>
      </c>
      <c r="P280" s="4">
        <f>IFERROR((Table25[[#This Row],[Average sell price]]-Table25[[#This Row],[Average buy price]])*Table25[[#This Row],[Total Sold number of stocks]],0)</f>
        <v>-79.109800000000035</v>
      </c>
      <c r="Q280" s="85">
        <f>SUMIF(Table25[[#All],[Assets]],Table25[[#This Row],[Assets]],Table25[[#All],[Number of stocks]])</f>
        <v>7.2199999999611464E-4</v>
      </c>
    </row>
    <row r="281" spans="1:17">
      <c r="A281" t="e" vm="60">
        <v>#VALUE!</v>
      </c>
      <c r="B281" s="2">
        <v>45520</v>
      </c>
      <c r="C281" t="str" cm="1">
        <f t="array" aca="1" ref="C281" ca="1">_FV(A281,"Ticker symbol",TRUE)</f>
        <v>XOM</v>
      </c>
      <c r="D281" s="4">
        <v>118.15</v>
      </c>
      <c r="E281" s="50">
        <v>-10</v>
      </c>
      <c r="F281" s="81">
        <f>IF(Table25[[#This Row],[Number of stocks]]&gt;0,Table25[[#This Row],[Number of stocks]],0)</f>
        <v>0</v>
      </c>
      <c r="G281" s="73">
        <f>Table25[[#This Row],[Bought]]*Table25[[#This Row],[Price]]</f>
        <v>0</v>
      </c>
      <c r="H281">
        <f>SUMIF(Table25[[#All],[Assets]],Table25[[#This Row],[Assets]],Table25[[#All],[Bought]])</f>
        <v>21</v>
      </c>
      <c r="I281">
        <f>SUMIF(Table25[[#All],[Assets]],Table25[[#This Row],[Assets]],Table25[[#All],[Bought Amount]])</f>
        <v>2275.41</v>
      </c>
      <c r="J281" s="88">
        <f>IF(Table25[[#This Row],[Number of stocks]]&lt;0,Table25[[#This Row],[Number of stocks]],0)</f>
        <v>-10</v>
      </c>
      <c r="K281" s="5">
        <f>Table25[[#This Row],[Sold]]*Table25[[#This Row],[Price]]</f>
        <v>-1181.5</v>
      </c>
      <c r="L281" s="8">
        <f>ABS(SUMIF(Table25[[#All],[Assets]],Table25[[#This Row],[Assets]],Table25[[#All],[Sold]]))</f>
        <v>21</v>
      </c>
      <c r="M281" s="5">
        <f>ABS(SUMIF(Table25[[#All],[Assets]],Table25[[#This Row],[Assets]],Table25[[#All],[Sold Amount]]))</f>
        <v>2458.71</v>
      </c>
      <c r="N281" s="5">
        <f>IFERROR(Table25[[#This Row],[Total sold amount]]/Table25[[#This Row],[Total Sold number of stocks]],"")</f>
        <v>117.08142857142857</v>
      </c>
      <c r="O281" s="4">
        <f>IFERROR(Table25[[#This Row],[Total Amount bought]]/Table25[[#This Row],[Total number bought]],"")</f>
        <v>108.35285714285713</v>
      </c>
      <c r="P281" s="4">
        <f>IFERROR((Table25[[#This Row],[Average sell price]]-Table25[[#This Row],[Average buy price]])*Table25[[#This Row],[Total Sold number of stocks]],0)</f>
        <v>183.3000000000003</v>
      </c>
      <c r="Q281" s="85">
        <f>SUMIF(Table25[[#All],[Assets]],Table25[[#This Row],[Assets]],Table25[[#All],[Number of stocks]])</f>
        <v>0</v>
      </c>
    </row>
    <row r="282" spans="1:17">
      <c r="A282" t="e" vm="71">
        <v>#VALUE!</v>
      </c>
      <c r="B282" s="2">
        <v>45520</v>
      </c>
      <c r="C282" t="str" cm="1">
        <f t="array" aca="1" ref="C282" ca="1">_FV(A282,"Ticker symbol",TRUE)</f>
        <v>TKNO</v>
      </c>
      <c r="D282" s="4">
        <v>4.68</v>
      </c>
      <c r="E282" s="50">
        <v>100</v>
      </c>
      <c r="F282" s="81">
        <f>IF(Table25[[#This Row],[Number of stocks]]&gt;0,Table25[[#This Row],[Number of stocks]],0)</f>
        <v>100</v>
      </c>
      <c r="G282" s="73">
        <f>Table25[[#This Row],[Bought]]*Table25[[#This Row],[Price]]</f>
        <v>468</v>
      </c>
      <c r="H282">
        <f>SUMIF(Table25[[#All],[Assets]],Table25[[#This Row],[Assets]],Table25[[#All],[Bought]])</f>
        <v>2166.0267990000002</v>
      </c>
      <c r="I282">
        <f>SUMIF(Table25[[#All],[Assets]],Table25[[#This Row],[Assets]],Table25[[#All],[Bought Amount]])</f>
        <v>13370.91512648</v>
      </c>
      <c r="J282" s="88">
        <f>IF(Table25[[#This Row],[Number of stocks]]&lt;0,Table25[[#This Row],[Number of stocks]],0)</f>
        <v>0</v>
      </c>
      <c r="K282" s="5">
        <f>Table25[[#This Row],[Sold]]*Table25[[#This Row],[Price]]</f>
        <v>0</v>
      </c>
      <c r="L282" s="8">
        <f>ABS(SUMIF(Table25[[#All],[Assets]],Table25[[#This Row],[Assets]],Table25[[#All],[Sold]]))</f>
        <v>2083</v>
      </c>
      <c r="M282" s="5">
        <f>ABS(SUMIF(Table25[[#All],[Assets]],Table25[[#This Row],[Assets]],Table25[[#All],[Sold Amount]]))</f>
        <v>11153.28</v>
      </c>
      <c r="N282" s="5">
        <f>IFERROR(Table25[[#This Row],[Total sold amount]]/Table25[[#This Row],[Total Sold number of stocks]],"")</f>
        <v>5.3544311089774368</v>
      </c>
      <c r="O282" s="4">
        <f>IFERROR(Table25[[#This Row],[Total Amount bought]]/Table25[[#This Row],[Total number bought]],"")</f>
        <v>6.1730146333614213</v>
      </c>
      <c r="P282" s="4">
        <f>IFERROR((Table25[[#This Row],[Average sell price]]-Table25[[#This Row],[Average buy price]])*Table25[[#This Row],[Total Sold number of stocks]],0)</f>
        <v>-1705.1094812918398</v>
      </c>
      <c r="Q282" s="85">
        <f>SUMIF(Table25[[#All],[Assets]],Table25[[#This Row],[Assets]],Table25[[#All],[Number of stocks]])</f>
        <v>83.026798999999983</v>
      </c>
    </row>
    <row r="283" spans="1:17">
      <c r="A283" t="e" vm="297">
        <v>#VALUE!</v>
      </c>
      <c r="B283" s="2">
        <v>45520</v>
      </c>
      <c r="C283" t="str" cm="1">
        <f t="array" aca="1" ref="C283" ca="1">_FV(A283,"Ticker symbol",TRUE)</f>
        <v>LAB</v>
      </c>
      <c r="D283" s="4">
        <v>1.76</v>
      </c>
      <c r="E283" s="50">
        <v>600</v>
      </c>
      <c r="F283" s="81">
        <f>IF(Table25[[#This Row],[Number of stocks]]&gt;0,Table25[[#This Row],[Number of stocks]],0)</f>
        <v>600</v>
      </c>
      <c r="G283" s="73">
        <f>Table25[[#This Row],[Bought]]*Table25[[#This Row],[Price]]</f>
        <v>1056</v>
      </c>
      <c r="H283">
        <f>SUMIF(Table25[[#All],[Assets]],Table25[[#This Row],[Assets]],Table25[[#All],[Bought]])</f>
        <v>600</v>
      </c>
      <c r="I283">
        <f>SUMIF(Table25[[#All],[Assets]],Table25[[#This Row],[Assets]],Table25[[#All],[Bought Amount]])</f>
        <v>1056</v>
      </c>
      <c r="J283" s="88">
        <f>IF(Table25[[#This Row],[Number of stocks]]&lt;0,Table25[[#This Row],[Number of stocks]],0)</f>
        <v>0</v>
      </c>
      <c r="K283" s="5">
        <f>Table25[[#This Row],[Sold]]*Table25[[#This Row],[Price]]</f>
        <v>0</v>
      </c>
      <c r="L283" s="8">
        <f>ABS(SUMIF(Table25[[#All],[Assets]],Table25[[#This Row],[Assets]],Table25[[#All],[Sold]]))</f>
        <v>600</v>
      </c>
      <c r="M283" s="5">
        <f>ABS(SUMIF(Table25[[#All],[Assets]],Table25[[#This Row],[Assets]],Table25[[#All],[Sold Amount]]))</f>
        <v>1077</v>
      </c>
      <c r="N283" s="5">
        <f>IFERROR(Table25[[#This Row],[Total sold amount]]/Table25[[#This Row],[Total Sold number of stocks]],"")</f>
        <v>1.7949999999999999</v>
      </c>
      <c r="O283" s="4">
        <f>IFERROR(Table25[[#This Row],[Total Amount bought]]/Table25[[#This Row],[Total number bought]],"")</f>
        <v>1.76</v>
      </c>
      <c r="P283" s="4">
        <f>IFERROR((Table25[[#This Row],[Average sell price]]-Table25[[#This Row],[Average buy price]])*Table25[[#This Row],[Total Sold number of stocks]],0)</f>
        <v>20.99999999999995</v>
      </c>
      <c r="Q283" s="85">
        <f>SUMIF(Table25[[#All],[Assets]],Table25[[#This Row],[Assets]],Table25[[#All],[Number of stocks]])</f>
        <v>0</v>
      </c>
    </row>
    <row r="284" spans="1:17">
      <c r="A284" t="e" vm="386">
        <v>#VALUE!</v>
      </c>
      <c r="B284" s="2">
        <v>45520</v>
      </c>
      <c r="C284" t="str" cm="1">
        <f t="array" aca="1" ref="C284" ca="1">_FV(A284,"Ticker symbol",TRUE)</f>
        <v>BSX</v>
      </c>
      <c r="D284" s="4">
        <v>78.13</v>
      </c>
      <c r="E284" s="50">
        <v>5</v>
      </c>
      <c r="F284" s="81">
        <f>IF(Table25[[#This Row],[Number of stocks]]&gt;0,Table25[[#This Row],[Number of stocks]],0)</f>
        <v>5</v>
      </c>
      <c r="G284" s="73">
        <f>Table25[[#This Row],[Bought]]*Table25[[#This Row],[Price]]</f>
        <v>390.65</v>
      </c>
      <c r="H284">
        <f>SUMIF(Table25[[#All],[Assets]],Table25[[#This Row],[Assets]],Table25[[#All],[Bought]])</f>
        <v>10</v>
      </c>
      <c r="I284">
        <f>SUMIF(Table25[[#All],[Assets]],Table25[[#This Row],[Assets]],Table25[[#All],[Bought Amount]])</f>
        <v>784.7</v>
      </c>
      <c r="J284" s="88">
        <f>IF(Table25[[#This Row],[Number of stocks]]&lt;0,Table25[[#This Row],[Number of stocks]],0)</f>
        <v>0</v>
      </c>
      <c r="K284" s="5">
        <f>Table25[[#This Row],[Sold]]*Table25[[#This Row],[Price]]</f>
        <v>0</v>
      </c>
      <c r="L284" s="8">
        <f>ABS(SUMIF(Table25[[#All],[Assets]],Table25[[#This Row],[Assets]],Table25[[#All],[Sold]]))</f>
        <v>10</v>
      </c>
      <c r="M284" s="5">
        <f>ABS(SUMIF(Table25[[#All],[Assets]],Table25[[#This Row],[Assets]],Table25[[#All],[Sold Amount]]))</f>
        <v>847.09999999999991</v>
      </c>
      <c r="N284" s="5">
        <f>IFERROR(Table25[[#This Row],[Total sold amount]]/Table25[[#This Row],[Total Sold number of stocks]],"")</f>
        <v>84.71</v>
      </c>
      <c r="O284" s="4">
        <f>IFERROR(Table25[[#This Row],[Total Amount bought]]/Table25[[#This Row],[Total number bought]],"")</f>
        <v>78.47</v>
      </c>
      <c r="P284" s="4">
        <f>IFERROR((Table25[[#This Row],[Average sell price]]-Table25[[#This Row],[Average buy price]])*Table25[[#This Row],[Total Sold number of stocks]],0)</f>
        <v>62.399999999999949</v>
      </c>
      <c r="Q284" s="85">
        <f>SUMIF(Table25[[#All],[Assets]],Table25[[#This Row],[Assets]],Table25[[#All],[Number of stocks]])</f>
        <v>0</v>
      </c>
    </row>
    <row r="285" spans="1:17">
      <c r="A285" t="e" vm="308">
        <v>#VALUE!</v>
      </c>
      <c r="B285" s="2">
        <v>45520</v>
      </c>
      <c r="C285" t="str" cm="1">
        <f t="array" aca="1" ref="C285" ca="1">_FV(A285,"Ticker symbol",TRUE)</f>
        <v>INSP</v>
      </c>
      <c r="D285" s="4">
        <v>192.49</v>
      </c>
      <c r="E285" s="50">
        <v>3</v>
      </c>
      <c r="F285" s="81">
        <f>IF(Table25[[#This Row],[Number of stocks]]&gt;0,Table25[[#This Row],[Number of stocks]],0)</f>
        <v>3</v>
      </c>
      <c r="G285" s="73">
        <f>Table25[[#This Row],[Bought]]*Table25[[#This Row],[Price]]</f>
        <v>577.47</v>
      </c>
      <c r="H285">
        <f>SUMIF(Table25[[#All],[Assets]],Table25[[#This Row],[Assets]],Table25[[#All],[Bought]])</f>
        <v>3</v>
      </c>
      <c r="I285">
        <f>SUMIF(Table25[[#All],[Assets]],Table25[[#This Row],[Assets]],Table25[[#All],[Bought Amount]])</f>
        <v>577.47</v>
      </c>
      <c r="J285" s="88">
        <f>IF(Table25[[#This Row],[Number of stocks]]&lt;0,Table25[[#This Row],[Number of stocks]],0)</f>
        <v>0</v>
      </c>
      <c r="K285" s="5">
        <f>Table25[[#This Row],[Sold]]*Table25[[#This Row],[Price]]</f>
        <v>0</v>
      </c>
      <c r="L285" s="8">
        <f>ABS(SUMIF(Table25[[#All],[Assets]],Table25[[#This Row],[Assets]],Table25[[#All],[Sold]]))</f>
        <v>3</v>
      </c>
      <c r="M285" s="5">
        <f>ABS(SUMIF(Table25[[#All],[Assets]],Table25[[#This Row],[Assets]],Table25[[#All],[Sold Amount]]))</f>
        <v>541.41</v>
      </c>
      <c r="N285" s="5">
        <f>IFERROR(Table25[[#This Row],[Total sold amount]]/Table25[[#This Row],[Total Sold number of stocks]],"")</f>
        <v>180.47</v>
      </c>
      <c r="O285" s="4">
        <f>IFERROR(Table25[[#This Row],[Total Amount bought]]/Table25[[#This Row],[Total number bought]],"")</f>
        <v>192.49</v>
      </c>
      <c r="P285" s="4">
        <f>IFERROR((Table25[[#This Row],[Average sell price]]-Table25[[#This Row],[Average buy price]])*Table25[[#This Row],[Total Sold number of stocks]],0)</f>
        <v>-36.060000000000031</v>
      </c>
      <c r="Q285" s="85">
        <f>SUMIF(Table25[[#All],[Assets]],Table25[[#This Row],[Assets]],Table25[[#All],[Number of stocks]])</f>
        <v>0</v>
      </c>
    </row>
    <row r="286" spans="1:17">
      <c r="A286" t="e" vm="273">
        <v>#VALUE!</v>
      </c>
      <c r="B286" s="2">
        <v>45520</v>
      </c>
      <c r="C286" t="str" cm="1">
        <f t="array" aca="1" ref="C286" ca="1">_FV(A286,"Ticker symbol",TRUE)</f>
        <v>CVRX</v>
      </c>
      <c r="D286" s="4">
        <v>8.4700000000000006</v>
      </c>
      <c r="E286" s="50">
        <v>50</v>
      </c>
      <c r="F286" s="81">
        <f>IF(Table25[[#This Row],[Number of stocks]]&gt;0,Table25[[#This Row],[Number of stocks]],0)</f>
        <v>50</v>
      </c>
      <c r="G286" s="73">
        <f>Table25[[#This Row],[Bought]]*Table25[[#This Row],[Price]]</f>
        <v>423.50000000000006</v>
      </c>
      <c r="H286">
        <f>SUMIF(Table25[[#All],[Assets]],Table25[[#This Row],[Assets]],Table25[[#All],[Bought]])</f>
        <v>560</v>
      </c>
      <c r="I286">
        <f>SUMIF(Table25[[#All],[Assets]],Table25[[#This Row],[Assets]],Table25[[#All],[Bought Amount]])</f>
        <v>5451</v>
      </c>
      <c r="J286" s="88">
        <f>IF(Table25[[#This Row],[Number of stocks]]&lt;0,Table25[[#This Row],[Number of stocks]],0)</f>
        <v>0</v>
      </c>
      <c r="K286" s="5">
        <f>Table25[[#This Row],[Sold]]*Table25[[#This Row],[Price]]</f>
        <v>0</v>
      </c>
      <c r="L286" s="8">
        <f>ABS(SUMIF(Table25[[#All],[Assets]],Table25[[#This Row],[Assets]],Table25[[#All],[Sold]]))</f>
        <v>560</v>
      </c>
      <c r="M286" s="5">
        <f>ABS(SUMIF(Table25[[#All],[Assets]],Table25[[#This Row],[Assets]],Table25[[#All],[Sold Amount]]))</f>
        <v>4910.5499999999993</v>
      </c>
      <c r="N286" s="5">
        <f>IFERROR(Table25[[#This Row],[Total sold amount]]/Table25[[#This Row],[Total Sold number of stocks]],"")</f>
        <v>8.7688392857142841</v>
      </c>
      <c r="O286" s="4">
        <f>IFERROR(Table25[[#This Row],[Total Amount bought]]/Table25[[#This Row],[Total number bought]],"")</f>
        <v>9.7339285714285708</v>
      </c>
      <c r="P286" s="4">
        <f>IFERROR((Table25[[#This Row],[Average sell price]]-Table25[[#This Row],[Average buy price]])*Table25[[#This Row],[Total Sold number of stocks]],0)</f>
        <v>-540.45000000000061</v>
      </c>
      <c r="Q286" s="85">
        <f>SUMIF(Table25[[#All],[Assets]],Table25[[#This Row],[Assets]],Table25[[#All],[Number of stocks]])</f>
        <v>0</v>
      </c>
    </row>
    <row r="287" spans="1:17">
      <c r="A287" t="e" vm="77">
        <v>#VALUE!</v>
      </c>
      <c r="B287" s="2">
        <v>45520</v>
      </c>
      <c r="C287" t="str" cm="1">
        <f t="array" aca="1" ref="C287" ca="1">_FV(A287,"Ticker symbol",TRUE)</f>
        <v>STIM</v>
      </c>
      <c r="D287" s="4">
        <v>1.17</v>
      </c>
      <c r="E287" s="50">
        <v>20</v>
      </c>
      <c r="F287" s="81">
        <f>IF(Table25[[#This Row],[Number of stocks]]&gt;0,Table25[[#This Row],[Number of stocks]],0)</f>
        <v>20</v>
      </c>
      <c r="G287" s="73">
        <f>Table25[[#This Row],[Bought]]*Table25[[#This Row],[Price]]</f>
        <v>23.4</v>
      </c>
      <c r="H287">
        <f>SUMIF(Table25[[#All],[Assets]],Table25[[#This Row],[Assets]],Table25[[#All],[Bought]])</f>
        <v>7036.45</v>
      </c>
      <c r="I287">
        <f>SUMIF(Table25[[#All],[Assets]],Table25[[#This Row],[Assets]],Table25[[#All],[Bought Amount]])</f>
        <v>19162.260000000002</v>
      </c>
      <c r="J287" s="88">
        <f>IF(Table25[[#This Row],[Number of stocks]]&lt;0,Table25[[#This Row],[Number of stocks]],0)</f>
        <v>0</v>
      </c>
      <c r="K287" s="5">
        <f>Table25[[#This Row],[Sold]]*Table25[[#This Row],[Price]]</f>
        <v>0</v>
      </c>
      <c r="L287" s="8">
        <f>ABS(SUMIF(Table25[[#All],[Assets]],Table25[[#This Row],[Assets]],Table25[[#All],[Sold]]))</f>
        <v>6686.45</v>
      </c>
      <c r="M287" s="5">
        <f>ABS(SUMIF(Table25[[#All],[Assets]],Table25[[#This Row],[Assets]],Table25[[#All],[Sold Amount]]))</f>
        <v>19226.484999999997</v>
      </c>
      <c r="N287" s="5">
        <f>IFERROR(Table25[[#This Row],[Total sold amount]]/Table25[[#This Row],[Total Sold number of stocks]],"")</f>
        <v>2.8754398821497205</v>
      </c>
      <c r="O287" s="4">
        <f>IFERROR(Table25[[#This Row],[Total Amount bought]]/Table25[[#This Row],[Total number bought]],"")</f>
        <v>2.7232851793162749</v>
      </c>
      <c r="P287" s="4">
        <f>IFERROR((Table25[[#This Row],[Average sell price]]-Table25[[#This Row],[Average buy price]])*Table25[[#This Row],[Total Sold number of stocks]],0)</f>
        <v>1017.3748127606921</v>
      </c>
      <c r="Q287" s="85">
        <f>SUMIF(Table25[[#All],[Assets]],Table25[[#This Row],[Assets]],Table25[[#All],[Number of stocks]])</f>
        <v>349.99999999999977</v>
      </c>
    </row>
    <row r="288" spans="1:17">
      <c r="A288" t="e" vm="109">
        <v>#VALUE!</v>
      </c>
      <c r="B288" s="2">
        <v>45520</v>
      </c>
      <c r="C288" t="str" cm="1">
        <f t="array" aca="1" ref="C288" ca="1">_FV(A288,"Ticker symbol",TRUE)</f>
        <v>XLF</v>
      </c>
      <c r="D288" s="4">
        <v>43.77</v>
      </c>
      <c r="E288" s="50">
        <v>-5</v>
      </c>
      <c r="F288" s="81">
        <f>IF(Table25[[#This Row],[Number of stocks]]&gt;0,Table25[[#This Row],[Number of stocks]],0)</f>
        <v>0</v>
      </c>
      <c r="G288" s="73">
        <f>Table25[[#This Row],[Bought]]*Table25[[#This Row],[Price]]</f>
        <v>0</v>
      </c>
      <c r="H288">
        <f>SUMIF(Table25[[#All],[Assets]],Table25[[#This Row],[Assets]],Table25[[#All],[Bought]])</f>
        <v>8</v>
      </c>
      <c r="I288">
        <f>SUMIF(Table25[[#All],[Assets]],Table25[[#This Row],[Assets]],Table25[[#All],[Bought Amount]])</f>
        <v>301.14999999999998</v>
      </c>
      <c r="J288" s="88">
        <f>IF(Table25[[#This Row],[Number of stocks]]&lt;0,Table25[[#This Row],[Number of stocks]],0)</f>
        <v>-5</v>
      </c>
      <c r="K288" s="5">
        <f>Table25[[#This Row],[Sold]]*Table25[[#This Row],[Price]]</f>
        <v>-218.85000000000002</v>
      </c>
      <c r="L288" s="8">
        <f>ABS(SUMIF(Table25[[#All],[Assets]],Table25[[#This Row],[Assets]],Table25[[#All],[Sold]]))</f>
        <v>8</v>
      </c>
      <c r="M288" s="5">
        <f>ABS(SUMIF(Table25[[#All],[Assets]],Table25[[#This Row],[Assets]],Table25[[#All],[Sold Amount]]))</f>
        <v>350.16</v>
      </c>
      <c r="N288" s="5">
        <f>IFERROR(Table25[[#This Row],[Total sold amount]]/Table25[[#This Row],[Total Sold number of stocks]],"")</f>
        <v>43.77</v>
      </c>
      <c r="O288" s="4">
        <f>IFERROR(Table25[[#This Row],[Total Amount bought]]/Table25[[#This Row],[Total number bought]],"")</f>
        <v>37.643749999999997</v>
      </c>
      <c r="P288" s="4">
        <f>IFERROR((Table25[[#This Row],[Average sell price]]-Table25[[#This Row],[Average buy price]])*Table25[[#This Row],[Total Sold number of stocks]],0)</f>
        <v>49.010000000000048</v>
      </c>
      <c r="Q288" s="85">
        <f>SUMIF(Table25[[#All],[Assets]],Table25[[#This Row],[Assets]],Table25[[#All],[Number of stocks]])</f>
        <v>0</v>
      </c>
    </row>
    <row r="289" spans="1:17">
      <c r="A289" t="e" vm="109">
        <v>#VALUE!</v>
      </c>
      <c r="B289" s="2">
        <v>45520</v>
      </c>
      <c r="C289" t="str" cm="1">
        <f t="array" aca="1" ref="C289" ca="1">_FV(A289,"Ticker symbol",TRUE)</f>
        <v>XLF</v>
      </c>
      <c r="D289" s="4">
        <v>43.77</v>
      </c>
      <c r="E289" s="50">
        <v>-3</v>
      </c>
      <c r="F289" s="81">
        <f>IF(Table25[[#This Row],[Number of stocks]]&gt;0,Table25[[#This Row],[Number of stocks]],0)</f>
        <v>0</v>
      </c>
      <c r="G289" s="73">
        <f>Table25[[#This Row],[Bought]]*Table25[[#This Row],[Price]]</f>
        <v>0</v>
      </c>
      <c r="H289">
        <f>SUMIF(Table25[[#All],[Assets]],Table25[[#This Row],[Assets]],Table25[[#All],[Bought]])</f>
        <v>8</v>
      </c>
      <c r="I289">
        <f>SUMIF(Table25[[#All],[Assets]],Table25[[#This Row],[Assets]],Table25[[#All],[Bought Amount]])</f>
        <v>301.14999999999998</v>
      </c>
      <c r="J289" s="88">
        <f>IF(Table25[[#This Row],[Number of stocks]]&lt;0,Table25[[#This Row],[Number of stocks]],0)</f>
        <v>-3</v>
      </c>
      <c r="K289" s="5">
        <f>Table25[[#This Row],[Sold]]*Table25[[#This Row],[Price]]</f>
        <v>-131.31</v>
      </c>
      <c r="L289" s="8">
        <f>ABS(SUMIF(Table25[[#All],[Assets]],Table25[[#This Row],[Assets]],Table25[[#All],[Sold]]))</f>
        <v>8</v>
      </c>
      <c r="M289" s="5">
        <f>ABS(SUMIF(Table25[[#All],[Assets]],Table25[[#This Row],[Assets]],Table25[[#All],[Sold Amount]]))</f>
        <v>350.16</v>
      </c>
      <c r="N289" s="5">
        <f>IFERROR(Table25[[#This Row],[Total sold amount]]/Table25[[#This Row],[Total Sold number of stocks]],"")</f>
        <v>43.77</v>
      </c>
      <c r="O289" s="4">
        <f>IFERROR(Table25[[#This Row],[Total Amount bought]]/Table25[[#This Row],[Total number bought]],"")</f>
        <v>37.643749999999997</v>
      </c>
      <c r="P289" s="4">
        <f>IFERROR((Table25[[#This Row],[Average sell price]]-Table25[[#This Row],[Average buy price]])*Table25[[#This Row],[Total Sold number of stocks]],0)</f>
        <v>49.010000000000048</v>
      </c>
      <c r="Q289" s="85">
        <f>SUMIF(Table25[[#All],[Assets]],Table25[[#This Row],[Assets]],Table25[[#All],[Number of stocks]])</f>
        <v>0</v>
      </c>
    </row>
    <row r="290" spans="1:17">
      <c r="A290" t="e" vm="77">
        <v>#VALUE!</v>
      </c>
      <c r="B290" s="2">
        <v>45520</v>
      </c>
      <c r="C290" t="str" cm="1">
        <f t="array" aca="1" ref="C290" ca="1">_FV(A290,"Ticker symbol",TRUE)</f>
        <v>STIM</v>
      </c>
      <c r="D290" s="4">
        <v>1.17</v>
      </c>
      <c r="E290" s="50">
        <v>180</v>
      </c>
      <c r="F290" s="81">
        <f>IF(Table25[[#This Row],[Number of stocks]]&gt;0,Table25[[#This Row],[Number of stocks]],0)</f>
        <v>180</v>
      </c>
      <c r="G290" s="73">
        <f>Table25[[#This Row],[Bought]]*Table25[[#This Row],[Price]]</f>
        <v>210.6</v>
      </c>
      <c r="H290">
        <f>SUMIF(Table25[[#All],[Assets]],Table25[[#This Row],[Assets]],Table25[[#All],[Bought]])</f>
        <v>7036.45</v>
      </c>
      <c r="I290">
        <f>SUMIF(Table25[[#All],[Assets]],Table25[[#This Row],[Assets]],Table25[[#All],[Bought Amount]])</f>
        <v>19162.260000000002</v>
      </c>
      <c r="J290" s="88">
        <f>IF(Table25[[#This Row],[Number of stocks]]&lt;0,Table25[[#This Row],[Number of stocks]],0)</f>
        <v>0</v>
      </c>
      <c r="K290" s="5">
        <f>Table25[[#This Row],[Sold]]*Table25[[#This Row],[Price]]</f>
        <v>0</v>
      </c>
      <c r="L290" s="8">
        <f>ABS(SUMIF(Table25[[#All],[Assets]],Table25[[#This Row],[Assets]],Table25[[#All],[Sold]]))</f>
        <v>6686.45</v>
      </c>
      <c r="M290" s="5">
        <f>ABS(SUMIF(Table25[[#All],[Assets]],Table25[[#This Row],[Assets]],Table25[[#All],[Sold Amount]]))</f>
        <v>19226.484999999997</v>
      </c>
      <c r="N290" s="5">
        <f>IFERROR(Table25[[#This Row],[Total sold amount]]/Table25[[#This Row],[Total Sold number of stocks]],"")</f>
        <v>2.8754398821497205</v>
      </c>
      <c r="O290" s="4">
        <f>IFERROR(Table25[[#This Row],[Total Amount bought]]/Table25[[#This Row],[Total number bought]],"")</f>
        <v>2.7232851793162749</v>
      </c>
      <c r="P290" s="4">
        <f>IFERROR((Table25[[#This Row],[Average sell price]]-Table25[[#This Row],[Average buy price]])*Table25[[#This Row],[Total Sold number of stocks]],0)</f>
        <v>1017.3748127606921</v>
      </c>
      <c r="Q290" s="85">
        <f>SUMIF(Table25[[#All],[Assets]],Table25[[#This Row],[Assets]],Table25[[#All],[Number of stocks]])</f>
        <v>349.99999999999977</v>
      </c>
    </row>
    <row r="291" spans="1:17">
      <c r="A291" t="e" vm="77">
        <v>#VALUE!</v>
      </c>
      <c r="B291" s="2">
        <v>45520</v>
      </c>
      <c r="C291" t="str" cm="1">
        <f t="array" aca="1" ref="C291" ca="1">_FV(A291,"Ticker symbol",TRUE)</f>
        <v>STIM</v>
      </c>
      <c r="D291" s="4">
        <v>1.17</v>
      </c>
      <c r="E291" s="50">
        <v>180</v>
      </c>
      <c r="F291" s="81">
        <f>IF(Table25[[#This Row],[Number of stocks]]&gt;0,Table25[[#This Row],[Number of stocks]],0)</f>
        <v>180</v>
      </c>
      <c r="G291" s="73">
        <f>Table25[[#This Row],[Bought]]*Table25[[#This Row],[Price]]</f>
        <v>210.6</v>
      </c>
      <c r="H291">
        <f>SUMIF(Table25[[#All],[Assets]],Table25[[#This Row],[Assets]],Table25[[#All],[Bought]])</f>
        <v>7036.45</v>
      </c>
      <c r="I291">
        <f>SUMIF(Table25[[#All],[Assets]],Table25[[#This Row],[Assets]],Table25[[#All],[Bought Amount]])</f>
        <v>19162.260000000002</v>
      </c>
      <c r="J291" s="88">
        <f>IF(Table25[[#This Row],[Number of stocks]]&lt;0,Table25[[#This Row],[Number of stocks]],0)</f>
        <v>0</v>
      </c>
      <c r="K291" s="5">
        <f>Table25[[#This Row],[Sold]]*Table25[[#This Row],[Price]]</f>
        <v>0</v>
      </c>
      <c r="L291" s="8">
        <f>ABS(SUMIF(Table25[[#All],[Assets]],Table25[[#This Row],[Assets]],Table25[[#All],[Sold]]))</f>
        <v>6686.45</v>
      </c>
      <c r="M291" s="5">
        <f>ABS(SUMIF(Table25[[#All],[Assets]],Table25[[#This Row],[Assets]],Table25[[#All],[Sold Amount]]))</f>
        <v>19226.484999999997</v>
      </c>
      <c r="N291" s="5">
        <f>IFERROR(Table25[[#This Row],[Total sold amount]]/Table25[[#This Row],[Total Sold number of stocks]],"")</f>
        <v>2.8754398821497205</v>
      </c>
      <c r="O291" s="4">
        <f>IFERROR(Table25[[#This Row],[Total Amount bought]]/Table25[[#This Row],[Total number bought]],"")</f>
        <v>2.7232851793162749</v>
      </c>
      <c r="P291" s="4">
        <f>IFERROR((Table25[[#This Row],[Average sell price]]-Table25[[#This Row],[Average buy price]])*Table25[[#This Row],[Total Sold number of stocks]],0)</f>
        <v>1017.3748127606921</v>
      </c>
      <c r="Q291" s="85">
        <f>SUMIF(Table25[[#All],[Assets]],Table25[[#This Row],[Assets]],Table25[[#All],[Number of stocks]])</f>
        <v>349.99999999999977</v>
      </c>
    </row>
    <row r="292" spans="1:17">
      <c r="A292" t="e" vm="304">
        <v>#VALUE!</v>
      </c>
      <c r="B292" s="2">
        <v>45520</v>
      </c>
      <c r="C292" t="str" cm="1">
        <f t="array" aca="1" ref="C292" ca="1">_FV(A292,"Ticker symbol",TRUE)</f>
        <v>RXRX</v>
      </c>
      <c r="D292" s="4">
        <v>6.73</v>
      </c>
      <c r="E292" s="50">
        <v>35</v>
      </c>
      <c r="F292" s="81">
        <f>IF(Table25[[#This Row],[Number of stocks]]&gt;0,Table25[[#This Row],[Number of stocks]],0)</f>
        <v>35</v>
      </c>
      <c r="G292" s="73">
        <f>Table25[[#This Row],[Bought]]*Table25[[#This Row],[Price]]</f>
        <v>235.55</v>
      </c>
      <c r="H292">
        <f>SUMIF(Table25[[#All],[Assets]],Table25[[#This Row],[Assets]],Table25[[#All],[Bought]])</f>
        <v>70</v>
      </c>
      <c r="I292">
        <f>SUMIF(Table25[[#All],[Assets]],Table25[[#This Row],[Assets]],Table25[[#All],[Bought Amount]])</f>
        <v>594.65</v>
      </c>
      <c r="J292" s="88">
        <f>IF(Table25[[#This Row],[Number of stocks]]&lt;0,Table25[[#This Row],[Number of stocks]],0)</f>
        <v>0</v>
      </c>
      <c r="K292" s="5">
        <f>Table25[[#This Row],[Sold]]*Table25[[#This Row],[Price]]</f>
        <v>0</v>
      </c>
      <c r="L292" s="8">
        <f>ABS(SUMIF(Table25[[#All],[Assets]],Table25[[#This Row],[Assets]],Table25[[#All],[Sold]]))</f>
        <v>70</v>
      </c>
      <c r="M292" s="5">
        <f>ABS(SUMIF(Table25[[#All],[Assets]],Table25[[#This Row],[Assets]],Table25[[#All],[Sold Amount]]))</f>
        <v>475.3</v>
      </c>
      <c r="N292" s="5">
        <f>IFERROR(Table25[[#This Row],[Total sold amount]]/Table25[[#This Row],[Total Sold number of stocks]],"")</f>
        <v>6.79</v>
      </c>
      <c r="O292" s="4">
        <f>IFERROR(Table25[[#This Row],[Total Amount bought]]/Table25[[#This Row],[Total number bought]],"")</f>
        <v>8.4949999999999992</v>
      </c>
      <c r="P292" s="4">
        <f>IFERROR((Table25[[#This Row],[Average sell price]]-Table25[[#This Row],[Average buy price]])*Table25[[#This Row],[Total Sold number of stocks]],0)</f>
        <v>-119.34999999999994</v>
      </c>
      <c r="Q292" s="85">
        <f>SUMIF(Table25[[#All],[Assets]],Table25[[#This Row],[Assets]],Table25[[#All],[Number of stocks]])</f>
        <v>0</v>
      </c>
    </row>
    <row r="293" spans="1:17">
      <c r="A293" t="e" vm="77">
        <v>#VALUE!</v>
      </c>
      <c r="B293" s="2">
        <v>45520</v>
      </c>
      <c r="C293" t="str" cm="1">
        <f t="array" aca="1" ref="C293" ca="1">_FV(A293,"Ticker symbol",TRUE)</f>
        <v>STIM</v>
      </c>
      <c r="D293" s="4">
        <v>1.17</v>
      </c>
      <c r="E293" s="50">
        <v>200</v>
      </c>
      <c r="F293" s="81">
        <f>IF(Table25[[#This Row],[Number of stocks]]&gt;0,Table25[[#This Row],[Number of stocks]],0)</f>
        <v>200</v>
      </c>
      <c r="G293" s="73">
        <f>Table25[[#This Row],[Bought]]*Table25[[#This Row],[Price]]</f>
        <v>234</v>
      </c>
      <c r="H293">
        <f>SUMIF(Table25[[#All],[Assets]],Table25[[#This Row],[Assets]],Table25[[#All],[Bought]])</f>
        <v>7036.45</v>
      </c>
      <c r="I293">
        <f>SUMIF(Table25[[#All],[Assets]],Table25[[#This Row],[Assets]],Table25[[#All],[Bought Amount]])</f>
        <v>19162.260000000002</v>
      </c>
      <c r="J293" s="88">
        <f>IF(Table25[[#This Row],[Number of stocks]]&lt;0,Table25[[#This Row],[Number of stocks]],0)</f>
        <v>0</v>
      </c>
      <c r="K293" s="5">
        <f>Table25[[#This Row],[Sold]]*Table25[[#This Row],[Price]]</f>
        <v>0</v>
      </c>
      <c r="L293" s="8">
        <f>ABS(SUMIF(Table25[[#All],[Assets]],Table25[[#This Row],[Assets]],Table25[[#All],[Sold]]))</f>
        <v>6686.45</v>
      </c>
      <c r="M293" s="5">
        <f>ABS(SUMIF(Table25[[#All],[Assets]],Table25[[#This Row],[Assets]],Table25[[#All],[Sold Amount]]))</f>
        <v>19226.484999999997</v>
      </c>
      <c r="N293" s="5">
        <f>IFERROR(Table25[[#This Row],[Total sold amount]]/Table25[[#This Row],[Total Sold number of stocks]],"")</f>
        <v>2.8754398821497205</v>
      </c>
      <c r="O293" s="4">
        <f>IFERROR(Table25[[#This Row],[Total Amount bought]]/Table25[[#This Row],[Total number bought]],"")</f>
        <v>2.7232851793162749</v>
      </c>
      <c r="P293" s="4">
        <f>IFERROR((Table25[[#This Row],[Average sell price]]-Table25[[#This Row],[Average buy price]])*Table25[[#This Row],[Total Sold number of stocks]],0)</f>
        <v>1017.3748127606921</v>
      </c>
      <c r="Q293" s="85">
        <f>SUMIF(Table25[[#All],[Assets]],Table25[[#This Row],[Assets]],Table25[[#All],[Number of stocks]])</f>
        <v>349.99999999999977</v>
      </c>
    </row>
    <row r="294" spans="1:17">
      <c r="A294" t="e" vm="461">
        <v>#VALUE!</v>
      </c>
      <c r="B294" s="2">
        <v>45520</v>
      </c>
      <c r="C294" t="str" cm="1">
        <f t="array" aca="1" ref="C294" ca="1">_FV(A294,"Ticker symbol",TRUE)</f>
        <v>SVIX</v>
      </c>
      <c r="D294" s="4">
        <v>31.7</v>
      </c>
      <c r="E294" s="50">
        <v>-9</v>
      </c>
      <c r="F294" s="81">
        <f>IF(Table25[[#This Row],[Number of stocks]]&gt;0,Table25[[#This Row],[Number of stocks]],0)</f>
        <v>0</v>
      </c>
      <c r="G294" s="73">
        <f>Table25[[#This Row],[Bought]]*Table25[[#This Row],[Price]]</f>
        <v>0</v>
      </c>
      <c r="H294">
        <f>SUMIF(Table25[[#All],[Assets]],Table25[[#This Row],[Assets]],Table25[[#All],[Bought]])</f>
        <v>209</v>
      </c>
      <c r="I294">
        <f>SUMIF(Table25[[#All],[Assets]],Table25[[#This Row],[Assets]],Table25[[#All],[Bought Amount]])</f>
        <v>2907</v>
      </c>
      <c r="J294" s="88">
        <f>IF(Table25[[#This Row],[Number of stocks]]&lt;0,Table25[[#This Row],[Number of stocks]],0)</f>
        <v>-9</v>
      </c>
      <c r="K294" s="5">
        <f>Table25[[#This Row],[Sold]]*Table25[[#This Row],[Price]]</f>
        <v>-285.3</v>
      </c>
      <c r="L294" s="8">
        <f>ABS(SUMIF(Table25[[#All],[Assets]],Table25[[#This Row],[Assets]],Table25[[#All],[Sold]]))</f>
        <v>209</v>
      </c>
      <c r="M294" s="5">
        <f>ABS(SUMIF(Table25[[#All],[Assets]],Table25[[#This Row],[Assets]],Table25[[#All],[Sold Amount]]))</f>
        <v>2607.3000000000002</v>
      </c>
      <c r="N294" s="5">
        <f>IFERROR(Table25[[#This Row],[Total sold amount]]/Table25[[#This Row],[Total Sold number of stocks]],"")</f>
        <v>12.47511961722488</v>
      </c>
      <c r="O294" s="4">
        <f>IFERROR(Table25[[#This Row],[Total Amount bought]]/Table25[[#This Row],[Total number bought]],"")</f>
        <v>13.909090909090908</v>
      </c>
      <c r="P294" s="4">
        <f>IFERROR((Table25[[#This Row],[Average sell price]]-Table25[[#This Row],[Average buy price]])*Table25[[#This Row],[Total Sold number of stocks]],0)</f>
        <v>-299.69999999999982</v>
      </c>
      <c r="Q294" s="85">
        <f>SUMIF(Table25[[#All],[Assets]],Table25[[#This Row],[Assets]],Table25[[#All],[Number of stocks]])</f>
        <v>0</v>
      </c>
    </row>
    <row r="295" spans="1:17">
      <c r="A295" t="e" vm="259">
        <v>#VALUE!</v>
      </c>
      <c r="B295" s="2">
        <v>45520</v>
      </c>
      <c r="C295" t="str" cm="1">
        <f t="array" aca="1" ref="C295" ca="1">_FV(A295,"Ticker symbol",TRUE)</f>
        <v>GRAL</v>
      </c>
      <c r="D295" s="4">
        <v>17</v>
      </c>
      <c r="E295" s="50">
        <v>15</v>
      </c>
      <c r="F295" s="81">
        <f>IF(Table25[[#This Row],[Number of stocks]]&gt;0,Table25[[#This Row],[Number of stocks]],0)</f>
        <v>15</v>
      </c>
      <c r="G295" s="73">
        <f>Table25[[#This Row],[Bought]]*Table25[[#This Row],[Price]]</f>
        <v>255</v>
      </c>
      <c r="H295">
        <f>SUMIF(Table25[[#All],[Assets]],Table25[[#This Row],[Assets]],Table25[[#All],[Bought]])</f>
        <v>100</v>
      </c>
      <c r="I295">
        <f>SUMIF(Table25[[#All],[Assets]],Table25[[#This Row],[Assets]],Table25[[#All],[Bought Amount]])</f>
        <v>1720.3</v>
      </c>
      <c r="J295" s="88">
        <f>IF(Table25[[#This Row],[Number of stocks]]&lt;0,Table25[[#This Row],[Number of stocks]],0)</f>
        <v>0</v>
      </c>
      <c r="K295" s="5">
        <f>Table25[[#This Row],[Sold]]*Table25[[#This Row],[Price]]</f>
        <v>0</v>
      </c>
      <c r="L295" s="8">
        <f>ABS(SUMIF(Table25[[#All],[Assets]],Table25[[#This Row],[Assets]],Table25[[#All],[Sold]]))</f>
        <v>100</v>
      </c>
      <c r="M295" s="5">
        <f>ABS(SUMIF(Table25[[#All],[Assets]],Table25[[#This Row],[Assets]],Table25[[#All],[Sold Amount]]))</f>
        <v>2684.8</v>
      </c>
      <c r="N295" s="5">
        <f>IFERROR(Table25[[#This Row],[Total sold amount]]/Table25[[#This Row],[Total Sold number of stocks]],"")</f>
        <v>26.848000000000003</v>
      </c>
      <c r="O295" s="4">
        <f>IFERROR(Table25[[#This Row],[Total Amount bought]]/Table25[[#This Row],[Total number bought]],"")</f>
        <v>17.202999999999999</v>
      </c>
      <c r="P295" s="4">
        <f>IFERROR((Table25[[#This Row],[Average sell price]]-Table25[[#This Row],[Average buy price]])*Table25[[#This Row],[Total Sold number of stocks]],0)</f>
        <v>964.50000000000034</v>
      </c>
      <c r="Q295" s="85">
        <f>SUMIF(Table25[[#All],[Assets]],Table25[[#This Row],[Assets]],Table25[[#All],[Number of stocks]])</f>
        <v>0</v>
      </c>
    </row>
    <row r="296" spans="1:17">
      <c r="A296" t="e" vm="94">
        <v>#VALUE!</v>
      </c>
      <c r="B296" s="2">
        <v>45520</v>
      </c>
      <c r="C296" t="str" cm="1">
        <f t="array" aca="1" ref="C296" ca="1">_FV(A296,"Ticker symbol",TRUE)</f>
        <v>MAG</v>
      </c>
      <c r="D296" s="4">
        <v>12.81</v>
      </c>
      <c r="E296" s="50">
        <v>-2</v>
      </c>
      <c r="F296" s="81">
        <f>IF(Table25[[#This Row],[Number of stocks]]&gt;0,Table25[[#This Row],[Number of stocks]],0)</f>
        <v>0</v>
      </c>
      <c r="G296" s="73">
        <f>Table25[[#This Row],[Bought]]*Table25[[#This Row],[Price]]</f>
        <v>0</v>
      </c>
      <c r="H296">
        <f>SUMIF(Table25[[#All],[Assets]],Table25[[#This Row],[Assets]],Table25[[#All],[Bought]])</f>
        <v>2</v>
      </c>
      <c r="I296">
        <f>SUMIF(Table25[[#All],[Assets]],Table25[[#This Row],[Assets]],Table25[[#All],[Bought Amount]])</f>
        <v>25.68</v>
      </c>
      <c r="J296" s="88">
        <f>IF(Table25[[#This Row],[Number of stocks]]&lt;0,Table25[[#This Row],[Number of stocks]],0)</f>
        <v>-2</v>
      </c>
      <c r="K296" s="5">
        <f>Table25[[#This Row],[Sold]]*Table25[[#This Row],[Price]]</f>
        <v>-25.62</v>
      </c>
      <c r="L296" s="8">
        <f>ABS(SUMIF(Table25[[#All],[Assets]],Table25[[#This Row],[Assets]],Table25[[#All],[Sold]]))</f>
        <v>2</v>
      </c>
      <c r="M296" s="5">
        <f>ABS(SUMIF(Table25[[#All],[Assets]],Table25[[#This Row],[Assets]],Table25[[#All],[Sold Amount]]))</f>
        <v>25.62</v>
      </c>
      <c r="N296" s="5">
        <f>IFERROR(Table25[[#This Row],[Total sold amount]]/Table25[[#This Row],[Total Sold number of stocks]],"")</f>
        <v>12.81</v>
      </c>
      <c r="O296" s="4">
        <f>IFERROR(Table25[[#This Row],[Total Amount bought]]/Table25[[#This Row],[Total number bought]],"")</f>
        <v>12.84</v>
      </c>
      <c r="P296" s="4">
        <f>IFERROR((Table25[[#This Row],[Average sell price]]-Table25[[#This Row],[Average buy price]])*Table25[[#This Row],[Total Sold number of stocks]],0)</f>
        <v>-5.9999999999998721E-2</v>
      </c>
      <c r="Q296" s="85">
        <f>SUMIF(Table25[[#All],[Assets]],Table25[[#This Row],[Assets]],Table25[[#All],[Number of stocks]])</f>
        <v>0</v>
      </c>
    </row>
    <row r="297" spans="1:17">
      <c r="A297" t="e" vm="34">
        <v>#VALUE!</v>
      </c>
      <c r="B297" s="2">
        <v>45520</v>
      </c>
      <c r="C297" t="str" cm="1">
        <f t="array" aca="1" ref="C297" ca="1">_FV(A297,"Ticker symbol",TRUE)</f>
        <v>TSM</v>
      </c>
      <c r="D297" s="4">
        <v>174.36</v>
      </c>
      <c r="E297" s="50">
        <v>-7</v>
      </c>
      <c r="F297" s="81">
        <f>IF(Table25[[#This Row],[Number of stocks]]&gt;0,Table25[[#This Row],[Number of stocks]],0)</f>
        <v>0</v>
      </c>
      <c r="G297" s="73">
        <f>Table25[[#This Row],[Bought]]*Table25[[#This Row],[Price]]</f>
        <v>0</v>
      </c>
      <c r="H297">
        <f>SUMIF(Table25[[#All],[Assets]],Table25[[#This Row],[Assets]],Table25[[#All],[Bought]])</f>
        <v>45</v>
      </c>
      <c r="I297">
        <f>SUMIF(Table25[[#All],[Assets]],Table25[[#This Row],[Assets]],Table25[[#All],[Bought Amount]])</f>
        <v>7503.4800000000005</v>
      </c>
      <c r="J297" s="88">
        <f>IF(Table25[[#This Row],[Number of stocks]]&lt;0,Table25[[#This Row],[Number of stocks]],0)</f>
        <v>-7</v>
      </c>
      <c r="K297" s="5">
        <f>Table25[[#This Row],[Sold]]*Table25[[#This Row],[Price]]</f>
        <v>-1220.52</v>
      </c>
      <c r="L297" s="8">
        <f>ABS(SUMIF(Table25[[#All],[Assets]],Table25[[#This Row],[Assets]],Table25[[#All],[Sold]]))</f>
        <v>44</v>
      </c>
      <c r="M297" s="5">
        <f>ABS(SUMIF(Table25[[#All],[Assets]],Table25[[#This Row],[Assets]],Table25[[#All],[Sold Amount]]))</f>
        <v>7951.28</v>
      </c>
      <c r="N297" s="5">
        <f>IFERROR(Table25[[#This Row],[Total sold amount]]/Table25[[#This Row],[Total Sold number of stocks]],"")</f>
        <v>180.7109090909091</v>
      </c>
      <c r="O297" s="4">
        <f>IFERROR(Table25[[#This Row],[Total Amount bought]]/Table25[[#This Row],[Total number bought]],"")</f>
        <v>166.744</v>
      </c>
      <c r="P297" s="4">
        <f>IFERROR((Table25[[#This Row],[Average sell price]]-Table25[[#This Row],[Average buy price]])*Table25[[#This Row],[Total Sold number of stocks]],0)</f>
        <v>614.54400000000032</v>
      </c>
      <c r="Q297" s="85">
        <f>SUMIF(Table25[[#All],[Assets]],Table25[[#This Row],[Assets]],Table25[[#All],[Number of stocks]])</f>
        <v>1</v>
      </c>
    </row>
    <row r="298" spans="1:17">
      <c r="A298" t="e" vm="443">
        <v>#VALUE!</v>
      </c>
      <c r="B298" s="2">
        <v>45520</v>
      </c>
      <c r="C298" t="str" cm="1">
        <f t="array" aca="1" ref="C298" ca="1">_FV(A298,"Ticker symbol",TRUE)</f>
        <v>MRK</v>
      </c>
      <c r="D298" s="4">
        <v>113.6</v>
      </c>
      <c r="E298" s="50">
        <v>5</v>
      </c>
      <c r="F298" s="81">
        <f>IF(Table25[[#This Row],[Number of stocks]]&gt;0,Table25[[#This Row],[Number of stocks]],0)</f>
        <v>5</v>
      </c>
      <c r="G298" s="73">
        <f>Table25[[#This Row],[Bought]]*Table25[[#This Row],[Price]]</f>
        <v>568</v>
      </c>
      <c r="H298">
        <f>SUMIF(Table25[[#All],[Assets]],Table25[[#This Row],[Assets]],Table25[[#All],[Bought]])</f>
        <v>5</v>
      </c>
      <c r="I298">
        <f>SUMIF(Table25[[#All],[Assets]],Table25[[#This Row],[Assets]],Table25[[#All],[Bought Amount]])</f>
        <v>568</v>
      </c>
      <c r="J298" s="88">
        <f>IF(Table25[[#This Row],[Number of stocks]]&lt;0,Table25[[#This Row],[Number of stocks]],0)</f>
        <v>0</v>
      </c>
      <c r="K298" s="5">
        <f>Table25[[#This Row],[Sold]]*Table25[[#This Row],[Price]]</f>
        <v>0</v>
      </c>
      <c r="L298" s="8">
        <f>ABS(SUMIF(Table25[[#All],[Assets]],Table25[[#This Row],[Assets]],Table25[[#All],[Sold]]))</f>
        <v>5</v>
      </c>
      <c r="M298" s="5">
        <f>ABS(SUMIF(Table25[[#All],[Assets]],Table25[[#This Row],[Assets]],Table25[[#All],[Sold Amount]]))</f>
        <v>539.94999999999993</v>
      </c>
      <c r="N298" s="5">
        <f>IFERROR(Table25[[#This Row],[Total sold amount]]/Table25[[#This Row],[Total Sold number of stocks]],"")</f>
        <v>107.98999999999998</v>
      </c>
      <c r="O298" s="4">
        <f>IFERROR(Table25[[#This Row],[Total Amount bought]]/Table25[[#This Row],[Total number bought]],"")</f>
        <v>113.6</v>
      </c>
      <c r="P298" s="4">
        <f>IFERROR((Table25[[#This Row],[Average sell price]]-Table25[[#This Row],[Average buy price]])*Table25[[#This Row],[Total Sold number of stocks]],0)</f>
        <v>-28.050000000000068</v>
      </c>
      <c r="Q298" s="85">
        <f>SUMIF(Table25[[#All],[Assets]],Table25[[#This Row],[Assets]],Table25[[#All],[Number of stocks]])</f>
        <v>0</v>
      </c>
    </row>
    <row r="299" spans="1:17">
      <c r="A299" t="e" vm="259">
        <v>#VALUE!</v>
      </c>
      <c r="B299" s="2">
        <v>45520</v>
      </c>
      <c r="C299" t="str" cm="1">
        <f t="array" aca="1" ref="C299" ca="1">_FV(A299,"Ticker symbol",TRUE)</f>
        <v>GRAL</v>
      </c>
      <c r="D299" s="4">
        <v>17</v>
      </c>
      <c r="E299" s="50">
        <v>15</v>
      </c>
      <c r="F299" s="81">
        <f>IF(Table25[[#This Row],[Number of stocks]]&gt;0,Table25[[#This Row],[Number of stocks]],0)</f>
        <v>15</v>
      </c>
      <c r="G299" s="73">
        <f>Table25[[#This Row],[Bought]]*Table25[[#This Row],[Price]]</f>
        <v>255</v>
      </c>
      <c r="H299">
        <f>SUMIF(Table25[[#All],[Assets]],Table25[[#This Row],[Assets]],Table25[[#All],[Bought]])</f>
        <v>100</v>
      </c>
      <c r="I299">
        <f>SUMIF(Table25[[#All],[Assets]],Table25[[#This Row],[Assets]],Table25[[#All],[Bought Amount]])</f>
        <v>1720.3</v>
      </c>
      <c r="J299" s="88">
        <f>IF(Table25[[#This Row],[Number of stocks]]&lt;0,Table25[[#This Row],[Number of stocks]],0)</f>
        <v>0</v>
      </c>
      <c r="K299" s="5">
        <f>Table25[[#This Row],[Sold]]*Table25[[#This Row],[Price]]</f>
        <v>0</v>
      </c>
      <c r="L299" s="8">
        <f>ABS(SUMIF(Table25[[#All],[Assets]],Table25[[#This Row],[Assets]],Table25[[#All],[Sold]]))</f>
        <v>100</v>
      </c>
      <c r="M299" s="5">
        <f>ABS(SUMIF(Table25[[#All],[Assets]],Table25[[#This Row],[Assets]],Table25[[#All],[Sold Amount]]))</f>
        <v>2684.8</v>
      </c>
      <c r="N299" s="5">
        <f>IFERROR(Table25[[#This Row],[Total sold amount]]/Table25[[#This Row],[Total Sold number of stocks]],"")</f>
        <v>26.848000000000003</v>
      </c>
      <c r="O299" s="4">
        <f>IFERROR(Table25[[#This Row],[Total Amount bought]]/Table25[[#This Row],[Total number bought]],"")</f>
        <v>17.202999999999999</v>
      </c>
      <c r="P299" s="4">
        <f>IFERROR((Table25[[#This Row],[Average sell price]]-Table25[[#This Row],[Average buy price]])*Table25[[#This Row],[Total Sold number of stocks]],0)</f>
        <v>964.50000000000034</v>
      </c>
      <c r="Q299" s="85">
        <f>SUMIF(Table25[[#All],[Assets]],Table25[[#This Row],[Assets]],Table25[[#All],[Number of stocks]])</f>
        <v>0</v>
      </c>
    </row>
    <row r="300" spans="1:17">
      <c r="A300" t="e" vm="334">
        <v>#VALUE!</v>
      </c>
      <c r="B300" s="2">
        <v>45520</v>
      </c>
      <c r="C300" t="str" cm="1">
        <f t="array" aca="1" ref="C300" ca="1">_FV(A300,"Ticker symbol",TRUE)</f>
        <v>CSTL</v>
      </c>
      <c r="D300" s="4">
        <v>27.52</v>
      </c>
      <c r="E300" s="50">
        <v>14</v>
      </c>
      <c r="F300" s="81">
        <f>IF(Table25[[#This Row],[Number of stocks]]&gt;0,Table25[[#This Row],[Number of stocks]],0)</f>
        <v>14</v>
      </c>
      <c r="G300" s="73">
        <f>Table25[[#This Row],[Bought]]*Table25[[#This Row],[Price]]</f>
        <v>385.28</v>
      </c>
      <c r="H300">
        <f>SUMIF(Table25[[#All],[Assets]],Table25[[#This Row],[Assets]],Table25[[#All],[Bought]])</f>
        <v>19</v>
      </c>
      <c r="I300">
        <f>SUMIF(Table25[[#All],[Assets]],Table25[[#This Row],[Assets]],Table25[[#All],[Bought Amount]])</f>
        <v>522.82999999999993</v>
      </c>
      <c r="J300" s="88">
        <f>IF(Table25[[#This Row],[Number of stocks]]&lt;0,Table25[[#This Row],[Number of stocks]],0)</f>
        <v>0</v>
      </c>
      <c r="K300" s="5">
        <f>Table25[[#This Row],[Sold]]*Table25[[#This Row],[Price]]</f>
        <v>0</v>
      </c>
      <c r="L300" s="8">
        <f>ABS(SUMIF(Table25[[#All],[Assets]],Table25[[#This Row],[Assets]],Table25[[#All],[Sold]]))</f>
        <v>19</v>
      </c>
      <c r="M300" s="5">
        <f>ABS(SUMIF(Table25[[#All],[Assets]],Table25[[#This Row],[Assets]],Table25[[#All],[Sold Amount]]))</f>
        <v>639.73</v>
      </c>
      <c r="N300" s="5">
        <f>IFERROR(Table25[[#This Row],[Total sold amount]]/Table25[[#This Row],[Total Sold number of stocks]],"")</f>
        <v>33.67</v>
      </c>
      <c r="O300" s="4">
        <f>IFERROR(Table25[[#This Row],[Total Amount bought]]/Table25[[#This Row],[Total number bought]],"")</f>
        <v>27.517368421052627</v>
      </c>
      <c r="P300" s="4">
        <f>IFERROR((Table25[[#This Row],[Average sell price]]-Table25[[#This Row],[Average buy price]])*Table25[[#This Row],[Total Sold number of stocks]],0)</f>
        <v>116.90000000000012</v>
      </c>
      <c r="Q300" s="85">
        <f>SUMIF(Table25[[#All],[Assets]],Table25[[#This Row],[Assets]],Table25[[#All],[Number of stocks]])</f>
        <v>0</v>
      </c>
    </row>
    <row r="301" spans="1:17">
      <c r="A301" t="e" vm="100">
        <v>#VALUE!</v>
      </c>
      <c r="B301" s="2">
        <v>45520</v>
      </c>
      <c r="C301" t="str" cm="1">
        <f t="array" aca="1" ref="C301" ca="1">_FV(A301,"Ticker symbol",TRUE)</f>
        <v>FNV</v>
      </c>
      <c r="D301" s="4">
        <v>115.71</v>
      </c>
      <c r="E301" s="50">
        <v>-2</v>
      </c>
      <c r="F301" s="81">
        <f>IF(Table25[[#This Row],[Number of stocks]]&gt;0,Table25[[#This Row],[Number of stocks]],0)</f>
        <v>0</v>
      </c>
      <c r="G301" s="73">
        <f>Table25[[#This Row],[Bought]]*Table25[[#This Row],[Price]]</f>
        <v>0</v>
      </c>
      <c r="H301">
        <f>SUMIF(Table25[[#All],[Assets]],Table25[[#This Row],[Assets]],Table25[[#All],[Bought]])</f>
        <v>80</v>
      </c>
      <c r="I301">
        <f>SUMIF(Table25[[#All],[Assets]],Table25[[#This Row],[Assets]],Table25[[#All],[Bought Amount]])</f>
        <v>10074.099999999999</v>
      </c>
      <c r="J301" s="88">
        <f>IF(Table25[[#This Row],[Number of stocks]]&lt;0,Table25[[#This Row],[Number of stocks]],0)</f>
        <v>-2</v>
      </c>
      <c r="K301" s="5">
        <f>Table25[[#This Row],[Sold]]*Table25[[#This Row],[Price]]</f>
        <v>-231.42</v>
      </c>
      <c r="L301" s="8">
        <f>ABS(SUMIF(Table25[[#All],[Assets]],Table25[[#This Row],[Assets]],Table25[[#All],[Sold]]))</f>
        <v>80</v>
      </c>
      <c r="M301" s="5">
        <f>ABS(SUMIF(Table25[[#All],[Assets]],Table25[[#This Row],[Assets]],Table25[[#All],[Sold Amount]]))</f>
        <v>9798.76</v>
      </c>
      <c r="N301" s="5">
        <f>IFERROR(Table25[[#This Row],[Total sold amount]]/Table25[[#This Row],[Total Sold number of stocks]],"")</f>
        <v>122.4845</v>
      </c>
      <c r="O301" s="4">
        <f>IFERROR(Table25[[#This Row],[Total Amount bought]]/Table25[[#This Row],[Total number bought]],"")</f>
        <v>125.92624999999998</v>
      </c>
      <c r="P301" s="4">
        <f>IFERROR((Table25[[#This Row],[Average sell price]]-Table25[[#This Row],[Average buy price]])*Table25[[#This Row],[Total Sold number of stocks]],0)</f>
        <v>-275.33999999999878</v>
      </c>
      <c r="Q301" s="85">
        <f>SUMIF(Table25[[#All],[Assets]],Table25[[#This Row],[Assets]],Table25[[#All],[Number of stocks]])</f>
        <v>0</v>
      </c>
    </row>
    <row r="302" spans="1:17">
      <c r="A302" t="e" vm="56">
        <v>#VALUE!</v>
      </c>
      <c r="B302" s="2">
        <v>45520</v>
      </c>
      <c r="C302" t="str" cm="1">
        <f t="array" aca="1" ref="C302" ca="1">_FV(A302,"Ticker symbol",TRUE)</f>
        <v>PBF</v>
      </c>
      <c r="D302" s="4">
        <v>36.21</v>
      </c>
      <c r="E302" s="50">
        <v>-15</v>
      </c>
      <c r="F302" s="81">
        <f>IF(Table25[[#This Row],[Number of stocks]]&gt;0,Table25[[#This Row],[Number of stocks]],0)</f>
        <v>0</v>
      </c>
      <c r="G302" s="73">
        <f>Table25[[#This Row],[Bought]]*Table25[[#This Row],[Price]]</f>
        <v>0</v>
      </c>
      <c r="H302">
        <f>SUMIF(Table25[[#All],[Assets]],Table25[[#This Row],[Assets]],Table25[[#All],[Bought]])</f>
        <v>55</v>
      </c>
      <c r="I302">
        <f>SUMIF(Table25[[#All],[Assets]],Table25[[#This Row],[Assets]],Table25[[#All],[Bought Amount]])</f>
        <v>2249.35</v>
      </c>
      <c r="J302" s="88">
        <f>IF(Table25[[#This Row],[Number of stocks]]&lt;0,Table25[[#This Row],[Number of stocks]],0)</f>
        <v>-15</v>
      </c>
      <c r="K302" s="5">
        <f>Table25[[#This Row],[Sold]]*Table25[[#This Row],[Price]]</f>
        <v>-543.15</v>
      </c>
      <c r="L302" s="8">
        <f>ABS(SUMIF(Table25[[#All],[Assets]],Table25[[#This Row],[Assets]],Table25[[#All],[Sold]]))</f>
        <v>15</v>
      </c>
      <c r="M302" s="5">
        <f>ABS(SUMIF(Table25[[#All],[Assets]],Table25[[#This Row],[Assets]],Table25[[#All],[Sold Amount]]))</f>
        <v>543.15</v>
      </c>
      <c r="N302" s="5">
        <f>IFERROR(Table25[[#This Row],[Total sold amount]]/Table25[[#This Row],[Total Sold number of stocks]],"")</f>
        <v>36.21</v>
      </c>
      <c r="O302" s="4">
        <f>IFERROR(Table25[[#This Row],[Total Amount bought]]/Table25[[#This Row],[Total number bought]],"")</f>
        <v>40.897272727272728</v>
      </c>
      <c r="P302" s="4">
        <f>IFERROR((Table25[[#This Row],[Average sell price]]-Table25[[#This Row],[Average buy price]])*Table25[[#This Row],[Total Sold number of stocks]],0)</f>
        <v>-70.309090909090912</v>
      </c>
      <c r="Q302" s="85">
        <f>SUMIF(Table25[[#All],[Assets]],Table25[[#This Row],[Assets]],Table25[[#All],[Number of stocks]])</f>
        <v>40</v>
      </c>
    </row>
    <row r="303" spans="1:17">
      <c r="A303" t="e" vm="273">
        <v>#VALUE!</v>
      </c>
      <c r="B303" s="2">
        <v>45520</v>
      </c>
      <c r="C303" t="str" cm="1">
        <f t="array" aca="1" ref="C303" ca="1">_FV(A303,"Ticker symbol",TRUE)</f>
        <v>CVRX</v>
      </c>
      <c r="D303" s="4">
        <v>8.27</v>
      </c>
      <c r="E303" s="50">
        <v>30</v>
      </c>
      <c r="F303" s="81">
        <f>IF(Table25[[#This Row],[Number of stocks]]&gt;0,Table25[[#This Row],[Number of stocks]],0)</f>
        <v>30</v>
      </c>
      <c r="G303" s="73">
        <f>Table25[[#This Row],[Bought]]*Table25[[#This Row],[Price]]</f>
        <v>248.1</v>
      </c>
      <c r="H303">
        <f>SUMIF(Table25[[#All],[Assets]],Table25[[#This Row],[Assets]],Table25[[#All],[Bought]])</f>
        <v>560</v>
      </c>
      <c r="I303">
        <f>SUMIF(Table25[[#All],[Assets]],Table25[[#This Row],[Assets]],Table25[[#All],[Bought Amount]])</f>
        <v>5451</v>
      </c>
      <c r="J303" s="88">
        <f>IF(Table25[[#This Row],[Number of stocks]]&lt;0,Table25[[#This Row],[Number of stocks]],0)</f>
        <v>0</v>
      </c>
      <c r="K303" s="5">
        <f>Table25[[#This Row],[Sold]]*Table25[[#This Row],[Price]]</f>
        <v>0</v>
      </c>
      <c r="L303" s="8">
        <f>ABS(SUMIF(Table25[[#All],[Assets]],Table25[[#This Row],[Assets]],Table25[[#All],[Sold]]))</f>
        <v>560</v>
      </c>
      <c r="M303" s="5">
        <f>ABS(SUMIF(Table25[[#All],[Assets]],Table25[[#This Row],[Assets]],Table25[[#All],[Sold Amount]]))</f>
        <v>4910.5499999999993</v>
      </c>
      <c r="N303" s="5">
        <f>IFERROR(Table25[[#This Row],[Total sold amount]]/Table25[[#This Row],[Total Sold number of stocks]],"")</f>
        <v>8.7688392857142841</v>
      </c>
      <c r="O303" s="4">
        <f>IFERROR(Table25[[#This Row],[Total Amount bought]]/Table25[[#This Row],[Total number bought]],"")</f>
        <v>9.7339285714285708</v>
      </c>
      <c r="P303" s="4">
        <f>IFERROR((Table25[[#This Row],[Average sell price]]-Table25[[#This Row],[Average buy price]])*Table25[[#This Row],[Total Sold number of stocks]],0)</f>
        <v>-540.45000000000061</v>
      </c>
      <c r="Q303" s="85">
        <f>SUMIF(Table25[[#All],[Assets]],Table25[[#This Row],[Assets]],Table25[[#All],[Number of stocks]])</f>
        <v>0</v>
      </c>
    </row>
    <row r="304" spans="1:17">
      <c r="A304" t="e" vm="334">
        <v>#VALUE!</v>
      </c>
      <c r="B304" s="2">
        <v>45520</v>
      </c>
      <c r="C304" t="str" cm="1">
        <f t="array" aca="1" ref="C304" ca="1">_FV(A304,"Ticker symbol",TRUE)</f>
        <v>CSTL</v>
      </c>
      <c r="D304" s="4">
        <v>27.51</v>
      </c>
      <c r="E304" s="50">
        <v>5</v>
      </c>
      <c r="F304" s="81">
        <f>IF(Table25[[#This Row],[Number of stocks]]&gt;0,Table25[[#This Row],[Number of stocks]],0)</f>
        <v>5</v>
      </c>
      <c r="G304" s="73">
        <f>Table25[[#This Row],[Bought]]*Table25[[#This Row],[Price]]</f>
        <v>137.55000000000001</v>
      </c>
      <c r="H304">
        <f>SUMIF(Table25[[#All],[Assets]],Table25[[#This Row],[Assets]],Table25[[#All],[Bought]])</f>
        <v>19</v>
      </c>
      <c r="I304">
        <f>SUMIF(Table25[[#All],[Assets]],Table25[[#This Row],[Assets]],Table25[[#All],[Bought Amount]])</f>
        <v>522.82999999999993</v>
      </c>
      <c r="J304" s="88">
        <f>IF(Table25[[#This Row],[Number of stocks]]&lt;0,Table25[[#This Row],[Number of stocks]],0)</f>
        <v>0</v>
      </c>
      <c r="K304" s="5">
        <f>Table25[[#This Row],[Sold]]*Table25[[#This Row],[Price]]</f>
        <v>0</v>
      </c>
      <c r="L304" s="8">
        <f>ABS(SUMIF(Table25[[#All],[Assets]],Table25[[#This Row],[Assets]],Table25[[#All],[Sold]]))</f>
        <v>19</v>
      </c>
      <c r="M304" s="5">
        <f>ABS(SUMIF(Table25[[#All],[Assets]],Table25[[#This Row],[Assets]],Table25[[#All],[Sold Amount]]))</f>
        <v>639.73</v>
      </c>
      <c r="N304" s="5">
        <f>IFERROR(Table25[[#This Row],[Total sold amount]]/Table25[[#This Row],[Total Sold number of stocks]],"")</f>
        <v>33.67</v>
      </c>
      <c r="O304" s="4">
        <f>IFERROR(Table25[[#This Row],[Total Amount bought]]/Table25[[#This Row],[Total number bought]],"")</f>
        <v>27.517368421052627</v>
      </c>
      <c r="P304" s="4">
        <f>IFERROR((Table25[[#This Row],[Average sell price]]-Table25[[#This Row],[Average buy price]])*Table25[[#This Row],[Total Sold number of stocks]],0)</f>
        <v>116.90000000000012</v>
      </c>
      <c r="Q304" s="85">
        <f>SUMIF(Table25[[#All],[Assets]],Table25[[#This Row],[Assets]],Table25[[#All],[Number of stocks]])</f>
        <v>0</v>
      </c>
    </row>
    <row r="305" spans="1:17">
      <c r="A305" t="e" vm="386">
        <v>#VALUE!</v>
      </c>
      <c r="B305" s="2">
        <v>45520</v>
      </c>
      <c r="C305" t="str" cm="1">
        <f t="array" aca="1" ref="C305" ca="1">_FV(A305,"Ticker symbol",TRUE)</f>
        <v>BSX</v>
      </c>
      <c r="D305" s="4">
        <v>78.81</v>
      </c>
      <c r="E305" s="50">
        <v>5</v>
      </c>
      <c r="F305" s="81">
        <f>IF(Table25[[#This Row],[Number of stocks]]&gt;0,Table25[[#This Row],[Number of stocks]],0)</f>
        <v>5</v>
      </c>
      <c r="G305" s="73">
        <f>Table25[[#This Row],[Bought]]*Table25[[#This Row],[Price]]</f>
        <v>394.05</v>
      </c>
      <c r="H305">
        <f>SUMIF(Table25[[#All],[Assets]],Table25[[#This Row],[Assets]],Table25[[#All],[Bought]])</f>
        <v>10</v>
      </c>
      <c r="I305">
        <f>SUMIF(Table25[[#All],[Assets]],Table25[[#This Row],[Assets]],Table25[[#All],[Bought Amount]])</f>
        <v>784.7</v>
      </c>
      <c r="J305" s="88">
        <f>IF(Table25[[#This Row],[Number of stocks]]&lt;0,Table25[[#This Row],[Number of stocks]],0)</f>
        <v>0</v>
      </c>
      <c r="K305" s="5">
        <f>Table25[[#This Row],[Sold]]*Table25[[#This Row],[Price]]</f>
        <v>0</v>
      </c>
      <c r="L305" s="8">
        <f>ABS(SUMIF(Table25[[#All],[Assets]],Table25[[#This Row],[Assets]],Table25[[#All],[Sold]]))</f>
        <v>10</v>
      </c>
      <c r="M305" s="5">
        <f>ABS(SUMIF(Table25[[#All],[Assets]],Table25[[#This Row],[Assets]],Table25[[#All],[Sold Amount]]))</f>
        <v>847.09999999999991</v>
      </c>
      <c r="N305" s="5">
        <f>IFERROR(Table25[[#This Row],[Total sold amount]]/Table25[[#This Row],[Total Sold number of stocks]],"")</f>
        <v>84.71</v>
      </c>
      <c r="O305" s="4">
        <f>IFERROR(Table25[[#This Row],[Total Amount bought]]/Table25[[#This Row],[Total number bought]],"")</f>
        <v>78.47</v>
      </c>
      <c r="P305" s="4">
        <f>IFERROR((Table25[[#This Row],[Average sell price]]-Table25[[#This Row],[Average buy price]])*Table25[[#This Row],[Total Sold number of stocks]],0)</f>
        <v>62.399999999999949</v>
      </c>
      <c r="Q305" s="85">
        <f>SUMIF(Table25[[#All],[Assets]],Table25[[#This Row],[Assets]],Table25[[#All],[Number of stocks]])</f>
        <v>0</v>
      </c>
    </row>
    <row r="306" spans="1:17">
      <c r="A306" t="e" vm="93">
        <v>#VALUE!</v>
      </c>
      <c r="B306" s="2">
        <v>45523</v>
      </c>
      <c r="C306" t="str" cm="1">
        <f t="array" aca="1" ref="C306" ca="1">_FV(A306,"Ticker symbol",TRUE)</f>
        <v>PPTA</v>
      </c>
      <c r="D306" s="4">
        <v>8.7899999999999991</v>
      </c>
      <c r="E306" s="50">
        <v>7</v>
      </c>
      <c r="F306" s="81">
        <f>IF(Table25[[#This Row],[Number of stocks]]&gt;0,Table25[[#This Row],[Number of stocks]],0)</f>
        <v>7</v>
      </c>
      <c r="G306" s="73">
        <f>Table25[[#This Row],[Bought]]*Table25[[#This Row],[Price]]</f>
        <v>61.529999999999994</v>
      </c>
      <c r="H306">
        <f>SUMIF(Table25[[#All],[Assets]],Table25[[#This Row],[Assets]],Table25[[#All],[Bought]])</f>
        <v>10</v>
      </c>
      <c r="I306">
        <f>SUMIF(Table25[[#All],[Assets]],Table25[[#This Row],[Assets]],Table25[[#All],[Bought Amount]])</f>
        <v>87.359999999999985</v>
      </c>
      <c r="J306" s="88">
        <f>IF(Table25[[#This Row],[Number of stocks]]&lt;0,Table25[[#This Row],[Number of stocks]],0)</f>
        <v>0</v>
      </c>
      <c r="K306" s="5">
        <f>Table25[[#This Row],[Sold]]*Table25[[#This Row],[Price]]</f>
        <v>0</v>
      </c>
      <c r="L306" s="8">
        <f>ABS(SUMIF(Table25[[#All],[Assets]],Table25[[#This Row],[Assets]],Table25[[#All],[Sold]]))</f>
        <v>10</v>
      </c>
      <c r="M306" s="5">
        <f>ABS(SUMIF(Table25[[#All],[Assets]],Table25[[#This Row],[Assets]],Table25[[#All],[Sold Amount]]))</f>
        <v>90.199999999999989</v>
      </c>
      <c r="N306" s="5">
        <f>IFERROR(Table25[[#This Row],[Total sold amount]]/Table25[[#This Row],[Total Sold number of stocks]],"")</f>
        <v>9.02</v>
      </c>
      <c r="O306" s="4">
        <f>IFERROR(Table25[[#This Row],[Total Amount bought]]/Table25[[#This Row],[Total number bought]],"")</f>
        <v>8.7359999999999989</v>
      </c>
      <c r="P306" s="4">
        <f>IFERROR((Table25[[#This Row],[Average sell price]]-Table25[[#This Row],[Average buy price]])*Table25[[#This Row],[Total Sold number of stocks]],0)</f>
        <v>2.840000000000007</v>
      </c>
      <c r="Q306" s="85">
        <f>SUMIF(Table25[[#All],[Assets]],Table25[[#This Row],[Assets]],Table25[[#All],[Number of stocks]])</f>
        <v>0</v>
      </c>
    </row>
    <row r="307" spans="1:17">
      <c r="A307" t="e" vm="456">
        <v>#VALUE!</v>
      </c>
      <c r="B307" s="2">
        <v>45523</v>
      </c>
      <c r="C307" t="str" cm="1">
        <f t="array" aca="1" ref="C307" ca="1">_FV(A307,"Ticker symbol",TRUE)</f>
        <v>BIL</v>
      </c>
      <c r="D307" s="4">
        <v>91.66</v>
      </c>
      <c r="E307" s="50">
        <v>-16</v>
      </c>
      <c r="F307" s="81">
        <f>IF(Table25[[#This Row],[Number of stocks]]&gt;0,Table25[[#This Row],[Number of stocks]],0)</f>
        <v>0</v>
      </c>
      <c r="G307" s="73">
        <f>Table25[[#This Row],[Bought]]*Table25[[#This Row],[Price]]</f>
        <v>0</v>
      </c>
      <c r="H307">
        <f>SUMIF(Table25[[#All],[Assets]],Table25[[#This Row],[Assets]],Table25[[#All],[Bought]])</f>
        <v>419</v>
      </c>
      <c r="I307">
        <f>SUMIF(Table25[[#All],[Assets]],Table25[[#This Row],[Assets]],Table25[[#All],[Bought Amount]])</f>
        <v>38555.520000000004</v>
      </c>
      <c r="J307" s="88">
        <f>IF(Table25[[#This Row],[Number of stocks]]&lt;0,Table25[[#This Row],[Number of stocks]],0)</f>
        <v>-16</v>
      </c>
      <c r="K307" s="5">
        <f>Table25[[#This Row],[Sold]]*Table25[[#This Row],[Price]]</f>
        <v>-1466.56</v>
      </c>
      <c r="L307" s="8">
        <f>ABS(SUMIF(Table25[[#All],[Assets]],Table25[[#This Row],[Assets]],Table25[[#All],[Sold]]))</f>
        <v>419</v>
      </c>
      <c r="M307" s="5">
        <f>ABS(SUMIF(Table25[[#All],[Assets]],Table25[[#This Row],[Assets]],Table25[[#All],[Sold Amount]]))</f>
        <v>38372</v>
      </c>
      <c r="N307" s="5">
        <f>IFERROR(Table25[[#This Row],[Total sold amount]]/Table25[[#This Row],[Total Sold number of stocks]],"")</f>
        <v>91.579952267303099</v>
      </c>
      <c r="O307" s="4">
        <f>IFERROR(Table25[[#This Row],[Total Amount bought]]/Table25[[#This Row],[Total number bought]],"")</f>
        <v>92.017947494033422</v>
      </c>
      <c r="P307" s="4">
        <f>IFERROR((Table25[[#This Row],[Average sell price]]-Table25[[#This Row],[Average buy price]])*Table25[[#This Row],[Total Sold number of stocks]],0)</f>
        <v>-183.5200000000051</v>
      </c>
      <c r="Q307" s="85">
        <f>SUMIF(Table25[[#All],[Assets]],Table25[[#This Row],[Assets]],Table25[[#All],[Number of stocks]])</f>
        <v>0</v>
      </c>
    </row>
    <row r="308" spans="1:17">
      <c r="A308" t="e" vm="344">
        <v>#VALUE!</v>
      </c>
      <c r="B308" s="2">
        <v>45523</v>
      </c>
      <c r="C308" t="str" cm="1">
        <f t="array" aca="1" ref="C308" ca="1">_FV(A308,"Ticker symbol",TRUE)</f>
        <v>QDEL</v>
      </c>
      <c r="D308" s="4">
        <v>44.82</v>
      </c>
      <c r="E308" s="50">
        <v>6</v>
      </c>
      <c r="F308" s="81">
        <f>IF(Table25[[#This Row],[Number of stocks]]&gt;0,Table25[[#This Row],[Number of stocks]],0)</f>
        <v>6</v>
      </c>
      <c r="G308" s="73">
        <f>Table25[[#This Row],[Bought]]*Table25[[#This Row],[Price]]</f>
        <v>268.92</v>
      </c>
      <c r="H308">
        <f>SUMIF(Table25[[#All],[Assets]],Table25[[#This Row],[Assets]],Table25[[#All],[Bought]])</f>
        <v>26</v>
      </c>
      <c r="I308">
        <f>SUMIF(Table25[[#All],[Assets]],Table25[[#This Row],[Assets]],Table25[[#All],[Bought Amount]])</f>
        <v>1148.52</v>
      </c>
      <c r="J308" s="88">
        <f>IF(Table25[[#This Row],[Number of stocks]]&lt;0,Table25[[#This Row],[Number of stocks]],0)</f>
        <v>0</v>
      </c>
      <c r="K308" s="5">
        <f>Table25[[#This Row],[Sold]]*Table25[[#This Row],[Price]]</f>
        <v>0</v>
      </c>
      <c r="L308" s="8">
        <f>ABS(SUMIF(Table25[[#All],[Assets]],Table25[[#This Row],[Assets]],Table25[[#All],[Sold]]))</f>
        <v>26</v>
      </c>
      <c r="M308" s="5">
        <f>ABS(SUMIF(Table25[[#All],[Assets]],Table25[[#This Row],[Assets]],Table25[[#All],[Sold Amount]]))</f>
        <v>1034.74</v>
      </c>
      <c r="N308" s="5">
        <f>IFERROR(Table25[[#This Row],[Total sold amount]]/Table25[[#This Row],[Total Sold number of stocks]],"")</f>
        <v>39.797692307692309</v>
      </c>
      <c r="O308" s="4">
        <f>IFERROR(Table25[[#This Row],[Total Amount bought]]/Table25[[#This Row],[Total number bought]],"")</f>
        <v>44.173846153846156</v>
      </c>
      <c r="P308" s="4">
        <f>IFERROR((Table25[[#This Row],[Average sell price]]-Table25[[#This Row],[Average buy price]])*Table25[[#This Row],[Total Sold number of stocks]],0)</f>
        <v>-113.78000000000004</v>
      </c>
      <c r="Q308" s="85">
        <f>SUMIF(Table25[[#All],[Assets]],Table25[[#This Row],[Assets]],Table25[[#All],[Number of stocks]])</f>
        <v>0</v>
      </c>
    </row>
    <row r="309" spans="1:17">
      <c r="A309" t="e" vm="343">
        <v>#VALUE!</v>
      </c>
      <c r="B309" s="2">
        <v>45523</v>
      </c>
      <c r="C309" t="str" cm="1">
        <f t="array" aca="1" ref="C309" ca="1">_FV(A309,"Ticker symbol",TRUE)</f>
        <v>ILMN</v>
      </c>
      <c r="D309" s="4">
        <v>133.6</v>
      </c>
      <c r="E309" s="50">
        <v>3</v>
      </c>
      <c r="F309" s="81">
        <f>IF(Table25[[#This Row],[Number of stocks]]&gt;0,Table25[[#This Row],[Number of stocks]],0)</f>
        <v>3</v>
      </c>
      <c r="G309" s="73">
        <f>Table25[[#This Row],[Bought]]*Table25[[#This Row],[Price]]</f>
        <v>400.79999999999995</v>
      </c>
      <c r="H309">
        <f>SUMIF(Table25[[#All],[Assets]],Table25[[#This Row],[Assets]],Table25[[#All],[Bought]])</f>
        <v>3</v>
      </c>
      <c r="I309">
        <f>SUMIF(Table25[[#All],[Assets]],Table25[[#This Row],[Assets]],Table25[[#All],[Bought Amount]])</f>
        <v>400.79999999999995</v>
      </c>
      <c r="J309" s="88">
        <f>IF(Table25[[#This Row],[Number of stocks]]&lt;0,Table25[[#This Row],[Number of stocks]],0)</f>
        <v>0</v>
      </c>
      <c r="K309" s="5">
        <f>Table25[[#This Row],[Sold]]*Table25[[#This Row],[Price]]</f>
        <v>0</v>
      </c>
      <c r="L309" s="8">
        <f>ABS(SUMIF(Table25[[#All],[Assets]],Table25[[#This Row],[Assets]],Table25[[#All],[Sold]]))</f>
        <v>3</v>
      </c>
      <c r="M309" s="5">
        <f>ABS(SUMIF(Table25[[#All],[Assets]],Table25[[#This Row],[Assets]],Table25[[#All],[Sold Amount]]))</f>
        <v>437.13</v>
      </c>
      <c r="N309" s="5">
        <f>IFERROR(Table25[[#This Row],[Total sold amount]]/Table25[[#This Row],[Total Sold number of stocks]],"")</f>
        <v>145.71</v>
      </c>
      <c r="O309" s="4">
        <f>IFERROR(Table25[[#This Row],[Total Amount bought]]/Table25[[#This Row],[Total number bought]],"")</f>
        <v>133.6</v>
      </c>
      <c r="P309" s="4">
        <f>IFERROR((Table25[[#This Row],[Average sell price]]-Table25[[#This Row],[Average buy price]])*Table25[[#This Row],[Total Sold number of stocks]],0)</f>
        <v>36.330000000000041</v>
      </c>
      <c r="Q309" s="85">
        <f>SUMIF(Table25[[#All],[Assets]],Table25[[#This Row],[Assets]],Table25[[#All],[Number of stocks]])</f>
        <v>0</v>
      </c>
    </row>
    <row r="310" spans="1:17">
      <c r="A310" t="e" vm="354">
        <v>#VALUE!</v>
      </c>
      <c r="B310" s="2">
        <v>45523</v>
      </c>
      <c r="C310" t="str" cm="1">
        <f t="array" aca="1" ref="C310" ca="1">_FV(A310,"Ticker symbol",TRUE)</f>
        <v>MDT</v>
      </c>
      <c r="D310" s="4">
        <v>84.93</v>
      </c>
      <c r="E310" s="50">
        <v>4</v>
      </c>
      <c r="F310" s="81">
        <f>IF(Table25[[#This Row],[Number of stocks]]&gt;0,Table25[[#This Row],[Number of stocks]],0)</f>
        <v>4</v>
      </c>
      <c r="G310" s="73">
        <f>Table25[[#This Row],[Bought]]*Table25[[#This Row],[Price]]</f>
        <v>339.72</v>
      </c>
      <c r="H310">
        <f>SUMIF(Table25[[#All],[Assets]],Table25[[#This Row],[Assets]],Table25[[#All],[Bought]])</f>
        <v>4</v>
      </c>
      <c r="I310">
        <f>SUMIF(Table25[[#All],[Assets]],Table25[[#This Row],[Assets]],Table25[[#All],[Bought Amount]])</f>
        <v>339.72</v>
      </c>
      <c r="J310" s="88">
        <f>IF(Table25[[#This Row],[Number of stocks]]&lt;0,Table25[[#This Row],[Number of stocks]],0)</f>
        <v>0</v>
      </c>
      <c r="K310" s="5">
        <f>Table25[[#This Row],[Sold]]*Table25[[#This Row],[Price]]</f>
        <v>0</v>
      </c>
      <c r="L310" s="8">
        <f>ABS(SUMIF(Table25[[#All],[Assets]],Table25[[#This Row],[Assets]],Table25[[#All],[Sold]]))</f>
        <v>4</v>
      </c>
      <c r="M310" s="5">
        <f>ABS(SUMIF(Table25[[#All],[Assets]],Table25[[#This Row],[Assets]],Table25[[#All],[Sold Amount]]))</f>
        <v>361.64</v>
      </c>
      <c r="N310" s="5">
        <f>IFERROR(Table25[[#This Row],[Total sold amount]]/Table25[[#This Row],[Total Sold number of stocks]],"")</f>
        <v>90.41</v>
      </c>
      <c r="O310" s="4">
        <f>IFERROR(Table25[[#This Row],[Total Amount bought]]/Table25[[#This Row],[Total number bought]],"")</f>
        <v>84.93</v>
      </c>
      <c r="P310" s="4">
        <f>IFERROR((Table25[[#This Row],[Average sell price]]-Table25[[#This Row],[Average buy price]])*Table25[[#This Row],[Total Sold number of stocks]],0)</f>
        <v>21.919999999999959</v>
      </c>
      <c r="Q310" s="85">
        <f>SUMIF(Table25[[#All],[Assets]],Table25[[#This Row],[Assets]],Table25[[#All],[Number of stocks]])</f>
        <v>0</v>
      </c>
    </row>
    <row r="311" spans="1:17">
      <c r="A311" t="e" vm="316">
        <v>#VALUE!</v>
      </c>
      <c r="B311" s="2">
        <v>45523</v>
      </c>
      <c r="C311" t="str" cm="1">
        <f t="array" aca="1" ref="C311" ca="1">_FV(A311,"Ticker symbol",TRUE)</f>
        <v>IRTC</v>
      </c>
      <c r="D311" s="4">
        <v>66.849999999999994</v>
      </c>
      <c r="E311" s="50">
        <v>3</v>
      </c>
      <c r="F311" s="81">
        <f>IF(Table25[[#This Row],[Number of stocks]]&gt;0,Table25[[#This Row],[Number of stocks]],0)</f>
        <v>3</v>
      </c>
      <c r="G311" s="73">
        <f>Table25[[#This Row],[Bought]]*Table25[[#This Row],[Price]]</f>
        <v>200.54999999999998</v>
      </c>
      <c r="H311">
        <f>SUMIF(Table25[[#All],[Assets]],Table25[[#This Row],[Assets]],Table25[[#All],[Bought]])</f>
        <v>22</v>
      </c>
      <c r="I311">
        <f>SUMIF(Table25[[#All],[Assets]],Table25[[#This Row],[Assets]],Table25[[#All],[Bought Amount]])</f>
        <v>1721.73</v>
      </c>
      <c r="J311" s="88">
        <f>IF(Table25[[#This Row],[Number of stocks]]&lt;0,Table25[[#This Row],[Number of stocks]],0)</f>
        <v>0</v>
      </c>
      <c r="K311" s="5">
        <f>Table25[[#This Row],[Sold]]*Table25[[#This Row],[Price]]</f>
        <v>0</v>
      </c>
      <c r="L311" s="8">
        <f>ABS(SUMIF(Table25[[#All],[Assets]],Table25[[#This Row],[Assets]],Table25[[#All],[Sold]]))</f>
        <v>22</v>
      </c>
      <c r="M311" s="5">
        <f>ABS(SUMIF(Table25[[#All],[Assets]],Table25[[#This Row],[Assets]],Table25[[#All],[Sold Amount]]))</f>
        <v>1870.17</v>
      </c>
      <c r="N311" s="5">
        <f>IFERROR(Table25[[#This Row],[Total sold amount]]/Table25[[#This Row],[Total Sold number of stocks]],"")</f>
        <v>85.00772727272728</v>
      </c>
      <c r="O311" s="4">
        <f>IFERROR(Table25[[#This Row],[Total Amount bought]]/Table25[[#This Row],[Total number bought]],"")</f>
        <v>78.26045454545455</v>
      </c>
      <c r="P311" s="4">
        <f>IFERROR((Table25[[#This Row],[Average sell price]]-Table25[[#This Row],[Average buy price]])*Table25[[#This Row],[Total Sold number of stocks]],0)</f>
        <v>148.44000000000005</v>
      </c>
      <c r="Q311" s="85">
        <f>SUMIF(Table25[[#All],[Assets]],Table25[[#This Row],[Assets]],Table25[[#All],[Number of stocks]])</f>
        <v>0</v>
      </c>
    </row>
    <row r="312" spans="1:17">
      <c r="A312" t="e" vm="279">
        <v>#VALUE!</v>
      </c>
      <c r="B312" s="2">
        <v>45523</v>
      </c>
      <c r="C312" t="str" cm="1">
        <f t="array" aca="1" ref="C312" ca="1">_FV(A312,"Ticker symbol",TRUE)</f>
        <v>DXCM</v>
      </c>
      <c r="D312" s="4">
        <v>76.78</v>
      </c>
      <c r="E312" s="50">
        <v>3</v>
      </c>
      <c r="F312" s="81">
        <f>IF(Table25[[#This Row],[Number of stocks]]&gt;0,Table25[[#This Row],[Number of stocks]],0)</f>
        <v>3</v>
      </c>
      <c r="G312" s="73">
        <f>Table25[[#This Row],[Bought]]*Table25[[#This Row],[Price]]</f>
        <v>230.34</v>
      </c>
      <c r="H312">
        <f>SUMIF(Table25[[#All],[Assets]],Table25[[#This Row],[Assets]],Table25[[#All],[Bought]])</f>
        <v>17</v>
      </c>
      <c r="I312">
        <f>SUMIF(Table25[[#All],[Assets]],Table25[[#This Row],[Assets]],Table25[[#All],[Bought Amount]])</f>
        <v>1281.7399999999998</v>
      </c>
      <c r="J312" s="88">
        <f>IF(Table25[[#This Row],[Number of stocks]]&lt;0,Table25[[#This Row],[Number of stocks]],0)</f>
        <v>0</v>
      </c>
      <c r="K312" s="5">
        <f>Table25[[#This Row],[Sold]]*Table25[[#This Row],[Price]]</f>
        <v>0</v>
      </c>
      <c r="L312" s="8">
        <f>ABS(SUMIF(Table25[[#All],[Assets]],Table25[[#This Row],[Assets]],Table25[[#All],[Sold]]))</f>
        <v>17</v>
      </c>
      <c r="M312" s="5">
        <f>ABS(SUMIF(Table25[[#All],[Assets]],Table25[[#This Row],[Assets]],Table25[[#All],[Sold Amount]]))</f>
        <v>1420.81</v>
      </c>
      <c r="N312" s="5">
        <f>IFERROR(Table25[[#This Row],[Total sold amount]]/Table25[[#This Row],[Total Sold number of stocks]],"")</f>
        <v>83.577058823529413</v>
      </c>
      <c r="O312" s="4">
        <f>IFERROR(Table25[[#This Row],[Total Amount bought]]/Table25[[#This Row],[Total number bought]],"")</f>
        <v>75.396470588235275</v>
      </c>
      <c r="P312" s="4">
        <f>IFERROR((Table25[[#This Row],[Average sell price]]-Table25[[#This Row],[Average buy price]])*Table25[[#This Row],[Total Sold number of stocks]],0)</f>
        <v>139.07000000000033</v>
      </c>
      <c r="Q312" s="85">
        <f>SUMIF(Table25[[#All],[Assets]],Table25[[#This Row],[Assets]],Table25[[#All],[Number of stocks]])</f>
        <v>0</v>
      </c>
    </row>
    <row r="313" spans="1:17">
      <c r="A313" t="e" vm="93">
        <v>#VALUE!</v>
      </c>
      <c r="B313" s="2">
        <v>45523</v>
      </c>
      <c r="C313" t="str" cm="1">
        <f t="array" aca="1" ref="C313" ca="1">_FV(A313,"Ticker symbol",TRUE)</f>
        <v>PPTA</v>
      </c>
      <c r="D313" s="4">
        <v>8.61</v>
      </c>
      <c r="E313" s="50">
        <v>3</v>
      </c>
      <c r="F313" s="81">
        <f>IF(Table25[[#This Row],[Number of stocks]]&gt;0,Table25[[#This Row],[Number of stocks]],0)</f>
        <v>3</v>
      </c>
      <c r="G313" s="73">
        <f>Table25[[#This Row],[Bought]]*Table25[[#This Row],[Price]]</f>
        <v>25.83</v>
      </c>
      <c r="H313">
        <f>SUMIF(Table25[[#All],[Assets]],Table25[[#This Row],[Assets]],Table25[[#All],[Bought]])</f>
        <v>10</v>
      </c>
      <c r="I313">
        <f>SUMIF(Table25[[#All],[Assets]],Table25[[#This Row],[Assets]],Table25[[#All],[Bought Amount]])</f>
        <v>87.359999999999985</v>
      </c>
      <c r="J313" s="88">
        <f>IF(Table25[[#This Row],[Number of stocks]]&lt;0,Table25[[#This Row],[Number of stocks]],0)</f>
        <v>0</v>
      </c>
      <c r="K313" s="5">
        <f>Table25[[#This Row],[Sold]]*Table25[[#This Row],[Price]]</f>
        <v>0</v>
      </c>
      <c r="L313" s="8">
        <f>ABS(SUMIF(Table25[[#All],[Assets]],Table25[[#This Row],[Assets]],Table25[[#All],[Sold]]))</f>
        <v>10</v>
      </c>
      <c r="M313" s="5">
        <f>ABS(SUMIF(Table25[[#All],[Assets]],Table25[[#This Row],[Assets]],Table25[[#All],[Sold Amount]]))</f>
        <v>90.199999999999989</v>
      </c>
      <c r="N313" s="5">
        <f>IFERROR(Table25[[#This Row],[Total sold amount]]/Table25[[#This Row],[Total Sold number of stocks]],"")</f>
        <v>9.02</v>
      </c>
      <c r="O313" s="4">
        <f>IFERROR(Table25[[#This Row],[Total Amount bought]]/Table25[[#This Row],[Total number bought]],"")</f>
        <v>8.7359999999999989</v>
      </c>
      <c r="P313" s="4">
        <f>IFERROR((Table25[[#This Row],[Average sell price]]-Table25[[#This Row],[Average buy price]])*Table25[[#This Row],[Total Sold number of stocks]],0)</f>
        <v>2.840000000000007</v>
      </c>
      <c r="Q313" s="85">
        <f>SUMIF(Table25[[#All],[Assets]],Table25[[#This Row],[Assets]],Table25[[#All],[Number of stocks]])</f>
        <v>0</v>
      </c>
    </row>
    <row r="314" spans="1:17">
      <c r="A314" t="e" vm="456">
        <v>#VALUE!</v>
      </c>
      <c r="B314" s="2">
        <v>45523</v>
      </c>
      <c r="C314" t="str" cm="1">
        <f t="array" aca="1" ref="C314" ca="1">_FV(A314,"Ticker symbol",TRUE)</f>
        <v>BIL</v>
      </c>
      <c r="D314" s="4">
        <v>91.66</v>
      </c>
      <c r="E314" s="50">
        <v>-4</v>
      </c>
      <c r="F314" s="81">
        <f>IF(Table25[[#This Row],[Number of stocks]]&gt;0,Table25[[#This Row],[Number of stocks]],0)</f>
        <v>0</v>
      </c>
      <c r="G314" s="73">
        <f>Table25[[#This Row],[Bought]]*Table25[[#This Row],[Price]]</f>
        <v>0</v>
      </c>
      <c r="H314">
        <f>SUMIF(Table25[[#All],[Assets]],Table25[[#This Row],[Assets]],Table25[[#All],[Bought]])</f>
        <v>419</v>
      </c>
      <c r="I314">
        <f>SUMIF(Table25[[#All],[Assets]],Table25[[#This Row],[Assets]],Table25[[#All],[Bought Amount]])</f>
        <v>38555.520000000004</v>
      </c>
      <c r="J314" s="88">
        <f>IF(Table25[[#This Row],[Number of stocks]]&lt;0,Table25[[#This Row],[Number of stocks]],0)</f>
        <v>-4</v>
      </c>
      <c r="K314" s="5">
        <f>Table25[[#This Row],[Sold]]*Table25[[#This Row],[Price]]</f>
        <v>-366.64</v>
      </c>
      <c r="L314" s="8">
        <f>ABS(SUMIF(Table25[[#All],[Assets]],Table25[[#This Row],[Assets]],Table25[[#All],[Sold]]))</f>
        <v>419</v>
      </c>
      <c r="M314" s="5">
        <f>ABS(SUMIF(Table25[[#All],[Assets]],Table25[[#This Row],[Assets]],Table25[[#All],[Sold Amount]]))</f>
        <v>38372</v>
      </c>
      <c r="N314" s="5">
        <f>IFERROR(Table25[[#This Row],[Total sold amount]]/Table25[[#This Row],[Total Sold number of stocks]],"")</f>
        <v>91.579952267303099</v>
      </c>
      <c r="O314" s="4">
        <f>IFERROR(Table25[[#This Row],[Total Amount bought]]/Table25[[#This Row],[Total number bought]],"")</f>
        <v>92.017947494033422</v>
      </c>
      <c r="P314" s="4">
        <f>IFERROR((Table25[[#This Row],[Average sell price]]-Table25[[#This Row],[Average buy price]])*Table25[[#This Row],[Total Sold number of stocks]],0)</f>
        <v>-183.5200000000051</v>
      </c>
      <c r="Q314" s="85">
        <f>SUMIF(Table25[[#All],[Assets]],Table25[[#This Row],[Assets]],Table25[[#All],[Number of stocks]])</f>
        <v>0</v>
      </c>
    </row>
    <row r="315" spans="1:17">
      <c r="A315" t="e" vm="240">
        <v>#VALUE!</v>
      </c>
      <c r="B315" s="2">
        <v>45523</v>
      </c>
      <c r="C315" t="str" cm="1">
        <f t="array" aca="1" ref="C315" ca="1">_FV(A315,"Ticker symbol",TRUE)</f>
        <v>SBSW</v>
      </c>
      <c r="D315" s="4">
        <v>4.43</v>
      </c>
      <c r="E315" s="50">
        <v>80</v>
      </c>
      <c r="F315" s="81">
        <f>IF(Table25[[#This Row],[Number of stocks]]&gt;0,Table25[[#This Row],[Number of stocks]],0)</f>
        <v>80</v>
      </c>
      <c r="G315" s="73">
        <f>Table25[[#This Row],[Bought]]*Table25[[#This Row],[Price]]</f>
        <v>354.4</v>
      </c>
      <c r="H315">
        <f>SUMIF(Table25[[#All],[Assets]],Table25[[#This Row],[Assets]],Table25[[#All],[Bought]])</f>
        <v>187</v>
      </c>
      <c r="I315">
        <f>SUMIF(Table25[[#All],[Assets]],Table25[[#This Row],[Assets]],Table25[[#All],[Bought Amount]])</f>
        <v>1654.1</v>
      </c>
      <c r="J315" s="88">
        <f>IF(Table25[[#This Row],[Number of stocks]]&lt;0,Table25[[#This Row],[Number of stocks]],0)</f>
        <v>0</v>
      </c>
      <c r="K315" s="5">
        <f>Table25[[#This Row],[Sold]]*Table25[[#This Row],[Price]]</f>
        <v>0</v>
      </c>
      <c r="L315" s="8">
        <f>ABS(SUMIF(Table25[[#All],[Assets]],Table25[[#This Row],[Assets]],Table25[[#All],[Sold]]))</f>
        <v>139</v>
      </c>
      <c r="M315" s="5">
        <f>ABS(SUMIF(Table25[[#All],[Assets]],Table25[[#This Row],[Assets]],Table25[[#All],[Sold Amount]]))</f>
        <v>909.86999999999989</v>
      </c>
      <c r="N315" s="5">
        <f>IFERROR(Table25[[#This Row],[Total sold amount]]/Table25[[#This Row],[Total Sold number of stocks]],"")</f>
        <v>6.545827338129496</v>
      </c>
      <c r="O315" s="4">
        <f>IFERROR(Table25[[#This Row],[Total Amount bought]]/Table25[[#This Row],[Total number bought]],"")</f>
        <v>8.8454545454545457</v>
      </c>
      <c r="P315" s="4">
        <f>IFERROR((Table25[[#This Row],[Average sell price]]-Table25[[#This Row],[Average buy price]])*Table25[[#This Row],[Total Sold number of stocks]],0)</f>
        <v>-319.64818181818191</v>
      </c>
      <c r="Q315" s="85">
        <f>SUMIF(Table25[[#All],[Assets]],Table25[[#This Row],[Assets]],Table25[[#All],[Number of stocks]])</f>
        <v>48</v>
      </c>
    </row>
    <row r="316" spans="1:17">
      <c r="A316" t="e" vm="80">
        <v>#VALUE!</v>
      </c>
      <c r="B316" s="2">
        <v>45524</v>
      </c>
      <c r="C316" t="str" cm="1">
        <f t="array" aca="1" ref="C316" ca="1">_FV(A316,"Ticker symbol",TRUE)</f>
        <v>PYPL</v>
      </c>
      <c r="D316" s="4">
        <v>71.790000000000006</v>
      </c>
      <c r="E316" s="50">
        <v>-5</v>
      </c>
      <c r="F316" s="81">
        <f>IF(Table25[[#This Row],[Number of stocks]]&gt;0,Table25[[#This Row],[Number of stocks]],0)</f>
        <v>0</v>
      </c>
      <c r="G316" s="73">
        <f>Table25[[#This Row],[Bought]]*Table25[[#This Row],[Price]]</f>
        <v>0</v>
      </c>
      <c r="H316">
        <f>SUMIF(Table25[[#All],[Assets]],Table25[[#This Row],[Assets]],Table25[[#All],[Bought]])</f>
        <v>223</v>
      </c>
      <c r="I316">
        <f>SUMIF(Table25[[#All],[Assets]],Table25[[#This Row],[Assets]],Table25[[#All],[Bought Amount]])</f>
        <v>14862.050000000003</v>
      </c>
      <c r="J316" s="88">
        <f>IF(Table25[[#This Row],[Number of stocks]]&lt;0,Table25[[#This Row],[Number of stocks]],0)</f>
        <v>-5</v>
      </c>
      <c r="K316" s="5">
        <f>Table25[[#This Row],[Sold]]*Table25[[#This Row],[Price]]</f>
        <v>-358.95000000000005</v>
      </c>
      <c r="L316" s="8">
        <f>ABS(SUMIF(Table25[[#All],[Assets]],Table25[[#This Row],[Assets]],Table25[[#All],[Sold]]))</f>
        <v>222</v>
      </c>
      <c r="M316" s="5">
        <f>ABS(SUMIF(Table25[[#All],[Assets]],Table25[[#This Row],[Assets]],Table25[[#All],[Sold Amount]]))</f>
        <v>15255.44</v>
      </c>
      <c r="N316" s="5">
        <f>IFERROR(Table25[[#This Row],[Total sold amount]]/Table25[[#This Row],[Total Sold number of stocks]],"")</f>
        <v>68.718198198198195</v>
      </c>
      <c r="O316" s="4">
        <f>IFERROR(Table25[[#This Row],[Total Amount bought]]/Table25[[#This Row],[Total number bought]],"")</f>
        <v>66.645964125560553</v>
      </c>
      <c r="P316" s="4">
        <f>IFERROR((Table25[[#This Row],[Average sell price]]-Table25[[#This Row],[Average buy price]])*Table25[[#This Row],[Total Sold number of stocks]],0)</f>
        <v>460.03596412555646</v>
      </c>
      <c r="Q316" s="85">
        <f>SUMIF(Table25[[#All],[Assets]],Table25[[#This Row],[Assets]],Table25[[#All],[Number of stocks]])</f>
        <v>1</v>
      </c>
    </row>
    <row r="317" spans="1:17">
      <c r="A317" t="e" vm="456">
        <v>#VALUE!</v>
      </c>
      <c r="B317" s="2">
        <v>45524</v>
      </c>
      <c r="C317" t="str" cm="1">
        <f t="array" aca="1" ref="C317" ca="1">_FV(A317,"Ticker symbol",TRUE)</f>
        <v>BIL</v>
      </c>
      <c r="D317" s="4">
        <v>91.66</v>
      </c>
      <c r="E317" s="50">
        <v>-8</v>
      </c>
      <c r="F317" s="81">
        <f>IF(Table25[[#This Row],[Number of stocks]]&gt;0,Table25[[#This Row],[Number of stocks]],0)</f>
        <v>0</v>
      </c>
      <c r="G317" s="73">
        <f>Table25[[#This Row],[Bought]]*Table25[[#This Row],[Price]]</f>
        <v>0</v>
      </c>
      <c r="H317">
        <f>SUMIF(Table25[[#All],[Assets]],Table25[[#This Row],[Assets]],Table25[[#All],[Bought]])</f>
        <v>419</v>
      </c>
      <c r="I317">
        <f>SUMIF(Table25[[#All],[Assets]],Table25[[#This Row],[Assets]],Table25[[#All],[Bought Amount]])</f>
        <v>38555.520000000004</v>
      </c>
      <c r="J317" s="88">
        <f>IF(Table25[[#This Row],[Number of stocks]]&lt;0,Table25[[#This Row],[Number of stocks]],0)</f>
        <v>-8</v>
      </c>
      <c r="K317" s="5">
        <f>Table25[[#This Row],[Sold]]*Table25[[#This Row],[Price]]</f>
        <v>-733.28</v>
      </c>
      <c r="L317" s="8">
        <f>ABS(SUMIF(Table25[[#All],[Assets]],Table25[[#This Row],[Assets]],Table25[[#All],[Sold]]))</f>
        <v>419</v>
      </c>
      <c r="M317" s="5">
        <f>ABS(SUMIF(Table25[[#All],[Assets]],Table25[[#This Row],[Assets]],Table25[[#All],[Sold Amount]]))</f>
        <v>38372</v>
      </c>
      <c r="N317" s="5">
        <f>IFERROR(Table25[[#This Row],[Total sold amount]]/Table25[[#This Row],[Total Sold number of stocks]],"")</f>
        <v>91.579952267303099</v>
      </c>
      <c r="O317" s="4">
        <f>IFERROR(Table25[[#This Row],[Total Amount bought]]/Table25[[#This Row],[Total number bought]],"")</f>
        <v>92.017947494033422</v>
      </c>
      <c r="P317" s="4">
        <f>IFERROR((Table25[[#This Row],[Average sell price]]-Table25[[#This Row],[Average buy price]])*Table25[[#This Row],[Total Sold number of stocks]],0)</f>
        <v>-183.5200000000051</v>
      </c>
      <c r="Q317" s="85">
        <f>SUMIF(Table25[[#All],[Assets]],Table25[[#This Row],[Assets]],Table25[[#All],[Number of stocks]])</f>
        <v>0</v>
      </c>
    </row>
    <row r="318" spans="1:17">
      <c r="A318" t="e" vm="473">
        <v>#VALUE!</v>
      </c>
      <c r="B318" s="2">
        <v>45524</v>
      </c>
      <c r="C318" t="str" cm="1">
        <f t="array" aca="1" ref="C318" ca="1">_FV(A318,"Ticker symbol",TRUE)</f>
        <v>KMTUY</v>
      </c>
      <c r="D318" s="4">
        <v>29.22</v>
      </c>
      <c r="E318" s="50">
        <v>-34</v>
      </c>
      <c r="F318" s="81">
        <f>IF(Table25[[#This Row],[Number of stocks]]&gt;0,Table25[[#This Row],[Number of stocks]],0)</f>
        <v>0</v>
      </c>
      <c r="G318" s="73">
        <f>Table25[[#This Row],[Bought]]*Table25[[#This Row],[Price]]</f>
        <v>0</v>
      </c>
      <c r="H318">
        <f>SUMIF(Table25[[#All],[Assets]],Table25[[#This Row],[Assets]],Table25[[#All],[Bought]])</f>
        <v>34</v>
      </c>
      <c r="I318">
        <f>SUMIF(Table25[[#All],[Assets]],Table25[[#This Row],[Assets]],Table25[[#All],[Bought Amount]])</f>
        <v>999.94</v>
      </c>
      <c r="J318" s="88">
        <f>IF(Table25[[#This Row],[Number of stocks]]&lt;0,Table25[[#This Row],[Number of stocks]],0)</f>
        <v>-34</v>
      </c>
      <c r="K318" s="5">
        <f>Table25[[#This Row],[Sold]]*Table25[[#This Row],[Price]]</f>
        <v>-993.48</v>
      </c>
      <c r="L318" s="8">
        <f>ABS(SUMIF(Table25[[#All],[Assets]],Table25[[#This Row],[Assets]],Table25[[#All],[Sold]]))</f>
        <v>34</v>
      </c>
      <c r="M318" s="5">
        <f>ABS(SUMIF(Table25[[#All],[Assets]],Table25[[#This Row],[Assets]],Table25[[#All],[Sold Amount]]))</f>
        <v>993.48</v>
      </c>
      <c r="N318" s="5">
        <f>IFERROR(Table25[[#This Row],[Total sold amount]]/Table25[[#This Row],[Total Sold number of stocks]],"")</f>
        <v>29.22</v>
      </c>
      <c r="O318" s="4">
        <f>IFERROR(Table25[[#This Row],[Total Amount bought]]/Table25[[#This Row],[Total number bought]],"")</f>
        <v>29.41</v>
      </c>
      <c r="P318" s="4">
        <f>IFERROR((Table25[[#This Row],[Average sell price]]-Table25[[#This Row],[Average buy price]])*Table25[[#This Row],[Total Sold number of stocks]],0)</f>
        <v>-6.4600000000000435</v>
      </c>
      <c r="Q318" s="85">
        <f>SUMIF(Table25[[#All],[Assets]],Table25[[#This Row],[Assets]],Table25[[#All],[Number of stocks]])</f>
        <v>0</v>
      </c>
    </row>
    <row r="319" spans="1:17">
      <c r="A319" t="e" vm="63">
        <v>#VALUE!</v>
      </c>
      <c r="B319" s="2">
        <v>45524</v>
      </c>
      <c r="C319" t="str" cm="1">
        <f t="array" aca="1" ref="C319" ca="1">_FV(A319,"Ticker symbol",TRUE)</f>
        <v>TSLA</v>
      </c>
      <c r="D319" s="4">
        <v>222.02</v>
      </c>
      <c r="E319" s="50">
        <v>1</v>
      </c>
      <c r="F319" s="81">
        <f>IF(Table25[[#This Row],[Number of stocks]]&gt;0,Table25[[#This Row],[Number of stocks]],0)</f>
        <v>1</v>
      </c>
      <c r="G319" s="73">
        <f>Table25[[#This Row],[Bought]]*Table25[[#This Row],[Price]]</f>
        <v>222.02</v>
      </c>
      <c r="H319">
        <f>SUMIF(Table25[[#All],[Assets]],Table25[[#This Row],[Assets]],Table25[[#All],[Bought]])</f>
        <v>13</v>
      </c>
      <c r="I319">
        <f>SUMIF(Table25[[#All],[Assets]],Table25[[#This Row],[Assets]],Table25[[#All],[Bought Amount]])</f>
        <v>3484.85</v>
      </c>
      <c r="J319" s="88">
        <f>IF(Table25[[#This Row],[Number of stocks]]&lt;0,Table25[[#This Row],[Number of stocks]],0)</f>
        <v>0</v>
      </c>
      <c r="K319" s="5">
        <f>Table25[[#This Row],[Sold]]*Table25[[#This Row],[Price]]</f>
        <v>0</v>
      </c>
      <c r="L319" s="8">
        <f>ABS(SUMIF(Table25[[#All],[Assets]],Table25[[#This Row],[Assets]],Table25[[#All],[Sold]]))</f>
        <v>13</v>
      </c>
      <c r="M319" s="5">
        <f>ABS(SUMIF(Table25[[#All],[Assets]],Table25[[#This Row],[Assets]],Table25[[#All],[Sold Amount]]))</f>
        <v>4240.6299999999992</v>
      </c>
      <c r="N319" s="5">
        <f>IFERROR(Table25[[#This Row],[Total sold amount]]/Table25[[#This Row],[Total Sold number of stocks]],"")</f>
        <v>326.20230769230761</v>
      </c>
      <c r="O319" s="4">
        <f>IFERROR(Table25[[#This Row],[Total Amount bought]]/Table25[[#This Row],[Total number bought]],"")</f>
        <v>268.06538461538463</v>
      </c>
      <c r="P319" s="4">
        <f>IFERROR((Table25[[#This Row],[Average sell price]]-Table25[[#This Row],[Average buy price]])*Table25[[#This Row],[Total Sold number of stocks]],0)</f>
        <v>755.77999999999884</v>
      </c>
      <c r="Q319" s="85">
        <f>SUMIF(Table25[[#All],[Assets]],Table25[[#This Row],[Assets]],Table25[[#All],[Number of stocks]])</f>
        <v>0</v>
      </c>
    </row>
    <row r="320" spans="1:17">
      <c r="A320" t="e" vm="329">
        <v>#VALUE!</v>
      </c>
      <c r="B320" s="2">
        <v>45526</v>
      </c>
      <c r="C320" t="str" cm="1">
        <f t="array" aca="1" ref="C320" ca="1">_FV(A320,"Ticker symbol",TRUE)</f>
        <v>SDIG</v>
      </c>
      <c r="D320" s="4">
        <v>4.91</v>
      </c>
      <c r="E320" s="50">
        <v>-400</v>
      </c>
      <c r="F320" s="81">
        <f>IF(Table25[[#This Row],[Number of stocks]]&gt;0,Table25[[#This Row],[Number of stocks]],0)</f>
        <v>0</v>
      </c>
      <c r="G320" s="73">
        <f>Table25[[#This Row],[Bought]]*Table25[[#This Row],[Price]]</f>
        <v>0</v>
      </c>
      <c r="H320">
        <f>SUMIF(Table25[[#All],[Assets]],Table25[[#This Row],[Assets]],Table25[[#All],[Bought]])</f>
        <v>420</v>
      </c>
      <c r="I320">
        <f>SUMIF(Table25[[#All],[Assets]],Table25[[#This Row],[Assets]],Table25[[#All],[Bought Amount]])</f>
        <v>1650</v>
      </c>
      <c r="J320" s="88">
        <f>IF(Table25[[#This Row],[Number of stocks]]&lt;0,Table25[[#This Row],[Number of stocks]],0)</f>
        <v>-400</v>
      </c>
      <c r="K320" s="5">
        <f>Table25[[#This Row],[Sold]]*Table25[[#This Row],[Price]]</f>
        <v>-1964</v>
      </c>
      <c r="L320" s="8">
        <f>ABS(SUMIF(Table25[[#All],[Assets]],Table25[[#This Row],[Assets]],Table25[[#All],[Sold]]))</f>
        <v>420</v>
      </c>
      <c r="M320" s="5">
        <f>ABS(SUMIF(Table25[[#All],[Assets]],Table25[[#This Row],[Assets]],Table25[[#All],[Sold Amount]]))</f>
        <v>2037.2</v>
      </c>
      <c r="N320" s="5">
        <f>IFERROR(Table25[[#This Row],[Total sold amount]]/Table25[[#This Row],[Total Sold number of stocks]],"")</f>
        <v>4.8504761904761908</v>
      </c>
      <c r="O320" s="4">
        <f>IFERROR(Table25[[#This Row],[Total Amount bought]]/Table25[[#This Row],[Total number bought]],"")</f>
        <v>3.9285714285714284</v>
      </c>
      <c r="P320" s="4">
        <f>IFERROR((Table25[[#This Row],[Average sell price]]-Table25[[#This Row],[Average buy price]])*Table25[[#This Row],[Total Sold number of stocks]],0)</f>
        <v>387.20000000000022</v>
      </c>
      <c r="Q320" s="85">
        <f>SUMIF(Table25[[#All],[Assets]],Table25[[#This Row],[Assets]],Table25[[#All],[Number of stocks]])</f>
        <v>0</v>
      </c>
    </row>
    <row r="321" spans="1:17">
      <c r="A321" t="e" vm="456">
        <v>#VALUE!</v>
      </c>
      <c r="B321" s="2">
        <v>45526</v>
      </c>
      <c r="C321" t="str" cm="1">
        <f t="array" aca="1" ref="C321" ca="1">_FV(A321,"Ticker symbol",TRUE)</f>
        <v>BIL</v>
      </c>
      <c r="D321" s="4">
        <v>91.69</v>
      </c>
      <c r="E321" s="50">
        <v>22</v>
      </c>
      <c r="F321" s="81">
        <f>IF(Table25[[#This Row],[Number of stocks]]&gt;0,Table25[[#This Row],[Number of stocks]],0)</f>
        <v>22</v>
      </c>
      <c r="G321" s="73">
        <f>Table25[[#This Row],[Bought]]*Table25[[#This Row],[Price]]</f>
        <v>2017.1799999999998</v>
      </c>
      <c r="H321">
        <f>SUMIF(Table25[[#All],[Assets]],Table25[[#This Row],[Assets]],Table25[[#All],[Bought]])</f>
        <v>419</v>
      </c>
      <c r="I321">
        <f>SUMIF(Table25[[#All],[Assets]],Table25[[#This Row],[Assets]],Table25[[#All],[Bought Amount]])</f>
        <v>38555.520000000004</v>
      </c>
      <c r="J321" s="88">
        <f>IF(Table25[[#This Row],[Number of stocks]]&lt;0,Table25[[#This Row],[Number of stocks]],0)</f>
        <v>0</v>
      </c>
      <c r="K321" s="5">
        <f>Table25[[#This Row],[Sold]]*Table25[[#This Row],[Price]]</f>
        <v>0</v>
      </c>
      <c r="L321" s="8">
        <f>ABS(SUMIF(Table25[[#All],[Assets]],Table25[[#This Row],[Assets]],Table25[[#All],[Sold]]))</f>
        <v>419</v>
      </c>
      <c r="M321" s="5">
        <f>ABS(SUMIF(Table25[[#All],[Assets]],Table25[[#This Row],[Assets]],Table25[[#All],[Sold Amount]]))</f>
        <v>38372</v>
      </c>
      <c r="N321" s="5">
        <f>IFERROR(Table25[[#This Row],[Total sold amount]]/Table25[[#This Row],[Total Sold number of stocks]],"")</f>
        <v>91.579952267303099</v>
      </c>
      <c r="O321" s="4">
        <f>IFERROR(Table25[[#This Row],[Total Amount bought]]/Table25[[#This Row],[Total number bought]],"")</f>
        <v>92.017947494033422</v>
      </c>
      <c r="P321" s="4">
        <f>IFERROR((Table25[[#This Row],[Average sell price]]-Table25[[#This Row],[Average buy price]])*Table25[[#This Row],[Total Sold number of stocks]],0)</f>
        <v>-183.5200000000051</v>
      </c>
      <c r="Q321" s="85">
        <f>SUMIF(Table25[[#All],[Assets]],Table25[[#This Row],[Assets]],Table25[[#All],[Number of stocks]])</f>
        <v>0</v>
      </c>
    </row>
    <row r="322" spans="1:17">
      <c r="A322" t="e" vm="33">
        <v>#VALUE!</v>
      </c>
      <c r="B322" s="2">
        <v>45525</v>
      </c>
      <c r="C322" t="str" cm="1">
        <f t="array" aca="1" ref="C322" ca="1">_FV(A322,"Ticker symbol",TRUE)</f>
        <v>CRDO</v>
      </c>
      <c r="D322" s="4">
        <v>34.4</v>
      </c>
      <c r="E322" s="50">
        <v>-10</v>
      </c>
      <c r="F322" s="81">
        <f>IF(Table25[[#This Row],[Number of stocks]]&gt;0,Table25[[#This Row],[Number of stocks]],0)</f>
        <v>0</v>
      </c>
      <c r="G322" s="73">
        <f>Table25[[#This Row],[Bought]]*Table25[[#This Row],[Price]]</f>
        <v>0</v>
      </c>
      <c r="H322">
        <f>SUMIF(Table25[[#All],[Assets]],Table25[[#This Row],[Assets]],Table25[[#All],[Bought]])</f>
        <v>135</v>
      </c>
      <c r="I322">
        <f>SUMIF(Table25[[#All],[Assets]],Table25[[#This Row],[Assets]],Table25[[#All],[Bought Amount]])</f>
        <v>3772.0499999999997</v>
      </c>
      <c r="J322" s="88">
        <f>IF(Table25[[#This Row],[Number of stocks]]&lt;0,Table25[[#This Row],[Number of stocks]],0)</f>
        <v>-10</v>
      </c>
      <c r="K322" s="5">
        <f>Table25[[#This Row],[Sold]]*Table25[[#This Row],[Price]]</f>
        <v>-344</v>
      </c>
      <c r="L322" s="8">
        <f>ABS(SUMIF(Table25[[#All],[Assets]],Table25[[#This Row],[Assets]],Table25[[#All],[Sold]]))</f>
        <v>135</v>
      </c>
      <c r="M322" s="5">
        <f>ABS(SUMIF(Table25[[#All],[Assets]],Table25[[#This Row],[Assets]],Table25[[#All],[Sold Amount]]))</f>
        <v>5564.1</v>
      </c>
      <c r="N322" s="5">
        <f>IFERROR(Table25[[#This Row],[Total sold amount]]/Table25[[#This Row],[Total Sold number of stocks]],"")</f>
        <v>41.215555555555561</v>
      </c>
      <c r="O322" s="4">
        <f>IFERROR(Table25[[#This Row],[Total Amount bought]]/Table25[[#This Row],[Total number bought]],"")</f>
        <v>27.941111111111109</v>
      </c>
      <c r="P322" s="4">
        <f>IFERROR((Table25[[#This Row],[Average sell price]]-Table25[[#This Row],[Average buy price]])*Table25[[#This Row],[Total Sold number of stocks]],0)</f>
        <v>1792.0500000000011</v>
      </c>
      <c r="Q322" s="85">
        <f>SUMIF(Table25[[#All],[Assets]],Table25[[#This Row],[Assets]],Table25[[#All],[Number of stocks]])</f>
        <v>0</v>
      </c>
    </row>
    <row r="323" spans="1:17">
      <c r="A323" t="e" vm="71">
        <v>#VALUE!</v>
      </c>
      <c r="B323" s="2">
        <v>45525</v>
      </c>
      <c r="C323" t="str" cm="1">
        <f t="array" aca="1" ref="C323" ca="1">_FV(A323,"Ticker symbol",TRUE)</f>
        <v>TKNO</v>
      </c>
      <c r="D323" s="4">
        <v>5.12</v>
      </c>
      <c r="E323" s="50">
        <v>-20</v>
      </c>
      <c r="F323" s="81">
        <f>IF(Table25[[#This Row],[Number of stocks]]&gt;0,Table25[[#This Row],[Number of stocks]],0)</f>
        <v>0</v>
      </c>
      <c r="G323" s="73">
        <f>Table25[[#This Row],[Bought]]*Table25[[#This Row],[Price]]</f>
        <v>0</v>
      </c>
      <c r="H323">
        <f>SUMIF(Table25[[#All],[Assets]],Table25[[#This Row],[Assets]],Table25[[#All],[Bought]])</f>
        <v>2166.0267990000002</v>
      </c>
      <c r="I323">
        <f>SUMIF(Table25[[#All],[Assets]],Table25[[#This Row],[Assets]],Table25[[#All],[Bought Amount]])</f>
        <v>13370.91512648</v>
      </c>
      <c r="J323" s="88">
        <f>IF(Table25[[#This Row],[Number of stocks]]&lt;0,Table25[[#This Row],[Number of stocks]],0)</f>
        <v>-20</v>
      </c>
      <c r="K323" s="5">
        <f>Table25[[#This Row],[Sold]]*Table25[[#This Row],[Price]]</f>
        <v>-102.4</v>
      </c>
      <c r="L323" s="8">
        <f>ABS(SUMIF(Table25[[#All],[Assets]],Table25[[#This Row],[Assets]],Table25[[#All],[Sold]]))</f>
        <v>2083</v>
      </c>
      <c r="M323" s="5">
        <f>ABS(SUMIF(Table25[[#All],[Assets]],Table25[[#This Row],[Assets]],Table25[[#All],[Sold Amount]]))</f>
        <v>11153.28</v>
      </c>
      <c r="N323" s="5">
        <f>IFERROR(Table25[[#This Row],[Total sold amount]]/Table25[[#This Row],[Total Sold number of stocks]],"")</f>
        <v>5.3544311089774368</v>
      </c>
      <c r="O323" s="4">
        <f>IFERROR(Table25[[#This Row],[Total Amount bought]]/Table25[[#This Row],[Total number bought]],"")</f>
        <v>6.1730146333614213</v>
      </c>
      <c r="P323" s="4">
        <f>IFERROR((Table25[[#This Row],[Average sell price]]-Table25[[#This Row],[Average buy price]])*Table25[[#This Row],[Total Sold number of stocks]],0)</f>
        <v>-1705.1094812918398</v>
      </c>
      <c r="Q323" s="85">
        <f>SUMIF(Table25[[#All],[Assets]],Table25[[#This Row],[Assets]],Table25[[#All],[Number of stocks]])</f>
        <v>83.026798999999983</v>
      </c>
    </row>
    <row r="324" spans="1:17">
      <c r="A324" t="e" vm="517">
        <v>#VALUE!</v>
      </c>
      <c r="B324" s="2">
        <v>45527</v>
      </c>
      <c r="C324" t="str" cm="1">
        <f t="array" aca="1" ref="C324" ca="1">_FV(A324,"Ticker symbol",TRUE)</f>
        <v>PLOW</v>
      </c>
      <c r="D324" s="4">
        <v>28.15</v>
      </c>
      <c r="E324" s="50">
        <v>20</v>
      </c>
      <c r="F324" s="81">
        <f>IF(Table25[[#This Row],[Number of stocks]]&gt;0,Table25[[#This Row],[Number of stocks]],0)</f>
        <v>20</v>
      </c>
      <c r="G324" s="73">
        <f>Table25[[#This Row],[Bought]]*Table25[[#This Row],[Price]]</f>
        <v>563</v>
      </c>
      <c r="H324">
        <f>SUMIF(Table25[[#All],[Assets]],Table25[[#This Row],[Assets]],Table25[[#All],[Bought]])</f>
        <v>20</v>
      </c>
      <c r="I324">
        <f>SUMIF(Table25[[#All],[Assets]],Table25[[#This Row],[Assets]],Table25[[#All],[Bought Amount]])</f>
        <v>563</v>
      </c>
      <c r="J324" s="88">
        <f>IF(Table25[[#This Row],[Number of stocks]]&lt;0,Table25[[#This Row],[Number of stocks]],0)</f>
        <v>0</v>
      </c>
      <c r="K324" s="5">
        <f>Table25[[#This Row],[Sold]]*Table25[[#This Row],[Price]]</f>
        <v>0</v>
      </c>
      <c r="L324" s="8">
        <f>ABS(SUMIF(Table25[[#All],[Assets]],Table25[[#This Row],[Assets]],Table25[[#All],[Sold]]))</f>
        <v>20</v>
      </c>
      <c r="M324" s="5">
        <f>ABS(SUMIF(Table25[[#All],[Assets]],Table25[[#This Row],[Assets]],Table25[[#All],[Sold Amount]]))</f>
        <v>461.4</v>
      </c>
      <c r="N324" s="5">
        <f>IFERROR(Table25[[#This Row],[Total sold amount]]/Table25[[#This Row],[Total Sold number of stocks]],"")</f>
        <v>23.07</v>
      </c>
      <c r="O324" s="4">
        <f>IFERROR(Table25[[#This Row],[Total Amount bought]]/Table25[[#This Row],[Total number bought]],"")</f>
        <v>28.15</v>
      </c>
      <c r="P324" s="4">
        <f>IFERROR((Table25[[#This Row],[Average sell price]]-Table25[[#This Row],[Average buy price]])*Table25[[#This Row],[Total Sold number of stocks]],0)</f>
        <v>-101.59999999999997</v>
      </c>
      <c r="Q324" s="85">
        <f>SUMIF(Table25[[#All],[Assets]],Table25[[#This Row],[Assets]],Table25[[#All],[Number of stocks]])</f>
        <v>0</v>
      </c>
    </row>
    <row r="325" spans="1:17">
      <c r="A325" t="e" vm="456">
        <v>#VALUE!</v>
      </c>
      <c r="B325" s="2">
        <v>45527</v>
      </c>
      <c r="C325" t="str" cm="1">
        <f t="array" aca="1" ref="C325" ca="1">_FV(A325,"Ticker symbol",TRUE)</f>
        <v>BIL</v>
      </c>
      <c r="D325" s="4">
        <v>91.73</v>
      </c>
      <c r="E325" s="50">
        <v>17</v>
      </c>
      <c r="F325" s="81">
        <f>IF(Table25[[#This Row],[Number of stocks]]&gt;0,Table25[[#This Row],[Number of stocks]],0)</f>
        <v>17</v>
      </c>
      <c r="G325" s="73">
        <f>Table25[[#This Row],[Bought]]*Table25[[#This Row],[Price]]</f>
        <v>1559.41</v>
      </c>
      <c r="H325">
        <f>SUMIF(Table25[[#All],[Assets]],Table25[[#This Row],[Assets]],Table25[[#All],[Bought]])</f>
        <v>419</v>
      </c>
      <c r="I325">
        <f>SUMIF(Table25[[#All],[Assets]],Table25[[#This Row],[Assets]],Table25[[#All],[Bought Amount]])</f>
        <v>38555.520000000004</v>
      </c>
      <c r="J325" s="88">
        <f>IF(Table25[[#This Row],[Number of stocks]]&lt;0,Table25[[#This Row],[Number of stocks]],0)</f>
        <v>0</v>
      </c>
      <c r="K325" s="5">
        <f>Table25[[#This Row],[Sold]]*Table25[[#This Row],[Price]]</f>
        <v>0</v>
      </c>
      <c r="L325" s="8">
        <f>ABS(SUMIF(Table25[[#All],[Assets]],Table25[[#This Row],[Assets]],Table25[[#All],[Sold]]))</f>
        <v>419</v>
      </c>
      <c r="M325" s="5">
        <f>ABS(SUMIF(Table25[[#All],[Assets]],Table25[[#This Row],[Assets]],Table25[[#All],[Sold Amount]]))</f>
        <v>38372</v>
      </c>
      <c r="N325" s="5">
        <f>IFERROR(Table25[[#This Row],[Total sold amount]]/Table25[[#This Row],[Total Sold number of stocks]],"")</f>
        <v>91.579952267303099</v>
      </c>
      <c r="O325" s="4">
        <f>IFERROR(Table25[[#This Row],[Total Amount bought]]/Table25[[#This Row],[Total number bought]],"")</f>
        <v>92.017947494033422</v>
      </c>
      <c r="P325" s="4">
        <f>IFERROR((Table25[[#This Row],[Average sell price]]-Table25[[#This Row],[Average buy price]])*Table25[[#This Row],[Total Sold number of stocks]],0)</f>
        <v>-183.5200000000051</v>
      </c>
      <c r="Q325" s="85">
        <f>SUMIF(Table25[[#All],[Assets]],Table25[[#This Row],[Assets]],Table25[[#All],[Number of stocks]])</f>
        <v>0</v>
      </c>
    </row>
    <row r="326" spans="1:17">
      <c r="A326" t="e" vm="32">
        <v>#VALUE!</v>
      </c>
      <c r="B326" s="2">
        <v>45530</v>
      </c>
      <c r="C326" t="str" cm="1">
        <f t="array" aca="1" ref="C326" ca="1">_FV(A326,"Ticker symbol",TRUE)</f>
        <v>MU</v>
      </c>
      <c r="D326" s="4">
        <v>98.8</v>
      </c>
      <c r="E326" s="50">
        <v>1</v>
      </c>
      <c r="F326" s="81">
        <f>IF(Table25[[#This Row],[Number of stocks]]&gt;0,Table25[[#This Row],[Number of stocks]],0)</f>
        <v>1</v>
      </c>
      <c r="G326" s="73">
        <f>Table25[[#This Row],[Bought]]*Table25[[#This Row],[Price]]</f>
        <v>98.8</v>
      </c>
      <c r="H326">
        <f>SUMIF(Table25[[#All],[Assets]],Table25[[#This Row],[Assets]],Table25[[#All],[Bought]])</f>
        <v>59</v>
      </c>
      <c r="I326">
        <f>SUMIF(Table25[[#All],[Assets]],Table25[[#This Row],[Assets]],Table25[[#All],[Bought Amount]])</f>
        <v>6964.04</v>
      </c>
      <c r="J326" s="88">
        <f>IF(Table25[[#This Row],[Number of stocks]]&lt;0,Table25[[#This Row],[Number of stocks]],0)</f>
        <v>0</v>
      </c>
      <c r="K326" s="5">
        <f>Table25[[#This Row],[Sold]]*Table25[[#This Row],[Price]]</f>
        <v>0</v>
      </c>
      <c r="L326" s="8">
        <f>ABS(SUMIF(Table25[[#All],[Assets]],Table25[[#This Row],[Assets]],Table25[[#All],[Sold]]))</f>
        <v>58</v>
      </c>
      <c r="M326" s="5">
        <f>ABS(SUMIF(Table25[[#All],[Assets]],Table25[[#This Row],[Assets]],Table25[[#All],[Sold Amount]]))</f>
        <v>6974.51</v>
      </c>
      <c r="N326" s="5">
        <f>IFERROR(Table25[[#This Row],[Total sold amount]]/Table25[[#This Row],[Total Sold number of stocks]],"")</f>
        <v>120.25017241379311</v>
      </c>
      <c r="O326" s="4">
        <f>IFERROR(Table25[[#This Row],[Total Amount bought]]/Table25[[#This Row],[Total number bought]],"")</f>
        <v>118.03457627118644</v>
      </c>
      <c r="P326" s="4">
        <f>IFERROR((Table25[[#This Row],[Average sell price]]-Table25[[#This Row],[Average buy price]])*Table25[[#This Row],[Total Sold number of stocks]],0)</f>
        <v>128.50457627118692</v>
      </c>
      <c r="Q326" s="85">
        <f>SUMIF(Table25[[#All],[Assets]],Table25[[#This Row],[Assets]],Table25[[#All],[Number of stocks]])</f>
        <v>1</v>
      </c>
    </row>
    <row r="327" spans="1:17">
      <c r="A327" t="e" vm="32">
        <v>#VALUE!</v>
      </c>
      <c r="B327" s="2">
        <v>45530</v>
      </c>
      <c r="C327" t="str" cm="1">
        <f t="array" aca="1" ref="C327" ca="1">_FV(A327,"Ticker symbol",TRUE)</f>
        <v>MU</v>
      </c>
      <c r="D327" s="4">
        <v>99.08</v>
      </c>
      <c r="E327" s="50">
        <v>4</v>
      </c>
      <c r="F327" s="81">
        <f>IF(Table25[[#This Row],[Number of stocks]]&gt;0,Table25[[#This Row],[Number of stocks]],0)</f>
        <v>4</v>
      </c>
      <c r="G327" s="73">
        <f>Table25[[#This Row],[Bought]]*Table25[[#This Row],[Price]]</f>
        <v>396.32</v>
      </c>
      <c r="H327">
        <f>SUMIF(Table25[[#All],[Assets]],Table25[[#This Row],[Assets]],Table25[[#All],[Bought]])</f>
        <v>59</v>
      </c>
      <c r="I327">
        <f>SUMIF(Table25[[#All],[Assets]],Table25[[#This Row],[Assets]],Table25[[#All],[Bought Amount]])</f>
        <v>6964.04</v>
      </c>
      <c r="J327" s="88">
        <f>IF(Table25[[#This Row],[Number of stocks]]&lt;0,Table25[[#This Row],[Number of stocks]],0)</f>
        <v>0</v>
      </c>
      <c r="K327" s="5">
        <f>Table25[[#This Row],[Sold]]*Table25[[#This Row],[Price]]</f>
        <v>0</v>
      </c>
      <c r="L327" s="8">
        <f>ABS(SUMIF(Table25[[#All],[Assets]],Table25[[#This Row],[Assets]],Table25[[#All],[Sold]]))</f>
        <v>58</v>
      </c>
      <c r="M327" s="5">
        <f>ABS(SUMIF(Table25[[#All],[Assets]],Table25[[#This Row],[Assets]],Table25[[#All],[Sold Amount]]))</f>
        <v>6974.51</v>
      </c>
      <c r="N327" s="5">
        <f>IFERROR(Table25[[#This Row],[Total sold amount]]/Table25[[#This Row],[Total Sold number of stocks]],"")</f>
        <v>120.25017241379311</v>
      </c>
      <c r="O327" s="4">
        <f>IFERROR(Table25[[#This Row],[Total Amount bought]]/Table25[[#This Row],[Total number bought]],"")</f>
        <v>118.03457627118644</v>
      </c>
      <c r="P327" s="4">
        <f>IFERROR((Table25[[#This Row],[Average sell price]]-Table25[[#This Row],[Average buy price]])*Table25[[#This Row],[Total Sold number of stocks]],0)</f>
        <v>128.50457627118692</v>
      </c>
      <c r="Q327" s="85">
        <f>SUMIF(Table25[[#All],[Assets]],Table25[[#This Row],[Assets]],Table25[[#All],[Number of stocks]])</f>
        <v>1</v>
      </c>
    </row>
    <row r="328" spans="1:17">
      <c r="A328" t="e" vm="456">
        <v>#VALUE!</v>
      </c>
      <c r="B328" s="2">
        <v>45531</v>
      </c>
      <c r="C328" t="str" cm="1">
        <f t="array" aca="1" ref="C328" ca="1">_FV(A328,"Ticker symbol",TRUE)</f>
        <v>BIL</v>
      </c>
      <c r="D328" s="4">
        <v>91.75</v>
      </c>
      <c r="E328" s="50">
        <v>-4</v>
      </c>
      <c r="F328" s="81">
        <f>IF(Table25[[#This Row],[Number of stocks]]&gt;0,Table25[[#This Row],[Number of stocks]],0)</f>
        <v>0</v>
      </c>
      <c r="G328" s="73">
        <f>Table25[[#This Row],[Bought]]*Table25[[#This Row],[Price]]</f>
        <v>0</v>
      </c>
      <c r="H328">
        <f>SUMIF(Table25[[#All],[Assets]],Table25[[#This Row],[Assets]],Table25[[#All],[Bought]])</f>
        <v>419</v>
      </c>
      <c r="I328">
        <f>SUMIF(Table25[[#All],[Assets]],Table25[[#This Row],[Assets]],Table25[[#All],[Bought Amount]])</f>
        <v>38555.520000000004</v>
      </c>
      <c r="J328" s="88">
        <f>IF(Table25[[#This Row],[Number of stocks]]&lt;0,Table25[[#This Row],[Number of stocks]],0)</f>
        <v>-4</v>
      </c>
      <c r="K328" s="5">
        <f>Table25[[#This Row],[Sold]]*Table25[[#This Row],[Price]]</f>
        <v>-367</v>
      </c>
      <c r="L328" s="8">
        <f>ABS(SUMIF(Table25[[#All],[Assets]],Table25[[#This Row],[Assets]],Table25[[#All],[Sold]]))</f>
        <v>419</v>
      </c>
      <c r="M328" s="5">
        <f>ABS(SUMIF(Table25[[#All],[Assets]],Table25[[#This Row],[Assets]],Table25[[#All],[Sold Amount]]))</f>
        <v>38372</v>
      </c>
      <c r="N328" s="5">
        <f>IFERROR(Table25[[#This Row],[Total sold amount]]/Table25[[#This Row],[Total Sold number of stocks]],"")</f>
        <v>91.579952267303099</v>
      </c>
      <c r="O328" s="4">
        <f>IFERROR(Table25[[#This Row],[Total Amount bought]]/Table25[[#This Row],[Total number bought]],"")</f>
        <v>92.017947494033422</v>
      </c>
      <c r="P328" s="4">
        <f>IFERROR((Table25[[#This Row],[Average sell price]]-Table25[[#This Row],[Average buy price]])*Table25[[#This Row],[Total Sold number of stocks]],0)</f>
        <v>-183.5200000000051</v>
      </c>
      <c r="Q328" s="85">
        <f>SUMIF(Table25[[#All],[Assets]],Table25[[#This Row],[Assets]],Table25[[#All],[Number of stocks]])</f>
        <v>0</v>
      </c>
    </row>
    <row r="329" spans="1:17">
      <c r="A329" t="e" vm="23">
        <v>#VALUE!</v>
      </c>
      <c r="B329" s="2">
        <v>45532</v>
      </c>
      <c r="C329" t="str" cm="1">
        <f t="array" aca="1" ref="C329" ca="1">_FV(A329,"Ticker symbol",TRUE)</f>
        <v>ALGM</v>
      </c>
      <c r="D329" s="4">
        <v>23.66</v>
      </c>
      <c r="E329" s="50">
        <v>25</v>
      </c>
      <c r="F329" s="81">
        <f>IF(Table25[[#This Row],[Number of stocks]]&gt;0,Table25[[#This Row],[Number of stocks]],0)</f>
        <v>25</v>
      </c>
      <c r="G329" s="73">
        <f>Table25[[#This Row],[Bought]]*Table25[[#This Row],[Price]]</f>
        <v>591.5</v>
      </c>
      <c r="H329">
        <f>SUMIF(Table25[[#All],[Assets]],Table25[[#This Row],[Assets]],Table25[[#All],[Bought]])</f>
        <v>30</v>
      </c>
      <c r="I329">
        <f>SUMIF(Table25[[#All],[Assets]],Table25[[#This Row],[Assets]],Table25[[#All],[Bought Amount]])</f>
        <v>766.3</v>
      </c>
      <c r="J329" s="88">
        <f>IF(Table25[[#This Row],[Number of stocks]]&lt;0,Table25[[#This Row],[Number of stocks]],0)</f>
        <v>0</v>
      </c>
      <c r="K329" s="5">
        <f>Table25[[#This Row],[Sold]]*Table25[[#This Row],[Price]]</f>
        <v>0</v>
      </c>
      <c r="L329" s="8">
        <f>ABS(SUMIF(Table25[[#All],[Assets]],Table25[[#This Row],[Assets]],Table25[[#All],[Sold]]))</f>
        <v>25</v>
      </c>
      <c r="M329" s="5">
        <f>ABS(SUMIF(Table25[[#All],[Assets]],Table25[[#This Row],[Assets]],Table25[[#All],[Sold Amount]]))</f>
        <v>525.25</v>
      </c>
      <c r="N329" s="5">
        <f>IFERROR(Table25[[#This Row],[Total sold amount]]/Table25[[#This Row],[Total Sold number of stocks]],"")</f>
        <v>21.01</v>
      </c>
      <c r="O329" s="4">
        <f>IFERROR(Table25[[#This Row],[Total Amount bought]]/Table25[[#This Row],[Total number bought]],"")</f>
        <v>25.543333333333333</v>
      </c>
      <c r="P329" s="4">
        <f>IFERROR((Table25[[#This Row],[Average sell price]]-Table25[[#This Row],[Average buy price]])*Table25[[#This Row],[Total Sold number of stocks]],0)</f>
        <v>-113.33333333333329</v>
      </c>
      <c r="Q329" s="85">
        <f>SUMIF(Table25[[#All],[Assets]],Table25[[#This Row],[Assets]],Table25[[#All],[Number of stocks]])</f>
        <v>5</v>
      </c>
    </row>
    <row r="330" spans="1:17">
      <c r="A330" t="e" vm="456">
        <v>#VALUE!</v>
      </c>
      <c r="B330" s="2">
        <v>45533</v>
      </c>
      <c r="C330" t="str" cm="1">
        <f t="array" aca="1" ref="C330" ca="1">_FV(A330,"Ticker symbol",TRUE)</f>
        <v>BIL</v>
      </c>
      <c r="D330" s="4">
        <v>91.77</v>
      </c>
      <c r="E330" s="50">
        <v>14</v>
      </c>
      <c r="F330" s="81">
        <f>IF(Table25[[#This Row],[Number of stocks]]&gt;0,Table25[[#This Row],[Number of stocks]],0)</f>
        <v>14</v>
      </c>
      <c r="G330" s="73">
        <f>Table25[[#This Row],[Bought]]*Table25[[#This Row],[Price]]</f>
        <v>1284.78</v>
      </c>
      <c r="H330">
        <f>SUMIF(Table25[[#All],[Assets]],Table25[[#This Row],[Assets]],Table25[[#All],[Bought]])</f>
        <v>419</v>
      </c>
      <c r="I330">
        <f>SUMIF(Table25[[#All],[Assets]],Table25[[#This Row],[Assets]],Table25[[#All],[Bought Amount]])</f>
        <v>38555.520000000004</v>
      </c>
      <c r="J330" s="88">
        <f>IF(Table25[[#This Row],[Number of stocks]]&lt;0,Table25[[#This Row],[Number of stocks]],0)</f>
        <v>0</v>
      </c>
      <c r="K330" s="5">
        <f>Table25[[#This Row],[Sold]]*Table25[[#This Row],[Price]]</f>
        <v>0</v>
      </c>
      <c r="L330" s="8">
        <f>ABS(SUMIF(Table25[[#All],[Assets]],Table25[[#This Row],[Assets]],Table25[[#All],[Sold]]))</f>
        <v>419</v>
      </c>
      <c r="M330" s="5">
        <f>ABS(SUMIF(Table25[[#All],[Assets]],Table25[[#This Row],[Assets]],Table25[[#All],[Sold Amount]]))</f>
        <v>38372</v>
      </c>
      <c r="N330" s="5">
        <f>IFERROR(Table25[[#This Row],[Total sold amount]]/Table25[[#This Row],[Total Sold number of stocks]],"")</f>
        <v>91.579952267303099</v>
      </c>
      <c r="O330" s="4">
        <f>IFERROR(Table25[[#This Row],[Total Amount bought]]/Table25[[#This Row],[Total number bought]],"")</f>
        <v>92.017947494033422</v>
      </c>
      <c r="P330" s="4">
        <f>IFERROR((Table25[[#This Row],[Average sell price]]-Table25[[#This Row],[Average buy price]])*Table25[[#This Row],[Total Sold number of stocks]],0)</f>
        <v>-183.5200000000051</v>
      </c>
      <c r="Q330" s="85">
        <f>SUMIF(Table25[[#All],[Assets]],Table25[[#This Row],[Assets]],Table25[[#All],[Number of stocks]])</f>
        <v>0</v>
      </c>
    </row>
    <row r="331" spans="1:17">
      <c r="A331" t="e" vm="116">
        <v>#VALUE!</v>
      </c>
      <c r="B331" s="2">
        <v>45533</v>
      </c>
      <c r="C331" t="str" cm="1">
        <f t="array" aca="1" ref="C331" ca="1">_FV(A331,"Ticker symbol",TRUE)</f>
        <v>MPC</v>
      </c>
      <c r="D331" s="4">
        <v>169.96</v>
      </c>
      <c r="E331" s="50">
        <v>-10</v>
      </c>
      <c r="F331" s="81">
        <f>IF(Table25[[#This Row],[Number of stocks]]&gt;0,Table25[[#This Row],[Number of stocks]],0)</f>
        <v>0</v>
      </c>
      <c r="G331" s="73">
        <f>Table25[[#This Row],[Bought]]*Table25[[#This Row],[Price]]</f>
        <v>0</v>
      </c>
      <c r="H331">
        <f>SUMIF(Table25[[#All],[Assets]],Table25[[#This Row],[Assets]],Table25[[#All],[Bought]])</f>
        <v>23</v>
      </c>
      <c r="I331">
        <f>SUMIF(Table25[[#All],[Assets]],Table25[[#This Row],[Assets]],Table25[[#All],[Bought Amount]])</f>
        <v>3826.89</v>
      </c>
      <c r="J331" s="88">
        <f>IF(Table25[[#This Row],[Number of stocks]]&lt;0,Table25[[#This Row],[Number of stocks]],0)</f>
        <v>-10</v>
      </c>
      <c r="K331" s="5">
        <f>Table25[[#This Row],[Sold]]*Table25[[#This Row],[Price]]</f>
        <v>-1699.6000000000001</v>
      </c>
      <c r="L331" s="8">
        <f>ABS(SUMIF(Table25[[#All],[Assets]],Table25[[#This Row],[Assets]],Table25[[#All],[Sold]]))</f>
        <v>23</v>
      </c>
      <c r="M331" s="5">
        <f>ABS(SUMIF(Table25[[#All],[Assets]],Table25[[#This Row],[Assets]],Table25[[#All],[Sold Amount]]))</f>
        <v>3605.23</v>
      </c>
      <c r="N331" s="5">
        <f>IFERROR(Table25[[#This Row],[Total sold amount]]/Table25[[#This Row],[Total Sold number of stocks]],"")</f>
        <v>156.74913043478261</v>
      </c>
      <c r="O331" s="4">
        <f>IFERROR(Table25[[#This Row],[Total Amount bought]]/Table25[[#This Row],[Total number bought]],"")</f>
        <v>166.38652173913042</v>
      </c>
      <c r="P331" s="4">
        <f>IFERROR((Table25[[#This Row],[Average sell price]]-Table25[[#This Row],[Average buy price]])*Table25[[#This Row],[Total Sold number of stocks]],0)</f>
        <v>-221.65999999999943</v>
      </c>
      <c r="Q331" s="85">
        <f>SUMIF(Table25[[#All],[Assets]],Table25[[#This Row],[Assets]],Table25[[#All],[Number of stocks]])</f>
        <v>0</v>
      </c>
    </row>
    <row r="332" spans="1:17">
      <c r="A332" t="e" vm="162">
        <v>#VALUE!</v>
      </c>
      <c r="B332" s="2">
        <v>45533</v>
      </c>
      <c r="C332" t="str" cm="1">
        <f t="array" aca="1" ref="C332" ca="1">_FV(A332,"Ticker symbol",TRUE)</f>
        <v>APA</v>
      </c>
      <c r="D332" s="4">
        <v>28.05</v>
      </c>
      <c r="E332" s="50">
        <v>-37.29</v>
      </c>
      <c r="F332" s="81">
        <f>IF(Table25[[#This Row],[Number of stocks]]&gt;0,Table25[[#This Row],[Number of stocks]],0)</f>
        <v>0</v>
      </c>
      <c r="G332" s="73">
        <f>Table25[[#This Row],[Bought]]*Table25[[#This Row],[Price]]</f>
        <v>0</v>
      </c>
      <c r="H332">
        <f>SUMIF(Table25[[#All],[Assets]],Table25[[#This Row],[Assets]],Table25[[#All],[Bought]])</f>
        <v>87.289999999999992</v>
      </c>
      <c r="I332">
        <f>SUMIF(Table25[[#All],[Assets]],Table25[[#This Row],[Assets]],Table25[[#All],[Bought Amount]])</f>
        <v>2368.7374999999997</v>
      </c>
      <c r="J332" s="88">
        <f>IF(Table25[[#This Row],[Number of stocks]]&lt;0,Table25[[#This Row],[Number of stocks]],0)</f>
        <v>-37.29</v>
      </c>
      <c r="K332" s="5">
        <f>Table25[[#This Row],[Sold]]*Table25[[#This Row],[Price]]</f>
        <v>-1045.9845</v>
      </c>
      <c r="L332" s="8">
        <f>ABS(SUMIF(Table25[[#All],[Assets]],Table25[[#This Row],[Assets]],Table25[[#All],[Sold]]))</f>
        <v>87.289999999999992</v>
      </c>
      <c r="M332" s="5">
        <f>ABS(SUMIF(Table25[[#All],[Assets]],Table25[[#This Row],[Assets]],Table25[[#All],[Sold Amount]]))</f>
        <v>2259.0844999999999</v>
      </c>
      <c r="N332" s="5">
        <f>IFERROR(Table25[[#This Row],[Total sold amount]]/Table25[[#This Row],[Total Sold number of stocks]],"")</f>
        <v>25.880221102073548</v>
      </c>
      <c r="O332" s="4">
        <f>IFERROR(Table25[[#This Row],[Total Amount bought]]/Table25[[#This Row],[Total number bought]],"")</f>
        <v>27.136413105739489</v>
      </c>
      <c r="P332" s="4">
        <f>IFERROR((Table25[[#This Row],[Average sell price]]-Table25[[#This Row],[Average buy price]])*Table25[[#This Row],[Total Sold number of stocks]],0)</f>
        <v>-109.65299999999996</v>
      </c>
      <c r="Q332" s="85">
        <f>SUMIF(Table25[[#All],[Assets]],Table25[[#This Row],[Assets]],Table25[[#All],[Number of stocks]])</f>
        <v>0</v>
      </c>
    </row>
    <row r="333" spans="1:17">
      <c r="A333" t="e" vm="129">
        <v>#VALUE!</v>
      </c>
      <c r="B333" s="2">
        <v>45533</v>
      </c>
      <c r="C333" t="str" cm="1">
        <f t="array" aca="1" ref="C333" ca="1">_FV(A333,"Ticker symbol",TRUE)</f>
        <v>MRVL</v>
      </c>
      <c r="D333" s="4">
        <v>72.63</v>
      </c>
      <c r="E333" s="50">
        <v>37</v>
      </c>
      <c r="F333" s="81">
        <f>IF(Table25[[#This Row],[Number of stocks]]&gt;0,Table25[[#This Row],[Number of stocks]],0)</f>
        <v>37</v>
      </c>
      <c r="G333" s="73">
        <f>Table25[[#This Row],[Bought]]*Table25[[#This Row],[Price]]</f>
        <v>2687.31</v>
      </c>
      <c r="H333">
        <f>SUMIF(Table25[[#All],[Assets]],Table25[[#This Row],[Assets]],Table25[[#All],[Bought]])</f>
        <v>105</v>
      </c>
      <c r="I333">
        <f>SUMIF(Table25[[#All],[Assets]],Table25[[#This Row],[Assets]],Table25[[#All],[Bought Amount]])</f>
        <v>8175.6200000000008</v>
      </c>
      <c r="J333" s="88">
        <f>IF(Table25[[#This Row],[Number of stocks]]&lt;0,Table25[[#This Row],[Number of stocks]],0)</f>
        <v>0</v>
      </c>
      <c r="K333" s="5">
        <f>Table25[[#This Row],[Sold]]*Table25[[#This Row],[Price]]</f>
        <v>0</v>
      </c>
      <c r="L333" s="8">
        <f>ABS(SUMIF(Table25[[#All],[Assets]],Table25[[#This Row],[Assets]],Table25[[#All],[Sold]]))</f>
        <v>83</v>
      </c>
      <c r="M333" s="5">
        <f>ABS(SUMIF(Table25[[#All],[Assets]],Table25[[#This Row],[Assets]],Table25[[#All],[Sold Amount]]))</f>
        <v>6745.73</v>
      </c>
      <c r="N333" s="5">
        <f>IFERROR(Table25[[#This Row],[Total sold amount]]/Table25[[#This Row],[Total Sold number of stocks]],"")</f>
        <v>81.273855421686747</v>
      </c>
      <c r="O333" s="4">
        <f>IFERROR(Table25[[#This Row],[Total Amount bought]]/Table25[[#This Row],[Total number bought]],"")</f>
        <v>77.86304761904762</v>
      </c>
      <c r="P333" s="4">
        <f>IFERROR((Table25[[#This Row],[Average sell price]]-Table25[[#This Row],[Average buy price]])*Table25[[#This Row],[Total Sold number of stocks]],0)</f>
        <v>283.09704761904754</v>
      </c>
      <c r="Q333" s="85">
        <f>SUMIF(Table25[[#All],[Assets]],Table25[[#This Row],[Assets]],Table25[[#All],[Number of stocks]])</f>
        <v>22</v>
      </c>
    </row>
    <row r="334" spans="1:17">
      <c r="A334" t="e" vm="168">
        <v>#VALUE!</v>
      </c>
      <c r="B334" s="2">
        <v>45533</v>
      </c>
      <c r="C334" t="str" cm="1">
        <f t="array" aca="1" ref="C334" ca="1">_FV(A334,"Ticker symbol",TRUE)</f>
        <v>PDD</v>
      </c>
      <c r="D334" s="4">
        <v>92.05</v>
      </c>
      <c r="E334" s="50">
        <v>5</v>
      </c>
      <c r="F334" s="81">
        <f>IF(Table25[[#This Row],[Number of stocks]]&gt;0,Table25[[#This Row],[Number of stocks]],0)</f>
        <v>5</v>
      </c>
      <c r="G334" s="73">
        <f>Table25[[#This Row],[Bought]]*Table25[[#This Row],[Price]]</f>
        <v>460.25</v>
      </c>
      <c r="H334">
        <f>SUMIF(Table25[[#All],[Assets]],Table25[[#This Row],[Assets]],Table25[[#All],[Bought]])</f>
        <v>5</v>
      </c>
      <c r="I334">
        <f>SUMIF(Table25[[#All],[Assets]],Table25[[#This Row],[Assets]],Table25[[#All],[Bought Amount]])</f>
        <v>460.25</v>
      </c>
      <c r="J334" s="88">
        <f>IF(Table25[[#This Row],[Number of stocks]]&lt;0,Table25[[#This Row],[Number of stocks]],0)</f>
        <v>0</v>
      </c>
      <c r="K334" s="5">
        <f>Table25[[#This Row],[Sold]]*Table25[[#This Row],[Price]]</f>
        <v>0</v>
      </c>
      <c r="L334" s="8">
        <f>ABS(SUMIF(Table25[[#All],[Assets]],Table25[[#This Row],[Assets]],Table25[[#All],[Sold]]))</f>
        <v>5</v>
      </c>
      <c r="M334" s="5">
        <f>ABS(SUMIF(Table25[[#All],[Assets]],Table25[[#This Row],[Assets]],Table25[[#All],[Sold Amount]]))</f>
        <v>678.9</v>
      </c>
      <c r="N334" s="5">
        <f>IFERROR(Table25[[#This Row],[Total sold amount]]/Table25[[#This Row],[Total Sold number of stocks]],"")</f>
        <v>135.78</v>
      </c>
      <c r="O334" s="4">
        <f>IFERROR(Table25[[#This Row],[Total Amount bought]]/Table25[[#This Row],[Total number bought]],"")</f>
        <v>92.05</v>
      </c>
      <c r="P334" s="4">
        <f>IFERROR((Table25[[#This Row],[Average sell price]]-Table25[[#This Row],[Average buy price]])*Table25[[#This Row],[Total Sold number of stocks]],0)</f>
        <v>218.65000000000003</v>
      </c>
      <c r="Q334" s="85">
        <f>SUMIF(Table25[[#All],[Assets]],Table25[[#This Row],[Assets]],Table25[[#All],[Number of stocks]])</f>
        <v>0</v>
      </c>
    </row>
    <row r="335" spans="1:17">
      <c r="A335" t="e" vm="34">
        <v>#VALUE!</v>
      </c>
      <c r="B335" s="2">
        <v>45533</v>
      </c>
      <c r="C335" t="str" cm="1">
        <f t="array" aca="1" ref="C335" ca="1">_FV(A335,"Ticker symbol",TRUE)</f>
        <v>TSM</v>
      </c>
      <c r="D335" s="4">
        <v>171.5</v>
      </c>
      <c r="E335" s="50">
        <v>4</v>
      </c>
      <c r="F335" s="81">
        <f>IF(Table25[[#This Row],[Number of stocks]]&gt;0,Table25[[#This Row],[Number of stocks]],0)</f>
        <v>4</v>
      </c>
      <c r="G335" s="73">
        <f>Table25[[#This Row],[Bought]]*Table25[[#This Row],[Price]]</f>
        <v>686</v>
      </c>
      <c r="H335">
        <f>SUMIF(Table25[[#All],[Assets]],Table25[[#This Row],[Assets]],Table25[[#All],[Bought]])</f>
        <v>45</v>
      </c>
      <c r="I335">
        <f>SUMIF(Table25[[#All],[Assets]],Table25[[#This Row],[Assets]],Table25[[#All],[Bought Amount]])</f>
        <v>7503.4800000000005</v>
      </c>
      <c r="J335" s="88">
        <f>IF(Table25[[#This Row],[Number of stocks]]&lt;0,Table25[[#This Row],[Number of stocks]],0)</f>
        <v>0</v>
      </c>
      <c r="K335" s="5">
        <f>Table25[[#This Row],[Sold]]*Table25[[#This Row],[Price]]</f>
        <v>0</v>
      </c>
      <c r="L335" s="8">
        <f>ABS(SUMIF(Table25[[#All],[Assets]],Table25[[#This Row],[Assets]],Table25[[#All],[Sold]]))</f>
        <v>44</v>
      </c>
      <c r="M335" s="5">
        <f>ABS(SUMIF(Table25[[#All],[Assets]],Table25[[#This Row],[Assets]],Table25[[#All],[Sold Amount]]))</f>
        <v>7951.28</v>
      </c>
      <c r="N335" s="5">
        <f>IFERROR(Table25[[#This Row],[Total sold amount]]/Table25[[#This Row],[Total Sold number of stocks]],"")</f>
        <v>180.7109090909091</v>
      </c>
      <c r="O335" s="4">
        <f>IFERROR(Table25[[#This Row],[Total Amount bought]]/Table25[[#This Row],[Total number bought]],"")</f>
        <v>166.744</v>
      </c>
      <c r="P335" s="4">
        <f>IFERROR((Table25[[#This Row],[Average sell price]]-Table25[[#This Row],[Average buy price]])*Table25[[#This Row],[Total Sold number of stocks]],0)</f>
        <v>614.54400000000032</v>
      </c>
      <c r="Q335" s="85">
        <f>SUMIF(Table25[[#All],[Assets]],Table25[[#This Row],[Assets]],Table25[[#All],[Number of stocks]])</f>
        <v>1</v>
      </c>
    </row>
    <row r="336" spans="1:17">
      <c r="A336" t="e" vm="19">
        <v>#VALUE!</v>
      </c>
      <c r="B336" s="2">
        <v>45531</v>
      </c>
      <c r="C336" t="str" cm="1">
        <f t="array" aca="1" ref="C336" ca="1">_FV(A336,"Ticker symbol",TRUE)</f>
        <v>OUST</v>
      </c>
      <c r="D336" s="4">
        <v>7.38</v>
      </c>
      <c r="E336" s="50">
        <v>49</v>
      </c>
      <c r="F336" s="81">
        <f>IF(Table25[[#This Row],[Number of stocks]]&gt;0,Table25[[#This Row],[Number of stocks]],0)</f>
        <v>49</v>
      </c>
      <c r="G336" s="73">
        <f>Table25[[#This Row],[Bought]]*Table25[[#This Row],[Price]]</f>
        <v>361.62</v>
      </c>
      <c r="H336">
        <f>SUMIF(Table25[[#All],[Assets]],Table25[[#This Row],[Assets]],Table25[[#All],[Bought]])</f>
        <v>324</v>
      </c>
      <c r="I336">
        <f>SUMIF(Table25[[#All],[Assets]],Table25[[#This Row],[Assets]],Table25[[#All],[Bought Amount]])</f>
        <v>4403.8500000000004</v>
      </c>
      <c r="J336" s="88">
        <f>IF(Table25[[#This Row],[Number of stocks]]&lt;0,Table25[[#This Row],[Number of stocks]],0)</f>
        <v>0</v>
      </c>
      <c r="K336" s="5">
        <f>Table25[[#This Row],[Sold]]*Table25[[#This Row],[Price]]</f>
        <v>0</v>
      </c>
      <c r="L336" s="8">
        <f>ABS(SUMIF(Table25[[#All],[Assets]],Table25[[#This Row],[Assets]],Table25[[#All],[Sold]]))</f>
        <v>299</v>
      </c>
      <c r="M336" s="5">
        <f>ABS(SUMIF(Table25[[#All],[Assets]],Table25[[#This Row],[Assets]],Table25[[#All],[Sold Amount]]))</f>
        <v>6222.84</v>
      </c>
      <c r="N336" s="5">
        <f>IFERROR(Table25[[#This Row],[Total sold amount]]/Table25[[#This Row],[Total Sold number of stocks]],"")</f>
        <v>20.81217391304348</v>
      </c>
      <c r="O336" s="4">
        <f>IFERROR(Table25[[#This Row],[Total Amount bought]]/Table25[[#This Row],[Total number bought]],"")</f>
        <v>13.59212962962963</v>
      </c>
      <c r="P336" s="4">
        <f>IFERROR((Table25[[#This Row],[Average sell price]]-Table25[[#This Row],[Average buy price]])*Table25[[#This Row],[Total Sold number of stocks]],0)</f>
        <v>2158.7932407407411</v>
      </c>
      <c r="Q336" s="85">
        <f>SUMIF(Table25[[#All],[Assets]],Table25[[#This Row],[Assets]],Table25[[#All],[Number of stocks]])</f>
        <v>25</v>
      </c>
    </row>
    <row r="337" spans="1:17">
      <c r="A337" t="e" vm="319">
        <v>#VALUE!</v>
      </c>
      <c r="B337" s="2">
        <v>45530</v>
      </c>
      <c r="C337" t="str" cm="1">
        <f t="array" aca="1" ref="C337" ca="1">_FV(A337,"Ticker symbol",TRUE)</f>
        <v>PTON</v>
      </c>
      <c r="D337" s="4">
        <v>5.14</v>
      </c>
      <c r="E337" s="50">
        <v>60</v>
      </c>
      <c r="F337" s="81">
        <f>IF(Table25[[#This Row],[Number of stocks]]&gt;0,Table25[[#This Row],[Number of stocks]],0)</f>
        <v>60</v>
      </c>
      <c r="G337" s="73">
        <f>Table25[[#This Row],[Bought]]*Table25[[#This Row],[Price]]</f>
        <v>308.39999999999998</v>
      </c>
      <c r="H337">
        <f>SUMIF(Table25[[#All],[Assets]],Table25[[#This Row],[Assets]],Table25[[#All],[Bought]])</f>
        <v>60</v>
      </c>
      <c r="I337">
        <f>SUMIF(Table25[[#All],[Assets]],Table25[[#This Row],[Assets]],Table25[[#All],[Bought Amount]])</f>
        <v>308.39999999999998</v>
      </c>
      <c r="J337" s="88">
        <f>IF(Table25[[#This Row],[Number of stocks]]&lt;0,Table25[[#This Row],[Number of stocks]],0)</f>
        <v>0</v>
      </c>
      <c r="K337" s="5">
        <f>Table25[[#This Row],[Sold]]*Table25[[#This Row],[Price]]</f>
        <v>0</v>
      </c>
      <c r="L337" s="8">
        <f>ABS(SUMIF(Table25[[#All],[Assets]],Table25[[#This Row],[Assets]],Table25[[#All],[Sold]]))</f>
        <v>60</v>
      </c>
      <c r="M337" s="5">
        <f>ABS(SUMIF(Table25[[#All],[Assets]],Table25[[#This Row],[Assets]],Table25[[#All],[Sold Amount]]))</f>
        <v>501.59999999999997</v>
      </c>
      <c r="N337" s="5">
        <f>IFERROR(Table25[[#This Row],[Total sold amount]]/Table25[[#This Row],[Total Sold number of stocks]],"")</f>
        <v>8.36</v>
      </c>
      <c r="O337" s="4">
        <f>IFERROR(Table25[[#This Row],[Total Amount bought]]/Table25[[#This Row],[Total number bought]],"")</f>
        <v>5.14</v>
      </c>
      <c r="P337" s="4">
        <f>IFERROR((Table25[[#This Row],[Average sell price]]-Table25[[#This Row],[Average buy price]])*Table25[[#This Row],[Total Sold number of stocks]],0)</f>
        <v>193.2</v>
      </c>
      <c r="Q337" s="85">
        <f>SUMIF(Table25[[#All],[Assets]],Table25[[#This Row],[Assets]],Table25[[#All],[Number of stocks]])</f>
        <v>0</v>
      </c>
    </row>
    <row r="338" spans="1:17">
      <c r="A338" t="e" vm="129">
        <v>#VALUE!</v>
      </c>
      <c r="B338" s="2">
        <v>45533</v>
      </c>
      <c r="C338" t="str" cm="1">
        <f t="array" aca="1" ref="C338" ca="1">_FV(A338,"Ticker symbol",TRUE)</f>
        <v>MRVL</v>
      </c>
      <c r="D338" s="4">
        <v>71.02</v>
      </c>
      <c r="E338" s="50">
        <v>-7</v>
      </c>
      <c r="F338" s="81">
        <f>IF(Table25[[#This Row],[Number of stocks]]&gt;0,Table25[[#This Row],[Number of stocks]],0)</f>
        <v>0</v>
      </c>
      <c r="G338" s="73">
        <f>Table25[[#This Row],[Bought]]*Table25[[#This Row],[Price]]</f>
        <v>0</v>
      </c>
      <c r="H338">
        <f>SUMIF(Table25[[#All],[Assets]],Table25[[#This Row],[Assets]],Table25[[#All],[Bought]])</f>
        <v>105</v>
      </c>
      <c r="I338">
        <f>SUMIF(Table25[[#All],[Assets]],Table25[[#This Row],[Assets]],Table25[[#All],[Bought Amount]])</f>
        <v>8175.6200000000008</v>
      </c>
      <c r="J338" s="88">
        <f>IF(Table25[[#This Row],[Number of stocks]]&lt;0,Table25[[#This Row],[Number of stocks]],0)</f>
        <v>-7</v>
      </c>
      <c r="K338" s="5">
        <f>Table25[[#This Row],[Sold]]*Table25[[#This Row],[Price]]</f>
        <v>-497.14</v>
      </c>
      <c r="L338" s="8">
        <f>ABS(SUMIF(Table25[[#All],[Assets]],Table25[[#This Row],[Assets]],Table25[[#All],[Sold]]))</f>
        <v>83</v>
      </c>
      <c r="M338" s="5">
        <f>ABS(SUMIF(Table25[[#All],[Assets]],Table25[[#This Row],[Assets]],Table25[[#All],[Sold Amount]]))</f>
        <v>6745.73</v>
      </c>
      <c r="N338" s="5">
        <f>IFERROR(Table25[[#This Row],[Total sold amount]]/Table25[[#This Row],[Total Sold number of stocks]],"")</f>
        <v>81.273855421686747</v>
      </c>
      <c r="O338" s="4">
        <f>IFERROR(Table25[[#This Row],[Total Amount bought]]/Table25[[#This Row],[Total number bought]],"")</f>
        <v>77.86304761904762</v>
      </c>
      <c r="P338" s="4">
        <f>IFERROR((Table25[[#This Row],[Average sell price]]-Table25[[#This Row],[Average buy price]])*Table25[[#This Row],[Total Sold number of stocks]],0)</f>
        <v>283.09704761904754</v>
      </c>
      <c r="Q338" s="85">
        <f>SUMIF(Table25[[#All],[Assets]],Table25[[#This Row],[Assets]],Table25[[#All],[Number of stocks]])</f>
        <v>22</v>
      </c>
    </row>
    <row r="339" spans="1:17">
      <c r="A339" t="e" vm="64">
        <v>#VALUE!</v>
      </c>
      <c r="B339" s="2">
        <v>45533</v>
      </c>
      <c r="C339" t="str" cm="1">
        <f t="array" aca="1" ref="C339" ca="1">_FV(A339,"Ticker symbol",TRUE)</f>
        <v>LULU</v>
      </c>
      <c r="D339" s="4">
        <v>261.92</v>
      </c>
      <c r="E339" s="50">
        <v>-2</v>
      </c>
      <c r="F339" s="81">
        <f>IF(Table25[[#This Row],[Number of stocks]]&gt;0,Table25[[#This Row],[Number of stocks]],0)</f>
        <v>0</v>
      </c>
      <c r="G339" s="73">
        <f>Table25[[#This Row],[Bought]]*Table25[[#This Row],[Price]]</f>
        <v>0</v>
      </c>
      <c r="H339">
        <f>SUMIF(Table25[[#All],[Assets]],Table25[[#This Row],[Assets]],Table25[[#All],[Bought]])</f>
        <v>26</v>
      </c>
      <c r="I339">
        <f>SUMIF(Table25[[#All],[Assets]],Table25[[#This Row],[Assets]],Table25[[#All],[Bought Amount]])</f>
        <v>6272.2400000000007</v>
      </c>
      <c r="J339" s="88">
        <f>IF(Table25[[#This Row],[Number of stocks]]&lt;0,Table25[[#This Row],[Number of stocks]],0)</f>
        <v>-2</v>
      </c>
      <c r="K339" s="5">
        <f>Table25[[#This Row],[Sold]]*Table25[[#This Row],[Price]]</f>
        <v>-523.84</v>
      </c>
      <c r="L339" s="8">
        <f>ABS(SUMIF(Table25[[#All],[Assets]],Table25[[#This Row],[Assets]],Table25[[#All],[Sold]]))</f>
        <v>26</v>
      </c>
      <c r="M339" s="5">
        <f>ABS(SUMIF(Table25[[#All],[Assets]],Table25[[#This Row],[Assets]],Table25[[#All],[Sold Amount]]))</f>
        <v>6958.9199999999992</v>
      </c>
      <c r="N339" s="5">
        <f>IFERROR(Table25[[#This Row],[Total sold amount]]/Table25[[#This Row],[Total Sold number of stocks]],"")</f>
        <v>267.65076923076919</v>
      </c>
      <c r="O339" s="4">
        <f>IFERROR(Table25[[#This Row],[Total Amount bought]]/Table25[[#This Row],[Total number bought]],"")</f>
        <v>241.24000000000004</v>
      </c>
      <c r="P339" s="4">
        <f>IFERROR((Table25[[#This Row],[Average sell price]]-Table25[[#This Row],[Average buy price]])*Table25[[#This Row],[Total Sold number of stocks]],0)</f>
        <v>686.67999999999779</v>
      </c>
      <c r="Q339" s="85">
        <f>SUMIF(Table25[[#All],[Assets]],Table25[[#This Row],[Assets]],Table25[[#All],[Number of stocks]])</f>
        <v>0</v>
      </c>
    </row>
    <row r="340" spans="1:17">
      <c r="A340" t="e" vm="312">
        <v>#VALUE!</v>
      </c>
      <c r="B340" s="2">
        <v>45533</v>
      </c>
      <c r="C340" t="str" cm="1">
        <f t="array" aca="1" ref="C340" ca="1">_FV(A340,"Ticker symbol",TRUE)</f>
        <v>ATEC</v>
      </c>
      <c r="D340" s="4">
        <v>7.22</v>
      </c>
      <c r="E340" s="50">
        <v>78</v>
      </c>
      <c r="F340" s="81">
        <f>IF(Table25[[#This Row],[Number of stocks]]&gt;0,Table25[[#This Row],[Number of stocks]],0)</f>
        <v>78</v>
      </c>
      <c r="G340" s="73">
        <f>Table25[[#This Row],[Bought]]*Table25[[#This Row],[Price]]</f>
        <v>563.16</v>
      </c>
      <c r="H340">
        <f>SUMIF(Table25[[#All],[Assets]],Table25[[#This Row],[Assets]],Table25[[#All],[Bought]])</f>
        <v>108</v>
      </c>
      <c r="I340">
        <f>SUMIF(Table25[[#All],[Assets]],Table25[[#This Row],[Assets]],Table25[[#All],[Bought Amount]])</f>
        <v>893.16</v>
      </c>
      <c r="J340" s="88">
        <f>IF(Table25[[#This Row],[Number of stocks]]&lt;0,Table25[[#This Row],[Number of stocks]],0)</f>
        <v>0</v>
      </c>
      <c r="K340" s="5">
        <f>Table25[[#This Row],[Sold]]*Table25[[#This Row],[Price]]</f>
        <v>0</v>
      </c>
      <c r="L340" s="8">
        <f>ABS(SUMIF(Table25[[#All],[Assets]],Table25[[#This Row],[Assets]],Table25[[#All],[Sold]]))</f>
        <v>108</v>
      </c>
      <c r="M340" s="5">
        <f>ABS(SUMIF(Table25[[#All],[Assets]],Table25[[#This Row],[Assets]],Table25[[#All],[Sold Amount]]))</f>
        <v>737.76</v>
      </c>
      <c r="N340" s="5">
        <f>IFERROR(Table25[[#This Row],[Total sold amount]]/Table25[[#This Row],[Total Sold number of stocks]],"")</f>
        <v>6.8311111111111114</v>
      </c>
      <c r="O340" s="4">
        <f>IFERROR(Table25[[#This Row],[Total Amount bought]]/Table25[[#This Row],[Total number bought]],"")</f>
        <v>8.27</v>
      </c>
      <c r="P340" s="4">
        <f>IFERROR((Table25[[#This Row],[Average sell price]]-Table25[[#This Row],[Average buy price]])*Table25[[#This Row],[Total Sold number of stocks]],0)</f>
        <v>-155.39999999999992</v>
      </c>
      <c r="Q340" s="85">
        <f>SUMIF(Table25[[#All],[Assets]],Table25[[#This Row],[Assets]],Table25[[#All],[Number of stocks]])</f>
        <v>0</v>
      </c>
    </row>
    <row r="341" spans="1:17">
      <c r="A341" t="e" vm="21">
        <v>#VALUE!</v>
      </c>
      <c r="B341" s="2">
        <v>45534</v>
      </c>
      <c r="C341" t="str" cm="1">
        <f t="array" aca="1" ref="C341" ca="1">_FV(A341,"Ticker symbol",TRUE)</f>
        <v>INTC</v>
      </c>
      <c r="D341" s="4">
        <v>21.69</v>
      </c>
      <c r="E341" s="50">
        <v>2</v>
      </c>
      <c r="F341" s="81">
        <f>IF(Table25[[#This Row],[Number of stocks]]&gt;0,Table25[[#This Row],[Number of stocks]],0)</f>
        <v>2</v>
      </c>
      <c r="G341" s="73">
        <f>Table25[[#This Row],[Bought]]*Table25[[#This Row],[Price]]</f>
        <v>43.38</v>
      </c>
      <c r="H341">
        <f>SUMIF(Table25[[#All],[Assets]],Table25[[#This Row],[Assets]],Table25[[#All],[Bought]])</f>
        <v>334.73663899999997</v>
      </c>
      <c r="I341">
        <f>SUMIF(Table25[[#All],[Assets]],Table25[[#This Row],[Assets]],Table25[[#All],[Bought Amount]])</f>
        <v>9755.9173948600001</v>
      </c>
      <c r="J341" s="88">
        <f>IF(Table25[[#This Row],[Number of stocks]]&lt;0,Table25[[#This Row],[Number of stocks]],0)</f>
        <v>0</v>
      </c>
      <c r="K341" s="5">
        <f>Table25[[#This Row],[Sold]]*Table25[[#This Row],[Price]]</f>
        <v>0</v>
      </c>
      <c r="L341" s="8">
        <f>ABS(SUMIF(Table25[[#All],[Assets]],Table25[[#This Row],[Assets]],Table25[[#All],[Sold]]))</f>
        <v>334.74</v>
      </c>
      <c r="M341" s="5">
        <f>ABS(SUMIF(Table25[[#All],[Assets]],Table25[[#This Row],[Assets]],Table25[[#All],[Sold Amount]]))</f>
        <v>7909.2053999999998</v>
      </c>
      <c r="N341" s="5">
        <f>IFERROR(Table25[[#This Row],[Total sold amount]]/Table25[[#This Row],[Total Sold number of stocks]],"")</f>
        <v>23.627906434844952</v>
      </c>
      <c r="O341" s="4">
        <f>IFERROR(Table25[[#This Row],[Total Amount bought]]/Table25[[#This Row],[Total number bought]],"")</f>
        <v>29.145053926588542</v>
      </c>
      <c r="P341" s="4">
        <f>IFERROR((Table25[[#This Row],[Average sell price]]-Table25[[#This Row],[Average buy price]])*Table25[[#This Row],[Total Sold number of stocks]],0)</f>
        <v>-1846.8099513862492</v>
      </c>
      <c r="Q341" s="85">
        <f>SUMIF(Table25[[#All],[Assets]],Table25[[#This Row],[Assets]],Table25[[#All],[Number of stocks]])</f>
        <v>-3.3610000000123819E-3</v>
      </c>
    </row>
    <row r="342" spans="1:17">
      <c r="A342" t="e" vm="308">
        <v>#VALUE!</v>
      </c>
      <c r="B342" s="2">
        <v>45538</v>
      </c>
      <c r="C342" t="str" cm="1">
        <f t="array" aca="1" ref="C342" ca="1">_FV(A342,"Ticker symbol",TRUE)</f>
        <v>INSP</v>
      </c>
      <c r="D342" s="4">
        <v>180.47</v>
      </c>
      <c r="E342" s="50">
        <v>-3</v>
      </c>
      <c r="F342" s="81">
        <f>IF(Table25[[#This Row],[Number of stocks]]&gt;0,Table25[[#This Row],[Number of stocks]],0)</f>
        <v>0</v>
      </c>
      <c r="G342" s="73">
        <f>Table25[[#This Row],[Bought]]*Table25[[#This Row],[Price]]</f>
        <v>0</v>
      </c>
      <c r="H342">
        <f>SUMIF(Table25[[#All],[Assets]],Table25[[#This Row],[Assets]],Table25[[#All],[Bought]])</f>
        <v>3</v>
      </c>
      <c r="I342">
        <f>SUMIF(Table25[[#All],[Assets]],Table25[[#This Row],[Assets]],Table25[[#All],[Bought Amount]])</f>
        <v>577.47</v>
      </c>
      <c r="J342" s="88">
        <f>IF(Table25[[#This Row],[Number of stocks]]&lt;0,Table25[[#This Row],[Number of stocks]],0)</f>
        <v>-3</v>
      </c>
      <c r="K342" s="5">
        <f>Table25[[#This Row],[Sold]]*Table25[[#This Row],[Price]]</f>
        <v>-541.41</v>
      </c>
      <c r="L342" s="8">
        <f>ABS(SUMIF(Table25[[#All],[Assets]],Table25[[#This Row],[Assets]],Table25[[#All],[Sold]]))</f>
        <v>3</v>
      </c>
      <c r="M342" s="5">
        <f>ABS(SUMIF(Table25[[#All],[Assets]],Table25[[#This Row],[Assets]],Table25[[#All],[Sold Amount]]))</f>
        <v>541.41</v>
      </c>
      <c r="N342" s="5">
        <f>IFERROR(Table25[[#This Row],[Total sold amount]]/Table25[[#This Row],[Total Sold number of stocks]],"")</f>
        <v>180.47</v>
      </c>
      <c r="O342" s="4">
        <f>IFERROR(Table25[[#This Row],[Total Amount bought]]/Table25[[#This Row],[Total number bought]],"")</f>
        <v>192.49</v>
      </c>
      <c r="P342" s="4">
        <f>IFERROR((Table25[[#This Row],[Average sell price]]-Table25[[#This Row],[Average buy price]])*Table25[[#This Row],[Total Sold number of stocks]],0)</f>
        <v>-36.060000000000031</v>
      </c>
      <c r="Q342" s="85">
        <f>SUMIF(Table25[[#All],[Assets]],Table25[[#This Row],[Assets]],Table25[[#All],[Number of stocks]])</f>
        <v>0</v>
      </c>
    </row>
    <row r="343" spans="1:17">
      <c r="A343" t="e" vm="368">
        <v>#VALUE!</v>
      </c>
      <c r="B343" s="2">
        <v>45538</v>
      </c>
      <c r="C343" t="str" cm="1">
        <f t="array" aca="1" ref="C343" ca="1">_FV(A343,"Ticker symbol",TRUE)</f>
        <v>BKD</v>
      </c>
      <c r="D343" s="4">
        <v>7.08</v>
      </c>
      <c r="E343" s="50">
        <v>-40</v>
      </c>
      <c r="F343" s="81">
        <f>IF(Table25[[#This Row],[Number of stocks]]&gt;0,Table25[[#This Row],[Number of stocks]],0)</f>
        <v>0</v>
      </c>
      <c r="G343" s="73">
        <f>Table25[[#This Row],[Bought]]*Table25[[#This Row],[Price]]</f>
        <v>0</v>
      </c>
      <c r="H343">
        <f>SUMIF(Table25[[#All],[Assets]],Table25[[#This Row],[Assets]],Table25[[#All],[Bought]])</f>
        <v>40</v>
      </c>
      <c r="I343">
        <f>SUMIF(Table25[[#All],[Assets]],Table25[[#This Row],[Assets]],Table25[[#All],[Bought Amount]])</f>
        <v>292.39999999999998</v>
      </c>
      <c r="J343" s="88">
        <f>IF(Table25[[#This Row],[Number of stocks]]&lt;0,Table25[[#This Row],[Number of stocks]],0)</f>
        <v>-40</v>
      </c>
      <c r="K343" s="5">
        <f>Table25[[#This Row],[Sold]]*Table25[[#This Row],[Price]]</f>
        <v>-283.2</v>
      </c>
      <c r="L343" s="8">
        <f>ABS(SUMIF(Table25[[#All],[Assets]],Table25[[#This Row],[Assets]],Table25[[#All],[Sold]]))</f>
        <v>40</v>
      </c>
      <c r="M343" s="5">
        <f>ABS(SUMIF(Table25[[#All],[Assets]],Table25[[#This Row],[Assets]],Table25[[#All],[Sold Amount]]))</f>
        <v>283.2</v>
      </c>
      <c r="N343" s="5">
        <f>IFERROR(Table25[[#This Row],[Total sold amount]]/Table25[[#This Row],[Total Sold number of stocks]],"")</f>
        <v>7.08</v>
      </c>
      <c r="O343" s="4">
        <f>IFERROR(Table25[[#This Row],[Total Amount bought]]/Table25[[#This Row],[Total number bought]],"")</f>
        <v>7.31</v>
      </c>
      <c r="P343" s="4">
        <f>IFERROR((Table25[[#This Row],[Average sell price]]-Table25[[#This Row],[Average buy price]])*Table25[[#This Row],[Total Sold number of stocks]],0)</f>
        <v>-9.1999999999999815</v>
      </c>
      <c r="Q343" s="85">
        <f>SUMIF(Table25[[#All],[Assets]],Table25[[#This Row],[Assets]],Table25[[#All],[Number of stocks]])</f>
        <v>0</v>
      </c>
    </row>
    <row r="344" spans="1:17">
      <c r="A344" t="e" vm="332">
        <v>#VALUE!</v>
      </c>
      <c r="B344" s="2">
        <v>45538</v>
      </c>
      <c r="C344" t="str" cm="1">
        <f t="array" aca="1" ref="C344" ca="1">_FV(A344,"Ticker symbol",TRUE)</f>
        <v>INNV</v>
      </c>
      <c r="D344" s="4">
        <v>6.38</v>
      </c>
      <c r="E344" s="50">
        <v>-50</v>
      </c>
      <c r="F344" s="81">
        <f>IF(Table25[[#This Row],[Number of stocks]]&gt;0,Table25[[#This Row],[Number of stocks]],0)</f>
        <v>0</v>
      </c>
      <c r="G344" s="73">
        <f>Table25[[#This Row],[Bought]]*Table25[[#This Row],[Price]]</f>
        <v>0</v>
      </c>
      <c r="H344">
        <f>SUMIF(Table25[[#All],[Assets]],Table25[[#This Row],[Assets]],Table25[[#All],[Bought]])</f>
        <v>50</v>
      </c>
      <c r="I344">
        <f>SUMIF(Table25[[#All],[Assets]],Table25[[#This Row],[Assets]],Table25[[#All],[Bought Amount]])</f>
        <v>300</v>
      </c>
      <c r="J344" s="88">
        <f>IF(Table25[[#This Row],[Number of stocks]]&lt;0,Table25[[#This Row],[Number of stocks]],0)</f>
        <v>-50</v>
      </c>
      <c r="K344" s="5">
        <f>Table25[[#This Row],[Sold]]*Table25[[#This Row],[Price]]</f>
        <v>-319</v>
      </c>
      <c r="L344" s="8">
        <f>ABS(SUMIF(Table25[[#All],[Assets]],Table25[[#This Row],[Assets]],Table25[[#All],[Sold]]))</f>
        <v>50</v>
      </c>
      <c r="M344" s="5">
        <f>ABS(SUMIF(Table25[[#All],[Assets]],Table25[[#This Row],[Assets]],Table25[[#All],[Sold Amount]]))</f>
        <v>319</v>
      </c>
      <c r="N344" s="5">
        <f>IFERROR(Table25[[#This Row],[Total sold amount]]/Table25[[#This Row],[Total Sold number of stocks]],"")</f>
        <v>6.38</v>
      </c>
      <c r="O344" s="4">
        <f>IFERROR(Table25[[#This Row],[Total Amount bought]]/Table25[[#This Row],[Total number bought]],"")</f>
        <v>6</v>
      </c>
      <c r="P344" s="4">
        <f>IFERROR((Table25[[#This Row],[Average sell price]]-Table25[[#This Row],[Average buy price]])*Table25[[#This Row],[Total Sold number of stocks]],0)</f>
        <v>18.999999999999993</v>
      </c>
      <c r="Q344" s="85">
        <f>SUMIF(Table25[[#All],[Assets]],Table25[[#This Row],[Assets]],Table25[[#All],[Number of stocks]])</f>
        <v>0</v>
      </c>
    </row>
    <row r="345" spans="1:17">
      <c r="A345" t="e" vm="412">
        <v>#VALUE!</v>
      </c>
      <c r="B345" s="2">
        <v>45538</v>
      </c>
      <c r="C345" t="str" cm="1">
        <f t="array" aca="1" ref="C345" ca="1">_FV(A345,"Ticker symbol",TRUE)</f>
        <v>OHI</v>
      </c>
      <c r="D345" s="4">
        <v>39.520000000000003</v>
      </c>
      <c r="E345" s="50">
        <v>-8</v>
      </c>
      <c r="F345" s="81">
        <f>IF(Table25[[#This Row],[Number of stocks]]&gt;0,Table25[[#This Row],[Number of stocks]],0)</f>
        <v>0</v>
      </c>
      <c r="G345" s="73">
        <f>Table25[[#This Row],[Bought]]*Table25[[#This Row],[Price]]</f>
        <v>0</v>
      </c>
      <c r="H345">
        <f>SUMIF(Table25[[#All],[Assets]],Table25[[#This Row],[Assets]],Table25[[#All],[Bought]])</f>
        <v>8</v>
      </c>
      <c r="I345">
        <f>SUMIF(Table25[[#All],[Assets]],Table25[[#This Row],[Assets]],Table25[[#All],[Bought Amount]])</f>
        <v>299.44</v>
      </c>
      <c r="J345" s="88">
        <f>IF(Table25[[#This Row],[Number of stocks]]&lt;0,Table25[[#This Row],[Number of stocks]],0)</f>
        <v>-8</v>
      </c>
      <c r="K345" s="5">
        <f>Table25[[#This Row],[Sold]]*Table25[[#This Row],[Price]]</f>
        <v>-316.16000000000003</v>
      </c>
      <c r="L345" s="8">
        <f>ABS(SUMIF(Table25[[#All],[Assets]],Table25[[#This Row],[Assets]],Table25[[#All],[Sold]]))</f>
        <v>8</v>
      </c>
      <c r="M345" s="5">
        <f>ABS(SUMIF(Table25[[#All],[Assets]],Table25[[#This Row],[Assets]],Table25[[#All],[Sold Amount]]))</f>
        <v>316.16000000000003</v>
      </c>
      <c r="N345" s="5">
        <f>IFERROR(Table25[[#This Row],[Total sold amount]]/Table25[[#This Row],[Total Sold number of stocks]],"")</f>
        <v>39.520000000000003</v>
      </c>
      <c r="O345" s="4">
        <f>IFERROR(Table25[[#This Row],[Total Amount bought]]/Table25[[#This Row],[Total number bought]],"")</f>
        <v>37.43</v>
      </c>
      <c r="P345" s="4">
        <f>IFERROR((Table25[[#This Row],[Average sell price]]-Table25[[#This Row],[Average buy price]])*Table25[[#This Row],[Total Sold number of stocks]],0)</f>
        <v>16.720000000000027</v>
      </c>
      <c r="Q345" s="85">
        <f>SUMIF(Table25[[#All],[Assets]],Table25[[#This Row],[Assets]],Table25[[#All],[Number of stocks]])</f>
        <v>0</v>
      </c>
    </row>
    <row r="346" spans="1:17">
      <c r="A346" t="e" vm="340">
        <v>#VALUE!</v>
      </c>
      <c r="B346" s="2">
        <v>45538</v>
      </c>
      <c r="C346" t="str" cm="1">
        <f t="array" aca="1" ref="C346" ca="1">_FV(A346,"Ticker symbol",TRUE)</f>
        <v>PNTG</v>
      </c>
      <c r="D346" s="4">
        <v>29.2</v>
      </c>
      <c r="E346" s="50">
        <v>-4</v>
      </c>
      <c r="F346" s="81">
        <f>IF(Table25[[#This Row],[Number of stocks]]&gt;0,Table25[[#This Row],[Number of stocks]],0)</f>
        <v>0</v>
      </c>
      <c r="G346" s="73">
        <f>Table25[[#This Row],[Bought]]*Table25[[#This Row],[Price]]</f>
        <v>0</v>
      </c>
      <c r="H346">
        <f>SUMIF(Table25[[#All],[Assets]],Table25[[#This Row],[Assets]],Table25[[#All],[Bought]])</f>
        <v>4</v>
      </c>
      <c r="I346">
        <f>SUMIF(Table25[[#All],[Assets]],Table25[[#This Row],[Assets]],Table25[[#All],[Bought Amount]])</f>
        <v>116.8</v>
      </c>
      <c r="J346" s="88">
        <f>IF(Table25[[#This Row],[Number of stocks]]&lt;0,Table25[[#This Row],[Number of stocks]],0)</f>
        <v>-4</v>
      </c>
      <c r="K346" s="5">
        <f>Table25[[#This Row],[Sold]]*Table25[[#This Row],[Price]]</f>
        <v>-116.8</v>
      </c>
      <c r="L346" s="8">
        <f>ABS(SUMIF(Table25[[#All],[Assets]],Table25[[#This Row],[Assets]],Table25[[#All],[Sold]]))</f>
        <v>4</v>
      </c>
      <c r="M346" s="5">
        <f>ABS(SUMIF(Table25[[#All],[Assets]],Table25[[#This Row],[Assets]],Table25[[#All],[Sold Amount]]))</f>
        <v>116.8</v>
      </c>
      <c r="N346" s="5">
        <f>IFERROR(Table25[[#This Row],[Total sold amount]]/Table25[[#This Row],[Total Sold number of stocks]],"")</f>
        <v>29.2</v>
      </c>
      <c r="O346" s="4">
        <f>IFERROR(Table25[[#This Row],[Total Amount bought]]/Table25[[#This Row],[Total number bought]],"")</f>
        <v>29.2</v>
      </c>
      <c r="P346" s="4">
        <f>IFERROR((Table25[[#This Row],[Average sell price]]-Table25[[#This Row],[Average buy price]])*Table25[[#This Row],[Total Sold number of stocks]],0)</f>
        <v>0</v>
      </c>
      <c r="Q346" s="85">
        <f>SUMIF(Table25[[#All],[Assets]],Table25[[#This Row],[Assets]],Table25[[#All],[Number of stocks]])</f>
        <v>0</v>
      </c>
    </row>
    <row r="347" spans="1:17">
      <c r="A347" t="e" vm="367">
        <v>#VALUE!</v>
      </c>
      <c r="B347" s="2">
        <v>45538</v>
      </c>
      <c r="C347" t="str" cm="1">
        <f t="array" aca="1" ref="C347" ca="1">_FV(A347,"Ticker symbol",TRUE)</f>
        <v>OKTA</v>
      </c>
      <c r="D347" s="4">
        <v>79.319999999999993</v>
      </c>
      <c r="E347" s="50">
        <v>-1</v>
      </c>
      <c r="F347" s="81">
        <f>IF(Table25[[#This Row],[Number of stocks]]&gt;0,Table25[[#This Row],[Number of stocks]],0)</f>
        <v>0</v>
      </c>
      <c r="G347" s="73">
        <f>Table25[[#This Row],[Bought]]*Table25[[#This Row],[Price]]</f>
        <v>0</v>
      </c>
      <c r="H347">
        <f>SUMIF(Table25[[#All],[Assets]],Table25[[#This Row],[Assets]],Table25[[#All],[Bought]])</f>
        <v>1</v>
      </c>
      <c r="I347">
        <f>SUMIF(Table25[[#All],[Assets]],Table25[[#This Row],[Assets]],Table25[[#All],[Bought Amount]])</f>
        <v>88.87</v>
      </c>
      <c r="J347" s="88">
        <f>IF(Table25[[#This Row],[Number of stocks]]&lt;0,Table25[[#This Row],[Number of stocks]],0)</f>
        <v>-1</v>
      </c>
      <c r="K347" s="5">
        <f>Table25[[#This Row],[Sold]]*Table25[[#This Row],[Price]]</f>
        <v>-79.319999999999993</v>
      </c>
      <c r="L347" s="8">
        <f>ABS(SUMIF(Table25[[#All],[Assets]],Table25[[#This Row],[Assets]],Table25[[#All],[Sold]]))</f>
        <v>1</v>
      </c>
      <c r="M347" s="5">
        <f>ABS(SUMIF(Table25[[#All],[Assets]],Table25[[#This Row],[Assets]],Table25[[#All],[Sold Amount]]))</f>
        <v>79.319999999999993</v>
      </c>
      <c r="N347" s="5">
        <f>IFERROR(Table25[[#This Row],[Total sold amount]]/Table25[[#This Row],[Total Sold number of stocks]],"")</f>
        <v>79.319999999999993</v>
      </c>
      <c r="O347" s="4">
        <f>IFERROR(Table25[[#This Row],[Total Amount bought]]/Table25[[#This Row],[Total number bought]],"")</f>
        <v>88.87</v>
      </c>
      <c r="P347" s="4">
        <f>IFERROR((Table25[[#This Row],[Average sell price]]-Table25[[#This Row],[Average buy price]])*Table25[[#This Row],[Total Sold number of stocks]],0)</f>
        <v>-9.5500000000000114</v>
      </c>
      <c r="Q347" s="85">
        <f>SUMIF(Table25[[#All],[Assets]],Table25[[#This Row],[Assets]],Table25[[#All],[Number of stocks]])</f>
        <v>0</v>
      </c>
    </row>
    <row r="348" spans="1:17">
      <c r="A348" t="e" vm="34">
        <v>#VALUE!</v>
      </c>
      <c r="B348" s="2">
        <v>45538</v>
      </c>
      <c r="C348" t="str" cm="1">
        <f t="array" aca="1" ref="C348" ca="1">_FV(A348,"Ticker symbol",TRUE)</f>
        <v>TSM</v>
      </c>
      <c r="D348" s="4">
        <v>163.46</v>
      </c>
      <c r="E348" s="50">
        <v>-5</v>
      </c>
      <c r="F348" s="81">
        <f>IF(Table25[[#This Row],[Number of stocks]]&gt;0,Table25[[#This Row],[Number of stocks]],0)</f>
        <v>0</v>
      </c>
      <c r="G348" s="73">
        <f>Table25[[#This Row],[Bought]]*Table25[[#This Row],[Price]]</f>
        <v>0</v>
      </c>
      <c r="H348">
        <f>SUMIF(Table25[[#All],[Assets]],Table25[[#This Row],[Assets]],Table25[[#All],[Bought]])</f>
        <v>45</v>
      </c>
      <c r="I348">
        <f>SUMIF(Table25[[#All],[Assets]],Table25[[#This Row],[Assets]],Table25[[#All],[Bought Amount]])</f>
        <v>7503.4800000000005</v>
      </c>
      <c r="J348" s="88">
        <f>IF(Table25[[#This Row],[Number of stocks]]&lt;0,Table25[[#This Row],[Number of stocks]],0)</f>
        <v>-5</v>
      </c>
      <c r="K348" s="5">
        <f>Table25[[#This Row],[Sold]]*Table25[[#This Row],[Price]]</f>
        <v>-817.30000000000007</v>
      </c>
      <c r="L348" s="8">
        <f>ABS(SUMIF(Table25[[#All],[Assets]],Table25[[#This Row],[Assets]],Table25[[#All],[Sold]]))</f>
        <v>44</v>
      </c>
      <c r="M348" s="5">
        <f>ABS(SUMIF(Table25[[#All],[Assets]],Table25[[#This Row],[Assets]],Table25[[#All],[Sold Amount]]))</f>
        <v>7951.28</v>
      </c>
      <c r="N348" s="5">
        <f>IFERROR(Table25[[#This Row],[Total sold amount]]/Table25[[#This Row],[Total Sold number of stocks]],"")</f>
        <v>180.7109090909091</v>
      </c>
      <c r="O348" s="4">
        <f>IFERROR(Table25[[#This Row],[Total Amount bought]]/Table25[[#This Row],[Total number bought]],"")</f>
        <v>166.744</v>
      </c>
      <c r="P348" s="4">
        <f>IFERROR((Table25[[#This Row],[Average sell price]]-Table25[[#This Row],[Average buy price]])*Table25[[#This Row],[Total Sold number of stocks]],0)</f>
        <v>614.54400000000032</v>
      </c>
      <c r="Q348" s="85">
        <f>SUMIF(Table25[[#All],[Assets]],Table25[[#This Row],[Assets]],Table25[[#All],[Number of stocks]])</f>
        <v>1</v>
      </c>
    </row>
    <row r="349" spans="1:17">
      <c r="A349" t="e" vm="129">
        <v>#VALUE!</v>
      </c>
      <c r="B349" s="2">
        <v>45538</v>
      </c>
      <c r="C349" t="str" cm="1">
        <f t="array" aca="1" ref="C349" ca="1">_FV(A349,"Ticker symbol",TRUE)</f>
        <v>MRVL</v>
      </c>
      <c r="D349" s="4">
        <v>72.62</v>
      </c>
      <c r="E349" s="50">
        <v>-7</v>
      </c>
      <c r="F349" s="81">
        <f>IF(Table25[[#This Row],[Number of stocks]]&gt;0,Table25[[#This Row],[Number of stocks]],0)</f>
        <v>0</v>
      </c>
      <c r="G349" s="73">
        <f>Table25[[#This Row],[Bought]]*Table25[[#This Row],[Price]]</f>
        <v>0</v>
      </c>
      <c r="H349">
        <f>SUMIF(Table25[[#All],[Assets]],Table25[[#This Row],[Assets]],Table25[[#All],[Bought]])</f>
        <v>105</v>
      </c>
      <c r="I349">
        <f>SUMIF(Table25[[#All],[Assets]],Table25[[#This Row],[Assets]],Table25[[#All],[Bought Amount]])</f>
        <v>8175.6200000000008</v>
      </c>
      <c r="J349" s="88">
        <f>IF(Table25[[#This Row],[Number of stocks]]&lt;0,Table25[[#This Row],[Number of stocks]],0)</f>
        <v>-7</v>
      </c>
      <c r="K349" s="5">
        <f>Table25[[#This Row],[Sold]]*Table25[[#This Row],[Price]]</f>
        <v>-508.34000000000003</v>
      </c>
      <c r="L349" s="8">
        <f>ABS(SUMIF(Table25[[#All],[Assets]],Table25[[#This Row],[Assets]],Table25[[#All],[Sold]]))</f>
        <v>83</v>
      </c>
      <c r="M349" s="5">
        <f>ABS(SUMIF(Table25[[#All],[Assets]],Table25[[#This Row],[Assets]],Table25[[#All],[Sold Amount]]))</f>
        <v>6745.73</v>
      </c>
      <c r="N349" s="5">
        <f>IFERROR(Table25[[#This Row],[Total sold amount]]/Table25[[#This Row],[Total Sold number of stocks]],"")</f>
        <v>81.273855421686747</v>
      </c>
      <c r="O349" s="4">
        <f>IFERROR(Table25[[#This Row],[Total Amount bought]]/Table25[[#This Row],[Total number bought]],"")</f>
        <v>77.86304761904762</v>
      </c>
      <c r="P349" s="4">
        <f>IFERROR((Table25[[#This Row],[Average sell price]]-Table25[[#This Row],[Average buy price]])*Table25[[#This Row],[Total Sold number of stocks]],0)</f>
        <v>283.09704761904754</v>
      </c>
      <c r="Q349" s="85">
        <f>SUMIF(Table25[[#All],[Assets]],Table25[[#This Row],[Assets]],Table25[[#All],[Number of stocks]])</f>
        <v>22</v>
      </c>
    </row>
    <row r="350" spans="1:17">
      <c r="A350" t="e" vm="11">
        <v>#VALUE!</v>
      </c>
      <c r="B350" s="2">
        <v>45538</v>
      </c>
      <c r="C350" t="str" cm="1">
        <f t="array" aca="1" ref="C350" ca="1">_FV(A350,"Ticker symbol",TRUE)</f>
        <v>AMZN</v>
      </c>
      <c r="D350" s="4">
        <v>176.97</v>
      </c>
      <c r="E350" s="50">
        <v>-3</v>
      </c>
      <c r="F350" s="81">
        <f>IF(Table25[[#This Row],[Number of stocks]]&gt;0,Table25[[#This Row],[Number of stocks]],0)</f>
        <v>0</v>
      </c>
      <c r="G350" s="73">
        <f>Table25[[#This Row],[Bought]]*Table25[[#This Row],[Price]]</f>
        <v>0</v>
      </c>
      <c r="H350">
        <f>SUMIF(Table25[[#All],[Assets]],Table25[[#This Row],[Assets]],Table25[[#All],[Bought]])</f>
        <v>14</v>
      </c>
      <c r="I350">
        <f>SUMIF(Table25[[#All],[Assets]],Table25[[#This Row],[Assets]],Table25[[#All],[Bought Amount]])</f>
        <v>2779.23</v>
      </c>
      <c r="J350" s="88">
        <f>IF(Table25[[#This Row],[Number of stocks]]&lt;0,Table25[[#This Row],[Number of stocks]],0)</f>
        <v>-3</v>
      </c>
      <c r="K350" s="5">
        <f>Table25[[#This Row],[Sold]]*Table25[[#This Row],[Price]]</f>
        <v>-530.91</v>
      </c>
      <c r="L350" s="8">
        <f>ABS(SUMIF(Table25[[#All],[Assets]],Table25[[#This Row],[Assets]],Table25[[#All],[Sold]]))</f>
        <v>9</v>
      </c>
      <c r="M350" s="5">
        <f>ABS(SUMIF(Table25[[#All],[Assets]],Table25[[#This Row],[Assets]],Table25[[#All],[Sold Amount]]))</f>
        <v>1854.81</v>
      </c>
      <c r="N350" s="5">
        <f>IFERROR(Table25[[#This Row],[Total sold amount]]/Table25[[#This Row],[Total Sold number of stocks]],"")</f>
        <v>206.09</v>
      </c>
      <c r="O350" s="4">
        <f>IFERROR(Table25[[#This Row],[Total Amount bought]]/Table25[[#This Row],[Total number bought]],"")</f>
        <v>198.51642857142858</v>
      </c>
      <c r="P350" s="4">
        <f>IFERROR((Table25[[#This Row],[Average sell price]]-Table25[[#This Row],[Average buy price]])*Table25[[#This Row],[Total Sold number of stocks]],0)</f>
        <v>68.16214285714284</v>
      </c>
      <c r="Q350" s="85">
        <f>SUMIF(Table25[[#All],[Assets]],Table25[[#This Row],[Assets]],Table25[[#All],[Number of stocks]])</f>
        <v>5</v>
      </c>
    </row>
    <row r="351" spans="1:17">
      <c r="A351" t="e" vm="32">
        <v>#VALUE!</v>
      </c>
      <c r="B351" s="2">
        <v>45538</v>
      </c>
      <c r="C351" t="str" cm="1">
        <f t="array" aca="1" ref="C351" ca="1">_FV(A351,"Ticker symbol",TRUE)</f>
        <v>MU</v>
      </c>
      <c r="D351" s="4">
        <v>91.38</v>
      </c>
      <c r="E351" s="50">
        <v>-4</v>
      </c>
      <c r="F351" s="81">
        <f>IF(Table25[[#This Row],[Number of stocks]]&gt;0,Table25[[#This Row],[Number of stocks]],0)</f>
        <v>0</v>
      </c>
      <c r="G351" s="73">
        <f>Table25[[#This Row],[Bought]]*Table25[[#This Row],[Price]]</f>
        <v>0</v>
      </c>
      <c r="H351">
        <f>SUMIF(Table25[[#All],[Assets]],Table25[[#This Row],[Assets]],Table25[[#All],[Bought]])</f>
        <v>59</v>
      </c>
      <c r="I351">
        <f>SUMIF(Table25[[#All],[Assets]],Table25[[#This Row],[Assets]],Table25[[#All],[Bought Amount]])</f>
        <v>6964.04</v>
      </c>
      <c r="J351" s="88">
        <f>IF(Table25[[#This Row],[Number of stocks]]&lt;0,Table25[[#This Row],[Number of stocks]],0)</f>
        <v>-4</v>
      </c>
      <c r="K351" s="5">
        <f>Table25[[#This Row],[Sold]]*Table25[[#This Row],[Price]]</f>
        <v>-365.52</v>
      </c>
      <c r="L351" s="8">
        <f>ABS(SUMIF(Table25[[#All],[Assets]],Table25[[#This Row],[Assets]],Table25[[#All],[Sold]]))</f>
        <v>58</v>
      </c>
      <c r="M351" s="5">
        <f>ABS(SUMIF(Table25[[#All],[Assets]],Table25[[#This Row],[Assets]],Table25[[#All],[Sold Amount]]))</f>
        <v>6974.51</v>
      </c>
      <c r="N351" s="5">
        <f>IFERROR(Table25[[#This Row],[Total sold amount]]/Table25[[#This Row],[Total Sold number of stocks]],"")</f>
        <v>120.25017241379311</v>
      </c>
      <c r="O351" s="4">
        <f>IFERROR(Table25[[#This Row],[Total Amount bought]]/Table25[[#This Row],[Total number bought]],"")</f>
        <v>118.03457627118644</v>
      </c>
      <c r="P351" s="4">
        <f>IFERROR((Table25[[#This Row],[Average sell price]]-Table25[[#This Row],[Average buy price]])*Table25[[#This Row],[Total Sold number of stocks]],0)</f>
        <v>128.50457627118692</v>
      </c>
      <c r="Q351" s="85">
        <f>SUMIF(Table25[[#All],[Assets]],Table25[[#This Row],[Assets]],Table25[[#All],[Number of stocks]])</f>
        <v>1</v>
      </c>
    </row>
    <row r="352" spans="1:17">
      <c r="A352" t="e" vm="283">
        <v>#VALUE!</v>
      </c>
      <c r="B352" s="2">
        <v>45538</v>
      </c>
      <c r="C352" t="str" cm="1">
        <f t="array" aca="1" ref="C352" ca="1">_FV(A352,"Ticker symbol",TRUE)</f>
        <v>APH</v>
      </c>
      <c r="D352" s="4">
        <v>62.94</v>
      </c>
      <c r="E352" s="50">
        <v>3</v>
      </c>
      <c r="F352" s="81">
        <f>IF(Table25[[#This Row],[Number of stocks]]&gt;0,Table25[[#This Row],[Number of stocks]],0)</f>
        <v>3</v>
      </c>
      <c r="G352" s="73">
        <f>Table25[[#This Row],[Bought]]*Table25[[#This Row],[Price]]</f>
        <v>188.82</v>
      </c>
      <c r="H352">
        <f>SUMIF(Table25[[#All],[Assets]],Table25[[#This Row],[Assets]],Table25[[#All],[Bought]])</f>
        <v>3</v>
      </c>
      <c r="I352">
        <f>SUMIF(Table25[[#All],[Assets]],Table25[[#This Row],[Assets]],Table25[[#All],[Bought Amount]])</f>
        <v>188.82</v>
      </c>
      <c r="J352" s="88">
        <f>IF(Table25[[#This Row],[Number of stocks]]&lt;0,Table25[[#This Row],[Number of stocks]],0)</f>
        <v>0</v>
      </c>
      <c r="K352" s="5">
        <f>Table25[[#This Row],[Sold]]*Table25[[#This Row],[Price]]</f>
        <v>0</v>
      </c>
      <c r="L352" s="8">
        <f>ABS(SUMIF(Table25[[#All],[Assets]],Table25[[#This Row],[Assets]],Table25[[#All],[Sold]]))</f>
        <v>3</v>
      </c>
      <c r="M352" s="5">
        <f>ABS(SUMIF(Table25[[#All],[Assets]],Table25[[#This Row],[Assets]],Table25[[#All],[Sold Amount]]))</f>
        <v>191.37</v>
      </c>
      <c r="N352" s="5">
        <f>IFERROR(Table25[[#This Row],[Total sold amount]]/Table25[[#This Row],[Total Sold number of stocks]],"")</f>
        <v>63.79</v>
      </c>
      <c r="O352" s="4">
        <f>IFERROR(Table25[[#This Row],[Total Amount bought]]/Table25[[#This Row],[Total number bought]],"")</f>
        <v>62.94</v>
      </c>
      <c r="P352" s="4">
        <f>IFERROR((Table25[[#This Row],[Average sell price]]-Table25[[#This Row],[Average buy price]])*Table25[[#This Row],[Total Sold number of stocks]],0)</f>
        <v>2.5500000000000043</v>
      </c>
      <c r="Q352" s="85">
        <f>SUMIF(Table25[[#All],[Assets]],Table25[[#This Row],[Assets]],Table25[[#All],[Number of stocks]])</f>
        <v>0</v>
      </c>
    </row>
    <row r="353" spans="1:17">
      <c r="A353" t="e" vm="400">
        <v>#VALUE!</v>
      </c>
      <c r="B353" s="2">
        <v>45538</v>
      </c>
      <c r="C353" t="str" cm="1">
        <f t="array" aca="1" ref="C353" ca="1">_FV(A353,"Ticker symbol",TRUE)</f>
        <v>CALX</v>
      </c>
      <c r="D353" s="4">
        <v>37.33</v>
      </c>
      <c r="E353" s="50">
        <v>6</v>
      </c>
      <c r="F353" s="81">
        <f>IF(Table25[[#This Row],[Number of stocks]]&gt;0,Table25[[#This Row],[Number of stocks]],0)</f>
        <v>6</v>
      </c>
      <c r="G353" s="73">
        <f>Table25[[#This Row],[Bought]]*Table25[[#This Row],[Price]]</f>
        <v>223.98</v>
      </c>
      <c r="H353">
        <f>SUMIF(Table25[[#All],[Assets]],Table25[[#This Row],[Assets]],Table25[[#All],[Bought]])</f>
        <v>6</v>
      </c>
      <c r="I353">
        <f>SUMIF(Table25[[#All],[Assets]],Table25[[#This Row],[Assets]],Table25[[#All],[Bought Amount]])</f>
        <v>223.98</v>
      </c>
      <c r="J353" s="88">
        <f>IF(Table25[[#This Row],[Number of stocks]]&lt;0,Table25[[#This Row],[Number of stocks]],0)</f>
        <v>0</v>
      </c>
      <c r="K353" s="5">
        <f>Table25[[#This Row],[Sold]]*Table25[[#This Row],[Price]]</f>
        <v>0</v>
      </c>
      <c r="L353" s="8">
        <f>ABS(SUMIF(Table25[[#All],[Assets]],Table25[[#This Row],[Assets]],Table25[[#All],[Sold]]))</f>
        <v>6</v>
      </c>
      <c r="M353" s="5">
        <f>ABS(SUMIF(Table25[[#All],[Assets]],Table25[[#This Row],[Assets]],Table25[[#All],[Sold Amount]]))</f>
        <v>179.46</v>
      </c>
      <c r="N353" s="5">
        <f>IFERROR(Table25[[#This Row],[Total sold amount]]/Table25[[#This Row],[Total Sold number of stocks]],"")</f>
        <v>29.91</v>
      </c>
      <c r="O353" s="4">
        <f>IFERROR(Table25[[#This Row],[Total Amount bought]]/Table25[[#This Row],[Total number bought]],"")</f>
        <v>37.33</v>
      </c>
      <c r="P353" s="4">
        <f>IFERROR((Table25[[#This Row],[Average sell price]]-Table25[[#This Row],[Average buy price]])*Table25[[#This Row],[Total Sold number of stocks]],0)</f>
        <v>-44.519999999999989</v>
      </c>
      <c r="Q353" s="85">
        <f>SUMIF(Table25[[#All],[Assets]],Table25[[#This Row],[Assets]],Table25[[#All],[Number of stocks]])</f>
        <v>0</v>
      </c>
    </row>
    <row r="354" spans="1:17">
      <c r="A354" t="e" vm="150">
        <v>#VALUE!</v>
      </c>
      <c r="B354" s="2">
        <v>45538</v>
      </c>
      <c r="C354" t="str" cm="1">
        <f t="array" aca="1" ref="C354" ca="1">_FV(A354,"Ticker symbol",TRUE)</f>
        <v>CIEN</v>
      </c>
      <c r="D354" s="4">
        <v>56.66</v>
      </c>
      <c r="E354" s="50">
        <v>3</v>
      </c>
      <c r="F354" s="81">
        <f>IF(Table25[[#This Row],[Number of stocks]]&gt;0,Table25[[#This Row],[Number of stocks]],0)</f>
        <v>3</v>
      </c>
      <c r="G354" s="73">
        <f>Table25[[#This Row],[Bought]]*Table25[[#This Row],[Price]]</f>
        <v>169.98</v>
      </c>
      <c r="H354">
        <f>SUMIF(Table25[[#All],[Assets]],Table25[[#This Row],[Assets]],Table25[[#All],[Bought]])</f>
        <v>12</v>
      </c>
      <c r="I354">
        <f>SUMIF(Table25[[#All],[Assets]],Table25[[#This Row],[Assets]],Table25[[#All],[Bought Amount]])</f>
        <v>727.5</v>
      </c>
      <c r="J354" s="88">
        <f>IF(Table25[[#This Row],[Number of stocks]]&lt;0,Table25[[#This Row],[Number of stocks]],0)</f>
        <v>0</v>
      </c>
      <c r="K354" s="5">
        <f>Table25[[#This Row],[Sold]]*Table25[[#This Row],[Price]]</f>
        <v>0</v>
      </c>
      <c r="L354" s="8">
        <f>ABS(SUMIF(Table25[[#All],[Assets]],Table25[[#This Row],[Assets]],Table25[[#All],[Sold]]))</f>
        <v>12</v>
      </c>
      <c r="M354" s="5">
        <f>ABS(SUMIF(Table25[[#All],[Assets]],Table25[[#This Row],[Assets]],Table25[[#All],[Sold Amount]]))</f>
        <v>1017.96</v>
      </c>
      <c r="N354" s="5">
        <f>IFERROR(Table25[[#This Row],[Total sold amount]]/Table25[[#This Row],[Total Sold number of stocks]],"")</f>
        <v>84.83</v>
      </c>
      <c r="O354" s="4">
        <f>IFERROR(Table25[[#This Row],[Total Amount bought]]/Table25[[#This Row],[Total number bought]],"")</f>
        <v>60.625</v>
      </c>
      <c r="P354" s="4">
        <f>IFERROR((Table25[[#This Row],[Average sell price]]-Table25[[#This Row],[Average buy price]])*Table25[[#This Row],[Total Sold number of stocks]],0)</f>
        <v>290.45999999999998</v>
      </c>
      <c r="Q354" s="85">
        <f>SUMIF(Table25[[#All],[Assets]],Table25[[#This Row],[Assets]],Table25[[#All],[Number of stocks]])</f>
        <v>0</v>
      </c>
    </row>
    <row r="355" spans="1:17">
      <c r="A355" t="e" vm="281">
        <v>#VALUE!</v>
      </c>
      <c r="B355" s="2">
        <v>45538</v>
      </c>
      <c r="C355" t="str" cm="1">
        <f t="array" aca="1" ref="C355" ca="1">_FV(A355,"Ticker symbol",TRUE)</f>
        <v>ERIC</v>
      </c>
      <c r="D355" s="4">
        <v>7.41</v>
      </c>
      <c r="E355" s="50">
        <v>60</v>
      </c>
      <c r="F355" s="81">
        <f>IF(Table25[[#This Row],[Number of stocks]]&gt;0,Table25[[#This Row],[Number of stocks]],0)</f>
        <v>60</v>
      </c>
      <c r="G355" s="73">
        <f>Table25[[#This Row],[Bought]]*Table25[[#This Row],[Price]]</f>
        <v>444.6</v>
      </c>
      <c r="H355">
        <f>SUMIF(Table25[[#All],[Assets]],Table25[[#This Row],[Assets]],Table25[[#All],[Bought]])</f>
        <v>60</v>
      </c>
      <c r="I355">
        <f>SUMIF(Table25[[#All],[Assets]],Table25[[#This Row],[Assets]],Table25[[#All],[Bought Amount]])</f>
        <v>444.6</v>
      </c>
      <c r="J355" s="88">
        <f>IF(Table25[[#This Row],[Number of stocks]]&lt;0,Table25[[#This Row],[Number of stocks]],0)</f>
        <v>0</v>
      </c>
      <c r="K355" s="5">
        <f>Table25[[#This Row],[Sold]]*Table25[[#This Row],[Price]]</f>
        <v>0</v>
      </c>
      <c r="L355" s="8">
        <f>ABS(SUMIF(Table25[[#All],[Assets]],Table25[[#This Row],[Assets]],Table25[[#All],[Sold]]))</f>
        <v>60</v>
      </c>
      <c r="M355" s="5">
        <f>ABS(SUMIF(Table25[[#All],[Assets]],Table25[[#This Row],[Assets]],Table25[[#All],[Sold Amount]]))</f>
        <v>492.3</v>
      </c>
      <c r="N355" s="5">
        <f>IFERROR(Table25[[#This Row],[Total sold amount]]/Table25[[#This Row],[Total Sold number of stocks]],"")</f>
        <v>8.2050000000000001</v>
      </c>
      <c r="O355" s="4">
        <f>IFERROR(Table25[[#This Row],[Total Amount bought]]/Table25[[#This Row],[Total number bought]],"")</f>
        <v>7.41</v>
      </c>
      <c r="P355" s="4">
        <f>IFERROR((Table25[[#This Row],[Average sell price]]-Table25[[#This Row],[Average buy price]])*Table25[[#This Row],[Total Sold number of stocks]],0)</f>
        <v>47.699999999999996</v>
      </c>
      <c r="Q355" s="85">
        <f>SUMIF(Table25[[#All],[Assets]],Table25[[#This Row],[Assets]],Table25[[#All],[Number of stocks]])</f>
        <v>0</v>
      </c>
    </row>
    <row r="356" spans="1:17">
      <c r="A356" t="e" vm="403">
        <v>#VALUE!</v>
      </c>
      <c r="B356" s="2">
        <v>45538</v>
      </c>
      <c r="C356" t="str" cm="1">
        <f t="array" aca="1" ref="C356" ca="1">_FV(A356,"Ticker symbol",TRUE)</f>
        <v>CCOI</v>
      </c>
      <c r="D356" s="4">
        <v>69.849999999999994</v>
      </c>
      <c r="E356" s="50">
        <v>5</v>
      </c>
      <c r="F356" s="81">
        <f>IF(Table25[[#This Row],[Number of stocks]]&gt;0,Table25[[#This Row],[Number of stocks]],0)</f>
        <v>5</v>
      </c>
      <c r="G356" s="73">
        <f>Table25[[#This Row],[Bought]]*Table25[[#This Row],[Price]]</f>
        <v>349.25</v>
      </c>
      <c r="H356">
        <f>SUMIF(Table25[[#All],[Assets]],Table25[[#This Row],[Assets]],Table25[[#All],[Bought]])</f>
        <v>5</v>
      </c>
      <c r="I356">
        <f>SUMIF(Table25[[#All],[Assets]],Table25[[#This Row],[Assets]],Table25[[#All],[Bought Amount]])</f>
        <v>349.25</v>
      </c>
      <c r="J356" s="88">
        <f>IF(Table25[[#This Row],[Number of stocks]]&lt;0,Table25[[#This Row],[Number of stocks]],0)</f>
        <v>0</v>
      </c>
      <c r="K356" s="5">
        <f>Table25[[#This Row],[Sold]]*Table25[[#This Row],[Price]]</f>
        <v>0</v>
      </c>
      <c r="L356" s="8">
        <f>ABS(SUMIF(Table25[[#All],[Assets]],Table25[[#This Row],[Assets]],Table25[[#All],[Sold]]))</f>
        <v>5</v>
      </c>
      <c r="M356" s="5">
        <f>ABS(SUMIF(Table25[[#All],[Assets]],Table25[[#This Row],[Assets]],Table25[[#All],[Sold Amount]]))</f>
        <v>388.84999999999997</v>
      </c>
      <c r="N356" s="5">
        <f>IFERROR(Table25[[#This Row],[Total sold amount]]/Table25[[#This Row],[Total Sold number of stocks]],"")</f>
        <v>77.77</v>
      </c>
      <c r="O356" s="4">
        <f>IFERROR(Table25[[#This Row],[Total Amount bought]]/Table25[[#This Row],[Total number bought]],"")</f>
        <v>69.849999999999994</v>
      </c>
      <c r="P356" s="4">
        <f>IFERROR((Table25[[#This Row],[Average sell price]]-Table25[[#This Row],[Average buy price]])*Table25[[#This Row],[Total Sold number of stocks]],0)</f>
        <v>39.600000000000009</v>
      </c>
      <c r="Q356" s="85">
        <f>SUMIF(Table25[[#All],[Assets]],Table25[[#This Row],[Assets]],Table25[[#All],[Number of stocks]])</f>
        <v>0</v>
      </c>
    </row>
    <row r="357" spans="1:17">
      <c r="A357" t="e" vm="233">
        <v>#VALUE!</v>
      </c>
      <c r="B357" s="2">
        <v>45538</v>
      </c>
      <c r="C357" t="str" cm="1">
        <f t="array" aca="1" ref="C357" ca="1">_FV(A357,"Ticker symbol",TRUE)</f>
        <v>NTGR</v>
      </c>
      <c r="D357" s="4">
        <v>16.690000000000001</v>
      </c>
      <c r="E357" s="50">
        <v>20</v>
      </c>
      <c r="F357" s="81">
        <f>IF(Table25[[#This Row],[Number of stocks]]&gt;0,Table25[[#This Row],[Number of stocks]],0)</f>
        <v>20</v>
      </c>
      <c r="G357" s="73">
        <f>Table25[[#This Row],[Bought]]*Table25[[#This Row],[Price]]</f>
        <v>333.8</v>
      </c>
      <c r="H357">
        <f>SUMIF(Table25[[#All],[Assets]],Table25[[#This Row],[Assets]],Table25[[#All],[Bought]])</f>
        <v>57</v>
      </c>
      <c r="I357">
        <f>SUMIF(Table25[[#All],[Assets]],Table25[[#This Row],[Assets]],Table25[[#All],[Bought Amount]])</f>
        <v>1211.07</v>
      </c>
      <c r="J357" s="88">
        <f>IF(Table25[[#This Row],[Number of stocks]]&lt;0,Table25[[#This Row],[Number of stocks]],0)</f>
        <v>0</v>
      </c>
      <c r="K357" s="5">
        <f>Table25[[#This Row],[Sold]]*Table25[[#This Row],[Price]]</f>
        <v>0</v>
      </c>
      <c r="L357" s="8">
        <f>ABS(SUMIF(Table25[[#All],[Assets]],Table25[[#This Row],[Assets]],Table25[[#All],[Sold]]))</f>
        <v>57</v>
      </c>
      <c r="M357" s="5">
        <f>ABS(SUMIF(Table25[[#All],[Assets]],Table25[[#This Row],[Assets]],Table25[[#All],[Sold Amount]]))</f>
        <v>1382.52</v>
      </c>
      <c r="N357" s="5">
        <f>IFERROR(Table25[[#This Row],[Total sold amount]]/Table25[[#This Row],[Total Sold number of stocks]],"")</f>
        <v>24.254736842105263</v>
      </c>
      <c r="O357" s="4">
        <f>IFERROR(Table25[[#This Row],[Total Amount bought]]/Table25[[#This Row],[Total number bought]],"")</f>
        <v>21.246842105263156</v>
      </c>
      <c r="P357" s="4">
        <f>IFERROR((Table25[[#This Row],[Average sell price]]-Table25[[#This Row],[Average buy price]])*Table25[[#This Row],[Total Sold number of stocks]],0)</f>
        <v>171.45000000000013</v>
      </c>
      <c r="Q357" s="85">
        <f>SUMIF(Table25[[#All],[Assets]],Table25[[#This Row],[Assets]],Table25[[#All],[Number of stocks]])</f>
        <v>0</v>
      </c>
    </row>
    <row r="358" spans="1:17">
      <c r="A358" t="e" vm="322">
        <v>#VALUE!</v>
      </c>
      <c r="B358" s="2">
        <v>45538</v>
      </c>
      <c r="C358" t="str" cm="1">
        <f t="array" aca="1" ref="C358" ca="1">_FV(A358,"Ticker symbol",TRUE)</f>
        <v>CLFD</v>
      </c>
      <c r="D358" s="4">
        <v>36.520000000000003</v>
      </c>
      <c r="E358" s="50">
        <v>5</v>
      </c>
      <c r="F358" s="81">
        <f>IF(Table25[[#This Row],[Number of stocks]]&gt;0,Table25[[#This Row],[Number of stocks]],0)</f>
        <v>5</v>
      </c>
      <c r="G358" s="73">
        <f>Table25[[#This Row],[Bought]]*Table25[[#This Row],[Price]]</f>
        <v>182.60000000000002</v>
      </c>
      <c r="H358">
        <f>SUMIF(Table25[[#All],[Assets]],Table25[[#This Row],[Assets]],Table25[[#All],[Bought]])</f>
        <v>5</v>
      </c>
      <c r="I358">
        <f>SUMIF(Table25[[#All],[Assets]],Table25[[#This Row],[Assets]],Table25[[#All],[Bought Amount]])</f>
        <v>182.60000000000002</v>
      </c>
      <c r="J358" s="88">
        <f>IF(Table25[[#This Row],[Number of stocks]]&lt;0,Table25[[#This Row],[Number of stocks]],0)</f>
        <v>0</v>
      </c>
      <c r="K358" s="5">
        <f>Table25[[#This Row],[Sold]]*Table25[[#This Row],[Price]]</f>
        <v>0</v>
      </c>
      <c r="L358" s="8">
        <f>ABS(SUMIF(Table25[[#All],[Assets]],Table25[[#This Row],[Assets]],Table25[[#All],[Sold]]))</f>
        <v>5</v>
      </c>
      <c r="M358" s="5">
        <f>ABS(SUMIF(Table25[[#All],[Assets]],Table25[[#This Row],[Assets]],Table25[[#All],[Sold Amount]]))</f>
        <v>189.60000000000002</v>
      </c>
      <c r="N358" s="5">
        <f>IFERROR(Table25[[#This Row],[Total sold amount]]/Table25[[#This Row],[Total Sold number of stocks]],"")</f>
        <v>37.92</v>
      </c>
      <c r="O358" s="4">
        <f>IFERROR(Table25[[#This Row],[Total Amount bought]]/Table25[[#This Row],[Total number bought]],"")</f>
        <v>36.520000000000003</v>
      </c>
      <c r="P358" s="4">
        <f>IFERROR((Table25[[#This Row],[Average sell price]]-Table25[[#This Row],[Average buy price]])*Table25[[#This Row],[Total Sold number of stocks]],0)</f>
        <v>6.9999999999999929</v>
      </c>
      <c r="Q358" s="85">
        <f>SUMIF(Table25[[#All],[Assets]],Table25[[#This Row],[Assets]],Table25[[#All],[Number of stocks]])</f>
        <v>0</v>
      </c>
    </row>
    <row r="359" spans="1:17">
      <c r="A359" t="e" vm="275">
        <v>#VALUE!</v>
      </c>
      <c r="B359" s="2">
        <v>45538</v>
      </c>
      <c r="C359" t="str" cm="1">
        <f t="array" aca="1" ref="C359" ca="1">_FV(A359,"Ticker symbol",TRUE)</f>
        <v>RBBN</v>
      </c>
      <c r="D359" s="4">
        <v>3.16</v>
      </c>
      <c r="E359" s="50">
        <v>120</v>
      </c>
      <c r="F359" s="81">
        <f>IF(Table25[[#This Row],[Number of stocks]]&gt;0,Table25[[#This Row],[Number of stocks]],0)</f>
        <v>120</v>
      </c>
      <c r="G359" s="73">
        <f>Table25[[#This Row],[Bought]]*Table25[[#This Row],[Price]]</f>
        <v>379.20000000000005</v>
      </c>
      <c r="H359">
        <f>SUMIF(Table25[[#All],[Assets]],Table25[[#This Row],[Assets]],Table25[[#All],[Bought]])</f>
        <v>120</v>
      </c>
      <c r="I359">
        <f>SUMIF(Table25[[#All],[Assets]],Table25[[#This Row],[Assets]],Table25[[#All],[Bought Amount]])</f>
        <v>379.20000000000005</v>
      </c>
      <c r="J359" s="88">
        <f>IF(Table25[[#This Row],[Number of stocks]]&lt;0,Table25[[#This Row],[Number of stocks]],0)</f>
        <v>0</v>
      </c>
      <c r="K359" s="5">
        <f>Table25[[#This Row],[Sold]]*Table25[[#This Row],[Price]]</f>
        <v>0</v>
      </c>
      <c r="L359" s="8">
        <f>ABS(SUMIF(Table25[[#All],[Assets]],Table25[[#This Row],[Assets]],Table25[[#All],[Sold]]))</f>
        <v>120</v>
      </c>
      <c r="M359" s="5">
        <f>ABS(SUMIF(Table25[[#All],[Assets]],Table25[[#This Row],[Assets]],Table25[[#All],[Sold Amount]]))</f>
        <v>459.6</v>
      </c>
      <c r="N359" s="5">
        <f>IFERROR(Table25[[#This Row],[Total sold amount]]/Table25[[#This Row],[Total Sold number of stocks]],"")</f>
        <v>3.83</v>
      </c>
      <c r="O359" s="4">
        <f>IFERROR(Table25[[#This Row],[Total Amount bought]]/Table25[[#This Row],[Total number bought]],"")</f>
        <v>3.1600000000000006</v>
      </c>
      <c r="P359" s="4">
        <f>IFERROR((Table25[[#This Row],[Average sell price]]-Table25[[#This Row],[Average buy price]])*Table25[[#This Row],[Total Sold number of stocks]],0)</f>
        <v>80.399999999999935</v>
      </c>
      <c r="Q359" s="85">
        <f>SUMIF(Table25[[#All],[Assets]],Table25[[#This Row],[Assets]],Table25[[#All],[Number of stocks]])</f>
        <v>0</v>
      </c>
    </row>
    <row r="360" spans="1:17">
      <c r="A360" t="e" vm="325">
        <v>#VALUE!</v>
      </c>
      <c r="B360" s="2">
        <v>45540</v>
      </c>
      <c r="C360" t="str" cm="1">
        <f t="array" aca="1" ref="C360" ca="1">_FV(A360,"Ticker symbol",TRUE)</f>
        <v>PAGS</v>
      </c>
      <c r="D360" s="4">
        <v>9.7200000000000006</v>
      </c>
      <c r="E360" s="50">
        <v>-30</v>
      </c>
      <c r="F360" s="81">
        <f>IF(Table25[[#This Row],[Number of stocks]]&gt;0,Table25[[#This Row],[Number of stocks]],0)</f>
        <v>0</v>
      </c>
      <c r="G360" s="73">
        <f>Table25[[#This Row],[Bought]]*Table25[[#This Row],[Price]]</f>
        <v>0</v>
      </c>
      <c r="H360">
        <f>SUMIF(Table25[[#All],[Assets]],Table25[[#This Row],[Assets]],Table25[[#All],[Bought]])</f>
        <v>60</v>
      </c>
      <c r="I360">
        <f>SUMIF(Table25[[#All],[Assets]],Table25[[#This Row],[Assets]],Table25[[#All],[Bought Amount]])</f>
        <v>667.8</v>
      </c>
      <c r="J360" s="88">
        <f>IF(Table25[[#This Row],[Number of stocks]]&lt;0,Table25[[#This Row],[Number of stocks]],0)</f>
        <v>-30</v>
      </c>
      <c r="K360" s="5">
        <f>Table25[[#This Row],[Sold]]*Table25[[#This Row],[Price]]</f>
        <v>-291.60000000000002</v>
      </c>
      <c r="L360" s="8">
        <f>ABS(SUMIF(Table25[[#All],[Assets]],Table25[[#This Row],[Assets]],Table25[[#All],[Sold]]))</f>
        <v>60</v>
      </c>
      <c r="M360" s="5">
        <f>ABS(SUMIF(Table25[[#All],[Assets]],Table25[[#This Row],[Assets]],Table25[[#All],[Sold Amount]]))</f>
        <v>528</v>
      </c>
      <c r="N360" s="5">
        <f>IFERROR(Table25[[#This Row],[Total sold amount]]/Table25[[#This Row],[Total Sold number of stocks]],"")</f>
        <v>8.8000000000000007</v>
      </c>
      <c r="O360" s="4">
        <f>IFERROR(Table25[[#This Row],[Total Amount bought]]/Table25[[#This Row],[Total number bought]],"")</f>
        <v>11.129999999999999</v>
      </c>
      <c r="P360" s="4">
        <f>IFERROR((Table25[[#This Row],[Average sell price]]-Table25[[#This Row],[Average buy price]])*Table25[[#This Row],[Total Sold number of stocks]],0)</f>
        <v>-139.7999999999999</v>
      </c>
      <c r="Q360" s="85">
        <f>SUMIF(Table25[[#All],[Assets]],Table25[[#This Row],[Assets]],Table25[[#All],[Number of stocks]])</f>
        <v>0</v>
      </c>
    </row>
    <row r="361" spans="1:17">
      <c r="A361" t="e" vm="159">
        <v>#VALUE!</v>
      </c>
      <c r="B361" s="2">
        <v>45540</v>
      </c>
      <c r="C361" t="str" cm="1">
        <f t="array" aca="1" ref="C361" ca="1">_FV(A361,"Ticker symbol",TRUE)</f>
        <v>BABA</v>
      </c>
      <c r="D361" s="4">
        <v>82.12</v>
      </c>
      <c r="E361" s="50">
        <v>-10</v>
      </c>
      <c r="F361" s="81">
        <f>IF(Table25[[#This Row],[Number of stocks]]&gt;0,Table25[[#This Row],[Number of stocks]],0)</f>
        <v>0</v>
      </c>
      <c r="G361" s="73">
        <f>Table25[[#This Row],[Bought]]*Table25[[#This Row],[Price]]</f>
        <v>0</v>
      </c>
      <c r="H361">
        <f>SUMIF(Table25[[#All],[Assets]],Table25[[#This Row],[Assets]],Table25[[#All],[Bought]])</f>
        <v>128</v>
      </c>
      <c r="I361">
        <f>SUMIF(Table25[[#All],[Assets]],Table25[[#This Row],[Assets]],Table25[[#All],[Bought Amount]])</f>
        <v>12533.52</v>
      </c>
      <c r="J361" s="88">
        <f>IF(Table25[[#This Row],[Number of stocks]]&lt;0,Table25[[#This Row],[Number of stocks]],0)</f>
        <v>-10</v>
      </c>
      <c r="K361" s="5">
        <f>Table25[[#This Row],[Sold]]*Table25[[#This Row],[Price]]</f>
        <v>-821.2</v>
      </c>
      <c r="L361" s="8">
        <f>ABS(SUMIF(Table25[[#All],[Assets]],Table25[[#This Row],[Assets]],Table25[[#All],[Sold]]))</f>
        <v>128</v>
      </c>
      <c r="M361" s="5">
        <f>ABS(SUMIF(Table25[[#All],[Assets]],Table25[[#This Row],[Assets]],Table25[[#All],[Sold Amount]]))</f>
        <v>17148.419999999998</v>
      </c>
      <c r="N361" s="5">
        <f>IFERROR(Table25[[#This Row],[Total sold amount]]/Table25[[#This Row],[Total Sold number of stocks]],"")</f>
        <v>133.97203124999999</v>
      </c>
      <c r="O361" s="4">
        <f>IFERROR(Table25[[#This Row],[Total Amount bought]]/Table25[[#This Row],[Total number bought]],"")</f>
        <v>97.918125000000003</v>
      </c>
      <c r="P361" s="4">
        <f>IFERROR((Table25[[#This Row],[Average sell price]]-Table25[[#This Row],[Average buy price]])*Table25[[#This Row],[Total Sold number of stocks]],0)</f>
        <v>4614.8999999999978</v>
      </c>
      <c r="Q361" s="85">
        <f>SUMIF(Table25[[#All],[Assets]],Table25[[#This Row],[Assets]],Table25[[#All],[Number of stocks]])</f>
        <v>0</v>
      </c>
    </row>
    <row r="362" spans="1:17">
      <c r="A362" t="e" vm="285">
        <v>#VALUE!</v>
      </c>
      <c r="B362" s="2">
        <v>45539</v>
      </c>
      <c r="C362" t="str" cm="1">
        <f t="array" aca="1" ref="C362" ca="1">_FV(A362,"Ticker symbol",TRUE)</f>
        <v>DKS</v>
      </c>
      <c r="D362" s="4">
        <v>212.39</v>
      </c>
      <c r="E362" s="50">
        <v>1</v>
      </c>
      <c r="F362" s="81">
        <f>IF(Table25[[#This Row],[Number of stocks]]&gt;0,Table25[[#This Row],[Number of stocks]],0)</f>
        <v>1</v>
      </c>
      <c r="G362" s="73">
        <f>Table25[[#This Row],[Bought]]*Table25[[#This Row],[Price]]</f>
        <v>212.39</v>
      </c>
      <c r="H362">
        <f>SUMIF(Table25[[#All],[Assets]],Table25[[#This Row],[Assets]],Table25[[#All],[Bought]])</f>
        <v>1</v>
      </c>
      <c r="I362">
        <f>SUMIF(Table25[[#All],[Assets]],Table25[[#This Row],[Assets]],Table25[[#All],[Bought Amount]])</f>
        <v>212.39</v>
      </c>
      <c r="J362" s="88">
        <f>IF(Table25[[#This Row],[Number of stocks]]&lt;0,Table25[[#This Row],[Number of stocks]],0)</f>
        <v>0</v>
      </c>
      <c r="K362" s="5">
        <f>Table25[[#This Row],[Sold]]*Table25[[#This Row],[Price]]</f>
        <v>0</v>
      </c>
      <c r="L362" s="8">
        <f>ABS(SUMIF(Table25[[#All],[Assets]],Table25[[#This Row],[Assets]],Table25[[#All],[Sold]]))</f>
        <v>1</v>
      </c>
      <c r="M362" s="5">
        <f>ABS(SUMIF(Table25[[#All],[Assets]],Table25[[#This Row],[Assets]],Table25[[#All],[Sold Amount]]))</f>
        <v>193.89</v>
      </c>
      <c r="N362" s="5">
        <f>IFERROR(Table25[[#This Row],[Total sold amount]]/Table25[[#This Row],[Total Sold number of stocks]],"")</f>
        <v>193.89</v>
      </c>
      <c r="O362" s="4">
        <f>IFERROR(Table25[[#This Row],[Total Amount bought]]/Table25[[#This Row],[Total number bought]],"")</f>
        <v>212.39</v>
      </c>
      <c r="P362" s="4">
        <f>IFERROR((Table25[[#This Row],[Average sell price]]-Table25[[#This Row],[Average buy price]])*Table25[[#This Row],[Total Sold number of stocks]],0)</f>
        <v>-18.5</v>
      </c>
      <c r="Q362" s="85">
        <f>SUMIF(Table25[[#All],[Assets]],Table25[[#This Row],[Assets]],Table25[[#All],[Number of stocks]])</f>
        <v>0</v>
      </c>
    </row>
    <row r="363" spans="1:17">
      <c r="A363" t="e" vm="21">
        <v>#VALUE!</v>
      </c>
      <c r="B363" s="2">
        <v>45538</v>
      </c>
      <c r="C363" t="str" cm="1">
        <f t="array" aca="1" ref="C363" ca="1">_FV(A363,"Ticker symbol",TRUE)</f>
        <v>INTC</v>
      </c>
      <c r="D363" s="4">
        <v>20.18</v>
      </c>
      <c r="E363" s="50">
        <v>50</v>
      </c>
      <c r="F363" s="81">
        <f>IF(Table25[[#This Row],[Number of stocks]]&gt;0,Table25[[#This Row],[Number of stocks]],0)</f>
        <v>50</v>
      </c>
      <c r="G363" s="73">
        <f>Table25[[#This Row],[Bought]]*Table25[[#This Row],[Price]]</f>
        <v>1009</v>
      </c>
      <c r="H363">
        <f>SUMIF(Table25[[#All],[Assets]],Table25[[#This Row],[Assets]],Table25[[#All],[Bought]])</f>
        <v>334.73663899999997</v>
      </c>
      <c r="I363">
        <f>SUMIF(Table25[[#All],[Assets]],Table25[[#This Row],[Assets]],Table25[[#All],[Bought Amount]])</f>
        <v>9755.9173948600001</v>
      </c>
      <c r="J363" s="88">
        <f>IF(Table25[[#This Row],[Number of stocks]]&lt;0,Table25[[#This Row],[Number of stocks]],0)</f>
        <v>0</v>
      </c>
      <c r="K363" s="5">
        <f>Table25[[#This Row],[Sold]]*Table25[[#This Row],[Price]]</f>
        <v>0</v>
      </c>
      <c r="L363" s="8">
        <f>ABS(SUMIF(Table25[[#All],[Assets]],Table25[[#This Row],[Assets]],Table25[[#All],[Sold]]))</f>
        <v>334.74</v>
      </c>
      <c r="M363" s="5">
        <f>ABS(SUMIF(Table25[[#All],[Assets]],Table25[[#This Row],[Assets]],Table25[[#All],[Sold Amount]]))</f>
        <v>7909.2053999999998</v>
      </c>
      <c r="N363" s="5">
        <f>IFERROR(Table25[[#This Row],[Total sold amount]]/Table25[[#This Row],[Total Sold number of stocks]],"")</f>
        <v>23.627906434844952</v>
      </c>
      <c r="O363" s="4">
        <f>IFERROR(Table25[[#This Row],[Total Amount bought]]/Table25[[#This Row],[Total number bought]],"")</f>
        <v>29.145053926588542</v>
      </c>
      <c r="P363" s="4">
        <f>IFERROR((Table25[[#This Row],[Average sell price]]-Table25[[#This Row],[Average buy price]])*Table25[[#This Row],[Total Sold number of stocks]],0)</f>
        <v>-1846.8099513862492</v>
      </c>
      <c r="Q363" s="85">
        <f>SUMIF(Table25[[#All],[Assets]],Table25[[#This Row],[Assets]],Table25[[#All],[Number of stocks]])</f>
        <v>-3.3610000000123819E-3</v>
      </c>
    </row>
    <row r="364" spans="1:17">
      <c r="A364" t="e" vm="80">
        <v>#VALUE!</v>
      </c>
      <c r="B364" s="2">
        <v>45538</v>
      </c>
      <c r="C364" t="str" cm="1">
        <f t="array" aca="1" ref="C364" ca="1">_FV(A364,"Ticker symbol",TRUE)</f>
        <v>PYPL</v>
      </c>
      <c r="D364" s="4">
        <v>71.97</v>
      </c>
      <c r="E364" s="50">
        <v>-14</v>
      </c>
      <c r="F364" s="81">
        <f>IF(Table25[[#This Row],[Number of stocks]]&gt;0,Table25[[#This Row],[Number of stocks]],0)</f>
        <v>0</v>
      </c>
      <c r="G364" s="73">
        <f>Table25[[#This Row],[Bought]]*Table25[[#This Row],[Price]]</f>
        <v>0</v>
      </c>
      <c r="H364">
        <f>SUMIF(Table25[[#All],[Assets]],Table25[[#This Row],[Assets]],Table25[[#All],[Bought]])</f>
        <v>223</v>
      </c>
      <c r="I364">
        <f>SUMIF(Table25[[#All],[Assets]],Table25[[#This Row],[Assets]],Table25[[#All],[Bought Amount]])</f>
        <v>14862.050000000003</v>
      </c>
      <c r="J364" s="88">
        <f>IF(Table25[[#This Row],[Number of stocks]]&lt;0,Table25[[#This Row],[Number of stocks]],0)</f>
        <v>-14</v>
      </c>
      <c r="K364" s="5">
        <f>Table25[[#This Row],[Sold]]*Table25[[#This Row],[Price]]</f>
        <v>-1007.5799999999999</v>
      </c>
      <c r="L364" s="8">
        <f>ABS(SUMIF(Table25[[#All],[Assets]],Table25[[#This Row],[Assets]],Table25[[#All],[Sold]]))</f>
        <v>222</v>
      </c>
      <c r="M364" s="5">
        <f>ABS(SUMIF(Table25[[#All],[Assets]],Table25[[#This Row],[Assets]],Table25[[#All],[Sold Amount]]))</f>
        <v>15255.44</v>
      </c>
      <c r="N364" s="5">
        <f>IFERROR(Table25[[#This Row],[Total sold amount]]/Table25[[#This Row],[Total Sold number of stocks]],"")</f>
        <v>68.718198198198195</v>
      </c>
      <c r="O364" s="4">
        <f>IFERROR(Table25[[#This Row],[Total Amount bought]]/Table25[[#This Row],[Total number bought]],"")</f>
        <v>66.645964125560553</v>
      </c>
      <c r="P364" s="4">
        <f>IFERROR((Table25[[#This Row],[Average sell price]]-Table25[[#This Row],[Average buy price]])*Table25[[#This Row],[Total Sold number of stocks]],0)</f>
        <v>460.03596412555646</v>
      </c>
      <c r="Q364" s="85">
        <f>SUMIF(Table25[[#All],[Assets]],Table25[[#This Row],[Assets]],Table25[[#All],[Number of stocks]])</f>
        <v>1</v>
      </c>
    </row>
    <row r="365" spans="1:17">
      <c r="A365" t="e" vm="456">
        <v>#VALUE!</v>
      </c>
      <c r="B365" s="2">
        <v>45541</v>
      </c>
      <c r="C365" t="str" cm="1">
        <f t="array" aca="1" ref="C365" ca="1">_FV(A365,"Ticker symbol",TRUE)</f>
        <v>BIL</v>
      </c>
      <c r="D365" s="4">
        <v>91.52</v>
      </c>
      <c r="E365" s="50">
        <v>-12</v>
      </c>
      <c r="F365" s="81">
        <f>IF(Table25[[#This Row],[Number of stocks]]&gt;0,Table25[[#This Row],[Number of stocks]],0)</f>
        <v>0</v>
      </c>
      <c r="G365" s="73">
        <f>Table25[[#This Row],[Bought]]*Table25[[#This Row],[Price]]</f>
        <v>0</v>
      </c>
      <c r="H365">
        <f>SUMIF(Table25[[#All],[Assets]],Table25[[#This Row],[Assets]],Table25[[#All],[Bought]])</f>
        <v>419</v>
      </c>
      <c r="I365">
        <f>SUMIF(Table25[[#All],[Assets]],Table25[[#This Row],[Assets]],Table25[[#All],[Bought Amount]])</f>
        <v>38555.520000000004</v>
      </c>
      <c r="J365" s="88">
        <f>IF(Table25[[#This Row],[Number of stocks]]&lt;0,Table25[[#This Row],[Number of stocks]],0)</f>
        <v>-12</v>
      </c>
      <c r="K365" s="5">
        <f>Table25[[#This Row],[Sold]]*Table25[[#This Row],[Price]]</f>
        <v>-1098.24</v>
      </c>
      <c r="L365" s="8">
        <f>ABS(SUMIF(Table25[[#All],[Assets]],Table25[[#This Row],[Assets]],Table25[[#All],[Sold]]))</f>
        <v>419</v>
      </c>
      <c r="M365" s="5">
        <f>ABS(SUMIF(Table25[[#All],[Assets]],Table25[[#This Row],[Assets]],Table25[[#All],[Sold Amount]]))</f>
        <v>38372</v>
      </c>
      <c r="N365" s="5">
        <f>IFERROR(Table25[[#This Row],[Total sold amount]]/Table25[[#This Row],[Total Sold number of stocks]],"")</f>
        <v>91.579952267303099</v>
      </c>
      <c r="O365" s="4">
        <f>IFERROR(Table25[[#This Row],[Total Amount bought]]/Table25[[#This Row],[Total number bought]],"")</f>
        <v>92.017947494033422</v>
      </c>
      <c r="P365" s="4">
        <f>IFERROR((Table25[[#This Row],[Average sell price]]-Table25[[#This Row],[Average buy price]])*Table25[[#This Row],[Total Sold number of stocks]],0)</f>
        <v>-183.5200000000051</v>
      </c>
      <c r="Q365" s="85">
        <f>SUMIF(Table25[[#All],[Assets]],Table25[[#This Row],[Assets]],Table25[[#All],[Number of stocks]])</f>
        <v>0</v>
      </c>
    </row>
    <row r="366" spans="1:17">
      <c r="A366" t="e" vm="33">
        <v>#VALUE!</v>
      </c>
      <c r="B366" s="2">
        <v>45541</v>
      </c>
      <c r="C366" t="str" cm="1">
        <f t="array" aca="1" ref="C366" ca="1">_FV(A366,"Ticker symbol",TRUE)</f>
        <v>CRDO</v>
      </c>
      <c r="D366" s="4">
        <v>26.25</v>
      </c>
      <c r="E366" s="50">
        <v>60</v>
      </c>
      <c r="F366" s="81">
        <f>IF(Table25[[#This Row],[Number of stocks]]&gt;0,Table25[[#This Row],[Number of stocks]],0)</f>
        <v>60</v>
      </c>
      <c r="G366" s="73">
        <f>Table25[[#This Row],[Bought]]*Table25[[#This Row],[Price]]</f>
        <v>1575</v>
      </c>
      <c r="H366">
        <f>SUMIF(Table25[[#All],[Assets]],Table25[[#This Row],[Assets]],Table25[[#All],[Bought]])</f>
        <v>135</v>
      </c>
      <c r="I366">
        <f>SUMIF(Table25[[#All],[Assets]],Table25[[#This Row],[Assets]],Table25[[#All],[Bought Amount]])</f>
        <v>3772.0499999999997</v>
      </c>
      <c r="J366" s="88">
        <f>IF(Table25[[#This Row],[Number of stocks]]&lt;0,Table25[[#This Row],[Number of stocks]],0)</f>
        <v>0</v>
      </c>
      <c r="K366" s="5">
        <f>Table25[[#This Row],[Sold]]*Table25[[#This Row],[Price]]</f>
        <v>0</v>
      </c>
      <c r="L366" s="8">
        <f>ABS(SUMIF(Table25[[#All],[Assets]],Table25[[#This Row],[Assets]],Table25[[#All],[Sold]]))</f>
        <v>135</v>
      </c>
      <c r="M366" s="5">
        <f>ABS(SUMIF(Table25[[#All],[Assets]],Table25[[#This Row],[Assets]],Table25[[#All],[Sold Amount]]))</f>
        <v>5564.1</v>
      </c>
      <c r="N366" s="5">
        <f>IFERROR(Table25[[#This Row],[Total sold amount]]/Table25[[#This Row],[Total Sold number of stocks]],"")</f>
        <v>41.215555555555561</v>
      </c>
      <c r="O366" s="4">
        <f>IFERROR(Table25[[#This Row],[Total Amount bought]]/Table25[[#This Row],[Total number bought]],"")</f>
        <v>27.941111111111109</v>
      </c>
      <c r="P366" s="4">
        <f>IFERROR((Table25[[#This Row],[Average sell price]]-Table25[[#This Row],[Average buy price]])*Table25[[#This Row],[Total Sold number of stocks]],0)</f>
        <v>1792.0500000000011</v>
      </c>
      <c r="Q366" s="85">
        <f>SUMIF(Table25[[#All],[Assets]],Table25[[#This Row],[Assets]],Table25[[#All],[Number of stocks]])</f>
        <v>0</v>
      </c>
    </row>
    <row r="367" spans="1:17">
      <c r="A367" t="e" vm="24">
        <v>#VALUE!</v>
      </c>
      <c r="B367" s="2">
        <v>45541</v>
      </c>
      <c r="C367" t="str" cm="1">
        <f t="array" aca="1" ref="C367" ca="1">_FV(A367,"Ticker symbol",TRUE)</f>
        <v>QCOM</v>
      </c>
      <c r="D367" s="4">
        <v>158.1</v>
      </c>
      <c r="E367" s="50">
        <v>-6</v>
      </c>
      <c r="F367" s="81">
        <f>IF(Table25[[#This Row],[Number of stocks]]&gt;0,Table25[[#This Row],[Number of stocks]],0)</f>
        <v>0</v>
      </c>
      <c r="G367" s="73">
        <f>Table25[[#This Row],[Bought]]*Table25[[#This Row],[Price]]</f>
        <v>0</v>
      </c>
      <c r="H367">
        <f>SUMIF(Table25[[#All],[Assets]],Table25[[#This Row],[Assets]],Table25[[#All],[Bought]])</f>
        <v>58</v>
      </c>
      <c r="I367">
        <f>SUMIF(Table25[[#All],[Assets]],Table25[[#This Row],[Assets]],Table25[[#All],[Bought Amount]])</f>
        <v>9670.27</v>
      </c>
      <c r="J367" s="88">
        <f>IF(Table25[[#This Row],[Number of stocks]]&lt;0,Table25[[#This Row],[Number of stocks]],0)</f>
        <v>-6</v>
      </c>
      <c r="K367" s="5">
        <f>Table25[[#This Row],[Sold]]*Table25[[#This Row],[Price]]</f>
        <v>-948.59999999999991</v>
      </c>
      <c r="L367" s="8">
        <f>ABS(SUMIF(Table25[[#All],[Assets]],Table25[[#This Row],[Assets]],Table25[[#All],[Sold]]))</f>
        <v>57</v>
      </c>
      <c r="M367" s="5">
        <f>ABS(SUMIF(Table25[[#All],[Assets]],Table25[[#This Row],[Assets]],Table25[[#All],[Sold Amount]]))</f>
        <v>8530.1</v>
      </c>
      <c r="N367" s="5">
        <f>IFERROR(Table25[[#This Row],[Total sold amount]]/Table25[[#This Row],[Total Sold number of stocks]],"")</f>
        <v>149.65087719298245</v>
      </c>
      <c r="O367" s="4">
        <f>IFERROR(Table25[[#This Row],[Total Amount bought]]/Table25[[#This Row],[Total number bought]],"")</f>
        <v>166.72879310344828</v>
      </c>
      <c r="P367" s="4">
        <f>IFERROR((Table25[[#This Row],[Average sell price]]-Table25[[#This Row],[Average buy price]])*Table25[[#This Row],[Total Sold number of stocks]],0)</f>
        <v>-973.44120689655256</v>
      </c>
      <c r="Q367" s="85">
        <f>SUMIF(Table25[[#All],[Assets]],Table25[[#This Row],[Assets]],Table25[[#All],[Number of stocks]])</f>
        <v>1</v>
      </c>
    </row>
    <row r="368" spans="1:17">
      <c r="A368" t="e" vm="21">
        <v>#VALUE!</v>
      </c>
      <c r="B368" s="2">
        <v>45541</v>
      </c>
      <c r="C368" t="str" cm="1">
        <f t="array" aca="1" ref="C368" ca="1">_FV(A368,"Ticker symbol",TRUE)</f>
        <v>INTC</v>
      </c>
      <c r="D368" s="4">
        <v>18.72</v>
      </c>
      <c r="E368" s="50">
        <v>-52</v>
      </c>
      <c r="F368" s="81">
        <f>IF(Table25[[#This Row],[Number of stocks]]&gt;0,Table25[[#This Row],[Number of stocks]],0)</f>
        <v>0</v>
      </c>
      <c r="G368" s="73">
        <f>Table25[[#This Row],[Bought]]*Table25[[#This Row],[Price]]</f>
        <v>0</v>
      </c>
      <c r="H368">
        <f>SUMIF(Table25[[#All],[Assets]],Table25[[#This Row],[Assets]],Table25[[#All],[Bought]])</f>
        <v>334.73663899999997</v>
      </c>
      <c r="I368">
        <f>SUMIF(Table25[[#All],[Assets]],Table25[[#This Row],[Assets]],Table25[[#All],[Bought Amount]])</f>
        <v>9755.9173948600001</v>
      </c>
      <c r="J368" s="88">
        <f>IF(Table25[[#This Row],[Number of stocks]]&lt;0,Table25[[#This Row],[Number of stocks]],0)</f>
        <v>-52</v>
      </c>
      <c r="K368" s="5">
        <f>Table25[[#This Row],[Sold]]*Table25[[#This Row],[Price]]</f>
        <v>-973.43999999999994</v>
      </c>
      <c r="L368" s="8">
        <f>ABS(SUMIF(Table25[[#All],[Assets]],Table25[[#This Row],[Assets]],Table25[[#All],[Sold]]))</f>
        <v>334.74</v>
      </c>
      <c r="M368" s="5">
        <f>ABS(SUMIF(Table25[[#All],[Assets]],Table25[[#This Row],[Assets]],Table25[[#All],[Sold Amount]]))</f>
        <v>7909.2053999999998</v>
      </c>
      <c r="N368" s="5">
        <f>IFERROR(Table25[[#This Row],[Total sold amount]]/Table25[[#This Row],[Total Sold number of stocks]],"")</f>
        <v>23.627906434844952</v>
      </c>
      <c r="O368" s="4">
        <f>IFERROR(Table25[[#This Row],[Total Amount bought]]/Table25[[#This Row],[Total number bought]],"")</f>
        <v>29.145053926588542</v>
      </c>
      <c r="P368" s="4">
        <f>IFERROR((Table25[[#This Row],[Average sell price]]-Table25[[#This Row],[Average buy price]])*Table25[[#This Row],[Total Sold number of stocks]],0)</f>
        <v>-1846.8099513862492</v>
      </c>
      <c r="Q368" s="85">
        <f>SUMIF(Table25[[#All],[Assets]],Table25[[#This Row],[Assets]],Table25[[#All],[Number of stocks]])</f>
        <v>-3.3610000000123819E-3</v>
      </c>
    </row>
    <row r="369" spans="1:17">
      <c r="A369" t="e" vm="12">
        <v>#VALUE!</v>
      </c>
      <c r="B369" s="2">
        <v>45541</v>
      </c>
      <c r="C369" t="str" cm="1">
        <f t="array" aca="1" ref="C369" ca="1">_FV(A369,"Ticker symbol",TRUE)</f>
        <v>TER</v>
      </c>
      <c r="D369" s="4">
        <v>120.3</v>
      </c>
      <c r="E369" s="50">
        <v>-6</v>
      </c>
      <c r="F369" s="81">
        <f>IF(Table25[[#This Row],[Number of stocks]]&gt;0,Table25[[#This Row],[Number of stocks]],0)</f>
        <v>0</v>
      </c>
      <c r="G369" s="73">
        <f>Table25[[#This Row],[Bought]]*Table25[[#This Row],[Price]]</f>
        <v>0</v>
      </c>
      <c r="H369">
        <f>SUMIF(Table25[[#All],[Assets]],Table25[[#This Row],[Assets]],Table25[[#All],[Bought]])</f>
        <v>37</v>
      </c>
      <c r="I369">
        <f>SUMIF(Table25[[#All],[Assets]],Table25[[#This Row],[Assets]],Table25[[#All],[Bought Amount]])</f>
        <v>4100.1100000000006</v>
      </c>
      <c r="J369" s="88">
        <f>IF(Table25[[#This Row],[Number of stocks]]&lt;0,Table25[[#This Row],[Number of stocks]],0)</f>
        <v>-6</v>
      </c>
      <c r="K369" s="5">
        <f>Table25[[#This Row],[Sold]]*Table25[[#This Row],[Price]]</f>
        <v>-721.8</v>
      </c>
      <c r="L369" s="8">
        <f>ABS(SUMIF(Table25[[#All],[Assets]],Table25[[#This Row],[Assets]],Table25[[#All],[Sold]]))</f>
        <v>16</v>
      </c>
      <c r="M369" s="5">
        <f>ABS(SUMIF(Table25[[#All],[Assets]],Table25[[#This Row],[Assets]],Table25[[#All],[Sold Amount]]))</f>
        <v>2853.3999999999996</v>
      </c>
      <c r="N369" s="5">
        <f>IFERROR(Table25[[#This Row],[Total sold amount]]/Table25[[#This Row],[Total Sold number of stocks]],"")</f>
        <v>178.33749999999998</v>
      </c>
      <c r="O369" s="4">
        <f>IFERROR(Table25[[#This Row],[Total Amount bought]]/Table25[[#This Row],[Total number bought]],"")</f>
        <v>110.8137837837838</v>
      </c>
      <c r="P369" s="4">
        <f>IFERROR((Table25[[#This Row],[Average sell price]]-Table25[[#This Row],[Average buy price]])*Table25[[#This Row],[Total Sold number of stocks]],0)</f>
        <v>1080.3794594594588</v>
      </c>
      <c r="Q369" s="85">
        <f>SUMIF(Table25[[#All],[Assets]],Table25[[#This Row],[Assets]],Table25[[#All],[Number of stocks]])</f>
        <v>21</v>
      </c>
    </row>
    <row r="370" spans="1:17">
      <c r="A370" t="e" vm="19">
        <v>#VALUE!</v>
      </c>
      <c r="B370" s="2">
        <v>45541</v>
      </c>
      <c r="C370" t="str" cm="1">
        <f t="array" aca="1" ref="C370" ca="1">_FV(A370,"Ticker symbol",TRUE)</f>
        <v>OUST</v>
      </c>
      <c r="D370" s="4">
        <v>5.99</v>
      </c>
      <c r="E370" s="50">
        <v>-69</v>
      </c>
      <c r="F370" s="81">
        <f>IF(Table25[[#This Row],[Number of stocks]]&gt;0,Table25[[#This Row],[Number of stocks]],0)</f>
        <v>0</v>
      </c>
      <c r="G370" s="73">
        <f>Table25[[#This Row],[Bought]]*Table25[[#This Row],[Price]]</f>
        <v>0</v>
      </c>
      <c r="H370">
        <f>SUMIF(Table25[[#All],[Assets]],Table25[[#This Row],[Assets]],Table25[[#All],[Bought]])</f>
        <v>324</v>
      </c>
      <c r="I370">
        <f>SUMIF(Table25[[#All],[Assets]],Table25[[#This Row],[Assets]],Table25[[#All],[Bought Amount]])</f>
        <v>4403.8500000000004</v>
      </c>
      <c r="J370" s="88">
        <f>IF(Table25[[#This Row],[Number of stocks]]&lt;0,Table25[[#This Row],[Number of stocks]],0)</f>
        <v>-69</v>
      </c>
      <c r="K370" s="5">
        <f>Table25[[#This Row],[Sold]]*Table25[[#This Row],[Price]]</f>
        <v>-413.31</v>
      </c>
      <c r="L370" s="8">
        <f>ABS(SUMIF(Table25[[#All],[Assets]],Table25[[#This Row],[Assets]],Table25[[#All],[Sold]]))</f>
        <v>299</v>
      </c>
      <c r="M370" s="5">
        <f>ABS(SUMIF(Table25[[#All],[Assets]],Table25[[#This Row],[Assets]],Table25[[#All],[Sold Amount]]))</f>
        <v>6222.84</v>
      </c>
      <c r="N370" s="5">
        <f>IFERROR(Table25[[#This Row],[Total sold amount]]/Table25[[#This Row],[Total Sold number of stocks]],"")</f>
        <v>20.81217391304348</v>
      </c>
      <c r="O370" s="4">
        <f>IFERROR(Table25[[#This Row],[Total Amount bought]]/Table25[[#This Row],[Total number bought]],"")</f>
        <v>13.59212962962963</v>
      </c>
      <c r="P370" s="4">
        <f>IFERROR((Table25[[#This Row],[Average sell price]]-Table25[[#This Row],[Average buy price]])*Table25[[#This Row],[Total Sold number of stocks]],0)</f>
        <v>2158.7932407407411</v>
      </c>
      <c r="Q370" s="85">
        <f>SUMIF(Table25[[#All],[Assets]],Table25[[#This Row],[Assets]],Table25[[#All],[Number of stocks]])</f>
        <v>25</v>
      </c>
    </row>
    <row r="371" spans="1:17">
      <c r="A371" t="e" vm="456">
        <v>#VALUE!</v>
      </c>
      <c r="B371" s="2">
        <v>45541</v>
      </c>
      <c r="C371" t="str" cm="1">
        <f t="array" aca="1" ref="C371" ca="1">_FV(A371,"Ticker symbol",TRUE)</f>
        <v>BIL</v>
      </c>
      <c r="D371" s="4">
        <v>96.1</v>
      </c>
      <c r="E371" s="50">
        <v>38</v>
      </c>
      <c r="F371" s="81">
        <f>IF(Table25[[#This Row],[Number of stocks]]&gt;0,Table25[[#This Row],[Number of stocks]],0)</f>
        <v>38</v>
      </c>
      <c r="G371" s="73">
        <f>Table25[[#This Row],[Bought]]*Table25[[#This Row],[Price]]</f>
        <v>3651.7999999999997</v>
      </c>
      <c r="H371">
        <f>SUMIF(Table25[[#All],[Assets]],Table25[[#This Row],[Assets]],Table25[[#All],[Bought]])</f>
        <v>419</v>
      </c>
      <c r="I371">
        <f>SUMIF(Table25[[#All],[Assets]],Table25[[#This Row],[Assets]],Table25[[#All],[Bought Amount]])</f>
        <v>38555.520000000004</v>
      </c>
      <c r="J371" s="88">
        <f>IF(Table25[[#This Row],[Number of stocks]]&lt;0,Table25[[#This Row],[Number of stocks]],0)</f>
        <v>0</v>
      </c>
      <c r="K371" s="5">
        <f>Table25[[#This Row],[Sold]]*Table25[[#This Row],[Price]]</f>
        <v>0</v>
      </c>
      <c r="L371" s="8">
        <f>ABS(SUMIF(Table25[[#All],[Assets]],Table25[[#This Row],[Assets]],Table25[[#All],[Sold]]))</f>
        <v>419</v>
      </c>
      <c r="M371" s="5">
        <f>ABS(SUMIF(Table25[[#All],[Assets]],Table25[[#This Row],[Assets]],Table25[[#All],[Sold Amount]]))</f>
        <v>38372</v>
      </c>
      <c r="N371" s="5">
        <f>IFERROR(Table25[[#This Row],[Total sold amount]]/Table25[[#This Row],[Total Sold number of stocks]],"")</f>
        <v>91.579952267303099</v>
      </c>
      <c r="O371" s="4">
        <f>IFERROR(Table25[[#This Row],[Total Amount bought]]/Table25[[#This Row],[Total number bought]],"")</f>
        <v>92.017947494033422</v>
      </c>
      <c r="P371" s="4">
        <f>IFERROR((Table25[[#This Row],[Average sell price]]-Table25[[#This Row],[Average buy price]])*Table25[[#This Row],[Total Sold number of stocks]],0)</f>
        <v>-183.5200000000051</v>
      </c>
      <c r="Q371" s="85">
        <f>SUMIF(Table25[[#All],[Assets]],Table25[[#This Row],[Assets]],Table25[[#All],[Number of stocks]])</f>
        <v>0</v>
      </c>
    </row>
    <row r="372" spans="1:17">
      <c r="A372" t="e" vm="34">
        <v>#VALUE!</v>
      </c>
      <c r="B372" s="2">
        <v>45541</v>
      </c>
      <c r="C372" t="str" cm="1">
        <f t="array" aca="1" ref="C372" ca="1">_FV(A372,"Ticker symbol",TRUE)</f>
        <v>TSM</v>
      </c>
      <c r="D372" s="4">
        <v>156.13999999999999</v>
      </c>
      <c r="E372" s="50">
        <v>-3</v>
      </c>
      <c r="F372" s="81">
        <f>IF(Table25[[#This Row],[Number of stocks]]&gt;0,Table25[[#This Row],[Number of stocks]],0)</f>
        <v>0</v>
      </c>
      <c r="G372" s="73">
        <f>Table25[[#This Row],[Bought]]*Table25[[#This Row],[Price]]</f>
        <v>0</v>
      </c>
      <c r="H372">
        <f>SUMIF(Table25[[#All],[Assets]],Table25[[#This Row],[Assets]],Table25[[#All],[Bought]])</f>
        <v>45</v>
      </c>
      <c r="I372">
        <f>SUMIF(Table25[[#All],[Assets]],Table25[[#This Row],[Assets]],Table25[[#All],[Bought Amount]])</f>
        <v>7503.4800000000005</v>
      </c>
      <c r="J372" s="88">
        <f>IF(Table25[[#This Row],[Number of stocks]]&lt;0,Table25[[#This Row],[Number of stocks]],0)</f>
        <v>-3</v>
      </c>
      <c r="K372" s="5">
        <f>Table25[[#This Row],[Sold]]*Table25[[#This Row],[Price]]</f>
        <v>-468.41999999999996</v>
      </c>
      <c r="L372" s="8">
        <f>ABS(SUMIF(Table25[[#All],[Assets]],Table25[[#This Row],[Assets]],Table25[[#All],[Sold]]))</f>
        <v>44</v>
      </c>
      <c r="M372" s="5">
        <f>ABS(SUMIF(Table25[[#All],[Assets]],Table25[[#This Row],[Assets]],Table25[[#All],[Sold Amount]]))</f>
        <v>7951.28</v>
      </c>
      <c r="N372" s="5">
        <f>IFERROR(Table25[[#This Row],[Total sold amount]]/Table25[[#This Row],[Total Sold number of stocks]],"")</f>
        <v>180.7109090909091</v>
      </c>
      <c r="O372" s="4">
        <f>IFERROR(Table25[[#This Row],[Total Amount bought]]/Table25[[#This Row],[Total number bought]],"")</f>
        <v>166.744</v>
      </c>
      <c r="P372" s="4">
        <f>IFERROR((Table25[[#This Row],[Average sell price]]-Table25[[#This Row],[Average buy price]])*Table25[[#This Row],[Total Sold number of stocks]],0)</f>
        <v>614.54400000000032</v>
      </c>
      <c r="Q372" s="85">
        <f>SUMIF(Table25[[#All],[Assets]],Table25[[#This Row],[Assets]],Table25[[#All],[Number of stocks]])</f>
        <v>1</v>
      </c>
    </row>
    <row r="373" spans="1:17">
      <c r="A373" t="e" vm="456">
        <v>#VALUE!</v>
      </c>
      <c r="B373" s="2">
        <v>45544</v>
      </c>
      <c r="C373" t="str" cm="1">
        <f t="array" aca="1" ref="C373" ca="1">_FV(A373,"Ticker symbol",TRUE)</f>
        <v>BIL</v>
      </c>
      <c r="D373" s="4">
        <v>91.54</v>
      </c>
      <c r="E373" s="50">
        <f>+-3</f>
        <v>-3</v>
      </c>
      <c r="F373" s="81">
        <f>IF(Table25[[#This Row],[Number of stocks]]&gt;0,Table25[[#This Row],[Number of stocks]],0)</f>
        <v>0</v>
      </c>
      <c r="G373" s="73">
        <f>Table25[[#This Row],[Bought]]*Table25[[#This Row],[Price]]</f>
        <v>0</v>
      </c>
      <c r="H373">
        <f>SUMIF(Table25[[#All],[Assets]],Table25[[#This Row],[Assets]],Table25[[#All],[Bought]])</f>
        <v>419</v>
      </c>
      <c r="I373">
        <f>SUMIF(Table25[[#All],[Assets]],Table25[[#This Row],[Assets]],Table25[[#All],[Bought Amount]])</f>
        <v>38555.520000000004</v>
      </c>
      <c r="J373" s="88">
        <f>IF(Table25[[#This Row],[Number of stocks]]&lt;0,Table25[[#This Row],[Number of stocks]],0)</f>
        <v>-3</v>
      </c>
      <c r="K373" s="5">
        <f>Table25[[#This Row],[Sold]]*Table25[[#This Row],[Price]]</f>
        <v>-274.62</v>
      </c>
      <c r="L373" s="8">
        <f>ABS(SUMIF(Table25[[#All],[Assets]],Table25[[#This Row],[Assets]],Table25[[#All],[Sold]]))</f>
        <v>419</v>
      </c>
      <c r="M373" s="5">
        <f>ABS(SUMIF(Table25[[#All],[Assets]],Table25[[#This Row],[Assets]],Table25[[#All],[Sold Amount]]))</f>
        <v>38372</v>
      </c>
      <c r="N373" s="5">
        <f>IFERROR(Table25[[#This Row],[Total sold amount]]/Table25[[#This Row],[Total Sold number of stocks]],"")</f>
        <v>91.579952267303099</v>
      </c>
      <c r="O373" s="4">
        <f>IFERROR(Table25[[#This Row],[Total Amount bought]]/Table25[[#This Row],[Total number bought]],"")</f>
        <v>92.017947494033422</v>
      </c>
      <c r="P373" s="4">
        <f>IFERROR((Table25[[#This Row],[Average sell price]]-Table25[[#This Row],[Average buy price]])*Table25[[#This Row],[Total Sold number of stocks]],0)</f>
        <v>-183.5200000000051</v>
      </c>
      <c r="Q373" s="85">
        <f>SUMIF(Table25[[#All],[Assets]],Table25[[#This Row],[Assets]],Table25[[#All],[Number of stocks]])</f>
        <v>0</v>
      </c>
    </row>
    <row r="374" spans="1:17">
      <c r="A374" t="e" vm="456">
        <v>#VALUE!</v>
      </c>
      <c r="B374" s="2">
        <v>45546</v>
      </c>
      <c r="C374" t="str" cm="1">
        <f t="array" aca="1" ref="C374" ca="1">_FV(A374,"Ticker symbol",TRUE)</f>
        <v>BIL</v>
      </c>
      <c r="D374" s="4">
        <v>91.57</v>
      </c>
      <c r="E374" s="50">
        <v>-9</v>
      </c>
      <c r="F374" s="81">
        <f>IF(Table25[[#This Row],[Number of stocks]]&gt;0,Table25[[#This Row],[Number of stocks]],0)</f>
        <v>0</v>
      </c>
      <c r="G374" s="73">
        <f>Table25[[#This Row],[Bought]]*Table25[[#This Row],[Price]]</f>
        <v>0</v>
      </c>
      <c r="H374">
        <f>SUMIF(Table25[[#All],[Assets]],Table25[[#This Row],[Assets]],Table25[[#All],[Bought]])</f>
        <v>419</v>
      </c>
      <c r="I374">
        <f>SUMIF(Table25[[#All],[Assets]],Table25[[#This Row],[Assets]],Table25[[#All],[Bought Amount]])</f>
        <v>38555.520000000004</v>
      </c>
      <c r="J374" s="88">
        <f>IF(Table25[[#This Row],[Number of stocks]]&lt;0,Table25[[#This Row],[Number of stocks]],0)</f>
        <v>-9</v>
      </c>
      <c r="K374" s="5">
        <f>Table25[[#This Row],[Sold]]*Table25[[#This Row],[Price]]</f>
        <v>-824.12999999999988</v>
      </c>
      <c r="L374" s="8">
        <f>ABS(SUMIF(Table25[[#All],[Assets]],Table25[[#This Row],[Assets]],Table25[[#All],[Sold]]))</f>
        <v>419</v>
      </c>
      <c r="M374" s="5">
        <f>ABS(SUMIF(Table25[[#All],[Assets]],Table25[[#This Row],[Assets]],Table25[[#All],[Sold Amount]]))</f>
        <v>38372</v>
      </c>
      <c r="N374" s="5">
        <f>IFERROR(Table25[[#This Row],[Total sold amount]]/Table25[[#This Row],[Total Sold number of stocks]],"")</f>
        <v>91.579952267303099</v>
      </c>
      <c r="O374" s="4">
        <f>IFERROR(Table25[[#This Row],[Total Amount bought]]/Table25[[#This Row],[Total number bought]],"")</f>
        <v>92.017947494033422</v>
      </c>
      <c r="P374" s="4">
        <f>IFERROR((Table25[[#This Row],[Average sell price]]-Table25[[#This Row],[Average buy price]])*Table25[[#This Row],[Total Sold number of stocks]],0)</f>
        <v>-183.5200000000051</v>
      </c>
      <c r="Q374" s="85">
        <f>SUMIF(Table25[[#All],[Assets]],Table25[[#This Row],[Assets]],Table25[[#All],[Number of stocks]])</f>
        <v>0</v>
      </c>
    </row>
    <row r="375" spans="1:17">
      <c r="A375" t="e" vm="123">
        <v>#VALUE!</v>
      </c>
      <c r="B375" s="2">
        <v>45546</v>
      </c>
      <c r="C375" t="str" cm="1">
        <f t="array" aca="1" ref="C375" ca="1">_FV(A375,"Ticker symbol",TRUE)</f>
        <v>GLW</v>
      </c>
      <c r="D375" s="4">
        <v>41.74</v>
      </c>
      <c r="E375" s="50">
        <v>10</v>
      </c>
      <c r="F375" s="81">
        <f>IF(Table25[[#This Row],[Number of stocks]]&gt;0,Table25[[#This Row],[Number of stocks]],0)</f>
        <v>10</v>
      </c>
      <c r="G375" s="73">
        <f>Table25[[#This Row],[Bought]]*Table25[[#This Row],[Price]]</f>
        <v>417.40000000000003</v>
      </c>
      <c r="H375">
        <f>SUMIF(Table25[[#All],[Assets]],Table25[[#This Row],[Assets]],Table25[[#All],[Bought]])</f>
        <v>20</v>
      </c>
      <c r="I375">
        <f>SUMIF(Table25[[#All],[Assets]],Table25[[#This Row],[Assets]],Table25[[#All],[Bought Amount]])</f>
        <v>835.3</v>
      </c>
      <c r="J375" s="88">
        <f>IF(Table25[[#This Row],[Number of stocks]]&lt;0,Table25[[#This Row],[Number of stocks]],0)</f>
        <v>0</v>
      </c>
      <c r="K375" s="5">
        <f>Table25[[#This Row],[Sold]]*Table25[[#This Row],[Price]]</f>
        <v>0</v>
      </c>
      <c r="L375" s="8">
        <f>ABS(SUMIF(Table25[[#All],[Assets]],Table25[[#This Row],[Assets]],Table25[[#All],[Sold]]))</f>
        <v>20</v>
      </c>
      <c r="M375" s="5">
        <f>ABS(SUMIF(Table25[[#All],[Assets]],Table25[[#This Row],[Assets]],Table25[[#All],[Sold Amount]]))</f>
        <v>945.09999999999991</v>
      </c>
      <c r="N375" s="5">
        <f>IFERROR(Table25[[#This Row],[Total sold amount]]/Table25[[#This Row],[Total Sold number of stocks]],"")</f>
        <v>47.254999999999995</v>
      </c>
      <c r="O375" s="4">
        <f>IFERROR(Table25[[#This Row],[Total Amount bought]]/Table25[[#This Row],[Total number bought]],"")</f>
        <v>41.765000000000001</v>
      </c>
      <c r="P375" s="4">
        <f>IFERROR((Table25[[#This Row],[Average sell price]]-Table25[[#This Row],[Average buy price]])*Table25[[#This Row],[Total Sold number of stocks]],0)</f>
        <v>109.7999999999999</v>
      </c>
      <c r="Q375" s="85">
        <f>SUMIF(Table25[[#All],[Assets]],Table25[[#This Row],[Assets]],Table25[[#All],[Number of stocks]])</f>
        <v>0</v>
      </c>
    </row>
    <row r="376" spans="1:17">
      <c r="A376" t="e" vm="502">
        <v>#VALUE!</v>
      </c>
      <c r="B376" s="2">
        <v>45546</v>
      </c>
      <c r="C376" t="str" cm="1">
        <f t="array" aca="1" ref="C376" ca="1">_FV(A376,"Ticker symbol",TRUE)</f>
        <v>SHLS</v>
      </c>
      <c r="D376" s="4">
        <v>6.52</v>
      </c>
      <c r="E376" s="50">
        <v>-20</v>
      </c>
      <c r="F376" s="81">
        <f>IF(Table25[[#This Row],[Number of stocks]]&gt;0,Table25[[#This Row],[Number of stocks]],0)</f>
        <v>0</v>
      </c>
      <c r="G376" s="73">
        <f>Table25[[#This Row],[Bought]]*Table25[[#This Row],[Price]]</f>
        <v>0</v>
      </c>
      <c r="H376">
        <f>SUMIF(Table25[[#All],[Assets]],Table25[[#This Row],[Assets]],Table25[[#All],[Bought]])</f>
        <v>70</v>
      </c>
      <c r="I376">
        <f>SUMIF(Table25[[#All],[Assets]],Table25[[#This Row],[Assets]],Table25[[#All],[Bought Amount]])</f>
        <v>475.3</v>
      </c>
      <c r="J376" s="88">
        <f>IF(Table25[[#This Row],[Number of stocks]]&lt;0,Table25[[#This Row],[Number of stocks]],0)</f>
        <v>-20</v>
      </c>
      <c r="K376" s="5">
        <f>Table25[[#This Row],[Sold]]*Table25[[#This Row],[Price]]</f>
        <v>-130.39999999999998</v>
      </c>
      <c r="L376" s="8">
        <f>ABS(SUMIF(Table25[[#All],[Assets]],Table25[[#This Row],[Assets]],Table25[[#All],[Sold]]))</f>
        <v>70</v>
      </c>
      <c r="M376" s="5">
        <f>ABS(SUMIF(Table25[[#All],[Assets]],Table25[[#This Row],[Assets]],Table25[[#All],[Sold Amount]]))</f>
        <v>441.9</v>
      </c>
      <c r="N376" s="5">
        <f>IFERROR(Table25[[#This Row],[Total sold amount]]/Table25[[#This Row],[Total Sold number of stocks]],"")</f>
        <v>6.3128571428571423</v>
      </c>
      <c r="O376" s="4">
        <f>IFERROR(Table25[[#This Row],[Total Amount bought]]/Table25[[#This Row],[Total number bought]],"")</f>
        <v>6.79</v>
      </c>
      <c r="P376" s="4">
        <f>IFERROR((Table25[[#This Row],[Average sell price]]-Table25[[#This Row],[Average buy price]])*Table25[[#This Row],[Total Sold number of stocks]],0)</f>
        <v>-33.400000000000041</v>
      </c>
      <c r="Q376" s="85">
        <f>SUMIF(Table25[[#All],[Assets]],Table25[[#This Row],[Assets]],Table25[[#All],[Number of stocks]])</f>
        <v>0</v>
      </c>
    </row>
    <row r="377" spans="1:17">
      <c r="A377" t="e" vm="116">
        <v>#VALUE!</v>
      </c>
      <c r="B377" s="2">
        <v>45546</v>
      </c>
      <c r="C377" t="str" cm="1">
        <f t="array" aca="1" ref="C377" ca="1">_FV(A377,"Ticker symbol",TRUE)</f>
        <v>MPC</v>
      </c>
      <c r="D377" s="4">
        <v>158.88</v>
      </c>
      <c r="E377" s="50">
        <v>3</v>
      </c>
      <c r="F377" s="81">
        <f>IF(Table25[[#This Row],[Number of stocks]]&gt;0,Table25[[#This Row],[Number of stocks]],0)</f>
        <v>3</v>
      </c>
      <c r="G377" s="73">
        <f>Table25[[#This Row],[Bought]]*Table25[[#This Row],[Price]]</f>
        <v>476.64</v>
      </c>
      <c r="H377">
        <f>SUMIF(Table25[[#All],[Assets]],Table25[[#This Row],[Assets]],Table25[[#All],[Bought]])</f>
        <v>23</v>
      </c>
      <c r="I377">
        <f>SUMIF(Table25[[#All],[Assets]],Table25[[#This Row],[Assets]],Table25[[#All],[Bought Amount]])</f>
        <v>3826.89</v>
      </c>
      <c r="J377" s="88">
        <f>IF(Table25[[#This Row],[Number of stocks]]&lt;0,Table25[[#This Row],[Number of stocks]],0)</f>
        <v>0</v>
      </c>
      <c r="K377" s="5">
        <f>Table25[[#This Row],[Sold]]*Table25[[#This Row],[Price]]</f>
        <v>0</v>
      </c>
      <c r="L377" s="8">
        <f>ABS(SUMIF(Table25[[#All],[Assets]],Table25[[#This Row],[Assets]],Table25[[#All],[Sold]]))</f>
        <v>23</v>
      </c>
      <c r="M377" s="5">
        <f>ABS(SUMIF(Table25[[#All],[Assets]],Table25[[#This Row],[Assets]],Table25[[#All],[Sold Amount]]))</f>
        <v>3605.23</v>
      </c>
      <c r="N377" s="5">
        <f>IFERROR(Table25[[#This Row],[Total sold amount]]/Table25[[#This Row],[Total Sold number of stocks]],"")</f>
        <v>156.74913043478261</v>
      </c>
      <c r="O377" s="4">
        <f>IFERROR(Table25[[#This Row],[Total Amount bought]]/Table25[[#This Row],[Total number bought]],"")</f>
        <v>166.38652173913042</v>
      </c>
      <c r="P377" s="4">
        <f>IFERROR((Table25[[#This Row],[Average sell price]]-Table25[[#This Row],[Average buy price]])*Table25[[#This Row],[Total Sold number of stocks]],0)</f>
        <v>-221.65999999999943</v>
      </c>
      <c r="Q377" s="85">
        <f>SUMIF(Table25[[#All],[Assets]],Table25[[#This Row],[Assets]],Table25[[#All],[Number of stocks]])</f>
        <v>0</v>
      </c>
    </row>
    <row r="378" spans="1:17">
      <c r="A378" t="e" vm="456">
        <v>#VALUE!</v>
      </c>
      <c r="B378" s="2">
        <v>45547</v>
      </c>
      <c r="C378" t="str" cm="1">
        <f t="array" aca="1" ref="C378" ca="1">_FV(A378,"Ticker symbol",TRUE)</f>
        <v>BIL</v>
      </c>
      <c r="D378" s="4">
        <v>91.57</v>
      </c>
      <c r="E378" s="50">
        <v>-16</v>
      </c>
      <c r="F378" s="81">
        <f>IF(Table25[[#This Row],[Number of stocks]]&gt;0,Table25[[#This Row],[Number of stocks]],0)</f>
        <v>0</v>
      </c>
      <c r="G378" s="73">
        <f>Table25[[#This Row],[Bought]]*Table25[[#This Row],[Price]]</f>
        <v>0</v>
      </c>
      <c r="H378">
        <f>SUMIF(Table25[[#All],[Assets]],Table25[[#This Row],[Assets]],Table25[[#All],[Bought]])</f>
        <v>419</v>
      </c>
      <c r="I378">
        <f>SUMIF(Table25[[#All],[Assets]],Table25[[#This Row],[Assets]],Table25[[#All],[Bought Amount]])</f>
        <v>38555.520000000004</v>
      </c>
      <c r="J378" s="88">
        <f>IF(Table25[[#This Row],[Number of stocks]]&lt;0,Table25[[#This Row],[Number of stocks]],0)</f>
        <v>-16</v>
      </c>
      <c r="K378" s="5">
        <f>Table25[[#This Row],[Sold]]*Table25[[#This Row],[Price]]</f>
        <v>-1465.12</v>
      </c>
      <c r="L378" s="8">
        <f>ABS(SUMIF(Table25[[#All],[Assets]],Table25[[#This Row],[Assets]],Table25[[#All],[Sold]]))</f>
        <v>419</v>
      </c>
      <c r="M378" s="5">
        <f>ABS(SUMIF(Table25[[#All],[Assets]],Table25[[#This Row],[Assets]],Table25[[#All],[Sold Amount]]))</f>
        <v>38372</v>
      </c>
      <c r="N378" s="5">
        <f>IFERROR(Table25[[#This Row],[Total sold amount]]/Table25[[#This Row],[Total Sold number of stocks]],"")</f>
        <v>91.579952267303099</v>
      </c>
      <c r="O378" s="4">
        <f>IFERROR(Table25[[#This Row],[Total Amount bought]]/Table25[[#This Row],[Total number bought]],"")</f>
        <v>92.017947494033422</v>
      </c>
      <c r="P378" s="4">
        <f>IFERROR((Table25[[#This Row],[Average sell price]]-Table25[[#This Row],[Average buy price]])*Table25[[#This Row],[Total Sold number of stocks]],0)</f>
        <v>-183.5200000000051</v>
      </c>
      <c r="Q378" s="85">
        <f>SUMIF(Table25[[#All],[Assets]],Table25[[#This Row],[Assets]],Table25[[#All],[Number of stocks]])</f>
        <v>0</v>
      </c>
    </row>
    <row r="379" spans="1:17">
      <c r="A379" t="e" vm="123">
        <v>#VALUE!</v>
      </c>
      <c r="B379" s="2">
        <v>45547</v>
      </c>
      <c r="C379" t="str" cm="1">
        <f t="array" aca="1" ref="C379" ca="1">_FV(A379,"Ticker symbol",TRUE)</f>
        <v>GLW</v>
      </c>
      <c r="D379" s="4">
        <v>41.79</v>
      </c>
      <c r="E379" s="50">
        <v>10</v>
      </c>
      <c r="F379" s="81">
        <f>IF(Table25[[#This Row],[Number of stocks]]&gt;0,Table25[[#This Row],[Number of stocks]],0)</f>
        <v>10</v>
      </c>
      <c r="G379" s="73">
        <f>Table25[[#This Row],[Bought]]*Table25[[#This Row],[Price]]</f>
        <v>417.9</v>
      </c>
      <c r="H379">
        <f>SUMIF(Table25[[#All],[Assets]],Table25[[#This Row],[Assets]],Table25[[#All],[Bought]])</f>
        <v>20</v>
      </c>
      <c r="I379">
        <f>SUMIF(Table25[[#All],[Assets]],Table25[[#This Row],[Assets]],Table25[[#All],[Bought Amount]])</f>
        <v>835.3</v>
      </c>
      <c r="J379" s="88">
        <f>IF(Table25[[#This Row],[Number of stocks]]&lt;0,Table25[[#This Row],[Number of stocks]],0)</f>
        <v>0</v>
      </c>
      <c r="K379" s="5">
        <f>Table25[[#This Row],[Sold]]*Table25[[#This Row],[Price]]</f>
        <v>0</v>
      </c>
      <c r="L379" s="8">
        <f>ABS(SUMIF(Table25[[#All],[Assets]],Table25[[#This Row],[Assets]],Table25[[#All],[Sold]]))</f>
        <v>20</v>
      </c>
      <c r="M379" s="5">
        <f>ABS(SUMIF(Table25[[#All],[Assets]],Table25[[#This Row],[Assets]],Table25[[#All],[Sold Amount]]))</f>
        <v>945.09999999999991</v>
      </c>
      <c r="N379" s="5">
        <f>IFERROR(Table25[[#This Row],[Total sold amount]]/Table25[[#This Row],[Total Sold number of stocks]],"")</f>
        <v>47.254999999999995</v>
      </c>
      <c r="O379" s="4">
        <f>IFERROR(Table25[[#This Row],[Total Amount bought]]/Table25[[#This Row],[Total number bought]],"")</f>
        <v>41.765000000000001</v>
      </c>
      <c r="P379" s="4">
        <f>IFERROR((Table25[[#This Row],[Average sell price]]-Table25[[#This Row],[Average buy price]])*Table25[[#This Row],[Total Sold number of stocks]],0)</f>
        <v>109.7999999999999</v>
      </c>
      <c r="Q379" s="85">
        <f>SUMIF(Table25[[#All],[Assets]],Table25[[#This Row],[Assets]],Table25[[#All],[Number of stocks]])</f>
        <v>0</v>
      </c>
    </row>
    <row r="380" spans="1:17">
      <c r="A380" t="e" vm="130">
        <v>#VALUE!</v>
      </c>
      <c r="B380" s="2">
        <v>45547</v>
      </c>
      <c r="C380" t="str" cm="1">
        <f t="array" aca="1" ref="C380" ca="1">_FV(A380,"Ticker symbol",TRUE)</f>
        <v>COHR</v>
      </c>
      <c r="D380" s="4">
        <v>76.349999999999994</v>
      </c>
      <c r="E380" s="50">
        <v>5</v>
      </c>
      <c r="F380" s="81">
        <f>IF(Table25[[#This Row],[Number of stocks]]&gt;0,Table25[[#This Row],[Number of stocks]],0)</f>
        <v>5</v>
      </c>
      <c r="G380" s="73">
        <f>Table25[[#This Row],[Bought]]*Table25[[#This Row],[Price]]</f>
        <v>381.75</v>
      </c>
      <c r="H380">
        <f>SUMIF(Table25[[#All],[Assets]],Table25[[#This Row],[Assets]],Table25[[#All],[Bought]])</f>
        <v>5</v>
      </c>
      <c r="I380">
        <f>SUMIF(Table25[[#All],[Assets]],Table25[[#This Row],[Assets]],Table25[[#All],[Bought Amount]])</f>
        <v>381.75</v>
      </c>
      <c r="J380" s="88">
        <f>IF(Table25[[#This Row],[Number of stocks]]&lt;0,Table25[[#This Row],[Number of stocks]],0)</f>
        <v>0</v>
      </c>
      <c r="K380" s="5">
        <f>Table25[[#This Row],[Sold]]*Table25[[#This Row],[Price]]</f>
        <v>0</v>
      </c>
      <c r="L380" s="8">
        <f>ABS(SUMIF(Table25[[#All],[Assets]],Table25[[#This Row],[Assets]],Table25[[#All],[Sold]]))</f>
        <v>5</v>
      </c>
      <c r="M380" s="5">
        <f>ABS(SUMIF(Table25[[#All],[Assets]],Table25[[#This Row],[Assets]],Table25[[#All],[Sold Amount]]))</f>
        <v>396.57000000000005</v>
      </c>
      <c r="N380" s="5">
        <f>IFERROR(Table25[[#This Row],[Total sold amount]]/Table25[[#This Row],[Total Sold number of stocks]],"")</f>
        <v>79.314000000000007</v>
      </c>
      <c r="O380" s="4">
        <f>IFERROR(Table25[[#This Row],[Total Amount bought]]/Table25[[#This Row],[Total number bought]],"")</f>
        <v>76.349999999999994</v>
      </c>
      <c r="P380" s="4">
        <f>IFERROR((Table25[[#This Row],[Average sell price]]-Table25[[#This Row],[Average buy price]])*Table25[[#This Row],[Total Sold number of stocks]],0)</f>
        <v>14.820000000000064</v>
      </c>
      <c r="Q380" s="85">
        <f>SUMIF(Table25[[#All],[Assets]],Table25[[#This Row],[Assets]],Table25[[#All],[Number of stocks]])</f>
        <v>0</v>
      </c>
    </row>
    <row r="381" spans="1:17">
      <c r="A381" t="e" vm="424">
        <v>#VALUE!</v>
      </c>
      <c r="B381" s="2">
        <v>45547</v>
      </c>
      <c r="C381" t="str" cm="1">
        <f t="array" aca="1" ref="C381" ca="1">_FV(A381,"Ticker symbol",TRUE)</f>
        <v>VISN</v>
      </c>
      <c r="D381" s="4">
        <v>5.12</v>
      </c>
      <c r="E381" s="50">
        <v>50</v>
      </c>
      <c r="F381" s="81">
        <f>IF(Table25[[#This Row],[Number of stocks]]&gt;0,Table25[[#This Row],[Number of stocks]],0)</f>
        <v>50</v>
      </c>
      <c r="G381" s="73">
        <f>Table25[[#This Row],[Bought]]*Table25[[#This Row],[Price]]</f>
        <v>256</v>
      </c>
      <c r="H381">
        <f>SUMIF(Table25[[#All],[Assets]],Table25[[#This Row],[Assets]],Table25[[#All],[Bought]])</f>
        <v>50</v>
      </c>
      <c r="I381">
        <f>SUMIF(Table25[[#All],[Assets]],Table25[[#This Row],[Assets]],Table25[[#All],[Bought Amount]])</f>
        <v>256</v>
      </c>
      <c r="J381" s="88">
        <f>IF(Table25[[#This Row],[Number of stocks]]&lt;0,Table25[[#This Row],[Number of stocks]],0)</f>
        <v>0</v>
      </c>
      <c r="K381" s="5">
        <f>Table25[[#This Row],[Sold]]*Table25[[#This Row],[Price]]</f>
        <v>0</v>
      </c>
      <c r="L381" s="8">
        <f>ABS(SUMIF(Table25[[#All],[Assets]],Table25[[#This Row],[Assets]],Table25[[#All],[Sold]]))</f>
        <v>50</v>
      </c>
      <c r="M381" s="5">
        <f>ABS(SUMIF(Table25[[#All],[Assets]],Table25[[#This Row],[Assets]],Table25[[#All],[Sold Amount]]))</f>
        <v>263</v>
      </c>
      <c r="N381" s="5">
        <f>IFERROR(Table25[[#This Row],[Total sold amount]]/Table25[[#This Row],[Total Sold number of stocks]],"")</f>
        <v>5.26</v>
      </c>
      <c r="O381" s="4">
        <f>IFERROR(Table25[[#This Row],[Total Amount bought]]/Table25[[#This Row],[Total number bought]],"")</f>
        <v>5.12</v>
      </c>
      <c r="P381" s="4">
        <f>IFERROR((Table25[[#This Row],[Average sell price]]-Table25[[#This Row],[Average buy price]])*Table25[[#This Row],[Total Sold number of stocks]],0)</f>
        <v>6.999999999999984</v>
      </c>
      <c r="Q381" s="85">
        <f>SUMIF(Table25[[#All],[Assets]],Table25[[#This Row],[Assets]],Table25[[#All],[Number of stocks]])</f>
        <v>0</v>
      </c>
    </row>
    <row r="382" spans="1:17">
      <c r="A382" t="e" vm="150">
        <v>#VALUE!</v>
      </c>
      <c r="B382" s="2">
        <v>45547</v>
      </c>
      <c r="C382" t="str" cm="1">
        <f t="array" aca="1" ref="C382" ca="1">_FV(A382,"Ticker symbol",TRUE)</f>
        <v>CIEN</v>
      </c>
      <c r="D382" s="4">
        <v>54.78</v>
      </c>
      <c r="E382" s="50">
        <v>3</v>
      </c>
      <c r="F382" s="81">
        <f>IF(Table25[[#This Row],[Number of stocks]]&gt;0,Table25[[#This Row],[Number of stocks]],0)</f>
        <v>3</v>
      </c>
      <c r="G382" s="73">
        <f>Table25[[#This Row],[Bought]]*Table25[[#This Row],[Price]]</f>
        <v>164.34</v>
      </c>
      <c r="H382">
        <f>SUMIF(Table25[[#All],[Assets]],Table25[[#This Row],[Assets]],Table25[[#All],[Bought]])</f>
        <v>12</v>
      </c>
      <c r="I382">
        <f>SUMIF(Table25[[#All],[Assets]],Table25[[#This Row],[Assets]],Table25[[#All],[Bought Amount]])</f>
        <v>727.5</v>
      </c>
      <c r="J382" s="88">
        <f>IF(Table25[[#This Row],[Number of stocks]]&lt;0,Table25[[#This Row],[Number of stocks]],0)</f>
        <v>0</v>
      </c>
      <c r="K382" s="5">
        <f>Table25[[#This Row],[Sold]]*Table25[[#This Row],[Price]]</f>
        <v>0</v>
      </c>
      <c r="L382" s="8">
        <f>ABS(SUMIF(Table25[[#All],[Assets]],Table25[[#This Row],[Assets]],Table25[[#All],[Sold]]))</f>
        <v>12</v>
      </c>
      <c r="M382" s="5">
        <f>ABS(SUMIF(Table25[[#All],[Assets]],Table25[[#This Row],[Assets]],Table25[[#All],[Sold Amount]]))</f>
        <v>1017.96</v>
      </c>
      <c r="N382" s="5">
        <f>IFERROR(Table25[[#This Row],[Total sold amount]]/Table25[[#This Row],[Total Sold number of stocks]],"")</f>
        <v>84.83</v>
      </c>
      <c r="O382" s="4">
        <f>IFERROR(Table25[[#This Row],[Total Amount bought]]/Table25[[#This Row],[Total number bought]],"")</f>
        <v>60.625</v>
      </c>
      <c r="P382" s="4">
        <f>IFERROR((Table25[[#This Row],[Average sell price]]-Table25[[#This Row],[Average buy price]])*Table25[[#This Row],[Total Sold number of stocks]],0)</f>
        <v>290.45999999999998</v>
      </c>
      <c r="Q382" s="85">
        <f>SUMIF(Table25[[#All],[Assets]],Table25[[#This Row],[Assets]],Table25[[#All],[Number of stocks]])</f>
        <v>0</v>
      </c>
    </row>
    <row r="383" spans="1:17">
      <c r="A383" t="e" vm="205">
        <v>#VALUE!</v>
      </c>
      <c r="B383" s="2">
        <v>45547</v>
      </c>
      <c r="C383" t="str" cm="1">
        <f t="array" aca="1" ref="C383" ca="1">_FV(A383,"Ticker symbol",TRUE)</f>
        <v>NOK</v>
      </c>
      <c r="D383" s="4">
        <v>4.2</v>
      </c>
      <c r="E383" s="50">
        <v>100</v>
      </c>
      <c r="F383" s="81">
        <f>IF(Table25[[#This Row],[Number of stocks]]&gt;0,Table25[[#This Row],[Number of stocks]],0)</f>
        <v>100</v>
      </c>
      <c r="G383" s="73">
        <f>Table25[[#This Row],[Bought]]*Table25[[#This Row],[Price]]</f>
        <v>420</v>
      </c>
      <c r="H383">
        <f>SUMIF(Table25[[#All],[Assets]],Table25[[#This Row],[Assets]],Table25[[#All],[Bought]])</f>
        <v>455</v>
      </c>
      <c r="I383">
        <f>SUMIF(Table25[[#All],[Assets]],Table25[[#This Row],[Assets]],Table25[[#All],[Bought Amount]])</f>
        <v>2449.6999999999998</v>
      </c>
      <c r="J383" s="88">
        <f>IF(Table25[[#This Row],[Number of stocks]]&lt;0,Table25[[#This Row],[Number of stocks]],0)</f>
        <v>0</v>
      </c>
      <c r="K383" s="5">
        <f>Table25[[#This Row],[Sold]]*Table25[[#This Row],[Price]]</f>
        <v>0</v>
      </c>
      <c r="L383" s="8">
        <f>ABS(SUMIF(Table25[[#All],[Assets]],Table25[[#This Row],[Assets]],Table25[[#All],[Sold]]))</f>
        <v>390</v>
      </c>
      <c r="M383" s="5">
        <f>ABS(SUMIF(Table25[[#All],[Assets]],Table25[[#This Row],[Assets]],Table25[[#All],[Sold Amount]]))</f>
        <v>2112.3000000000002</v>
      </c>
      <c r="N383" s="5">
        <f>IFERROR(Table25[[#This Row],[Total sold amount]]/Table25[[#This Row],[Total Sold number of stocks]],"")</f>
        <v>5.416153846153847</v>
      </c>
      <c r="O383" s="4">
        <f>IFERROR(Table25[[#This Row],[Total Amount bought]]/Table25[[#This Row],[Total number bought]],"")</f>
        <v>5.3839560439560437</v>
      </c>
      <c r="P383" s="4">
        <f>IFERROR((Table25[[#This Row],[Average sell price]]-Table25[[#This Row],[Average buy price]])*Table25[[#This Row],[Total Sold number of stocks]],0)</f>
        <v>12.557142857143297</v>
      </c>
      <c r="Q383" s="85">
        <f>SUMIF(Table25[[#All],[Assets]],Table25[[#This Row],[Assets]],Table25[[#All],[Number of stocks]])</f>
        <v>65</v>
      </c>
    </row>
    <row r="384" spans="1:17">
      <c r="A384" t="e" vm="277">
        <v>#VALUE!</v>
      </c>
      <c r="B384" s="2">
        <v>45547</v>
      </c>
      <c r="C384" t="str" cm="1">
        <f t="array" aca="1" ref="C384" ca="1">_FV(A384,"Ticker symbol",TRUE)</f>
        <v>VIAV</v>
      </c>
      <c r="D384" s="4">
        <v>8.4700000000000006</v>
      </c>
      <c r="E384" s="50">
        <v>50</v>
      </c>
      <c r="F384" s="81">
        <f>IF(Table25[[#This Row],[Number of stocks]]&gt;0,Table25[[#This Row],[Number of stocks]],0)</f>
        <v>50</v>
      </c>
      <c r="G384" s="73">
        <f>Table25[[#This Row],[Bought]]*Table25[[#This Row],[Price]]</f>
        <v>423.50000000000006</v>
      </c>
      <c r="H384">
        <f>SUMIF(Table25[[#All],[Assets]],Table25[[#This Row],[Assets]],Table25[[#All],[Bought]])</f>
        <v>50</v>
      </c>
      <c r="I384">
        <f>SUMIF(Table25[[#All],[Assets]],Table25[[#This Row],[Assets]],Table25[[#All],[Bought Amount]])</f>
        <v>423.50000000000006</v>
      </c>
      <c r="J384" s="88">
        <f>IF(Table25[[#This Row],[Number of stocks]]&lt;0,Table25[[#This Row],[Number of stocks]],0)</f>
        <v>0</v>
      </c>
      <c r="K384" s="5">
        <f>Table25[[#This Row],[Sold]]*Table25[[#This Row],[Price]]</f>
        <v>0</v>
      </c>
      <c r="L384" s="8">
        <f>ABS(SUMIF(Table25[[#All],[Assets]],Table25[[#This Row],[Assets]],Table25[[#All],[Sold]]))</f>
        <v>50</v>
      </c>
      <c r="M384" s="5">
        <f>ABS(SUMIF(Table25[[#All],[Assets]],Table25[[#This Row],[Assets]],Table25[[#All],[Sold Amount]]))</f>
        <v>512.75</v>
      </c>
      <c r="N384" s="5">
        <f>IFERROR(Table25[[#This Row],[Total sold amount]]/Table25[[#This Row],[Total Sold number of stocks]],"")</f>
        <v>10.255000000000001</v>
      </c>
      <c r="O384" s="4">
        <f>IFERROR(Table25[[#This Row],[Total Amount bought]]/Table25[[#This Row],[Total number bought]],"")</f>
        <v>8.4700000000000006</v>
      </c>
      <c r="P384" s="4">
        <f>IFERROR((Table25[[#This Row],[Average sell price]]-Table25[[#This Row],[Average buy price]])*Table25[[#This Row],[Total Sold number of stocks]],0)</f>
        <v>89.25</v>
      </c>
      <c r="Q384" s="85">
        <f>SUMIF(Table25[[#All],[Assets]],Table25[[#This Row],[Assets]],Table25[[#All],[Number of stocks]])</f>
        <v>0</v>
      </c>
    </row>
    <row r="385" spans="1:17">
      <c r="A385" t="e" vm="99">
        <v>#VALUE!</v>
      </c>
      <c r="B385" s="2">
        <v>45548</v>
      </c>
      <c r="C385" t="str" cm="1">
        <f t="array" aca="1" ref="C385" ca="1">_FV(A385,"Ticker symbol",TRUE)</f>
        <v>CSCO</v>
      </c>
      <c r="D385" s="4">
        <v>49.92</v>
      </c>
      <c r="E385" s="50">
        <v>20</v>
      </c>
      <c r="F385" s="81">
        <f>IF(Table25[[#This Row],[Number of stocks]]&gt;0,Table25[[#This Row],[Number of stocks]],0)</f>
        <v>20</v>
      </c>
      <c r="G385" s="73">
        <f>Table25[[#This Row],[Bought]]*Table25[[#This Row],[Price]]</f>
        <v>998.40000000000009</v>
      </c>
      <c r="H385">
        <f>SUMIF(Table25[[#All],[Assets]],Table25[[#This Row],[Assets]],Table25[[#All],[Bought]])</f>
        <v>23</v>
      </c>
      <c r="I385">
        <f>SUMIF(Table25[[#All],[Assets]],Table25[[#This Row],[Assets]],Table25[[#All],[Bought Amount]])</f>
        <v>1173.48</v>
      </c>
      <c r="J385" s="88">
        <f>IF(Table25[[#This Row],[Number of stocks]]&lt;0,Table25[[#This Row],[Number of stocks]],0)</f>
        <v>0</v>
      </c>
      <c r="K385" s="5">
        <f>Table25[[#This Row],[Sold]]*Table25[[#This Row],[Price]]</f>
        <v>0</v>
      </c>
      <c r="L385" s="8">
        <f>ABS(SUMIF(Table25[[#All],[Assets]],Table25[[#This Row],[Assets]],Table25[[#All],[Sold]]))</f>
        <v>23</v>
      </c>
      <c r="M385" s="5">
        <f>ABS(SUMIF(Table25[[#All],[Assets]],Table25[[#This Row],[Assets]],Table25[[#All],[Sold Amount]]))</f>
        <v>1405.67</v>
      </c>
      <c r="N385" s="5">
        <f>IFERROR(Table25[[#This Row],[Total sold amount]]/Table25[[#This Row],[Total Sold number of stocks]],"")</f>
        <v>61.116086956521741</v>
      </c>
      <c r="O385" s="4">
        <f>IFERROR(Table25[[#This Row],[Total Amount bought]]/Table25[[#This Row],[Total number bought]],"")</f>
        <v>51.020869565217389</v>
      </c>
      <c r="P385" s="4">
        <f>IFERROR((Table25[[#This Row],[Average sell price]]-Table25[[#This Row],[Average buy price]])*Table25[[#This Row],[Total Sold number of stocks]],0)</f>
        <v>232.19000000000011</v>
      </c>
      <c r="Q385" s="85">
        <f>SUMIF(Table25[[#All],[Assets]],Table25[[#This Row],[Assets]],Table25[[#All],[Number of stocks]])</f>
        <v>0</v>
      </c>
    </row>
    <row r="386" spans="1:17">
      <c r="A386" t="e" vm="313">
        <v>#VALUE!</v>
      </c>
      <c r="B386" s="2">
        <v>45551</v>
      </c>
      <c r="C386" t="str" cm="1">
        <f t="array" aca="1" ref="C386" ca="1">_FV(A386,"Ticker symbol",TRUE)</f>
        <v>APLD</v>
      </c>
      <c r="D386" s="4">
        <v>5.93</v>
      </c>
      <c r="E386" s="50">
        <v>-200</v>
      </c>
      <c r="F386" s="81">
        <f>IF(Table25[[#This Row],[Number of stocks]]&gt;0,Table25[[#This Row],[Number of stocks]],0)</f>
        <v>0</v>
      </c>
      <c r="G386" s="73">
        <f>Table25[[#This Row],[Bought]]*Table25[[#This Row],[Price]]</f>
        <v>0</v>
      </c>
      <c r="H386">
        <f>SUMIF(Table25[[#All],[Assets]],Table25[[#This Row],[Assets]],Table25[[#All],[Bought]])</f>
        <v>380</v>
      </c>
      <c r="I386">
        <f>SUMIF(Table25[[#All],[Assets]],Table25[[#This Row],[Assets]],Table25[[#All],[Bought Amount]])</f>
        <v>2450.8000000000002</v>
      </c>
      <c r="J386" s="88">
        <f>IF(Table25[[#This Row],[Number of stocks]]&lt;0,Table25[[#This Row],[Number of stocks]],0)</f>
        <v>-200</v>
      </c>
      <c r="K386" s="5">
        <f>Table25[[#This Row],[Sold]]*Table25[[#This Row],[Price]]</f>
        <v>-1186</v>
      </c>
      <c r="L386" s="8">
        <f>ABS(SUMIF(Table25[[#All],[Assets]],Table25[[#This Row],[Assets]],Table25[[#All],[Sold]]))</f>
        <v>380</v>
      </c>
      <c r="M386" s="5">
        <f>ABS(SUMIF(Table25[[#All],[Assets]],Table25[[#This Row],[Assets]],Table25[[#All],[Sold Amount]]))</f>
        <v>2418.3000000000002</v>
      </c>
      <c r="N386" s="5">
        <f>IFERROR(Table25[[#This Row],[Total sold amount]]/Table25[[#This Row],[Total Sold number of stocks]],"")</f>
        <v>6.3639473684210532</v>
      </c>
      <c r="O386" s="4">
        <f>IFERROR(Table25[[#This Row],[Total Amount bought]]/Table25[[#This Row],[Total number bought]],"")</f>
        <v>6.4494736842105267</v>
      </c>
      <c r="P386" s="4">
        <f>IFERROR((Table25[[#This Row],[Average sell price]]-Table25[[#This Row],[Average buy price]])*Table25[[#This Row],[Total Sold number of stocks]],0)</f>
        <v>-32.499999999999915</v>
      </c>
      <c r="Q386" s="85">
        <f>SUMIF(Table25[[#All],[Assets]],Table25[[#This Row],[Assets]],Table25[[#All],[Number of stocks]])</f>
        <v>0</v>
      </c>
    </row>
    <row r="387" spans="1:17">
      <c r="A387" t="e" vm="313">
        <v>#VALUE!</v>
      </c>
      <c r="B387" s="2">
        <v>45551</v>
      </c>
      <c r="C387" t="str" cm="1">
        <f t="array" aca="1" ref="C387" ca="1">_FV(A387,"Ticker symbol",TRUE)</f>
        <v>APLD</v>
      </c>
      <c r="D387" s="4">
        <v>5.76</v>
      </c>
      <c r="E387" s="50">
        <v>-80</v>
      </c>
      <c r="F387" s="81">
        <f>IF(Table25[[#This Row],[Number of stocks]]&gt;0,Table25[[#This Row],[Number of stocks]],0)</f>
        <v>0</v>
      </c>
      <c r="G387" s="73">
        <f>Table25[[#This Row],[Bought]]*Table25[[#This Row],[Price]]</f>
        <v>0</v>
      </c>
      <c r="H387">
        <f>SUMIF(Table25[[#All],[Assets]],Table25[[#This Row],[Assets]],Table25[[#All],[Bought]])</f>
        <v>380</v>
      </c>
      <c r="I387">
        <f>SUMIF(Table25[[#All],[Assets]],Table25[[#This Row],[Assets]],Table25[[#All],[Bought Amount]])</f>
        <v>2450.8000000000002</v>
      </c>
      <c r="J387" s="88">
        <f>IF(Table25[[#This Row],[Number of stocks]]&lt;0,Table25[[#This Row],[Number of stocks]],0)</f>
        <v>-80</v>
      </c>
      <c r="K387" s="5">
        <f>Table25[[#This Row],[Sold]]*Table25[[#This Row],[Price]]</f>
        <v>-460.79999999999995</v>
      </c>
      <c r="L387" s="8">
        <f>ABS(SUMIF(Table25[[#All],[Assets]],Table25[[#This Row],[Assets]],Table25[[#All],[Sold]]))</f>
        <v>380</v>
      </c>
      <c r="M387" s="5">
        <f>ABS(SUMIF(Table25[[#All],[Assets]],Table25[[#This Row],[Assets]],Table25[[#All],[Sold Amount]]))</f>
        <v>2418.3000000000002</v>
      </c>
      <c r="N387" s="5">
        <f>IFERROR(Table25[[#This Row],[Total sold amount]]/Table25[[#This Row],[Total Sold number of stocks]],"")</f>
        <v>6.3639473684210532</v>
      </c>
      <c r="O387" s="4">
        <f>IFERROR(Table25[[#This Row],[Total Amount bought]]/Table25[[#This Row],[Total number bought]],"")</f>
        <v>6.4494736842105267</v>
      </c>
      <c r="P387" s="4">
        <f>IFERROR((Table25[[#This Row],[Average sell price]]-Table25[[#This Row],[Average buy price]])*Table25[[#This Row],[Total Sold number of stocks]],0)</f>
        <v>-32.499999999999915</v>
      </c>
      <c r="Q387" s="85">
        <f>SUMIF(Table25[[#All],[Assets]],Table25[[#This Row],[Assets]],Table25[[#All],[Number of stocks]])</f>
        <v>0</v>
      </c>
    </row>
    <row r="388" spans="1:17">
      <c r="A388" t="e" vm="21">
        <v>#VALUE!</v>
      </c>
      <c r="B388" s="2">
        <v>45551</v>
      </c>
      <c r="C388" t="str" cm="1">
        <f t="array" aca="1" ref="C388" ca="1">_FV(A388,"Ticker symbol",TRUE)</f>
        <v>INTC</v>
      </c>
      <c r="D388" s="4">
        <v>22.59</v>
      </c>
      <c r="E388" s="50">
        <v>8</v>
      </c>
      <c r="F388" s="81">
        <f>IF(Table25[[#This Row],[Number of stocks]]&gt;0,Table25[[#This Row],[Number of stocks]],0)</f>
        <v>8</v>
      </c>
      <c r="G388" s="73">
        <f>Table25[[#This Row],[Bought]]*Table25[[#This Row],[Price]]</f>
        <v>180.72</v>
      </c>
      <c r="H388">
        <f>SUMIF(Table25[[#All],[Assets]],Table25[[#This Row],[Assets]],Table25[[#All],[Bought]])</f>
        <v>334.73663899999997</v>
      </c>
      <c r="I388">
        <f>SUMIF(Table25[[#All],[Assets]],Table25[[#This Row],[Assets]],Table25[[#All],[Bought Amount]])</f>
        <v>9755.9173948600001</v>
      </c>
      <c r="J388" s="88">
        <f>IF(Table25[[#This Row],[Number of stocks]]&lt;0,Table25[[#This Row],[Number of stocks]],0)</f>
        <v>0</v>
      </c>
      <c r="K388" s="5">
        <f>Table25[[#This Row],[Sold]]*Table25[[#This Row],[Price]]</f>
        <v>0</v>
      </c>
      <c r="L388" s="8">
        <f>ABS(SUMIF(Table25[[#All],[Assets]],Table25[[#This Row],[Assets]],Table25[[#All],[Sold]]))</f>
        <v>334.74</v>
      </c>
      <c r="M388" s="5">
        <f>ABS(SUMIF(Table25[[#All],[Assets]],Table25[[#This Row],[Assets]],Table25[[#All],[Sold Amount]]))</f>
        <v>7909.2053999999998</v>
      </c>
      <c r="N388" s="5">
        <f>IFERROR(Table25[[#This Row],[Total sold amount]]/Table25[[#This Row],[Total Sold number of stocks]],"")</f>
        <v>23.627906434844952</v>
      </c>
      <c r="O388" s="4">
        <f>IFERROR(Table25[[#This Row],[Total Amount bought]]/Table25[[#This Row],[Total number bought]],"")</f>
        <v>29.145053926588542</v>
      </c>
      <c r="P388" s="4">
        <f>IFERROR((Table25[[#This Row],[Average sell price]]-Table25[[#This Row],[Average buy price]])*Table25[[#This Row],[Total Sold number of stocks]],0)</f>
        <v>-1846.8099513862492</v>
      </c>
      <c r="Q388" s="85">
        <f>SUMIF(Table25[[#All],[Assets]],Table25[[#This Row],[Assets]],Table25[[#All],[Number of stocks]])</f>
        <v>-3.3610000000123819E-3</v>
      </c>
    </row>
    <row r="389" spans="1:17">
      <c r="A389" t="e" vm="33">
        <v>#VALUE!</v>
      </c>
      <c r="B389" s="2">
        <v>45551</v>
      </c>
      <c r="C389" t="str" cm="1">
        <f t="array" aca="1" ref="C389" ca="1">_FV(A389,"Ticker symbol",TRUE)</f>
        <v>CRDO</v>
      </c>
      <c r="D389" s="6">
        <v>29.24</v>
      </c>
      <c r="E389" s="50">
        <v>30</v>
      </c>
      <c r="F389" s="81">
        <f>IF(Table25[[#This Row],[Number of stocks]]&gt;0,Table25[[#This Row],[Number of stocks]],0)</f>
        <v>30</v>
      </c>
      <c r="G389" s="73">
        <f>Table25[[#This Row],[Bought]]*Table25[[#This Row],[Price]]</f>
        <v>877.19999999999993</v>
      </c>
      <c r="H389">
        <f>SUMIF(Table25[[#All],[Assets]],Table25[[#This Row],[Assets]],Table25[[#All],[Bought]])</f>
        <v>135</v>
      </c>
      <c r="I389">
        <f>SUMIF(Table25[[#All],[Assets]],Table25[[#This Row],[Assets]],Table25[[#All],[Bought Amount]])</f>
        <v>3772.0499999999997</v>
      </c>
      <c r="J389" s="88">
        <f>IF(Table25[[#This Row],[Number of stocks]]&lt;0,Table25[[#This Row],[Number of stocks]],0)</f>
        <v>0</v>
      </c>
      <c r="K389" s="5">
        <f>Table25[[#This Row],[Sold]]*Table25[[#This Row],[Price]]</f>
        <v>0</v>
      </c>
      <c r="L389" s="8">
        <f>ABS(SUMIF(Table25[[#All],[Assets]],Table25[[#This Row],[Assets]],Table25[[#All],[Sold]]))</f>
        <v>135</v>
      </c>
      <c r="M389" s="5">
        <f>ABS(SUMIF(Table25[[#All],[Assets]],Table25[[#This Row],[Assets]],Table25[[#All],[Sold Amount]]))</f>
        <v>5564.1</v>
      </c>
      <c r="N389" s="5">
        <f>IFERROR(Table25[[#This Row],[Total sold amount]]/Table25[[#This Row],[Total Sold number of stocks]],"")</f>
        <v>41.215555555555561</v>
      </c>
      <c r="O389" s="4">
        <f>IFERROR(Table25[[#This Row],[Total Amount bought]]/Table25[[#This Row],[Total number bought]],"")</f>
        <v>27.941111111111109</v>
      </c>
      <c r="P389" s="4">
        <f>IFERROR((Table25[[#This Row],[Average sell price]]-Table25[[#This Row],[Average buy price]])*Table25[[#This Row],[Total Sold number of stocks]],0)</f>
        <v>1792.0500000000011</v>
      </c>
      <c r="Q389" s="85">
        <f>SUMIF(Table25[[#All],[Assets]],Table25[[#This Row],[Assets]],Table25[[#All],[Number of stocks]])</f>
        <v>0</v>
      </c>
    </row>
    <row r="390" spans="1:17">
      <c r="A390" t="e" vm="456">
        <v>#VALUE!</v>
      </c>
      <c r="B390" s="2">
        <v>45552</v>
      </c>
      <c r="C390" t="str" cm="1">
        <f t="array" aca="1" ref="C390" ca="1">_FV(A390,"Ticker symbol",TRUE)</f>
        <v>BIL</v>
      </c>
      <c r="D390" s="4">
        <v>91.6</v>
      </c>
      <c r="E390" s="50">
        <v>-31</v>
      </c>
      <c r="F390" s="81">
        <f>IF(Table25[[#This Row],[Number of stocks]]&gt;0,Table25[[#This Row],[Number of stocks]],0)</f>
        <v>0</v>
      </c>
      <c r="G390" s="73">
        <f>Table25[[#This Row],[Bought]]*Table25[[#This Row],[Price]]</f>
        <v>0</v>
      </c>
      <c r="H390">
        <f>SUMIF(Table25[[#All],[Assets]],Table25[[#This Row],[Assets]],Table25[[#All],[Bought]])</f>
        <v>419</v>
      </c>
      <c r="I390">
        <f>SUMIF(Table25[[#All],[Assets]],Table25[[#This Row],[Assets]],Table25[[#All],[Bought Amount]])</f>
        <v>38555.520000000004</v>
      </c>
      <c r="J390" s="88">
        <f>IF(Table25[[#This Row],[Number of stocks]]&lt;0,Table25[[#This Row],[Number of stocks]],0)</f>
        <v>-31</v>
      </c>
      <c r="K390" s="5">
        <f>Table25[[#This Row],[Sold]]*Table25[[#This Row],[Price]]</f>
        <v>-2839.6</v>
      </c>
      <c r="L390" s="8">
        <f>ABS(SUMIF(Table25[[#All],[Assets]],Table25[[#This Row],[Assets]],Table25[[#All],[Sold]]))</f>
        <v>419</v>
      </c>
      <c r="M390" s="5">
        <f>ABS(SUMIF(Table25[[#All],[Assets]],Table25[[#This Row],[Assets]],Table25[[#All],[Sold Amount]]))</f>
        <v>38372</v>
      </c>
      <c r="N390" s="5">
        <f>IFERROR(Table25[[#This Row],[Total sold amount]]/Table25[[#This Row],[Total Sold number of stocks]],"")</f>
        <v>91.579952267303099</v>
      </c>
      <c r="O390" s="4">
        <f>IFERROR(Table25[[#This Row],[Total Amount bought]]/Table25[[#This Row],[Total number bought]],"")</f>
        <v>92.017947494033422</v>
      </c>
      <c r="P390" s="4">
        <f>IFERROR((Table25[[#This Row],[Average sell price]]-Table25[[#This Row],[Average buy price]])*Table25[[#This Row],[Total Sold number of stocks]],0)</f>
        <v>-183.5200000000051</v>
      </c>
      <c r="Q390" s="85">
        <f>SUMIF(Table25[[#All],[Assets]],Table25[[#This Row],[Assets]],Table25[[#All],[Number of stocks]])</f>
        <v>0</v>
      </c>
    </row>
    <row r="391" spans="1:17">
      <c r="A391" t="e" vm="315">
        <v>#VALUE!</v>
      </c>
      <c r="B391" s="2">
        <v>45553</v>
      </c>
      <c r="C391" t="str" cm="1">
        <f t="array" aca="1" ref="C391" ca="1">_FV(A391,"Ticker symbol",TRUE)</f>
        <v>CORZ</v>
      </c>
      <c r="D391" s="4">
        <v>12.41</v>
      </c>
      <c r="E391" s="50">
        <v>-64</v>
      </c>
      <c r="F391" s="81">
        <f>IF(Table25[[#This Row],[Number of stocks]]&gt;0,Table25[[#This Row],[Number of stocks]],0)</f>
        <v>0</v>
      </c>
      <c r="G391" s="73">
        <f>Table25[[#This Row],[Bought]]*Table25[[#This Row],[Price]]</f>
        <v>0</v>
      </c>
      <c r="H391">
        <f>SUMIF(Table25[[#All],[Assets]],Table25[[#This Row],[Assets]],Table25[[#All],[Bought]])</f>
        <v>64</v>
      </c>
      <c r="I391">
        <f>SUMIF(Table25[[#All],[Assets]],Table25[[#This Row],[Assets]],Table25[[#All],[Bought Amount]])</f>
        <v>605.68000000000006</v>
      </c>
      <c r="J391" s="88">
        <f>IF(Table25[[#This Row],[Number of stocks]]&lt;0,Table25[[#This Row],[Number of stocks]],0)</f>
        <v>-64</v>
      </c>
      <c r="K391" s="5">
        <f>Table25[[#This Row],[Sold]]*Table25[[#This Row],[Price]]</f>
        <v>-794.24</v>
      </c>
      <c r="L391" s="8">
        <f>ABS(SUMIF(Table25[[#All],[Assets]],Table25[[#This Row],[Assets]],Table25[[#All],[Sold]]))</f>
        <v>64</v>
      </c>
      <c r="M391" s="5">
        <f>ABS(SUMIF(Table25[[#All],[Assets]],Table25[[#This Row],[Assets]],Table25[[#All],[Sold Amount]]))</f>
        <v>794.24</v>
      </c>
      <c r="N391" s="5">
        <f>IFERROR(Table25[[#This Row],[Total sold amount]]/Table25[[#This Row],[Total Sold number of stocks]],"")</f>
        <v>12.41</v>
      </c>
      <c r="O391" s="4">
        <f>IFERROR(Table25[[#This Row],[Total Amount bought]]/Table25[[#This Row],[Total number bought]],"")</f>
        <v>9.463750000000001</v>
      </c>
      <c r="P391" s="4">
        <f>IFERROR((Table25[[#This Row],[Average sell price]]-Table25[[#This Row],[Average buy price]])*Table25[[#This Row],[Total Sold number of stocks]],0)</f>
        <v>188.55999999999995</v>
      </c>
      <c r="Q391" s="85">
        <f>SUMIF(Table25[[#All],[Assets]],Table25[[#This Row],[Assets]],Table25[[#All],[Number of stocks]])</f>
        <v>0</v>
      </c>
    </row>
    <row r="392" spans="1:17">
      <c r="A392" t="e" vm="369">
        <v>#VALUE!</v>
      </c>
      <c r="B392" s="2">
        <v>45553</v>
      </c>
      <c r="C392" t="str" cm="1">
        <f t="array" aca="1" ref="C392" ca="1">_FV(A392,"Ticker symbol",TRUE)</f>
        <v>ARKF</v>
      </c>
      <c r="D392" s="4">
        <v>29.22</v>
      </c>
      <c r="E392" s="50">
        <v>-4</v>
      </c>
      <c r="F392" s="81">
        <f>IF(Table25[[#This Row],[Number of stocks]]&gt;0,Table25[[#This Row],[Number of stocks]],0)</f>
        <v>0</v>
      </c>
      <c r="G392" s="73">
        <f>Table25[[#This Row],[Bought]]*Table25[[#This Row],[Price]]</f>
        <v>0</v>
      </c>
      <c r="H392">
        <f>SUMIF(Table25[[#All],[Assets]],Table25[[#This Row],[Assets]],Table25[[#All],[Bought]])</f>
        <v>4</v>
      </c>
      <c r="I392">
        <f>SUMIF(Table25[[#All],[Assets]],Table25[[#This Row],[Assets]],Table25[[#All],[Bought Amount]])</f>
        <v>119.68</v>
      </c>
      <c r="J392" s="88">
        <f>IF(Table25[[#This Row],[Number of stocks]]&lt;0,Table25[[#This Row],[Number of stocks]],0)</f>
        <v>-4</v>
      </c>
      <c r="K392" s="5">
        <f>Table25[[#This Row],[Sold]]*Table25[[#This Row],[Price]]</f>
        <v>-116.88</v>
      </c>
      <c r="L392" s="8">
        <f>ABS(SUMIF(Table25[[#All],[Assets]],Table25[[#This Row],[Assets]],Table25[[#All],[Sold]]))</f>
        <v>4</v>
      </c>
      <c r="M392" s="5">
        <f>ABS(SUMIF(Table25[[#All],[Assets]],Table25[[#This Row],[Assets]],Table25[[#All],[Sold Amount]]))</f>
        <v>116.88</v>
      </c>
      <c r="N392" s="5">
        <f>IFERROR(Table25[[#This Row],[Total sold amount]]/Table25[[#This Row],[Total Sold number of stocks]],"")</f>
        <v>29.22</v>
      </c>
      <c r="O392" s="4">
        <f>IFERROR(Table25[[#This Row],[Total Amount bought]]/Table25[[#This Row],[Total number bought]],"")</f>
        <v>29.92</v>
      </c>
      <c r="P392" s="4">
        <f>IFERROR((Table25[[#This Row],[Average sell price]]-Table25[[#This Row],[Average buy price]])*Table25[[#This Row],[Total Sold number of stocks]],0)</f>
        <v>-2.8000000000000114</v>
      </c>
      <c r="Q392" s="85">
        <f>SUMIF(Table25[[#All],[Assets]],Table25[[#This Row],[Assets]],Table25[[#All],[Number of stocks]])</f>
        <v>0</v>
      </c>
    </row>
    <row r="393" spans="1:17">
      <c r="A393" t="e" vm="456">
        <v>#VALUE!</v>
      </c>
      <c r="B393" s="2">
        <v>45555</v>
      </c>
      <c r="C393" t="str" cm="1">
        <f t="array" aca="1" ref="C393" ca="1">_FV(A393,"Ticker symbol",TRUE)</f>
        <v>BIL</v>
      </c>
      <c r="D393" s="4">
        <v>91.73</v>
      </c>
      <c r="E393" s="50">
        <v>-24</v>
      </c>
      <c r="F393" s="81">
        <f>IF(Table25[[#This Row],[Number of stocks]]&gt;0,Table25[[#This Row],[Number of stocks]],0)</f>
        <v>0</v>
      </c>
      <c r="G393" s="73">
        <f>Table25[[#This Row],[Bought]]*Table25[[#This Row],[Price]]</f>
        <v>0</v>
      </c>
      <c r="H393">
        <f>SUMIF(Table25[[#All],[Assets]],Table25[[#This Row],[Assets]],Table25[[#All],[Bought]])</f>
        <v>419</v>
      </c>
      <c r="I393">
        <f>SUMIF(Table25[[#All],[Assets]],Table25[[#This Row],[Assets]],Table25[[#All],[Bought Amount]])</f>
        <v>38555.520000000004</v>
      </c>
      <c r="J393" s="88">
        <f>IF(Table25[[#This Row],[Number of stocks]]&lt;0,Table25[[#This Row],[Number of stocks]],0)</f>
        <v>-24</v>
      </c>
      <c r="K393" s="5">
        <f>Table25[[#This Row],[Sold]]*Table25[[#This Row],[Price]]</f>
        <v>-2201.52</v>
      </c>
      <c r="L393" s="8">
        <f>ABS(SUMIF(Table25[[#All],[Assets]],Table25[[#This Row],[Assets]],Table25[[#All],[Sold]]))</f>
        <v>419</v>
      </c>
      <c r="M393" s="5">
        <f>ABS(SUMIF(Table25[[#All],[Assets]],Table25[[#This Row],[Assets]],Table25[[#All],[Sold Amount]]))</f>
        <v>38372</v>
      </c>
      <c r="N393" s="5">
        <f>IFERROR(Table25[[#This Row],[Total sold amount]]/Table25[[#This Row],[Total Sold number of stocks]],"")</f>
        <v>91.579952267303099</v>
      </c>
      <c r="O393" s="4">
        <f>IFERROR(Table25[[#This Row],[Total Amount bought]]/Table25[[#This Row],[Total number bought]],"")</f>
        <v>92.017947494033422</v>
      </c>
      <c r="P393" s="4">
        <f>IFERROR((Table25[[#This Row],[Average sell price]]-Table25[[#This Row],[Average buy price]])*Table25[[#This Row],[Total Sold number of stocks]],0)</f>
        <v>-183.5200000000051</v>
      </c>
      <c r="Q393" s="85">
        <f>SUMIF(Table25[[#All],[Assets]],Table25[[#This Row],[Assets]],Table25[[#All],[Number of stocks]])</f>
        <v>0</v>
      </c>
    </row>
    <row r="394" spans="1:17">
      <c r="A394" t="e" vm="20">
        <v>#VALUE!</v>
      </c>
      <c r="B394" s="2">
        <v>45555</v>
      </c>
      <c r="C394" t="str" cm="1">
        <f t="array" aca="1" ref="C394" ca="1">_FV(A394,"Ticker symbol",TRUE)</f>
        <v>LSCC</v>
      </c>
      <c r="D394" s="4">
        <v>53.6</v>
      </c>
      <c r="E394" s="50">
        <v>20</v>
      </c>
      <c r="F394" s="81">
        <f>IF(Table25[[#This Row],[Number of stocks]]&gt;0,Table25[[#This Row],[Number of stocks]],0)</f>
        <v>20</v>
      </c>
      <c r="G394" s="73">
        <f>Table25[[#This Row],[Bought]]*Table25[[#This Row],[Price]]</f>
        <v>1072</v>
      </c>
      <c r="H394">
        <f>SUMIF(Table25[[#All],[Assets]],Table25[[#This Row],[Assets]],Table25[[#All],[Bought]])</f>
        <v>20</v>
      </c>
      <c r="I394">
        <f>SUMIF(Table25[[#All],[Assets]],Table25[[#This Row],[Assets]],Table25[[#All],[Bought Amount]])</f>
        <v>1072</v>
      </c>
      <c r="J394" s="88">
        <f>IF(Table25[[#This Row],[Number of stocks]]&lt;0,Table25[[#This Row],[Number of stocks]],0)</f>
        <v>0</v>
      </c>
      <c r="K394" s="5">
        <f>Table25[[#This Row],[Sold]]*Table25[[#This Row],[Price]]</f>
        <v>0</v>
      </c>
      <c r="L394" s="8">
        <f>ABS(SUMIF(Table25[[#All],[Assets]],Table25[[#This Row],[Assets]],Table25[[#All],[Sold]]))</f>
        <v>20</v>
      </c>
      <c r="M394" s="5">
        <f>ABS(SUMIF(Table25[[#All],[Assets]],Table25[[#This Row],[Assets]],Table25[[#All],[Sold Amount]]))</f>
        <v>1058.8</v>
      </c>
      <c r="N394" s="5">
        <f>IFERROR(Table25[[#This Row],[Total sold amount]]/Table25[[#This Row],[Total Sold number of stocks]],"")</f>
        <v>52.94</v>
      </c>
      <c r="O394" s="4">
        <f>IFERROR(Table25[[#This Row],[Total Amount bought]]/Table25[[#This Row],[Total number bought]],"")</f>
        <v>53.6</v>
      </c>
      <c r="P394" s="4">
        <f>IFERROR((Table25[[#This Row],[Average sell price]]-Table25[[#This Row],[Average buy price]])*Table25[[#This Row],[Total Sold number of stocks]],0)</f>
        <v>-13.200000000000074</v>
      </c>
      <c r="Q394" s="85">
        <f>SUMIF(Table25[[#All],[Assets]],Table25[[#This Row],[Assets]],Table25[[#All],[Number of stocks]])</f>
        <v>0</v>
      </c>
    </row>
    <row r="395" spans="1:17">
      <c r="A395" t="e" vm="472">
        <v>#VALUE!</v>
      </c>
      <c r="B395" s="2">
        <v>45555</v>
      </c>
      <c r="C395" t="str" cm="1">
        <f t="array" aca="1" ref="C395" ca="1">_FV(A395,"Ticker symbol",TRUE)</f>
        <v>SRRK</v>
      </c>
      <c r="D395" s="4">
        <v>9.3000000000000007</v>
      </c>
      <c r="E395" s="50">
        <v>100</v>
      </c>
      <c r="F395" s="81">
        <f>IF(Table25[[#This Row],[Number of stocks]]&gt;0,Table25[[#This Row],[Number of stocks]],0)</f>
        <v>100</v>
      </c>
      <c r="G395" s="73">
        <f>Table25[[#This Row],[Bought]]*Table25[[#This Row],[Price]]</f>
        <v>930.00000000000011</v>
      </c>
      <c r="H395">
        <f>SUMIF(Table25[[#All],[Assets]],Table25[[#This Row],[Assets]],Table25[[#All],[Bought]])</f>
        <v>100</v>
      </c>
      <c r="I395">
        <f>SUMIF(Table25[[#All],[Assets]],Table25[[#This Row],[Assets]],Table25[[#All],[Bought Amount]])</f>
        <v>930.00000000000011</v>
      </c>
      <c r="J395" s="88">
        <f>IF(Table25[[#This Row],[Number of stocks]]&lt;0,Table25[[#This Row],[Number of stocks]],0)</f>
        <v>0</v>
      </c>
      <c r="K395" s="5">
        <f>Table25[[#This Row],[Sold]]*Table25[[#This Row],[Price]]</f>
        <v>0</v>
      </c>
      <c r="L395" s="8">
        <f>ABS(SUMIF(Table25[[#All],[Assets]],Table25[[#This Row],[Assets]],Table25[[#All],[Sold]]))</f>
        <v>100</v>
      </c>
      <c r="M395" s="5">
        <f>ABS(SUMIF(Table25[[#All],[Assets]],Table25[[#This Row],[Assets]],Table25[[#All],[Sold Amount]]))</f>
        <v>760</v>
      </c>
      <c r="N395" s="5">
        <f>IFERROR(Table25[[#This Row],[Total sold amount]]/Table25[[#This Row],[Total Sold number of stocks]],"")</f>
        <v>7.6</v>
      </c>
      <c r="O395" s="4">
        <f>IFERROR(Table25[[#This Row],[Total Amount bought]]/Table25[[#This Row],[Total number bought]],"")</f>
        <v>9.3000000000000007</v>
      </c>
      <c r="P395" s="4">
        <f>IFERROR((Table25[[#This Row],[Average sell price]]-Table25[[#This Row],[Average buy price]])*Table25[[#This Row],[Total Sold number of stocks]],0)</f>
        <v>-170.00000000000011</v>
      </c>
      <c r="Q395" s="85">
        <f>SUMIF(Table25[[#All],[Assets]],Table25[[#This Row],[Assets]],Table25[[#All],[Number of stocks]])</f>
        <v>0</v>
      </c>
    </row>
    <row r="396" spans="1:17">
      <c r="A396" t="e" vm="20">
        <v>#VALUE!</v>
      </c>
      <c r="B396" s="2">
        <v>45555</v>
      </c>
      <c r="C396" t="str" cm="1">
        <f t="array" aca="1" ref="C396" ca="1">_FV(A396,"Ticker symbol",TRUE)</f>
        <v>LSCC</v>
      </c>
      <c r="D396" s="4">
        <v>52.94</v>
      </c>
      <c r="E396" s="50">
        <v>-20</v>
      </c>
      <c r="F396" s="81">
        <f>IF(Table25[[#This Row],[Number of stocks]]&gt;0,Table25[[#This Row],[Number of stocks]],0)</f>
        <v>0</v>
      </c>
      <c r="G396" s="73">
        <f>Table25[[#This Row],[Bought]]*Table25[[#This Row],[Price]]</f>
        <v>0</v>
      </c>
      <c r="H396">
        <f>SUMIF(Table25[[#All],[Assets]],Table25[[#This Row],[Assets]],Table25[[#All],[Bought]])</f>
        <v>20</v>
      </c>
      <c r="I396">
        <f>SUMIF(Table25[[#All],[Assets]],Table25[[#This Row],[Assets]],Table25[[#All],[Bought Amount]])</f>
        <v>1072</v>
      </c>
      <c r="J396" s="88">
        <f>IF(Table25[[#This Row],[Number of stocks]]&lt;0,Table25[[#This Row],[Number of stocks]],0)</f>
        <v>-20</v>
      </c>
      <c r="K396" s="5">
        <f>Table25[[#This Row],[Sold]]*Table25[[#This Row],[Price]]</f>
        <v>-1058.8</v>
      </c>
      <c r="L396" s="8">
        <f>ABS(SUMIF(Table25[[#All],[Assets]],Table25[[#This Row],[Assets]],Table25[[#All],[Sold]]))</f>
        <v>20</v>
      </c>
      <c r="M396" s="5">
        <f>ABS(SUMIF(Table25[[#All],[Assets]],Table25[[#This Row],[Assets]],Table25[[#All],[Sold Amount]]))</f>
        <v>1058.8</v>
      </c>
      <c r="N396" s="5">
        <f>IFERROR(Table25[[#This Row],[Total sold amount]]/Table25[[#This Row],[Total Sold number of stocks]],"")</f>
        <v>52.94</v>
      </c>
      <c r="O396" s="4">
        <f>IFERROR(Table25[[#This Row],[Total Amount bought]]/Table25[[#This Row],[Total number bought]],"")</f>
        <v>53.6</v>
      </c>
      <c r="P396" s="4">
        <f>IFERROR((Table25[[#This Row],[Average sell price]]-Table25[[#This Row],[Average buy price]])*Table25[[#This Row],[Total Sold number of stocks]],0)</f>
        <v>-13.200000000000074</v>
      </c>
      <c r="Q396" s="85">
        <f>SUMIF(Table25[[#All],[Assets]],Table25[[#This Row],[Assets]],Table25[[#All],[Number of stocks]])</f>
        <v>0</v>
      </c>
    </row>
    <row r="397" spans="1:17">
      <c r="A397" t="e" vm="13">
        <v>#VALUE!</v>
      </c>
      <c r="B397" s="2">
        <v>45555</v>
      </c>
      <c r="C397" t="str" cm="1">
        <f t="array" aca="1" ref="C397" ca="1">_FV(A397,"Ticker symbol",TRUE)</f>
        <v>ON</v>
      </c>
      <c r="D397" s="4">
        <v>69.209999999999994</v>
      </c>
      <c r="E397" s="50">
        <v>15</v>
      </c>
      <c r="F397" s="81">
        <f>IF(Table25[[#This Row],[Number of stocks]]&gt;0,Table25[[#This Row],[Number of stocks]],0)</f>
        <v>15</v>
      </c>
      <c r="G397" s="73">
        <f>Table25[[#This Row],[Bought]]*Table25[[#This Row],[Price]]</f>
        <v>1038.1499999999999</v>
      </c>
      <c r="H397">
        <f>SUMIF(Table25[[#All],[Assets]],Table25[[#This Row],[Assets]],Table25[[#All],[Bought]])</f>
        <v>326</v>
      </c>
      <c r="I397">
        <f>SUMIF(Table25[[#All],[Assets]],Table25[[#This Row],[Assets]],Table25[[#All],[Bought Amount]])</f>
        <v>19172.809999999998</v>
      </c>
      <c r="J397" s="88">
        <f>IF(Table25[[#This Row],[Number of stocks]]&lt;0,Table25[[#This Row],[Number of stocks]],0)</f>
        <v>0</v>
      </c>
      <c r="K397" s="5">
        <f>Table25[[#This Row],[Sold]]*Table25[[#This Row],[Price]]</f>
        <v>0</v>
      </c>
      <c r="L397" s="8">
        <f>ABS(SUMIF(Table25[[#All],[Assets]],Table25[[#This Row],[Assets]],Table25[[#All],[Sold]]))</f>
        <v>283</v>
      </c>
      <c r="M397" s="5">
        <f>ABS(SUMIF(Table25[[#All],[Assets]],Table25[[#This Row],[Assets]],Table25[[#All],[Sold Amount]]))</f>
        <v>15700.74</v>
      </c>
      <c r="N397" s="5">
        <f>IFERROR(Table25[[#This Row],[Total sold amount]]/Table25[[#This Row],[Total Sold number of stocks]],"")</f>
        <v>55.47964664310954</v>
      </c>
      <c r="O397" s="4">
        <f>IFERROR(Table25[[#This Row],[Total Amount bought]]/Table25[[#This Row],[Total number bought]],"")</f>
        <v>58.812300613496923</v>
      </c>
      <c r="P397" s="4">
        <f>IFERROR((Table25[[#This Row],[Average sell price]]-Table25[[#This Row],[Average buy price]])*Table25[[#This Row],[Total Sold number of stocks]],0)</f>
        <v>-943.14107361962954</v>
      </c>
      <c r="Q397" s="85">
        <f>SUMIF(Table25[[#All],[Assets]],Table25[[#This Row],[Assets]],Table25[[#All],[Number of stocks]])</f>
        <v>43</v>
      </c>
    </row>
    <row r="398" spans="1:17">
      <c r="A398" t="e" vm="142">
        <v>#VALUE!</v>
      </c>
      <c r="B398" s="2">
        <v>45558</v>
      </c>
      <c r="C398" t="str" cm="1">
        <f t="array" aca="1" ref="C398" ca="1">_FV(A398,"Ticker symbol",TRUE)</f>
        <v>KGC</v>
      </c>
      <c r="D398" s="4">
        <v>9.48</v>
      </c>
      <c r="E398" s="50">
        <v>12</v>
      </c>
      <c r="F398" s="81">
        <f>IF(Table25[[#This Row],[Number of stocks]]&gt;0,Table25[[#This Row],[Number of stocks]],0)</f>
        <v>12</v>
      </c>
      <c r="G398" s="73">
        <f>Table25[[#This Row],[Bought]]*Table25[[#This Row],[Price]]</f>
        <v>113.76</v>
      </c>
      <c r="H398">
        <f>SUMIF(Table25[[#All],[Assets]],Table25[[#This Row],[Assets]],Table25[[#All],[Bought]])</f>
        <v>12</v>
      </c>
      <c r="I398">
        <f>SUMIF(Table25[[#All],[Assets]],Table25[[#This Row],[Assets]],Table25[[#All],[Bought Amount]])</f>
        <v>113.76</v>
      </c>
      <c r="J398" s="88">
        <f>IF(Table25[[#This Row],[Number of stocks]]&lt;0,Table25[[#This Row],[Number of stocks]],0)</f>
        <v>0</v>
      </c>
      <c r="K398" s="5">
        <f>Table25[[#This Row],[Sold]]*Table25[[#This Row],[Price]]</f>
        <v>0</v>
      </c>
      <c r="L398" s="8">
        <f>ABS(SUMIF(Table25[[#All],[Assets]],Table25[[#This Row],[Assets]],Table25[[#All],[Sold]]))</f>
        <v>12</v>
      </c>
      <c r="M398" s="5">
        <f>ABS(SUMIF(Table25[[#All],[Assets]],Table25[[#This Row],[Assets]],Table25[[#All],[Sold Amount]]))</f>
        <v>130.80000000000001</v>
      </c>
      <c r="N398" s="5">
        <f>IFERROR(Table25[[#This Row],[Total sold amount]]/Table25[[#This Row],[Total Sold number of stocks]],"")</f>
        <v>10.9</v>
      </c>
      <c r="O398" s="4">
        <f>IFERROR(Table25[[#This Row],[Total Amount bought]]/Table25[[#This Row],[Total number bought]],"")</f>
        <v>9.48</v>
      </c>
      <c r="P398" s="4">
        <f>IFERROR((Table25[[#This Row],[Average sell price]]-Table25[[#This Row],[Average buy price]])*Table25[[#This Row],[Total Sold number of stocks]],0)</f>
        <v>17.04</v>
      </c>
      <c r="Q398" s="85">
        <f>SUMIF(Table25[[#All],[Assets]],Table25[[#This Row],[Assets]],Table25[[#All],[Number of stocks]])</f>
        <v>0</v>
      </c>
    </row>
    <row r="399" spans="1:17">
      <c r="A399" t="e" vm="64">
        <v>#VALUE!</v>
      </c>
      <c r="B399" s="2">
        <v>45558</v>
      </c>
      <c r="C399" t="str" cm="1">
        <f t="array" aca="1" ref="C399" ca="1">_FV(A399,"Ticker symbol",TRUE)</f>
        <v>LULU</v>
      </c>
      <c r="D399" s="4">
        <v>259.38</v>
      </c>
      <c r="E399" s="50">
        <v>-2</v>
      </c>
      <c r="F399" s="81">
        <f>IF(Table25[[#This Row],[Number of stocks]]&gt;0,Table25[[#This Row],[Number of stocks]],0)</f>
        <v>0</v>
      </c>
      <c r="G399" s="73">
        <f>Table25[[#This Row],[Bought]]*Table25[[#This Row],[Price]]</f>
        <v>0</v>
      </c>
      <c r="H399">
        <f>SUMIF(Table25[[#All],[Assets]],Table25[[#This Row],[Assets]],Table25[[#All],[Bought]])</f>
        <v>26</v>
      </c>
      <c r="I399">
        <f>SUMIF(Table25[[#All],[Assets]],Table25[[#This Row],[Assets]],Table25[[#All],[Bought Amount]])</f>
        <v>6272.2400000000007</v>
      </c>
      <c r="J399" s="88">
        <f>IF(Table25[[#This Row],[Number of stocks]]&lt;0,Table25[[#This Row],[Number of stocks]],0)</f>
        <v>-2</v>
      </c>
      <c r="K399" s="5">
        <f>Table25[[#This Row],[Sold]]*Table25[[#This Row],[Price]]</f>
        <v>-518.76</v>
      </c>
      <c r="L399" s="8">
        <f>ABS(SUMIF(Table25[[#All],[Assets]],Table25[[#This Row],[Assets]],Table25[[#All],[Sold]]))</f>
        <v>26</v>
      </c>
      <c r="M399" s="5">
        <f>ABS(SUMIF(Table25[[#All],[Assets]],Table25[[#This Row],[Assets]],Table25[[#All],[Sold Amount]]))</f>
        <v>6958.9199999999992</v>
      </c>
      <c r="N399" s="5">
        <f>IFERROR(Table25[[#This Row],[Total sold amount]]/Table25[[#This Row],[Total Sold number of stocks]],"")</f>
        <v>267.65076923076919</v>
      </c>
      <c r="O399" s="4">
        <f>IFERROR(Table25[[#This Row],[Total Amount bought]]/Table25[[#This Row],[Total number bought]],"")</f>
        <v>241.24000000000004</v>
      </c>
      <c r="P399" s="4">
        <f>IFERROR((Table25[[#This Row],[Average sell price]]-Table25[[#This Row],[Average buy price]])*Table25[[#This Row],[Total Sold number of stocks]],0)</f>
        <v>686.67999999999779</v>
      </c>
      <c r="Q399" s="85">
        <f>SUMIF(Table25[[#All],[Assets]],Table25[[#This Row],[Assets]],Table25[[#All],[Number of stocks]])</f>
        <v>0</v>
      </c>
    </row>
    <row r="400" spans="1:17">
      <c r="A400" t="e" vm="13">
        <v>#VALUE!</v>
      </c>
      <c r="B400" s="2">
        <v>45558</v>
      </c>
      <c r="C400" t="str" cm="1">
        <f t="array" aca="1" ref="C400" ca="1">_FV(A400,"Ticker symbol",TRUE)</f>
        <v>ON</v>
      </c>
      <c r="D400" s="4">
        <v>69.73</v>
      </c>
      <c r="E400" s="50">
        <v>-8</v>
      </c>
      <c r="F400" s="81">
        <f>IF(Table25[[#This Row],[Number of stocks]]&gt;0,Table25[[#This Row],[Number of stocks]],0)</f>
        <v>0</v>
      </c>
      <c r="G400" s="73">
        <f>Table25[[#This Row],[Bought]]*Table25[[#This Row],[Price]]</f>
        <v>0</v>
      </c>
      <c r="H400">
        <f>SUMIF(Table25[[#All],[Assets]],Table25[[#This Row],[Assets]],Table25[[#All],[Bought]])</f>
        <v>326</v>
      </c>
      <c r="I400">
        <f>SUMIF(Table25[[#All],[Assets]],Table25[[#This Row],[Assets]],Table25[[#All],[Bought Amount]])</f>
        <v>19172.809999999998</v>
      </c>
      <c r="J400" s="88">
        <f>IF(Table25[[#This Row],[Number of stocks]]&lt;0,Table25[[#This Row],[Number of stocks]],0)</f>
        <v>-8</v>
      </c>
      <c r="K400" s="5">
        <f>Table25[[#This Row],[Sold]]*Table25[[#This Row],[Price]]</f>
        <v>-557.84</v>
      </c>
      <c r="L400" s="8">
        <f>ABS(SUMIF(Table25[[#All],[Assets]],Table25[[#This Row],[Assets]],Table25[[#All],[Sold]]))</f>
        <v>283</v>
      </c>
      <c r="M400" s="5">
        <f>ABS(SUMIF(Table25[[#All],[Assets]],Table25[[#This Row],[Assets]],Table25[[#All],[Sold Amount]]))</f>
        <v>15700.74</v>
      </c>
      <c r="N400" s="5">
        <f>IFERROR(Table25[[#This Row],[Total sold amount]]/Table25[[#This Row],[Total Sold number of stocks]],"")</f>
        <v>55.47964664310954</v>
      </c>
      <c r="O400" s="4">
        <f>IFERROR(Table25[[#This Row],[Total Amount bought]]/Table25[[#This Row],[Total number bought]],"")</f>
        <v>58.812300613496923</v>
      </c>
      <c r="P400" s="4">
        <f>IFERROR((Table25[[#This Row],[Average sell price]]-Table25[[#This Row],[Average buy price]])*Table25[[#This Row],[Total Sold number of stocks]],0)</f>
        <v>-943.14107361962954</v>
      </c>
      <c r="Q400" s="85">
        <f>SUMIF(Table25[[#All],[Assets]],Table25[[#This Row],[Assets]],Table25[[#All],[Number of stocks]])</f>
        <v>43</v>
      </c>
    </row>
    <row r="401" spans="1:17">
      <c r="A401" t="e" vm="172">
        <v>#VALUE!</v>
      </c>
      <c r="B401" s="2">
        <v>45559</v>
      </c>
      <c r="C401" t="str" cm="1">
        <f t="array" aca="1" ref="C401" ca="1">_FV(A401,"Ticker symbol",TRUE)</f>
        <v>WOLF</v>
      </c>
      <c r="D401" s="4">
        <v>8.43</v>
      </c>
      <c r="E401" s="50">
        <v>40</v>
      </c>
      <c r="F401" s="81">
        <f>IF(Table25[[#This Row],[Number of stocks]]&gt;0,Table25[[#This Row],[Number of stocks]],0)</f>
        <v>40</v>
      </c>
      <c r="G401" s="73">
        <f>Table25[[#This Row],[Bought]]*Table25[[#This Row],[Price]]</f>
        <v>337.2</v>
      </c>
      <c r="H401">
        <f>SUMIF(Table25[[#All],[Assets]],Table25[[#This Row],[Assets]],Table25[[#All],[Bought]])</f>
        <v>900</v>
      </c>
      <c r="I401">
        <f>SUMIF(Table25[[#All],[Assets]],Table25[[#This Row],[Assets]],Table25[[#All],[Bought Amount]])</f>
        <v>3579</v>
      </c>
      <c r="J401" s="88">
        <f>IF(Table25[[#This Row],[Number of stocks]]&lt;0,Table25[[#This Row],[Number of stocks]],0)</f>
        <v>0</v>
      </c>
      <c r="K401" s="5">
        <f>Table25[[#This Row],[Sold]]*Table25[[#This Row],[Price]]</f>
        <v>0</v>
      </c>
      <c r="L401" s="8">
        <f>ABS(SUMIF(Table25[[#All],[Assets]],Table25[[#This Row],[Assets]],Table25[[#All],[Sold]]))</f>
        <v>900</v>
      </c>
      <c r="M401" s="5">
        <f>ABS(SUMIF(Table25[[#All],[Assets]],Table25[[#This Row],[Assets]],Table25[[#All],[Sold Amount]]))</f>
        <v>3724.3</v>
      </c>
      <c r="N401" s="5">
        <f>IFERROR(Table25[[#This Row],[Total sold amount]]/Table25[[#This Row],[Total Sold number of stocks]],"")</f>
        <v>4.1381111111111117</v>
      </c>
      <c r="O401" s="4">
        <f>IFERROR(Table25[[#This Row],[Total Amount bought]]/Table25[[#This Row],[Total number bought]],"")</f>
        <v>3.9766666666666666</v>
      </c>
      <c r="P401" s="4">
        <f>IFERROR((Table25[[#This Row],[Average sell price]]-Table25[[#This Row],[Average buy price]])*Table25[[#This Row],[Total Sold number of stocks]],0)</f>
        <v>145.30000000000064</v>
      </c>
      <c r="Q401" s="85">
        <f>SUMIF(Table25[[#All],[Assets]],Table25[[#This Row],[Assets]],Table25[[#All],[Number of stocks]])</f>
        <v>0</v>
      </c>
    </row>
    <row r="402" spans="1:17">
      <c r="A402" t="e" vm="169">
        <v>#VALUE!</v>
      </c>
      <c r="B402" s="2">
        <v>45559</v>
      </c>
      <c r="C402" t="str" cm="1">
        <f t="array" aca="1" ref="C402" ca="1">_FV(A402,"Ticker symbol",TRUE)</f>
        <v>CVS</v>
      </c>
      <c r="D402" s="4">
        <v>57.63</v>
      </c>
      <c r="E402" s="50">
        <v>-10</v>
      </c>
      <c r="F402" s="81">
        <f>IF(Table25[[#This Row],[Number of stocks]]&gt;0,Table25[[#This Row],[Number of stocks]],0)</f>
        <v>0</v>
      </c>
      <c r="G402" s="73">
        <f>Table25[[#This Row],[Bought]]*Table25[[#This Row],[Price]]</f>
        <v>0</v>
      </c>
      <c r="H402">
        <f>SUMIF(Table25[[#All],[Assets]],Table25[[#This Row],[Assets]],Table25[[#All],[Bought]])</f>
        <v>104</v>
      </c>
      <c r="I402">
        <f>SUMIF(Table25[[#All],[Assets]],Table25[[#This Row],[Assets]],Table25[[#All],[Bought Amount]])</f>
        <v>6111.46</v>
      </c>
      <c r="J402" s="88">
        <f>IF(Table25[[#This Row],[Number of stocks]]&lt;0,Table25[[#This Row],[Number of stocks]],0)</f>
        <v>-10</v>
      </c>
      <c r="K402" s="5">
        <f>Table25[[#This Row],[Sold]]*Table25[[#This Row],[Price]]</f>
        <v>-576.30000000000007</v>
      </c>
      <c r="L402" s="8">
        <f>ABS(SUMIF(Table25[[#All],[Assets]],Table25[[#This Row],[Assets]],Table25[[#All],[Sold]]))</f>
        <v>104</v>
      </c>
      <c r="M402" s="5">
        <f>ABS(SUMIF(Table25[[#All],[Assets]],Table25[[#This Row],[Assets]],Table25[[#All],[Sold Amount]]))</f>
        <v>6244.5899999999992</v>
      </c>
      <c r="N402" s="5">
        <f>IFERROR(Table25[[#This Row],[Total sold amount]]/Table25[[#This Row],[Total Sold number of stocks]],"")</f>
        <v>60.044134615384607</v>
      </c>
      <c r="O402" s="4">
        <f>IFERROR(Table25[[#This Row],[Total Amount bought]]/Table25[[#This Row],[Total number bought]],"")</f>
        <v>58.764038461538462</v>
      </c>
      <c r="P402" s="4">
        <f>IFERROR((Table25[[#This Row],[Average sell price]]-Table25[[#This Row],[Average buy price]])*Table25[[#This Row],[Total Sold number of stocks]],0)</f>
        <v>133.12999999999909</v>
      </c>
      <c r="Q402" s="85">
        <f>SUMIF(Table25[[#All],[Assets]],Table25[[#This Row],[Assets]],Table25[[#All],[Number of stocks]])</f>
        <v>0</v>
      </c>
    </row>
    <row r="403" spans="1:17">
      <c r="A403" t="e" vm="72">
        <v>#VALUE!</v>
      </c>
      <c r="B403" s="2">
        <v>45559</v>
      </c>
      <c r="C403" t="str" cm="1">
        <f t="array" aca="1" ref="C403" ca="1">_FV(A403,"Ticker symbol",TRUE)</f>
        <v>AIRS</v>
      </c>
      <c r="D403" s="4">
        <v>5.77</v>
      </c>
      <c r="E403" s="50">
        <v>100</v>
      </c>
      <c r="F403" s="81">
        <f>IF(Table25[[#This Row],[Number of stocks]]&gt;0,Table25[[#This Row],[Number of stocks]],0)</f>
        <v>100</v>
      </c>
      <c r="G403" s="73">
        <f>Table25[[#This Row],[Bought]]*Table25[[#This Row],[Price]]</f>
        <v>577</v>
      </c>
      <c r="H403">
        <f>SUMIF(Table25[[#All],[Assets]],Table25[[#This Row],[Assets]],Table25[[#All],[Bought]])</f>
        <v>2980</v>
      </c>
      <c r="I403">
        <f>SUMIF(Table25[[#All],[Assets]],Table25[[#This Row],[Assets]],Table25[[#All],[Bought Amount]])</f>
        <v>14267.900000000001</v>
      </c>
      <c r="J403" s="88">
        <f>IF(Table25[[#This Row],[Number of stocks]]&lt;0,Table25[[#This Row],[Number of stocks]],0)</f>
        <v>0</v>
      </c>
      <c r="K403" s="5">
        <f>Table25[[#This Row],[Sold]]*Table25[[#This Row],[Price]]</f>
        <v>0</v>
      </c>
      <c r="L403" s="8">
        <f>ABS(SUMIF(Table25[[#All],[Assets]],Table25[[#This Row],[Assets]],Table25[[#All],[Sold]]))</f>
        <v>2360</v>
      </c>
      <c r="M403" s="5">
        <f>ABS(SUMIF(Table25[[#All],[Assets]],Table25[[#This Row],[Assets]],Table25[[#All],[Sold Amount]]))</f>
        <v>7796.6</v>
      </c>
      <c r="N403" s="5">
        <f>IFERROR(Table25[[#This Row],[Total sold amount]]/Table25[[#This Row],[Total Sold number of stocks]],"")</f>
        <v>3.3036440677966104</v>
      </c>
      <c r="O403" s="4">
        <f>IFERROR(Table25[[#This Row],[Total Amount bought]]/Table25[[#This Row],[Total number bought]],"")</f>
        <v>4.7878859060402688</v>
      </c>
      <c r="P403" s="4">
        <f>IFERROR((Table25[[#This Row],[Average sell price]]-Table25[[#This Row],[Average buy price]])*Table25[[#This Row],[Total Sold number of stocks]],0)</f>
        <v>-3502.8107382550338</v>
      </c>
      <c r="Q403" s="85">
        <f>SUMIF(Table25[[#All],[Assets]],Table25[[#This Row],[Assets]],Table25[[#All],[Number of stocks]])</f>
        <v>620</v>
      </c>
    </row>
    <row r="404" spans="1:17">
      <c r="A404" t="e" vm="478">
        <v>#VALUE!</v>
      </c>
      <c r="B404" s="2">
        <v>45559</v>
      </c>
      <c r="C404" t="str" cm="1">
        <f t="array" aca="1" ref="C404" ca="1">_FV(A404,"Ticker symbol",TRUE)</f>
        <v>TM</v>
      </c>
      <c r="D404" s="4">
        <v>184.12</v>
      </c>
      <c r="E404" s="50">
        <v>-1</v>
      </c>
      <c r="F404" s="81">
        <f>IF(Table25[[#This Row],[Number of stocks]]&gt;0,Table25[[#This Row],[Number of stocks]],0)</f>
        <v>0</v>
      </c>
      <c r="G404" s="73">
        <f>Table25[[#This Row],[Bought]]*Table25[[#This Row],[Price]]</f>
        <v>0</v>
      </c>
      <c r="H404">
        <f>SUMIF(Table25[[#All],[Assets]],Table25[[#This Row],[Assets]],Table25[[#All],[Bought]])</f>
        <v>7</v>
      </c>
      <c r="I404">
        <f>SUMIF(Table25[[#All],[Assets]],Table25[[#This Row],[Assets]],Table25[[#All],[Bought Amount]])</f>
        <v>1530.22</v>
      </c>
      <c r="J404" s="88">
        <f>IF(Table25[[#This Row],[Number of stocks]]&lt;0,Table25[[#This Row],[Number of stocks]],0)</f>
        <v>-1</v>
      </c>
      <c r="K404" s="5">
        <f>Table25[[#This Row],[Sold]]*Table25[[#This Row],[Price]]</f>
        <v>-184.12</v>
      </c>
      <c r="L404" s="8">
        <f>ABS(SUMIF(Table25[[#All],[Assets]],Table25[[#This Row],[Assets]],Table25[[#All],[Sold]]))</f>
        <v>7</v>
      </c>
      <c r="M404" s="5">
        <f>ABS(SUMIF(Table25[[#All],[Assets]],Table25[[#This Row],[Assets]],Table25[[#All],[Sold Amount]]))</f>
        <v>1262.1199999999999</v>
      </c>
      <c r="N404" s="5">
        <f>IFERROR(Table25[[#This Row],[Total sold amount]]/Table25[[#This Row],[Total Sold number of stocks]],"")</f>
        <v>180.30285714285714</v>
      </c>
      <c r="O404" s="4">
        <f>IFERROR(Table25[[#This Row],[Total Amount bought]]/Table25[[#This Row],[Total number bought]],"")</f>
        <v>218.60285714285715</v>
      </c>
      <c r="P404" s="4">
        <f>IFERROR((Table25[[#This Row],[Average sell price]]-Table25[[#This Row],[Average buy price]])*Table25[[#This Row],[Total Sold number of stocks]],0)</f>
        <v>-268.10000000000008</v>
      </c>
      <c r="Q404" s="85">
        <f>SUMIF(Table25[[#All],[Assets]],Table25[[#This Row],[Assets]],Table25[[#All],[Number of stocks]])</f>
        <v>0</v>
      </c>
    </row>
    <row r="405" spans="1:17">
      <c r="A405" t="e" vm="13">
        <v>#VALUE!</v>
      </c>
      <c r="B405" s="2">
        <v>45559</v>
      </c>
      <c r="C405" t="str" cm="1">
        <f t="array" aca="1" ref="C405" ca="1">_FV(A405,"Ticker symbol",TRUE)</f>
        <v>ON</v>
      </c>
      <c r="D405" s="4">
        <v>71.84</v>
      </c>
      <c r="E405" s="50">
        <v>-6</v>
      </c>
      <c r="F405" s="81">
        <f>IF(Table25[[#This Row],[Number of stocks]]&gt;0,Table25[[#This Row],[Number of stocks]],0)</f>
        <v>0</v>
      </c>
      <c r="G405" s="73">
        <f>Table25[[#This Row],[Bought]]*Table25[[#This Row],[Price]]</f>
        <v>0</v>
      </c>
      <c r="H405">
        <f>SUMIF(Table25[[#All],[Assets]],Table25[[#This Row],[Assets]],Table25[[#All],[Bought]])</f>
        <v>326</v>
      </c>
      <c r="I405">
        <f>SUMIF(Table25[[#All],[Assets]],Table25[[#This Row],[Assets]],Table25[[#All],[Bought Amount]])</f>
        <v>19172.809999999998</v>
      </c>
      <c r="J405" s="88">
        <f>IF(Table25[[#This Row],[Number of stocks]]&lt;0,Table25[[#This Row],[Number of stocks]],0)</f>
        <v>-6</v>
      </c>
      <c r="K405" s="5">
        <f>Table25[[#This Row],[Sold]]*Table25[[#This Row],[Price]]</f>
        <v>-431.04</v>
      </c>
      <c r="L405" s="8">
        <f>ABS(SUMIF(Table25[[#All],[Assets]],Table25[[#This Row],[Assets]],Table25[[#All],[Sold]]))</f>
        <v>283</v>
      </c>
      <c r="M405" s="5">
        <f>ABS(SUMIF(Table25[[#All],[Assets]],Table25[[#This Row],[Assets]],Table25[[#All],[Sold Amount]]))</f>
        <v>15700.74</v>
      </c>
      <c r="N405" s="5">
        <f>IFERROR(Table25[[#This Row],[Total sold amount]]/Table25[[#This Row],[Total Sold number of stocks]],"")</f>
        <v>55.47964664310954</v>
      </c>
      <c r="O405" s="4">
        <f>IFERROR(Table25[[#This Row],[Total Amount bought]]/Table25[[#This Row],[Total number bought]],"")</f>
        <v>58.812300613496923</v>
      </c>
      <c r="P405" s="4">
        <f>IFERROR((Table25[[#This Row],[Average sell price]]-Table25[[#This Row],[Average buy price]])*Table25[[#This Row],[Total Sold number of stocks]],0)</f>
        <v>-943.14107361962954</v>
      </c>
      <c r="Q405" s="85">
        <f>SUMIF(Table25[[#All],[Assets]],Table25[[#This Row],[Assets]],Table25[[#All],[Number of stocks]])</f>
        <v>43</v>
      </c>
    </row>
    <row r="406" spans="1:17">
      <c r="A406" t="e" vm="22">
        <v>#VALUE!</v>
      </c>
      <c r="B406" s="2">
        <v>45559</v>
      </c>
      <c r="C406" t="str" cm="1">
        <f t="array" aca="1" ref="C406" ca="1">_FV(A406,"Ticker symbol",TRUE)</f>
        <v>RMBS</v>
      </c>
      <c r="D406" s="4">
        <v>39.619999999999997</v>
      </c>
      <c r="E406" s="50">
        <v>15</v>
      </c>
      <c r="F406" s="81">
        <f>IF(Table25[[#This Row],[Number of stocks]]&gt;0,Table25[[#This Row],[Number of stocks]],0)</f>
        <v>15</v>
      </c>
      <c r="G406" s="73">
        <f>Table25[[#This Row],[Bought]]*Table25[[#This Row],[Price]]</f>
        <v>594.29999999999995</v>
      </c>
      <c r="H406">
        <f>SUMIF(Table25[[#All],[Assets]],Table25[[#This Row],[Assets]],Table25[[#All],[Bought]])</f>
        <v>36</v>
      </c>
      <c r="I406">
        <f>SUMIF(Table25[[#All],[Assets]],Table25[[#This Row],[Assets]],Table25[[#All],[Bought Amount]])</f>
        <v>1746.8</v>
      </c>
      <c r="J406" s="88">
        <f>IF(Table25[[#This Row],[Number of stocks]]&lt;0,Table25[[#This Row],[Number of stocks]],0)</f>
        <v>0</v>
      </c>
      <c r="K406" s="5">
        <f>Table25[[#This Row],[Sold]]*Table25[[#This Row],[Price]]</f>
        <v>0</v>
      </c>
      <c r="L406" s="8">
        <f>ABS(SUMIF(Table25[[#All],[Assets]],Table25[[#This Row],[Assets]],Table25[[#All],[Sold]]))</f>
        <v>25</v>
      </c>
      <c r="M406" s="5">
        <f>ABS(SUMIF(Table25[[#All],[Assets]],Table25[[#This Row],[Assets]],Table25[[#All],[Sold Amount]]))</f>
        <v>1340.1</v>
      </c>
      <c r="N406" s="5">
        <f>IFERROR(Table25[[#This Row],[Total sold amount]]/Table25[[#This Row],[Total Sold number of stocks]],"")</f>
        <v>53.603999999999999</v>
      </c>
      <c r="O406" s="4">
        <f>IFERROR(Table25[[#This Row],[Total Amount bought]]/Table25[[#This Row],[Total number bought]],"")</f>
        <v>48.522222222222219</v>
      </c>
      <c r="P406" s="4">
        <f>IFERROR((Table25[[#This Row],[Average sell price]]-Table25[[#This Row],[Average buy price]])*Table25[[#This Row],[Total Sold number of stocks]],0)</f>
        <v>127.04444444444451</v>
      </c>
      <c r="Q406" s="85">
        <f>SUMIF(Table25[[#All],[Assets]],Table25[[#This Row],[Assets]],Table25[[#All],[Number of stocks]])</f>
        <v>11</v>
      </c>
    </row>
    <row r="407" spans="1:17">
      <c r="A407" t="e" vm="32">
        <v>#VALUE!</v>
      </c>
      <c r="B407" s="2">
        <v>45559</v>
      </c>
      <c r="C407" t="str" cm="1">
        <f t="array" aca="1" ref="C407" ca="1">_FV(A407,"Ticker symbol",TRUE)</f>
        <v>MU</v>
      </c>
      <c r="D407" s="4">
        <v>94.27</v>
      </c>
      <c r="E407" s="50">
        <v>2</v>
      </c>
      <c r="F407" s="81">
        <f>IF(Table25[[#This Row],[Number of stocks]]&gt;0,Table25[[#This Row],[Number of stocks]],0)</f>
        <v>2</v>
      </c>
      <c r="G407" s="73">
        <f>Table25[[#This Row],[Bought]]*Table25[[#This Row],[Price]]</f>
        <v>188.54</v>
      </c>
      <c r="H407">
        <f>SUMIF(Table25[[#All],[Assets]],Table25[[#This Row],[Assets]],Table25[[#All],[Bought]])</f>
        <v>59</v>
      </c>
      <c r="I407">
        <f>SUMIF(Table25[[#All],[Assets]],Table25[[#This Row],[Assets]],Table25[[#All],[Bought Amount]])</f>
        <v>6964.04</v>
      </c>
      <c r="J407" s="88">
        <f>IF(Table25[[#This Row],[Number of stocks]]&lt;0,Table25[[#This Row],[Number of stocks]],0)</f>
        <v>0</v>
      </c>
      <c r="K407" s="5">
        <f>Table25[[#This Row],[Sold]]*Table25[[#This Row],[Price]]</f>
        <v>0</v>
      </c>
      <c r="L407" s="8">
        <f>ABS(SUMIF(Table25[[#All],[Assets]],Table25[[#This Row],[Assets]],Table25[[#All],[Sold]]))</f>
        <v>58</v>
      </c>
      <c r="M407" s="5">
        <f>ABS(SUMIF(Table25[[#All],[Assets]],Table25[[#This Row],[Assets]],Table25[[#All],[Sold Amount]]))</f>
        <v>6974.51</v>
      </c>
      <c r="N407" s="5">
        <f>IFERROR(Table25[[#This Row],[Total sold amount]]/Table25[[#This Row],[Total Sold number of stocks]],"")</f>
        <v>120.25017241379311</v>
      </c>
      <c r="O407" s="4">
        <f>IFERROR(Table25[[#This Row],[Total Amount bought]]/Table25[[#This Row],[Total number bought]],"")</f>
        <v>118.03457627118644</v>
      </c>
      <c r="P407" s="4">
        <f>IFERROR((Table25[[#This Row],[Average sell price]]-Table25[[#This Row],[Average buy price]])*Table25[[#This Row],[Total Sold number of stocks]],0)</f>
        <v>128.50457627118692</v>
      </c>
      <c r="Q407" s="85">
        <f>SUMIF(Table25[[#All],[Assets]],Table25[[#This Row],[Assets]],Table25[[#All],[Number of stocks]])</f>
        <v>1</v>
      </c>
    </row>
    <row r="408" spans="1:17">
      <c r="A408" t="e" vm="172">
        <v>#VALUE!</v>
      </c>
      <c r="B408" s="2">
        <v>45559</v>
      </c>
      <c r="C408" t="str" cm="1">
        <f t="array" aca="1" ref="C408" ca="1">_FV(A408,"Ticker symbol",TRUE)</f>
        <v>WOLF</v>
      </c>
      <c r="D408" s="4">
        <v>8.35</v>
      </c>
      <c r="E408" s="50">
        <v>60</v>
      </c>
      <c r="F408" s="81">
        <f>IF(Table25[[#This Row],[Number of stocks]]&gt;0,Table25[[#This Row],[Number of stocks]],0)</f>
        <v>60</v>
      </c>
      <c r="G408" s="73">
        <f>Table25[[#This Row],[Bought]]*Table25[[#This Row],[Price]]</f>
        <v>501</v>
      </c>
      <c r="H408">
        <f>SUMIF(Table25[[#All],[Assets]],Table25[[#This Row],[Assets]],Table25[[#All],[Bought]])</f>
        <v>900</v>
      </c>
      <c r="I408">
        <f>SUMIF(Table25[[#All],[Assets]],Table25[[#This Row],[Assets]],Table25[[#All],[Bought Amount]])</f>
        <v>3579</v>
      </c>
      <c r="J408" s="88">
        <f>IF(Table25[[#This Row],[Number of stocks]]&lt;0,Table25[[#This Row],[Number of stocks]],0)</f>
        <v>0</v>
      </c>
      <c r="K408" s="5">
        <f>Table25[[#This Row],[Sold]]*Table25[[#This Row],[Price]]</f>
        <v>0</v>
      </c>
      <c r="L408" s="8">
        <f>ABS(SUMIF(Table25[[#All],[Assets]],Table25[[#This Row],[Assets]],Table25[[#All],[Sold]]))</f>
        <v>900</v>
      </c>
      <c r="M408" s="5">
        <f>ABS(SUMIF(Table25[[#All],[Assets]],Table25[[#This Row],[Assets]],Table25[[#All],[Sold Amount]]))</f>
        <v>3724.3</v>
      </c>
      <c r="N408" s="5">
        <f>IFERROR(Table25[[#This Row],[Total sold amount]]/Table25[[#This Row],[Total Sold number of stocks]],"")</f>
        <v>4.1381111111111117</v>
      </c>
      <c r="O408" s="4">
        <f>IFERROR(Table25[[#This Row],[Total Amount bought]]/Table25[[#This Row],[Total number bought]],"")</f>
        <v>3.9766666666666666</v>
      </c>
      <c r="P408" s="4">
        <f>IFERROR((Table25[[#This Row],[Average sell price]]-Table25[[#This Row],[Average buy price]])*Table25[[#This Row],[Total Sold number of stocks]],0)</f>
        <v>145.30000000000064</v>
      </c>
      <c r="Q408" s="85">
        <f>SUMIF(Table25[[#All],[Assets]],Table25[[#This Row],[Assets]],Table25[[#All],[Number of stocks]])</f>
        <v>0</v>
      </c>
    </row>
    <row r="409" spans="1:17">
      <c r="A409" t="e" vm="32">
        <v>#VALUE!</v>
      </c>
      <c r="B409" s="2">
        <v>45561</v>
      </c>
      <c r="C409" t="str" cm="1">
        <f t="array" aca="1" ref="C409" ca="1">_FV(A409,"Ticker symbol",TRUE)</f>
        <v>MU</v>
      </c>
      <c r="D409" s="4">
        <v>110.52</v>
      </c>
      <c r="E409" s="50">
        <v>8</v>
      </c>
      <c r="F409" s="81">
        <f>IF(Table25[[#This Row],[Number of stocks]]&gt;0,Table25[[#This Row],[Number of stocks]],0)</f>
        <v>8</v>
      </c>
      <c r="G409" s="73">
        <f>Table25[[#This Row],[Bought]]*Table25[[#This Row],[Price]]</f>
        <v>884.16</v>
      </c>
      <c r="H409">
        <f>SUMIF(Table25[[#All],[Assets]],Table25[[#This Row],[Assets]],Table25[[#All],[Bought]])</f>
        <v>59</v>
      </c>
      <c r="I409">
        <f>SUMIF(Table25[[#All],[Assets]],Table25[[#This Row],[Assets]],Table25[[#All],[Bought Amount]])</f>
        <v>6964.04</v>
      </c>
      <c r="J409" s="88">
        <f>IF(Table25[[#This Row],[Number of stocks]]&lt;0,Table25[[#This Row],[Number of stocks]],0)</f>
        <v>0</v>
      </c>
      <c r="K409" s="5">
        <f>Table25[[#This Row],[Sold]]*Table25[[#This Row],[Price]]</f>
        <v>0</v>
      </c>
      <c r="L409" s="8">
        <f>ABS(SUMIF(Table25[[#All],[Assets]],Table25[[#This Row],[Assets]],Table25[[#All],[Sold]]))</f>
        <v>58</v>
      </c>
      <c r="M409" s="5">
        <f>ABS(SUMIF(Table25[[#All],[Assets]],Table25[[#This Row],[Assets]],Table25[[#All],[Sold Amount]]))</f>
        <v>6974.51</v>
      </c>
      <c r="N409" s="5">
        <f>IFERROR(Table25[[#This Row],[Total sold amount]]/Table25[[#This Row],[Total Sold number of stocks]],"")</f>
        <v>120.25017241379311</v>
      </c>
      <c r="O409" s="4">
        <f>IFERROR(Table25[[#This Row],[Total Amount bought]]/Table25[[#This Row],[Total number bought]],"")</f>
        <v>118.03457627118644</v>
      </c>
      <c r="P409" s="4">
        <f>IFERROR((Table25[[#This Row],[Average sell price]]-Table25[[#This Row],[Average buy price]])*Table25[[#This Row],[Total Sold number of stocks]],0)</f>
        <v>128.50457627118692</v>
      </c>
      <c r="Q409" s="85">
        <f>SUMIF(Table25[[#All],[Assets]],Table25[[#This Row],[Assets]],Table25[[#All],[Number of stocks]])</f>
        <v>1</v>
      </c>
    </row>
    <row r="410" spans="1:17">
      <c r="A410" t="e" vm="168">
        <v>#VALUE!</v>
      </c>
      <c r="B410" s="2">
        <v>45562</v>
      </c>
      <c r="C410" t="str" cm="1">
        <f t="array" aca="1" ref="C410" ca="1">_FV(A410,"Ticker symbol",TRUE)</f>
        <v>PDD</v>
      </c>
      <c r="D410" s="4">
        <v>135.78</v>
      </c>
      <c r="E410" s="50">
        <v>-5</v>
      </c>
      <c r="F410" s="81">
        <f>IF(Table25[[#This Row],[Number of stocks]]&gt;0,Table25[[#This Row],[Number of stocks]],0)</f>
        <v>0</v>
      </c>
      <c r="G410" s="73">
        <f>Table25[[#This Row],[Bought]]*Table25[[#This Row],[Price]]</f>
        <v>0</v>
      </c>
      <c r="H410">
        <f>SUMIF(Table25[[#All],[Assets]],Table25[[#This Row],[Assets]],Table25[[#All],[Bought]])</f>
        <v>5</v>
      </c>
      <c r="I410">
        <f>SUMIF(Table25[[#All],[Assets]],Table25[[#This Row],[Assets]],Table25[[#All],[Bought Amount]])</f>
        <v>460.25</v>
      </c>
      <c r="J410" s="88">
        <f>IF(Table25[[#This Row],[Number of stocks]]&lt;0,Table25[[#This Row],[Number of stocks]],0)</f>
        <v>-5</v>
      </c>
      <c r="K410" s="5">
        <f>Table25[[#This Row],[Sold]]*Table25[[#This Row],[Price]]</f>
        <v>-678.9</v>
      </c>
      <c r="L410" s="8">
        <f>ABS(SUMIF(Table25[[#All],[Assets]],Table25[[#This Row],[Assets]],Table25[[#All],[Sold]]))</f>
        <v>5</v>
      </c>
      <c r="M410" s="5">
        <f>ABS(SUMIF(Table25[[#All],[Assets]],Table25[[#This Row],[Assets]],Table25[[#All],[Sold Amount]]))</f>
        <v>678.9</v>
      </c>
      <c r="N410" s="5">
        <f>IFERROR(Table25[[#This Row],[Total sold amount]]/Table25[[#This Row],[Total Sold number of stocks]],"")</f>
        <v>135.78</v>
      </c>
      <c r="O410" s="4">
        <f>IFERROR(Table25[[#This Row],[Total Amount bought]]/Table25[[#This Row],[Total number bought]],"")</f>
        <v>92.05</v>
      </c>
      <c r="P410" s="4">
        <f>IFERROR((Table25[[#This Row],[Average sell price]]-Table25[[#This Row],[Average buy price]])*Table25[[#This Row],[Total Sold number of stocks]],0)</f>
        <v>218.65000000000003</v>
      </c>
      <c r="Q410" s="85">
        <f>SUMIF(Table25[[#All],[Assets]],Table25[[#This Row],[Assets]],Table25[[#All],[Number of stocks]])</f>
        <v>0</v>
      </c>
    </row>
    <row r="411" spans="1:17">
      <c r="A411" t="e" vm="64">
        <v>#VALUE!</v>
      </c>
      <c r="B411" s="2">
        <v>45561</v>
      </c>
      <c r="C411" t="str" cm="1">
        <f t="array" aca="1" ref="C411" ca="1">_FV(A411,"Ticker symbol",TRUE)</f>
        <v>LULU</v>
      </c>
      <c r="D411" s="4">
        <v>266.95</v>
      </c>
      <c r="E411" s="50">
        <v>-3</v>
      </c>
      <c r="F411" s="81">
        <f>IF(Table25[[#This Row],[Number of stocks]]&gt;0,Table25[[#This Row],[Number of stocks]],0)</f>
        <v>0</v>
      </c>
      <c r="G411" s="73">
        <f>Table25[[#This Row],[Bought]]*Table25[[#This Row],[Price]]</f>
        <v>0</v>
      </c>
      <c r="H411">
        <f>SUMIF(Table25[[#All],[Assets]],Table25[[#This Row],[Assets]],Table25[[#All],[Bought]])</f>
        <v>26</v>
      </c>
      <c r="I411">
        <f>SUMIF(Table25[[#All],[Assets]],Table25[[#This Row],[Assets]],Table25[[#All],[Bought Amount]])</f>
        <v>6272.2400000000007</v>
      </c>
      <c r="J411" s="88">
        <f>IF(Table25[[#This Row],[Number of stocks]]&lt;0,Table25[[#This Row],[Number of stocks]],0)</f>
        <v>-3</v>
      </c>
      <c r="K411" s="5">
        <f>Table25[[#This Row],[Sold]]*Table25[[#This Row],[Price]]</f>
        <v>-800.84999999999991</v>
      </c>
      <c r="L411" s="8">
        <f>ABS(SUMIF(Table25[[#All],[Assets]],Table25[[#This Row],[Assets]],Table25[[#All],[Sold]]))</f>
        <v>26</v>
      </c>
      <c r="M411" s="5">
        <f>ABS(SUMIF(Table25[[#All],[Assets]],Table25[[#This Row],[Assets]],Table25[[#All],[Sold Amount]]))</f>
        <v>6958.9199999999992</v>
      </c>
      <c r="N411" s="5">
        <f>IFERROR(Table25[[#This Row],[Total sold amount]]/Table25[[#This Row],[Total Sold number of stocks]],"")</f>
        <v>267.65076923076919</v>
      </c>
      <c r="O411" s="4">
        <f>IFERROR(Table25[[#This Row],[Total Amount bought]]/Table25[[#This Row],[Total number bought]],"")</f>
        <v>241.24000000000004</v>
      </c>
      <c r="P411" s="4">
        <f>IFERROR((Table25[[#This Row],[Average sell price]]-Table25[[#This Row],[Average buy price]])*Table25[[#This Row],[Total Sold number of stocks]],0)</f>
        <v>686.67999999999779</v>
      </c>
      <c r="Q411" s="85">
        <f>SUMIF(Table25[[#All],[Assets]],Table25[[#This Row],[Assets]],Table25[[#All],[Number of stocks]])</f>
        <v>0</v>
      </c>
    </row>
    <row r="412" spans="1:17">
      <c r="A412" t="e" vm="456">
        <v>#VALUE!</v>
      </c>
      <c r="B412" s="2">
        <v>45565</v>
      </c>
      <c r="C412" t="str" cm="1">
        <f t="array" aca="1" ref="C412" ca="1">_FV(A412,"Ticker symbol",TRUE)</f>
        <v>BIL</v>
      </c>
      <c r="D412" s="4">
        <v>91.82</v>
      </c>
      <c r="E412" s="50">
        <v>11</v>
      </c>
      <c r="F412" s="81">
        <f>IF(Table25[[#This Row],[Number of stocks]]&gt;0,Table25[[#This Row],[Number of stocks]],0)</f>
        <v>11</v>
      </c>
      <c r="G412" s="73">
        <f>Table25[[#This Row],[Bought]]*Table25[[#This Row],[Price]]</f>
        <v>1010.02</v>
      </c>
      <c r="H412">
        <f>SUMIF(Table25[[#All],[Assets]],Table25[[#This Row],[Assets]],Table25[[#All],[Bought]])</f>
        <v>419</v>
      </c>
      <c r="I412">
        <f>SUMIF(Table25[[#All],[Assets]],Table25[[#This Row],[Assets]],Table25[[#All],[Bought Amount]])</f>
        <v>38555.520000000004</v>
      </c>
      <c r="J412" s="88">
        <f>IF(Table25[[#This Row],[Number of stocks]]&lt;0,Table25[[#This Row],[Number of stocks]],0)</f>
        <v>0</v>
      </c>
      <c r="K412" s="5">
        <f>Table25[[#This Row],[Sold]]*Table25[[#This Row],[Price]]</f>
        <v>0</v>
      </c>
      <c r="L412" s="8">
        <f>ABS(SUMIF(Table25[[#All],[Assets]],Table25[[#This Row],[Assets]],Table25[[#All],[Sold]]))</f>
        <v>419</v>
      </c>
      <c r="M412" s="5">
        <f>ABS(SUMIF(Table25[[#All],[Assets]],Table25[[#This Row],[Assets]],Table25[[#All],[Sold Amount]]))</f>
        <v>38372</v>
      </c>
      <c r="N412" s="5">
        <f>IFERROR(Table25[[#This Row],[Total sold amount]]/Table25[[#This Row],[Total Sold number of stocks]],"")</f>
        <v>91.579952267303099</v>
      </c>
      <c r="O412" s="4">
        <f>IFERROR(Table25[[#This Row],[Total Amount bought]]/Table25[[#This Row],[Total number bought]],"")</f>
        <v>92.017947494033422</v>
      </c>
      <c r="P412" s="4">
        <f>IFERROR((Table25[[#This Row],[Average sell price]]-Table25[[#This Row],[Average buy price]])*Table25[[#This Row],[Total Sold number of stocks]],0)</f>
        <v>-183.5200000000051</v>
      </c>
      <c r="Q412" s="85">
        <f>SUMIF(Table25[[#All],[Assets]],Table25[[#This Row],[Assets]],Table25[[#All],[Number of stocks]])</f>
        <v>0</v>
      </c>
    </row>
    <row r="413" spans="1:17">
      <c r="A413" t="e" vm="100">
        <v>#VALUE!</v>
      </c>
      <c r="B413" s="2">
        <v>45567</v>
      </c>
      <c r="C413" t="str" cm="1">
        <f t="array" aca="1" ref="C413" ca="1">_FV(A413,"Ticker symbol",TRUE)</f>
        <v>FNV</v>
      </c>
      <c r="D413" s="4">
        <v>124.27</v>
      </c>
      <c r="E413" s="50">
        <v>15</v>
      </c>
      <c r="F413" s="81">
        <f>IF(Table25[[#This Row],[Number of stocks]]&gt;0,Table25[[#This Row],[Number of stocks]],0)</f>
        <v>15</v>
      </c>
      <c r="G413" s="73">
        <f>Table25[[#This Row],[Bought]]*Table25[[#This Row],[Price]]</f>
        <v>1864.05</v>
      </c>
      <c r="H413">
        <f>SUMIF(Table25[[#All],[Assets]],Table25[[#This Row],[Assets]],Table25[[#All],[Bought]])</f>
        <v>80</v>
      </c>
      <c r="I413">
        <f>SUMIF(Table25[[#All],[Assets]],Table25[[#This Row],[Assets]],Table25[[#All],[Bought Amount]])</f>
        <v>10074.099999999999</v>
      </c>
      <c r="J413" s="88">
        <f>IF(Table25[[#This Row],[Number of stocks]]&lt;0,Table25[[#This Row],[Number of stocks]],0)</f>
        <v>0</v>
      </c>
      <c r="K413" s="5">
        <f>Table25[[#This Row],[Sold]]*Table25[[#This Row],[Price]]</f>
        <v>0</v>
      </c>
      <c r="L413" s="8">
        <f>ABS(SUMIF(Table25[[#All],[Assets]],Table25[[#This Row],[Assets]],Table25[[#All],[Sold]]))</f>
        <v>80</v>
      </c>
      <c r="M413" s="5">
        <f>ABS(SUMIF(Table25[[#All],[Assets]],Table25[[#This Row],[Assets]],Table25[[#All],[Sold Amount]]))</f>
        <v>9798.76</v>
      </c>
      <c r="N413" s="5">
        <f>IFERROR(Table25[[#This Row],[Total sold amount]]/Table25[[#This Row],[Total Sold number of stocks]],"")</f>
        <v>122.4845</v>
      </c>
      <c r="O413" s="4">
        <f>IFERROR(Table25[[#This Row],[Total Amount bought]]/Table25[[#This Row],[Total number bought]],"")</f>
        <v>125.92624999999998</v>
      </c>
      <c r="P413" s="4">
        <f>IFERROR((Table25[[#This Row],[Average sell price]]-Table25[[#This Row],[Average buy price]])*Table25[[#This Row],[Total Sold number of stocks]],0)</f>
        <v>-275.33999999999878</v>
      </c>
      <c r="Q413" s="85">
        <f>SUMIF(Table25[[#All],[Assets]],Table25[[#This Row],[Assets]],Table25[[#All],[Number of stocks]])</f>
        <v>0</v>
      </c>
    </row>
    <row r="414" spans="1:17">
      <c r="A414" t="e" vm="472">
        <v>#VALUE!</v>
      </c>
      <c r="B414" s="2">
        <v>45566</v>
      </c>
      <c r="C414" t="str" cm="1">
        <f t="array" aca="1" ref="C414" ca="1">_FV(A414,"Ticker symbol",TRUE)</f>
        <v>SRRK</v>
      </c>
      <c r="D414" s="4">
        <v>7.6</v>
      </c>
      <c r="E414" s="50">
        <v>-100</v>
      </c>
      <c r="F414" s="81">
        <f>IF(Table25[[#This Row],[Number of stocks]]&gt;0,Table25[[#This Row],[Number of stocks]],0)</f>
        <v>0</v>
      </c>
      <c r="G414" s="73">
        <f>Table25[[#This Row],[Bought]]*Table25[[#This Row],[Price]]</f>
        <v>0</v>
      </c>
      <c r="H414">
        <f>SUMIF(Table25[[#All],[Assets]],Table25[[#This Row],[Assets]],Table25[[#All],[Bought]])</f>
        <v>100</v>
      </c>
      <c r="I414">
        <f>SUMIF(Table25[[#All],[Assets]],Table25[[#This Row],[Assets]],Table25[[#All],[Bought Amount]])</f>
        <v>930.00000000000011</v>
      </c>
      <c r="J414" s="88">
        <f>IF(Table25[[#This Row],[Number of stocks]]&lt;0,Table25[[#This Row],[Number of stocks]],0)</f>
        <v>-100</v>
      </c>
      <c r="K414" s="5">
        <f>Table25[[#This Row],[Sold]]*Table25[[#This Row],[Price]]</f>
        <v>-760</v>
      </c>
      <c r="L414" s="8">
        <f>ABS(SUMIF(Table25[[#All],[Assets]],Table25[[#This Row],[Assets]],Table25[[#All],[Sold]]))</f>
        <v>100</v>
      </c>
      <c r="M414" s="5">
        <f>ABS(SUMIF(Table25[[#All],[Assets]],Table25[[#This Row],[Assets]],Table25[[#All],[Sold Amount]]))</f>
        <v>760</v>
      </c>
      <c r="N414" s="5">
        <f>IFERROR(Table25[[#This Row],[Total sold amount]]/Table25[[#This Row],[Total Sold number of stocks]],"")</f>
        <v>7.6</v>
      </c>
      <c r="O414" s="4">
        <f>IFERROR(Table25[[#This Row],[Total Amount bought]]/Table25[[#This Row],[Total number bought]],"")</f>
        <v>9.3000000000000007</v>
      </c>
      <c r="P414" s="4">
        <f>IFERROR((Table25[[#This Row],[Average sell price]]-Table25[[#This Row],[Average buy price]])*Table25[[#This Row],[Total Sold number of stocks]],0)</f>
        <v>-170.00000000000011</v>
      </c>
      <c r="Q414" s="85">
        <f>SUMIF(Table25[[#All],[Assets]],Table25[[#This Row],[Assets]],Table25[[#All],[Number of stocks]])</f>
        <v>0</v>
      </c>
    </row>
    <row r="415" spans="1:17">
      <c r="A415" t="e" vm="72">
        <v>#VALUE!</v>
      </c>
      <c r="B415" s="2">
        <v>45566</v>
      </c>
      <c r="C415" t="str" cm="1">
        <f t="array" aca="1" ref="C415" ca="1">_FV(A415,"Ticker symbol",TRUE)</f>
        <v>AIRS</v>
      </c>
      <c r="D415" s="4">
        <v>4.9000000000000004</v>
      </c>
      <c r="E415" s="50">
        <v>-100</v>
      </c>
      <c r="F415" s="81">
        <f>IF(Table25[[#This Row],[Number of stocks]]&gt;0,Table25[[#This Row],[Number of stocks]],0)</f>
        <v>0</v>
      </c>
      <c r="G415" s="73">
        <f>Table25[[#This Row],[Bought]]*Table25[[#This Row],[Price]]</f>
        <v>0</v>
      </c>
      <c r="H415">
        <f>SUMIF(Table25[[#All],[Assets]],Table25[[#This Row],[Assets]],Table25[[#All],[Bought]])</f>
        <v>2980</v>
      </c>
      <c r="I415">
        <f>SUMIF(Table25[[#All],[Assets]],Table25[[#This Row],[Assets]],Table25[[#All],[Bought Amount]])</f>
        <v>14267.900000000001</v>
      </c>
      <c r="J415" s="88">
        <f>IF(Table25[[#This Row],[Number of stocks]]&lt;0,Table25[[#This Row],[Number of stocks]],0)</f>
        <v>-100</v>
      </c>
      <c r="K415" s="5">
        <f>Table25[[#This Row],[Sold]]*Table25[[#This Row],[Price]]</f>
        <v>-490.00000000000006</v>
      </c>
      <c r="L415" s="8">
        <f>ABS(SUMIF(Table25[[#All],[Assets]],Table25[[#This Row],[Assets]],Table25[[#All],[Sold]]))</f>
        <v>2360</v>
      </c>
      <c r="M415" s="5">
        <f>ABS(SUMIF(Table25[[#All],[Assets]],Table25[[#This Row],[Assets]],Table25[[#All],[Sold Amount]]))</f>
        <v>7796.6</v>
      </c>
      <c r="N415" s="5">
        <f>IFERROR(Table25[[#This Row],[Total sold amount]]/Table25[[#This Row],[Total Sold number of stocks]],"")</f>
        <v>3.3036440677966104</v>
      </c>
      <c r="O415" s="4">
        <f>IFERROR(Table25[[#This Row],[Total Amount bought]]/Table25[[#This Row],[Total number bought]],"")</f>
        <v>4.7878859060402688</v>
      </c>
      <c r="P415" s="4">
        <f>IFERROR((Table25[[#This Row],[Average sell price]]-Table25[[#This Row],[Average buy price]])*Table25[[#This Row],[Total Sold number of stocks]],0)</f>
        <v>-3502.8107382550338</v>
      </c>
      <c r="Q415" s="85">
        <f>SUMIF(Table25[[#All],[Assets]],Table25[[#This Row],[Assets]],Table25[[#All],[Number of stocks]])</f>
        <v>620</v>
      </c>
    </row>
    <row r="416" spans="1:17">
      <c r="A416" t="e" vm="297">
        <v>#VALUE!</v>
      </c>
      <c r="B416" s="2">
        <v>45566</v>
      </c>
      <c r="C416" t="str" cm="1">
        <f t="array" aca="1" ref="C416" ca="1">_FV(A416,"Ticker symbol",TRUE)</f>
        <v>LAB</v>
      </c>
      <c r="D416" s="4">
        <v>1.85</v>
      </c>
      <c r="E416" s="50">
        <v>-300</v>
      </c>
      <c r="F416" s="81">
        <f>IF(Table25[[#This Row],[Number of stocks]]&gt;0,Table25[[#This Row],[Number of stocks]],0)</f>
        <v>0</v>
      </c>
      <c r="G416" s="73">
        <f>Table25[[#This Row],[Bought]]*Table25[[#This Row],[Price]]</f>
        <v>0</v>
      </c>
      <c r="H416">
        <f>SUMIF(Table25[[#All],[Assets]],Table25[[#This Row],[Assets]],Table25[[#All],[Bought]])</f>
        <v>600</v>
      </c>
      <c r="I416">
        <f>SUMIF(Table25[[#All],[Assets]],Table25[[#This Row],[Assets]],Table25[[#All],[Bought Amount]])</f>
        <v>1056</v>
      </c>
      <c r="J416" s="88">
        <f>IF(Table25[[#This Row],[Number of stocks]]&lt;0,Table25[[#This Row],[Number of stocks]],0)</f>
        <v>-300</v>
      </c>
      <c r="K416" s="5">
        <f>Table25[[#This Row],[Sold]]*Table25[[#This Row],[Price]]</f>
        <v>-555</v>
      </c>
      <c r="L416" s="8">
        <f>ABS(SUMIF(Table25[[#All],[Assets]],Table25[[#This Row],[Assets]],Table25[[#All],[Sold]]))</f>
        <v>600</v>
      </c>
      <c r="M416" s="5">
        <f>ABS(SUMIF(Table25[[#All],[Assets]],Table25[[#This Row],[Assets]],Table25[[#All],[Sold Amount]]))</f>
        <v>1077</v>
      </c>
      <c r="N416" s="5">
        <f>IFERROR(Table25[[#This Row],[Total sold amount]]/Table25[[#This Row],[Total Sold number of stocks]],"")</f>
        <v>1.7949999999999999</v>
      </c>
      <c r="O416" s="4">
        <f>IFERROR(Table25[[#This Row],[Total Amount bought]]/Table25[[#This Row],[Total number bought]],"")</f>
        <v>1.76</v>
      </c>
      <c r="P416" s="4">
        <f>IFERROR((Table25[[#This Row],[Average sell price]]-Table25[[#This Row],[Average buy price]])*Table25[[#This Row],[Total Sold number of stocks]],0)</f>
        <v>20.99999999999995</v>
      </c>
      <c r="Q416" s="85">
        <f>SUMIF(Table25[[#All],[Assets]],Table25[[#This Row],[Assets]],Table25[[#All],[Number of stocks]])</f>
        <v>0</v>
      </c>
    </row>
    <row r="417" spans="1:17">
      <c r="A417" t="e" vm="100">
        <v>#VALUE!</v>
      </c>
      <c r="B417" s="2">
        <v>45567</v>
      </c>
      <c r="C417" t="str" cm="1">
        <f t="array" aca="1" ref="C417" ca="1">_FV(A417,"Ticker symbol",TRUE)</f>
        <v>FNV</v>
      </c>
      <c r="D417" s="4">
        <v>124.16</v>
      </c>
      <c r="E417" s="50">
        <v>30</v>
      </c>
      <c r="F417" s="81">
        <f>IF(Table25[[#This Row],[Number of stocks]]&gt;0,Table25[[#This Row],[Number of stocks]],0)</f>
        <v>30</v>
      </c>
      <c r="G417" s="73">
        <f>Table25[[#This Row],[Bought]]*Table25[[#This Row],[Price]]</f>
        <v>3724.7999999999997</v>
      </c>
      <c r="H417">
        <f>SUMIF(Table25[[#All],[Assets]],Table25[[#This Row],[Assets]],Table25[[#All],[Bought]])</f>
        <v>80</v>
      </c>
      <c r="I417">
        <f>SUMIF(Table25[[#All],[Assets]],Table25[[#This Row],[Assets]],Table25[[#All],[Bought Amount]])</f>
        <v>10074.099999999999</v>
      </c>
      <c r="J417" s="88">
        <f>IF(Table25[[#This Row],[Number of stocks]]&lt;0,Table25[[#This Row],[Number of stocks]],0)</f>
        <v>0</v>
      </c>
      <c r="K417" s="5">
        <f>Table25[[#This Row],[Sold]]*Table25[[#This Row],[Price]]</f>
        <v>0</v>
      </c>
      <c r="L417" s="8">
        <f>ABS(SUMIF(Table25[[#All],[Assets]],Table25[[#This Row],[Assets]],Table25[[#All],[Sold]]))</f>
        <v>80</v>
      </c>
      <c r="M417" s="5">
        <f>ABS(SUMIF(Table25[[#All],[Assets]],Table25[[#This Row],[Assets]],Table25[[#All],[Sold Amount]]))</f>
        <v>9798.76</v>
      </c>
      <c r="N417" s="5">
        <f>IFERROR(Table25[[#This Row],[Total sold amount]]/Table25[[#This Row],[Total Sold number of stocks]],"")</f>
        <v>122.4845</v>
      </c>
      <c r="O417" s="4">
        <f>IFERROR(Table25[[#This Row],[Total Amount bought]]/Table25[[#This Row],[Total number bought]],"")</f>
        <v>125.92624999999998</v>
      </c>
      <c r="P417" s="4">
        <f>IFERROR((Table25[[#This Row],[Average sell price]]-Table25[[#This Row],[Average buy price]])*Table25[[#This Row],[Total Sold number of stocks]],0)</f>
        <v>-275.33999999999878</v>
      </c>
      <c r="Q417" s="85">
        <f>SUMIF(Table25[[#All],[Assets]],Table25[[#This Row],[Assets]],Table25[[#All],[Number of stocks]])</f>
        <v>0</v>
      </c>
    </row>
    <row r="418" spans="1:17">
      <c r="A418" t="e" vm="174">
        <v>#VALUE!</v>
      </c>
      <c r="B418" s="2">
        <v>45567</v>
      </c>
      <c r="C418" t="str" cm="1">
        <f t="array" aca="1" ref="C418" ca="1">_FV(A418,"Ticker symbol",TRUE)</f>
        <v>VAL</v>
      </c>
      <c r="D418" s="4">
        <v>55.75</v>
      </c>
      <c r="E418" s="50">
        <v>15</v>
      </c>
      <c r="F418" s="81">
        <f>IF(Table25[[#This Row],[Number of stocks]]&gt;0,Table25[[#This Row],[Number of stocks]],0)</f>
        <v>15</v>
      </c>
      <c r="G418" s="73">
        <f>Table25[[#This Row],[Bought]]*Table25[[#This Row],[Price]]</f>
        <v>836.25</v>
      </c>
      <c r="H418">
        <f>SUMIF(Table25[[#All],[Assets]],Table25[[#This Row],[Assets]],Table25[[#All],[Bought]])</f>
        <v>32</v>
      </c>
      <c r="I418">
        <f>SUMIF(Table25[[#All],[Assets]],Table25[[#This Row],[Assets]],Table25[[#All],[Bought Amount]])</f>
        <v>2008.37</v>
      </c>
      <c r="J418" s="88">
        <f>IF(Table25[[#This Row],[Number of stocks]]&lt;0,Table25[[#This Row],[Number of stocks]],0)</f>
        <v>0</v>
      </c>
      <c r="K418" s="5">
        <f>Table25[[#This Row],[Sold]]*Table25[[#This Row],[Price]]</f>
        <v>0</v>
      </c>
      <c r="L418" s="8">
        <f>ABS(SUMIF(Table25[[#All],[Assets]],Table25[[#This Row],[Assets]],Table25[[#All],[Sold]]))</f>
        <v>32</v>
      </c>
      <c r="M418" s="5">
        <f>ABS(SUMIF(Table25[[#All],[Assets]],Table25[[#This Row],[Assets]],Table25[[#All],[Sold Amount]]))</f>
        <v>1677.76</v>
      </c>
      <c r="N418" s="5">
        <f>IFERROR(Table25[[#This Row],[Total sold amount]]/Table25[[#This Row],[Total Sold number of stocks]],"")</f>
        <v>52.43</v>
      </c>
      <c r="O418" s="4">
        <f>IFERROR(Table25[[#This Row],[Total Amount bought]]/Table25[[#This Row],[Total number bought]],"")</f>
        <v>62.761562499999997</v>
      </c>
      <c r="P418" s="4">
        <f>IFERROR((Table25[[#This Row],[Average sell price]]-Table25[[#This Row],[Average buy price]])*Table25[[#This Row],[Total Sold number of stocks]],0)</f>
        <v>-330.6099999999999</v>
      </c>
      <c r="Q418" s="85">
        <f>SUMIF(Table25[[#All],[Assets]],Table25[[#This Row],[Assets]],Table25[[#All],[Number of stocks]])</f>
        <v>0</v>
      </c>
    </row>
    <row r="419" spans="1:17">
      <c r="A419" t="e" vm="80">
        <v>#VALUE!</v>
      </c>
      <c r="B419" s="2">
        <v>45568</v>
      </c>
      <c r="C419" t="str" cm="1">
        <f t="array" aca="1" ref="C419" ca="1">_FV(A419,"Ticker symbol",TRUE)</f>
        <v>PYPL</v>
      </c>
      <c r="D419" s="4">
        <v>76.7</v>
      </c>
      <c r="E419" s="50">
        <v>12</v>
      </c>
      <c r="F419" s="81">
        <f>IF(Table25[[#This Row],[Number of stocks]]&gt;0,Table25[[#This Row],[Number of stocks]],0)</f>
        <v>12</v>
      </c>
      <c r="G419" s="73">
        <f>Table25[[#This Row],[Bought]]*Table25[[#This Row],[Price]]</f>
        <v>920.40000000000009</v>
      </c>
      <c r="H419">
        <f>SUMIF(Table25[[#All],[Assets]],Table25[[#This Row],[Assets]],Table25[[#All],[Bought]])</f>
        <v>223</v>
      </c>
      <c r="I419">
        <f>SUMIF(Table25[[#All],[Assets]],Table25[[#This Row],[Assets]],Table25[[#All],[Bought Amount]])</f>
        <v>14862.050000000003</v>
      </c>
      <c r="J419" s="88">
        <f>IF(Table25[[#This Row],[Number of stocks]]&lt;0,Table25[[#This Row],[Number of stocks]],0)</f>
        <v>0</v>
      </c>
      <c r="K419" s="5">
        <f>Table25[[#This Row],[Sold]]*Table25[[#This Row],[Price]]</f>
        <v>0</v>
      </c>
      <c r="L419" s="8">
        <f>ABS(SUMIF(Table25[[#All],[Assets]],Table25[[#This Row],[Assets]],Table25[[#All],[Sold]]))</f>
        <v>222</v>
      </c>
      <c r="M419" s="5">
        <f>ABS(SUMIF(Table25[[#All],[Assets]],Table25[[#This Row],[Assets]],Table25[[#All],[Sold Amount]]))</f>
        <v>15255.44</v>
      </c>
      <c r="N419" s="5">
        <f>IFERROR(Table25[[#This Row],[Total sold amount]]/Table25[[#This Row],[Total Sold number of stocks]],"")</f>
        <v>68.718198198198195</v>
      </c>
      <c r="O419" s="4">
        <f>IFERROR(Table25[[#This Row],[Total Amount bought]]/Table25[[#This Row],[Total number bought]],"")</f>
        <v>66.645964125560553</v>
      </c>
      <c r="P419" s="4">
        <f>IFERROR((Table25[[#This Row],[Average sell price]]-Table25[[#This Row],[Average buy price]])*Table25[[#This Row],[Total Sold number of stocks]],0)</f>
        <v>460.03596412555646</v>
      </c>
      <c r="Q419" s="85">
        <f>SUMIF(Table25[[#All],[Assets]],Table25[[#This Row],[Assets]],Table25[[#All],[Number of stocks]])</f>
        <v>1</v>
      </c>
    </row>
    <row r="420" spans="1:17">
      <c r="A420" t="e" vm="32">
        <v>#VALUE!</v>
      </c>
      <c r="B420" s="2">
        <v>45568</v>
      </c>
      <c r="C420" t="str" cm="1">
        <f t="array" aca="1" ref="C420" ca="1">_FV(A420,"Ticker symbol",TRUE)</f>
        <v>MU</v>
      </c>
      <c r="D420" s="4">
        <v>101.8</v>
      </c>
      <c r="E420" s="50">
        <v>5</v>
      </c>
      <c r="F420" s="81">
        <f>IF(Table25[[#This Row],[Number of stocks]]&gt;0,Table25[[#This Row],[Number of stocks]],0)</f>
        <v>5</v>
      </c>
      <c r="G420" s="73">
        <f>Table25[[#This Row],[Bought]]*Table25[[#This Row],[Price]]</f>
        <v>509</v>
      </c>
      <c r="H420">
        <f>SUMIF(Table25[[#All],[Assets]],Table25[[#This Row],[Assets]],Table25[[#All],[Bought]])</f>
        <v>59</v>
      </c>
      <c r="I420">
        <f>SUMIF(Table25[[#All],[Assets]],Table25[[#This Row],[Assets]],Table25[[#All],[Bought Amount]])</f>
        <v>6964.04</v>
      </c>
      <c r="J420" s="88">
        <f>IF(Table25[[#This Row],[Number of stocks]]&lt;0,Table25[[#This Row],[Number of stocks]],0)</f>
        <v>0</v>
      </c>
      <c r="K420" s="5">
        <f>Table25[[#This Row],[Sold]]*Table25[[#This Row],[Price]]</f>
        <v>0</v>
      </c>
      <c r="L420" s="8">
        <f>ABS(SUMIF(Table25[[#All],[Assets]],Table25[[#This Row],[Assets]],Table25[[#All],[Sold]]))</f>
        <v>58</v>
      </c>
      <c r="M420" s="5">
        <f>ABS(SUMIF(Table25[[#All],[Assets]],Table25[[#This Row],[Assets]],Table25[[#All],[Sold Amount]]))</f>
        <v>6974.51</v>
      </c>
      <c r="N420" s="5">
        <f>IFERROR(Table25[[#This Row],[Total sold amount]]/Table25[[#This Row],[Total Sold number of stocks]],"")</f>
        <v>120.25017241379311</v>
      </c>
      <c r="O420" s="4">
        <f>IFERROR(Table25[[#This Row],[Total Amount bought]]/Table25[[#This Row],[Total number bought]],"")</f>
        <v>118.03457627118644</v>
      </c>
      <c r="P420" s="4">
        <f>IFERROR((Table25[[#This Row],[Average sell price]]-Table25[[#This Row],[Average buy price]])*Table25[[#This Row],[Total Sold number of stocks]],0)</f>
        <v>128.50457627118692</v>
      </c>
      <c r="Q420" s="85">
        <f>SUMIF(Table25[[#All],[Assets]],Table25[[#This Row],[Assets]],Table25[[#All],[Number of stocks]])</f>
        <v>1</v>
      </c>
    </row>
    <row r="421" spans="1:17">
      <c r="A421" t="e" vm="100">
        <v>#VALUE!</v>
      </c>
      <c r="B421" s="2">
        <v>45568</v>
      </c>
      <c r="C421" t="str" cm="1">
        <f t="array" aca="1" ref="C421" ca="1">_FV(A421,"Ticker symbol",TRUE)</f>
        <v>FNV</v>
      </c>
      <c r="D421" s="4">
        <v>121.56</v>
      </c>
      <c r="E421" s="50">
        <v>-45</v>
      </c>
      <c r="F421" s="81">
        <f>IF(Table25[[#This Row],[Number of stocks]]&gt;0,Table25[[#This Row],[Number of stocks]],0)</f>
        <v>0</v>
      </c>
      <c r="G421" s="73">
        <f>Table25[[#This Row],[Bought]]*Table25[[#This Row],[Price]]</f>
        <v>0</v>
      </c>
      <c r="H421">
        <f>SUMIF(Table25[[#All],[Assets]],Table25[[#This Row],[Assets]],Table25[[#All],[Bought]])</f>
        <v>80</v>
      </c>
      <c r="I421">
        <f>SUMIF(Table25[[#All],[Assets]],Table25[[#This Row],[Assets]],Table25[[#All],[Bought Amount]])</f>
        <v>10074.099999999999</v>
      </c>
      <c r="J421" s="88">
        <f>IF(Table25[[#This Row],[Number of stocks]]&lt;0,Table25[[#This Row],[Number of stocks]],0)</f>
        <v>-45</v>
      </c>
      <c r="K421" s="5">
        <f>Table25[[#This Row],[Sold]]*Table25[[#This Row],[Price]]</f>
        <v>-5470.2</v>
      </c>
      <c r="L421" s="8">
        <f>ABS(SUMIF(Table25[[#All],[Assets]],Table25[[#This Row],[Assets]],Table25[[#All],[Sold]]))</f>
        <v>80</v>
      </c>
      <c r="M421" s="5">
        <f>ABS(SUMIF(Table25[[#All],[Assets]],Table25[[#This Row],[Assets]],Table25[[#All],[Sold Amount]]))</f>
        <v>9798.76</v>
      </c>
      <c r="N421" s="5">
        <f>IFERROR(Table25[[#This Row],[Total sold amount]]/Table25[[#This Row],[Total Sold number of stocks]],"")</f>
        <v>122.4845</v>
      </c>
      <c r="O421" s="4">
        <f>IFERROR(Table25[[#This Row],[Total Amount bought]]/Table25[[#This Row],[Total number bought]],"")</f>
        <v>125.92624999999998</v>
      </c>
      <c r="P421" s="4">
        <f>IFERROR((Table25[[#This Row],[Average sell price]]-Table25[[#This Row],[Average buy price]])*Table25[[#This Row],[Total Sold number of stocks]],0)</f>
        <v>-275.33999999999878</v>
      </c>
      <c r="Q421" s="85">
        <f>SUMIF(Table25[[#All],[Assets]],Table25[[#This Row],[Assets]],Table25[[#All],[Number of stocks]])</f>
        <v>0</v>
      </c>
    </row>
    <row r="422" spans="1:17">
      <c r="A422" t="e" vm="128">
        <v>#VALUE!</v>
      </c>
      <c r="B422" s="2">
        <v>45569</v>
      </c>
      <c r="C422" t="str" cm="1">
        <f t="array" aca="1" ref="C422" ca="1">_FV(A422,"Ticker symbol",TRUE)</f>
        <v>AXON</v>
      </c>
      <c r="D422" s="4">
        <v>420.28</v>
      </c>
      <c r="E422" s="50">
        <v>-1</v>
      </c>
      <c r="F422" s="81">
        <f>IF(Table25[[#This Row],[Number of stocks]]&gt;0,Table25[[#This Row],[Number of stocks]],0)</f>
        <v>0</v>
      </c>
      <c r="G422" s="73">
        <f>Table25[[#This Row],[Bought]]*Table25[[#This Row],[Price]]</f>
        <v>0</v>
      </c>
      <c r="H422">
        <f>SUMIF(Table25[[#All],[Assets]],Table25[[#This Row],[Assets]],Table25[[#All],[Bought]])</f>
        <v>5</v>
      </c>
      <c r="I422">
        <f>SUMIF(Table25[[#All],[Assets]],Table25[[#This Row],[Assets]],Table25[[#All],[Bought Amount]])</f>
        <v>1437.6899999999998</v>
      </c>
      <c r="J422" s="88">
        <f>IF(Table25[[#This Row],[Number of stocks]]&lt;0,Table25[[#This Row],[Number of stocks]],0)</f>
        <v>-1</v>
      </c>
      <c r="K422" s="5">
        <f>Table25[[#This Row],[Sold]]*Table25[[#This Row],[Price]]</f>
        <v>-420.28</v>
      </c>
      <c r="L422" s="8">
        <f>ABS(SUMIF(Table25[[#All],[Assets]],Table25[[#This Row],[Assets]],Table25[[#All],[Sold]]))</f>
        <v>5</v>
      </c>
      <c r="M422" s="5">
        <f>ABS(SUMIF(Table25[[#All],[Assets]],Table25[[#This Row],[Assets]],Table25[[#All],[Sold Amount]]))</f>
        <v>1963.1</v>
      </c>
      <c r="N422" s="5">
        <f>IFERROR(Table25[[#This Row],[Total sold amount]]/Table25[[#This Row],[Total Sold number of stocks]],"")</f>
        <v>392.62</v>
      </c>
      <c r="O422" s="4">
        <f>IFERROR(Table25[[#This Row],[Total Amount bought]]/Table25[[#This Row],[Total number bought]],"")</f>
        <v>287.53799999999995</v>
      </c>
      <c r="P422" s="4">
        <f>IFERROR((Table25[[#This Row],[Average sell price]]-Table25[[#This Row],[Average buy price]])*Table25[[#This Row],[Total Sold number of stocks]],0)</f>
        <v>525.41000000000031</v>
      </c>
      <c r="Q422" s="85">
        <f>SUMIF(Table25[[#All],[Assets]],Table25[[#This Row],[Assets]],Table25[[#All],[Number of stocks]])</f>
        <v>0</v>
      </c>
    </row>
    <row r="423" spans="1:17">
      <c r="A423" t="e" vm="26">
        <v>#VALUE!</v>
      </c>
      <c r="B423" s="2">
        <v>45569</v>
      </c>
      <c r="C423" t="str" cm="1">
        <f t="array" aca="1" ref="C423" ca="1">_FV(A423,"Ticker symbol",TRUE)</f>
        <v>AEHR</v>
      </c>
      <c r="D423" s="4">
        <v>12.82</v>
      </c>
      <c r="E423" s="50">
        <v>50</v>
      </c>
      <c r="F423" s="81">
        <f>IF(Table25[[#This Row],[Number of stocks]]&gt;0,Table25[[#This Row],[Number of stocks]],0)</f>
        <v>50</v>
      </c>
      <c r="G423" s="73">
        <f>Table25[[#This Row],[Bought]]*Table25[[#This Row],[Price]]</f>
        <v>641</v>
      </c>
      <c r="H423">
        <f>SUMIF(Table25[[#All],[Assets]],Table25[[#This Row],[Assets]],Table25[[#All],[Bought]])</f>
        <v>559</v>
      </c>
      <c r="I423">
        <f>SUMIF(Table25[[#All],[Assets]],Table25[[#This Row],[Assets]],Table25[[#All],[Bought Amount]])</f>
        <v>7405.6399999999994</v>
      </c>
      <c r="J423" s="88">
        <f>IF(Table25[[#This Row],[Number of stocks]]&lt;0,Table25[[#This Row],[Number of stocks]],0)</f>
        <v>0</v>
      </c>
      <c r="K423" s="5">
        <f>Table25[[#This Row],[Sold]]*Table25[[#This Row],[Price]]</f>
        <v>0</v>
      </c>
      <c r="L423" s="8">
        <f>ABS(SUMIF(Table25[[#All],[Assets]],Table25[[#This Row],[Assets]],Table25[[#All],[Sold]]))</f>
        <v>539</v>
      </c>
      <c r="M423" s="5">
        <f>ABS(SUMIF(Table25[[#All],[Assets]],Table25[[#This Row],[Assets]],Table25[[#All],[Sold Amount]]))</f>
        <v>9662.32</v>
      </c>
      <c r="N423" s="5">
        <f>IFERROR(Table25[[#This Row],[Total sold amount]]/Table25[[#This Row],[Total Sold number of stocks]],"")</f>
        <v>17.92638218923933</v>
      </c>
      <c r="O423" s="4">
        <f>IFERROR(Table25[[#This Row],[Total Amount bought]]/Table25[[#This Row],[Total number bought]],"")</f>
        <v>13.248014311270124</v>
      </c>
      <c r="P423" s="4">
        <f>IFERROR((Table25[[#This Row],[Average sell price]]-Table25[[#This Row],[Average buy price]])*Table25[[#This Row],[Total Sold number of stocks]],0)</f>
        <v>2521.6402862254022</v>
      </c>
      <c r="Q423" s="85">
        <f>SUMIF(Table25[[#All],[Assets]],Table25[[#This Row],[Assets]],Table25[[#All],[Number of stocks]])</f>
        <v>20</v>
      </c>
    </row>
    <row r="424" spans="1:17">
      <c r="A424" t="e" vm="26">
        <v>#VALUE!</v>
      </c>
      <c r="B424" s="2">
        <v>45569</v>
      </c>
      <c r="C424" t="str" cm="1">
        <f t="array" aca="1" ref="C424" ca="1">_FV(A424,"Ticker symbol",TRUE)</f>
        <v>AEHR</v>
      </c>
      <c r="D424" s="4">
        <v>12.14</v>
      </c>
      <c r="E424" s="50">
        <v>45</v>
      </c>
      <c r="F424" s="81">
        <f>IF(Table25[[#This Row],[Number of stocks]]&gt;0,Table25[[#This Row],[Number of stocks]],0)</f>
        <v>45</v>
      </c>
      <c r="G424" s="73">
        <f>Table25[[#This Row],[Bought]]*Table25[[#This Row],[Price]]</f>
        <v>546.30000000000007</v>
      </c>
      <c r="H424">
        <f>SUMIF(Table25[[#All],[Assets]],Table25[[#This Row],[Assets]],Table25[[#All],[Bought]])</f>
        <v>559</v>
      </c>
      <c r="I424">
        <f>SUMIF(Table25[[#All],[Assets]],Table25[[#This Row],[Assets]],Table25[[#All],[Bought Amount]])</f>
        <v>7405.6399999999994</v>
      </c>
      <c r="J424" s="88">
        <f>IF(Table25[[#This Row],[Number of stocks]]&lt;0,Table25[[#This Row],[Number of stocks]],0)</f>
        <v>0</v>
      </c>
      <c r="K424" s="5">
        <f>Table25[[#This Row],[Sold]]*Table25[[#This Row],[Price]]</f>
        <v>0</v>
      </c>
      <c r="L424" s="8">
        <f>ABS(SUMIF(Table25[[#All],[Assets]],Table25[[#This Row],[Assets]],Table25[[#All],[Sold]]))</f>
        <v>539</v>
      </c>
      <c r="M424" s="5">
        <f>ABS(SUMIF(Table25[[#All],[Assets]],Table25[[#This Row],[Assets]],Table25[[#All],[Sold Amount]]))</f>
        <v>9662.32</v>
      </c>
      <c r="N424" s="5">
        <f>IFERROR(Table25[[#This Row],[Total sold amount]]/Table25[[#This Row],[Total Sold number of stocks]],"")</f>
        <v>17.92638218923933</v>
      </c>
      <c r="O424" s="4">
        <f>IFERROR(Table25[[#This Row],[Total Amount bought]]/Table25[[#This Row],[Total number bought]],"")</f>
        <v>13.248014311270124</v>
      </c>
      <c r="P424" s="4">
        <f>IFERROR((Table25[[#This Row],[Average sell price]]-Table25[[#This Row],[Average buy price]])*Table25[[#This Row],[Total Sold number of stocks]],0)</f>
        <v>2521.6402862254022</v>
      </c>
      <c r="Q424" s="85">
        <f>SUMIF(Table25[[#All],[Assets]],Table25[[#This Row],[Assets]],Table25[[#All],[Number of stocks]])</f>
        <v>20</v>
      </c>
    </row>
    <row r="425" spans="1:17">
      <c r="A425" t="e" vm="64">
        <v>#VALUE!</v>
      </c>
      <c r="B425" s="2">
        <v>45569</v>
      </c>
      <c r="C425" t="str" cm="1">
        <f t="array" aca="1" ref="C425" ca="1">_FV(A425,"Ticker symbol",TRUE)</f>
        <v>LULU</v>
      </c>
      <c r="D425" s="4">
        <v>270.43</v>
      </c>
      <c r="E425" s="50">
        <v>-3</v>
      </c>
      <c r="F425" s="81">
        <f>IF(Table25[[#This Row],[Number of stocks]]&gt;0,Table25[[#This Row],[Number of stocks]],0)</f>
        <v>0</v>
      </c>
      <c r="G425" s="73">
        <f>Table25[[#This Row],[Bought]]*Table25[[#This Row],[Price]]</f>
        <v>0</v>
      </c>
      <c r="H425">
        <f>SUMIF(Table25[[#All],[Assets]],Table25[[#This Row],[Assets]],Table25[[#All],[Bought]])</f>
        <v>26</v>
      </c>
      <c r="I425">
        <f>SUMIF(Table25[[#All],[Assets]],Table25[[#This Row],[Assets]],Table25[[#All],[Bought Amount]])</f>
        <v>6272.2400000000007</v>
      </c>
      <c r="J425" s="88">
        <f>IF(Table25[[#This Row],[Number of stocks]]&lt;0,Table25[[#This Row],[Number of stocks]],0)</f>
        <v>-3</v>
      </c>
      <c r="K425" s="5">
        <f>Table25[[#This Row],[Sold]]*Table25[[#This Row],[Price]]</f>
        <v>-811.29</v>
      </c>
      <c r="L425" s="8">
        <f>ABS(SUMIF(Table25[[#All],[Assets]],Table25[[#This Row],[Assets]],Table25[[#All],[Sold]]))</f>
        <v>26</v>
      </c>
      <c r="M425" s="5">
        <f>ABS(SUMIF(Table25[[#All],[Assets]],Table25[[#This Row],[Assets]],Table25[[#All],[Sold Amount]]))</f>
        <v>6958.9199999999992</v>
      </c>
      <c r="N425" s="5">
        <f>IFERROR(Table25[[#This Row],[Total sold amount]]/Table25[[#This Row],[Total Sold number of stocks]],"")</f>
        <v>267.65076923076919</v>
      </c>
      <c r="O425" s="4">
        <f>IFERROR(Table25[[#This Row],[Total Amount bought]]/Table25[[#This Row],[Total number bought]],"")</f>
        <v>241.24000000000004</v>
      </c>
      <c r="P425" s="4">
        <f>IFERROR((Table25[[#This Row],[Average sell price]]-Table25[[#This Row],[Average buy price]])*Table25[[#This Row],[Total Sold number of stocks]],0)</f>
        <v>686.67999999999779</v>
      </c>
      <c r="Q425" s="85">
        <f>SUMIF(Table25[[#All],[Assets]],Table25[[#This Row],[Assets]],Table25[[#All],[Number of stocks]])</f>
        <v>0</v>
      </c>
    </row>
    <row r="426" spans="1:17">
      <c r="A426" t="e" vm="100">
        <v>#VALUE!</v>
      </c>
      <c r="B426" s="2">
        <v>45569</v>
      </c>
      <c r="C426" t="str" cm="1">
        <f t="array" aca="1" ref="C426" ca="1">_FV(A426,"Ticker symbol",TRUE)</f>
        <v>FNV</v>
      </c>
      <c r="D426" s="4">
        <v>126.03</v>
      </c>
      <c r="E426" s="50">
        <v>6</v>
      </c>
      <c r="F426" s="81">
        <f>IF(Table25[[#This Row],[Number of stocks]]&gt;0,Table25[[#This Row],[Number of stocks]],0)</f>
        <v>6</v>
      </c>
      <c r="G426" s="73">
        <f>Table25[[#This Row],[Bought]]*Table25[[#This Row],[Price]]</f>
        <v>756.18000000000006</v>
      </c>
      <c r="H426">
        <f>SUMIF(Table25[[#All],[Assets]],Table25[[#This Row],[Assets]],Table25[[#All],[Bought]])</f>
        <v>80</v>
      </c>
      <c r="I426">
        <f>SUMIF(Table25[[#All],[Assets]],Table25[[#This Row],[Assets]],Table25[[#All],[Bought Amount]])</f>
        <v>10074.099999999999</v>
      </c>
      <c r="J426" s="88">
        <f>IF(Table25[[#This Row],[Number of stocks]]&lt;0,Table25[[#This Row],[Number of stocks]],0)</f>
        <v>0</v>
      </c>
      <c r="K426" s="5">
        <f>Table25[[#This Row],[Sold]]*Table25[[#This Row],[Price]]</f>
        <v>0</v>
      </c>
      <c r="L426" s="8">
        <f>ABS(SUMIF(Table25[[#All],[Assets]],Table25[[#This Row],[Assets]],Table25[[#All],[Sold]]))</f>
        <v>80</v>
      </c>
      <c r="M426" s="5">
        <f>ABS(SUMIF(Table25[[#All],[Assets]],Table25[[#This Row],[Assets]],Table25[[#All],[Sold Amount]]))</f>
        <v>9798.76</v>
      </c>
      <c r="N426" s="5">
        <f>IFERROR(Table25[[#This Row],[Total sold amount]]/Table25[[#This Row],[Total Sold number of stocks]],"")</f>
        <v>122.4845</v>
      </c>
      <c r="O426" s="4">
        <f>IFERROR(Table25[[#This Row],[Total Amount bought]]/Table25[[#This Row],[Total number bought]],"")</f>
        <v>125.92624999999998</v>
      </c>
      <c r="P426" s="4">
        <f>IFERROR((Table25[[#This Row],[Average sell price]]-Table25[[#This Row],[Average buy price]])*Table25[[#This Row],[Total Sold number of stocks]],0)</f>
        <v>-275.33999999999878</v>
      </c>
      <c r="Q426" s="85">
        <f>SUMIF(Table25[[#All],[Assets]],Table25[[#This Row],[Assets]],Table25[[#All],[Number of stocks]])</f>
        <v>0</v>
      </c>
    </row>
    <row r="427" spans="1:17">
      <c r="A427" t="e" vm="33">
        <v>#VALUE!</v>
      </c>
      <c r="B427" s="2">
        <v>45569</v>
      </c>
      <c r="C427" t="str" cm="1">
        <f t="array" aca="1" ref="C427" ca="1">_FV(A427,"Ticker symbol",TRUE)</f>
        <v>CRDO</v>
      </c>
      <c r="D427" s="4">
        <v>32.14</v>
      </c>
      <c r="E427" s="50">
        <v>-10</v>
      </c>
      <c r="F427" s="81">
        <f>IF(Table25[[#This Row],[Number of stocks]]&gt;0,Table25[[#This Row],[Number of stocks]],0)</f>
        <v>0</v>
      </c>
      <c r="G427" s="73">
        <f>Table25[[#This Row],[Bought]]*Table25[[#This Row],[Price]]</f>
        <v>0</v>
      </c>
      <c r="H427">
        <f>SUMIF(Table25[[#All],[Assets]],Table25[[#This Row],[Assets]],Table25[[#All],[Bought]])</f>
        <v>135</v>
      </c>
      <c r="I427">
        <f>SUMIF(Table25[[#All],[Assets]],Table25[[#This Row],[Assets]],Table25[[#All],[Bought Amount]])</f>
        <v>3772.0499999999997</v>
      </c>
      <c r="J427" s="88">
        <f>IF(Table25[[#This Row],[Number of stocks]]&lt;0,Table25[[#This Row],[Number of stocks]],0)</f>
        <v>-10</v>
      </c>
      <c r="K427" s="5">
        <f>Table25[[#This Row],[Sold]]*Table25[[#This Row],[Price]]</f>
        <v>-321.39999999999998</v>
      </c>
      <c r="L427" s="8">
        <f>ABS(SUMIF(Table25[[#All],[Assets]],Table25[[#This Row],[Assets]],Table25[[#All],[Sold]]))</f>
        <v>135</v>
      </c>
      <c r="M427" s="5">
        <f>ABS(SUMIF(Table25[[#All],[Assets]],Table25[[#This Row],[Assets]],Table25[[#All],[Sold Amount]]))</f>
        <v>5564.1</v>
      </c>
      <c r="N427" s="5">
        <f>IFERROR(Table25[[#This Row],[Total sold amount]]/Table25[[#This Row],[Total Sold number of stocks]],"")</f>
        <v>41.215555555555561</v>
      </c>
      <c r="O427" s="4">
        <f>IFERROR(Table25[[#This Row],[Total Amount bought]]/Table25[[#This Row],[Total number bought]],"")</f>
        <v>27.941111111111109</v>
      </c>
      <c r="P427" s="4">
        <f>IFERROR((Table25[[#This Row],[Average sell price]]-Table25[[#This Row],[Average buy price]])*Table25[[#This Row],[Total Sold number of stocks]],0)</f>
        <v>1792.0500000000011</v>
      </c>
      <c r="Q427" s="85">
        <f>SUMIF(Table25[[#All],[Assets]],Table25[[#This Row],[Assets]],Table25[[#All],[Number of stocks]])</f>
        <v>0</v>
      </c>
    </row>
    <row r="428" spans="1:17">
      <c r="A428" t="e" vm="26">
        <v>#VALUE!</v>
      </c>
      <c r="B428" s="2">
        <v>45569</v>
      </c>
      <c r="C428" t="str" cm="1">
        <f t="array" aca="1" ref="C428" ca="1">_FV(A428,"Ticker symbol",TRUE)</f>
        <v>AEHR</v>
      </c>
      <c r="D428" s="4">
        <v>12.21</v>
      </c>
      <c r="E428" s="50">
        <v>35</v>
      </c>
      <c r="F428" s="81">
        <f>IF(Table25[[#This Row],[Number of stocks]]&gt;0,Table25[[#This Row],[Number of stocks]],0)</f>
        <v>35</v>
      </c>
      <c r="G428" s="73">
        <f>Table25[[#This Row],[Bought]]*Table25[[#This Row],[Price]]</f>
        <v>427.35</v>
      </c>
      <c r="H428">
        <f>SUMIF(Table25[[#All],[Assets]],Table25[[#This Row],[Assets]],Table25[[#All],[Bought]])</f>
        <v>559</v>
      </c>
      <c r="I428">
        <f>SUMIF(Table25[[#All],[Assets]],Table25[[#This Row],[Assets]],Table25[[#All],[Bought Amount]])</f>
        <v>7405.6399999999994</v>
      </c>
      <c r="J428" s="88">
        <f>IF(Table25[[#This Row],[Number of stocks]]&lt;0,Table25[[#This Row],[Number of stocks]],0)</f>
        <v>0</v>
      </c>
      <c r="K428" s="5">
        <f>Table25[[#This Row],[Sold]]*Table25[[#This Row],[Price]]</f>
        <v>0</v>
      </c>
      <c r="L428" s="8">
        <f>ABS(SUMIF(Table25[[#All],[Assets]],Table25[[#This Row],[Assets]],Table25[[#All],[Sold]]))</f>
        <v>539</v>
      </c>
      <c r="M428" s="5">
        <f>ABS(SUMIF(Table25[[#All],[Assets]],Table25[[#This Row],[Assets]],Table25[[#All],[Sold Amount]]))</f>
        <v>9662.32</v>
      </c>
      <c r="N428" s="5">
        <f>IFERROR(Table25[[#This Row],[Total sold amount]]/Table25[[#This Row],[Total Sold number of stocks]],"")</f>
        <v>17.92638218923933</v>
      </c>
      <c r="O428" s="4">
        <f>IFERROR(Table25[[#This Row],[Total Amount bought]]/Table25[[#This Row],[Total number bought]],"")</f>
        <v>13.248014311270124</v>
      </c>
      <c r="P428" s="4">
        <f>IFERROR((Table25[[#This Row],[Average sell price]]-Table25[[#This Row],[Average buy price]])*Table25[[#This Row],[Total Sold number of stocks]],0)</f>
        <v>2521.6402862254022</v>
      </c>
      <c r="Q428" s="85">
        <f>SUMIF(Table25[[#All],[Assets]],Table25[[#This Row],[Assets]],Table25[[#All],[Number of stocks]])</f>
        <v>20</v>
      </c>
    </row>
    <row r="429" spans="1:17">
      <c r="A429" t="e" vm="456">
        <v>#VALUE!</v>
      </c>
      <c r="B429" s="2">
        <v>45568</v>
      </c>
      <c r="C429" t="str" cm="1">
        <f t="array" aca="1" ref="C429" ca="1">_FV(A429,"Ticker symbol",TRUE)</f>
        <v>BIL</v>
      </c>
      <c r="D429" s="4">
        <v>91.49</v>
      </c>
      <c r="E429" s="50">
        <v>55</v>
      </c>
      <c r="F429" s="81">
        <f>IF(Table25[[#This Row],[Number of stocks]]&gt;0,Table25[[#This Row],[Number of stocks]],0)</f>
        <v>55</v>
      </c>
      <c r="G429" s="73">
        <f>Table25[[#This Row],[Bought]]*Table25[[#This Row],[Price]]</f>
        <v>5031.95</v>
      </c>
      <c r="H429">
        <f>SUMIF(Table25[[#All],[Assets]],Table25[[#This Row],[Assets]],Table25[[#All],[Bought]])</f>
        <v>419</v>
      </c>
      <c r="I429">
        <f>SUMIF(Table25[[#All],[Assets]],Table25[[#This Row],[Assets]],Table25[[#All],[Bought Amount]])</f>
        <v>38555.520000000004</v>
      </c>
      <c r="J429" s="88">
        <f>IF(Table25[[#This Row],[Number of stocks]]&lt;0,Table25[[#This Row],[Number of stocks]],0)</f>
        <v>0</v>
      </c>
      <c r="K429" s="5">
        <f>Table25[[#This Row],[Sold]]*Table25[[#This Row],[Price]]</f>
        <v>0</v>
      </c>
      <c r="L429" s="8">
        <f>ABS(SUMIF(Table25[[#All],[Assets]],Table25[[#This Row],[Assets]],Table25[[#All],[Sold]]))</f>
        <v>419</v>
      </c>
      <c r="M429" s="5">
        <f>ABS(SUMIF(Table25[[#All],[Assets]],Table25[[#This Row],[Assets]],Table25[[#All],[Sold Amount]]))</f>
        <v>38372</v>
      </c>
      <c r="N429" s="5">
        <f>IFERROR(Table25[[#This Row],[Total sold amount]]/Table25[[#This Row],[Total Sold number of stocks]],"")</f>
        <v>91.579952267303099</v>
      </c>
      <c r="O429" s="4">
        <f>IFERROR(Table25[[#This Row],[Total Amount bought]]/Table25[[#This Row],[Total number bought]],"")</f>
        <v>92.017947494033422</v>
      </c>
      <c r="P429" s="4">
        <f>IFERROR((Table25[[#This Row],[Average sell price]]-Table25[[#This Row],[Average buy price]])*Table25[[#This Row],[Total Sold number of stocks]],0)</f>
        <v>-183.5200000000051</v>
      </c>
      <c r="Q429" s="85">
        <f>SUMIF(Table25[[#All],[Assets]],Table25[[#This Row],[Assets]],Table25[[#All],[Number of stocks]])</f>
        <v>0</v>
      </c>
    </row>
    <row r="430" spans="1:17">
      <c r="A430" t="e" vm="456">
        <v>#VALUE!</v>
      </c>
      <c r="B430" s="2">
        <v>45569</v>
      </c>
      <c r="C430" t="str" cm="1">
        <f t="array" aca="1" ref="C430" ca="1">_FV(A430,"Ticker symbol",TRUE)</f>
        <v>BIL</v>
      </c>
      <c r="D430" s="4">
        <v>91.51</v>
      </c>
      <c r="E430" s="50">
        <v>-11</v>
      </c>
      <c r="F430" s="81">
        <f>IF(Table25[[#This Row],[Number of stocks]]&gt;0,Table25[[#This Row],[Number of stocks]],0)</f>
        <v>0</v>
      </c>
      <c r="G430" s="73">
        <f>Table25[[#This Row],[Bought]]*Table25[[#This Row],[Price]]</f>
        <v>0</v>
      </c>
      <c r="H430">
        <f>SUMIF(Table25[[#All],[Assets]],Table25[[#This Row],[Assets]],Table25[[#All],[Bought]])</f>
        <v>419</v>
      </c>
      <c r="I430">
        <f>SUMIF(Table25[[#All],[Assets]],Table25[[#This Row],[Assets]],Table25[[#All],[Bought Amount]])</f>
        <v>38555.520000000004</v>
      </c>
      <c r="J430" s="88">
        <f>IF(Table25[[#This Row],[Number of stocks]]&lt;0,Table25[[#This Row],[Number of stocks]],0)</f>
        <v>-11</v>
      </c>
      <c r="K430" s="5">
        <f>Table25[[#This Row],[Sold]]*Table25[[#This Row],[Price]]</f>
        <v>-1006.61</v>
      </c>
      <c r="L430" s="8">
        <f>ABS(SUMIF(Table25[[#All],[Assets]],Table25[[#This Row],[Assets]],Table25[[#All],[Sold]]))</f>
        <v>419</v>
      </c>
      <c r="M430" s="5">
        <f>ABS(SUMIF(Table25[[#All],[Assets]],Table25[[#This Row],[Assets]],Table25[[#All],[Sold Amount]]))</f>
        <v>38372</v>
      </c>
      <c r="N430" s="5">
        <f>IFERROR(Table25[[#This Row],[Total sold amount]]/Table25[[#This Row],[Total Sold number of stocks]],"")</f>
        <v>91.579952267303099</v>
      </c>
      <c r="O430" s="4">
        <f>IFERROR(Table25[[#This Row],[Total Amount bought]]/Table25[[#This Row],[Total number bought]],"")</f>
        <v>92.017947494033422</v>
      </c>
      <c r="P430" s="4">
        <f>IFERROR((Table25[[#This Row],[Average sell price]]-Table25[[#This Row],[Average buy price]])*Table25[[#This Row],[Total Sold number of stocks]],0)</f>
        <v>-183.5200000000051</v>
      </c>
      <c r="Q430" s="85">
        <f>SUMIF(Table25[[#All],[Assets]],Table25[[#This Row],[Assets]],Table25[[#All],[Number of stocks]])</f>
        <v>0</v>
      </c>
    </row>
    <row r="431" spans="1:17">
      <c r="A431" t="e" vm="456">
        <v>#VALUE!</v>
      </c>
      <c r="B431" s="2">
        <v>45569</v>
      </c>
      <c r="C431" t="str" cm="1">
        <f t="array" aca="1" ref="C431" ca="1">_FV(A431,"Ticker symbol",TRUE)</f>
        <v>BIL</v>
      </c>
      <c r="D431" s="4">
        <v>91.51</v>
      </c>
      <c r="E431" s="50">
        <v>-25</v>
      </c>
      <c r="F431" s="81">
        <f>IF(Table25[[#This Row],[Number of stocks]]&gt;0,Table25[[#This Row],[Number of stocks]],0)</f>
        <v>0</v>
      </c>
      <c r="G431" s="73">
        <f>Table25[[#This Row],[Bought]]*Table25[[#This Row],[Price]]</f>
        <v>0</v>
      </c>
      <c r="H431">
        <f>SUMIF(Table25[[#All],[Assets]],Table25[[#This Row],[Assets]],Table25[[#All],[Bought]])</f>
        <v>419</v>
      </c>
      <c r="I431">
        <f>SUMIF(Table25[[#All],[Assets]],Table25[[#This Row],[Assets]],Table25[[#All],[Bought Amount]])</f>
        <v>38555.520000000004</v>
      </c>
      <c r="J431" s="88">
        <f>IF(Table25[[#This Row],[Number of stocks]]&lt;0,Table25[[#This Row],[Number of stocks]],0)</f>
        <v>-25</v>
      </c>
      <c r="K431" s="5">
        <f>Table25[[#This Row],[Sold]]*Table25[[#This Row],[Price]]</f>
        <v>-2287.75</v>
      </c>
      <c r="L431" s="8">
        <f>ABS(SUMIF(Table25[[#All],[Assets]],Table25[[#This Row],[Assets]],Table25[[#All],[Sold]]))</f>
        <v>419</v>
      </c>
      <c r="M431" s="5">
        <f>ABS(SUMIF(Table25[[#All],[Assets]],Table25[[#This Row],[Assets]],Table25[[#All],[Sold Amount]]))</f>
        <v>38372</v>
      </c>
      <c r="N431" s="5">
        <f>IFERROR(Table25[[#This Row],[Total sold amount]]/Table25[[#This Row],[Total Sold number of stocks]],"")</f>
        <v>91.579952267303099</v>
      </c>
      <c r="O431" s="4">
        <f>IFERROR(Table25[[#This Row],[Total Amount bought]]/Table25[[#This Row],[Total number bought]],"")</f>
        <v>92.017947494033422</v>
      </c>
      <c r="P431" s="4">
        <f>IFERROR((Table25[[#This Row],[Average sell price]]-Table25[[#This Row],[Average buy price]])*Table25[[#This Row],[Total Sold number of stocks]],0)</f>
        <v>-183.5200000000051</v>
      </c>
      <c r="Q431" s="85">
        <f>SUMIF(Table25[[#All],[Assets]],Table25[[#This Row],[Assets]],Table25[[#All],[Number of stocks]])</f>
        <v>0</v>
      </c>
    </row>
    <row r="432" spans="1:17">
      <c r="A432" t="e" vm="26">
        <v>#VALUE!</v>
      </c>
      <c r="B432" s="2">
        <v>45569</v>
      </c>
      <c r="C432" t="str" cm="1">
        <f t="array" aca="1" ref="C432" ca="1">_FV(A432,"Ticker symbol",TRUE)</f>
        <v>AEHR</v>
      </c>
      <c r="D432" s="4">
        <v>12.33</v>
      </c>
      <c r="E432" s="50">
        <v>175</v>
      </c>
      <c r="F432" s="81">
        <f>IF(Table25[[#This Row],[Number of stocks]]&gt;0,Table25[[#This Row],[Number of stocks]],0)</f>
        <v>175</v>
      </c>
      <c r="G432" s="73">
        <f>Table25[[#This Row],[Bought]]*Table25[[#This Row],[Price]]</f>
        <v>2157.75</v>
      </c>
      <c r="H432">
        <f>SUMIF(Table25[[#All],[Assets]],Table25[[#This Row],[Assets]],Table25[[#All],[Bought]])</f>
        <v>559</v>
      </c>
      <c r="I432">
        <f>SUMIF(Table25[[#All],[Assets]],Table25[[#This Row],[Assets]],Table25[[#All],[Bought Amount]])</f>
        <v>7405.6399999999994</v>
      </c>
      <c r="J432" s="88">
        <f>IF(Table25[[#This Row],[Number of stocks]]&lt;0,Table25[[#This Row],[Number of stocks]],0)</f>
        <v>0</v>
      </c>
      <c r="K432" s="5">
        <f>Table25[[#This Row],[Sold]]*Table25[[#This Row],[Price]]</f>
        <v>0</v>
      </c>
      <c r="L432" s="8">
        <f>ABS(SUMIF(Table25[[#All],[Assets]],Table25[[#This Row],[Assets]],Table25[[#All],[Sold]]))</f>
        <v>539</v>
      </c>
      <c r="M432" s="5">
        <f>ABS(SUMIF(Table25[[#All],[Assets]],Table25[[#This Row],[Assets]],Table25[[#All],[Sold Amount]]))</f>
        <v>9662.32</v>
      </c>
      <c r="N432" s="5">
        <f>IFERROR(Table25[[#This Row],[Total sold amount]]/Table25[[#This Row],[Total Sold number of stocks]],"")</f>
        <v>17.92638218923933</v>
      </c>
      <c r="O432" s="4">
        <f>IFERROR(Table25[[#This Row],[Total Amount bought]]/Table25[[#This Row],[Total number bought]],"")</f>
        <v>13.248014311270124</v>
      </c>
      <c r="P432" s="4">
        <f>IFERROR((Table25[[#This Row],[Average sell price]]-Table25[[#This Row],[Average buy price]])*Table25[[#This Row],[Total Sold number of stocks]],0)</f>
        <v>2521.6402862254022</v>
      </c>
      <c r="Q432" s="85">
        <f>SUMIF(Table25[[#All],[Assets]],Table25[[#This Row],[Assets]],Table25[[#All],[Number of stocks]])</f>
        <v>20</v>
      </c>
    </row>
    <row r="433" spans="1:17">
      <c r="A433" t="e" vm="131">
        <v>#VALUE!</v>
      </c>
      <c r="B433" s="2">
        <v>45569</v>
      </c>
      <c r="C433" t="str" cm="1">
        <f t="array" aca="1" ref="C433" ca="1">_FV(A433,"Ticker symbol",TRUE)</f>
        <v>INTU</v>
      </c>
      <c r="D433" s="4">
        <v>612.83000000000004</v>
      </c>
      <c r="E433" s="50">
        <v>2</v>
      </c>
      <c r="F433" s="81">
        <f>IF(Table25[[#This Row],[Number of stocks]]&gt;0,Table25[[#This Row],[Number of stocks]],0)</f>
        <v>2</v>
      </c>
      <c r="G433" s="73">
        <f>Table25[[#This Row],[Bought]]*Table25[[#This Row],[Price]]</f>
        <v>1225.6600000000001</v>
      </c>
      <c r="H433">
        <f>SUMIF(Table25[[#All],[Assets]],Table25[[#This Row],[Assets]],Table25[[#All],[Bought]])</f>
        <v>2</v>
      </c>
      <c r="I433">
        <f>SUMIF(Table25[[#All],[Assets]],Table25[[#This Row],[Assets]],Table25[[#All],[Bought Amount]])</f>
        <v>1225.6600000000001</v>
      </c>
      <c r="J433" s="88">
        <f>IF(Table25[[#This Row],[Number of stocks]]&lt;0,Table25[[#This Row],[Number of stocks]],0)</f>
        <v>0</v>
      </c>
      <c r="K433" s="5">
        <f>Table25[[#This Row],[Sold]]*Table25[[#This Row],[Price]]</f>
        <v>0</v>
      </c>
      <c r="L433" s="8">
        <f>ABS(SUMIF(Table25[[#All],[Assets]],Table25[[#This Row],[Assets]],Table25[[#All],[Sold]]))</f>
        <v>2</v>
      </c>
      <c r="M433" s="5">
        <f>ABS(SUMIF(Table25[[#All],[Assets]],Table25[[#This Row],[Assets]],Table25[[#All],[Sold Amount]]))</f>
        <v>1194.33</v>
      </c>
      <c r="N433" s="5">
        <f>IFERROR(Table25[[#This Row],[Total sold amount]]/Table25[[#This Row],[Total Sold number of stocks]],"")</f>
        <v>597.16499999999996</v>
      </c>
      <c r="O433" s="4">
        <f>IFERROR(Table25[[#This Row],[Total Amount bought]]/Table25[[#This Row],[Total number bought]],"")</f>
        <v>612.83000000000004</v>
      </c>
      <c r="P433" s="4">
        <f>IFERROR((Table25[[#This Row],[Average sell price]]-Table25[[#This Row],[Average buy price]])*Table25[[#This Row],[Total Sold number of stocks]],0)</f>
        <v>-31.330000000000155</v>
      </c>
      <c r="Q433" s="85">
        <f>SUMIF(Table25[[#All],[Assets]],Table25[[#This Row],[Assets]],Table25[[#All],[Number of stocks]])</f>
        <v>0</v>
      </c>
    </row>
    <row r="434" spans="1:17">
      <c r="A434" t="e" vm="160">
        <v>#VALUE!</v>
      </c>
      <c r="B434" s="2">
        <v>45568</v>
      </c>
      <c r="C434" t="str" cm="1">
        <f t="array" aca="1" ref="C434" ca="1">_FV(A434,"Ticker symbol",TRUE)</f>
        <v>VST</v>
      </c>
      <c r="D434" s="4">
        <v>133.5</v>
      </c>
      <c r="E434" s="50">
        <v>-8</v>
      </c>
      <c r="F434" s="81">
        <f>IF(Table25[[#This Row],[Number of stocks]]&gt;0,Table25[[#This Row],[Number of stocks]],0)</f>
        <v>0</v>
      </c>
      <c r="G434" s="73">
        <f>Table25[[#This Row],[Bought]]*Table25[[#This Row],[Price]]</f>
        <v>0</v>
      </c>
      <c r="H434">
        <f>SUMIF(Table25[[#All],[Assets]],Table25[[#This Row],[Assets]],Table25[[#All],[Bought]])</f>
        <v>8</v>
      </c>
      <c r="I434">
        <f>SUMIF(Table25[[#All],[Assets]],Table25[[#This Row],[Assets]],Table25[[#All],[Bought Amount]])</f>
        <v>620.8900000000001</v>
      </c>
      <c r="J434" s="88">
        <f>IF(Table25[[#This Row],[Number of stocks]]&lt;0,Table25[[#This Row],[Number of stocks]],0)</f>
        <v>-8</v>
      </c>
      <c r="K434" s="5">
        <f>Table25[[#This Row],[Sold]]*Table25[[#This Row],[Price]]</f>
        <v>-1068</v>
      </c>
      <c r="L434" s="8">
        <f>ABS(SUMIF(Table25[[#All],[Assets]],Table25[[#This Row],[Assets]],Table25[[#All],[Sold]]))</f>
        <v>8</v>
      </c>
      <c r="M434" s="5">
        <f>ABS(SUMIF(Table25[[#All],[Assets]],Table25[[#This Row],[Assets]],Table25[[#All],[Sold Amount]]))</f>
        <v>1068</v>
      </c>
      <c r="N434" s="5">
        <f>IFERROR(Table25[[#This Row],[Total sold amount]]/Table25[[#This Row],[Total Sold number of stocks]],"")</f>
        <v>133.5</v>
      </c>
      <c r="O434" s="4">
        <f>IFERROR(Table25[[#This Row],[Total Amount bought]]/Table25[[#This Row],[Total number bought]],"")</f>
        <v>77.611250000000013</v>
      </c>
      <c r="P434" s="4">
        <f>IFERROR((Table25[[#This Row],[Average sell price]]-Table25[[#This Row],[Average buy price]])*Table25[[#This Row],[Total Sold number of stocks]],0)</f>
        <v>447.1099999999999</v>
      </c>
      <c r="Q434" s="85">
        <f>SUMIF(Table25[[#All],[Assets]],Table25[[#This Row],[Assets]],Table25[[#All],[Number of stocks]])</f>
        <v>0</v>
      </c>
    </row>
    <row r="435" spans="1:17">
      <c r="A435" t="e" vm="169">
        <v>#VALUE!</v>
      </c>
      <c r="B435" s="2">
        <v>45572</v>
      </c>
      <c r="C435" t="str" cm="1">
        <f t="array" aca="1" ref="C435" ca="1">_FV(A435,"Ticker symbol",TRUE)</f>
        <v>CVS</v>
      </c>
      <c r="D435" s="4">
        <v>64.95</v>
      </c>
      <c r="E435" s="50">
        <v>-10</v>
      </c>
      <c r="F435" s="81">
        <f>IF(Table25[[#This Row],[Number of stocks]]&gt;0,Table25[[#This Row],[Number of stocks]],0)</f>
        <v>0</v>
      </c>
      <c r="G435" s="73">
        <f>Table25[[#This Row],[Bought]]*Table25[[#This Row],[Price]]</f>
        <v>0</v>
      </c>
      <c r="H435">
        <f>SUMIF(Table25[[#All],[Assets]],Table25[[#This Row],[Assets]],Table25[[#All],[Bought]])</f>
        <v>104</v>
      </c>
      <c r="I435">
        <f>SUMIF(Table25[[#All],[Assets]],Table25[[#This Row],[Assets]],Table25[[#All],[Bought Amount]])</f>
        <v>6111.46</v>
      </c>
      <c r="J435" s="88">
        <f>IF(Table25[[#This Row],[Number of stocks]]&lt;0,Table25[[#This Row],[Number of stocks]],0)</f>
        <v>-10</v>
      </c>
      <c r="K435" s="5">
        <f>Table25[[#This Row],[Sold]]*Table25[[#This Row],[Price]]</f>
        <v>-649.5</v>
      </c>
      <c r="L435" s="8">
        <f>ABS(SUMIF(Table25[[#All],[Assets]],Table25[[#This Row],[Assets]],Table25[[#All],[Sold]]))</f>
        <v>104</v>
      </c>
      <c r="M435" s="5">
        <f>ABS(SUMIF(Table25[[#All],[Assets]],Table25[[#This Row],[Assets]],Table25[[#All],[Sold Amount]]))</f>
        <v>6244.5899999999992</v>
      </c>
      <c r="N435" s="5">
        <f>IFERROR(Table25[[#This Row],[Total sold amount]]/Table25[[#This Row],[Total Sold number of stocks]],"")</f>
        <v>60.044134615384607</v>
      </c>
      <c r="O435" s="4">
        <f>IFERROR(Table25[[#This Row],[Total Amount bought]]/Table25[[#This Row],[Total number bought]],"")</f>
        <v>58.764038461538462</v>
      </c>
      <c r="P435" s="4">
        <f>IFERROR((Table25[[#This Row],[Average sell price]]-Table25[[#This Row],[Average buy price]])*Table25[[#This Row],[Total Sold number of stocks]],0)</f>
        <v>133.12999999999909</v>
      </c>
      <c r="Q435" s="85">
        <f>SUMIF(Table25[[#All],[Assets]],Table25[[#This Row],[Assets]],Table25[[#All],[Number of stocks]])</f>
        <v>0</v>
      </c>
    </row>
    <row r="436" spans="1:17">
      <c r="A436" t="e" vm="563">
        <v>#VALUE!</v>
      </c>
      <c r="B436" s="2">
        <v>45544</v>
      </c>
      <c r="C436" t="str" cm="1">
        <f t="array" aca="1" ref="C436" ca="1">_FV(A436,"Ticker symbol",TRUE)</f>
        <v>PLTR</v>
      </c>
      <c r="D436" s="4">
        <v>34.47</v>
      </c>
      <c r="E436" s="50">
        <v>-10</v>
      </c>
      <c r="F436" s="81">
        <f>IF(Table25[[#This Row],[Number of stocks]]&gt;0,Table25[[#This Row],[Number of stocks]],0)</f>
        <v>0</v>
      </c>
      <c r="G436" s="73">
        <f>Table25[[#This Row],[Bought]]*Table25[[#This Row],[Price]]</f>
        <v>0</v>
      </c>
      <c r="H436">
        <f>SUMIF(Table25[[#All],[Assets]],Table25[[#This Row],[Assets]],Table25[[#All],[Bought]])</f>
        <v>10</v>
      </c>
      <c r="I436">
        <f>SUMIF(Table25[[#All],[Assets]],Table25[[#This Row],[Assets]],Table25[[#All],[Bought Amount]])</f>
        <v>272.10000000000002</v>
      </c>
      <c r="J436" s="88">
        <f>IF(Table25[[#This Row],[Number of stocks]]&lt;0,Table25[[#This Row],[Number of stocks]],0)</f>
        <v>-10</v>
      </c>
      <c r="K436" s="5">
        <f>Table25[[#This Row],[Sold]]*Table25[[#This Row],[Price]]</f>
        <v>-344.7</v>
      </c>
      <c r="L436" s="8">
        <f>ABS(SUMIF(Table25[[#All],[Assets]],Table25[[#This Row],[Assets]],Table25[[#All],[Sold]]))</f>
        <v>10</v>
      </c>
      <c r="M436" s="5">
        <f>ABS(SUMIF(Table25[[#All],[Assets]],Table25[[#This Row],[Assets]],Table25[[#All],[Sold Amount]]))</f>
        <v>344.7</v>
      </c>
      <c r="N436" s="5">
        <f>IFERROR(Table25[[#This Row],[Total sold amount]]/Table25[[#This Row],[Total Sold number of stocks]],"")</f>
        <v>34.47</v>
      </c>
      <c r="O436" s="4">
        <f>IFERROR(Table25[[#This Row],[Total Amount bought]]/Table25[[#This Row],[Total number bought]],"")</f>
        <v>27.21</v>
      </c>
      <c r="P436" s="4">
        <f>IFERROR((Table25[[#This Row],[Average sell price]]-Table25[[#This Row],[Average buy price]])*Table25[[#This Row],[Total Sold number of stocks]],0)</f>
        <v>72.59999999999998</v>
      </c>
      <c r="Q436" s="85">
        <f>SUMIF(Table25[[#All],[Assets]],Table25[[#This Row],[Assets]],Table25[[#All],[Number of stocks]])</f>
        <v>0</v>
      </c>
    </row>
    <row r="437" spans="1:17">
      <c r="A437" t="e" vm="34">
        <v>#VALUE!</v>
      </c>
      <c r="B437" s="2">
        <v>45572</v>
      </c>
      <c r="C437" t="str" cm="1">
        <f t="array" aca="1" ref="C437" ca="1">_FV(A437,"Ticker symbol",TRUE)</f>
        <v>TSM</v>
      </c>
      <c r="D437" s="4">
        <v>183.64</v>
      </c>
      <c r="E437" s="50">
        <v>-4</v>
      </c>
      <c r="F437" s="81">
        <f>IF(Table25[[#This Row],[Number of stocks]]&gt;0,Table25[[#This Row],[Number of stocks]],0)</f>
        <v>0</v>
      </c>
      <c r="G437" s="73">
        <f>Table25[[#This Row],[Bought]]*Table25[[#This Row],[Price]]</f>
        <v>0</v>
      </c>
      <c r="H437">
        <f>SUMIF(Table25[[#All],[Assets]],Table25[[#This Row],[Assets]],Table25[[#All],[Bought]])</f>
        <v>45</v>
      </c>
      <c r="I437">
        <f>SUMIF(Table25[[#All],[Assets]],Table25[[#This Row],[Assets]],Table25[[#All],[Bought Amount]])</f>
        <v>7503.4800000000005</v>
      </c>
      <c r="J437" s="88">
        <f>IF(Table25[[#This Row],[Number of stocks]]&lt;0,Table25[[#This Row],[Number of stocks]],0)</f>
        <v>-4</v>
      </c>
      <c r="K437" s="5">
        <f>Table25[[#This Row],[Sold]]*Table25[[#This Row],[Price]]</f>
        <v>-734.56</v>
      </c>
      <c r="L437" s="8">
        <f>ABS(SUMIF(Table25[[#All],[Assets]],Table25[[#This Row],[Assets]],Table25[[#All],[Sold]]))</f>
        <v>44</v>
      </c>
      <c r="M437" s="5">
        <f>ABS(SUMIF(Table25[[#All],[Assets]],Table25[[#This Row],[Assets]],Table25[[#All],[Sold Amount]]))</f>
        <v>7951.28</v>
      </c>
      <c r="N437" s="5">
        <f>IFERROR(Table25[[#This Row],[Total sold amount]]/Table25[[#This Row],[Total Sold number of stocks]],"")</f>
        <v>180.7109090909091</v>
      </c>
      <c r="O437" s="4">
        <f>IFERROR(Table25[[#This Row],[Total Amount bought]]/Table25[[#This Row],[Total number bought]],"")</f>
        <v>166.744</v>
      </c>
      <c r="P437" s="4">
        <f>IFERROR((Table25[[#This Row],[Average sell price]]-Table25[[#This Row],[Average buy price]])*Table25[[#This Row],[Total Sold number of stocks]],0)</f>
        <v>614.54400000000032</v>
      </c>
      <c r="Q437" s="85">
        <f>SUMIF(Table25[[#All],[Assets]],Table25[[#This Row],[Assets]],Table25[[#All],[Number of stocks]])</f>
        <v>1</v>
      </c>
    </row>
    <row r="438" spans="1:17">
      <c r="A438" t="e" vm="349">
        <v>#VALUE!</v>
      </c>
      <c r="B438" s="2">
        <v>45572</v>
      </c>
      <c r="C438" t="str" cm="1">
        <f t="array" aca="1" ref="C438" ca="1">_FV(A438,"Ticker symbol",TRUE)</f>
        <v>ULH</v>
      </c>
      <c r="D438" s="4">
        <v>45.93</v>
      </c>
      <c r="E438" s="50">
        <v>-5</v>
      </c>
      <c r="F438" s="81">
        <f>IF(Table25[[#This Row],[Number of stocks]]&gt;0,Table25[[#This Row],[Number of stocks]],0)</f>
        <v>0</v>
      </c>
      <c r="G438" s="73">
        <f>Table25[[#This Row],[Bought]]*Table25[[#This Row],[Price]]</f>
        <v>0</v>
      </c>
      <c r="H438">
        <f>SUMIF(Table25[[#All],[Assets]],Table25[[#This Row],[Assets]],Table25[[#All],[Bought]])</f>
        <v>5</v>
      </c>
      <c r="I438">
        <f>SUMIF(Table25[[#All],[Assets]],Table25[[#This Row],[Assets]],Table25[[#All],[Bought Amount]])</f>
        <v>206</v>
      </c>
      <c r="J438" s="88">
        <f>IF(Table25[[#This Row],[Number of stocks]]&lt;0,Table25[[#This Row],[Number of stocks]],0)</f>
        <v>-5</v>
      </c>
      <c r="K438" s="5">
        <f>Table25[[#This Row],[Sold]]*Table25[[#This Row],[Price]]</f>
        <v>-229.65</v>
      </c>
      <c r="L438" s="8">
        <f>ABS(SUMIF(Table25[[#All],[Assets]],Table25[[#This Row],[Assets]],Table25[[#All],[Sold]]))</f>
        <v>5</v>
      </c>
      <c r="M438" s="5">
        <f>ABS(SUMIF(Table25[[#All],[Assets]],Table25[[#This Row],[Assets]],Table25[[#All],[Sold Amount]]))</f>
        <v>229.65</v>
      </c>
      <c r="N438" s="5">
        <f>IFERROR(Table25[[#This Row],[Total sold amount]]/Table25[[#This Row],[Total Sold number of stocks]],"")</f>
        <v>45.93</v>
      </c>
      <c r="O438" s="4">
        <f>IFERROR(Table25[[#This Row],[Total Amount bought]]/Table25[[#This Row],[Total number bought]],"")</f>
        <v>41.2</v>
      </c>
      <c r="P438" s="4">
        <f>IFERROR((Table25[[#This Row],[Average sell price]]-Table25[[#This Row],[Average buy price]])*Table25[[#This Row],[Total Sold number of stocks]],0)</f>
        <v>23.649999999999984</v>
      </c>
      <c r="Q438" s="85">
        <f>SUMIF(Table25[[#All],[Assets]],Table25[[#This Row],[Assets]],Table25[[#All],[Number of stocks]])</f>
        <v>0</v>
      </c>
    </row>
    <row r="439" spans="1:17">
      <c r="A439" t="e" vm="448">
        <v>#VALUE!</v>
      </c>
      <c r="B439" s="2">
        <v>45572</v>
      </c>
      <c r="C439" t="str" cm="1">
        <f t="array" aca="1" ref="C439" ca="1">_FV(A439,"Ticker symbol",TRUE)</f>
        <v>AZZ</v>
      </c>
      <c r="D439" s="4">
        <v>81.81</v>
      </c>
      <c r="E439" s="50">
        <v>-10</v>
      </c>
      <c r="F439" s="81">
        <f>IF(Table25[[#This Row],[Number of stocks]]&gt;0,Table25[[#This Row],[Number of stocks]],0)</f>
        <v>0</v>
      </c>
      <c r="G439" s="73">
        <f>Table25[[#This Row],[Bought]]*Table25[[#This Row],[Price]]</f>
        <v>0</v>
      </c>
      <c r="H439">
        <f>SUMIF(Table25[[#All],[Assets]],Table25[[#This Row],[Assets]],Table25[[#All],[Bought]])</f>
        <v>10</v>
      </c>
      <c r="I439">
        <f>SUMIF(Table25[[#All],[Assets]],Table25[[#This Row],[Assets]],Table25[[#All],[Bought Amount]])</f>
        <v>790.69999999999993</v>
      </c>
      <c r="J439" s="88">
        <f>IF(Table25[[#This Row],[Number of stocks]]&lt;0,Table25[[#This Row],[Number of stocks]],0)</f>
        <v>-10</v>
      </c>
      <c r="K439" s="5">
        <f>Table25[[#This Row],[Sold]]*Table25[[#This Row],[Price]]</f>
        <v>-818.1</v>
      </c>
      <c r="L439" s="8">
        <f>ABS(SUMIF(Table25[[#All],[Assets]],Table25[[#This Row],[Assets]],Table25[[#All],[Sold]]))</f>
        <v>10</v>
      </c>
      <c r="M439" s="5">
        <f>ABS(SUMIF(Table25[[#All],[Assets]],Table25[[#This Row],[Assets]],Table25[[#All],[Sold Amount]]))</f>
        <v>818.1</v>
      </c>
      <c r="N439" s="5">
        <f>IFERROR(Table25[[#This Row],[Total sold amount]]/Table25[[#This Row],[Total Sold number of stocks]],"")</f>
        <v>81.81</v>
      </c>
      <c r="O439" s="4">
        <f>IFERROR(Table25[[#This Row],[Total Amount bought]]/Table25[[#This Row],[Total number bought]],"")</f>
        <v>79.069999999999993</v>
      </c>
      <c r="P439" s="4">
        <f>IFERROR((Table25[[#This Row],[Average sell price]]-Table25[[#This Row],[Average buy price]])*Table25[[#This Row],[Total Sold number of stocks]],0)</f>
        <v>27.400000000000091</v>
      </c>
      <c r="Q439" s="85">
        <f>SUMIF(Table25[[#All],[Assets]],Table25[[#This Row],[Assets]],Table25[[#All],[Number of stocks]])</f>
        <v>0</v>
      </c>
    </row>
    <row r="440" spans="1:17">
      <c r="A440" t="e" vm="253">
        <v>#VALUE!</v>
      </c>
      <c r="B440" s="2">
        <v>45572</v>
      </c>
      <c r="C440" t="str" cm="1">
        <f t="array" aca="1" ref="C440" ca="1">_FV(A440,"Ticker symbol",TRUE)</f>
        <v>QS</v>
      </c>
      <c r="D440" s="4">
        <v>5.5</v>
      </c>
      <c r="E440" s="50">
        <v>-20</v>
      </c>
      <c r="F440" s="81">
        <f>IF(Table25[[#This Row],[Number of stocks]]&gt;0,Table25[[#This Row],[Number of stocks]],0)</f>
        <v>0</v>
      </c>
      <c r="G440" s="73">
        <f>Table25[[#This Row],[Bought]]*Table25[[#This Row],[Price]]</f>
        <v>0</v>
      </c>
      <c r="H440">
        <f>SUMIF(Table25[[#All],[Assets]],Table25[[#This Row],[Assets]],Table25[[#All],[Bought]])</f>
        <v>120</v>
      </c>
      <c r="I440">
        <f>SUMIF(Table25[[#All],[Assets]],Table25[[#This Row],[Assets]],Table25[[#All],[Bought Amount]])</f>
        <v>702.6</v>
      </c>
      <c r="J440" s="88">
        <f>IF(Table25[[#This Row],[Number of stocks]]&lt;0,Table25[[#This Row],[Number of stocks]],0)</f>
        <v>-20</v>
      </c>
      <c r="K440" s="5">
        <f>Table25[[#This Row],[Sold]]*Table25[[#This Row],[Price]]</f>
        <v>-110</v>
      </c>
      <c r="L440" s="8">
        <f>ABS(SUMIF(Table25[[#All],[Assets]],Table25[[#This Row],[Assets]],Table25[[#All],[Sold]]))</f>
        <v>120</v>
      </c>
      <c r="M440" s="5">
        <f>ABS(SUMIF(Table25[[#All],[Assets]],Table25[[#This Row],[Assets]],Table25[[#All],[Sold Amount]]))</f>
        <v>1188</v>
      </c>
      <c r="N440" s="5">
        <f>IFERROR(Table25[[#This Row],[Total sold amount]]/Table25[[#This Row],[Total Sold number of stocks]],"")</f>
        <v>9.9</v>
      </c>
      <c r="O440" s="4">
        <f>IFERROR(Table25[[#This Row],[Total Amount bought]]/Table25[[#This Row],[Total number bought]],"")</f>
        <v>5.8550000000000004</v>
      </c>
      <c r="P440" s="4">
        <f>IFERROR((Table25[[#This Row],[Average sell price]]-Table25[[#This Row],[Average buy price]])*Table25[[#This Row],[Total Sold number of stocks]],0)</f>
        <v>485.4</v>
      </c>
      <c r="Q440" s="85">
        <f>SUMIF(Table25[[#All],[Assets]],Table25[[#This Row],[Assets]],Table25[[#All],[Number of stocks]])</f>
        <v>0</v>
      </c>
    </row>
    <row r="441" spans="1:17">
      <c r="A441" t="e" vm="487">
        <v>#VALUE!</v>
      </c>
      <c r="B441" s="2">
        <v>45572</v>
      </c>
      <c r="C441" t="str" cm="1">
        <f t="array" aca="1" ref="C441" ca="1">_FV(A441,"Ticker symbol",TRUE)</f>
        <v>ENR</v>
      </c>
      <c r="D441" s="4">
        <v>31.65</v>
      </c>
      <c r="E441" s="50">
        <v>-20</v>
      </c>
      <c r="F441" s="81">
        <f>IF(Table25[[#This Row],[Number of stocks]]&gt;0,Table25[[#This Row],[Number of stocks]],0)</f>
        <v>0</v>
      </c>
      <c r="G441" s="73">
        <f>Table25[[#This Row],[Bought]]*Table25[[#This Row],[Price]]</f>
        <v>0</v>
      </c>
      <c r="H441">
        <f>SUMIF(Table25[[#All],[Assets]],Table25[[#This Row],[Assets]],Table25[[#All],[Bought]])</f>
        <v>20</v>
      </c>
      <c r="I441">
        <f>SUMIF(Table25[[#All],[Assets]],Table25[[#This Row],[Assets]],Table25[[#All],[Bought Amount]])</f>
        <v>557.4</v>
      </c>
      <c r="J441" s="88">
        <f>IF(Table25[[#This Row],[Number of stocks]]&lt;0,Table25[[#This Row],[Number of stocks]],0)</f>
        <v>-20</v>
      </c>
      <c r="K441" s="5">
        <f>Table25[[#This Row],[Sold]]*Table25[[#This Row],[Price]]</f>
        <v>-633</v>
      </c>
      <c r="L441" s="8">
        <f>ABS(SUMIF(Table25[[#All],[Assets]],Table25[[#This Row],[Assets]],Table25[[#All],[Sold]]))</f>
        <v>20</v>
      </c>
      <c r="M441" s="5">
        <f>ABS(SUMIF(Table25[[#All],[Assets]],Table25[[#This Row],[Assets]],Table25[[#All],[Sold Amount]]))</f>
        <v>633</v>
      </c>
      <c r="N441" s="5">
        <f>IFERROR(Table25[[#This Row],[Total sold amount]]/Table25[[#This Row],[Total Sold number of stocks]],"")</f>
        <v>31.65</v>
      </c>
      <c r="O441" s="4">
        <f>IFERROR(Table25[[#This Row],[Total Amount bought]]/Table25[[#This Row],[Total number bought]],"")</f>
        <v>27.869999999999997</v>
      </c>
      <c r="P441" s="4">
        <f>IFERROR((Table25[[#This Row],[Average sell price]]-Table25[[#This Row],[Average buy price]])*Table25[[#This Row],[Total Sold number of stocks]],0)</f>
        <v>75.600000000000023</v>
      </c>
      <c r="Q441" s="85">
        <f>SUMIF(Table25[[#All],[Assets]],Table25[[#This Row],[Assets]],Table25[[#All],[Number of stocks]])</f>
        <v>0</v>
      </c>
    </row>
    <row r="442" spans="1:17">
      <c r="A442" t="e" vm="391">
        <v>#VALUE!</v>
      </c>
      <c r="B442" s="2">
        <v>45572</v>
      </c>
      <c r="C442" t="str" cm="1">
        <f t="array" aca="1" ref="C442" ca="1">_FV(A442,"Ticker symbol",TRUE)</f>
        <v>SQM</v>
      </c>
      <c r="D442" s="4">
        <v>42.5</v>
      </c>
      <c r="E442" s="50">
        <v>-4</v>
      </c>
      <c r="F442" s="81">
        <f>IF(Table25[[#This Row],[Number of stocks]]&gt;0,Table25[[#This Row],[Number of stocks]],0)</f>
        <v>0</v>
      </c>
      <c r="G442" s="73">
        <f>Table25[[#This Row],[Bought]]*Table25[[#This Row],[Price]]</f>
        <v>0</v>
      </c>
      <c r="H442">
        <f>SUMIF(Table25[[#All],[Assets]],Table25[[#This Row],[Assets]],Table25[[#All],[Bought]])</f>
        <v>4</v>
      </c>
      <c r="I442">
        <f>SUMIF(Table25[[#All],[Assets]],Table25[[#This Row],[Assets]],Table25[[#All],[Bought Amount]])</f>
        <v>181.52</v>
      </c>
      <c r="J442" s="88">
        <f>IF(Table25[[#This Row],[Number of stocks]]&lt;0,Table25[[#This Row],[Number of stocks]],0)</f>
        <v>-4</v>
      </c>
      <c r="K442" s="5">
        <f>Table25[[#This Row],[Sold]]*Table25[[#This Row],[Price]]</f>
        <v>-170</v>
      </c>
      <c r="L442" s="8">
        <f>ABS(SUMIF(Table25[[#All],[Assets]],Table25[[#This Row],[Assets]],Table25[[#All],[Sold]]))</f>
        <v>4</v>
      </c>
      <c r="M442" s="5">
        <f>ABS(SUMIF(Table25[[#All],[Assets]],Table25[[#This Row],[Assets]],Table25[[#All],[Sold Amount]]))</f>
        <v>170</v>
      </c>
      <c r="N442" s="5">
        <f>IFERROR(Table25[[#This Row],[Total sold amount]]/Table25[[#This Row],[Total Sold number of stocks]],"")</f>
        <v>42.5</v>
      </c>
      <c r="O442" s="4">
        <f>IFERROR(Table25[[#This Row],[Total Amount bought]]/Table25[[#This Row],[Total number bought]],"")</f>
        <v>45.38</v>
      </c>
      <c r="P442" s="4">
        <f>IFERROR((Table25[[#This Row],[Average sell price]]-Table25[[#This Row],[Average buy price]])*Table25[[#This Row],[Total Sold number of stocks]],0)</f>
        <v>-11.52000000000001</v>
      </c>
      <c r="Q442" s="85">
        <f>SUMIF(Table25[[#All],[Assets]],Table25[[#This Row],[Assets]],Table25[[#All],[Number of stocks]])</f>
        <v>0</v>
      </c>
    </row>
    <row r="443" spans="1:17">
      <c r="A443" t="e" vm="469">
        <v>#VALUE!</v>
      </c>
      <c r="B443" s="2">
        <v>45572</v>
      </c>
      <c r="C443" t="str" cm="1">
        <f t="array" aca="1" ref="C443" ca="1">_FV(A443,"Ticker symbol",TRUE)</f>
        <v>LNN</v>
      </c>
      <c r="D443" s="4">
        <v>121.93</v>
      </c>
      <c r="E443" s="50">
        <v>-5</v>
      </c>
      <c r="F443" s="81">
        <f>IF(Table25[[#This Row],[Number of stocks]]&gt;0,Table25[[#This Row],[Number of stocks]],0)</f>
        <v>0</v>
      </c>
      <c r="G443" s="73">
        <f>Table25[[#This Row],[Bought]]*Table25[[#This Row],[Price]]</f>
        <v>0</v>
      </c>
      <c r="H443">
        <f>SUMIF(Table25[[#All],[Assets]],Table25[[#This Row],[Assets]],Table25[[#All],[Bought]])</f>
        <v>10</v>
      </c>
      <c r="I443">
        <f>SUMIF(Table25[[#All],[Assets]],Table25[[#This Row],[Assets]],Table25[[#All],[Bought Amount]])</f>
        <v>1343.3</v>
      </c>
      <c r="J443" s="88">
        <f>IF(Table25[[#This Row],[Number of stocks]]&lt;0,Table25[[#This Row],[Number of stocks]],0)</f>
        <v>-5</v>
      </c>
      <c r="K443" s="5">
        <f>Table25[[#This Row],[Sold]]*Table25[[#This Row],[Price]]</f>
        <v>-609.65000000000009</v>
      </c>
      <c r="L443" s="8">
        <f>ABS(SUMIF(Table25[[#All],[Assets]],Table25[[#This Row],[Assets]],Table25[[#All],[Sold]]))</f>
        <v>10</v>
      </c>
      <c r="M443" s="5">
        <f>ABS(SUMIF(Table25[[#All],[Assets]],Table25[[#This Row],[Assets]],Table25[[#All],[Sold Amount]]))</f>
        <v>1273.9000000000001</v>
      </c>
      <c r="N443" s="5">
        <f>IFERROR(Table25[[#This Row],[Total sold amount]]/Table25[[#This Row],[Total Sold number of stocks]],"")</f>
        <v>127.39000000000001</v>
      </c>
      <c r="O443" s="4">
        <f>IFERROR(Table25[[#This Row],[Total Amount bought]]/Table25[[#This Row],[Total number bought]],"")</f>
        <v>134.32999999999998</v>
      </c>
      <c r="P443" s="4">
        <f>IFERROR((Table25[[#This Row],[Average sell price]]-Table25[[#This Row],[Average buy price]])*Table25[[#This Row],[Total Sold number of stocks]],0)</f>
        <v>-69.399999999999693</v>
      </c>
      <c r="Q443" s="85">
        <f>SUMIF(Table25[[#All],[Assets]],Table25[[#This Row],[Assets]],Table25[[#All],[Number of stocks]])</f>
        <v>0</v>
      </c>
    </row>
    <row r="444" spans="1:17">
      <c r="A444" t="e" vm="93">
        <v>#VALUE!</v>
      </c>
      <c r="B444" s="2">
        <v>45572</v>
      </c>
      <c r="C444" t="str" cm="1">
        <f t="array" aca="1" ref="C444" ca="1">_FV(A444,"Ticker symbol",TRUE)</f>
        <v>PPTA</v>
      </c>
      <c r="D444" s="4">
        <v>9.02</v>
      </c>
      <c r="E444" s="50">
        <v>-10</v>
      </c>
      <c r="F444" s="81">
        <f>IF(Table25[[#This Row],[Number of stocks]]&gt;0,Table25[[#This Row],[Number of stocks]],0)</f>
        <v>0</v>
      </c>
      <c r="G444" s="73">
        <f>Table25[[#This Row],[Bought]]*Table25[[#This Row],[Price]]</f>
        <v>0</v>
      </c>
      <c r="H444">
        <f>SUMIF(Table25[[#All],[Assets]],Table25[[#This Row],[Assets]],Table25[[#All],[Bought]])</f>
        <v>10</v>
      </c>
      <c r="I444">
        <f>SUMIF(Table25[[#All],[Assets]],Table25[[#This Row],[Assets]],Table25[[#All],[Bought Amount]])</f>
        <v>87.359999999999985</v>
      </c>
      <c r="J444" s="88">
        <f>IF(Table25[[#This Row],[Number of stocks]]&lt;0,Table25[[#This Row],[Number of stocks]],0)</f>
        <v>-10</v>
      </c>
      <c r="K444" s="5">
        <f>Table25[[#This Row],[Sold]]*Table25[[#This Row],[Price]]</f>
        <v>-90.199999999999989</v>
      </c>
      <c r="L444" s="8">
        <f>ABS(SUMIF(Table25[[#All],[Assets]],Table25[[#This Row],[Assets]],Table25[[#All],[Sold]]))</f>
        <v>10</v>
      </c>
      <c r="M444" s="5">
        <f>ABS(SUMIF(Table25[[#All],[Assets]],Table25[[#This Row],[Assets]],Table25[[#All],[Sold Amount]]))</f>
        <v>90.199999999999989</v>
      </c>
      <c r="N444" s="5">
        <f>IFERROR(Table25[[#This Row],[Total sold amount]]/Table25[[#This Row],[Total Sold number of stocks]],"")</f>
        <v>9.02</v>
      </c>
      <c r="O444" s="4">
        <f>IFERROR(Table25[[#This Row],[Total Amount bought]]/Table25[[#This Row],[Total number bought]],"")</f>
        <v>8.7359999999999989</v>
      </c>
      <c r="P444" s="4">
        <f>IFERROR((Table25[[#This Row],[Average sell price]]-Table25[[#This Row],[Average buy price]])*Table25[[#This Row],[Total Sold number of stocks]],0)</f>
        <v>2.840000000000007</v>
      </c>
      <c r="Q444" s="85">
        <f>SUMIF(Table25[[#All],[Assets]],Table25[[#This Row],[Assets]],Table25[[#All],[Number of stocks]])</f>
        <v>0</v>
      </c>
    </row>
    <row r="445" spans="1:17">
      <c r="A445" t="e" vm="321">
        <v>#VALUE!</v>
      </c>
      <c r="B445" s="2">
        <v>45572</v>
      </c>
      <c r="C445" t="str" cm="1">
        <f t="array" aca="1" ref="C445" ca="1">_FV(A445,"Ticker symbol",TRUE)</f>
        <v>RYCEY</v>
      </c>
      <c r="D445" s="4">
        <v>6.91</v>
      </c>
      <c r="E445" s="50">
        <v>-3</v>
      </c>
      <c r="F445" s="81">
        <f>IF(Table25[[#This Row],[Number of stocks]]&gt;0,Table25[[#This Row],[Number of stocks]],0)</f>
        <v>0</v>
      </c>
      <c r="G445" s="73">
        <f>Table25[[#This Row],[Bought]]*Table25[[#This Row],[Price]]</f>
        <v>0</v>
      </c>
      <c r="H445">
        <f>SUMIF(Table25[[#All],[Assets]],Table25[[#This Row],[Assets]],Table25[[#All],[Bought]])</f>
        <v>3</v>
      </c>
      <c r="I445">
        <f>SUMIF(Table25[[#All],[Assets]],Table25[[#This Row],[Assets]],Table25[[#All],[Bought Amount]])</f>
        <v>17.46</v>
      </c>
      <c r="J445" s="88">
        <f>IF(Table25[[#This Row],[Number of stocks]]&lt;0,Table25[[#This Row],[Number of stocks]],0)</f>
        <v>-3</v>
      </c>
      <c r="K445" s="5">
        <f>Table25[[#This Row],[Sold]]*Table25[[#This Row],[Price]]</f>
        <v>-20.73</v>
      </c>
      <c r="L445" s="8">
        <f>ABS(SUMIF(Table25[[#All],[Assets]],Table25[[#This Row],[Assets]],Table25[[#All],[Sold]]))</f>
        <v>3</v>
      </c>
      <c r="M445" s="5">
        <f>ABS(SUMIF(Table25[[#All],[Assets]],Table25[[#This Row],[Assets]],Table25[[#All],[Sold Amount]]))</f>
        <v>20.73</v>
      </c>
      <c r="N445" s="5">
        <f>IFERROR(Table25[[#This Row],[Total sold amount]]/Table25[[#This Row],[Total Sold number of stocks]],"")</f>
        <v>6.91</v>
      </c>
      <c r="O445" s="4">
        <f>IFERROR(Table25[[#This Row],[Total Amount bought]]/Table25[[#This Row],[Total number bought]],"")</f>
        <v>5.82</v>
      </c>
      <c r="P445" s="4">
        <f>IFERROR((Table25[[#This Row],[Average sell price]]-Table25[[#This Row],[Average buy price]])*Table25[[#This Row],[Total Sold number of stocks]],0)</f>
        <v>3.2699999999999996</v>
      </c>
      <c r="Q445" s="85">
        <f>SUMIF(Table25[[#All],[Assets]],Table25[[#This Row],[Assets]],Table25[[#All],[Number of stocks]])</f>
        <v>0</v>
      </c>
    </row>
    <row r="446" spans="1:17">
      <c r="A446" t="e" vm="505">
        <v>#VALUE!</v>
      </c>
      <c r="B446" s="2">
        <v>45572</v>
      </c>
      <c r="C446" t="str" cm="1">
        <f t="array" aca="1" ref="C446" ca="1">_FV(A446,"Ticker symbol",TRUE)</f>
        <v>TPICQ</v>
      </c>
      <c r="D446" s="4">
        <v>4.4000000000000004</v>
      </c>
      <c r="E446" s="50">
        <v>-22</v>
      </c>
      <c r="F446" s="81">
        <f>IF(Table25[[#This Row],[Number of stocks]]&gt;0,Table25[[#This Row],[Number of stocks]],0)</f>
        <v>0</v>
      </c>
      <c r="G446" s="73">
        <f>Table25[[#This Row],[Bought]]*Table25[[#This Row],[Price]]</f>
        <v>0</v>
      </c>
      <c r="H446">
        <f>SUMIF(Table25[[#All],[Assets]],Table25[[#This Row],[Assets]],Table25[[#All],[Bought]])</f>
        <v>22</v>
      </c>
      <c r="I446">
        <f>SUMIF(Table25[[#All],[Assets]],Table25[[#This Row],[Assets]],Table25[[#All],[Bought Amount]])</f>
        <v>104.06</v>
      </c>
      <c r="J446" s="88">
        <f>IF(Table25[[#This Row],[Number of stocks]]&lt;0,Table25[[#This Row],[Number of stocks]],0)</f>
        <v>-22</v>
      </c>
      <c r="K446" s="5">
        <f>Table25[[#This Row],[Sold]]*Table25[[#This Row],[Price]]</f>
        <v>-96.800000000000011</v>
      </c>
      <c r="L446" s="8">
        <f>ABS(SUMIF(Table25[[#All],[Assets]],Table25[[#This Row],[Assets]],Table25[[#All],[Sold]]))</f>
        <v>22</v>
      </c>
      <c r="M446" s="5">
        <f>ABS(SUMIF(Table25[[#All],[Assets]],Table25[[#This Row],[Assets]],Table25[[#All],[Sold Amount]]))</f>
        <v>96.800000000000011</v>
      </c>
      <c r="N446" s="5">
        <f>IFERROR(Table25[[#This Row],[Total sold amount]]/Table25[[#This Row],[Total Sold number of stocks]],"")</f>
        <v>4.4000000000000004</v>
      </c>
      <c r="O446" s="4">
        <f>IFERROR(Table25[[#This Row],[Total Amount bought]]/Table25[[#This Row],[Total number bought]],"")</f>
        <v>4.7300000000000004</v>
      </c>
      <c r="P446" s="4">
        <f>IFERROR((Table25[[#This Row],[Average sell price]]-Table25[[#This Row],[Average buy price]])*Table25[[#This Row],[Total Sold number of stocks]],0)</f>
        <v>-7.2600000000000016</v>
      </c>
      <c r="Q446" s="85">
        <f>SUMIF(Table25[[#All],[Assets]],Table25[[#This Row],[Assets]],Table25[[#All],[Number of stocks]])</f>
        <v>0</v>
      </c>
    </row>
    <row r="447" spans="1:17">
      <c r="A447" t="e" vm="431">
        <v>#VALUE!</v>
      </c>
      <c r="B447" s="2">
        <v>45572</v>
      </c>
      <c r="C447" t="str" cm="1">
        <f t="array" aca="1" ref="C447" ca="1">_FV(A447,"Ticker symbol",TRUE)</f>
        <v>PRIM</v>
      </c>
      <c r="D447" s="4">
        <v>60.61</v>
      </c>
      <c r="E447" s="50">
        <v>-16</v>
      </c>
      <c r="F447" s="81">
        <f>IF(Table25[[#This Row],[Number of stocks]]&gt;0,Table25[[#This Row],[Number of stocks]],0)</f>
        <v>0</v>
      </c>
      <c r="G447" s="73">
        <f>Table25[[#This Row],[Bought]]*Table25[[#This Row],[Price]]</f>
        <v>0</v>
      </c>
      <c r="H447">
        <f>SUMIF(Table25[[#All],[Assets]],Table25[[#This Row],[Assets]],Table25[[#All],[Bought]])</f>
        <v>16</v>
      </c>
      <c r="I447">
        <f>SUMIF(Table25[[#All],[Assets]],Table25[[#This Row],[Assets]],Table25[[#All],[Bought Amount]])</f>
        <v>853.76</v>
      </c>
      <c r="J447" s="88">
        <f>IF(Table25[[#This Row],[Number of stocks]]&lt;0,Table25[[#This Row],[Number of stocks]],0)</f>
        <v>-16</v>
      </c>
      <c r="K447" s="5">
        <f>Table25[[#This Row],[Sold]]*Table25[[#This Row],[Price]]</f>
        <v>-969.76</v>
      </c>
      <c r="L447" s="8">
        <f>ABS(SUMIF(Table25[[#All],[Assets]],Table25[[#This Row],[Assets]],Table25[[#All],[Sold]]))</f>
        <v>16</v>
      </c>
      <c r="M447" s="5">
        <f>ABS(SUMIF(Table25[[#All],[Assets]],Table25[[#This Row],[Assets]],Table25[[#All],[Sold Amount]]))</f>
        <v>969.76</v>
      </c>
      <c r="N447" s="5">
        <f>IFERROR(Table25[[#This Row],[Total sold amount]]/Table25[[#This Row],[Total Sold number of stocks]],"")</f>
        <v>60.61</v>
      </c>
      <c r="O447" s="4">
        <f>IFERROR(Table25[[#This Row],[Total Amount bought]]/Table25[[#This Row],[Total number bought]],"")</f>
        <v>53.36</v>
      </c>
      <c r="P447" s="4">
        <f>IFERROR((Table25[[#This Row],[Average sell price]]-Table25[[#This Row],[Average buy price]])*Table25[[#This Row],[Total Sold number of stocks]],0)</f>
        <v>116</v>
      </c>
      <c r="Q447" s="85">
        <f>SUMIF(Table25[[#All],[Assets]],Table25[[#This Row],[Assets]],Table25[[#All],[Number of stocks]])</f>
        <v>0</v>
      </c>
    </row>
    <row r="448" spans="1:17">
      <c r="A448" t="e" vm="133">
        <v>#VALUE!</v>
      </c>
      <c r="B448" s="2">
        <v>45572</v>
      </c>
      <c r="C448" t="str" cm="1">
        <f t="array" aca="1" ref="C448" ca="1">_FV(A448,"Ticker symbol",TRUE)</f>
        <v>XLU</v>
      </c>
      <c r="D448" s="4">
        <v>79.400000000000006</v>
      </c>
      <c r="E448" s="50">
        <v>-2</v>
      </c>
      <c r="F448" s="81">
        <f>IF(Table25[[#This Row],[Number of stocks]]&gt;0,Table25[[#This Row],[Number of stocks]],0)</f>
        <v>0</v>
      </c>
      <c r="G448" s="73">
        <f>Table25[[#This Row],[Bought]]*Table25[[#This Row],[Price]]</f>
        <v>0</v>
      </c>
      <c r="H448">
        <f>SUMIF(Table25[[#All],[Assets]],Table25[[#This Row],[Assets]],Table25[[#All],[Bought]])</f>
        <v>2</v>
      </c>
      <c r="I448">
        <f>SUMIF(Table25[[#All],[Assets]],Table25[[#This Row],[Assets]],Table25[[#All],[Bought Amount]])</f>
        <v>129.12</v>
      </c>
      <c r="J448" s="88">
        <f>IF(Table25[[#This Row],[Number of stocks]]&lt;0,Table25[[#This Row],[Number of stocks]],0)</f>
        <v>-2</v>
      </c>
      <c r="K448" s="5">
        <f>Table25[[#This Row],[Sold]]*Table25[[#This Row],[Price]]</f>
        <v>-158.80000000000001</v>
      </c>
      <c r="L448" s="8">
        <f>ABS(SUMIF(Table25[[#All],[Assets]],Table25[[#This Row],[Assets]],Table25[[#All],[Sold]]))</f>
        <v>2</v>
      </c>
      <c r="M448" s="5">
        <f>ABS(SUMIF(Table25[[#All],[Assets]],Table25[[#This Row],[Assets]],Table25[[#All],[Sold Amount]]))</f>
        <v>158.80000000000001</v>
      </c>
      <c r="N448" s="5">
        <f>IFERROR(Table25[[#This Row],[Total sold amount]]/Table25[[#This Row],[Total Sold number of stocks]],"")</f>
        <v>79.400000000000006</v>
      </c>
      <c r="O448" s="4">
        <f>IFERROR(Table25[[#This Row],[Total Amount bought]]/Table25[[#This Row],[Total number bought]],"")</f>
        <v>64.56</v>
      </c>
      <c r="P448" s="4">
        <f>IFERROR((Table25[[#This Row],[Average sell price]]-Table25[[#This Row],[Average buy price]])*Table25[[#This Row],[Total Sold number of stocks]],0)</f>
        <v>29.680000000000007</v>
      </c>
      <c r="Q448" s="85">
        <f>SUMIF(Table25[[#All],[Assets]],Table25[[#This Row],[Assets]],Table25[[#All],[Number of stocks]])</f>
        <v>0</v>
      </c>
    </row>
    <row r="449" spans="1:17">
      <c r="A449" t="e" vm="417">
        <v>#VALUE!</v>
      </c>
      <c r="B449" s="2">
        <v>45572</v>
      </c>
      <c r="C449" t="str" cm="1">
        <f t="array" aca="1" ref="C449" ca="1">_FV(A449,"Ticker symbol",TRUE)</f>
        <v>JCI</v>
      </c>
      <c r="D449" s="4">
        <v>75.28</v>
      </c>
      <c r="E449" s="50">
        <v>-1</v>
      </c>
      <c r="F449" s="81">
        <f>IF(Table25[[#This Row],[Number of stocks]]&gt;0,Table25[[#This Row],[Number of stocks]],0)</f>
        <v>0</v>
      </c>
      <c r="G449" s="73">
        <f>Table25[[#This Row],[Bought]]*Table25[[#This Row],[Price]]</f>
        <v>0</v>
      </c>
      <c r="H449">
        <f>SUMIF(Table25[[#All],[Assets]],Table25[[#This Row],[Assets]],Table25[[#All],[Bought]])</f>
        <v>1</v>
      </c>
      <c r="I449">
        <f>SUMIF(Table25[[#All],[Assets]],Table25[[#This Row],[Assets]],Table25[[#All],[Bought Amount]])</f>
        <v>70.319999999999993</v>
      </c>
      <c r="J449" s="88">
        <f>IF(Table25[[#This Row],[Number of stocks]]&lt;0,Table25[[#This Row],[Number of stocks]],0)</f>
        <v>-1</v>
      </c>
      <c r="K449" s="5">
        <f>Table25[[#This Row],[Sold]]*Table25[[#This Row],[Price]]</f>
        <v>-75.28</v>
      </c>
      <c r="L449" s="8">
        <f>ABS(SUMIF(Table25[[#All],[Assets]],Table25[[#This Row],[Assets]],Table25[[#All],[Sold]]))</f>
        <v>1</v>
      </c>
      <c r="M449" s="5">
        <f>ABS(SUMIF(Table25[[#All],[Assets]],Table25[[#This Row],[Assets]],Table25[[#All],[Sold Amount]]))</f>
        <v>75.28</v>
      </c>
      <c r="N449" s="5">
        <f>IFERROR(Table25[[#This Row],[Total sold amount]]/Table25[[#This Row],[Total Sold number of stocks]],"")</f>
        <v>75.28</v>
      </c>
      <c r="O449" s="4">
        <f>IFERROR(Table25[[#This Row],[Total Amount bought]]/Table25[[#This Row],[Total number bought]],"")</f>
        <v>70.319999999999993</v>
      </c>
      <c r="P449" s="4">
        <f>IFERROR((Table25[[#This Row],[Average sell price]]-Table25[[#This Row],[Average buy price]])*Table25[[#This Row],[Total Sold number of stocks]],0)</f>
        <v>4.960000000000008</v>
      </c>
      <c r="Q449" s="85">
        <f>SUMIF(Table25[[#All],[Assets]],Table25[[#This Row],[Assets]],Table25[[#All],[Number of stocks]])</f>
        <v>0</v>
      </c>
    </row>
    <row r="450" spans="1:17">
      <c r="A450" t="e" vm="455">
        <v>#VALUE!</v>
      </c>
      <c r="B450" s="2">
        <v>45572</v>
      </c>
      <c r="C450" t="str" cm="1">
        <f t="array" aca="1" ref="C450" ca="1">_FV(A450,"Ticker symbol",TRUE)</f>
        <v>SGOV</v>
      </c>
      <c r="D450" s="4">
        <v>100.39</v>
      </c>
      <c r="E450" s="50">
        <v>8</v>
      </c>
      <c r="F450" s="81">
        <f>IF(Table25[[#This Row],[Number of stocks]]&gt;0,Table25[[#This Row],[Number of stocks]],0)</f>
        <v>8</v>
      </c>
      <c r="G450" s="73">
        <f>Table25[[#This Row],[Bought]]*Table25[[#This Row],[Price]]</f>
        <v>803.12</v>
      </c>
      <c r="H450">
        <f>SUMIF(Table25[[#All],[Assets]],Table25[[#This Row],[Assets]],Table25[[#All],[Bought]])</f>
        <v>96</v>
      </c>
      <c r="I450">
        <f>SUMIF(Table25[[#All],[Assets]],Table25[[#This Row],[Assets]],Table25[[#All],[Bought Amount]])</f>
        <v>9661.36</v>
      </c>
      <c r="J450" s="88">
        <f>IF(Table25[[#This Row],[Number of stocks]]&lt;0,Table25[[#This Row],[Number of stocks]],0)</f>
        <v>0</v>
      </c>
      <c r="K450" s="5">
        <f>Table25[[#This Row],[Sold]]*Table25[[#This Row],[Price]]</f>
        <v>0</v>
      </c>
      <c r="L450" s="8">
        <f>ABS(SUMIF(Table25[[#All],[Assets]],Table25[[#This Row],[Assets]],Table25[[#All],[Sold]]))</f>
        <v>96</v>
      </c>
      <c r="M450" s="5">
        <f>ABS(SUMIF(Table25[[#All],[Assets]],Table25[[#This Row],[Assets]],Table25[[#All],[Sold Amount]]))</f>
        <v>9600.9399999999987</v>
      </c>
      <c r="N450" s="5">
        <f>IFERROR(Table25[[#This Row],[Total sold amount]]/Table25[[#This Row],[Total Sold number of stocks]],"")</f>
        <v>100.00979166666666</v>
      </c>
      <c r="O450" s="4">
        <f>IFERROR(Table25[[#This Row],[Total Amount bought]]/Table25[[#This Row],[Total number bought]],"")</f>
        <v>100.63916666666667</v>
      </c>
      <c r="P450" s="4">
        <f>IFERROR((Table25[[#This Row],[Average sell price]]-Table25[[#This Row],[Average buy price]])*Table25[[#This Row],[Total Sold number of stocks]],0)</f>
        <v>-60.420000000000982</v>
      </c>
      <c r="Q450" s="85">
        <f>SUMIF(Table25[[#All],[Assets]],Table25[[#This Row],[Assets]],Table25[[#All],[Number of stocks]])</f>
        <v>0</v>
      </c>
    </row>
    <row r="451" spans="1:17">
      <c r="A451" t="e" vm="13">
        <v>#VALUE!</v>
      </c>
      <c r="B451" s="2">
        <v>45572</v>
      </c>
      <c r="C451" t="str" cm="1">
        <f t="array" aca="1" ref="C451" ca="1">_FV(A451,"Ticker symbol",TRUE)</f>
        <v>ON</v>
      </c>
      <c r="D451" s="4">
        <v>74.64</v>
      </c>
      <c r="E451" s="50">
        <v>20</v>
      </c>
      <c r="F451" s="81">
        <f>IF(Table25[[#This Row],[Number of stocks]]&gt;0,Table25[[#This Row],[Number of stocks]],0)</f>
        <v>20</v>
      </c>
      <c r="G451" s="73">
        <f>Table25[[#This Row],[Bought]]*Table25[[#This Row],[Price]]</f>
        <v>1492.8</v>
      </c>
      <c r="H451">
        <f>SUMIF(Table25[[#All],[Assets]],Table25[[#This Row],[Assets]],Table25[[#All],[Bought]])</f>
        <v>326</v>
      </c>
      <c r="I451">
        <f>SUMIF(Table25[[#All],[Assets]],Table25[[#This Row],[Assets]],Table25[[#All],[Bought Amount]])</f>
        <v>19172.809999999998</v>
      </c>
      <c r="J451" s="88">
        <f>IF(Table25[[#This Row],[Number of stocks]]&lt;0,Table25[[#This Row],[Number of stocks]],0)</f>
        <v>0</v>
      </c>
      <c r="K451" s="5">
        <f>Table25[[#This Row],[Sold]]*Table25[[#This Row],[Price]]</f>
        <v>0</v>
      </c>
      <c r="L451" s="8">
        <f>ABS(SUMIF(Table25[[#All],[Assets]],Table25[[#This Row],[Assets]],Table25[[#All],[Sold]]))</f>
        <v>283</v>
      </c>
      <c r="M451" s="5">
        <f>ABS(SUMIF(Table25[[#All],[Assets]],Table25[[#This Row],[Assets]],Table25[[#All],[Sold Amount]]))</f>
        <v>15700.74</v>
      </c>
      <c r="N451" s="5">
        <f>IFERROR(Table25[[#This Row],[Total sold amount]]/Table25[[#This Row],[Total Sold number of stocks]],"")</f>
        <v>55.47964664310954</v>
      </c>
      <c r="O451" s="4">
        <f>IFERROR(Table25[[#This Row],[Total Amount bought]]/Table25[[#This Row],[Total number bought]],"")</f>
        <v>58.812300613496923</v>
      </c>
      <c r="P451" s="4">
        <f>IFERROR((Table25[[#This Row],[Average sell price]]-Table25[[#This Row],[Average buy price]])*Table25[[#This Row],[Total Sold number of stocks]],0)</f>
        <v>-943.14107361962954</v>
      </c>
      <c r="Q451" s="85">
        <f>SUMIF(Table25[[#All],[Assets]],Table25[[#This Row],[Assets]],Table25[[#All],[Number of stocks]])</f>
        <v>43</v>
      </c>
    </row>
    <row r="452" spans="1:17">
      <c r="A452" t="e" vm="171">
        <v>#VALUE!</v>
      </c>
      <c r="B452" s="2">
        <v>45572</v>
      </c>
      <c r="C452" t="str" cm="1">
        <f t="array" aca="1" ref="C452" ca="1">_FV(A452,"Ticker symbol",TRUE)</f>
        <v>BIDU</v>
      </c>
      <c r="D452" s="4">
        <v>114.25</v>
      </c>
      <c r="E452" s="50">
        <v>-3</v>
      </c>
      <c r="F452" s="81">
        <f>IF(Table25[[#This Row],[Number of stocks]]&gt;0,Table25[[#This Row],[Number of stocks]],0)</f>
        <v>0</v>
      </c>
      <c r="G452" s="73">
        <f>Table25[[#This Row],[Bought]]*Table25[[#This Row],[Price]]</f>
        <v>0</v>
      </c>
      <c r="H452">
        <f>SUMIF(Table25[[#All],[Assets]],Table25[[#This Row],[Assets]],Table25[[#All],[Bought]])</f>
        <v>23</v>
      </c>
      <c r="I452">
        <f>SUMIF(Table25[[#All],[Assets]],Table25[[#This Row],[Assets]],Table25[[#All],[Bought Amount]])</f>
        <v>2077.9</v>
      </c>
      <c r="J452" s="88">
        <f>IF(Table25[[#This Row],[Number of stocks]]&lt;0,Table25[[#This Row],[Number of stocks]],0)</f>
        <v>-3</v>
      </c>
      <c r="K452" s="5">
        <f>Table25[[#This Row],[Sold]]*Table25[[#This Row],[Price]]</f>
        <v>-342.75</v>
      </c>
      <c r="L452" s="8">
        <f>ABS(SUMIF(Table25[[#All],[Assets]],Table25[[#This Row],[Assets]],Table25[[#All],[Sold]]))</f>
        <v>23</v>
      </c>
      <c r="M452" s="5">
        <f>ABS(SUMIF(Table25[[#All],[Assets]],Table25[[#This Row],[Assets]],Table25[[#All],[Sold Amount]]))</f>
        <v>2134.1499999999996</v>
      </c>
      <c r="N452" s="5">
        <f>IFERROR(Table25[[#This Row],[Total sold amount]]/Table25[[#This Row],[Total Sold number of stocks]],"")</f>
        <v>92.789130434782592</v>
      </c>
      <c r="O452" s="4">
        <f>IFERROR(Table25[[#This Row],[Total Amount bought]]/Table25[[#This Row],[Total number bought]],"")</f>
        <v>90.343478260869574</v>
      </c>
      <c r="P452" s="4">
        <f>IFERROR((Table25[[#This Row],[Average sell price]]-Table25[[#This Row],[Average buy price]])*Table25[[#This Row],[Total Sold number of stocks]],0)</f>
        <v>56.249999999999417</v>
      </c>
      <c r="Q452" s="85">
        <f>SUMIF(Table25[[#All],[Assets]],Table25[[#This Row],[Assets]],Table25[[#All],[Number of stocks]])</f>
        <v>0</v>
      </c>
    </row>
    <row r="453" spans="1:17">
      <c r="A453" t="e" vm="174">
        <v>#VALUE!</v>
      </c>
      <c r="B453" s="2">
        <v>45572</v>
      </c>
      <c r="C453" t="str" cm="1">
        <f t="array" aca="1" ref="C453" ca="1">_FV(A453,"Ticker symbol",TRUE)</f>
        <v>VAL</v>
      </c>
      <c r="D453" s="4">
        <v>55.78</v>
      </c>
      <c r="E453" s="50">
        <v>3</v>
      </c>
      <c r="F453" s="81">
        <f>IF(Table25[[#This Row],[Number of stocks]]&gt;0,Table25[[#This Row],[Number of stocks]],0)</f>
        <v>3</v>
      </c>
      <c r="G453" s="73">
        <f>Table25[[#This Row],[Bought]]*Table25[[#This Row],[Price]]</f>
        <v>167.34</v>
      </c>
      <c r="H453">
        <f>SUMIF(Table25[[#All],[Assets]],Table25[[#This Row],[Assets]],Table25[[#All],[Bought]])</f>
        <v>32</v>
      </c>
      <c r="I453">
        <f>SUMIF(Table25[[#All],[Assets]],Table25[[#This Row],[Assets]],Table25[[#All],[Bought Amount]])</f>
        <v>2008.37</v>
      </c>
      <c r="J453" s="88">
        <f>IF(Table25[[#This Row],[Number of stocks]]&lt;0,Table25[[#This Row],[Number of stocks]],0)</f>
        <v>0</v>
      </c>
      <c r="K453" s="5">
        <f>Table25[[#This Row],[Sold]]*Table25[[#This Row],[Price]]</f>
        <v>0</v>
      </c>
      <c r="L453" s="8">
        <f>ABS(SUMIF(Table25[[#All],[Assets]],Table25[[#This Row],[Assets]],Table25[[#All],[Sold]]))</f>
        <v>32</v>
      </c>
      <c r="M453" s="5">
        <f>ABS(SUMIF(Table25[[#All],[Assets]],Table25[[#This Row],[Assets]],Table25[[#All],[Sold Amount]]))</f>
        <v>1677.76</v>
      </c>
      <c r="N453" s="5">
        <f>IFERROR(Table25[[#This Row],[Total sold amount]]/Table25[[#This Row],[Total Sold number of stocks]],"")</f>
        <v>52.43</v>
      </c>
      <c r="O453" s="4">
        <f>IFERROR(Table25[[#This Row],[Total Amount bought]]/Table25[[#This Row],[Total number bought]],"")</f>
        <v>62.761562499999997</v>
      </c>
      <c r="P453" s="4">
        <f>IFERROR((Table25[[#This Row],[Average sell price]]-Table25[[#This Row],[Average buy price]])*Table25[[#This Row],[Total Sold number of stocks]],0)</f>
        <v>-330.6099999999999</v>
      </c>
      <c r="Q453" s="85">
        <f>SUMIF(Table25[[#All],[Assets]],Table25[[#This Row],[Assets]],Table25[[#All],[Number of stocks]])</f>
        <v>0</v>
      </c>
    </row>
    <row r="454" spans="1:17">
      <c r="A454" t="e" vm="228">
        <v>#VALUE!</v>
      </c>
      <c r="B454" s="2">
        <v>45574</v>
      </c>
      <c r="C454" t="str" cm="1">
        <f t="array" aca="1" ref="C454" ca="1">_FV(A454,"Ticker symbol",TRUE)</f>
        <v>BILL</v>
      </c>
      <c r="D454" s="4">
        <v>54.06</v>
      </c>
      <c r="E454" s="50">
        <v>20</v>
      </c>
      <c r="F454" s="81">
        <f>IF(Table25[[#This Row],[Number of stocks]]&gt;0,Table25[[#This Row],[Number of stocks]],0)</f>
        <v>20</v>
      </c>
      <c r="G454" s="73">
        <f>Table25[[#This Row],[Bought]]*Table25[[#This Row],[Price]]</f>
        <v>1081.2</v>
      </c>
      <c r="H454">
        <f>SUMIF(Table25[[#All],[Assets]],Table25[[#This Row],[Assets]],Table25[[#All],[Bought]])</f>
        <v>101</v>
      </c>
      <c r="I454">
        <f>SUMIF(Table25[[#All],[Assets]],Table25[[#This Row],[Assets]],Table25[[#All],[Bought Amount]])</f>
        <v>5292.3600000000006</v>
      </c>
      <c r="J454" s="88">
        <f>IF(Table25[[#This Row],[Number of stocks]]&lt;0,Table25[[#This Row],[Number of stocks]],0)</f>
        <v>0</v>
      </c>
      <c r="K454" s="5">
        <f>Table25[[#This Row],[Sold]]*Table25[[#This Row],[Price]]</f>
        <v>0</v>
      </c>
      <c r="L454" s="8">
        <f>ABS(SUMIF(Table25[[#All],[Assets]],Table25[[#This Row],[Assets]],Table25[[#All],[Sold]]))</f>
        <v>101</v>
      </c>
      <c r="M454" s="5">
        <f>ABS(SUMIF(Table25[[#All],[Assets]],Table25[[#This Row],[Assets]],Table25[[#All],[Sold Amount]]))</f>
        <v>5973.49</v>
      </c>
      <c r="N454" s="5">
        <f>IFERROR(Table25[[#This Row],[Total sold amount]]/Table25[[#This Row],[Total Sold number of stocks]],"")</f>
        <v>59.143465346534654</v>
      </c>
      <c r="O454" s="4">
        <f>IFERROR(Table25[[#This Row],[Total Amount bought]]/Table25[[#This Row],[Total number bought]],"")</f>
        <v>52.399603960396043</v>
      </c>
      <c r="P454" s="4">
        <f>IFERROR((Table25[[#This Row],[Average sell price]]-Table25[[#This Row],[Average buy price]])*Table25[[#This Row],[Total Sold number of stocks]],0)</f>
        <v>681.12999999999977</v>
      </c>
      <c r="Q454" s="85">
        <f>SUMIF(Table25[[#All],[Assets]],Table25[[#This Row],[Assets]],Table25[[#All],[Number of stocks]])</f>
        <v>0</v>
      </c>
    </row>
    <row r="455" spans="1:17">
      <c r="A455" t="e" vm="456">
        <v>#VALUE!</v>
      </c>
      <c r="B455" s="2">
        <v>45572</v>
      </c>
      <c r="C455" t="str" cm="1">
        <f t="array" aca="1" ref="C455" ca="1">_FV(A455,"Ticker symbol",TRUE)</f>
        <v>BIL</v>
      </c>
      <c r="D455" s="4">
        <v>91.53</v>
      </c>
      <c r="E455" s="50">
        <v>-11</v>
      </c>
      <c r="F455" s="81">
        <f>IF(Table25[[#This Row],[Number of stocks]]&gt;0,Table25[[#This Row],[Number of stocks]],0)</f>
        <v>0</v>
      </c>
      <c r="G455" s="73">
        <f>Table25[[#This Row],[Bought]]*Table25[[#This Row],[Price]]</f>
        <v>0</v>
      </c>
      <c r="H455">
        <f>SUMIF(Table25[[#All],[Assets]],Table25[[#This Row],[Assets]],Table25[[#All],[Bought]])</f>
        <v>419</v>
      </c>
      <c r="I455">
        <f>SUMIF(Table25[[#All],[Assets]],Table25[[#This Row],[Assets]],Table25[[#All],[Bought Amount]])</f>
        <v>38555.520000000004</v>
      </c>
      <c r="J455" s="88">
        <f>IF(Table25[[#This Row],[Number of stocks]]&lt;0,Table25[[#This Row],[Number of stocks]],0)</f>
        <v>-11</v>
      </c>
      <c r="K455" s="5">
        <f>Table25[[#This Row],[Sold]]*Table25[[#This Row],[Price]]</f>
        <v>-1006.83</v>
      </c>
      <c r="L455" s="8">
        <f>ABS(SUMIF(Table25[[#All],[Assets]],Table25[[#This Row],[Assets]],Table25[[#All],[Sold]]))</f>
        <v>419</v>
      </c>
      <c r="M455" s="5">
        <f>ABS(SUMIF(Table25[[#All],[Assets]],Table25[[#This Row],[Assets]],Table25[[#All],[Sold Amount]]))</f>
        <v>38372</v>
      </c>
      <c r="N455" s="5">
        <f>IFERROR(Table25[[#This Row],[Total sold amount]]/Table25[[#This Row],[Total Sold number of stocks]],"")</f>
        <v>91.579952267303099</v>
      </c>
      <c r="O455" s="4">
        <f>IFERROR(Table25[[#This Row],[Total Amount bought]]/Table25[[#This Row],[Total number bought]],"")</f>
        <v>92.017947494033422</v>
      </c>
      <c r="P455" s="4">
        <f>IFERROR((Table25[[#This Row],[Average sell price]]-Table25[[#This Row],[Average buy price]])*Table25[[#This Row],[Total Sold number of stocks]],0)</f>
        <v>-183.5200000000051</v>
      </c>
      <c r="Q455" s="85">
        <f>SUMIF(Table25[[#All],[Assets]],Table25[[#This Row],[Assets]],Table25[[#All],[Number of stocks]])</f>
        <v>0</v>
      </c>
    </row>
    <row r="456" spans="1:17">
      <c r="A456" t="e" vm="174">
        <v>#VALUE!</v>
      </c>
      <c r="B456" s="2">
        <v>45574</v>
      </c>
      <c r="C456" t="str" cm="1">
        <f t="array" aca="1" ref="C456" ca="1">_FV(A456,"Ticker symbol",TRUE)</f>
        <v>VAL</v>
      </c>
      <c r="D456" s="4">
        <v>52.43</v>
      </c>
      <c r="E456" s="50">
        <v>-32</v>
      </c>
      <c r="F456" s="81">
        <f>IF(Table25[[#This Row],[Number of stocks]]&gt;0,Table25[[#This Row],[Number of stocks]],0)</f>
        <v>0</v>
      </c>
      <c r="G456" s="73">
        <f>Table25[[#This Row],[Bought]]*Table25[[#This Row],[Price]]</f>
        <v>0</v>
      </c>
      <c r="H456">
        <f>SUMIF(Table25[[#All],[Assets]],Table25[[#This Row],[Assets]],Table25[[#All],[Bought]])</f>
        <v>32</v>
      </c>
      <c r="I456">
        <f>SUMIF(Table25[[#All],[Assets]],Table25[[#This Row],[Assets]],Table25[[#All],[Bought Amount]])</f>
        <v>2008.37</v>
      </c>
      <c r="J456" s="88">
        <f>IF(Table25[[#This Row],[Number of stocks]]&lt;0,Table25[[#This Row],[Number of stocks]],0)</f>
        <v>-32</v>
      </c>
      <c r="K456" s="5">
        <f>Table25[[#This Row],[Sold]]*Table25[[#This Row],[Price]]</f>
        <v>-1677.76</v>
      </c>
      <c r="L456" s="8">
        <f>ABS(SUMIF(Table25[[#All],[Assets]],Table25[[#This Row],[Assets]],Table25[[#All],[Sold]]))</f>
        <v>32</v>
      </c>
      <c r="M456" s="5">
        <f>ABS(SUMIF(Table25[[#All],[Assets]],Table25[[#This Row],[Assets]],Table25[[#All],[Sold Amount]]))</f>
        <v>1677.76</v>
      </c>
      <c r="N456" s="5">
        <f>IFERROR(Table25[[#This Row],[Total sold amount]]/Table25[[#This Row],[Total Sold number of stocks]],"")</f>
        <v>52.43</v>
      </c>
      <c r="O456" s="4">
        <f>IFERROR(Table25[[#This Row],[Total Amount bought]]/Table25[[#This Row],[Total number bought]],"")</f>
        <v>62.761562499999997</v>
      </c>
      <c r="P456" s="4">
        <f>IFERROR((Table25[[#This Row],[Average sell price]]-Table25[[#This Row],[Average buy price]])*Table25[[#This Row],[Total Sold number of stocks]],0)</f>
        <v>-330.6099999999999</v>
      </c>
      <c r="Q456" s="85">
        <f>SUMIF(Table25[[#All],[Assets]],Table25[[#This Row],[Assets]],Table25[[#All],[Number of stocks]])</f>
        <v>0</v>
      </c>
    </row>
    <row r="457" spans="1:17">
      <c r="A457" t="e" vm="228">
        <v>#VALUE!</v>
      </c>
      <c r="B457" s="2">
        <v>45574</v>
      </c>
      <c r="C457" t="str" cm="1">
        <f t="array" aca="1" ref="C457" ca="1">_FV(A457,"Ticker symbol",TRUE)</f>
        <v>BILL</v>
      </c>
      <c r="D457" s="4">
        <v>55.21</v>
      </c>
      <c r="E457" s="50">
        <v>30</v>
      </c>
      <c r="F457" s="81">
        <f>IF(Table25[[#This Row],[Number of stocks]]&gt;0,Table25[[#This Row],[Number of stocks]],0)</f>
        <v>30</v>
      </c>
      <c r="G457" s="73">
        <f>Table25[[#This Row],[Bought]]*Table25[[#This Row],[Price]]</f>
        <v>1656.3</v>
      </c>
      <c r="H457">
        <f>SUMIF(Table25[[#All],[Assets]],Table25[[#This Row],[Assets]],Table25[[#All],[Bought]])</f>
        <v>101</v>
      </c>
      <c r="I457">
        <f>SUMIF(Table25[[#All],[Assets]],Table25[[#This Row],[Assets]],Table25[[#All],[Bought Amount]])</f>
        <v>5292.3600000000006</v>
      </c>
      <c r="J457" s="88">
        <f>IF(Table25[[#This Row],[Number of stocks]]&lt;0,Table25[[#This Row],[Number of stocks]],0)</f>
        <v>0</v>
      </c>
      <c r="K457" s="5">
        <f>Table25[[#This Row],[Sold]]*Table25[[#This Row],[Price]]</f>
        <v>0</v>
      </c>
      <c r="L457" s="8">
        <f>ABS(SUMIF(Table25[[#All],[Assets]],Table25[[#This Row],[Assets]],Table25[[#All],[Sold]]))</f>
        <v>101</v>
      </c>
      <c r="M457" s="5">
        <f>ABS(SUMIF(Table25[[#All],[Assets]],Table25[[#This Row],[Assets]],Table25[[#All],[Sold Amount]]))</f>
        <v>5973.49</v>
      </c>
      <c r="N457" s="5">
        <f>IFERROR(Table25[[#This Row],[Total sold amount]]/Table25[[#This Row],[Total Sold number of stocks]],"")</f>
        <v>59.143465346534654</v>
      </c>
      <c r="O457" s="4">
        <f>IFERROR(Table25[[#This Row],[Total Amount bought]]/Table25[[#This Row],[Total number bought]],"")</f>
        <v>52.399603960396043</v>
      </c>
      <c r="P457" s="4">
        <f>IFERROR((Table25[[#This Row],[Average sell price]]-Table25[[#This Row],[Average buy price]])*Table25[[#This Row],[Total Sold number of stocks]],0)</f>
        <v>681.12999999999977</v>
      </c>
      <c r="Q457" s="85">
        <f>SUMIF(Table25[[#All],[Assets]],Table25[[#This Row],[Assets]],Table25[[#All],[Number of stocks]])</f>
        <v>0</v>
      </c>
    </row>
    <row r="458" spans="1:17">
      <c r="A458" t="e" vm="63">
        <v>#VALUE!</v>
      </c>
      <c r="B458" s="2">
        <v>45576</v>
      </c>
      <c r="C458" t="str" cm="1">
        <f t="array" aca="1" ref="C458" ca="1">_FV(A458,"Ticker symbol",TRUE)</f>
        <v>TSLA</v>
      </c>
      <c r="D458" s="4">
        <v>218.41</v>
      </c>
      <c r="E458" s="50">
        <v>2</v>
      </c>
      <c r="F458" s="81">
        <f>IF(Table25[[#This Row],[Number of stocks]]&gt;0,Table25[[#This Row],[Number of stocks]],0)</f>
        <v>2</v>
      </c>
      <c r="G458" s="73">
        <f>Table25[[#This Row],[Bought]]*Table25[[#This Row],[Price]]</f>
        <v>436.82</v>
      </c>
      <c r="H458">
        <f>SUMIF(Table25[[#All],[Assets]],Table25[[#This Row],[Assets]],Table25[[#All],[Bought]])</f>
        <v>13</v>
      </c>
      <c r="I458">
        <f>SUMIF(Table25[[#All],[Assets]],Table25[[#This Row],[Assets]],Table25[[#All],[Bought Amount]])</f>
        <v>3484.85</v>
      </c>
      <c r="J458" s="88">
        <f>IF(Table25[[#This Row],[Number of stocks]]&lt;0,Table25[[#This Row],[Number of stocks]],0)</f>
        <v>0</v>
      </c>
      <c r="K458" s="5">
        <f>Table25[[#This Row],[Sold]]*Table25[[#This Row],[Price]]</f>
        <v>0</v>
      </c>
      <c r="L458" s="8">
        <f>ABS(SUMIF(Table25[[#All],[Assets]],Table25[[#This Row],[Assets]],Table25[[#All],[Sold]]))</f>
        <v>13</v>
      </c>
      <c r="M458" s="5">
        <f>ABS(SUMIF(Table25[[#All],[Assets]],Table25[[#This Row],[Assets]],Table25[[#All],[Sold Amount]]))</f>
        <v>4240.6299999999992</v>
      </c>
      <c r="N458" s="5">
        <f>IFERROR(Table25[[#This Row],[Total sold amount]]/Table25[[#This Row],[Total Sold number of stocks]],"")</f>
        <v>326.20230769230761</v>
      </c>
      <c r="O458" s="4">
        <f>IFERROR(Table25[[#This Row],[Total Amount bought]]/Table25[[#This Row],[Total number bought]],"")</f>
        <v>268.06538461538463</v>
      </c>
      <c r="P458" s="4">
        <f>IFERROR((Table25[[#This Row],[Average sell price]]-Table25[[#This Row],[Average buy price]])*Table25[[#This Row],[Total Sold number of stocks]],0)</f>
        <v>755.77999999999884</v>
      </c>
      <c r="Q458" s="85">
        <f>SUMIF(Table25[[#All],[Assets]],Table25[[#This Row],[Assets]],Table25[[#All],[Number of stocks]])</f>
        <v>0</v>
      </c>
    </row>
    <row r="459" spans="1:17">
      <c r="A459" t="e" vm="455">
        <v>#VALUE!</v>
      </c>
      <c r="B459" s="2">
        <v>45575</v>
      </c>
      <c r="C459" t="str" cm="1">
        <f t="array" aca="1" ref="C459" ca="1">_FV(A459,"Ticker symbol",TRUE)</f>
        <v>SGOV</v>
      </c>
      <c r="D459" s="4">
        <v>100.43</v>
      </c>
      <c r="E459" s="50">
        <v>-8</v>
      </c>
      <c r="F459" s="81">
        <f>IF(Table25[[#This Row],[Number of stocks]]&gt;0,Table25[[#This Row],[Number of stocks]],0)</f>
        <v>0</v>
      </c>
      <c r="G459" s="73">
        <f>Table25[[#This Row],[Bought]]*Table25[[#This Row],[Price]]</f>
        <v>0</v>
      </c>
      <c r="H459">
        <f>SUMIF(Table25[[#All],[Assets]],Table25[[#This Row],[Assets]],Table25[[#All],[Bought]])</f>
        <v>96</v>
      </c>
      <c r="I459">
        <f>SUMIF(Table25[[#All],[Assets]],Table25[[#This Row],[Assets]],Table25[[#All],[Bought Amount]])</f>
        <v>9661.36</v>
      </c>
      <c r="J459" s="88">
        <f>IF(Table25[[#This Row],[Number of stocks]]&lt;0,Table25[[#This Row],[Number of stocks]],0)</f>
        <v>-8</v>
      </c>
      <c r="K459" s="5">
        <f>Table25[[#This Row],[Sold]]*Table25[[#This Row],[Price]]</f>
        <v>-803.44</v>
      </c>
      <c r="L459" s="8">
        <f>ABS(SUMIF(Table25[[#All],[Assets]],Table25[[#This Row],[Assets]],Table25[[#All],[Sold]]))</f>
        <v>96</v>
      </c>
      <c r="M459" s="5">
        <f>ABS(SUMIF(Table25[[#All],[Assets]],Table25[[#This Row],[Assets]],Table25[[#All],[Sold Amount]]))</f>
        <v>9600.9399999999987</v>
      </c>
      <c r="N459" s="5">
        <f>IFERROR(Table25[[#This Row],[Total sold amount]]/Table25[[#This Row],[Total Sold number of stocks]],"")</f>
        <v>100.00979166666666</v>
      </c>
      <c r="O459" s="4">
        <f>IFERROR(Table25[[#This Row],[Total Amount bought]]/Table25[[#This Row],[Total number bought]],"")</f>
        <v>100.63916666666667</v>
      </c>
      <c r="P459" s="4">
        <f>IFERROR((Table25[[#This Row],[Average sell price]]-Table25[[#This Row],[Average buy price]])*Table25[[#This Row],[Total Sold number of stocks]],0)</f>
        <v>-60.420000000000982</v>
      </c>
      <c r="Q459" s="85">
        <f>SUMIF(Table25[[#All],[Assets]],Table25[[#This Row],[Assets]],Table25[[#All],[Number of stocks]])</f>
        <v>0</v>
      </c>
    </row>
    <row r="460" spans="1:17">
      <c r="A460" t="e" vm="456">
        <v>#VALUE!</v>
      </c>
      <c r="B460" s="2">
        <v>45575</v>
      </c>
      <c r="C460" t="str" cm="1">
        <f t="array" aca="1" ref="C460" ca="1">_FV(A460,"Ticker symbol",TRUE)</f>
        <v>BIL</v>
      </c>
      <c r="D460" s="4">
        <v>91.55</v>
      </c>
      <c r="E460" s="50">
        <v>-19</v>
      </c>
      <c r="F460" s="81">
        <f>IF(Table25[[#This Row],[Number of stocks]]&gt;0,Table25[[#This Row],[Number of stocks]],0)</f>
        <v>0</v>
      </c>
      <c r="G460" s="73">
        <f>Table25[[#This Row],[Bought]]*Table25[[#This Row],[Price]]</f>
        <v>0</v>
      </c>
      <c r="H460">
        <f>SUMIF(Table25[[#All],[Assets]],Table25[[#This Row],[Assets]],Table25[[#All],[Bought]])</f>
        <v>419</v>
      </c>
      <c r="I460">
        <f>SUMIF(Table25[[#All],[Assets]],Table25[[#This Row],[Assets]],Table25[[#All],[Bought Amount]])</f>
        <v>38555.520000000004</v>
      </c>
      <c r="J460" s="88">
        <f>IF(Table25[[#This Row],[Number of stocks]]&lt;0,Table25[[#This Row],[Number of stocks]],0)</f>
        <v>-19</v>
      </c>
      <c r="K460" s="5">
        <f>Table25[[#This Row],[Sold]]*Table25[[#This Row],[Price]]</f>
        <v>-1739.45</v>
      </c>
      <c r="L460" s="8">
        <f>ABS(SUMIF(Table25[[#All],[Assets]],Table25[[#This Row],[Assets]],Table25[[#All],[Sold]]))</f>
        <v>419</v>
      </c>
      <c r="M460" s="5">
        <f>ABS(SUMIF(Table25[[#All],[Assets]],Table25[[#This Row],[Assets]],Table25[[#All],[Sold Amount]]))</f>
        <v>38372</v>
      </c>
      <c r="N460" s="5">
        <f>IFERROR(Table25[[#This Row],[Total sold amount]]/Table25[[#This Row],[Total Sold number of stocks]],"")</f>
        <v>91.579952267303099</v>
      </c>
      <c r="O460" s="4">
        <f>IFERROR(Table25[[#This Row],[Total Amount bought]]/Table25[[#This Row],[Total number bought]],"")</f>
        <v>92.017947494033422</v>
      </c>
      <c r="P460" s="4">
        <f>IFERROR((Table25[[#This Row],[Average sell price]]-Table25[[#This Row],[Average buy price]])*Table25[[#This Row],[Total Sold number of stocks]],0)</f>
        <v>-183.5200000000051</v>
      </c>
      <c r="Q460" s="85">
        <f>SUMIF(Table25[[#All],[Assets]],Table25[[#This Row],[Assets]],Table25[[#All],[Number of stocks]])</f>
        <v>0</v>
      </c>
    </row>
    <row r="461" spans="1:17">
      <c r="A461" t="e" vm="64">
        <v>#VALUE!</v>
      </c>
      <c r="B461" s="2">
        <v>45575</v>
      </c>
      <c r="C461" t="str" cm="1">
        <f t="array" aca="1" ref="C461" ca="1">_FV(A461,"Ticker symbol",TRUE)</f>
        <v>LULU</v>
      </c>
      <c r="D461" s="4">
        <v>272.5</v>
      </c>
      <c r="E461" s="50">
        <v>-3</v>
      </c>
      <c r="F461" s="81">
        <f>IF(Table25[[#This Row],[Number of stocks]]&gt;0,Table25[[#This Row],[Number of stocks]],0)</f>
        <v>0</v>
      </c>
      <c r="G461" s="73">
        <f>Table25[[#This Row],[Bought]]*Table25[[#This Row],[Price]]</f>
        <v>0</v>
      </c>
      <c r="H461">
        <f>SUMIF(Table25[[#All],[Assets]],Table25[[#This Row],[Assets]],Table25[[#All],[Bought]])</f>
        <v>26</v>
      </c>
      <c r="I461">
        <f>SUMIF(Table25[[#All],[Assets]],Table25[[#This Row],[Assets]],Table25[[#All],[Bought Amount]])</f>
        <v>6272.2400000000007</v>
      </c>
      <c r="J461" s="88">
        <f>IF(Table25[[#This Row],[Number of stocks]]&lt;0,Table25[[#This Row],[Number of stocks]],0)</f>
        <v>-3</v>
      </c>
      <c r="K461" s="5">
        <f>Table25[[#This Row],[Sold]]*Table25[[#This Row],[Price]]</f>
        <v>-817.5</v>
      </c>
      <c r="L461" s="8">
        <f>ABS(SUMIF(Table25[[#All],[Assets]],Table25[[#This Row],[Assets]],Table25[[#All],[Sold]]))</f>
        <v>26</v>
      </c>
      <c r="M461" s="5">
        <f>ABS(SUMIF(Table25[[#All],[Assets]],Table25[[#This Row],[Assets]],Table25[[#All],[Sold Amount]]))</f>
        <v>6958.9199999999992</v>
      </c>
      <c r="N461" s="5">
        <f>IFERROR(Table25[[#This Row],[Total sold amount]]/Table25[[#This Row],[Total Sold number of stocks]],"")</f>
        <v>267.65076923076919</v>
      </c>
      <c r="O461" s="4">
        <f>IFERROR(Table25[[#This Row],[Total Amount bought]]/Table25[[#This Row],[Total number bought]],"")</f>
        <v>241.24000000000004</v>
      </c>
      <c r="P461" s="4">
        <f>IFERROR((Table25[[#This Row],[Average sell price]]-Table25[[#This Row],[Average buy price]])*Table25[[#This Row],[Total Sold number of stocks]],0)</f>
        <v>686.67999999999779</v>
      </c>
      <c r="Q461" s="85">
        <f>SUMIF(Table25[[#All],[Assets]],Table25[[#This Row],[Assets]],Table25[[#All],[Number of stocks]])</f>
        <v>0</v>
      </c>
    </row>
    <row r="462" spans="1:17">
      <c r="A462" t="e" vm="85">
        <v>#VALUE!</v>
      </c>
      <c r="B462" s="2">
        <v>45575</v>
      </c>
      <c r="C462" t="str" cm="1">
        <f t="array" aca="1" ref="C462" ca="1">_FV(A462,"Ticker symbol",TRUE)</f>
        <v>HOOD</v>
      </c>
      <c r="D462" s="4">
        <v>25.5</v>
      </c>
      <c r="E462" s="50">
        <v>-41</v>
      </c>
      <c r="F462" s="81">
        <f>IF(Table25[[#This Row],[Number of stocks]]&gt;0,Table25[[#This Row],[Number of stocks]],0)</f>
        <v>0</v>
      </c>
      <c r="G462" s="73">
        <f>Table25[[#This Row],[Bought]]*Table25[[#This Row],[Price]]</f>
        <v>0</v>
      </c>
      <c r="H462">
        <f>SUMIF(Table25[[#All],[Assets]],Table25[[#This Row],[Assets]],Table25[[#All],[Bought]])</f>
        <v>105</v>
      </c>
      <c r="I462">
        <f>SUMIF(Table25[[#All],[Assets]],Table25[[#This Row],[Assets]],Table25[[#All],[Bought Amount]])</f>
        <v>4056.0900000000006</v>
      </c>
      <c r="J462" s="88">
        <f>IF(Table25[[#This Row],[Number of stocks]]&lt;0,Table25[[#This Row],[Number of stocks]],0)</f>
        <v>-41</v>
      </c>
      <c r="K462" s="5">
        <f>Table25[[#This Row],[Sold]]*Table25[[#This Row],[Price]]</f>
        <v>-1045.5</v>
      </c>
      <c r="L462" s="8">
        <f>ABS(SUMIF(Table25[[#All],[Assets]],Table25[[#This Row],[Assets]],Table25[[#All],[Sold]]))</f>
        <v>80</v>
      </c>
      <c r="M462" s="5">
        <f>ABS(SUMIF(Table25[[#All],[Assets]],Table25[[#This Row],[Assets]],Table25[[#All],[Sold Amount]]))</f>
        <v>2255.4300000000003</v>
      </c>
      <c r="N462" s="5">
        <f>IFERROR(Table25[[#This Row],[Total sold amount]]/Table25[[#This Row],[Total Sold number of stocks]],"")</f>
        <v>28.192875000000004</v>
      </c>
      <c r="O462" s="4">
        <f>IFERROR(Table25[[#This Row],[Total Amount bought]]/Table25[[#This Row],[Total number bought]],"")</f>
        <v>38.629428571428576</v>
      </c>
      <c r="P462" s="4">
        <f>IFERROR((Table25[[#This Row],[Average sell price]]-Table25[[#This Row],[Average buy price]])*Table25[[#This Row],[Total Sold number of stocks]],0)</f>
        <v>-834.92428571428582</v>
      </c>
      <c r="Q462" s="85">
        <f>SUMIF(Table25[[#All],[Assets]],Table25[[#This Row],[Assets]],Table25[[#All],[Number of stocks]])</f>
        <v>25</v>
      </c>
    </row>
    <row r="463" spans="1:17">
      <c r="A463" t="e" vm="13">
        <v>#VALUE!</v>
      </c>
      <c r="B463" s="2">
        <v>45575</v>
      </c>
      <c r="C463" t="str" cm="1">
        <f t="array" aca="1" ref="C463" ca="1">_FV(A463,"Ticker symbol",TRUE)</f>
        <v>ON</v>
      </c>
      <c r="D463" s="4">
        <v>70.3</v>
      </c>
      <c r="E463" s="50">
        <v>48</v>
      </c>
      <c r="F463" s="81">
        <f>IF(Table25[[#This Row],[Number of stocks]]&gt;0,Table25[[#This Row],[Number of stocks]],0)</f>
        <v>48</v>
      </c>
      <c r="G463" s="73">
        <f>Table25[[#This Row],[Bought]]*Table25[[#This Row],[Price]]</f>
        <v>3374.3999999999996</v>
      </c>
      <c r="H463">
        <f>SUMIF(Table25[[#All],[Assets]],Table25[[#This Row],[Assets]],Table25[[#All],[Bought]])</f>
        <v>326</v>
      </c>
      <c r="I463">
        <f>SUMIF(Table25[[#All],[Assets]],Table25[[#This Row],[Assets]],Table25[[#All],[Bought Amount]])</f>
        <v>19172.809999999998</v>
      </c>
      <c r="J463" s="88">
        <f>IF(Table25[[#This Row],[Number of stocks]]&lt;0,Table25[[#This Row],[Number of stocks]],0)</f>
        <v>0</v>
      </c>
      <c r="K463" s="5">
        <f>Table25[[#This Row],[Sold]]*Table25[[#This Row],[Price]]</f>
        <v>0</v>
      </c>
      <c r="L463" s="8">
        <f>ABS(SUMIF(Table25[[#All],[Assets]],Table25[[#This Row],[Assets]],Table25[[#All],[Sold]]))</f>
        <v>283</v>
      </c>
      <c r="M463" s="5">
        <f>ABS(SUMIF(Table25[[#All],[Assets]],Table25[[#This Row],[Assets]],Table25[[#All],[Sold Amount]]))</f>
        <v>15700.74</v>
      </c>
      <c r="N463" s="5">
        <f>IFERROR(Table25[[#This Row],[Total sold amount]]/Table25[[#This Row],[Total Sold number of stocks]],"")</f>
        <v>55.47964664310954</v>
      </c>
      <c r="O463" s="4">
        <f>IFERROR(Table25[[#This Row],[Total Amount bought]]/Table25[[#This Row],[Total number bought]],"")</f>
        <v>58.812300613496923</v>
      </c>
      <c r="P463" s="4">
        <f>IFERROR((Table25[[#This Row],[Average sell price]]-Table25[[#This Row],[Average buy price]])*Table25[[#This Row],[Total Sold number of stocks]],0)</f>
        <v>-943.14107361962954</v>
      </c>
      <c r="Q463" s="85">
        <f>SUMIF(Table25[[#All],[Assets]],Table25[[#This Row],[Assets]],Table25[[#All],[Number of stocks]])</f>
        <v>43</v>
      </c>
    </row>
    <row r="464" spans="1:17">
      <c r="A464" t="e" vm="26">
        <v>#VALUE!</v>
      </c>
      <c r="B464" s="2">
        <v>45576</v>
      </c>
      <c r="C464" t="str" cm="1">
        <f t="array" aca="1" ref="C464" ca="1">_FV(A464,"Ticker symbol",TRUE)</f>
        <v>AEHR</v>
      </c>
      <c r="D464" s="4">
        <v>16.39</v>
      </c>
      <c r="E464" s="50">
        <v>-175</v>
      </c>
      <c r="F464" s="81">
        <f>IF(Table25[[#This Row],[Number of stocks]]&gt;0,Table25[[#This Row],[Number of stocks]],0)</f>
        <v>0</v>
      </c>
      <c r="G464" s="73">
        <f>Table25[[#This Row],[Bought]]*Table25[[#This Row],[Price]]</f>
        <v>0</v>
      </c>
      <c r="H464">
        <f>SUMIF(Table25[[#All],[Assets]],Table25[[#This Row],[Assets]],Table25[[#All],[Bought]])</f>
        <v>559</v>
      </c>
      <c r="I464">
        <f>SUMIF(Table25[[#All],[Assets]],Table25[[#This Row],[Assets]],Table25[[#All],[Bought Amount]])</f>
        <v>7405.6399999999994</v>
      </c>
      <c r="J464" s="88">
        <f>IF(Table25[[#This Row],[Number of stocks]]&lt;0,Table25[[#This Row],[Number of stocks]],0)</f>
        <v>-175</v>
      </c>
      <c r="K464" s="5">
        <f>Table25[[#This Row],[Sold]]*Table25[[#This Row],[Price]]</f>
        <v>-2868.25</v>
      </c>
      <c r="L464" s="8">
        <f>ABS(SUMIF(Table25[[#All],[Assets]],Table25[[#This Row],[Assets]],Table25[[#All],[Sold]]))</f>
        <v>539</v>
      </c>
      <c r="M464" s="5">
        <f>ABS(SUMIF(Table25[[#All],[Assets]],Table25[[#This Row],[Assets]],Table25[[#All],[Sold Amount]]))</f>
        <v>9662.32</v>
      </c>
      <c r="N464" s="5">
        <f>IFERROR(Table25[[#This Row],[Total sold amount]]/Table25[[#This Row],[Total Sold number of stocks]],"")</f>
        <v>17.92638218923933</v>
      </c>
      <c r="O464" s="4">
        <f>IFERROR(Table25[[#This Row],[Total Amount bought]]/Table25[[#This Row],[Total number bought]],"")</f>
        <v>13.248014311270124</v>
      </c>
      <c r="P464" s="4">
        <f>IFERROR((Table25[[#This Row],[Average sell price]]-Table25[[#This Row],[Average buy price]])*Table25[[#This Row],[Total Sold number of stocks]],0)</f>
        <v>2521.6402862254022</v>
      </c>
      <c r="Q464" s="85">
        <f>SUMIF(Table25[[#All],[Assets]],Table25[[#This Row],[Assets]],Table25[[#All],[Number of stocks]])</f>
        <v>20</v>
      </c>
    </row>
    <row r="465" spans="1:17">
      <c r="A465" t="e" vm="36">
        <v>#VALUE!</v>
      </c>
      <c r="B465" s="2">
        <v>45576</v>
      </c>
      <c r="C465" t="str" cm="1">
        <f t="array" aca="1" ref="C465" ca="1">_FV(A465,"Ticker symbol",TRUE)</f>
        <v>CLS</v>
      </c>
      <c r="D465" s="4">
        <v>62.99</v>
      </c>
      <c r="E465" s="50">
        <v>10</v>
      </c>
      <c r="F465" s="81">
        <f>IF(Table25[[#This Row],[Number of stocks]]&gt;0,Table25[[#This Row],[Number of stocks]],0)</f>
        <v>10</v>
      </c>
      <c r="G465" s="73">
        <f>Table25[[#This Row],[Bought]]*Table25[[#This Row],[Price]]</f>
        <v>629.9</v>
      </c>
      <c r="H465">
        <f>SUMIF(Table25[[#All],[Assets]],Table25[[#This Row],[Assets]],Table25[[#All],[Bought]])</f>
        <v>25</v>
      </c>
      <c r="I465">
        <f>SUMIF(Table25[[#All],[Assets]],Table25[[#This Row],[Assets]],Table25[[#All],[Bought Amount]])</f>
        <v>1806.25</v>
      </c>
      <c r="J465" s="88">
        <f>IF(Table25[[#This Row],[Number of stocks]]&lt;0,Table25[[#This Row],[Number of stocks]],0)</f>
        <v>0</v>
      </c>
      <c r="K465" s="5">
        <f>Table25[[#This Row],[Sold]]*Table25[[#This Row],[Price]]</f>
        <v>0</v>
      </c>
      <c r="L465" s="8">
        <f>ABS(SUMIF(Table25[[#All],[Assets]],Table25[[#This Row],[Assets]],Table25[[#All],[Sold]]))</f>
        <v>25</v>
      </c>
      <c r="M465" s="5">
        <f>ABS(SUMIF(Table25[[#All],[Assets]],Table25[[#This Row],[Assets]],Table25[[#All],[Sold Amount]]))</f>
        <v>2255.6000000000004</v>
      </c>
      <c r="N465" s="5">
        <f>IFERROR(Table25[[#This Row],[Total sold amount]]/Table25[[#This Row],[Total Sold number of stocks]],"")</f>
        <v>90.224000000000018</v>
      </c>
      <c r="O465" s="4">
        <f>IFERROR(Table25[[#This Row],[Total Amount bought]]/Table25[[#This Row],[Total number bought]],"")</f>
        <v>72.25</v>
      </c>
      <c r="P465" s="4">
        <f>IFERROR((Table25[[#This Row],[Average sell price]]-Table25[[#This Row],[Average buy price]])*Table25[[#This Row],[Total Sold number of stocks]],0)</f>
        <v>449.35000000000048</v>
      </c>
      <c r="Q465" s="85">
        <f>SUMIF(Table25[[#All],[Assets]],Table25[[#This Row],[Assets]],Table25[[#All],[Number of stocks]])</f>
        <v>0</v>
      </c>
    </row>
    <row r="466" spans="1:17">
      <c r="A466" t="e" vm="33">
        <v>#VALUE!</v>
      </c>
      <c r="B466" s="2">
        <v>45576</v>
      </c>
      <c r="C466" t="str" cm="1">
        <f t="array" aca="1" ref="C466" ca="1">_FV(A466,"Ticker symbol",TRUE)</f>
        <v>CRDO</v>
      </c>
      <c r="D466" s="4">
        <v>38.909999999999997</v>
      </c>
      <c r="E466" s="50">
        <v>15</v>
      </c>
      <c r="F466" s="81">
        <f>IF(Table25[[#This Row],[Number of stocks]]&gt;0,Table25[[#This Row],[Number of stocks]],0)</f>
        <v>15</v>
      </c>
      <c r="G466" s="73">
        <f>Table25[[#This Row],[Bought]]*Table25[[#This Row],[Price]]</f>
        <v>583.65</v>
      </c>
      <c r="H466">
        <f>SUMIF(Table25[[#All],[Assets]],Table25[[#This Row],[Assets]],Table25[[#All],[Bought]])</f>
        <v>135</v>
      </c>
      <c r="I466">
        <f>SUMIF(Table25[[#All],[Assets]],Table25[[#This Row],[Assets]],Table25[[#All],[Bought Amount]])</f>
        <v>3772.0499999999997</v>
      </c>
      <c r="J466" s="88">
        <f>IF(Table25[[#This Row],[Number of stocks]]&lt;0,Table25[[#This Row],[Number of stocks]],0)</f>
        <v>0</v>
      </c>
      <c r="K466" s="5">
        <f>Table25[[#This Row],[Sold]]*Table25[[#This Row],[Price]]</f>
        <v>0</v>
      </c>
      <c r="L466" s="8">
        <f>ABS(SUMIF(Table25[[#All],[Assets]],Table25[[#This Row],[Assets]],Table25[[#All],[Sold]]))</f>
        <v>135</v>
      </c>
      <c r="M466" s="5">
        <f>ABS(SUMIF(Table25[[#All],[Assets]],Table25[[#This Row],[Assets]],Table25[[#All],[Sold Amount]]))</f>
        <v>5564.1</v>
      </c>
      <c r="N466" s="5">
        <f>IFERROR(Table25[[#This Row],[Total sold amount]]/Table25[[#This Row],[Total Sold number of stocks]],"")</f>
        <v>41.215555555555561</v>
      </c>
      <c r="O466" s="4">
        <f>IFERROR(Table25[[#This Row],[Total Amount bought]]/Table25[[#This Row],[Total number bought]],"")</f>
        <v>27.941111111111109</v>
      </c>
      <c r="P466" s="4">
        <f>IFERROR((Table25[[#This Row],[Average sell price]]-Table25[[#This Row],[Average buy price]])*Table25[[#This Row],[Total Sold number of stocks]],0)</f>
        <v>1792.0500000000011</v>
      </c>
      <c r="Q466" s="85">
        <f>SUMIF(Table25[[#All],[Assets]],Table25[[#This Row],[Assets]],Table25[[#All],[Number of stocks]])</f>
        <v>0</v>
      </c>
    </row>
    <row r="467" spans="1:17">
      <c r="A467" t="e" vm="455">
        <v>#VALUE!</v>
      </c>
      <c r="B467" s="2">
        <v>45576</v>
      </c>
      <c r="C467" t="str" cm="1">
        <f t="array" aca="1" ref="C467" ca="1">_FV(A467,"Ticker symbol",TRUE)</f>
        <v>SGOV</v>
      </c>
      <c r="D467" s="4">
        <v>100.48</v>
      </c>
      <c r="E467" s="50">
        <v>8</v>
      </c>
      <c r="F467" s="81">
        <f>IF(Table25[[#This Row],[Number of stocks]]&gt;0,Table25[[#This Row],[Number of stocks]],0)</f>
        <v>8</v>
      </c>
      <c r="G467" s="73">
        <f>Table25[[#This Row],[Bought]]*Table25[[#This Row],[Price]]</f>
        <v>803.84</v>
      </c>
      <c r="H467">
        <f>SUMIF(Table25[[#All],[Assets]],Table25[[#This Row],[Assets]],Table25[[#All],[Bought]])</f>
        <v>96</v>
      </c>
      <c r="I467">
        <f>SUMIF(Table25[[#All],[Assets]],Table25[[#This Row],[Assets]],Table25[[#All],[Bought Amount]])</f>
        <v>9661.36</v>
      </c>
      <c r="J467" s="88">
        <f>IF(Table25[[#This Row],[Number of stocks]]&lt;0,Table25[[#This Row],[Number of stocks]],0)</f>
        <v>0</v>
      </c>
      <c r="K467" s="5">
        <f>Table25[[#This Row],[Sold]]*Table25[[#This Row],[Price]]</f>
        <v>0</v>
      </c>
      <c r="L467" s="8">
        <f>ABS(SUMIF(Table25[[#All],[Assets]],Table25[[#This Row],[Assets]],Table25[[#All],[Sold]]))</f>
        <v>96</v>
      </c>
      <c r="M467" s="5">
        <f>ABS(SUMIF(Table25[[#All],[Assets]],Table25[[#This Row],[Assets]],Table25[[#All],[Sold Amount]]))</f>
        <v>9600.9399999999987</v>
      </c>
      <c r="N467" s="5">
        <f>IFERROR(Table25[[#This Row],[Total sold amount]]/Table25[[#This Row],[Total Sold number of stocks]],"")</f>
        <v>100.00979166666666</v>
      </c>
      <c r="O467" s="4">
        <f>IFERROR(Table25[[#This Row],[Total Amount bought]]/Table25[[#This Row],[Total number bought]],"")</f>
        <v>100.63916666666667</v>
      </c>
      <c r="P467" s="4">
        <f>IFERROR((Table25[[#This Row],[Average sell price]]-Table25[[#This Row],[Average buy price]])*Table25[[#This Row],[Total Sold number of stocks]],0)</f>
        <v>-60.420000000000982</v>
      </c>
      <c r="Q467" s="85">
        <f>SUMIF(Table25[[#All],[Assets]],Table25[[#This Row],[Assets]],Table25[[#All],[Number of stocks]])</f>
        <v>0</v>
      </c>
    </row>
    <row r="468" spans="1:17">
      <c r="A468" t="e" vm="21">
        <v>#VALUE!</v>
      </c>
      <c r="B468" s="2">
        <v>45576</v>
      </c>
      <c r="C468" t="str" cm="1">
        <f t="array" aca="1" ref="C468" ca="1">_FV(A468,"Ticker symbol",TRUE)</f>
        <v>INTC</v>
      </c>
      <c r="D468" s="4">
        <v>23.64</v>
      </c>
      <c r="E468" s="50">
        <v>3</v>
      </c>
      <c r="F468" s="81">
        <f>IF(Table25[[#This Row],[Number of stocks]]&gt;0,Table25[[#This Row],[Number of stocks]],0)</f>
        <v>3</v>
      </c>
      <c r="G468" s="73">
        <f>Table25[[#This Row],[Bought]]*Table25[[#This Row],[Price]]</f>
        <v>70.92</v>
      </c>
      <c r="H468">
        <f>SUMIF(Table25[[#All],[Assets]],Table25[[#This Row],[Assets]],Table25[[#All],[Bought]])</f>
        <v>334.73663899999997</v>
      </c>
      <c r="I468">
        <f>SUMIF(Table25[[#All],[Assets]],Table25[[#This Row],[Assets]],Table25[[#All],[Bought Amount]])</f>
        <v>9755.9173948600001</v>
      </c>
      <c r="J468" s="88">
        <f>IF(Table25[[#This Row],[Number of stocks]]&lt;0,Table25[[#This Row],[Number of stocks]],0)</f>
        <v>0</v>
      </c>
      <c r="K468" s="5">
        <f>Table25[[#This Row],[Sold]]*Table25[[#This Row],[Price]]</f>
        <v>0</v>
      </c>
      <c r="L468" s="8">
        <f>ABS(SUMIF(Table25[[#All],[Assets]],Table25[[#This Row],[Assets]],Table25[[#All],[Sold]]))</f>
        <v>334.74</v>
      </c>
      <c r="M468" s="5">
        <f>ABS(SUMIF(Table25[[#All],[Assets]],Table25[[#This Row],[Assets]],Table25[[#All],[Sold Amount]]))</f>
        <v>7909.2053999999998</v>
      </c>
      <c r="N468" s="5">
        <f>IFERROR(Table25[[#This Row],[Total sold amount]]/Table25[[#This Row],[Total Sold number of stocks]],"")</f>
        <v>23.627906434844952</v>
      </c>
      <c r="O468" s="4">
        <f>IFERROR(Table25[[#This Row],[Total Amount bought]]/Table25[[#This Row],[Total number bought]],"")</f>
        <v>29.145053926588542</v>
      </c>
      <c r="P468" s="4">
        <f>IFERROR((Table25[[#This Row],[Average sell price]]-Table25[[#This Row],[Average buy price]])*Table25[[#This Row],[Total Sold number of stocks]],0)</f>
        <v>-1846.8099513862492</v>
      </c>
      <c r="Q468" s="85">
        <f>SUMIF(Table25[[#All],[Assets]],Table25[[#This Row],[Assets]],Table25[[#All],[Number of stocks]])</f>
        <v>-3.3610000000123819E-3</v>
      </c>
    </row>
    <row r="469" spans="1:17">
      <c r="A469" t="e" vm="131">
        <v>#VALUE!</v>
      </c>
      <c r="B469" s="2">
        <v>45581</v>
      </c>
      <c r="C469" t="str" cm="1">
        <f t="array" aca="1" ref="C469" ca="1">_FV(A469,"Ticker symbol",TRUE)</f>
        <v>INTU</v>
      </c>
      <c r="D469" s="4">
        <v>617.6</v>
      </c>
      <c r="E469" s="50">
        <v>-1</v>
      </c>
      <c r="F469" s="81">
        <f>IF(Table25[[#This Row],[Number of stocks]]&gt;0,Table25[[#This Row],[Number of stocks]],0)</f>
        <v>0</v>
      </c>
      <c r="G469" s="73">
        <f>Table25[[#This Row],[Bought]]*Table25[[#This Row],[Price]]</f>
        <v>0</v>
      </c>
      <c r="H469">
        <f>SUMIF(Table25[[#All],[Assets]],Table25[[#This Row],[Assets]],Table25[[#All],[Bought]])</f>
        <v>2</v>
      </c>
      <c r="I469">
        <f>SUMIF(Table25[[#All],[Assets]],Table25[[#This Row],[Assets]],Table25[[#All],[Bought Amount]])</f>
        <v>1225.6600000000001</v>
      </c>
      <c r="J469" s="88">
        <f>IF(Table25[[#This Row],[Number of stocks]]&lt;0,Table25[[#This Row],[Number of stocks]],0)</f>
        <v>-1</v>
      </c>
      <c r="K469" s="5">
        <f>Table25[[#This Row],[Sold]]*Table25[[#This Row],[Price]]</f>
        <v>-617.6</v>
      </c>
      <c r="L469" s="8">
        <f>ABS(SUMIF(Table25[[#All],[Assets]],Table25[[#This Row],[Assets]],Table25[[#All],[Sold]]))</f>
        <v>2</v>
      </c>
      <c r="M469" s="5">
        <f>ABS(SUMIF(Table25[[#All],[Assets]],Table25[[#This Row],[Assets]],Table25[[#All],[Sold Amount]]))</f>
        <v>1194.33</v>
      </c>
      <c r="N469" s="5">
        <f>IFERROR(Table25[[#This Row],[Total sold amount]]/Table25[[#This Row],[Total Sold number of stocks]],"")</f>
        <v>597.16499999999996</v>
      </c>
      <c r="O469" s="4">
        <f>IFERROR(Table25[[#This Row],[Total Amount bought]]/Table25[[#This Row],[Total number bought]],"")</f>
        <v>612.83000000000004</v>
      </c>
      <c r="P469" s="4">
        <f>IFERROR((Table25[[#This Row],[Average sell price]]-Table25[[#This Row],[Average buy price]])*Table25[[#This Row],[Total Sold number of stocks]],0)</f>
        <v>-31.330000000000155</v>
      </c>
      <c r="Q469" s="85">
        <f>SUMIF(Table25[[#All],[Assets]],Table25[[#This Row],[Assets]],Table25[[#All],[Number of stocks]])</f>
        <v>0</v>
      </c>
    </row>
    <row r="470" spans="1:17">
      <c r="A470" t="e" vm="26">
        <v>#VALUE!</v>
      </c>
      <c r="B470" s="2">
        <v>45581</v>
      </c>
      <c r="C470" t="str" cm="1">
        <f t="array" aca="1" ref="C470" ca="1">_FV(A470,"Ticker symbol",TRUE)</f>
        <v>AEHR</v>
      </c>
      <c r="D470" s="4">
        <v>15.98</v>
      </c>
      <c r="E470" s="50">
        <v>-25</v>
      </c>
      <c r="F470" s="81">
        <f>IF(Table25[[#This Row],[Number of stocks]]&gt;0,Table25[[#This Row],[Number of stocks]],0)</f>
        <v>0</v>
      </c>
      <c r="G470" s="73">
        <f>Table25[[#This Row],[Bought]]*Table25[[#This Row],[Price]]</f>
        <v>0</v>
      </c>
      <c r="H470">
        <f>SUMIF(Table25[[#All],[Assets]],Table25[[#This Row],[Assets]],Table25[[#All],[Bought]])</f>
        <v>559</v>
      </c>
      <c r="I470">
        <f>SUMIF(Table25[[#All],[Assets]],Table25[[#This Row],[Assets]],Table25[[#All],[Bought Amount]])</f>
        <v>7405.6399999999994</v>
      </c>
      <c r="J470" s="88">
        <f>IF(Table25[[#This Row],[Number of stocks]]&lt;0,Table25[[#This Row],[Number of stocks]],0)</f>
        <v>-25</v>
      </c>
      <c r="K470" s="5">
        <f>Table25[[#This Row],[Sold]]*Table25[[#This Row],[Price]]</f>
        <v>-399.5</v>
      </c>
      <c r="L470" s="8">
        <f>ABS(SUMIF(Table25[[#All],[Assets]],Table25[[#This Row],[Assets]],Table25[[#All],[Sold]]))</f>
        <v>539</v>
      </c>
      <c r="M470" s="5">
        <f>ABS(SUMIF(Table25[[#All],[Assets]],Table25[[#This Row],[Assets]],Table25[[#All],[Sold Amount]]))</f>
        <v>9662.32</v>
      </c>
      <c r="N470" s="5">
        <f>IFERROR(Table25[[#This Row],[Total sold amount]]/Table25[[#This Row],[Total Sold number of stocks]],"")</f>
        <v>17.92638218923933</v>
      </c>
      <c r="O470" s="4">
        <f>IFERROR(Table25[[#This Row],[Total Amount bought]]/Table25[[#This Row],[Total number bought]],"")</f>
        <v>13.248014311270124</v>
      </c>
      <c r="P470" s="4">
        <f>IFERROR((Table25[[#This Row],[Average sell price]]-Table25[[#This Row],[Average buy price]])*Table25[[#This Row],[Total Sold number of stocks]],0)</f>
        <v>2521.6402862254022</v>
      </c>
      <c r="Q470" s="85">
        <f>SUMIF(Table25[[#All],[Assets]],Table25[[#This Row],[Assets]],Table25[[#All],[Number of stocks]])</f>
        <v>20</v>
      </c>
    </row>
    <row r="471" spans="1:17">
      <c r="A471" t="e" vm="262">
        <v>#VALUE!</v>
      </c>
      <c r="B471" s="2">
        <v>45581</v>
      </c>
      <c r="C471" t="str" cm="1">
        <f t="array" aca="1" ref="C471" ca="1">_FV(A471,"Ticker symbol",TRUE)</f>
        <v>PROP</v>
      </c>
      <c r="D471" s="4">
        <v>8.3000000000000007</v>
      </c>
      <c r="E471" s="50">
        <v>70</v>
      </c>
      <c r="F471" s="81">
        <f>IF(Table25[[#This Row],[Number of stocks]]&gt;0,Table25[[#This Row],[Number of stocks]],0)</f>
        <v>70</v>
      </c>
      <c r="G471" s="73">
        <f>Table25[[#This Row],[Bought]]*Table25[[#This Row],[Price]]</f>
        <v>581</v>
      </c>
      <c r="H471">
        <f>SUMIF(Table25[[#All],[Assets]],Table25[[#This Row],[Assets]],Table25[[#All],[Bought]])</f>
        <v>120</v>
      </c>
      <c r="I471">
        <f>SUMIF(Table25[[#All],[Assets]],Table25[[#This Row],[Assets]],Table25[[#All],[Bought Amount]])</f>
        <v>1031.5</v>
      </c>
      <c r="J471" s="88">
        <f>IF(Table25[[#This Row],[Number of stocks]]&lt;0,Table25[[#This Row],[Number of stocks]],0)</f>
        <v>0</v>
      </c>
      <c r="K471" s="5">
        <f>Table25[[#This Row],[Sold]]*Table25[[#This Row],[Price]]</f>
        <v>0</v>
      </c>
      <c r="L471" s="8">
        <f>ABS(SUMIF(Table25[[#All],[Assets]],Table25[[#This Row],[Assets]],Table25[[#All],[Sold]]))</f>
        <v>120</v>
      </c>
      <c r="M471" s="5">
        <f>ABS(SUMIF(Table25[[#All],[Assets]],Table25[[#This Row],[Assets]],Table25[[#All],[Sold Amount]]))</f>
        <v>704.4</v>
      </c>
      <c r="N471" s="5">
        <f>IFERROR(Table25[[#This Row],[Total sold amount]]/Table25[[#This Row],[Total Sold number of stocks]],"")</f>
        <v>5.87</v>
      </c>
      <c r="O471" s="4">
        <f>IFERROR(Table25[[#This Row],[Total Amount bought]]/Table25[[#This Row],[Total number bought]],"")</f>
        <v>8.5958333333333332</v>
      </c>
      <c r="P471" s="4">
        <f>IFERROR((Table25[[#This Row],[Average sell price]]-Table25[[#This Row],[Average buy price]])*Table25[[#This Row],[Total Sold number of stocks]],0)</f>
        <v>-327.09999999999997</v>
      </c>
      <c r="Q471" s="85">
        <f>SUMIF(Table25[[#All],[Assets]],Table25[[#This Row],[Assets]],Table25[[#All],[Number of stocks]])</f>
        <v>0</v>
      </c>
    </row>
    <row r="472" spans="1:17">
      <c r="A472" t="e" vm="154">
        <v>#VALUE!</v>
      </c>
      <c r="B472" s="2">
        <v>45581</v>
      </c>
      <c r="C472" t="str" cm="1">
        <f t="array" aca="1" ref="C472" ca="1">_FV(A472,"Ticker symbol",TRUE)</f>
        <v>B</v>
      </c>
      <c r="D472" s="4">
        <v>20.11</v>
      </c>
      <c r="E472" s="50">
        <v>50</v>
      </c>
      <c r="F472" s="81">
        <f>IF(Table25[[#This Row],[Number of stocks]]&gt;0,Table25[[#This Row],[Number of stocks]],0)</f>
        <v>50</v>
      </c>
      <c r="G472" s="73">
        <f>Table25[[#This Row],[Bought]]*Table25[[#This Row],[Price]]</f>
        <v>1005.5</v>
      </c>
      <c r="H472">
        <f>SUMIF(Table25[[#All],[Assets]],Table25[[#This Row],[Assets]],Table25[[#All],[Bought]])</f>
        <v>100</v>
      </c>
      <c r="I472">
        <f>SUMIF(Table25[[#All],[Assets]],Table25[[#This Row],[Assets]],Table25[[#All],[Bought Amount]])</f>
        <v>2006.5</v>
      </c>
      <c r="J472" s="88">
        <f>IF(Table25[[#This Row],[Number of stocks]]&lt;0,Table25[[#This Row],[Number of stocks]],0)</f>
        <v>0</v>
      </c>
      <c r="K472" s="5">
        <f>Table25[[#This Row],[Sold]]*Table25[[#This Row],[Price]]</f>
        <v>0</v>
      </c>
      <c r="L472" s="8">
        <f>ABS(SUMIF(Table25[[#All],[Assets]],Table25[[#This Row],[Assets]],Table25[[#All],[Sold]]))</f>
        <v>100</v>
      </c>
      <c r="M472" s="5">
        <f>ABS(SUMIF(Table25[[#All],[Assets]],Table25[[#This Row],[Assets]],Table25[[#All],[Sold Amount]]))</f>
        <v>1768.5</v>
      </c>
      <c r="N472" s="5">
        <f>IFERROR(Table25[[#This Row],[Total sold amount]]/Table25[[#This Row],[Total Sold number of stocks]],"")</f>
        <v>17.684999999999999</v>
      </c>
      <c r="O472" s="4">
        <f>IFERROR(Table25[[#This Row],[Total Amount bought]]/Table25[[#This Row],[Total number bought]],"")</f>
        <v>20.065000000000001</v>
      </c>
      <c r="P472" s="4">
        <f>IFERROR((Table25[[#This Row],[Average sell price]]-Table25[[#This Row],[Average buy price]])*Table25[[#This Row],[Total Sold number of stocks]],0)</f>
        <v>-238.00000000000026</v>
      </c>
      <c r="Q472" s="85">
        <f>SUMIF(Table25[[#All],[Assets]],Table25[[#This Row],[Assets]],Table25[[#All],[Number of stocks]])</f>
        <v>0</v>
      </c>
    </row>
    <row r="473" spans="1:17">
      <c r="A473" t="e" vm="129">
        <v>#VALUE!</v>
      </c>
      <c r="B473" s="2">
        <v>45581</v>
      </c>
      <c r="C473" t="str" cm="1">
        <f t="array" aca="1" ref="C473" ca="1">_FV(A473,"Ticker symbol",TRUE)</f>
        <v>MRVL</v>
      </c>
      <c r="D473" s="4">
        <v>79.760000000000005</v>
      </c>
      <c r="E473" s="50">
        <v>-4</v>
      </c>
      <c r="F473" s="81">
        <f>IF(Table25[[#This Row],[Number of stocks]]&gt;0,Table25[[#This Row],[Number of stocks]],0)</f>
        <v>0</v>
      </c>
      <c r="G473" s="73">
        <f>Table25[[#This Row],[Bought]]*Table25[[#This Row],[Price]]</f>
        <v>0</v>
      </c>
      <c r="H473">
        <f>SUMIF(Table25[[#All],[Assets]],Table25[[#This Row],[Assets]],Table25[[#All],[Bought]])</f>
        <v>105</v>
      </c>
      <c r="I473">
        <f>SUMIF(Table25[[#All],[Assets]],Table25[[#This Row],[Assets]],Table25[[#All],[Bought Amount]])</f>
        <v>8175.6200000000008</v>
      </c>
      <c r="J473" s="88">
        <f>IF(Table25[[#This Row],[Number of stocks]]&lt;0,Table25[[#This Row],[Number of stocks]],0)</f>
        <v>-4</v>
      </c>
      <c r="K473" s="5">
        <f>Table25[[#This Row],[Sold]]*Table25[[#This Row],[Price]]</f>
        <v>-319.04000000000002</v>
      </c>
      <c r="L473" s="8">
        <f>ABS(SUMIF(Table25[[#All],[Assets]],Table25[[#This Row],[Assets]],Table25[[#All],[Sold]]))</f>
        <v>83</v>
      </c>
      <c r="M473" s="5">
        <f>ABS(SUMIF(Table25[[#All],[Assets]],Table25[[#This Row],[Assets]],Table25[[#All],[Sold Amount]]))</f>
        <v>6745.73</v>
      </c>
      <c r="N473" s="5">
        <f>IFERROR(Table25[[#This Row],[Total sold amount]]/Table25[[#This Row],[Total Sold number of stocks]],"")</f>
        <v>81.273855421686747</v>
      </c>
      <c r="O473" s="4">
        <f>IFERROR(Table25[[#This Row],[Total Amount bought]]/Table25[[#This Row],[Total number bought]],"")</f>
        <v>77.86304761904762</v>
      </c>
      <c r="P473" s="4">
        <f>IFERROR((Table25[[#This Row],[Average sell price]]-Table25[[#This Row],[Average buy price]])*Table25[[#This Row],[Total Sold number of stocks]],0)</f>
        <v>283.09704761904754</v>
      </c>
      <c r="Q473" s="85">
        <f>SUMIF(Table25[[#All],[Assets]],Table25[[#This Row],[Assets]],Table25[[#All],[Number of stocks]])</f>
        <v>22</v>
      </c>
    </row>
    <row r="474" spans="1:17">
      <c r="A474" t="e" vm="128">
        <v>#VALUE!</v>
      </c>
      <c r="B474" s="2">
        <v>45581</v>
      </c>
      <c r="C474" t="str" cm="1">
        <f t="array" aca="1" ref="C474" ca="1">_FV(A474,"Ticker symbol",TRUE)</f>
        <v>AXON</v>
      </c>
      <c r="D474" s="4">
        <v>430.13</v>
      </c>
      <c r="E474" s="50">
        <v>-2</v>
      </c>
      <c r="F474" s="81">
        <f>IF(Table25[[#This Row],[Number of stocks]]&gt;0,Table25[[#This Row],[Number of stocks]],0)</f>
        <v>0</v>
      </c>
      <c r="G474" s="73">
        <f>Table25[[#This Row],[Bought]]*Table25[[#This Row],[Price]]</f>
        <v>0</v>
      </c>
      <c r="H474">
        <f>SUMIF(Table25[[#All],[Assets]],Table25[[#This Row],[Assets]],Table25[[#All],[Bought]])</f>
        <v>5</v>
      </c>
      <c r="I474">
        <f>SUMIF(Table25[[#All],[Assets]],Table25[[#This Row],[Assets]],Table25[[#All],[Bought Amount]])</f>
        <v>1437.6899999999998</v>
      </c>
      <c r="J474" s="88">
        <f>IF(Table25[[#This Row],[Number of stocks]]&lt;0,Table25[[#This Row],[Number of stocks]],0)</f>
        <v>-2</v>
      </c>
      <c r="K474" s="5">
        <f>Table25[[#This Row],[Sold]]*Table25[[#This Row],[Price]]</f>
        <v>-860.26</v>
      </c>
      <c r="L474" s="8">
        <f>ABS(SUMIF(Table25[[#All],[Assets]],Table25[[#This Row],[Assets]],Table25[[#All],[Sold]]))</f>
        <v>5</v>
      </c>
      <c r="M474" s="5">
        <f>ABS(SUMIF(Table25[[#All],[Assets]],Table25[[#This Row],[Assets]],Table25[[#All],[Sold Amount]]))</f>
        <v>1963.1</v>
      </c>
      <c r="N474" s="5">
        <f>IFERROR(Table25[[#This Row],[Total sold amount]]/Table25[[#This Row],[Total Sold number of stocks]],"")</f>
        <v>392.62</v>
      </c>
      <c r="O474" s="4">
        <f>IFERROR(Table25[[#This Row],[Total Amount bought]]/Table25[[#This Row],[Total number bought]],"")</f>
        <v>287.53799999999995</v>
      </c>
      <c r="P474" s="4">
        <f>IFERROR((Table25[[#This Row],[Average sell price]]-Table25[[#This Row],[Average buy price]])*Table25[[#This Row],[Total Sold number of stocks]],0)</f>
        <v>525.41000000000031</v>
      </c>
      <c r="Q474" s="85">
        <f>SUMIF(Table25[[#All],[Assets]],Table25[[#This Row],[Assets]],Table25[[#All],[Number of stocks]])</f>
        <v>0</v>
      </c>
    </row>
    <row r="475" spans="1:17">
      <c r="A475" t="e" vm="154">
        <v>#VALUE!</v>
      </c>
      <c r="B475" s="2">
        <v>45581</v>
      </c>
      <c r="C475" t="str" cm="1">
        <f t="array" aca="1" ref="C475" ca="1">_FV(A475,"Ticker symbol",TRUE)</f>
        <v>B</v>
      </c>
      <c r="D475" s="4">
        <v>20.02</v>
      </c>
      <c r="E475" s="50">
        <v>50</v>
      </c>
      <c r="F475" s="81">
        <f>IF(Table25[[#This Row],[Number of stocks]]&gt;0,Table25[[#This Row],[Number of stocks]],0)</f>
        <v>50</v>
      </c>
      <c r="G475" s="73">
        <f>Table25[[#This Row],[Bought]]*Table25[[#This Row],[Price]]</f>
        <v>1001</v>
      </c>
      <c r="H475">
        <f>SUMIF(Table25[[#All],[Assets]],Table25[[#This Row],[Assets]],Table25[[#All],[Bought]])</f>
        <v>100</v>
      </c>
      <c r="I475">
        <f>SUMIF(Table25[[#All],[Assets]],Table25[[#This Row],[Assets]],Table25[[#All],[Bought Amount]])</f>
        <v>2006.5</v>
      </c>
      <c r="J475" s="88">
        <f>IF(Table25[[#This Row],[Number of stocks]]&lt;0,Table25[[#This Row],[Number of stocks]],0)</f>
        <v>0</v>
      </c>
      <c r="K475" s="5">
        <f>Table25[[#This Row],[Sold]]*Table25[[#This Row],[Price]]</f>
        <v>0</v>
      </c>
      <c r="L475" s="8">
        <f>ABS(SUMIF(Table25[[#All],[Assets]],Table25[[#This Row],[Assets]],Table25[[#All],[Sold]]))</f>
        <v>100</v>
      </c>
      <c r="M475" s="5">
        <f>ABS(SUMIF(Table25[[#All],[Assets]],Table25[[#This Row],[Assets]],Table25[[#All],[Sold Amount]]))</f>
        <v>1768.5</v>
      </c>
      <c r="N475" s="5">
        <f>IFERROR(Table25[[#This Row],[Total sold amount]]/Table25[[#This Row],[Total Sold number of stocks]],"")</f>
        <v>17.684999999999999</v>
      </c>
      <c r="O475" s="4">
        <f>IFERROR(Table25[[#This Row],[Total Amount bought]]/Table25[[#This Row],[Total number bought]],"")</f>
        <v>20.065000000000001</v>
      </c>
      <c r="P475" s="4">
        <f>IFERROR((Table25[[#This Row],[Average sell price]]-Table25[[#This Row],[Average buy price]])*Table25[[#This Row],[Total Sold number of stocks]],0)</f>
        <v>-238.00000000000026</v>
      </c>
      <c r="Q475" s="85">
        <f>SUMIF(Table25[[#All],[Assets]],Table25[[#This Row],[Assets]],Table25[[#All],[Number of stocks]])</f>
        <v>0</v>
      </c>
    </row>
    <row r="476" spans="1:17">
      <c r="A476" t="e" vm="481">
        <v>#VALUE!</v>
      </c>
      <c r="B476" s="2">
        <v>45582</v>
      </c>
      <c r="C476" t="str" cm="1">
        <f t="array" aca="1" ref="C476" ca="1">_FV(A476,"Ticker symbol",TRUE)</f>
        <v>DBA</v>
      </c>
      <c r="D476" s="4">
        <v>25.72</v>
      </c>
      <c r="E476" s="50">
        <v>-10</v>
      </c>
      <c r="F476" s="81">
        <f>IF(Table25[[#This Row],[Number of stocks]]&gt;0,Table25[[#This Row],[Number of stocks]],0)</f>
        <v>0</v>
      </c>
      <c r="G476" s="73">
        <f>Table25[[#This Row],[Bought]]*Table25[[#This Row],[Price]]</f>
        <v>0</v>
      </c>
      <c r="H476">
        <f>SUMIF(Table25[[#All],[Assets]],Table25[[#This Row],[Assets]],Table25[[#All],[Bought]])</f>
        <v>10</v>
      </c>
      <c r="I476">
        <f>SUMIF(Table25[[#All],[Assets]],Table25[[#This Row],[Assets]],Table25[[#All],[Bought Amount]])</f>
        <v>245.2</v>
      </c>
      <c r="J476" s="88">
        <f>IF(Table25[[#This Row],[Number of stocks]]&lt;0,Table25[[#This Row],[Number of stocks]],0)</f>
        <v>-10</v>
      </c>
      <c r="K476" s="5">
        <f>Table25[[#This Row],[Sold]]*Table25[[#This Row],[Price]]</f>
        <v>-257.2</v>
      </c>
      <c r="L476" s="8">
        <f>ABS(SUMIF(Table25[[#All],[Assets]],Table25[[#This Row],[Assets]],Table25[[#All],[Sold]]))</f>
        <v>10</v>
      </c>
      <c r="M476" s="5">
        <f>ABS(SUMIF(Table25[[#All],[Assets]],Table25[[#This Row],[Assets]],Table25[[#All],[Sold Amount]]))</f>
        <v>257.2</v>
      </c>
      <c r="N476" s="5">
        <f>IFERROR(Table25[[#This Row],[Total sold amount]]/Table25[[#This Row],[Total Sold number of stocks]],"")</f>
        <v>25.72</v>
      </c>
      <c r="O476" s="4">
        <f>IFERROR(Table25[[#This Row],[Total Amount bought]]/Table25[[#This Row],[Total number bought]],"")</f>
        <v>24.52</v>
      </c>
      <c r="P476" s="4">
        <f>IFERROR((Table25[[#This Row],[Average sell price]]-Table25[[#This Row],[Average buy price]])*Table25[[#This Row],[Total Sold number of stocks]],0)</f>
        <v>11.999999999999993</v>
      </c>
      <c r="Q476" s="85">
        <f>SUMIF(Table25[[#All],[Assets]],Table25[[#This Row],[Assets]],Table25[[#All],[Number of stocks]])</f>
        <v>0</v>
      </c>
    </row>
    <row r="477" spans="1:17">
      <c r="A477" t="e" vm="172">
        <v>#VALUE!</v>
      </c>
      <c r="B477" s="2">
        <v>45582</v>
      </c>
      <c r="C477" t="str" cm="1">
        <f t="array" aca="1" ref="C477" ca="1">_FV(A477,"Ticker symbol",TRUE)</f>
        <v>WOLF</v>
      </c>
      <c r="D477" s="4">
        <v>14</v>
      </c>
      <c r="E477" s="50">
        <v>-100</v>
      </c>
      <c r="F477" s="81">
        <f>IF(Table25[[#This Row],[Number of stocks]]&gt;0,Table25[[#This Row],[Number of stocks]],0)</f>
        <v>0</v>
      </c>
      <c r="G477" s="73">
        <f>Table25[[#This Row],[Bought]]*Table25[[#This Row],[Price]]</f>
        <v>0</v>
      </c>
      <c r="H477">
        <f>SUMIF(Table25[[#All],[Assets]],Table25[[#This Row],[Assets]],Table25[[#All],[Bought]])</f>
        <v>900</v>
      </c>
      <c r="I477">
        <f>SUMIF(Table25[[#All],[Assets]],Table25[[#This Row],[Assets]],Table25[[#All],[Bought Amount]])</f>
        <v>3579</v>
      </c>
      <c r="J477" s="88">
        <f>IF(Table25[[#This Row],[Number of stocks]]&lt;0,Table25[[#This Row],[Number of stocks]],0)</f>
        <v>-100</v>
      </c>
      <c r="K477" s="5">
        <f>Table25[[#This Row],[Sold]]*Table25[[#This Row],[Price]]</f>
        <v>-1400</v>
      </c>
      <c r="L477" s="8">
        <f>ABS(SUMIF(Table25[[#All],[Assets]],Table25[[#This Row],[Assets]],Table25[[#All],[Sold]]))</f>
        <v>900</v>
      </c>
      <c r="M477" s="5">
        <f>ABS(SUMIF(Table25[[#All],[Assets]],Table25[[#This Row],[Assets]],Table25[[#All],[Sold Amount]]))</f>
        <v>3724.3</v>
      </c>
      <c r="N477" s="5">
        <f>IFERROR(Table25[[#This Row],[Total sold amount]]/Table25[[#This Row],[Total Sold number of stocks]],"")</f>
        <v>4.1381111111111117</v>
      </c>
      <c r="O477" s="4">
        <f>IFERROR(Table25[[#This Row],[Total Amount bought]]/Table25[[#This Row],[Total number bought]],"")</f>
        <v>3.9766666666666666</v>
      </c>
      <c r="P477" s="4">
        <f>IFERROR((Table25[[#This Row],[Average sell price]]-Table25[[#This Row],[Average buy price]])*Table25[[#This Row],[Total Sold number of stocks]],0)</f>
        <v>145.30000000000064</v>
      </c>
      <c r="Q477" s="85">
        <f>SUMIF(Table25[[#All],[Assets]],Table25[[#This Row],[Assets]],Table25[[#All],[Number of stocks]])</f>
        <v>0</v>
      </c>
    </row>
    <row r="478" spans="1:17">
      <c r="A478" t="e" vm="172">
        <v>#VALUE!</v>
      </c>
      <c r="B478" s="2">
        <v>45582</v>
      </c>
      <c r="C478" t="str" cm="1">
        <f t="array" aca="1" ref="C478" ca="1">_FV(A478,"Ticker symbol",TRUE)</f>
        <v>WOLF</v>
      </c>
      <c r="D478" s="4">
        <v>17.579999999999998</v>
      </c>
      <c r="E478" s="50">
        <v>10</v>
      </c>
      <c r="F478" s="81">
        <f>IF(Table25[[#This Row],[Number of stocks]]&gt;0,Table25[[#This Row],[Number of stocks]],0)</f>
        <v>10</v>
      </c>
      <c r="G478" s="73">
        <f>Table25[[#This Row],[Bought]]*Table25[[#This Row],[Price]]</f>
        <v>175.79999999999998</v>
      </c>
      <c r="H478">
        <f>SUMIF(Table25[[#All],[Assets]],Table25[[#This Row],[Assets]],Table25[[#All],[Bought]])</f>
        <v>900</v>
      </c>
      <c r="I478">
        <f>SUMIF(Table25[[#All],[Assets]],Table25[[#This Row],[Assets]],Table25[[#All],[Bought Amount]])</f>
        <v>3579</v>
      </c>
      <c r="J478" s="88">
        <f>IF(Table25[[#This Row],[Number of stocks]]&lt;0,Table25[[#This Row],[Number of stocks]],0)</f>
        <v>0</v>
      </c>
      <c r="K478" s="5">
        <f>Table25[[#This Row],[Sold]]*Table25[[#This Row],[Price]]</f>
        <v>0</v>
      </c>
      <c r="L478" s="8">
        <f>ABS(SUMIF(Table25[[#All],[Assets]],Table25[[#This Row],[Assets]],Table25[[#All],[Sold]]))</f>
        <v>900</v>
      </c>
      <c r="M478" s="5">
        <f>ABS(SUMIF(Table25[[#All],[Assets]],Table25[[#This Row],[Assets]],Table25[[#All],[Sold Amount]]))</f>
        <v>3724.3</v>
      </c>
      <c r="N478" s="5">
        <f>IFERROR(Table25[[#This Row],[Total sold amount]]/Table25[[#This Row],[Total Sold number of stocks]],"")</f>
        <v>4.1381111111111117</v>
      </c>
      <c r="O478" s="4">
        <f>IFERROR(Table25[[#This Row],[Total Amount bought]]/Table25[[#This Row],[Total number bought]],"")</f>
        <v>3.9766666666666666</v>
      </c>
      <c r="P478" s="4">
        <f>IFERROR((Table25[[#This Row],[Average sell price]]-Table25[[#This Row],[Average buy price]])*Table25[[#This Row],[Total Sold number of stocks]],0)</f>
        <v>145.30000000000064</v>
      </c>
      <c r="Q478" s="85">
        <f>SUMIF(Table25[[#All],[Assets]],Table25[[#This Row],[Assets]],Table25[[#All],[Number of stocks]])</f>
        <v>0</v>
      </c>
    </row>
    <row r="479" spans="1:17">
      <c r="A479" t="e" vm="172">
        <v>#VALUE!</v>
      </c>
      <c r="B479" s="2">
        <v>45582</v>
      </c>
      <c r="C479" t="str" cm="1">
        <f t="array" aca="1" ref="C479" ca="1">_FV(A479,"Ticker symbol",TRUE)</f>
        <v>WOLF</v>
      </c>
      <c r="D479" s="4">
        <v>16.940000000000001</v>
      </c>
      <c r="E479" s="50">
        <v>20</v>
      </c>
      <c r="F479" s="81">
        <f>IF(Table25[[#This Row],[Number of stocks]]&gt;0,Table25[[#This Row],[Number of stocks]],0)</f>
        <v>20</v>
      </c>
      <c r="G479" s="73">
        <f>Table25[[#This Row],[Bought]]*Table25[[#This Row],[Price]]</f>
        <v>338.8</v>
      </c>
      <c r="H479">
        <f>SUMIF(Table25[[#All],[Assets]],Table25[[#This Row],[Assets]],Table25[[#All],[Bought]])</f>
        <v>900</v>
      </c>
      <c r="I479">
        <f>SUMIF(Table25[[#All],[Assets]],Table25[[#This Row],[Assets]],Table25[[#All],[Bought Amount]])</f>
        <v>3579</v>
      </c>
      <c r="J479" s="88">
        <f>IF(Table25[[#This Row],[Number of stocks]]&lt;0,Table25[[#This Row],[Number of stocks]],0)</f>
        <v>0</v>
      </c>
      <c r="K479" s="5">
        <f>Table25[[#This Row],[Sold]]*Table25[[#This Row],[Price]]</f>
        <v>0</v>
      </c>
      <c r="L479" s="8">
        <f>ABS(SUMIF(Table25[[#All],[Assets]],Table25[[#This Row],[Assets]],Table25[[#All],[Sold]]))</f>
        <v>900</v>
      </c>
      <c r="M479" s="5">
        <f>ABS(SUMIF(Table25[[#All],[Assets]],Table25[[#This Row],[Assets]],Table25[[#All],[Sold Amount]]))</f>
        <v>3724.3</v>
      </c>
      <c r="N479" s="5">
        <f>IFERROR(Table25[[#This Row],[Total sold amount]]/Table25[[#This Row],[Total Sold number of stocks]],"")</f>
        <v>4.1381111111111117</v>
      </c>
      <c r="O479" s="4">
        <f>IFERROR(Table25[[#This Row],[Total Amount bought]]/Table25[[#This Row],[Total number bought]],"")</f>
        <v>3.9766666666666666</v>
      </c>
      <c r="P479" s="4">
        <f>IFERROR((Table25[[#This Row],[Average sell price]]-Table25[[#This Row],[Average buy price]])*Table25[[#This Row],[Total Sold number of stocks]],0)</f>
        <v>145.30000000000064</v>
      </c>
      <c r="Q479" s="85">
        <f>SUMIF(Table25[[#All],[Assets]],Table25[[#This Row],[Assets]],Table25[[#All],[Number of stocks]])</f>
        <v>0</v>
      </c>
    </row>
    <row r="480" spans="1:17">
      <c r="A480" t="e" vm="437">
        <v>#VALUE!</v>
      </c>
      <c r="B480" s="2">
        <v>45582</v>
      </c>
      <c r="C480" t="str" cm="1">
        <f t="array" aca="1" ref="C480" ca="1">_FV(A480,"Ticker symbol",TRUE)</f>
        <v>EMXC</v>
      </c>
      <c r="D480" s="4">
        <v>60.77</v>
      </c>
      <c r="E480" s="50">
        <v>-14</v>
      </c>
      <c r="F480" s="81">
        <f>IF(Table25[[#This Row],[Number of stocks]]&gt;0,Table25[[#This Row],[Number of stocks]],0)</f>
        <v>0</v>
      </c>
      <c r="G480" s="73">
        <f>Table25[[#This Row],[Bought]]*Table25[[#This Row],[Price]]</f>
        <v>0</v>
      </c>
      <c r="H480">
        <f>SUMIF(Table25[[#All],[Assets]],Table25[[#This Row],[Assets]],Table25[[#All],[Bought]])</f>
        <v>14</v>
      </c>
      <c r="I480">
        <f>SUMIF(Table25[[#All],[Assets]],Table25[[#This Row],[Assets]],Table25[[#All],[Bought Amount]])</f>
        <v>851.76</v>
      </c>
      <c r="J480" s="88">
        <f>IF(Table25[[#This Row],[Number of stocks]]&lt;0,Table25[[#This Row],[Number of stocks]],0)</f>
        <v>-14</v>
      </c>
      <c r="K480" s="5">
        <f>Table25[[#This Row],[Sold]]*Table25[[#This Row],[Price]]</f>
        <v>-850.78000000000009</v>
      </c>
      <c r="L480" s="8">
        <f>ABS(SUMIF(Table25[[#All],[Assets]],Table25[[#This Row],[Assets]],Table25[[#All],[Sold]]))</f>
        <v>14</v>
      </c>
      <c r="M480" s="5">
        <f>ABS(SUMIF(Table25[[#All],[Assets]],Table25[[#This Row],[Assets]],Table25[[#All],[Sold Amount]]))</f>
        <v>850.78000000000009</v>
      </c>
      <c r="N480" s="5">
        <f>IFERROR(Table25[[#This Row],[Total sold amount]]/Table25[[#This Row],[Total Sold number of stocks]],"")</f>
        <v>60.77</v>
      </c>
      <c r="O480" s="4">
        <f>IFERROR(Table25[[#This Row],[Total Amount bought]]/Table25[[#This Row],[Total number bought]],"")</f>
        <v>60.839999999999996</v>
      </c>
      <c r="P480" s="4">
        <f>IFERROR((Table25[[#This Row],[Average sell price]]-Table25[[#This Row],[Average buy price]])*Table25[[#This Row],[Total Sold number of stocks]],0)</f>
        <v>-0.9799999999999045</v>
      </c>
      <c r="Q480" s="85">
        <f>SUMIF(Table25[[#All],[Assets]],Table25[[#This Row],[Assets]],Table25[[#All],[Number of stocks]])</f>
        <v>0</v>
      </c>
    </row>
    <row r="481" spans="1:17">
      <c r="A481" t="e" vm="169">
        <v>#VALUE!</v>
      </c>
      <c r="B481" s="2">
        <v>45581</v>
      </c>
      <c r="C481" t="str" cm="1">
        <f t="array" aca="1" ref="C481" ca="1">_FV(A481,"Ticker symbol",TRUE)</f>
        <v>CVS</v>
      </c>
      <c r="D481" s="4">
        <v>65.5</v>
      </c>
      <c r="E481" s="50">
        <v>-10</v>
      </c>
      <c r="F481" s="81">
        <f>IF(Table25[[#This Row],[Number of stocks]]&gt;0,Table25[[#This Row],[Number of stocks]],0)</f>
        <v>0</v>
      </c>
      <c r="G481" s="73">
        <f>Table25[[#This Row],[Bought]]*Table25[[#This Row],[Price]]</f>
        <v>0</v>
      </c>
      <c r="H481">
        <f>SUMIF(Table25[[#All],[Assets]],Table25[[#This Row],[Assets]],Table25[[#All],[Bought]])</f>
        <v>104</v>
      </c>
      <c r="I481">
        <f>SUMIF(Table25[[#All],[Assets]],Table25[[#This Row],[Assets]],Table25[[#All],[Bought Amount]])</f>
        <v>6111.46</v>
      </c>
      <c r="J481" s="88">
        <f>IF(Table25[[#This Row],[Number of stocks]]&lt;0,Table25[[#This Row],[Number of stocks]],0)</f>
        <v>-10</v>
      </c>
      <c r="K481" s="5">
        <f>Table25[[#This Row],[Sold]]*Table25[[#This Row],[Price]]</f>
        <v>-655</v>
      </c>
      <c r="L481" s="8">
        <f>ABS(SUMIF(Table25[[#All],[Assets]],Table25[[#This Row],[Assets]],Table25[[#All],[Sold]]))</f>
        <v>104</v>
      </c>
      <c r="M481" s="5">
        <f>ABS(SUMIF(Table25[[#All],[Assets]],Table25[[#This Row],[Assets]],Table25[[#All],[Sold Amount]]))</f>
        <v>6244.5899999999992</v>
      </c>
      <c r="N481" s="5">
        <f>IFERROR(Table25[[#This Row],[Total sold amount]]/Table25[[#This Row],[Total Sold number of stocks]],"")</f>
        <v>60.044134615384607</v>
      </c>
      <c r="O481" s="4">
        <f>IFERROR(Table25[[#This Row],[Total Amount bought]]/Table25[[#This Row],[Total number bought]],"")</f>
        <v>58.764038461538462</v>
      </c>
      <c r="P481" s="4">
        <f>IFERROR((Table25[[#This Row],[Average sell price]]-Table25[[#This Row],[Average buy price]])*Table25[[#This Row],[Total Sold number of stocks]],0)</f>
        <v>133.12999999999909</v>
      </c>
      <c r="Q481" s="85">
        <f>SUMIF(Table25[[#All],[Assets]],Table25[[#This Row],[Assets]],Table25[[#All],[Number of stocks]])</f>
        <v>0</v>
      </c>
    </row>
    <row r="482" spans="1:17">
      <c r="A482" t="e" vm="169">
        <v>#VALUE!</v>
      </c>
      <c r="B482" s="2">
        <v>45581</v>
      </c>
      <c r="C482" t="str" cm="1">
        <f t="array" aca="1" ref="C482" ca="1">_FV(A482,"Ticker symbol",TRUE)</f>
        <v>CVS</v>
      </c>
      <c r="D482" s="4">
        <v>60.2</v>
      </c>
      <c r="E482" s="50">
        <v>-20</v>
      </c>
      <c r="F482" s="81">
        <f>IF(Table25[[#This Row],[Number of stocks]]&gt;0,Table25[[#This Row],[Number of stocks]],0)</f>
        <v>0</v>
      </c>
      <c r="G482" s="73">
        <f>Table25[[#This Row],[Bought]]*Table25[[#This Row],[Price]]</f>
        <v>0</v>
      </c>
      <c r="H482">
        <f>SUMIF(Table25[[#All],[Assets]],Table25[[#This Row],[Assets]],Table25[[#All],[Bought]])</f>
        <v>104</v>
      </c>
      <c r="I482">
        <f>SUMIF(Table25[[#All],[Assets]],Table25[[#This Row],[Assets]],Table25[[#All],[Bought Amount]])</f>
        <v>6111.46</v>
      </c>
      <c r="J482" s="88">
        <f>IF(Table25[[#This Row],[Number of stocks]]&lt;0,Table25[[#This Row],[Number of stocks]],0)</f>
        <v>-20</v>
      </c>
      <c r="K482" s="5">
        <f>Table25[[#This Row],[Sold]]*Table25[[#This Row],[Price]]</f>
        <v>-1204</v>
      </c>
      <c r="L482" s="8">
        <f>ABS(SUMIF(Table25[[#All],[Assets]],Table25[[#This Row],[Assets]],Table25[[#All],[Sold]]))</f>
        <v>104</v>
      </c>
      <c r="M482" s="5">
        <f>ABS(SUMIF(Table25[[#All],[Assets]],Table25[[#This Row],[Assets]],Table25[[#All],[Sold Amount]]))</f>
        <v>6244.5899999999992</v>
      </c>
      <c r="N482" s="5">
        <f>IFERROR(Table25[[#This Row],[Total sold amount]]/Table25[[#This Row],[Total Sold number of stocks]],"")</f>
        <v>60.044134615384607</v>
      </c>
      <c r="O482" s="4">
        <f>IFERROR(Table25[[#This Row],[Total Amount bought]]/Table25[[#This Row],[Total number bought]],"")</f>
        <v>58.764038461538462</v>
      </c>
      <c r="P482" s="4">
        <f>IFERROR((Table25[[#This Row],[Average sell price]]-Table25[[#This Row],[Average buy price]])*Table25[[#This Row],[Total Sold number of stocks]],0)</f>
        <v>133.12999999999909</v>
      </c>
      <c r="Q482" s="85">
        <f>SUMIF(Table25[[#All],[Assets]],Table25[[#This Row],[Assets]],Table25[[#All],[Number of stocks]])</f>
        <v>0</v>
      </c>
    </row>
    <row r="483" spans="1:17">
      <c r="A483" t="e" vm="169">
        <v>#VALUE!</v>
      </c>
      <c r="B483" s="2">
        <v>45583</v>
      </c>
      <c r="C483" t="str" cm="1">
        <f t="array" aca="1" ref="C483" ca="1">_FV(A483,"Ticker symbol",TRUE)</f>
        <v>CVS</v>
      </c>
      <c r="D483" s="4">
        <v>55.69</v>
      </c>
      <c r="E483" s="50">
        <v>-5</v>
      </c>
      <c r="F483" s="81">
        <f>IF(Table25[[#This Row],[Number of stocks]]&gt;0,Table25[[#This Row],[Number of stocks]],0)</f>
        <v>0</v>
      </c>
      <c r="G483" s="73">
        <f>Table25[[#This Row],[Bought]]*Table25[[#This Row],[Price]]</f>
        <v>0</v>
      </c>
      <c r="H483">
        <f>SUMIF(Table25[[#All],[Assets]],Table25[[#This Row],[Assets]],Table25[[#All],[Bought]])</f>
        <v>104</v>
      </c>
      <c r="I483">
        <f>SUMIF(Table25[[#All],[Assets]],Table25[[#This Row],[Assets]],Table25[[#All],[Bought Amount]])</f>
        <v>6111.46</v>
      </c>
      <c r="J483" s="88">
        <f>IF(Table25[[#This Row],[Number of stocks]]&lt;0,Table25[[#This Row],[Number of stocks]],0)</f>
        <v>-5</v>
      </c>
      <c r="K483" s="5">
        <f>Table25[[#This Row],[Sold]]*Table25[[#This Row],[Price]]</f>
        <v>-278.45</v>
      </c>
      <c r="L483" s="8">
        <f>ABS(SUMIF(Table25[[#All],[Assets]],Table25[[#This Row],[Assets]],Table25[[#All],[Sold]]))</f>
        <v>104</v>
      </c>
      <c r="M483" s="5">
        <f>ABS(SUMIF(Table25[[#All],[Assets]],Table25[[#This Row],[Assets]],Table25[[#All],[Sold Amount]]))</f>
        <v>6244.5899999999992</v>
      </c>
      <c r="N483" s="5">
        <f>IFERROR(Table25[[#This Row],[Total sold amount]]/Table25[[#This Row],[Total Sold number of stocks]],"")</f>
        <v>60.044134615384607</v>
      </c>
      <c r="O483" s="4">
        <f>IFERROR(Table25[[#This Row],[Total Amount bought]]/Table25[[#This Row],[Total number bought]],"")</f>
        <v>58.764038461538462</v>
      </c>
      <c r="P483" s="4">
        <f>IFERROR((Table25[[#This Row],[Average sell price]]-Table25[[#This Row],[Average buy price]])*Table25[[#This Row],[Total Sold number of stocks]],0)</f>
        <v>133.12999999999909</v>
      </c>
      <c r="Q483" s="85">
        <f>SUMIF(Table25[[#All],[Assets]],Table25[[#This Row],[Assets]],Table25[[#All],[Number of stocks]])</f>
        <v>0</v>
      </c>
    </row>
    <row r="484" spans="1:17">
      <c r="A484" t="e" vm="455">
        <v>#VALUE!</v>
      </c>
      <c r="B484" s="2">
        <v>45582</v>
      </c>
      <c r="C484" t="str" cm="1">
        <f t="array" aca="1" ref="C484" ca="1">_FV(A484,"Ticker symbol",TRUE)</f>
        <v>SGOV</v>
      </c>
      <c r="D484" s="4">
        <v>95.5</v>
      </c>
      <c r="E484" s="50">
        <v>-8</v>
      </c>
      <c r="F484" s="81">
        <f>IF(Table25[[#This Row],[Number of stocks]]&gt;0,Table25[[#This Row],[Number of stocks]],0)</f>
        <v>0</v>
      </c>
      <c r="G484" s="73">
        <f>Table25[[#This Row],[Bought]]*Table25[[#This Row],[Price]]</f>
        <v>0</v>
      </c>
      <c r="H484">
        <f>SUMIF(Table25[[#All],[Assets]],Table25[[#This Row],[Assets]],Table25[[#All],[Bought]])</f>
        <v>96</v>
      </c>
      <c r="I484">
        <f>SUMIF(Table25[[#All],[Assets]],Table25[[#This Row],[Assets]],Table25[[#All],[Bought Amount]])</f>
        <v>9661.36</v>
      </c>
      <c r="J484" s="88">
        <f>IF(Table25[[#This Row],[Number of stocks]]&lt;0,Table25[[#This Row],[Number of stocks]],0)</f>
        <v>-8</v>
      </c>
      <c r="K484" s="5">
        <f>Table25[[#This Row],[Sold]]*Table25[[#This Row],[Price]]</f>
        <v>-764</v>
      </c>
      <c r="L484" s="8">
        <f>ABS(SUMIF(Table25[[#All],[Assets]],Table25[[#This Row],[Assets]],Table25[[#All],[Sold]]))</f>
        <v>96</v>
      </c>
      <c r="M484" s="5">
        <f>ABS(SUMIF(Table25[[#All],[Assets]],Table25[[#This Row],[Assets]],Table25[[#All],[Sold Amount]]))</f>
        <v>9600.9399999999987</v>
      </c>
      <c r="N484" s="5">
        <f>IFERROR(Table25[[#This Row],[Total sold amount]]/Table25[[#This Row],[Total Sold number of stocks]],"")</f>
        <v>100.00979166666666</v>
      </c>
      <c r="O484" s="4">
        <f>IFERROR(Table25[[#This Row],[Total Amount bought]]/Table25[[#This Row],[Total number bought]],"")</f>
        <v>100.63916666666667</v>
      </c>
      <c r="P484" s="4">
        <f>IFERROR((Table25[[#This Row],[Average sell price]]-Table25[[#This Row],[Average buy price]])*Table25[[#This Row],[Total Sold number of stocks]],0)</f>
        <v>-60.420000000000982</v>
      </c>
      <c r="Q484" s="85">
        <f>SUMIF(Table25[[#All],[Assets]],Table25[[#This Row],[Assets]],Table25[[#All],[Number of stocks]])</f>
        <v>0</v>
      </c>
    </row>
    <row r="485" spans="1:17">
      <c r="A485" t="e" vm="46">
        <v>#VALUE!</v>
      </c>
      <c r="B485" s="2">
        <v>45582</v>
      </c>
      <c r="C485" t="str" cm="1">
        <f t="array" aca="1" ref="C485" ca="1">_FV(A485,"Ticker symbol",TRUE)</f>
        <v>ASPI</v>
      </c>
      <c r="D485" s="4">
        <v>3.63</v>
      </c>
      <c r="E485" s="50">
        <v>500</v>
      </c>
      <c r="F485" s="81">
        <f>IF(Table25[[#This Row],[Number of stocks]]&gt;0,Table25[[#This Row],[Number of stocks]],0)</f>
        <v>500</v>
      </c>
      <c r="G485" s="73">
        <f>Table25[[#This Row],[Bought]]*Table25[[#This Row],[Price]]</f>
        <v>1815</v>
      </c>
      <c r="H485">
        <f>SUMIF(Table25[[#All],[Assets]],Table25[[#This Row],[Assets]],Table25[[#All],[Bought]])</f>
        <v>1899</v>
      </c>
      <c r="I485">
        <f>SUMIF(Table25[[#All],[Assets]],Table25[[#This Row],[Assets]],Table25[[#All],[Bought Amount]])</f>
        <v>8555.869999999999</v>
      </c>
      <c r="J485" s="88">
        <f>IF(Table25[[#This Row],[Number of stocks]]&lt;0,Table25[[#This Row],[Number of stocks]],0)</f>
        <v>0</v>
      </c>
      <c r="K485" s="5">
        <f>Table25[[#This Row],[Sold]]*Table25[[#This Row],[Price]]</f>
        <v>0</v>
      </c>
      <c r="L485" s="8">
        <f>ABS(SUMIF(Table25[[#All],[Assets]],Table25[[#This Row],[Assets]],Table25[[#All],[Sold]]))</f>
        <v>1599</v>
      </c>
      <c r="M485" s="5">
        <f>ABS(SUMIF(Table25[[#All],[Assets]],Table25[[#This Row],[Assets]],Table25[[#All],[Sold Amount]]))</f>
        <v>8799.17</v>
      </c>
      <c r="N485" s="5">
        <f>IFERROR(Table25[[#This Row],[Total sold amount]]/Table25[[#This Row],[Total Sold number of stocks]],"")</f>
        <v>5.5029205753595996</v>
      </c>
      <c r="O485" s="4">
        <f>IFERROR(Table25[[#This Row],[Total Amount bought]]/Table25[[#This Row],[Total number bought]],"")</f>
        <v>4.5054607688256976</v>
      </c>
      <c r="P485" s="4">
        <f>IFERROR((Table25[[#This Row],[Average sell price]]-Table25[[#This Row],[Average buy price]])*Table25[[#This Row],[Total Sold number of stocks]],0)</f>
        <v>1594.9382306477094</v>
      </c>
      <c r="Q485" s="85">
        <f>SUMIF(Table25[[#All],[Assets]],Table25[[#This Row],[Assets]],Table25[[#All],[Number of stocks]])</f>
        <v>300</v>
      </c>
    </row>
    <row r="486" spans="1:17">
      <c r="A486" t="e" vm="443">
        <v>#VALUE!</v>
      </c>
      <c r="B486" s="2">
        <v>45586</v>
      </c>
      <c r="C486" t="str" cm="1">
        <f t="array" aca="1" ref="C486" ca="1">_FV(A486,"Ticker symbol",TRUE)</f>
        <v>MRK</v>
      </c>
      <c r="D486" s="4">
        <v>107.99</v>
      </c>
      <c r="E486" s="50">
        <v>-5</v>
      </c>
      <c r="F486" s="81">
        <f>IF(Table25[[#This Row],[Number of stocks]]&gt;0,Table25[[#This Row],[Number of stocks]],0)</f>
        <v>0</v>
      </c>
      <c r="G486" s="73">
        <f>Table25[[#This Row],[Bought]]*Table25[[#This Row],[Price]]</f>
        <v>0</v>
      </c>
      <c r="H486">
        <f>SUMIF(Table25[[#All],[Assets]],Table25[[#This Row],[Assets]],Table25[[#All],[Bought]])</f>
        <v>5</v>
      </c>
      <c r="I486">
        <f>SUMIF(Table25[[#All],[Assets]],Table25[[#This Row],[Assets]],Table25[[#All],[Bought Amount]])</f>
        <v>568</v>
      </c>
      <c r="J486" s="88">
        <f>IF(Table25[[#This Row],[Number of stocks]]&lt;0,Table25[[#This Row],[Number of stocks]],0)</f>
        <v>-5</v>
      </c>
      <c r="K486" s="5">
        <f>Table25[[#This Row],[Sold]]*Table25[[#This Row],[Price]]</f>
        <v>-539.94999999999993</v>
      </c>
      <c r="L486" s="8">
        <f>ABS(SUMIF(Table25[[#All],[Assets]],Table25[[#This Row],[Assets]],Table25[[#All],[Sold]]))</f>
        <v>5</v>
      </c>
      <c r="M486" s="5">
        <f>ABS(SUMIF(Table25[[#All],[Assets]],Table25[[#This Row],[Assets]],Table25[[#All],[Sold Amount]]))</f>
        <v>539.94999999999993</v>
      </c>
      <c r="N486" s="5">
        <f>IFERROR(Table25[[#This Row],[Total sold amount]]/Table25[[#This Row],[Total Sold number of stocks]],"")</f>
        <v>107.98999999999998</v>
      </c>
      <c r="O486" s="4">
        <f>IFERROR(Table25[[#This Row],[Total Amount bought]]/Table25[[#This Row],[Total number bought]],"")</f>
        <v>113.6</v>
      </c>
      <c r="P486" s="4">
        <f>IFERROR((Table25[[#This Row],[Average sell price]]-Table25[[#This Row],[Average buy price]])*Table25[[#This Row],[Total Sold number of stocks]],0)</f>
        <v>-28.050000000000068</v>
      </c>
      <c r="Q486" s="85">
        <f>SUMIF(Table25[[#All],[Assets]],Table25[[#This Row],[Assets]],Table25[[#All],[Number of stocks]])</f>
        <v>0</v>
      </c>
    </row>
    <row r="487" spans="1:17">
      <c r="A487" t="e" vm="46">
        <v>#VALUE!</v>
      </c>
      <c r="B487" s="2">
        <v>45582</v>
      </c>
      <c r="C487" t="str" cm="1">
        <f t="array" aca="1" ref="C487" ca="1">_FV(A487,"Ticker symbol",TRUE)</f>
        <v>ASPI</v>
      </c>
      <c r="D487" s="4">
        <v>3.8</v>
      </c>
      <c r="E487" s="50">
        <v>280</v>
      </c>
      <c r="F487" s="81">
        <f>IF(Table25[[#This Row],[Number of stocks]]&gt;0,Table25[[#This Row],[Number of stocks]],0)</f>
        <v>280</v>
      </c>
      <c r="G487" s="73">
        <f>Table25[[#This Row],[Bought]]*Table25[[#This Row],[Price]]</f>
        <v>1064</v>
      </c>
      <c r="H487">
        <f>SUMIF(Table25[[#All],[Assets]],Table25[[#This Row],[Assets]],Table25[[#All],[Bought]])</f>
        <v>1899</v>
      </c>
      <c r="I487">
        <f>SUMIF(Table25[[#All],[Assets]],Table25[[#This Row],[Assets]],Table25[[#All],[Bought Amount]])</f>
        <v>8555.869999999999</v>
      </c>
      <c r="J487" s="88">
        <f>IF(Table25[[#This Row],[Number of stocks]]&lt;0,Table25[[#This Row],[Number of stocks]],0)</f>
        <v>0</v>
      </c>
      <c r="K487" s="5">
        <f>Table25[[#This Row],[Sold]]*Table25[[#This Row],[Price]]</f>
        <v>0</v>
      </c>
      <c r="L487" s="8">
        <f>ABS(SUMIF(Table25[[#All],[Assets]],Table25[[#This Row],[Assets]],Table25[[#All],[Sold]]))</f>
        <v>1599</v>
      </c>
      <c r="M487" s="5">
        <f>ABS(SUMIF(Table25[[#All],[Assets]],Table25[[#This Row],[Assets]],Table25[[#All],[Sold Amount]]))</f>
        <v>8799.17</v>
      </c>
      <c r="N487" s="5">
        <f>IFERROR(Table25[[#This Row],[Total sold amount]]/Table25[[#This Row],[Total Sold number of stocks]],"")</f>
        <v>5.5029205753595996</v>
      </c>
      <c r="O487" s="4">
        <f>IFERROR(Table25[[#This Row],[Total Amount bought]]/Table25[[#This Row],[Total number bought]],"")</f>
        <v>4.5054607688256976</v>
      </c>
      <c r="P487" s="4">
        <f>IFERROR((Table25[[#This Row],[Average sell price]]-Table25[[#This Row],[Average buy price]])*Table25[[#This Row],[Total Sold number of stocks]],0)</f>
        <v>1594.9382306477094</v>
      </c>
      <c r="Q487" s="85">
        <f>SUMIF(Table25[[#All],[Assets]],Table25[[#This Row],[Assets]],Table25[[#All],[Number of stocks]])</f>
        <v>300</v>
      </c>
    </row>
    <row r="488" spans="1:17">
      <c r="A488" t="e" vm="479">
        <v>#VALUE!</v>
      </c>
      <c r="B488" s="2">
        <v>45586</v>
      </c>
      <c r="C488" t="str" cm="1">
        <f t="array" aca="1" ref="C488" ca="1">_FV(A488,"Ticker symbol",TRUE)</f>
        <v>MOS</v>
      </c>
      <c r="D488" s="4">
        <v>24.26</v>
      </c>
      <c r="E488" s="50">
        <v>-15</v>
      </c>
      <c r="F488" s="81">
        <f>IF(Table25[[#This Row],[Number of stocks]]&gt;0,Table25[[#This Row],[Number of stocks]],0)</f>
        <v>0</v>
      </c>
      <c r="G488" s="73">
        <f>Table25[[#This Row],[Bought]]*Table25[[#This Row],[Price]]</f>
        <v>0</v>
      </c>
      <c r="H488">
        <f>SUMIF(Table25[[#All],[Assets]],Table25[[#This Row],[Assets]],Table25[[#All],[Bought]])</f>
        <v>15</v>
      </c>
      <c r="I488">
        <f>SUMIF(Table25[[#All],[Assets]],Table25[[#This Row],[Assets]],Table25[[#All],[Bought Amount]])</f>
        <v>494.40000000000003</v>
      </c>
      <c r="J488" s="88">
        <f>IF(Table25[[#This Row],[Number of stocks]]&lt;0,Table25[[#This Row],[Number of stocks]],0)</f>
        <v>-15</v>
      </c>
      <c r="K488" s="5">
        <f>Table25[[#This Row],[Sold]]*Table25[[#This Row],[Price]]</f>
        <v>-363.90000000000003</v>
      </c>
      <c r="L488" s="8">
        <f>ABS(SUMIF(Table25[[#All],[Assets]],Table25[[#This Row],[Assets]],Table25[[#All],[Sold]]))</f>
        <v>15</v>
      </c>
      <c r="M488" s="5">
        <f>ABS(SUMIF(Table25[[#All],[Assets]],Table25[[#This Row],[Assets]],Table25[[#All],[Sold Amount]]))</f>
        <v>363.90000000000003</v>
      </c>
      <c r="N488" s="5">
        <f>IFERROR(Table25[[#This Row],[Total sold amount]]/Table25[[#This Row],[Total Sold number of stocks]],"")</f>
        <v>24.26</v>
      </c>
      <c r="O488" s="4">
        <f>IFERROR(Table25[[#This Row],[Total Amount bought]]/Table25[[#This Row],[Total number bought]],"")</f>
        <v>32.96</v>
      </c>
      <c r="P488" s="4">
        <f>IFERROR((Table25[[#This Row],[Average sell price]]-Table25[[#This Row],[Average buy price]])*Table25[[#This Row],[Total Sold number of stocks]],0)</f>
        <v>-130.5</v>
      </c>
      <c r="Q488" s="85">
        <f>SUMIF(Table25[[#All],[Assets]],Table25[[#This Row],[Assets]],Table25[[#All],[Number of stocks]])</f>
        <v>0</v>
      </c>
    </row>
    <row r="489" spans="1:17">
      <c r="A489" t="e" vm="49">
        <v>#VALUE!</v>
      </c>
      <c r="B489" s="2">
        <v>45582</v>
      </c>
      <c r="C489" t="str" cm="1">
        <f t="array" aca="1" ref="C489" ca="1">_FV(A489,"Ticker symbol",TRUE)</f>
        <v>LEU</v>
      </c>
      <c r="D489" s="4">
        <v>82.78</v>
      </c>
      <c r="E489" s="50">
        <v>5</v>
      </c>
      <c r="F489" s="81">
        <f>IF(Table25[[#This Row],[Number of stocks]]&gt;0,Table25[[#This Row],[Number of stocks]],0)</f>
        <v>5</v>
      </c>
      <c r="G489" s="73">
        <f>Table25[[#This Row],[Bought]]*Table25[[#This Row],[Price]]</f>
        <v>413.9</v>
      </c>
      <c r="H489">
        <f>SUMIF(Table25[[#All],[Assets]],Table25[[#This Row],[Assets]],Table25[[#All],[Bought]])</f>
        <v>20</v>
      </c>
      <c r="I489">
        <f>SUMIF(Table25[[#All],[Assets]],Table25[[#This Row],[Assets]],Table25[[#All],[Bought Amount]])</f>
        <v>1555.5</v>
      </c>
      <c r="J489" s="88">
        <f>IF(Table25[[#This Row],[Number of stocks]]&lt;0,Table25[[#This Row],[Number of stocks]],0)</f>
        <v>0</v>
      </c>
      <c r="K489" s="5">
        <f>Table25[[#This Row],[Sold]]*Table25[[#This Row],[Price]]</f>
        <v>0</v>
      </c>
      <c r="L489" s="8">
        <f>ABS(SUMIF(Table25[[#All],[Assets]],Table25[[#This Row],[Assets]],Table25[[#All],[Sold]]))</f>
        <v>20</v>
      </c>
      <c r="M489" s="5">
        <f>ABS(SUMIF(Table25[[#All],[Assets]],Table25[[#This Row],[Assets]],Table25[[#All],[Sold Amount]]))</f>
        <v>1711.1999999999998</v>
      </c>
      <c r="N489" s="5">
        <f>IFERROR(Table25[[#This Row],[Total sold amount]]/Table25[[#This Row],[Total Sold number of stocks]],"")</f>
        <v>85.559999999999988</v>
      </c>
      <c r="O489" s="4">
        <f>IFERROR(Table25[[#This Row],[Total Amount bought]]/Table25[[#This Row],[Total number bought]],"")</f>
        <v>77.775000000000006</v>
      </c>
      <c r="P489" s="4">
        <f>IFERROR((Table25[[#This Row],[Average sell price]]-Table25[[#This Row],[Average buy price]])*Table25[[#This Row],[Total Sold number of stocks]],0)</f>
        <v>155.69999999999965</v>
      </c>
      <c r="Q489" s="85">
        <f>SUMIF(Table25[[#All],[Assets]],Table25[[#This Row],[Assets]],Table25[[#All],[Number of stocks]])</f>
        <v>0</v>
      </c>
    </row>
    <row r="490" spans="1:17">
      <c r="A490" t="e" vm="147">
        <v>#VALUE!</v>
      </c>
      <c r="B490" s="2">
        <v>45582</v>
      </c>
      <c r="C490" t="str" cm="1">
        <f t="array" aca="1" ref="C490" ca="1">_FV(A490,"Ticker symbol",TRUE)</f>
        <v>XLE</v>
      </c>
      <c r="D490" s="4">
        <v>90.23</v>
      </c>
      <c r="E490" s="50">
        <v>-22</v>
      </c>
      <c r="F490" s="81">
        <f>IF(Table25[[#This Row],[Number of stocks]]&gt;0,Table25[[#This Row],[Number of stocks]],0)</f>
        <v>0</v>
      </c>
      <c r="G490" s="73">
        <f>Table25[[#This Row],[Bought]]*Table25[[#This Row],[Price]]</f>
        <v>0</v>
      </c>
      <c r="H490">
        <f>SUMIF(Table25[[#All],[Assets]],Table25[[#This Row],[Assets]],Table25[[#All],[Bought]])</f>
        <v>22</v>
      </c>
      <c r="I490">
        <f>SUMIF(Table25[[#All],[Assets]],Table25[[#This Row],[Assets]],Table25[[#All],[Bought Amount]])</f>
        <v>1853.28</v>
      </c>
      <c r="J490" s="88">
        <f>IF(Table25[[#This Row],[Number of stocks]]&lt;0,Table25[[#This Row],[Number of stocks]],0)</f>
        <v>-22</v>
      </c>
      <c r="K490" s="5">
        <f>Table25[[#This Row],[Sold]]*Table25[[#This Row],[Price]]</f>
        <v>-1985.0600000000002</v>
      </c>
      <c r="L490" s="8">
        <f>ABS(SUMIF(Table25[[#All],[Assets]],Table25[[#This Row],[Assets]],Table25[[#All],[Sold]]))</f>
        <v>22</v>
      </c>
      <c r="M490" s="5">
        <f>ABS(SUMIF(Table25[[#All],[Assets]],Table25[[#This Row],[Assets]],Table25[[#All],[Sold Amount]]))</f>
        <v>1985.0600000000002</v>
      </c>
      <c r="N490" s="5">
        <f>IFERROR(Table25[[#This Row],[Total sold amount]]/Table25[[#This Row],[Total Sold number of stocks]],"")</f>
        <v>90.23</v>
      </c>
      <c r="O490" s="4">
        <f>IFERROR(Table25[[#This Row],[Total Amount bought]]/Table25[[#This Row],[Total number bought]],"")</f>
        <v>84.24</v>
      </c>
      <c r="P490" s="4">
        <f>IFERROR((Table25[[#This Row],[Average sell price]]-Table25[[#This Row],[Average buy price]])*Table25[[#This Row],[Total Sold number of stocks]],0)</f>
        <v>131.7800000000002</v>
      </c>
      <c r="Q490" s="85">
        <f>SUMIF(Table25[[#All],[Assets]],Table25[[#This Row],[Assets]],Table25[[#All],[Number of stocks]])</f>
        <v>0</v>
      </c>
    </row>
    <row r="491" spans="1:17">
      <c r="A491" t="e" vm="34">
        <v>#VALUE!</v>
      </c>
      <c r="B491" s="2">
        <v>45582</v>
      </c>
      <c r="C491" t="str" cm="1">
        <f t="array" aca="1" ref="C491" ca="1">_FV(A491,"Ticker symbol",TRUE)</f>
        <v>TSM</v>
      </c>
      <c r="D491" s="4">
        <v>208.12</v>
      </c>
      <c r="E491" s="50">
        <v>-1</v>
      </c>
      <c r="F491" s="81">
        <f>IF(Table25[[#This Row],[Number of stocks]]&gt;0,Table25[[#This Row],[Number of stocks]],0)</f>
        <v>0</v>
      </c>
      <c r="G491" s="73">
        <f>Table25[[#This Row],[Bought]]*Table25[[#This Row],[Price]]</f>
        <v>0</v>
      </c>
      <c r="H491">
        <f>SUMIF(Table25[[#All],[Assets]],Table25[[#This Row],[Assets]],Table25[[#All],[Bought]])</f>
        <v>45</v>
      </c>
      <c r="I491">
        <f>SUMIF(Table25[[#All],[Assets]],Table25[[#This Row],[Assets]],Table25[[#All],[Bought Amount]])</f>
        <v>7503.4800000000005</v>
      </c>
      <c r="J491" s="88">
        <f>IF(Table25[[#This Row],[Number of stocks]]&lt;0,Table25[[#This Row],[Number of stocks]],0)</f>
        <v>-1</v>
      </c>
      <c r="K491" s="5">
        <f>Table25[[#This Row],[Sold]]*Table25[[#This Row],[Price]]</f>
        <v>-208.12</v>
      </c>
      <c r="L491" s="8">
        <f>ABS(SUMIF(Table25[[#All],[Assets]],Table25[[#This Row],[Assets]],Table25[[#All],[Sold]]))</f>
        <v>44</v>
      </c>
      <c r="M491" s="5">
        <f>ABS(SUMIF(Table25[[#All],[Assets]],Table25[[#This Row],[Assets]],Table25[[#All],[Sold Amount]]))</f>
        <v>7951.28</v>
      </c>
      <c r="N491" s="5">
        <f>IFERROR(Table25[[#This Row],[Total sold amount]]/Table25[[#This Row],[Total Sold number of stocks]],"")</f>
        <v>180.7109090909091</v>
      </c>
      <c r="O491" s="4">
        <f>IFERROR(Table25[[#This Row],[Total Amount bought]]/Table25[[#This Row],[Total number bought]],"")</f>
        <v>166.744</v>
      </c>
      <c r="P491" s="4">
        <f>IFERROR((Table25[[#This Row],[Average sell price]]-Table25[[#This Row],[Average buy price]])*Table25[[#This Row],[Total Sold number of stocks]],0)</f>
        <v>614.54400000000032</v>
      </c>
      <c r="Q491" s="85">
        <f>SUMIF(Table25[[#All],[Assets]],Table25[[#This Row],[Assets]],Table25[[#All],[Number of stocks]])</f>
        <v>1</v>
      </c>
    </row>
    <row r="492" spans="1:17">
      <c r="A492" t="e" vm="84">
        <v>#VALUE!</v>
      </c>
      <c r="B492" s="2">
        <v>45582</v>
      </c>
      <c r="C492" t="str" cm="1">
        <f t="array" aca="1" ref="C492" ca="1">_FV(A492,"Ticker symbol",TRUE)</f>
        <v>COIN</v>
      </c>
      <c r="D492" s="4">
        <v>203.89</v>
      </c>
      <c r="E492" s="50">
        <v>-1</v>
      </c>
      <c r="F492" s="81">
        <f>IF(Table25[[#This Row],[Number of stocks]]&gt;0,Table25[[#This Row],[Number of stocks]],0)</f>
        <v>0</v>
      </c>
      <c r="G492" s="73">
        <f>Table25[[#This Row],[Bought]]*Table25[[#This Row],[Price]]</f>
        <v>0</v>
      </c>
      <c r="H492">
        <f>SUMIF(Table25[[#All],[Assets]],Table25[[#This Row],[Assets]],Table25[[#All],[Bought]])</f>
        <v>11</v>
      </c>
      <c r="I492">
        <f>SUMIF(Table25[[#All],[Assets]],Table25[[#This Row],[Assets]],Table25[[#All],[Bought Amount]])</f>
        <v>3624.34</v>
      </c>
      <c r="J492" s="88">
        <f>IF(Table25[[#This Row],[Number of stocks]]&lt;0,Table25[[#This Row],[Number of stocks]],0)</f>
        <v>-1</v>
      </c>
      <c r="K492" s="5">
        <f>Table25[[#This Row],[Sold]]*Table25[[#This Row],[Price]]</f>
        <v>-203.89</v>
      </c>
      <c r="L492" s="8">
        <f>ABS(SUMIF(Table25[[#All],[Assets]],Table25[[#This Row],[Assets]],Table25[[#All],[Sold]]))</f>
        <v>11</v>
      </c>
      <c r="M492" s="5">
        <f>ABS(SUMIF(Table25[[#All],[Assets]],Table25[[#This Row],[Assets]],Table25[[#All],[Sold Amount]]))</f>
        <v>3399.23</v>
      </c>
      <c r="N492" s="5">
        <f>IFERROR(Table25[[#This Row],[Total sold amount]]/Table25[[#This Row],[Total Sold number of stocks]],"")</f>
        <v>309.02090909090907</v>
      </c>
      <c r="O492" s="4">
        <f>IFERROR(Table25[[#This Row],[Total Amount bought]]/Table25[[#This Row],[Total number bought]],"")</f>
        <v>329.48545454545456</v>
      </c>
      <c r="P492" s="4">
        <f>IFERROR((Table25[[#This Row],[Average sell price]]-Table25[[#This Row],[Average buy price]])*Table25[[#This Row],[Total Sold number of stocks]],0)</f>
        <v>-225.11000000000035</v>
      </c>
      <c r="Q492" s="85">
        <f>SUMIF(Table25[[#All],[Assets]],Table25[[#This Row],[Assets]],Table25[[#All],[Number of stocks]])</f>
        <v>0</v>
      </c>
    </row>
    <row r="493" spans="1:17">
      <c r="A493" t="e" vm="33">
        <v>#VALUE!</v>
      </c>
      <c r="B493" s="2">
        <v>45582</v>
      </c>
      <c r="C493" t="str" cm="1">
        <f t="array" aca="1" ref="C493" ca="1">_FV(A493,"Ticker symbol",TRUE)</f>
        <v>CRDO</v>
      </c>
      <c r="D493" s="4">
        <v>37.65</v>
      </c>
      <c r="E493" s="50">
        <v>-35</v>
      </c>
      <c r="F493" s="81">
        <f>IF(Table25[[#This Row],[Number of stocks]]&gt;0,Table25[[#This Row],[Number of stocks]],0)</f>
        <v>0</v>
      </c>
      <c r="G493" s="73">
        <f>Table25[[#This Row],[Bought]]*Table25[[#This Row],[Price]]</f>
        <v>0</v>
      </c>
      <c r="H493">
        <f>SUMIF(Table25[[#All],[Assets]],Table25[[#This Row],[Assets]],Table25[[#All],[Bought]])</f>
        <v>135</v>
      </c>
      <c r="I493">
        <f>SUMIF(Table25[[#All],[Assets]],Table25[[#This Row],[Assets]],Table25[[#All],[Bought Amount]])</f>
        <v>3772.0499999999997</v>
      </c>
      <c r="J493" s="88">
        <f>IF(Table25[[#This Row],[Number of stocks]]&lt;0,Table25[[#This Row],[Number of stocks]],0)</f>
        <v>-35</v>
      </c>
      <c r="K493" s="5">
        <f>Table25[[#This Row],[Sold]]*Table25[[#This Row],[Price]]</f>
        <v>-1317.75</v>
      </c>
      <c r="L493" s="8">
        <f>ABS(SUMIF(Table25[[#All],[Assets]],Table25[[#This Row],[Assets]],Table25[[#All],[Sold]]))</f>
        <v>135</v>
      </c>
      <c r="M493" s="5">
        <f>ABS(SUMIF(Table25[[#All],[Assets]],Table25[[#This Row],[Assets]],Table25[[#All],[Sold Amount]]))</f>
        <v>5564.1</v>
      </c>
      <c r="N493" s="5">
        <f>IFERROR(Table25[[#This Row],[Total sold amount]]/Table25[[#This Row],[Total Sold number of stocks]],"")</f>
        <v>41.215555555555561</v>
      </c>
      <c r="O493" s="4">
        <f>IFERROR(Table25[[#This Row],[Total Amount bought]]/Table25[[#This Row],[Total number bought]],"")</f>
        <v>27.941111111111109</v>
      </c>
      <c r="P493" s="4">
        <f>IFERROR((Table25[[#This Row],[Average sell price]]-Table25[[#This Row],[Average buy price]])*Table25[[#This Row],[Total Sold number of stocks]],0)</f>
        <v>1792.0500000000011</v>
      </c>
      <c r="Q493" s="85">
        <f>SUMIF(Table25[[#All],[Assets]],Table25[[#This Row],[Assets]],Table25[[#All],[Number of stocks]])</f>
        <v>0</v>
      </c>
    </row>
    <row r="494" spans="1:17">
      <c r="A494" t="e" vm="100">
        <v>#VALUE!</v>
      </c>
      <c r="B494" s="2">
        <v>45583</v>
      </c>
      <c r="C494" t="str" cm="1">
        <f t="array" aca="1" ref="C494" ca="1">_FV(A494,"Ticker symbol",TRUE)</f>
        <v>FNV</v>
      </c>
      <c r="D494" s="4">
        <v>125.49</v>
      </c>
      <c r="E494" s="50">
        <v>-3</v>
      </c>
      <c r="F494" s="81">
        <f>IF(Table25[[#This Row],[Number of stocks]]&gt;0,Table25[[#This Row],[Number of stocks]],0)</f>
        <v>0</v>
      </c>
      <c r="G494" s="73">
        <f>Table25[[#This Row],[Bought]]*Table25[[#This Row],[Price]]</f>
        <v>0</v>
      </c>
      <c r="H494">
        <f>SUMIF(Table25[[#All],[Assets]],Table25[[#This Row],[Assets]],Table25[[#All],[Bought]])</f>
        <v>80</v>
      </c>
      <c r="I494">
        <f>SUMIF(Table25[[#All],[Assets]],Table25[[#This Row],[Assets]],Table25[[#All],[Bought Amount]])</f>
        <v>10074.099999999999</v>
      </c>
      <c r="J494" s="88">
        <f>IF(Table25[[#This Row],[Number of stocks]]&lt;0,Table25[[#This Row],[Number of stocks]],0)</f>
        <v>-3</v>
      </c>
      <c r="K494" s="5">
        <f>Table25[[#This Row],[Sold]]*Table25[[#This Row],[Price]]</f>
        <v>-376.46999999999997</v>
      </c>
      <c r="L494" s="8">
        <f>ABS(SUMIF(Table25[[#All],[Assets]],Table25[[#This Row],[Assets]],Table25[[#All],[Sold]]))</f>
        <v>80</v>
      </c>
      <c r="M494" s="5">
        <f>ABS(SUMIF(Table25[[#All],[Assets]],Table25[[#This Row],[Assets]],Table25[[#All],[Sold Amount]]))</f>
        <v>9798.76</v>
      </c>
      <c r="N494" s="5">
        <f>IFERROR(Table25[[#This Row],[Total sold amount]]/Table25[[#This Row],[Total Sold number of stocks]],"")</f>
        <v>122.4845</v>
      </c>
      <c r="O494" s="4">
        <f>IFERROR(Table25[[#This Row],[Total Amount bought]]/Table25[[#This Row],[Total number bought]],"")</f>
        <v>125.92624999999998</v>
      </c>
      <c r="P494" s="4">
        <f>IFERROR((Table25[[#This Row],[Average sell price]]-Table25[[#This Row],[Average buy price]])*Table25[[#This Row],[Total Sold number of stocks]],0)</f>
        <v>-275.33999999999878</v>
      </c>
      <c r="Q494" s="85">
        <f>SUMIF(Table25[[#All],[Assets]],Table25[[#This Row],[Assets]],Table25[[#All],[Number of stocks]])</f>
        <v>0</v>
      </c>
    </row>
    <row r="495" spans="1:17">
      <c r="A495" t="e" vm="100">
        <v>#VALUE!</v>
      </c>
      <c r="B495" s="2">
        <v>45582</v>
      </c>
      <c r="C495" t="str" cm="1">
        <f t="array" aca="1" ref="C495" ca="1">_FV(A495,"Ticker symbol",TRUE)</f>
        <v>FNV</v>
      </c>
      <c r="D495" s="4">
        <v>133.53</v>
      </c>
      <c r="E495" s="50">
        <v>8</v>
      </c>
      <c r="F495" s="81">
        <f>IF(Table25[[#This Row],[Number of stocks]]&gt;0,Table25[[#This Row],[Number of stocks]],0)</f>
        <v>8</v>
      </c>
      <c r="G495" s="73">
        <f>Table25[[#This Row],[Bought]]*Table25[[#This Row],[Price]]</f>
        <v>1068.24</v>
      </c>
      <c r="H495">
        <f>SUMIF(Table25[[#All],[Assets]],Table25[[#This Row],[Assets]],Table25[[#All],[Bought]])</f>
        <v>80</v>
      </c>
      <c r="I495">
        <f>SUMIF(Table25[[#All],[Assets]],Table25[[#This Row],[Assets]],Table25[[#All],[Bought Amount]])</f>
        <v>10074.099999999999</v>
      </c>
      <c r="J495" s="88">
        <f>IF(Table25[[#This Row],[Number of stocks]]&lt;0,Table25[[#This Row],[Number of stocks]],0)</f>
        <v>0</v>
      </c>
      <c r="K495" s="5">
        <f>Table25[[#This Row],[Sold]]*Table25[[#This Row],[Price]]</f>
        <v>0</v>
      </c>
      <c r="L495" s="8">
        <f>ABS(SUMIF(Table25[[#All],[Assets]],Table25[[#This Row],[Assets]],Table25[[#All],[Sold]]))</f>
        <v>80</v>
      </c>
      <c r="M495" s="5">
        <f>ABS(SUMIF(Table25[[#All],[Assets]],Table25[[#This Row],[Assets]],Table25[[#All],[Sold Amount]]))</f>
        <v>9798.76</v>
      </c>
      <c r="N495" s="5">
        <f>IFERROR(Table25[[#This Row],[Total sold amount]]/Table25[[#This Row],[Total Sold number of stocks]],"")</f>
        <v>122.4845</v>
      </c>
      <c r="O495" s="4">
        <f>IFERROR(Table25[[#This Row],[Total Amount bought]]/Table25[[#This Row],[Total number bought]],"")</f>
        <v>125.92624999999998</v>
      </c>
      <c r="P495" s="4">
        <f>IFERROR((Table25[[#This Row],[Average sell price]]-Table25[[#This Row],[Average buy price]])*Table25[[#This Row],[Total Sold number of stocks]],0)</f>
        <v>-275.33999999999878</v>
      </c>
      <c r="Q495" s="85">
        <f>SUMIF(Table25[[#All],[Assets]],Table25[[#This Row],[Assets]],Table25[[#All],[Number of stocks]])</f>
        <v>0</v>
      </c>
    </row>
    <row r="496" spans="1:17">
      <c r="A496" t="e" vm="100">
        <v>#VALUE!</v>
      </c>
      <c r="B496" s="2">
        <v>45568</v>
      </c>
      <c r="C496" t="str" cm="1">
        <f t="array" aca="1" ref="C496" ca="1">_FV(A496,"Ticker symbol",TRUE)</f>
        <v>FNV</v>
      </c>
      <c r="D496" s="4">
        <v>127.69</v>
      </c>
      <c r="E496" s="50">
        <v>11</v>
      </c>
      <c r="F496" s="81">
        <f>IF(Table25[[#This Row],[Number of stocks]]&gt;0,Table25[[#This Row],[Number of stocks]],0)</f>
        <v>11</v>
      </c>
      <c r="G496" s="73">
        <f>Table25[[#This Row],[Bought]]*Table25[[#This Row],[Price]]</f>
        <v>1404.59</v>
      </c>
      <c r="H496">
        <f>SUMIF(Table25[[#All],[Assets]],Table25[[#This Row],[Assets]],Table25[[#All],[Bought]])</f>
        <v>80</v>
      </c>
      <c r="I496">
        <f>SUMIF(Table25[[#All],[Assets]],Table25[[#This Row],[Assets]],Table25[[#All],[Bought Amount]])</f>
        <v>10074.099999999999</v>
      </c>
      <c r="J496" s="88">
        <f>IF(Table25[[#This Row],[Number of stocks]]&lt;0,Table25[[#This Row],[Number of stocks]],0)</f>
        <v>0</v>
      </c>
      <c r="K496" s="5">
        <f>Table25[[#This Row],[Sold]]*Table25[[#This Row],[Price]]</f>
        <v>0</v>
      </c>
      <c r="L496" s="8">
        <f>ABS(SUMIF(Table25[[#All],[Assets]],Table25[[#This Row],[Assets]],Table25[[#All],[Sold]]))</f>
        <v>80</v>
      </c>
      <c r="M496" s="5">
        <f>ABS(SUMIF(Table25[[#All],[Assets]],Table25[[#This Row],[Assets]],Table25[[#All],[Sold Amount]]))</f>
        <v>9798.76</v>
      </c>
      <c r="N496" s="5">
        <f>IFERROR(Table25[[#This Row],[Total sold amount]]/Table25[[#This Row],[Total Sold number of stocks]],"")</f>
        <v>122.4845</v>
      </c>
      <c r="O496" s="4">
        <f>IFERROR(Table25[[#This Row],[Total Amount bought]]/Table25[[#This Row],[Total number bought]],"")</f>
        <v>125.92624999999998</v>
      </c>
      <c r="P496" s="4">
        <f>IFERROR((Table25[[#This Row],[Average sell price]]-Table25[[#This Row],[Average buy price]])*Table25[[#This Row],[Total Sold number of stocks]],0)</f>
        <v>-275.33999999999878</v>
      </c>
      <c r="Q496" s="85">
        <f>SUMIF(Table25[[#All],[Assets]],Table25[[#This Row],[Assets]],Table25[[#All],[Number of stocks]])</f>
        <v>0</v>
      </c>
    </row>
    <row r="497" spans="1:17">
      <c r="A497" t="e" vm="100">
        <v>#VALUE!</v>
      </c>
      <c r="B497" s="2">
        <v>45568</v>
      </c>
      <c r="C497" t="str" cm="1">
        <f t="array" aca="1" ref="C497" ca="1">_FV(A497,"Ticker symbol",TRUE)</f>
        <v>FNV</v>
      </c>
      <c r="D497" s="4">
        <v>127.1</v>
      </c>
      <c r="E497" s="50">
        <v>8</v>
      </c>
      <c r="F497" s="81">
        <f>IF(Table25[[#This Row],[Number of stocks]]&gt;0,Table25[[#This Row],[Number of stocks]],0)</f>
        <v>8</v>
      </c>
      <c r="G497" s="73">
        <f>Table25[[#This Row],[Bought]]*Table25[[#This Row],[Price]]</f>
        <v>1016.8</v>
      </c>
      <c r="H497">
        <f>SUMIF(Table25[[#All],[Assets]],Table25[[#This Row],[Assets]],Table25[[#All],[Bought]])</f>
        <v>80</v>
      </c>
      <c r="I497">
        <f>SUMIF(Table25[[#All],[Assets]],Table25[[#This Row],[Assets]],Table25[[#All],[Bought Amount]])</f>
        <v>10074.099999999999</v>
      </c>
      <c r="J497" s="88">
        <f>IF(Table25[[#This Row],[Number of stocks]]&lt;0,Table25[[#This Row],[Number of stocks]],0)</f>
        <v>0</v>
      </c>
      <c r="K497" s="5">
        <f>Table25[[#This Row],[Sold]]*Table25[[#This Row],[Price]]</f>
        <v>0</v>
      </c>
      <c r="L497" s="8">
        <f>ABS(SUMIF(Table25[[#All],[Assets]],Table25[[#This Row],[Assets]],Table25[[#All],[Sold]]))</f>
        <v>80</v>
      </c>
      <c r="M497" s="5">
        <f>ABS(SUMIF(Table25[[#All],[Assets]],Table25[[#This Row],[Assets]],Table25[[#All],[Sold Amount]]))</f>
        <v>9798.76</v>
      </c>
      <c r="N497" s="5">
        <f>IFERROR(Table25[[#This Row],[Total sold amount]]/Table25[[#This Row],[Total Sold number of stocks]],"")</f>
        <v>122.4845</v>
      </c>
      <c r="O497" s="4">
        <f>IFERROR(Table25[[#This Row],[Total Amount bought]]/Table25[[#This Row],[Total number bought]],"")</f>
        <v>125.92624999999998</v>
      </c>
      <c r="P497" s="4">
        <f>IFERROR((Table25[[#This Row],[Average sell price]]-Table25[[#This Row],[Average buy price]])*Table25[[#This Row],[Total Sold number of stocks]],0)</f>
        <v>-275.33999999999878</v>
      </c>
      <c r="Q497" s="85">
        <f>SUMIF(Table25[[#All],[Assets]],Table25[[#This Row],[Assets]],Table25[[#All],[Number of stocks]])</f>
        <v>0</v>
      </c>
    </row>
    <row r="498" spans="1:17">
      <c r="A498" t="e" vm="72">
        <v>#VALUE!</v>
      </c>
      <c r="B498" s="2">
        <v>45583</v>
      </c>
      <c r="C498" t="str" cm="1">
        <f t="array" aca="1" ref="C498" ca="1">_FV(A498,"Ticker symbol",TRUE)</f>
        <v>AIRS</v>
      </c>
      <c r="D498" s="4">
        <v>6</v>
      </c>
      <c r="E498" s="50">
        <v>160</v>
      </c>
      <c r="F498" s="81">
        <f>IF(Table25[[#This Row],[Number of stocks]]&gt;0,Table25[[#This Row],[Number of stocks]],0)</f>
        <v>160</v>
      </c>
      <c r="G498" s="73">
        <f>Table25[[#This Row],[Bought]]*Table25[[#This Row],[Price]]</f>
        <v>960</v>
      </c>
      <c r="H498">
        <f>SUMIF(Table25[[#All],[Assets]],Table25[[#This Row],[Assets]],Table25[[#All],[Bought]])</f>
        <v>2980</v>
      </c>
      <c r="I498">
        <f>SUMIF(Table25[[#All],[Assets]],Table25[[#This Row],[Assets]],Table25[[#All],[Bought Amount]])</f>
        <v>14267.900000000001</v>
      </c>
      <c r="J498" s="88">
        <f>IF(Table25[[#This Row],[Number of stocks]]&lt;0,Table25[[#This Row],[Number of stocks]],0)</f>
        <v>0</v>
      </c>
      <c r="K498" s="5">
        <f>Table25[[#This Row],[Sold]]*Table25[[#This Row],[Price]]</f>
        <v>0</v>
      </c>
      <c r="L498" s="8">
        <f>ABS(SUMIF(Table25[[#All],[Assets]],Table25[[#This Row],[Assets]],Table25[[#All],[Sold]]))</f>
        <v>2360</v>
      </c>
      <c r="M498" s="5">
        <f>ABS(SUMIF(Table25[[#All],[Assets]],Table25[[#This Row],[Assets]],Table25[[#All],[Sold Amount]]))</f>
        <v>7796.6</v>
      </c>
      <c r="N498" s="5">
        <f>IFERROR(Table25[[#This Row],[Total sold amount]]/Table25[[#This Row],[Total Sold number of stocks]],"")</f>
        <v>3.3036440677966104</v>
      </c>
      <c r="O498" s="4">
        <f>IFERROR(Table25[[#This Row],[Total Amount bought]]/Table25[[#This Row],[Total number bought]],"")</f>
        <v>4.7878859060402688</v>
      </c>
      <c r="P498" s="4">
        <f>IFERROR((Table25[[#This Row],[Average sell price]]-Table25[[#This Row],[Average buy price]])*Table25[[#This Row],[Total Sold number of stocks]],0)</f>
        <v>-3502.8107382550338</v>
      </c>
      <c r="Q498" s="85">
        <f>SUMIF(Table25[[#All],[Assets]],Table25[[#This Row],[Assets]],Table25[[#All],[Number of stocks]])</f>
        <v>620</v>
      </c>
    </row>
    <row r="499" spans="1:17">
      <c r="A499" t="e" vm="72">
        <v>#VALUE!</v>
      </c>
      <c r="B499" s="2">
        <v>45583</v>
      </c>
      <c r="C499" t="str" cm="1">
        <f t="array" aca="1" ref="C499" ca="1">_FV(A499,"Ticker symbol",TRUE)</f>
        <v>AIRS</v>
      </c>
      <c r="D499" s="4">
        <v>5.91</v>
      </c>
      <c r="E499" s="50">
        <v>170</v>
      </c>
      <c r="F499" s="81">
        <f>IF(Table25[[#This Row],[Number of stocks]]&gt;0,Table25[[#This Row],[Number of stocks]],0)</f>
        <v>170</v>
      </c>
      <c r="G499" s="73">
        <f>Table25[[#This Row],[Bought]]*Table25[[#This Row],[Price]]</f>
        <v>1004.7</v>
      </c>
      <c r="H499">
        <f>SUMIF(Table25[[#All],[Assets]],Table25[[#This Row],[Assets]],Table25[[#All],[Bought]])</f>
        <v>2980</v>
      </c>
      <c r="I499">
        <f>SUMIF(Table25[[#All],[Assets]],Table25[[#This Row],[Assets]],Table25[[#All],[Bought Amount]])</f>
        <v>14267.900000000001</v>
      </c>
      <c r="J499" s="88">
        <f>IF(Table25[[#This Row],[Number of stocks]]&lt;0,Table25[[#This Row],[Number of stocks]],0)</f>
        <v>0</v>
      </c>
      <c r="K499" s="5">
        <f>Table25[[#This Row],[Sold]]*Table25[[#This Row],[Price]]</f>
        <v>0</v>
      </c>
      <c r="L499" s="8">
        <f>ABS(SUMIF(Table25[[#All],[Assets]],Table25[[#This Row],[Assets]],Table25[[#All],[Sold]]))</f>
        <v>2360</v>
      </c>
      <c r="M499" s="5">
        <f>ABS(SUMIF(Table25[[#All],[Assets]],Table25[[#This Row],[Assets]],Table25[[#All],[Sold Amount]]))</f>
        <v>7796.6</v>
      </c>
      <c r="N499" s="5">
        <f>IFERROR(Table25[[#This Row],[Total sold amount]]/Table25[[#This Row],[Total Sold number of stocks]],"")</f>
        <v>3.3036440677966104</v>
      </c>
      <c r="O499" s="4">
        <f>IFERROR(Table25[[#This Row],[Total Amount bought]]/Table25[[#This Row],[Total number bought]],"")</f>
        <v>4.7878859060402688</v>
      </c>
      <c r="P499" s="4">
        <f>IFERROR((Table25[[#This Row],[Average sell price]]-Table25[[#This Row],[Average buy price]])*Table25[[#This Row],[Total Sold number of stocks]],0)</f>
        <v>-3502.8107382550338</v>
      </c>
      <c r="Q499" s="85">
        <f>SUMIF(Table25[[#All],[Assets]],Table25[[#This Row],[Assets]],Table25[[#All],[Number of stocks]])</f>
        <v>620</v>
      </c>
    </row>
    <row r="500" spans="1:17">
      <c r="A500" t="e" vm="72">
        <v>#VALUE!</v>
      </c>
      <c r="B500" s="2">
        <v>45583</v>
      </c>
      <c r="C500" t="str" cm="1">
        <f t="array" aca="1" ref="C500" ca="1">_FV(A500,"Ticker symbol",TRUE)</f>
        <v>AIRS</v>
      </c>
      <c r="D500" s="4">
        <v>5.94</v>
      </c>
      <c r="E500" s="50">
        <v>190</v>
      </c>
      <c r="F500" s="81">
        <f>IF(Table25[[#This Row],[Number of stocks]]&gt;0,Table25[[#This Row],[Number of stocks]],0)</f>
        <v>190</v>
      </c>
      <c r="G500" s="73">
        <f>Table25[[#This Row],[Bought]]*Table25[[#This Row],[Price]]</f>
        <v>1128.6000000000001</v>
      </c>
      <c r="H500">
        <f>SUMIF(Table25[[#All],[Assets]],Table25[[#This Row],[Assets]],Table25[[#All],[Bought]])</f>
        <v>2980</v>
      </c>
      <c r="I500">
        <f>SUMIF(Table25[[#All],[Assets]],Table25[[#This Row],[Assets]],Table25[[#All],[Bought Amount]])</f>
        <v>14267.900000000001</v>
      </c>
      <c r="J500" s="88">
        <f>IF(Table25[[#This Row],[Number of stocks]]&lt;0,Table25[[#This Row],[Number of stocks]],0)</f>
        <v>0</v>
      </c>
      <c r="K500" s="5">
        <f>Table25[[#This Row],[Sold]]*Table25[[#This Row],[Price]]</f>
        <v>0</v>
      </c>
      <c r="L500" s="8">
        <f>ABS(SUMIF(Table25[[#All],[Assets]],Table25[[#This Row],[Assets]],Table25[[#All],[Sold]]))</f>
        <v>2360</v>
      </c>
      <c r="M500" s="5">
        <f>ABS(SUMIF(Table25[[#All],[Assets]],Table25[[#This Row],[Assets]],Table25[[#All],[Sold Amount]]))</f>
        <v>7796.6</v>
      </c>
      <c r="N500" s="5">
        <f>IFERROR(Table25[[#This Row],[Total sold amount]]/Table25[[#This Row],[Total Sold number of stocks]],"")</f>
        <v>3.3036440677966104</v>
      </c>
      <c r="O500" s="4">
        <f>IFERROR(Table25[[#This Row],[Total Amount bought]]/Table25[[#This Row],[Total number bought]],"")</f>
        <v>4.7878859060402688</v>
      </c>
      <c r="P500" s="4">
        <f>IFERROR((Table25[[#This Row],[Average sell price]]-Table25[[#This Row],[Average buy price]])*Table25[[#This Row],[Total Sold number of stocks]],0)</f>
        <v>-3502.8107382550338</v>
      </c>
      <c r="Q500" s="85">
        <f>SUMIF(Table25[[#All],[Assets]],Table25[[#This Row],[Assets]],Table25[[#All],[Number of stocks]])</f>
        <v>620</v>
      </c>
    </row>
    <row r="501" spans="1:17">
      <c r="A501" t="e" vm="72">
        <v>#VALUE!</v>
      </c>
      <c r="B501" s="2">
        <v>45583</v>
      </c>
      <c r="C501" t="str" cm="1">
        <f t="array" aca="1" ref="C501" ca="1">_FV(A501,"Ticker symbol",TRUE)</f>
        <v>AIRS</v>
      </c>
      <c r="D501" s="4">
        <v>5.99</v>
      </c>
      <c r="E501" s="50">
        <v>30</v>
      </c>
      <c r="F501" s="81">
        <f>IF(Table25[[#This Row],[Number of stocks]]&gt;0,Table25[[#This Row],[Number of stocks]],0)</f>
        <v>30</v>
      </c>
      <c r="G501" s="73">
        <f>Table25[[#This Row],[Bought]]*Table25[[#This Row],[Price]]</f>
        <v>179.70000000000002</v>
      </c>
      <c r="H501">
        <f>SUMIF(Table25[[#All],[Assets]],Table25[[#This Row],[Assets]],Table25[[#All],[Bought]])</f>
        <v>2980</v>
      </c>
      <c r="I501">
        <f>SUMIF(Table25[[#All],[Assets]],Table25[[#This Row],[Assets]],Table25[[#All],[Bought Amount]])</f>
        <v>14267.900000000001</v>
      </c>
      <c r="J501" s="88">
        <f>IF(Table25[[#This Row],[Number of stocks]]&lt;0,Table25[[#This Row],[Number of stocks]],0)</f>
        <v>0</v>
      </c>
      <c r="K501" s="5">
        <f>Table25[[#This Row],[Sold]]*Table25[[#This Row],[Price]]</f>
        <v>0</v>
      </c>
      <c r="L501" s="8">
        <f>ABS(SUMIF(Table25[[#All],[Assets]],Table25[[#This Row],[Assets]],Table25[[#All],[Sold]]))</f>
        <v>2360</v>
      </c>
      <c r="M501" s="5">
        <f>ABS(SUMIF(Table25[[#All],[Assets]],Table25[[#This Row],[Assets]],Table25[[#All],[Sold Amount]]))</f>
        <v>7796.6</v>
      </c>
      <c r="N501" s="5">
        <f>IFERROR(Table25[[#This Row],[Total sold amount]]/Table25[[#This Row],[Total Sold number of stocks]],"")</f>
        <v>3.3036440677966104</v>
      </c>
      <c r="O501" s="4">
        <f>IFERROR(Table25[[#This Row],[Total Amount bought]]/Table25[[#This Row],[Total number bought]],"")</f>
        <v>4.7878859060402688</v>
      </c>
      <c r="P501" s="4">
        <f>IFERROR((Table25[[#This Row],[Average sell price]]-Table25[[#This Row],[Average buy price]])*Table25[[#This Row],[Total Sold number of stocks]],0)</f>
        <v>-3502.8107382550338</v>
      </c>
      <c r="Q501" s="85">
        <f>SUMIF(Table25[[#All],[Assets]],Table25[[#This Row],[Assets]],Table25[[#All],[Number of stocks]])</f>
        <v>620</v>
      </c>
    </row>
    <row r="502" spans="1:17">
      <c r="A502" t="e" vm="72">
        <v>#VALUE!</v>
      </c>
      <c r="B502" s="2">
        <v>45583</v>
      </c>
      <c r="C502" t="str" cm="1">
        <f t="array" aca="1" ref="C502" ca="1">_FV(A502,"Ticker symbol",TRUE)</f>
        <v>AIRS</v>
      </c>
      <c r="D502" s="4">
        <v>6.19</v>
      </c>
      <c r="E502" s="50">
        <v>90</v>
      </c>
      <c r="F502" s="81">
        <f>IF(Table25[[#This Row],[Number of stocks]]&gt;0,Table25[[#This Row],[Number of stocks]],0)</f>
        <v>90</v>
      </c>
      <c r="G502" s="73">
        <f>Table25[[#This Row],[Bought]]*Table25[[#This Row],[Price]]</f>
        <v>557.1</v>
      </c>
      <c r="H502">
        <f>SUMIF(Table25[[#All],[Assets]],Table25[[#This Row],[Assets]],Table25[[#All],[Bought]])</f>
        <v>2980</v>
      </c>
      <c r="I502">
        <f>SUMIF(Table25[[#All],[Assets]],Table25[[#This Row],[Assets]],Table25[[#All],[Bought Amount]])</f>
        <v>14267.900000000001</v>
      </c>
      <c r="J502" s="88">
        <f>IF(Table25[[#This Row],[Number of stocks]]&lt;0,Table25[[#This Row],[Number of stocks]],0)</f>
        <v>0</v>
      </c>
      <c r="K502" s="5">
        <f>Table25[[#This Row],[Sold]]*Table25[[#This Row],[Price]]</f>
        <v>0</v>
      </c>
      <c r="L502" s="8">
        <f>ABS(SUMIF(Table25[[#All],[Assets]],Table25[[#This Row],[Assets]],Table25[[#All],[Sold]]))</f>
        <v>2360</v>
      </c>
      <c r="M502" s="5">
        <f>ABS(SUMIF(Table25[[#All],[Assets]],Table25[[#This Row],[Assets]],Table25[[#All],[Sold Amount]]))</f>
        <v>7796.6</v>
      </c>
      <c r="N502" s="5">
        <f>IFERROR(Table25[[#This Row],[Total sold amount]]/Table25[[#This Row],[Total Sold number of stocks]],"")</f>
        <v>3.3036440677966104</v>
      </c>
      <c r="O502" s="4">
        <f>IFERROR(Table25[[#This Row],[Total Amount bought]]/Table25[[#This Row],[Total number bought]],"")</f>
        <v>4.7878859060402688</v>
      </c>
      <c r="P502" s="4">
        <f>IFERROR((Table25[[#This Row],[Average sell price]]-Table25[[#This Row],[Average buy price]])*Table25[[#This Row],[Total Sold number of stocks]],0)</f>
        <v>-3502.8107382550338</v>
      </c>
      <c r="Q502" s="85">
        <f>SUMIF(Table25[[#All],[Assets]],Table25[[#This Row],[Assets]],Table25[[#All],[Number of stocks]])</f>
        <v>620</v>
      </c>
    </row>
    <row r="503" spans="1:17">
      <c r="A503" t="e" vm="325">
        <v>#VALUE!</v>
      </c>
      <c r="B503" s="2">
        <v>45583</v>
      </c>
      <c r="C503" t="str" cm="1">
        <f t="array" aca="1" ref="C503" ca="1">_FV(A503,"Ticker symbol",TRUE)</f>
        <v>PAGS</v>
      </c>
      <c r="D503" s="4">
        <v>7.88</v>
      </c>
      <c r="E503" s="50">
        <v>-30</v>
      </c>
      <c r="F503" s="81">
        <f>IF(Table25[[#This Row],[Number of stocks]]&gt;0,Table25[[#This Row],[Number of stocks]],0)</f>
        <v>0</v>
      </c>
      <c r="G503" s="73">
        <f>Table25[[#This Row],[Bought]]*Table25[[#This Row],[Price]]</f>
        <v>0</v>
      </c>
      <c r="H503">
        <f>SUMIF(Table25[[#All],[Assets]],Table25[[#This Row],[Assets]],Table25[[#All],[Bought]])</f>
        <v>60</v>
      </c>
      <c r="I503">
        <f>SUMIF(Table25[[#All],[Assets]],Table25[[#This Row],[Assets]],Table25[[#All],[Bought Amount]])</f>
        <v>667.8</v>
      </c>
      <c r="J503" s="88">
        <f>IF(Table25[[#This Row],[Number of stocks]]&lt;0,Table25[[#This Row],[Number of stocks]],0)</f>
        <v>-30</v>
      </c>
      <c r="K503" s="5">
        <f>Table25[[#This Row],[Sold]]*Table25[[#This Row],[Price]]</f>
        <v>-236.4</v>
      </c>
      <c r="L503" s="8">
        <f>ABS(SUMIF(Table25[[#All],[Assets]],Table25[[#This Row],[Assets]],Table25[[#All],[Sold]]))</f>
        <v>60</v>
      </c>
      <c r="M503" s="5">
        <f>ABS(SUMIF(Table25[[#All],[Assets]],Table25[[#This Row],[Assets]],Table25[[#All],[Sold Amount]]))</f>
        <v>528</v>
      </c>
      <c r="N503" s="5">
        <f>IFERROR(Table25[[#This Row],[Total sold amount]]/Table25[[#This Row],[Total Sold number of stocks]],"")</f>
        <v>8.8000000000000007</v>
      </c>
      <c r="O503" s="4">
        <f>IFERROR(Table25[[#This Row],[Total Amount bought]]/Table25[[#This Row],[Total number bought]],"")</f>
        <v>11.129999999999999</v>
      </c>
      <c r="P503" s="4">
        <f>IFERROR((Table25[[#This Row],[Average sell price]]-Table25[[#This Row],[Average buy price]])*Table25[[#This Row],[Total Sold number of stocks]],0)</f>
        <v>-139.7999999999999</v>
      </c>
      <c r="Q503" s="85">
        <f>SUMIF(Table25[[#All],[Assets]],Table25[[#This Row],[Assets]],Table25[[#All],[Number of stocks]])</f>
        <v>0</v>
      </c>
    </row>
    <row r="504" spans="1:17">
      <c r="A504" t="e" vm="313">
        <v>#VALUE!</v>
      </c>
      <c r="B504" s="2">
        <v>45586</v>
      </c>
      <c r="C504" t="str" cm="1">
        <f t="array" aca="1" ref="C504" ca="1">_FV(A504,"Ticker symbol",TRUE)</f>
        <v>APLD</v>
      </c>
      <c r="D504" s="4">
        <v>8.3800000000000008</v>
      </c>
      <c r="E504" s="50">
        <v>100</v>
      </c>
      <c r="F504" s="81">
        <f>IF(Table25[[#This Row],[Number of stocks]]&gt;0,Table25[[#This Row],[Number of stocks]],0)</f>
        <v>100</v>
      </c>
      <c r="G504" s="73">
        <f>Table25[[#This Row],[Bought]]*Table25[[#This Row],[Price]]</f>
        <v>838.00000000000011</v>
      </c>
      <c r="H504">
        <f>SUMIF(Table25[[#All],[Assets]],Table25[[#This Row],[Assets]],Table25[[#All],[Bought]])</f>
        <v>380</v>
      </c>
      <c r="I504">
        <f>SUMIF(Table25[[#All],[Assets]],Table25[[#This Row],[Assets]],Table25[[#All],[Bought Amount]])</f>
        <v>2450.8000000000002</v>
      </c>
      <c r="J504" s="88">
        <f>IF(Table25[[#This Row],[Number of stocks]]&lt;0,Table25[[#This Row],[Number of stocks]],0)</f>
        <v>0</v>
      </c>
      <c r="K504" s="5">
        <f>Table25[[#This Row],[Sold]]*Table25[[#This Row],[Price]]</f>
        <v>0</v>
      </c>
      <c r="L504" s="8">
        <f>ABS(SUMIF(Table25[[#All],[Assets]],Table25[[#This Row],[Assets]],Table25[[#All],[Sold]]))</f>
        <v>380</v>
      </c>
      <c r="M504" s="5">
        <f>ABS(SUMIF(Table25[[#All],[Assets]],Table25[[#This Row],[Assets]],Table25[[#All],[Sold Amount]]))</f>
        <v>2418.3000000000002</v>
      </c>
      <c r="N504" s="5">
        <f>IFERROR(Table25[[#This Row],[Total sold amount]]/Table25[[#This Row],[Total Sold number of stocks]],"")</f>
        <v>6.3639473684210532</v>
      </c>
      <c r="O504" s="4">
        <f>IFERROR(Table25[[#This Row],[Total Amount bought]]/Table25[[#This Row],[Total number bought]],"")</f>
        <v>6.4494736842105267</v>
      </c>
      <c r="P504" s="4">
        <f>IFERROR((Table25[[#This Row],[Average sell price]]-Table25[[#This Row],[Average buy price]])*Table25[[#This Row],[Total Sold number of stocks]],0)</f>
        <v>-32.499999999999915</v>
      </c>
      <c r="Q504" s="85">
        <f>SUMIF(Table25[[#All],[Assets]],Table25[[#This Row],[Assets]],Table25[[#All],[Number of stocks]])</f>
        <v>0</v>
      </c>
    </row>
    <row r="505" spans="1:17">
      <c r="A505" t="e" vm="121">
        <v>#VALUE!</v>
      </c>
      <c r="B505" s="2">
        <v>45583</v>
      </c>
      <c r="C505" t="str" cm="1">
        <f t="array" aca="1" ref="C505" ca="1">_FV(A505,"Ticker symbol",TRUE)</f>
        <v>IWM</v>
      </c>
      <c r="D505" s="4">
        <v>226.51</v>
      </c>
      <c r="E505" s="50">
        <v>-1</v>
      </c>
      <c r="F505" s="81">
        <f>IF(Table25[[#This Row],[Number of stocks]]&gt;0,Table25[[#This Row],[Number of stocks]],0)</f>
        <v>0</v>
      </c>
      <c r="G505" s="73">
        <f>Table25[[#This Row],[Bought]]*Table25[[#This Row],[Price]]</f>
        <v>0</v>
      </c>
      <c r="H505">
        <f>SUMIF(Table25[[#All],[Assets]],Table25[[#This Row],[Assets]],Table25[[#All],[Bought]])</f>
        <v>1</v>
      </c>
      <c r="I505">
        <f>SUMIF(Table25[[#All],[Assets]],Table25[[#This Row],[Assets]],Table25[[#All],[Bought Amount]])</f>
        <v>201.76</v>
      </c>
      <c r="J505" s="88">
        <f>IF(Table25[[#This Row],[Number of stocks]]&lt;0,Table25[[#This Row],[Number of stocks]],0)</f>
        <v>-1</v>
      </c>
      <c r="K505" s="5">
        <f>Table25[[#This Row],[Sold]]*Table25[[#This Row],[Price]]</f>
        <v>-226.51</v>
      </c>
      <c r="L505" s="8">
        <f>ABS(SUMIF(Table25[[#All],[Assets]],Table25[[#This Row],[Assets]],Table25[[#All],[Sold]]))</f>
        <v>1</v>
      </c>
      <c r="M505" s="5">
        <f>ABS(SUMIF(Table25[[#All],[Assets]],Table25[[#This Row],[Assets]],Table25[[#All],[Sold Amount]]))</f>
        <v>226.51</v>
      </c>
      <c r="N505" s="5">
        <f>IFERROR(Table25[[#This Row],[Total sold amount]]/Table25[[#This Row],[Total Sold number of stocks]],"")</f>
        <v>226.51</v>
      </c>
      <c r="O505" s="4">
        <f>IFERROR(Table25[[#This Row],[Total Amount bought]]/Table25[[#This Row],[Total number bought]],"")</f>
        <v>201.76</v>
      </c>
      <c r="P505" s="4">
        <f>IFERROR((Table25[[#This Row],[Average sell price]]-Table25[[#This Row],[Average buy price]])*Table25[[#This Row],[Total Sold number of stocks]],0)</f>
        <v>24.75</v>
      </c>
      <c r="Q505" s="85">
        <f>SUMIF(Table25[[#All],[Assets]],Table25[[#This Row],[Assets]],Table25[[#All],[Number of stocks]])</f>
        <v>0</v>
      </c>
    </row>
    <row r="506" spans="1:17">
      <c r="A506" t="e" vm="228">
        <v>#VALUE!</v>
      </c>
      <c r="B506" s="2">
        <v>45583</v>
      </c>
      <c r="C506" t="str" cm="1">
        <f t="array" aca="1" ref="C506" ca="1">_FV(A506,"Ticker symbol",TRUE)</f>
        <v>BILL</v>
      </c>
      <c r="D506" s="4">
        <v>57.2</v>
      </c>
      <c r="E506" s="50">
        <v>-11</v>
      </c>
      <c r="F506" s="81">
        <f>IF(Table25[[#This Row],[Number of stocks]]&gt;0,Table25[[#This Row],[Number of stocks]],0)</f>
        <v>0</v>
      </c>
      <c r="G506" s="73">
        <f>Table25[[#This Row],[Bought]]*Table25[[#This Row],[Price]]</f>
        <v>0</v>
      </c>
      <c r="H506">
        <f>SUMIF(Table25[[#All],[Assets]],Table25[[#This Row],[Assets]],Table25[[#All],[Bought]])</f>
        <v>101</v>
      </c>
      <c r="I506">
        <f>SUMIF(Table25[[#All],[Assets]],Table25[[#This Row],[Assets]],Table25[[#All],[Bought Amount]])</f>
        <v>5292.3600000000006</v>
      </c>
      <c r="J506" s="88">
        <f>IF(Table25[[#This Row],[Number of stocks]]&lt;0,Table25[[#This Row],[Number of stocks]],0)</f>
        <v>-11</v>
      </c>
      <c r="K506" s="5">
        <f>Table25[[#This Row],[Sold]]*Table25[[#This Row],[Price]]</f>
        <v>-629.20000000000005</v>
      </c>
      <c r="L506" s="8">
        <f>ABS(SUMIF(Table25[[#All],[Assets]],Table25[[#This Row],[Assets]],Table25[[#All],[Sold]]))</f>
        <v>101</v>
      </c>
      <c r="M506" s="5">
        <f>ABS(SUMIF(Table25[[#All],[Assets]],Table25[[#This Row],[Assets]],Table25[[#All],[Sold Amount]]))</f>
        <v>5973.49</v>
      </c>
      <c r="N506" s="5">
        <f>IFERROR(Table25[[#This Row],[Total sold amount]]/Table25[[#This Row],[Total Sold number of stocks]],"")</f>
        <v>59.143465346534654</v>
      </c>
      <c r="O506" s="4">
        <f>IFERROR(Table25[[#This Row],[Total Amount bought]]/Table25[[#This Row],[Total number bought]],"")</f>
        <v>52.399603960396043</v>
      </c>
      <c r="P506" s="4">
        <f>IFERROR((Table25[[#This Row],[Average sell price]]-Table25[[#This Row],[Average buy price]])*Table25[[#This Row],[Total Sold number of stocks]],0)</f>
        <v>681.12999999999977</v>
      </c>
      <c r="Q506" s="85">
        <f>SUMIF(Table25[[#All],[Assets]],Table25[[#This Row],[Assets]],Table25[[#All],[Number of stocks]])</f>
        <v>0</v>
      </c>
    </row>
    <row r="507" spans="1:17">
      <c r="A507" t="e" vm="268">
        <v>#VALUE!</v>
      </c>
      <c r="B507" s="2">
        <v>45583</v>
      </c>
      <c r="C507" t="str" cm="1">
        <f t="array" aca="1" ref="C507" ca="1">_FV(A507,"Ticker symbol",TRUE)</f>
        <v>KNTK</v>
      </c>
      <c r="D507" s="4">
        <v>50.02</v>
      </c>
      <c r="E507" s="50">
        <v>-10</v>
      </c>
      <c r="F507" s="81">
        <f>IF(Table25[[#This Row],[Number of stocks]]&gt;0,Table25[[#This Row],[Number of stocks]],0)</f>
        <v>0</v>
      </c>
      <c r="G507" s="73">
        <f>Table25[[#This Row],[Bought]]*Table25[[#This Row],[Price]]</f>
        <v>0</v>
      </c>
      <c r="H507">
        <f>SUMIF(Table25[[#All],[Assets]],Table25[[#This Row],[Assets]],Table25[[#All],[Bought]])</f>
        <v>70</v>
      </c>
      <c r="I507">
        <f>SUMIF(Table25[[#All],[Assets]],Table25[[#This Row],[Assets]],Table25[[#All],[Bought Amount]])</f>
        <v>2985.8999999999996</v>
      </c>
      <c r="J507" s="88">
        <f>IF(Table25[[#This Row],[Number of stocks]]&lt;0,Table25[[#This Row],[Number of stocks]],0)</f>
        <v>-10</v>
      </c>
      <c r="K507" s="5">
        <f>Table25[[#This Row],[Sold]]*Table25[[#This Row],[Price]]</f>
        <v>-500.20000000000005</v>
      </c>
      <c r="L507" s="8">
        <f>ABS(SUMIF(Table25[[#All],[Assets]],Table25[[#This Row],[Assets]],Table25[[#All],[Sold]]))</f>
        <v>70</v>
      </c>
      <c r="M507" s="5">
        <f>ABS(SUMIF(Table25[[#All],[Assets]],Table25[[#This Row],[Assets]],Table25[[#All],[Sold Amount]]))</f>
        <v>4037</v>
      </c>
      <c r="N507" s="5">
        <f>IFERROR(Table25[[#This Row],[Total sold amount]]/Table25[[#This Row],[Total Sold number of stocks]],"")</f>
        <v>57.671428571428571</v>
      </c>
      <c r="O507" s="4">
        <f>IFERROR(Table25[[#This Row],[Total Amount bought]]/Table25[[#This Row],[Total number bought]],"")</f>
        <v>42.655714285714282</v>
      </c>
      <c r="P507" s="4">
        <f>IFERROR((Table25[[#This Row],[Average sell price]]-Table25[[#This Row],[Average buy price]])*Table25[[#This Row],[Total Sold number of stocks]],0)</f>
        <v>1051.1000000000001</v>
      </c>
      <c r="Q507" s="85">
        <f>SUMIF(Table25[[#All],[Assets]],Table25[[#This Row],[Assets]],Table25[[#All],[Number of stocks]])</f>
        <v>0</v>
      </c>
    </row>
    <row r="508" spans="1:17">
      <c r="A508" t="e" vm="262">
        <v>#VALUE!</v>
      </c>
      <c r="B508" s="2">
        <v>45583</v>
      </c>
      <c r="C508" t="str" cm="1">
        <f t="array" aca="1" ref="C508" ca="1">_FV(A508,"Ticker symbol",TRUE)</f>
        <v>PROP</v>
      </c>
      <c r="D508" s="4">
        <v>9.01</v>
      </c>
      <c r="E508" s="50">
        <v>50</v>
      </c>
      <c r="F508" s="81">
        <f>IF(Table25[[#This Row],[Number of stocks]]&gt;0,Table25[[#This Row],[Number of stocks]],0)</f>
        <v>50</v>
      </c>
      <c r="G508" s="73">
        <f>Table25[[#This Row],[Bought]]*Table25[[#This Row],[Price]]</f>
        <v>450.5</v>
      </c>
      <c r="H508">
        <f>SUMIF(Table25[[#All],[Assets]],Table25[[#This Row],[Assets]],Table25[[#All],[Bought]])</f>
        <v>120</v>
      </c>
      <c r="I508">
        <f>SUMIF(Table25[[#All],[Assets]],Table25[[#This Row],[Assets]],Table25[[#All],[Bought Amount]])</f>
        <v>1031.5</v>
      </c>
      <c r="J508" s="88">
        <f>IF(Table25[[#This Row],[Number of stocks]]&lt;0,Table25[[#This Row],[Number of stocks]],0)</f>
        <v>0</v>
      </c>
      <c r="K508" s="5">
        <f>Table25[[#This Row],[Sold]]*Table25[[#This Row],[Price]]</f>
        <v>0</v>
      </c>
      <c r="L508" s="8">
        <f>ABS(SUMIF(Table25[[#All],[Assets]],Table25[[#This Row],[Assets]],Table25[[#All],[Sold]]))</f>
        <v>120</v>
      </c>
      <c r="M508" s="5">
        <f>ABS(SUMIF(Table25[[#All],[Assets]],Table25[[#This Row],[Assets]],Table25[[#All],[Sold Amount]]))</f>
        <v>704.4</v>
      </c>
      <c r="N508" s="5">
        <f>IFERROR(Table25[[#This Row],[Total sold amount]]/Table25[[#This Row],[Total Sold number of stocks]],"")</f>
        <v>5.87</v>
      </c>
      <c r="O508" s="4">
        <f>IFERROR(Table25[[#This Row],[Total Amount bought]]/Table25[[#This Row],[Total number bought]],"")</f>
        <v>8.5958333333333332</v>
      </c>
      <c r="P508" s="4">
        <f>IFERROR((Table25[[#This Row],[Average sell price]]-Table25[[#This Row],[Average buy price]])*Table25[[#This Row],[Total Sold number of stocks]],0)</f>
        <v>-327.09999999999997</v>
      </c>
      <c r="Q508" s="85">
        <f>SUMIF(Table25[[#All],[Assets]],Table25[[#This Row],[Assets]],Table25[[#All],[Number of stocks]])</f>
        <v>0</v>
      </c>
    </row>
    <row r="509" spans="1:17">
      <c r="A509" t="e" vm="316">
        <v>#VALUE!</v>
      </c>
      <c r="B509" s="2">
        <v>45583</v>
      </c>
      <c r="C509" t="str" cm="1">
        <f t="array" aca="1" ref="C509" ca="1">_FV(A509,"Ticker symbol",TRUE)</f>
        <v>IRTC</v>
      </c>
      <c r="D509" s="4">
        <v>62.24</v>
      </c>
      <c r="E509" s="50">
        <v>8</v>
      </c>
      <c r="F509" s="81">
        <f>IF(Table25[[#This Row],[Number of stocks]]&gt;0,Table25[[#This Row],[Number of stocks]],0)</f>
        <v>8</v>
      </c>
      <c r="G509" s="73">
        <f>Table25[[#This Row],[Bought]]*Table25[[#This Row],[Price]]</f>
        <v>497.92</v>
      </c>
      <c r="H509">
        <f>SUMIF(Table25[[#All],[Assets]],Table25[[#This Row],[Assets]],Table25[[#All],[Bought]])</f>
        <v>22</v>
      </c>
      <c r="I509">
        <f>SUMIF(Table25[[#All],[Assets]],Table25[[#This Row],[Assets]],Table25[[#All],[Bought Amount]])</f>
        <v>1721.73</v>
      </c>
      <c r="J509" s="88">
        <f>IF(Table25[[#This Row],[Number of stocks]]&lt;0,Table25[[#This Row],[Number of stocks]],0)</f>
        <v>0</v>
      </c>
      <c r="K509" s="5">
        <f>Table25[[#This Row],[Sold]]*Table25[[#This Row],[Price]]</f>
        <v>0</v>
      </c>
      <c r="L509" s="8">
        <f>ABS(SUMIF(Table25[[#All],[Assets]],Table25[[#This Row],[Assets]],Table25[[#All],[Sold]]))</f>
        <v>22</v>
      </c>
      <c r="M509" s="5">
        <f>ABS(SUMIF(Table25[[#All],[Assets]],Table25[[#This Row],[Assets]],Table25[[#All],[Sold Amount]]))</f>
        <v>1870.17</v>
      </c>
      <c r="N509" s="5">
        <f>IFERROR(Table25[[#This Row],[Total sold amount]]/Table25[[#This Row],[Total Sold number of stocks]],"")</f>
        <v>85.00772727272728</v>
      </c>
      <c r="O509" s="4">
        <f>IFERROR(Table25[[#This Row],[Total Amount bought]]/Table25[[#This Row],[Total number bought]],"")</f>
        <v>78.26045454545455</v>
      </c>
      <c r="P509" s="4">
        <f>IFERROR((Table25[[#This Row],[Average sell price]]-Table25[[#This Row],[Average buy price]])*Table25[[#This Row],[Total Sold number of stocks]],0)</f>
        <v>148.44000000000005</v>
      </c>
      <c r="Q509" s="85">
        <f>SUMIF(Table25[[#All],[Assets]],Table25[[#This Row],[Assets]],Table25[[#All],[Number of stocks]])</f>
        <v>0</v>
      </c>
    </row>
    <row r="510" spans="1:17">
      <c r="A510" t="e" vm="42">
        <v>#VALUE!</v>
      </c>
      <c r="B510" s="2">
        <v>45583</v>
      </c>
      <c r="C510" t="str" cm="1">
        <f t="array" aca="1" ref="C510" ca="1">_FV(A510,"Ticker symbol",TRUE)</f>
        <v>FLR</v>
      </c>
      <c r="D510" s="4">
        <v>55.05</v>
      </c>
      <c r="E510" s="50">
        <v>4</v>
      </c>
      <c r="F510" s="81">
        <f>IF(Table25[[#This Row],[Number of stocks]]&gt;0,Table25[[#This Row],[Number of stocks]],0)</f>
        <v>4</v>
      </c>
      <c r="G510" s="73">
        <f>Table25[[#This Row],[Bought]]*Table25[[#This Row],[Price]]</f>
        <v>220.2</v>
      </c>
      <c r="H510">
        <f>SUMIF(Table25[[#All],[Assets]],Table25[[#This Row],[Assets]],Table25[[#All],[Bought]])</f>
        <v>91</v>
      </c>
      <c r="I510">
        <f>SUMIF(Table25[[#All],[Assets]],Table25[[#This Row],[Assets]],Table25[[#All],[Bought Amount]])</f>
        <v>4262.41</v>
      </c>
      <c r="J510" s="88">
        <f>IF(Table25[[#This Row],[Number of stocks]]&lt;0,Table25[[#This Row],[Number of stocks]],0)</f>
        <v>0</v>
      </c>
      <c r="K510" s="5">
        <f>Table25[[#This Row],[Sold]]*Table25[[#This Row],[Price]]</f>
        <v>0</v>
      </c>
      <c r="L510" s="8">
        <f>ABS(SUMIF(Table25[[#All],[Assets]],Table25[[#This Row],[Assets]],Table25[[#All],[Sold]]))</f>
        <v>91</v>
      </c>
      <c r="M510" s="5">
        <f>ABS(SUMIF(Table25[[#All],[Assets]],Table25[[#This Row],[Assets]],Table25[[#All],[Sold Amount]]))</f>
        <v>4467.7199999999993</v>
      </c>
      <c r="N510" s="5">
        <f>IFERROR(Table25[[#This Row],[Total sold amount]]/Table25[[#This Row],[Total Sold number of stocks]],"")</f>
        <v>49.09582417582417</v>
      </c>
      <c r="O510" s="4">
        <f>IFERROR(Table25[[#This Row],[Total Amount bought]]/Table25[[#This Row],[Total number bought]],"")</f>
        <v>46.839670329670327</v>
      </c>
      <c r="P510" s="4">
        <f>IFERROR((Table25[[#This Row],[Average sell price]]-Table25[[#This Row],[Average buy price]])*Table25[[#This Row],[Total Sold number of stocks]],0)</f>
        <v>205.30999999999975</v>
      </c>
      <c r="Q510" s="85">
        <f>SUMIF(Table25[[#All],[Assets]],Table25[[#This Row],[Assets]],Table25[[#All],[Number of stocks]])</f>
        <v>0</v>
      </c>
    </row>
    <row r="511" spans="1:17">
      <c r="A511" t="e" vm="159">
        <v>#VALUE!</v>
      </c>
      <c r="B511" s="2">
        <v>45583</v>
      </c>
      <c r="C511" t="str" cm="1">
        <f t="array" aca="1" ref="C511" ca="1">_FV(A511,"Ticker symbol",TRUE)</f>
        <v>BABA</v>
      </c>
      <c r="D511" s="4">
        <v>102.32</v>
      </c>
      <c r="E511" s="50">
        <v>-4</v>
      </c>
      <c r="F511" s="81">
        <f>IF(Table25[[#This Row],[Number of stocks]]&gt;0,Table25[[#This Row],[Number of stocks]],0)</f>
        <v>0</v>
      </c>
      <c r="G511" s="73">
        <f>Table25[[#This Row],[Bought]]*Table25[[#This Row],[Price]]</f>
        <v>0</v>
      </c>
      <c r="H511">
        <f>SUMIF(Table25[[#All],[Assets]],Table25[[#This Row],[Assets]],Table25[[#All],[Bought]])</f>
        <v>128</v>
      </c>
      <c r="I511">
        <f>SUMIF(Table25[[#All],[Assets]],Table25[[#This Row],[Assets]],Table25[[#All],[Bought Amount]])</f>
        <v>12533.52</v>
      </c>
      <c r="J511" s="88">
        <f>IF(Table25[[#This Row],[Number of stocks]]&lt;0,Table25[[#This Row],[Number of stocks]],0)</f>
        <v>-4</v>
      </c>
      <c r="K511" s="5">
        <f>Table25[[#This Row],[Sold]]*Table25[[#This Row],[Price]]</f>
        <v>-409.28</v>
      </c>
      <c r="L511" s="8">
        <f>ABS(SUMIF(Table25[[#All],[Assets]],Table25[[#This Row],[Assets]],Table25[[#All],[Sold]]))</f>
        <v>128</v>
      </c>
      <c r="M511" s="5">
        <f>ABS(SUMIF(Table25[[#All],[Assets]],Table25[[#This Row],[Assets]],Table25[[#All],[Sold Amount]]))</f>
        <v>17148.419999999998</v>
      </c>
      <c r="N511" s="5">
        <f>IFERROR(Table25[[#This Row],[Total sold amount]]/Table25[[#This Row],[Total Sold number of stocks]],"")</f>
        <v>133.97203124999999</v>
      </c>
      <c r="O511" s="4">
        <f>IFERROR(Table25[[#This Row],[Total Amount bought]]/Table25[[#This Row],[Total number bought]],"")</f>
        <v>97.918125000000003</v>
      </c>
      <c r="P511" s="4">
        <f>IFERROR((Table25[[#This Row],[Average sell price]]-Table25[[#This Row],[Average buy price]])*Table25[[#This Row],[Total Sold number of stocks]],0)</f>
        <v>4614.8999999999978</v>
      </c>
      <c r="Q511" s="85">
        <f>SUMIF(Table25[[#All],[Assets]],Table25[[#This Row],[Assets]],Table25[[#All],[Number of stocks]])</f>
        <v>0</v>
      </c>
    </row>
    <row r="512" spans="1:17">
      <c r="A512" t="e" vm="478">
        <v>#VALUE!</v>
      </c>
      <c r="B512" s="2">
        <v>45583</v>
      </c>
      <c r="C512" t="str" cm="1">
        <f t="array" aca="1" ref="C512" ca="1">_FV(A512,"Ticker symbol",TRUE)</f>
        <v>TM</v>
      </c>
      <c r="D512" s="4">
        <v>171.59</v>
      </c>
      <c r="E512" s="50">
        <v>-4</v>
      </c>
      <c r="F512" s="81">
        <f>IF(Table25[[#This Row],[Number of stocks]]&gt;0,Table25[[#This Row],[Number of stocks]],0)</f>
        <v>0</v>
      </c>
      <c r="G512" s="73">
        <f>Table25[[#This Row],[Bought]]*Table25[[#This Row],[Price]]</f>
        <v>0</v>
      </c>
      <c r="H512">
        <f>SUMIF(Table25[[#All],[Assets]],Table25[[#This Row],[Assets]],Table25[[#All],[Bought]])</f>
        <v>7</v>
      </c>
      <c r="I512">
        <f>SUMIF(Table25[[#All],[Assets]],Table25[[#This Row],[Assets]],Table25[[#All],[Bought Amount]])</f>
        <v>1530.22</v>
      </c>
      <c r="J512" s="88">
        <f>IF(Table25[[#This Row],[Number of stocks]]&lt;0,Table25[[#This Row],[Number of stocks]],0)</f>
        <v>-4</v>
      </c>
      <c r="K512" s="5">
        <f>Table25[[#This Row],[Sold]]*Table25[[#This Row],[Price]]</f>
        <v>-686.36</v>
      </c>
      <c r="L512" s="8">
        <f>ABS(SUMIF(Table25[[#All],[Assets]],Table25[[#This Row],[Assets]],Table25[[#All],[Sold]]))</f>
        <v>7</v>
      </c>
      <c r="M512" s="5">
        <f>ABS(SUMIF(Table25[[#All],[Assets]],Table25[[#This Row],[Assets]],Table25[[#All],[Sold Amount]]))</f>
        <v>1262.1199999999999</v>
      </c>
      <c r="N512" s="5">
        <f>IFERROR(Table25[[#This Row],[Total sold amount]]/Table25[[#This Row],[Total Sold number of stocks]],"")</f>
        <v>180.30285714285714</v>
      </c>
      <c r="O512" s="4">
        <f>IFERROR(Table25[[#This Row],[Total Amount bought]]/Table25[[#This Row],[Total number bought]],"")</f>
        <v>218.60285714285715</v>
      </c>
      <c r="P512" s="4">
        <f>IFERROR((Table25[[#This Row],[Average sell price]]-Table25[[#This Row],[Average buy price]])*Table25[[#This Row],[Total Sold number of stocks]],0)</f>
        <v>-268.10000000000008</v>
      </c>
      <c r="Q512" s="85">
        <f>SUMIF(Table25[[#All],[Assets]],Table25[[#This Row],[Assets]],Table25[[#All],[Number of stocks]])</f>
        <v>0</v>
      </c>
    </row>
    <row r="513" spans="1:17">
      <c r="A513" t="e" vm="80">
        <v>#VALUE!</v>
      </c>
      <c r="B513" s="2">
        <v>45583</v>
      </c>
      <c r="C513" t="str" cm="1">
        <f t="array" aca="1" ref="C513" ca="1">_FV(A513,"Ticker symbol",TRUE)</f>
        <v>PYPL</v>
      </c>
      <c r="D513" s="4">
        <v>80.86</v>
      </c>
      <c r="E513" s="50">
        <v>-5</v>
      </c>
      <c r="F513" s="81">
        <f>IF(Table25[[#This Row],[Number of stocks]]&gt;0,Table25[[#This Row],[Number of stocks]],0)</f>
        <v>0</v>
      </c>
      <c r="G513" s="73">
        <f>Table25[[#This Row],[Bought]]*Table25[[#This Row],[Price]]</f>
        <v>0</v>
      </c>
      <c r="H513">
        <f>SUMIF(Table25[[#All],[Assets]],Table25[[#This Row],[Assets]],Table25[[#All],[Bought]])</f>
        <v>223</v>
      </c>
      <c r="I513">
        <f>SUMIF(Table25[[#All],[Assets]],Table25[[#This Row],[Assets]],Table25[[#All],[Bought Amount]])</f>
        <v>14862.050000000003</v>
      </c>
      <c r="J513" s="88">
        <f>IF(Table25[[#This Row],[Number of stocks]]&lt;0,Table25[[#This Row],[Number of stocks]],0)</f>
        <v>-5</v>
      </c>
      <c r="K513" s="5">
        <f>Table25[[#This Row],[Sold]]*Table25[[#This Row],[Price]]</f>
        <v>-404.3</v>
      </c>
      <c r="L513" s="8">
        <f>ABS(SUMIF(Table25[[#All],[Assets]],Table25[[#This Row],[Assets]],Table25[[#All],[Sold]]))</f>
        <v>222</v>
      </c>
      <c r="M513" s="5">
        <f>ABS(SUMIF(Table25[[#All],[Assets]],Table25[[#This Row],[Assets]],Table25[[#All],[Sold Amount]]))</f>
        <v>15255.44</v>
      </c>
      <c r="N513" s="5">
        <f>IFERROR(Table25[[#This Row],[Total sold amount]]/Table25[[#This Row],[Total Sold number of stocks]],"")</f>
        <v>68.718198198198195</v>
      </c>
      <c r="O513" s="4">
        <f>IFERROR(Table25[[#This Row],[Total Amount bought]]/Table25[[#This Row],[Total number bought]],"")</f>
        <v>66.645964125560553</v>
      </c>
      <c r="P513" s="4">
        <f>IFERROR((Table25[[#This Row],[Average sell price]]-Table25[[#This Row],[Average buy price]])*Table25[[#This Row],[Total Sold number of stocks]],0)</f>
        <v>460.03596412555646</v>
      </c>
      <c r="Q513" s="85">
        <f>SUMIF(Table25[[#All],[Assets]],Table25[[#This Row],[Assets]],Table25[[#All],[Number of stocks]])</f>
        <v>1</v>
      </c>
    </row>
    <row r="514" spans="1:17">
      <c r="A514" t="e" vm="254">
        <v>#VALUE!</v>
      </c>
      <c r="B514" s="2">
        <v>45583</v>
      </c>
      <c r="C514" t="str" cm="1">
        <f t="array" aca="1" ref="C514" ca="1">_FV(A514,"Ticker symbol",TRUE)</f>
        <v>TALK</v>
      </c>
      <c r="D514" s="4">
        <v>2.78</v>
      </c>
      <c r="E514" s="50">
        <v>150</v>
      </c>
      <c r="F514" s="81">
        <f>IF(Table25[[#This Row],[Number of stocks]]&gt;0,Table25[[#This Row],[Number of stocks]],0)</f>
        <v>150</v>
      </c>
      <c r="G514" s="73">
        <f>Table25[[#This Row],[Bought]]*Table25[[#This Row],[Price]]</f>
        <v>416.99999999999994</v>
      </c>
      <c r="H514">
        <f>SUMIF(Table25[[#All],[Assets]],Table25[[#This Row],[Assets]],Table25[[#All],[Bought]])</f>
        <v>885</v>
      </c>
      <c r="I514">
        <f>SUMIF(Table25[[#All],[Assets]],Table25[[#This Row],[Assets]],Table25[[#All],[Bought Amount]])</f>
        <v>2664.7</v>
      </c>
      <c r="J514" s="88">
        <f>IF(Table25[[#This Row],[Number of stocks]]&lt;0,Table25[[#This Row],[Number of stocks]],0)</f>
        <v>0</v>
      </c>
      <c r="K514" s="5">
        <f>Table25[[#This Row],[Sold]]*Table25[[#This Row],[Price]]</f>
        <v>0</v>
      </c>
      <c r="L514" s="8">
        <f>ABS(SUMIF(Table25[[#All],[Assets]],Table25[[#This Row],[Assets]],Table25[[#All],[Sold]]))</f>
        <v>885</v>
      </c>
      <c r="M514" s="5">
        <f>ABS(SUMIF(Table25[[#All],[Assets]],Table25[[#This Row],[Assets]],Table25[[#All],[Sold Amount]]))</f>
        <v>2591</v>
      </c>
      <c r="N514" s="5">
        <f>IFERROR(Table25[[#This Row],[Total sold amount]]/Table25[[#This Row],[Total Sold number of stocks]],"")</f>
        <v>2.927683615819209</v>
      </c>
      <c r="O514" s="4">
        <f>IFERROR(Table25[[#This Row],[Total Amount bought]]/Table25[[#This Row],[Total number bought]],"")</f>
        <v>3.0109604519774011</v>
      </c>
      <c r="P514" s="4">
        <f>IFERROR((Table25[[#This Row],[Average sell price]]-Table25[[#This Row],[Average buy price]])*Table25[[#This Row],[Total Sold number of stocks]],0)</f>
        <v>-73.700000000000045</v>
      </c>
      <c r="Q514" s="85">
        <f>SUMIF(Table25[[#All],[Assets]],Table25[[#This Row],[Assets]],Table25[[#All],[Number of stocks]])</f>
        <v>0</v>
      </c>
    </row>
    <row r="515" spans="1:17">
      <c r="A515" t="e" vm="504">
        <v>#VALUE!</v>
      </c>
      <c r="B515" s="2">
        <v>45583</v>
      </c>
      <c r="C515" t="str" cm="1">
        <f t="array" aca="1" ref="C515" ca="1">_FV(A515,"Ticker symbol",TRUE)</f>
        <v>NXT</v>
      </c>
      <c r="D515" s="4">
        <v>31.7</v>
      </c>
      <c r="E515" s="50">
        <v>-15</v>
      </c>
      <c r="F515" s="81">
        <f>IF(Table25[[#This Row],[Number of stocks]]&gt;0,Table25[[#This Row],[Number of stocks]],0)</f>
        <v>0</v>
      </c>
      <c r="G515" s="73">
        <f>Table25[[#This Row],[Bought]]*Table25[[#This Row],[Price]]</f>
        <v>0</v>
      </c>
      <c r="H515">
        <f>SUMIF(Table25[[#All],[Assets]],Table25[[#This Row],[Assets]],Table25[[#All],[Bought]])</f>
        <v>27</v>
      </c>
      <c r="I515">
        <f>SUMIF(Table25[[#All],[Assets]],Table25[[#This Row],[Assets]],Table25[[#All],[Bought Amount]])</f>
        <v>1372.77</v>
      </c>
      <c r="J515" s="88">
        <f>IF(Table25[[#This Row],[Number of stocks]]&lt;0,Table25[[#This Row],[Number of stocks]],0)</f>
        <v>-15</v>
      </c>
      <c r="K515" s="5">
        <f>Table25[[#This Row],[Sold]]*Table25[[#This Row],[Price]]</f>
        <v>-475.5</v>
      </c>
      <c r="L515" s="8">
        <f>ABS(SUMIF(Table25[[#All],[Assets]],Table25[[#This Row],[Assets]],Table25[[#All],[Sold]]))</f>
        <v>27</v>
      </c>
      <c r="M515" s="5">
        <f>ABS(SUMIF(Table25[[#All],[Assets]],Table25[[#This Row],[Assets]],Table25[[#All],[Sold Amount]]))</f>
        <v>965.46</v>
      </c>
      <c r="N515" s="5">
        <f>IFERROR(Table25[[#This Row],[Total sold amount]]/Table25[[#This Row],[Total Sold number of stocks]],"")</f>
        <v>35.757777777777783</v>
      </c>
      <c r="O515" s="4">
        <f>IFERROR(Table25[[#This Row],[Total Amount bought]]/Table25[[#This Row],[Total number bought]],"")</f>
        <v>50.843333333333334</v>
      </c>
      <c r="P515" s="4">
        <f>IFERROR((Table25[[#This Row],[Average sell price]]-Table25[[#This Row],[Average buy price]])*Table25[[#This Row],[Total Sold number of stocks]],0)</f>
        <v>-407.30999999999989</v>
      </c>
      <c r="Q515" s="85">
        <f>SUMIF(Table25[[#All],[Assets]],Table25[[#This Row],[Assets]],Table25[[#All],[Number of stocks]])</f>
        <v>0</v>
      </c>
    </row>
    <row r="516" spans="1:17">
      <c r="A516" t="e" vm="358">
        <v>#VALUE!</v>
      </c>
      <c r="B516" s="2">
        <v>45583</v>
      </c>
      <c r="C516" t="str" cm="1">
        <f t="array" aca="1" ref="C516" ca="1">_FV(A516,"Ticker symbol",TRUE)</f>
        <v>GEV</v>
      </c>
      <c r="D516" s="4">
        <v>272.07</v>
      </c>
      <c r="E516" s="50">
        <v>-1</v>
      </c>
      <c r="F516" s="81">
        <f>IF(Table25[[#This Row],[Number of stocks]]&gt;0,Table25[[#This Row],[Number of stocks]],0)</f>
        <v>0</v>
      </c>
      <c r="G516" s="73">
        <f>Table25[[#This Row],[Bought]]*Table25[[#This Row],[Price]]</f>
        <v>0</v>
      </c>
      <c r="H516">
        <f>SUMIF(Table25[[#All],[Assets]],Table25[[#This Row],[Assets]],Table25[[#All],[Bought]])</f>
        <v>1</v>
      </c>
      <c r="I516">
        <f>SUMIF(Table25[[#All],[Assets]],Table25[[#This Row],[Assets]],Table25[[#All],[Bought Amount]])</f>
        <v>166.9</v>
      </c>
      <c r="J516" s="88">
        <f>IF(Table25[[#This Row],[Number of stocks]]&lt;0,Table25[[#This Row],[Number of stocks]],0)</f>
        <v>-1</v>
      </c>
      <c r="K516" s="5">
        <f>Table25[[#This Row],[Sold]]*Table25[[#This Row],[Price]]</f>
        <v>-272.07</v>
      </c>
      <c r="L516" s="8">
        <f>ABS(SUMIF(Table25[[#All],[Assets]],Table25[[#This Row],[Assets]],Table25[[#All],[Sold]]))</f>
        <v>1</v>
      </c>
      <c r="M516" s="5">
        <f>ABS(SUMIF(Table25[[#All],[Assets]],Table25[[#This Row],[Assets]],Table25[[#All],[Sold Amount]]))</f>
        <v>272.07</v>
      </c>
      <c r="N516" s="5">
        <f>IFERROR(Table25[[#This Row],[Total sold amount]]/Table25[[#This Row],[Total Sold number of stocks]],"")</f>
        <v>272.07</v>
      </c>
      <c r="O516" s="4">
        <f>IFERROR(Table25[[#This Row],[Total Amount bought]]/Table25[[#This Row],[Total number bought]],"")</f>
        <v>166.9</v>
      </c>
      <c r="P516" s="4">
        <f>IFERROR((Table25[[#This Row],[Average sell price]]-Table25[[#This Row],[Average buy price]])*Table25[[#This Row],[Total Sold number of stocks]],0)</f>
        <v>105.16999999999999</v>
      </c>
      <c r="Q516" s="85">
        <f>SUMIF(Table25[[#All],[Assets]],Table25[[#This Row],[Assets]],Table25[[#All],[Number of stocks]])</f>
        <v>0</v>
      </c>
    </row>
    <row r="517" spans="1:17">
      <c r="A517" t="e" vm="273">
        <v>#VALUE!</v>
      </c>
      <c r="B517" s="2">
        <v>45583</v>
      </c>
      <c r="C517" t="str" cm="1">
        <f t="array" aca="1" ref="C517" ca="1">_FV(A517,"Ticker symbol",TRUE)</f>
        <v>CVRX</v>
      </c>
      <c r="D517" s="4">
        <v>9.9600000000000009</v>
      </c>
      <c r="E517" s="50">
        <v>80</v>
      </c>
      <c r="F517" s="81">
        <f>IF(Table25[[#This Row],[Number of stocks]]&gt;0,Table25[[#This Row],[Number of stocks]],0)</f>
        <v>80</v>
      </c>
      <c r="G517" s="73">
        <f>Table25[[#This Row],[Bought]]*Table25[[#This Row],[Price]]</f>
        <v>796.80000000000007</v>
      </c>
      <c r="H517">
        <f>SUMIF(Table25[[#All],[Assets]],Table25[[#This Row],[Assets]],Table25[[#All],[Bought]])</f>
        <v>560</v>
      </c>
      <c r="I517">
        <f>SUMIF(Table25[[#All],[Assets]],Table25[[#This Row],[Assets]],Table25[[#All],[Bought Amount]])</f>
        <v>5451</v>
      </c>
      <c r="J517" s="88">
        <f>IF(Table25[[#This Row],[Number of stocks]]&lt;0,Table25[[#This Row],[Number of stocks]],0)</f>
        <v>0</v>
      </c>
      <c r="K517" s="5">
        <f>Table25[[#This Row],[Sold]]*Table25[[#This Row],[Price]]</f>
        <v>0</v>
      </c>
      <c r="L517" s="8">
        <f>ABS(SUMIF(Table25[[#All],[Assets]],Table25[[#This Row],[Assets]],Table25[[#All],[Sold]]))</f>
        <v>560</v>
      </c>
      <c r="M517" s="5">
        <f>ABS(SUMIF(Table25[[#All],[Assets]],Table25[[#This Row],[Assets]],Table25[[#All],[Sold Amount]]))</f>
        <v>4910.5499999999993</v>
      </c>
      <c r="N517" s="5">
        <f>IFERROR(Table25[[#This Row],[Total sold amount]]/Table25[[#This Row],[Total Sold number of stocks]],"")</f>
        <v>8.7688392857142841</v>
      </c>
      <c r="O517" s="4">
        <f>IFERROR(Table25[[#This Row],[Total Amount bought]]/Table25[[#This Row],[Total number bought]],"")</f>
        <v>9.7339285714285708</v>
      </c>
      <c r="P517" s="4">
        <f>IFERROR((Table25[[#This Row],[Average sell price]]-Table25[[#This Row],[Average buy price]])*Table25[[#This Row],[Total Sold number of stocks]],0)</f>
        <v>-540.45000000000061</v>
      </c>
      <c r="Q517" s="85">
        <f>SUMIF(Table25[[#All],[Assets]],Table25[[#This Row],[Assets]],Table25[[#All],[Number of stocks]])</f>
        <v>0</v>
      </c>
    </row>
    <row r="518" spans="1:17">
      <c r="A518" t="e" vm="273">
        <v>#VALUE!</v>
      </c>
      <c r="B518" s="2">
        <v>45583</v>
      </c>
      <c r="C518" t="str" cm="1">
        <f t="array" aca="1" ref="C518" ca="1">_FV(A518,"Ticker symbol",TRUE)</f>
        <v>CVRX</v>
      </c>
      <c r="D518" s="4">
        <v>9.9700000000000006</v>
      </c>
      <c r="E518" s="50">
        <v>20</v>
      </c>
      <c r="F518" s="81">
        <f>IF(Table25[[#This Row],[Number of stocks]]&gt;0,Table25[[#This Row],[Number of stocks]],0)</f>
        <v>20</v>
      </c>
      <c r="G518" s="73">
        <f>Table25[[#This Row],[Bought]]*Table25[[#This Row],[Price]]</f>
        <v>199.4</v>
      </c>
      <c r="H518">
        <f>SUMIF(Table25[[#All],[Assets]],Table25[[#This Row],[Assets]],Table25[[#All],[Bought]])</f>
        <v>560</v>
      </c>
      <c r="I518">
        <f>SUMIF(Table25[[#All],[Assets]],Table25[[#This Row],[Assets]],Table25[[#All],[Bought Amount]])</f>
        <v>5451</v>
      </c>
      <c r="J518" s="88">
        <f>IF(Table25[[#This Row],[Number of stocks]]&lt;0,Table25[[#This Row],[Number of stocks]],0)</f>
        <v>0</v>
      </c>
      <c r="K518" s="5">
        <f>Table25[[#This Row],[Sold]]*Table25[[#This Row],[Price]]</f>
        <v>0</v>
      </c>
      <c r="L518" s="8">
        <f>ABS(SUMIF(Table25[[#All],[Assets]],Table25[[#This Row],[Assets]],Table25[[#All],[Sold]]))</f>
        <v>560</v>
      </c>
      <c r="M518" s="5">
        <f>ABS(SUMIF(Table25[[#All],[Assets]],Table25[[#This Row],[Assets]],Table25[[#All],[Sold Amount]]))</f>
        <v>4910.5499999999993</v>
      </c>
      <c r="N518" s="5">
        <f>IFERROR(Table25[[#This Row],[Total sold amount]]/Table25[[#This Row],[Total Sold number of stocks]],"")</f>
        <v>8.7688392857142841</v>
      </c>
      <c r="O518" s="4">
        <f>IFERROR(Table25[[#This Row],[Total Amount bought]]/Table25[[#This Row],[Total number bought]],"")</f>
        <v>9.7339285714285708</v>
      </c>
      <c r="P518" s="4">
        <f>IFERROR((Table25[[#This Row],[Average sell price]]-Table25[[#This Row],[Average buy price]])*Table25[[#This Row],[Total Sold number of stocks]],0)</f>
        <v>-540.45000000000061</v>
      </c>
      <c r="Q518" s="85">
        <f>SUMIF(Table25[[#All],[Assets]],Table25[[#This Row],[Assets]],Table25[[#All],[Number of stocks]])</f>
        <v>0</v>
      </c>
    </row>
    <row r="519" spans="1:17">
      <c r="A519" t="e" vm="273">
        <v>#VALUE!</v>
      </c>
      <c r="B519" s="2">
        <v>45583</v>
      </c>
      <c r="C519" t="str" cm="1">
        <f t="array" aca="1" ref="C519" ca="1">_FV(A519,"Ticker symbol",TRUE)</f>
        <v>CVRX</v>
      </c>
      <c r="D519" s="4">
        <v>9.8000000000000007</v>
      </c>
      <c r="E519" s="50">
        <v>45</v>
      </c>
      <c r="F519" s="81">
        <f>IF(Table25[[#This Row],[Number of stocks]]&gt;0,Table25[[#This Row],[Number of stocks]],0)</f>
        <v>45</v>
      </c>
      <c r="G519" s="73">
        <f>Table25[[#This Row],[Bought]]*Table25[[#This Row],[Price]]</f>
        <v>441.00000000000006</v>
      </c>
      <c r="H519">
        <f>SUMIF(Table25[[#All],[Assets]],Table25[[#This Row],[Assets]],Table25[[#All],[Bought]])</f>
        <v>560</v>
      </c>
      <c r="I519">
        <f>SUMIF(Table25[[#All],[Assets]],Table25[[#This Row],[Assets]],Table25[[#All],[Bought Amount]])</f>
        <v>5451</v>
      </c>
      <c r="J519" s="88">
        <f>IF(Table25[[#This Row],[Number of stocks]]&lt;0,Table25[[#This Row],[Number of stocks]],0)</f>
        <v>0</v>
      </c>
      <c r="K519" s="5">
        <f>Table25[[#This Row],[Sold]]*Table25[[#This Row],[Price]]</f>
        <v>0</v>
      </c>
      <c r="L519" s="8">
        <f>ABS(SUMIF(Table25[[#All],[Assets]],Table25[[#This Row],[Assets]],Table25[[#All],[Sold]]))</f>
        <v>560</v>
      </c>
      <c r="M519" s="5">
        <f>ABS(SUMIF(Table25[[#All],[Assets]],Table25[[#This Row],[Assets]],Table25[[#All],[Sold Amount]]))</f>
        <v>4910.5499999999993</v>
      </c>
      <c r="N519" s="5">
        <f>IFERROR(Table25[[#This Row],[Total sold amount]]/Table25[[#This Row],[Total Sold number of stocks]],"")</f>
        <v>8.7688392857142841</v>
      </c>
      <c r="O519" s="4">
        <f>IFERROR(Table25[[#This Row],[Total Amount bought]]/Table25[[#This Row],[Total number bought]],"")</f>
        <v>9.7339285714285708</v>
      </c>
      <c r="P519" s="4">
        <f>IFERROR((Table25[[#This Row],[Average sell price]]-Table25[[#This Row],[Average buy price]])*Table25[[#This Row],[Total Sold number of stocks]],0)</f>
        <v>-540.45000000000061</v>
      </c>
      <c r="Q519" s="85">
        <f>SUMIF(Table25[[#All],[Assets]],Table25[[#This Row],[Assets]],Table25[[#All],[Number of stocks]])</f>
        <v>0</v>
      </c>
    </row>
    <row r="520" spans="1:17">
      <c r="A520" t="e" vm="298">
        <v>#VALUE!</v>
      </c>
      <c r="B520" s="2">
        <v>45583</v>
      </c>
      <c r="C520" t="str" cm="1">
        <f t="array" aca="1" ref="C520" ca="1">_FV(A520,"Ticker symbol",TRUE)</f>
        <v>BLBD</v>
      </c>
      <c r="D520" s="4">
        <v>45.42</v>
      </c>
      <c r="E520" s="50">
        <v>-5</v>
      </c>
      <c r="F520" s="81">
        <f>IF(Table25[[#This Row],[Number of stocks]]&gt;0,Table25[[#This Row],[Number of stocks]],0)</f>
        <v>0</v>
      </c>
      <c r="G520" s="73">
        <f>Table25[[#This Row],[Bought]]*Table25[[#This Row],[Price]]</f>
        <v>0</v>
      </c>
      <c r="H520">
        <f>SUMIF(Table25[[#All],[Assets]],Table25[[#This Row],[Assets]],Table25[[#All],[Bought]])</f>
        <v>5</v>
      </c>
      <c r="I520">
        <f>SUMIF(Table25[[#All],[Assets]],Table25[[#This Row],[Assets]],Table25[[#All],[Bought Amount]])</f>
        <v>249.35</v>
      </c>
      <c r="J520" s="88">
        <f>IF(Table25[[#This Row],[Number of stocks]]&lt;0,Table25[[#This Row],[Number of stocks]],0)</f>
        <v>-5</v>
      </c>
      <c r="K520" s="5">
        <f>Table25[[#This Row],[Sold]]*Table25[[#This Row],[Price]]</f>
        <v>-227.10000000000002</v>
      </c>
      <c r="L520" s="8">
        <f>ABS(SUMIF(Table25[[#All],[Assets]],Table25[[#This Row],[Assets]],Table25[[#All],[Sold]]))</f>
        <v>5</v>
      </c>
      <c r="M520" s="5">
        <f>ABS(SUMIF(Table25[[#All],[Assets]],Table25[[#This Row],[Assets]],Table25[[#All],[Sold Amount]]))</f>
        <v>227.10000000000002</v>
      </c>
      <c r="N520" s="5">
        <f>IFERROR(Table25[[#This Row],[Total sold amount]]/Table25[[#This Row],[Total Sold number of stocks]],"")</f>
        <v>45.42</v>
      </c>
      <c r="O520" s="4">
        <f>IFERROR(Table25[[#This Row],[Total Amount bought]]/Table25[[#This Row],[Total number bought]],"")</f>
        <v>49.87</v>
      </c>
      <c r="P520" s="4">
        <f>IFERROR((Table25[[#This Row],[Average sell price]]-Table25[[#This Row],[Average buy price]])*Table25[[#This Row],[Total Sold number of stocks]],0)</f>
        <v>-22.249999999999979</v>
      </c>
      <c r="Q520" s="85">
        <f>SUMIF(Table25[[#All],[Assets]],Table25[[#This Row],[Assets]],Table25[[#All],[Number of stocks]])</f>
        <v>0</v>
      </c>
    </row>
    <row r="521" spans="1:17">
      <c r="A521" t="e" vm="519">
        <v>#VALUE!</v>
      </c>
      <c r="B521" s="2">
        <v>45586</v>
      </c>
      <c r="C521" t="str" cm="1">
        <f t="array" aca="1" ref="C521" ca="1">_FV(A521,"Ticker symbol",TRUE)</f>
        <v>LWLG</v>
      </c>
      <c r="D521" s="4">
        <v>4.17</v>
      </c>
      <c r="E521" s="50">
        <v>120</v>
      </c>
      <c r="F521" s="81">
        <f>IF(Table25[[#This Row],[Number of stocks]]&gt;0,Table25[[#This Row],[Number of stocks]],0)</f>
        <v>120</v>
      </c>
      <c r="G521" s="73">
        <f>Table25[[#This Row],[Bought]]*Table25[[#This Row],[Price]]</f>
        <v>500.4</v>
      </c>
      <c r="H521">
        <f>SUMIF(Table25[[#All],[Assets]],Table25[[#This Row],[Assets]],Table25[[#All],[Bought]])</f>
        <v>120</v>
      </c>
      <c r="I521">
        <f>SUMIF(Table25[[#All],[Assets]],Table25[[#This Row],[Assets]],Table25[[#All],[Bought Amount]])</f>
        <v>500.4</v>
      </c>
      <c r="J521" s="88">
        <f>IF(Table25[[#This Row],[Number of stocks]]&lt;0,Table25[[#This Row],[Number of stocks]],0)</f>
        <v>0</v>
      </c>
      <c r="K521" s="5">
        <f>Table25[[#This Row],[Sold]]*Table25[[#This Row],[Price]]</f>
        <v>0</v>
      </c>
      <c r="L521" s="8">
        <f>ABS(SUMIF(Table25[[#All],[Assets]],Table25[[#This Row],[Assets]],Table25[[#All],[Sold]]))</f>
        <v>120</v>
      </c>
      <c r="M521" s="5">
        <f>ABS(SUMIF(Table25[[#All],[Assets]],Table25[[#This Row],[Assets]],Table25[[#All],[Sold Amount]]))</f>
        <v>181.2</v>
      </c>
      <c r="N521" s="5">
        <f>IFERROR(Table25[[#This Row],[Total sold amount]]/Table25[[#This Row],[Total Sold number of stocks]],"")</f>
        <v>1.51</v>
      </c>
      <c r="O521" s="4">
        <f>IFERROR(Table25[[#This Row],[Total Amount bought]]/Table25[[#This Row],[Total number bought]],"")</f>
        <v>4.17</v>
      </c>
      <c r="P521" s="4">
        <f>IFERROR((Table25[[#This Row],[Average sell price]]-Table25[[#This Row],[Average buy price]])*Table25[[#This Row],[Total Sold number of stocks]],0)</f>
        <v>-319.20000000000005</v>
      </c>
      <c r="Q521" s="85">
        <f>SUMIF(Table25[[#All],[Assets]],Table25[[#This Row],[Assets]],Table25[[#All],[Number of stocks]])</f>
        <v>0</v>
      </c>
    </row>
    <row r="522" spans="1:17">
      <c r="A522" t="e" vm="116">
        <v>#VALUE!</v>
      </c>
      <c r="B522" s="2">
        <v>45587</v>
      </c>
      <c r="C522" t="str" cm="1">
        <f t="array" aca="1" ref="C522" ca="1">_FV(A522,"Ticker symbol",TRUE)</f>
        <v>MPC</v>
      </c>
      <c r="D522" s="4">
        <v>157.32</v>
      </c>
      <c r="E522" s="50">
        <v>6</v>
      </c>
      <c r="F522" s="81">
        <f>IF(Table25[[#This Row],[Number of stocks]]&gt;0,Table25[[#This Row],[Number of stocks]],0)</f>
        <v>6</v>
      </c>
      <c r="G522" s="73">
        <f>Table25[[#This Row],[Bought]]*Table25[[#This Row],[Price]]</f>
        <v>943.92</v>
      </c>
      <c r="H522">
        <f>SUMIF(Table25[[#All],[Assets]],Table25[[#This Row],[Assets]],Table25[[#All],[Bought]])</f>
        <v>23</v>
      </c>
      <c r="I522">
        <f>SUMIF(Table25[[#All],[Assets]],Table25[[#This Row],[Assets]],Table25[[#All],[Bought Amount]])</f>
        <v>3826.89</v>
      </c>
      <c r="J522" s="88">
        <f>IF(Table25[[#This Row],[Number of stocks]]&lt;0,Table25[[#This Row],[Number of stocks]],0)</f>
        <v>0</v>
      </c>
      <c r="K522" s="5">
        <f>Table25[[#This Row],[Sold]]*Table25[[#This Row],[Price]]</f>
        <v>0</v>
      </c>
      <c r="L522" s="8">
        <f>ABS(SUMIF(Table25[[#All],[Assets]],Table25[[#This Row],[Assets]],Table25[[#All],[Sold]]))</f>
        <v>23</v>
      </c>
      <c r="M522" s="5">
        <f>ABS(SUMIF(Table25[[#All],[Assets]],Table25[[#This Row],[Assets]],Table25[[#All],[Sold Amount]]))</f>
        <v>3605.23</v>
      </c>
      <c r="N522" s="5">
        <f>IFERROR(Table25[[#This Row],[Total sold amount]]/Table25[[#This Row],[Total Sold number of stocks]],"")</f>
        <v>156.74913043478261</v>
      </c>
      <c r="O522" s="4">
        <f>IFERROR(Table25[[#This Row],[Total Amount bought]]/Table25[[#This Row],[Total number bought]],"")</f>
        <v>166.38652173913042</v>
      </c>
      <c r="P522" s="4">
        <f>IFERROR((Table25[[#This Row],[Average sell price]]-Table25[[#This Row],[Average buy price]])*Table25[[#This Row],[Total Sold number of stocks]],0)</f>
        <v>-221.65999999999943</v>
      </c>
      <c r="Q522" s="85">
        <f>SUMIF(Table25[[#All],[Assets]],Table25[[#This Row],[Assets]],Table25[[#All],[Number of stocks]])</f>
        <v>0</v>
      </c>
    </row>
    <row r="523" spans="1:17">
      <c r="A523" t="e" vm="13">
        <v>#VALUE!</v>
      </c>
      <c r="B523" s="2">
        <v>45587</v>
      </c>
      <c r="C523" t="str" cm="1">
        <f t="array" aca="1" ref="C523" ca="1">_FV(A523,"Ticker symbol",TRUE)</f>
        <v>ON</v>
      </c>
      <c r="D523" s="4">
        <v>66.02</v>
      </c>
      <c r="E523" s="50">
        <v>-82</v>
      </c>
      <c r="F523" s="81">
        <f>IF(Table25[[#This Row],[Number of stocks]]&gt;0,Table25[[#This Row],[Number of stocks]],0)</f>
        <v>0</v>
      </c>
      <c r="G523" s="73">
        <f>Table25[[#This Row],[Bought]]*Table25[[#This Row],[Price]]</f>
        <v>0</v>
      </c>
      <c r="H523">
        <f>SUMIF(Table25[[#All],[Assets]],Table25[[#This Row],[Assets]],Table25[[#All],[Bought]])</f>
        <v>326</v>
      </c>
      <c r="I523">
        <f>SUMIF(Table25[[#All],[Assets]],Table25[[#This Row],[Assets]],Table25[[#All],[Bought Amount]])</f>
        <v>19172.809999999998</v>
      </c>
      <c r="J523" s="88">
        <f>IF(Table25[[#This Row],[Number of stocks]]&lt;0,Table25[[#This Row],[Number of stocks]],0)</f>
        <v>-82</v>
      </c>
      <c r="K523" s="5">
        <f>Table25[[#This Row],[Sold]]*Table25[[#This Row],[Price]]</f>
        <v>-5413.6399999999994</v>
      </c>
      <c r="L523" s="8">
        <f>ABS(SUMIF(Table25[[#All],[Assets]],Table25[[#This Row],[Assets]],Table25[[#All],[Sold]]))</f>
        <v>283</v>
      </c>
      <c r="M523" s="5">
        <f>ABS(SUMIF(Table25[[#All],[Assets]],Table25[[#This Row],[Assets]],Table25[[#All],[Sold Amount]]))</f>
        <v>15700.74</v>
      </c>
      <c r="N523" s="5">
        <f>IFERROR(Table25[[#This Row],[Total sold amount]]/Table25[[#This Row],[Total Sold number of stocks]],"")</f>
        <v>55.47964664310954</v>
      </c>
      <c r="O523" s="4">
        <f>IFERROR(Table25[[#This Row],[Total Amount bought]]/Table25[[#This Row],[Total number bought]],"")</f>
        <v>58.812300613496923</v>
      </c>
      <c r="P523" s="4">
        <f>IFERROR((Table25[[#This Row],[Average sell price]]-Table25[[#This Row],[Average buy price]])*Table25[[#This Row],[Total Sold number of stocks]],0)</f>
        <v>-943.14107361962954</v>
      </c>
      <c r="Q523" s="85">
        <f>SUMIF(Table25[[#All],[Assets]],Table25[[#This Row],[Assets]],Table25[[#All],[Number of stocks]])</f>
        <v>43</v>
      </c>
    </row>
    <row r="524" spans="1:17">
      <c r="A524" t="e" vm="102">
        <v>#VALUE!</v>
      </c>
      <c r="B524" s="2">
        <v>45588</v>
      </c>
      <c r="C524" t="str" cm="1">
        <f t="array" aca="1" ref="C524" ca="1">_FV(A524,"Ticker symbol",TRUE)</f>
        <v>GM</v>
      </c>
      <c r="D524" s="4">
        <v>53.34</v>
      </c>
      <c r="E524" s="50">
        <v>10</v>
      </c>
      <c r="F524" s="81">
        <f>IF(Table25[[#This Row],[Number of stocks]]&gt;0,Table25[[#This Row],[Number of stocks]],0)</f>
        <v>10</v>
      </c>
      <c r="G524" s="73">
        <f>Table25[[#This Row],[Bought]]*Table25[[#This Row],[Price]]</f>
        <v>533.40000000000009</v>
      </c>
      <c r="H524">
        <f>SUMIF(Table25[[#All],[Assets]],Table25[[#This Row],[Assets]],Table25[[#All],[Bought]])</f>
        <v>20</v>
      </c>
      <c r="I524">
        <f>SUMIF(Table25[[#All],[Assets]],Table25[[#This Row],[Assets]],Table25[[#All],[Bought Amount]])</f>
        <v>1050.3000000000002</v>
      </c>
      <c r="J524" s="88">
        <f>IF(Table25[[#This Row],[Number of stocks]]&lt;0,Table25[[#This Row],[Number of stocks]],0)</f>
        <v>0</v>
      </c>
      <c r="K524" s="5">
        <f>Table25[[#This Row],[Sold]]*Table25[[#This Row],[Price]]</f>
        <v>0</v>
      </c>
      <c r="L524" s="8">
        <f>ABS(SUMIF(Table25[[#All],[Assets]],Table25[[#This Row],[Assets]],Table25[[#All],[Sold]]))</f>
        <v>20</v>
      </c>
      <c r="M524" s="5">
        <f>ABS(SUMIF(Table25[[#All],[Assets]],Table25[[#This Row],[Assets]],Table25[[#All],[Sold Amount]]))</f>
        <v>963.4</v>
      </c>
      <c r="N524" s="5">
        <f>IFERROR(Table25[[#This Row],[Total sold amount]]/Table25[[#This Row],[Total Sold number of stocks]],"")</f>
        <v>48.17</v>
      </c>
      <c r="O524" s="4">
        <f>IFERROR(Table25[[#This Row],[Total Amount bought]]/Table25[[#This Row],[Total number bought]],"")</f>
        <v>52.515000000000008</v>
      </c>
      <c r="P524" s="4">
        <f>IFERROR((Table25[[#This Row],[Average sell price]]-Table25[[#This Row],[Average buy price]])*Table25[[#This Row],[Total Sold number of stocks]],0)</f>
        <v>-86.900000000000119</v>
      </c>
      <c r="Q524" s="85">
        <f>SUMIF(Table25[[#All],[Assets]],Table25[[#This Row],[Assets]],Table25[[#All],[Number of stocks]])</f>
        <v>0</v>
      </c>
    </row>
    <row r="525" spans="1:17">
      <c r="A525" t="e" vm="228">
        <v>#VALUE!</v>
      </c>
      <c r="B525" s="2">
        <v>45588</v>
      </c>
      <c r="C525" t="str" cm="1">
        <f t="array" aca="1" ref="C525" ca="1">_FV(A525,"Ticker symbol",TRUE)</f>
        <v>BILL</v>
      </c>
      <c r="D525" s="4">
        <v>55.49</v>
      </c>
      <c r="E525" s="50">
        <v>-30</v>
      </c>
      <c r="F525" s="81">
        <f>IF(Table25[[#This Row],[Number of stocks]]&gt;0,Table25[[#This Row],[Number of stocks]],0)</f>
        <v>0</v>
      </c>
      <c r="G525" s="73">
        <f>Table25[[#This Row],[Bought]]*Table25[[#This Row],[Price]]</f>
        <v>0</v>
      </c>
      <c r="H525">
        <f>SUMIF(Table25[[#All],[Assets]],Table25[[#This Row],[Assets]],Table25[[#All],[Bought]])</f>
        <v>101</v>
      </c>
      <c r="I525">
        <f>SUMIF(Table25[[#All],[Assets]],Table25[[#This Row],[Assets]],Table25[[#All],[Bought Amount]])</f>
        <v>5292.3600000000006</v>
      </c>
      <c r="J525" s="88">
        <f>IF(Table25[[#This Row],[Number of stocks]]&lt;0,Table25[[#This Row],[Number of stocks]],0)</f>
        <v>-30</v>
      </c>
      <c r="K525" s="5">
        <f>Table25[[#This Row],[Sold]]*Table25[[#This Row],[Price]]</f>
        <v>-1664.7</v>
      </c>
      <c r="L525" s="8">
        <f>ABS(SUMIF(Table25[[#All],[Assets]],Table25[[#This Row],[Assets]],Table25[[#All],[Sold]]))</f>
        <v>101</v>
      </c>
      <c r="M525" s="5">
        <f>ABS(SUMIF(Table25[[#All],[Assets]],Table25[[#This Row],[Assets]],Table25[[#All],[Sold Amount]]))</f>
        <v>5973.49</v>
      </c>
      <c r="N525" s="5">
        <f>IFERROR(Table25[[#This Row],[Total sold amount]]/Table25[[#This Row],[Total Sold number of stocks]],"")</f>
        <v>59.143465346534654</v>
      </c>
      <c r="O525" s="4">
        <f>IFERROR(Table25[[#This Row],[Total Amount bought]]/Table25[[#This Row],[Total number bought]],"")</f>
        <v>52.399603960396043</v>
      </c>
      <c r="P525" s="4">
        <f>IFERROR((Table25[[#This Row],[Average sell price]]-Table25[[#This Row],[Average buy price]])*Table25[[#This Row],[Total Sold number of stocks]],0)</f>
        <v>681.12999999999977</v>
      </c>
      <c r="Q525" s="85">
        <f>SUMIF(Table25[[#All],[Assets]],Table25[[#This Row],[Assets]],Table25[[#All],[Number of stocks]])</f>
        <v>0</v>
      </c>
    </row>
    <row r="526" spans="1:17">
      <c r="A526" t="e" vm="80">
        <v>#VALUE!</v>
      </c>
      <c r="B526" s="2">
        <v>45589</v>
      </c>
      <c r="C526" t="str" cm="1">
        <f t="array" aca="1" ref="C526" ca="1">_FV(A526,"Ticker symbol",TRUE)</f>
        <v>PYPL</v>
      </c>
      <c r="D526" s="4">
        <v>82.11</v>
      </c>
      <c r="E526" s="50">
        <v>-8</v>
      </c>
      <c r="F526" s="81">
        <f>IF(Table25[[#This Row],[Number of stocks]]&gt;0,Table25[[#This Row],[Number of stocks]],0)</f>
        <v>0</v>
      </c>
      <c r="G526" s="73">
        <f>Table25[[#This Row],[Bought]]*Table25[[#This Row],[Price]]</f>
        <v>0</v>
      </c>
      <c r="H526">
        <f>SUMIF(Table25[[#All],[Assets]],Table25[[#This Row],[Assets]],Table25[[#All],[Bought]])</f>
        <v>223</v>
      </c>
      <c r="I526">
        <f>SUMIF(Table25[[#All],[Assets]],Table25[[#This Row],[Assets]],Table25[[#All],[Bought Amount]])</f>
        <v>14862.050000000003</v>
      </c>
      <c r="J526" s="88">
        <f>IF(Table25[[#This Row],[Number of stocks]]&lt;0,Table25[[#This Row],[Number of stocks]],0)</f>
        <v>-8</v>
      </c>
      <c r="K526" s="5">
        <f>Table25[[#This Row],[Sold]]*Table25[[#This Row],[Price]]</f>
        <v>-656.88</v>
      </c>
      <c r="L526" s="8">
        <f>ABS(SUMIF(Table25[[#All],[Assets]],Table25[[#This Row],[Assets]],Table25[[#All],[Sold]]))</f>
        <v>222</v>
      </c>
      <c r="M526" s="5">
        <f>ABS(SUMIF(Table25[[#All],[Assets]],Table25[[#This Row],[Assets]],Table25[[#All],[Sold Amount]]))</f>
        <v>15255.44</v>
      </c>
      <c r="N526" s="5">
        <f>IFERROR(Table25[[#This Row],[Total sold amount]]/Table25[[#This Row],[Total Sold number of stocks]],"")</f>
        <v>68.718198198198195</v>
      </c>
      <c r="O526" s="4">
        <f>IFERROR(Table25[[#This Row],[Total Amount bought]]/Table25[[#This Row],[Total number bought]],"")</f>
        <v>66.645964125560553</v>
      </c>
      <c r="P526" s="4">
        <f>IFERROR((Table25[[#This Row],[Average sell price]]-Table25[[#This Row],[Average buy price]])*Table25[[#This Row],[Total Sold number of stocks]],0)</f>
        <v>460.03596412555646</v>
      </c>
      <c r="Q526" s="85">
        <f>SUMIF(Table25[[#All],[Assets]],Table25[[#This Row],[Assets]],Table25[[#All],[Number of stocks]])</f>
        <v>1</v>
      </c>
    </row>
    <row r="527" spans="1:17">
      <c r="A527" t="e" vm="284">
        <v>#VALUE!</v>
      </c>
      <c r="B527" s="2">
        <v>45589</v>
      </c>
      <c r="C527" t="str" cm="1">
        <f t="array" aca="1" ref="C527" ca="1">_FV(A527,"Ticker symbol",TRUE)</f>
        <v>NE</v>
      </c>
      <c r="D527" s="4">
        <v>31.63</v>
      </c>
      <c r="E527" s="50">
        <v>18</v>
      </c>
      <c r="F527" s="81">
        <f>IF(Table25[[#This Row],[Number of stocks]]&gt;0,Table25[[#This Row],[Number of stocks]],0)</f>
        <v>18</v>
      </c>
      <c r="G527" s="73">
        <f>Table25[[#This Row],[Bought]]*Table25[[#This Row],[Price]]</f>
        <v>569.34</v>
      </c>
      <c r="H527">
        <f>SUMIF(Table25[[#All],[Assets]],Table25[[#This Row],[Assets]],Table25[[#All],[Bought]])</f>
        <v>18</v>
      </c>
      <c r="I527">
        <f>SUMIF(Table25[[#All],[Assets]],Table25[[#This Row],[Assets]],Table25[[#All],[Bought Amount]])</f>
        <v>569.34</v>
      </c>
      <c r="J527" s="88">
        <f>IF(Table25[[#This Row],[Number of stocks]]&lt;0,Table25[[#This Row],[Number of stocks]],0)</f>
        <v>0</v>
      </c>
      <c r="K527" s="5">
        <f>Table25[[#This Row],[Sold]]*Table25[[#This Row],[Price]]</f>
        <v>0</v>
      </c>
      <c r="L527" s="8">
        <f>ABS(SUMIF(Table25[[#All],[Assets]],Table25[[#This Row],[Assets]],Table25[[#All],[Sold]]))</f>
        <v>18</v>
      </c>
      <c r="M527" s="5">
        <f>ABS(SUMIF(Table25[[#All],[Assets]],Table25[[#This Row],[Assets]],Table25[[#All],[Sold Amount]]))</f>
        <v>488.88</v>
      </c>
      <c r="N527" s="5">
        <f>IFERROR(Table25[[#This Row],[Total sold amount]]/Table25[[#This Row],[Total Sold number of stocks]],"")</f>
        <v>27.16</v>
      </c>
      <c r="O527" s="4">
        <f>IFERROR(Table25[[#This Row],[Total Amount bought]]/Table25[[#This Row],[Total number bought]],"")</f>
        <v>31.630000000000003</v>
      </c>
      <c r="P527" s="4">
        <f>IFERROR((Table25[[#This Row],[Average sell price]]-Table25[[#This Row],[Average buy price]])*Table25[[#This Row],[Total Sold number of stocks]],0)</f>
        <v>-80.460000000000036</v>
      </c>
      <c r="Q527" s="85">
        <f>SUMIF(Table25[[#All],[Assets]],Table25[[#This Row],[Assets]],Table25[[#All],[Number of stocks]])</f>
        <v>0</v>
      </c>
    </row>
    <row r="528" spans="1:17">
      <c r="A528" t="e" vm="365">
        <v>#VALUE!</v>
      </c>
      <c r="B528" s="2">
        <v>45588</v>
      </c>
      <c r="C528" t="str" cm="1">
        <f t="array" aca="1" ref="C528" ca="1">_FV(A528,"Ticker symbol",TRUE)</f>
        <v>ANGO</v>
      </c>
      <c r="D528" s="4">
        <v>7.45</v>
      </c>
      <c r="E528" s="50">
        <v>100</v>
      </c>
      <c r="F528" s="81">
        <f>IF(Table25[[#This Row],[Number of stocks]]&gt;0,Table25[[#This Row],[Number of stocks]],0)</f>
        <v>100</v>
      </c>
      <c r="G528" s="73">
        <f>Table25[[#This Row],[Bought]]*Table25[[#This Row],[Price]]</f>
        <v>745</v>
      </c>
      <c r="H528">
        <f>SUMIF(Table25[[#All],[Assets]],Table25[[#This Row],[Assets]],Table25[[#All],[Bought]])</f>
        <v>100</v>
      </c>
      <c r="I528">
        <f>SUMIF(Table25[[#All],[Assets]],Table25[[#This Row],[Assets]],Table25[[#All],[Bought Amount]])</f>
        <v>745</v>
      </c>
      <c r="J528" s="88">
        <f>IF(Table25[[#This Row],[Number of stocks]]&lt;0,Table25[[#This Row],[Number of stocks]],0)</f>
        <v>0</v>
      </c>
      <c r="K528" s="5">
        <f>Table25[[#This Row],[Sold]]*Table25[[#This Row],[Price]]</f>
        <v>0</v>
      </c>
      <c r="L528" s="8">
        <f>ABS(SUMIF(Table25[[#All],[Assets]],Table25[[#This Row],[Assets]],Table25[[#All],[Sold]]))</f>
        <v>100</v>
      </c>
      <c r="M528" s="5">
        <f>ABS(SUMIF(Table25[[#All],[Assets]],Table25[[#This Row],[Assets]],Table25[[#All],[Sold Amount]]))</f>
        <v>704</v>
      </c>
      <c r="N528" s="5">
        <f>IFERROR(Table25[[#This Row],[Total sold amount]]/Table25[[#This Row],[Total Sold number of stocks]],"")</f>
        <v>7.04</v>
      </c>
      <c r="O528" s="4">
        <f>IFERROR(Table25[[#This Row],[Total Amount bought]]/Table25[[#This Row],[Total number bought]],"")</f>
        <v>7.45</v>
      </c>
      <c r="P528" s="4">
        <f>IFERROR((Table25[[#This Row],[Average sell price]]-Table25[[#This Row],[Average buy price]])*Table25[[#This Row],[Total Sold number of stocks]],0)</f>
        <v>-41.000000000000014</v>
      </c>
      <c r="Q528" s="85">
        <f>SUMIF(Table25[[#All],[Assets]],Table25[[#This Row],[Assets]],Table25[[#All],[Number of stocks]])</f>
        <v>0</v>
      </c>
    </row>
    <row r="529" spans="1:17">
      <c r="A529" t="e" vm="313">
        <v>#VALUE!</v>
      </c>
      <c r="B529" s="2">
        <v>45588</v>
      </c>
      <c r="C529" t="str" cm="1">
        <f t="array" aca="1" ref="C529" ca="1">_FV(A529,"Ticker symbol",TRUE)</f>
        <v>APLD</v>
      </c>
      <c r="D529" s="4">
        <v>8.61</v>
      </c>
      <c r="E529" s="50">
        <v>-50</v>
      </c>
      <c r="F529" s="81">
        <f>IF(Table25[[#This Row],[Number of stocks]]&gt;0,Table25[[#This Row],[Number of stocks]],0)</f>
        <v>0</v>
      </c>
      <c r="G529" s="73">
        <f>Table25[[#This Row],[Bought]]*Table25[[#This Row],[Price]]</f>
        <v>0</v>
      </c>
      <c r="H529">
        <f>SUMIF(Table25[[#All],[Assets]],Table25[[#This Row],[Assets]],Table25[[#All],[Bought]])</f>
        <v>380</v>
      </c>
      <c r="I529">
        <f>SUMIF(Table25[[#All],[Assets]],Table25[[#This Row],[Assets]],Table25[[#All],[Bought Amount]])</f>
        <v>2450.8000000000002</v>
      </c>
      <c r="J529" s="88">
        <f>IF(Table25[[#This Row],[Number of stocks]]&lt;0,Table25[[#This Row],[Number of stocks]],0)</f>
        <v>-50</v>
      </c>
      <c r="K529" s="5">
        <f>Table25[[#This Row],[Sold]]*Table25[[#This Row],[Price]]</f>
        <v>-430.5</v>
      </c>
      <c r="L529" s="8">
        <f>ABS(SUMIF(Table25[[#All],[Assets]],Table25[[#This Row],[Assets]],Table25[[#All],[Sold]]))</f>
        <v>380</v>
      </c>
      <c r="M529" s="5">
        <f>ABS(SUMIF(Table25[[#All],[Assets]],Table25[[#This Row],[Assets]],Table25[[#All],[Sold Amount]]))</f>
        <v>2418.3000000000002</v>
      </c>
      <c r="N529" s="5">
        <f>IFERROR(Table25[[#This Row],[Total sold amount]]/Table25[[#This Row],[Total Sold number of stocks]],"")</f>
        <v>6.3639473684210532</v>
      </c>
      <c r="O529" s="4">
        <f>IFERROR(Table25[[#This Row],[Total Amount bought]]/Table25[[#This Row],[Total number bought]],"")</f>
        <v>6.4494736842105267</v>
      </c>
      <c r="P529" s="4">
        <f>IFERROR((Table25[[#This Row],[Average sell price]]-Table25[[#This Row],[Average buy price]])*Table25[[#This Row],[Total Sold number of stocks]],0)</f>
        <v>-32.499999999999915</v>
      </c>
      <c r="Q529" s="85">
        <f>SUMIF(Table25[[#All],[Assets]],Table25[[#This Row],[Assets]],Table25[[#All],[Number of stocks]])</f>
        <v>0</v>
      </c>
    </row>
    <row r="530" spans="1:17">
      <c r="A530" t="e" vm="52">
        <v>#VALUE!</v>
      </c>
      <c r="B530" s="2">
        <v>45588</v>
      </c>
      <c r="C530" t="str" cm="1">
        <f t="array" aca="1" ref="C530" ca="1">_FV(A530,"Ticker symbol",TRUE)</f>
        <v>SMR</v>
      </c>
      <c r="D530" s="4">
        <v>17.11</v>
      </c>
      <c r="E530" s="50">
        <v>-5</v>
      </c>
      <c r="F530" s="81">
        <f>IF(Table25[[#This Row],[Number of stocks]]&gt;0,Table25[[#This Row],[Number of stocks]],0)</f>
        <v>0</v>
      </c>
      <c r="G530" s="73">
        <f>Table25[[#This Row],[Bought]]*Table25[[#This Row],[Price]]</f>
        <v>0</v>
      </c>
      <c r="H530">
        <f>SUMIF(Table25[[#All],[Assets]],Table25[[#This Row],[Assets]],Table25[[#All],[Bought]])</f>
        <v>8</v>
      </c>
      <c r="I530">
        <f>SUMIF(Table25[[#All],[Assets]],Table25[[#This Row],[Assets]],Table25[[#All],[Bought Amount]])</f>
        <v>87.63</v>
      </c>
      <c r="J530" s="88">
        <f>IF(Table25[[#This Row],[Number of stocks]]&lt;0,Table25[[#This Row],[Number of stocks]],0)</f>
        <v>-5</v>
      </c>
      <c r="K530" s="5">
        <f>Table25[[#This Row],[Sold]]*Table25[[#This Row],[Price]]</f>
        <v>-85.55</v>
      </c>
      <c r="L530" s="8">
        <f>ABS(SUMIF(Table25[[#All],[Assets]],Table25[[#This Row],[Assets]],Table25[[#All],[Sold]]))</f>
        <v>8</v>
      </c>
      <c r="M530" s="5">
        <f>ABS(SUMIF(Table25[[#All],[Assets]],Table25[[#This Row],[Assets]],Table25[[#All],[Sold Amount]]))</f>
        <v>207.52999999999997</v>
      </c>
      <c r="N530" s="5">
        <f>IFERROR(Table25[[#This Row],[Total sold amount]]/Table25[[#This Row],[Total Sold number of stocks]],"")</f>
        <v>25.941249999999997</v>
      </c>
      <c r="O530" s="4">
        <f>IFERROR(Table25[[#This Row],[Total Amount bought]]/Table25[[#This Row],[Total number bought]],"")</f>
        <v>10.953749999999999</v>
      </c>
      <c r="P530" s="4">
        <f>IFERROR((Table25[[#This Row],[Average sell price]]-Table25[[#This Row],[Average buy price]])*Table25[[#This Row],[Total Sold number of stocks]],0)</f>
        <v>119.89999999999998</v>
      </c>
      <c r="Q530" s="85">
        <f>SUMIF(Table25[[#All],[Assets]],Table25[[#This Row],[Assets]],Table25[[#All],[Number of stocks]])</f>
        <v>0</v>
      </c>
    </row>
    <row r="531" spans="1:17">
      <c r="A531" t="e" vm="33">
        <v>#VALUE!</v>
      </c>
      <c r="B531" s="2">
        <v>45588</v>
      </c>
      <c r="C531" t="str" cm="1">
        <f t="array" aca="1" ref="C531" ca="1">_FV(A531,"Ticker symbol",TRUE)</f>
        <v>CRDO</v>
      </c>
      <c r="D531" s="4">
        <v>38.51</v>
      </c>
      <c r="E531" s="50">
        <v>-10</v>
      </c>
      <c r="F531" s="81">
        <f>IF(Table25[[#This Row],[Number of stocks]]&gt;0,Table25[[#This Row],[Number of stocks]],0)</f>
        <v>0</v>
      </c>
      <c r="G531" s="73">
        <f>Table25[[#This Row],[Bought]]*Table25[[#This Row],[Price]]</f>
        <v>0</v>
      </c>
      <c r="H531">
        <f>SUMIF(Table25[[#All],[Assets]],Table25[[#This Row],[Assets]],Table25[[#All],[Bought]])</f>
        <v>135</v>
      </c>
      <c r="I531">
        <f>SUMIF(Table25[[#All],[Assets]],Table25[[#This Row],[Assets]],Table25[[#All],[Bought Amount]])</f>
        <v>3772.0499999999997</v>
      </c>
      <c r="J531" s="88">
        <f>IF(Table25[[#This Row],[Number of stocks]]&lt;0,Table25[[#This Row],[Number of stocks]],0)</f>
        <v>-10</v>
      </c>
      <c r="K531" s="5">
        <f>Table25[[#This Row],[Sold]]*Table25[[#This Row],[Price]]</f>
        <v>-385.09999999999997</v>
      </c>
      <c r="L531" s="8">
        <f>ABS(SUMIF(Table25[[#All],[Assets]],Table25[[#This Row],[Assets]],Table25[[#All],[Sold]]))</f>
        <v>135</v>
      </c>
      <c r="M531" s="5">
        <f>ABS(SUMIF(Table25[[#All],[Assets]],Table25[[#This Row],[Assets]],Table25[[#All],[Sold Amount]]))</f>
        <v>5564.1</v>
      </c>
      <c r="N531" s="5">
        <f>IFERROR(Table25[[#This Row],[Total sold amount]]/Table25[[#This Row],[Total Sold number of stocks]],"")</f>
        <v>41.215555555555561</v>
      </c>
      <c r="O531" s="4">
        <f>IFERROR(Table25[[#This Row],[Total Amount bought]]/Table25[[#This Row],[Total number bought]],"")</f>
        <v>27.941111111111109</v>
      </c>
      <c r="P531" s="4">
        <f>IFERROR((Table25[[#This Row],[Average sell price]]-Table25[[#This Row],[Average buy price]])*Table25[[#This Row],[Total Sold number of stocks]],0)</f>
        <v>1792.0500000000011</v>
      </c>
      <c r="Q531" s="85">
        <f>SUMIF(Table25[[#All],[Assets]],Table25[[#This Row],[Assets]],Table25[[#All],[Number of stocks]])</f>
        <v>0</v>
      </c>
    </row>
    <row r="532" spans="1:17">
      <c r="A532" t="e" vm="273">
        <v>#VALUE!</v>
      </c>
      <c r="B532" s="2">
        <v>45594</v>
      </c>
      <c r="C532" t="str" cm="1">
        <f t="array" aca="1" ref="C532" ca="1">_FV(A532,"Ticker symbol",TRUE)</f>
        <v>CVRX</v>
      </c>
      <c r="D532" s="4">
        <v>10.9</v>
      </c>
      <c r="E532" s="50">
        <v>-150</v>
      </c>
      <c r="F532" s="81">
        <f>IF(Table25[[#This Row],[Number of stocks]]&gt;0,Table25[[#This Row],[Number of stocks]],0)</f>
        <v>0</v>
      </c>
      <c r="G532" s="73">
        <f>Table25[[#This Row],[Bought]]*Table25[[#This Row],[Price]]</f>
        <v>0</v>
      </c>
      <c r="H532">
        <f>SUMIF(Table25[[#All],[Assets]],Table25[[#This Row],[Assets]],Table25[[#All],[Bought]])</f>
        <v>560</v>
      </c>
      <c r="I532">
        <f>SUMIF(Table25[[#All],[Assets]],Table25[[#This Row],[Assets]],Table25[[#All],[Bought Amount]])</f>
        <v>5451</v>
      </c>
      <c r="J532" s="88">
        <f>IF(Table25[[#This Row],[Number of stocks]]&lt;0,Table25[[#This Row],[Number of stocks]],0)</f>
        <v>-150</v>
      </c>
      <c r="K532" s="5">
        <f>Table25[[#This Row],[Sold]]*Table25[[#This Row],[Price]]</f>
        <v>-1635</v>
      </c>
      <c r="L532" s="8">
        <f>ABS(SUMIF(Table25[[#All],[Assets]],Table25[[#This Row],[Assets]],Table25[[#All],[Sold]]))</f>
        <v>560</v>
      </c>
      <c r="M532" s="5">
        <f>ABS(SUMIF(Table25[[#All],[Assets]],Table25[[#This Row],[Assets]],Table25[[#All],[Sold Amount]]))</f>
        <v>4910.5499999999993</v>
      </c>
      <c r="N532" s="5">
        <f>IFERROR(Table25[[#This Row],[Total sold amount]]/Table25[[#This Row],[Total Sold number of stocks]],"")</f>
        <v>8.7688392857142841</v>
      </c>
      <c r="O532" s="4">
        <f>IFERROR(Table25[[#This Row],[Total Amount bought]]/Table25[[#This Row],[Total number bought]],"")</f>
        <v>9.7339285714285708</v>
      </c>
      <c r="P532" s="4">
        <f>IFERROR((Table25[[#This Row],[Average sell price]]-Table25[[#This Row],[Average buy price]])*Table25[[#This Row],[Total Sold number of stocks]],0)</f>
        <v>-540.45000000000061</v>
      </c>
      <c r="Q532" s="85">
        <f>SUMIF(Table25[[#All],[Assets]],Table25[[#This Row],[Assets]],Table25[[#All],[Number of stocks]])</f>
        <v>0</v>
      </c>
    </row>
    <row r="533" spans="1:17">
      <c r="A533" t="e" vm="316">
        <v>#VALUE!</v>
      </c>
      <c r="B533" s="2">
        <v>45594</v>
      </c>
      <c r="C533" t="str" cm="1">
        <f t="array" aca="1" ref="C533" ca="1">_FV(A533,"Ticker symbol",TRUE)</f>
        <v>IRTC</v>
      </c>
      <c r="D533" s="4">
        <v>76.790000000000006</v>
      </c>
      <c r="E533" s="50">
        <v>-11</v>
      </c>
      <c r="F533" s="81">
        <f>IF(Table25[[#This Row],[Number of stocks]]&gt;0,Table25[[#This Row],[Number of stocks]],0)</f>
        <v>0</v>
      </c>
      <c r="G533" s="73">
        <f>Table25[[#This Row],[Bought]]*Table25[[#This Row],[Price]]</f>
        <v>0</v>
      </c>
      <c r="H533">
        <f>SUMIF(Table25[[#All],[Assets]],Table25[[#This Row],[Assets]],Table25[[#All],[Bought]])</f>
        <v>22</v>
      </c>
      <c r="I533">
        <f>SUMIF(Table25[[#All],[Assets]],Table25[[#This Row],[Assets]],Table25[[#All],[Bought Amount]])</f>
        <v>1721.73</v>
      </c>
      <c r="J533" s="88">
        <f>IF(Table25[[#This Row],[Number of stocks]]&lt;0,Table25[[#This Row],[Number of stocks]],0)</f>
        <v>-11</v>
      </c>
      <c r="K533" s="5">
        <f>Table25[[#This Row],[Sold]]*Table25[[#This Row],[Price]]</f>
        <v>-844.69</v>
      </c>
      <c r="L533" s="8">
        <f>ABS(SUMIF(Table25[[#All],[Assets]],Table25[[#This Row],[Assets]],Table25[[#All],[Sold]]))</f>
        <v>22</v>
      </c>
      <c r="M533" s="5">
        <f>ABS(SUMIF(Table25[[#All],[Assets]],Table25[[#This Row],[Assets]],Table25[[#All],[Sold Amount]]))</f>
        <v>1870.17</v>
      </c>
      <c r="N533" s="5">
        <f>IFERROR(Table25[[#This Row],[Total sold amount]]/Table25[[#This Row],[Total Sold number of stocks]],"")</f>
        <v>85.00772727272728</v>
      </c>
      <c r="O533" s="4">
        <f>IFERROR(Table25[[#This Row],[Total Amount bought]]/Table25[[#This Row],[Total number bought]],"")</f>
        <v>78.26045454545455</v>
      </c>
      <c r="P533" s="4">
        <f>IFERROR((Table25[[#This Row],[Average sell price]]-Table25[[#This Row],[Average buy price]])*Table25[[#This Row],[Total Sold number of stocks]],0)</f>
        <v>148.44000000000005</v>
      </c>
      <c r="Q533" s="85">
        <f>SUMIF(Table25[[#All],[Assets]],Table25[[#This Row],[Assets]],Table25[[#All],[Number of stocks]])</f>
        <v>0</v>
      </c>
    </row>
    <row r="534" spans="1:17">
      <c r="A534" t="e" vm="365">
        <v>#VALUE!</v>
      </c>
      <c r="B534" s="2">
        <v>45594</v>
      </c>
      <c r="C534" t="str" cm="1">
        <f t="array" aca="1" ref="C534" ca="1">_FV(A534,"Ticker symbol",TRUE)</f>
        <v>ANGO</v>
      </c>
      <c r="D534" s="4">
        <v>7.04</v>
      </c>
      <c r="E534" s="50">
        <v>-100</v>
      </c>
      <c r="F534" s="81">
        <f>IF(Table25[[#This Row],[Number of stocks]]&gt;0,Table25[[#This Row],[Number of stocks]],0)</f>
        <v>0</v>
      </c>
      <c r="G534" s="73">
        <f>Table25[[#This Row],[Bought]]*Table25[[#This Row],[Price]]</f>
        <v>0</v>
      </c>
      <c r="H534">
        <f>SUMIF(Table25[[#All],[Assets]],Table25[[#This Row],[Assets]],Table25[[#All],[Bought]])</f>
        <v>100</v>
      </c>
      <c r="I534">
        <f>SUMIF(Table25[[#All],[Assets]],Table25[[#This Row],[Assets]],Table25[[#All],[Bought Amount]])</f>
        <v>745</v>
      </c>
      <c r="J534" s="88">
        <f>IF(Table25[[#This Row],[Number of stocks]]&lt;0,Table25[[#This Row],[Number of stocks]],0)</f>
        <v>-100</v>
      </c>
      <c r="K534" s="5">
        <f>Table25[[#This Row],[Sold]]*Table25[[#This Row],[Price]]</f>
        <v>-704</v>
      </c>
      <c r="L534" s="8">
        <f>ABS(SUMIF(Table25[[#All],[Assets]],Table25[[#This Row],[Assets]],Table25[[#All],[Sold]]))</f>
        <v>100</v>
      </c>
      <c r="M534" s="5">
        <f>ABS(SUMIF(Table25[[#All],[Assets]],Table25[[#This Row],[Assets]],Table25[[#All],[Sold Amount]]))</f>
        <v>704</v>
      </c>
      <c r="N534" s="5">
        <f>IFERROR(Table25[[#This Row],[Total sold amount]]/Table25[[#This Row],[Total Sold number of stocks]],"")</f>
        <v>7.04</v>
      </c>
      <c r="O534" s="4">
        <f>IFERROR(Table25[[#This Row],[Total Amount bought]]/Table25[[#This Row],[Total number bought]],"")</f>
        <v>7.45</v>
      </c>
      <c r="P534" s="4">
        <f>IFERROR((Table25[[#This Row],[Average sell price]]-Table25[[#This Row],[Average buy price]])*Table25[[#This Row],[Total Sold number of stocks]],0)</f>
        <v>-41.000000000000014</v>
      </c>
      <c r="Q534" s="85">
        <f>SUMIF(Table25[[#All],[Assets]],Table25[[#This Row],[Assets]],Table25[[#All],[Number of stocks]])</f>
        <v>0</v>
      </c>
    </row>
    <row r="535" spans="1:17">
      <c r="A535" t="e" vm="342">
        <v>#VALUE!</v>
      </c>
      <c r="B535" s="2">
        <v>45594</v>
      </c>
      <c r="C535" t="str" cm="1">
        <f t="array" aca="1" ref="C535" ca="1">_FV(A535,"Ticker symbol",TRUE)</f>
        <v>VKTX</v>
      </c>
      <c r="D535" s="4">
        <v>73.22</v>
      </c>
      <c r="E535" s="50">
        <v>-7</v>
      </c>
      <c r="F535" s="81">
        <f>IF(Table25[[#This Row],[Number of stocks]]&gt;0,Table25[[#This Row],[Number of stocks]],0)</f>
        <v>0</v>
      </c>
      <c r="G535" s="73">
        <f>Table25[[#This Row],[Bought]]*Table25[[#This Row],[Price]]</f>
        <v>0</v>
      </c>
      <c r="H535">
        <f>SUMIF(Table25[[#All],[Assets]],Table25[[#This Row],[Assets]],Table25[[#All],[Bought]])</f>
        <v>37</v>
      </c>
      <c r="I535">
        <f>SUMIF(Table25[[#All],[Assets]],Table25[[#This Row],[Assets]],Table25[[#All],[Bought Amount]])</f>
        <v>1461.42</v>
      </c>
      <c r="J535" s="88">
        <f>IF(Table25[[#This Row],[Number of stocks]]&lt;0,Table25[[#This Row],[Number of stocks]],0)</f>
        <v>-7</v>
      </c>
      <c r="K535" s="5">
        <f>Table25[[#This Row],[Sold]]*Table25[[#This Row],[Price]]</f>
        <v>-512.54</v>
      </c>
      <c r="L535" s="8">
        <f>ABS(SUMIF(Table25[[#All],[Assets]],Table25[[#This Row],[Assets]],Table25[[#All],[Sold]]))</f>
        <v>37</v>
      </c>
      <c r="M535" s="5">
        <f>ABS(SUMIF(Table25[[#All],[Assets]],Table25[[#This Row],[Assets]],Table25[[#All],[Sold Amount]]))</f>
        <v>1546.19</v>
      </c>
      <c r="N535" s="5">
        <f>IFERROR(Table25[[#This Row],[Total sold amount]]/Table25[[#This Row],[Total Sold number of stocks]],"")</f>
        <v>41.788918918918924</v>
      </c>
      <c r="O535" s="4">
        <f>IFERROR(Table25[[#This Row],[Total Amount bought]]/Table25[[#This Row],[Total number bought]],"")</f>
        <v>39.497837837837842</v>
      </c>
      <c r="P535" s="4">
        <f>IFERROR((Table25[[#This Row],[Average sell price]]-Table25[[#This Row],[Average buy price]])*Table25[[#This Row],[Total Sold number of stocks]],0)</f>
        <v>84.77000000000001</v>
      </c>
      <c r="Q535" s="85">
        <f>SUMIF(Table25[[#All],[Assets]],Table25[[#This Row],[Assets]],Table25[[#All],[Number of stocks]])</f>
        <v>0</v>
      </c>
    </row>
    <row r="536" spans="1:17">
      <c r="A536" t="e" vm="77">
        <v>#VALUE!</v>
      </c>
      <c r="B536" s="2">
        <v>45594</v>
      </c>
      <c r="C536" t="str" cm="1">
        <f t="array" aca="1" ref="C536" ca="1">_FV(A536,"Ticker symbol",TRUE)</f>
        <v>STIM</v>
      </c>
      <c r="D536" s="4">
        <v>1</v>
      </c>
      <c r="E536" s="50">
        <v>-400</v>
      </c>
      <c r="F536" s="81">
        <f>IF(Table25[[#This Row],[Number of stocks]]&gt;0,Table25[[#This Row],[Number of stocks]],0)</f>
        <v>0</v>
      </c>
      <c r="G536" s="73">
        <f>Table25[[#This Row],[Bought]]*Table25[[#This Row],[Price]]</f>
        <v>0</v>
      </c>
      <c r="H536">
        <f>SUMIF(Table25[[#All],[Assets]],Table25[[#This Row],[Assets]],Table25[[#All],[Bought]])</f>
        <v>7036.45</v>
      </c>
      <c r="I536">
        <f>SUMIF(Table25[[#All],[Assets]],Table25[[#This Row],[Assets]],Table25[[#All],[Bought Amount]])</f>
        <v>19162.260000000002</v>
      </c>
      <c r="J536" s="88">
        <f>IF(Table25[[#This Row],[Number of stocks]]&lt;0,Table25[[#This Row],[Number of stocks]],0)</f>
        <v>-400</v>
      </c>
      <c r="K536" s="5">
        <f>Table25[[#This Row],[Sold]]*Table25[[#This Row],[Price]]</f>
        <v>-400</v>
      </c>
      <c r="L536" s="8">
        <f>ABS(SUMIF(Table25[[#All],[Assets]],Table25[[#This Row],[Assets]],Table25[[#All],[Sold]]))</f>
        <v>6686.45</v>
      </c>
      <c r="M536" s="5">
        <f>ABS(SUMIF(Table25[[#All],[Assets]],Table25[[#This Row],[Assets]],Table25[[#All],[Sold Amount]]))</f>
        <v>19226.484999999997</v>
      </c>
      <c r="N536" s="5">
        <f>IFERROR(Table25[[#This Row],[Total sold amount]]/Table25[[#This Row],[Total Sold number of stocks]],"")</f>
        <v>2.8754398821497205</v>
      </c>
      <c r="O536" s="4">
        <f>IFERROR(Table25[[#This Row],[Total Amount bought]]/Table25[[#This Row],[Total number bought]],"")</f>
        <v>2.7232851793162749</v>
      </c>
      <c r="P536" s="4">
        <f>IFERROR((Table25[[#This Row],[Average sell price]]-Table25[[#This Row],[Average buy price]])*Table25[[#This Row],[Total Sold number of stocks]],0)</f>
        <v>1017.3748127606921</v>
      </c>
      <c r="Q536" s="85">
        <f>SUMIF(Table25[[#All],[Assets]],Table25[[#This Row],[Assets]],Table25[[#All],[Number of stocks]])</f>
        <v>349.99999999999977</v>
      </c>
    </row>
    <row r="537" spans="1:17">
      <c r="A537" t="e" vm="77">
        <v>#VALUE!</v>
      </c>
      <c r="B537" s="2">
        <v>45594</v>
      </c>
      <c r="C537" t="str" cm="1">
        <f t="array" aca="1" ref="C537" ca="1">_FV(A537,"Ticker symbol",TRUE)</f>
        <v>STIM</v>
      </c>
      <c r="D537" s="4">
        <v>1</v>
      </c>
      <c r="E537" s="50">
        <v>-180</v>
      </c>
      <c r="F537" s="81">
        <f>IF(Table25[[#This Row],[Number of stocks]]&gt;0,Table25[[#This Row],[Number of stocks]],0)</f>
        <v>0</v>
      </c>
      <c r="G537" s="73">
        <f>Table25[[#This Row],[Bought]]*Table25[[#This Row],[Price]]</f>
        <v>0</v>
      </c>
      <c r="H537">
        <f>SUMIF(Table25[[#All],[Assets]],Table25[[#This Row],[Assets]],Table25[[#All],[Bought]])</f>
        <v>7036.45</v>
      </c>
      <c r="I537">
        <f>SUMIF(Table25[[#All],[Assets]],Table25[[#This Row],[Assets]],Table25[[#All],[Bought Amount]])</f>
        <v>19162.260000000002</v>
      </c>
      <c r="J537" s="88">
        <f>IF(Table25[[#This Row],[Number of stocks]]&lt;0,Table25[[#This Row],[Number of stocks]],0)</f>
        <v>-180</v>
      </c>
      <c r="K537" s="5">
        <f>Table25[[#This Row],[Sold]]*Table25[[#This Row],[Price]]</f>
        <v>-180</v>
      </c>
      <c r="L537" s="8">
        <f>ABS(SUMIF(Table25[[#All],[Assets]],Table25[[#This Row],[Assets]],Table25[[#All],[Sold]]))</f>
        <v>6686.45</v>
      </c>
      <c r="M537" s="5">
        <f>ABS(SUMIF(Table25[[#All],[Assets]],Table25[[#This Row],[Assets]],Table25[[#All],[Sold Amount]]))</f>
        <v>19226.484999999997</v>
      </c>
      <c r="N537" s="5">
        <f>IFERROR(Table25[[#This Row],[Total sold amount]]/Table25[[#This Row],[Total Sold number of stocks]],"")</f>
        <v>2.8754398821497205</v>
      </c>
      <c r="O537" s="4">
        <f>IFERROR(Table25[[#This Row],[Total Amount bought]]/Table25[[#This Row],[Total number bought]],"")</f>
        <v>2.7232851793162749</v>
      </c>
      <c r="P537" s="4">
        <f>IFERROR((Table25[[#This Row],[Average sell price]]-Table25[[#This Row],[Average buy price]])*Table25[[#This Row],[Total Sold number of stocks]],0)</f>
        <v>1017.3748127606921</v>
      </c>
      <c r="Q537" s="85">
        <f>SUMIF(Table25[[#All],[Assets]],Table25[[#This Row],[Assets]],Table25[[#All],[Number of stocks]])</f>
        <v>349.99999999999977</v>
      </c>
    </row>
    <row r="538" spans="1:17">
      <c r="A538" t="e" vm="304">
        <v>#VALUE!</v>
      </c>
      <c r="B538" s="2">
        <v>45520</v>
      </c>
      <c r="C538" t="str" cm="1">
        <f t="array" aca="1" ref="C538" ca="1">_FV(A538,"Ticker symbol",TRUE)</f>
        <v>RXRX</v>
      </c>
      <c r="D538" s="4">
        <v>6.79</v>
      </c>
      <c r="E538" s="50">
        <v>-70</v>
      </c>
      <c r="F538" s="81">
        <f>IF(Table25[[#This Row],[Number of stocks]]&gt;0,Table25[[#This Row],[Number of stocks]],0)</f>
        <v>0</v>
      </c>
      <c r="G538" s="73">
        <f>Table25[[#This Row],[Bought]]*Table25[[#This Row],[Price]]</f>
        <v>0</v>
      </c>
      <c r="H538">
        <f>SUMIF(Table25[[#All],[Assets]],Table25[[#This Row],[Assets]],Table25[[#All],[Bought]])</f>
        <v>70</v>
      </c>
      <c r="I538">
        <f>SUMIF(Table25[[#All],[Assets]],Table25[[#This Row],[Assets]],Table25[[#All],[Bought Amount]])</f>
        <v>594.65</v>
      </c>
      <c r="J538" s="88">
        <f>IF(Table25[[#This Row],[Number of stocks]]&lt;0,Table25[[#This Row],[Number of stocks]],0)</f>
        <v>-70</v>
      </c>
      <c r="K538" s="5">
        <f>Table25[[#This Row],[Sold]]*Table25[[#This Row],[Price]]</f>
        <v>-475.3</v>
      </c>
      <c r="L538" s="8">
        <f>ABS(SUMIF(Table25[[#All],[Assets]],Table25[[#This Row],[Assets]],Table25[[#All],[Sold]]))</f>
        <v>70</v>
      </c>
      <c r="M538" s="5">
        <f>ABS(SUMIF(Table25[[#All],[Assets]],Table25[[#This Row],[Assets]],Table25[[#All],[Sold Amount]]))</f>
        <v>475.3</v>
      </c>
      <c r="N538" s="5">
        <f>IFERROR(Table25[[#This Row],[Total sold amount]]/Table25[[#This Row],[Total Sold number of stocks]],"")</f>
        <v>6.79</v>
      </c>
      <c r="O538" s="4">
        <f>IFERROR(Table25[[#This Row],[Total Amount bought]]/Table25[[#This Row],[Total number bought]],"")</f>
        <v>8.4949999999999992</v>
      </c>
      <c r="P538" s="4">
        <f>IFERROR((Table25[[#This Row],[Average sell price]]-Table25[[#This Row],[Average buy price]])*Table25[[#This Row],[Total Sold number of stocks]],0)</f>
        <v>-119.34999999999994</v>
      </c>
      <c r="Q538" s="85">
        <f>SUMIF(Table25[[#All],[Assets]],Table25[[#This Row],[Assets]],Table25[[#All],[Number of stocks]])</f>
        <v>0</v>
      </c>
    </row>
    <row r="539" spans="1:17">
      <c r="A539" t="e" vm="343">
        <v>#VALUE!</v>
      </c>
      <c r="B539" s="2">
        <v>45594</v>
      </c>
      <c r="C539" t="str" cm="1">
        <f t="array" aca="1" ref="C539" ca="1">_FV(A539,"Ticker symbol",TRUE)</f>
        <v>ILMN</v>
      </c>
      <c r="D539" s="4">
        <v>145.71</v>
      </c>
      <c r="E539" s="50">
        <v>-3</v>
      </c>
      <c r="F539" s="81">
        <f>IF(Table25[[#This Row],[Number of stocks]]&gt;0,Table25[[#This Row],[Number of stocks]],0)</f>
        <v>0</v>
      </c>
      <c r="G539" s="73">
        <f>Table25[[#This Row],[Bought]]*Table25[[#This Row],[Price]]</f>
        <v>0</v>
      </c>
      <c r="H539">
        <f>SUMIF(Table25[[#All],[Assets]],Table25[[#This Row],[Assets]],Table25[[#All],[Bought]])</f>
        <v>3</v>
      </c>
      <c r="I539">
        <f>SUMIF(Table25[[#All],[Assets]],Table25[[#This Row],[Assets]],Table25[[#All],[Bought Amount]])</f>
        <v>400.79999999999995</v>
      </c>
      <c r="J539" s="88">
        <f>IF(Table25[[#This Row],[Number of stocks]]&lt;0,Table25[[#This Row],[Number of stocks]],0)</f>
        <v>-3</v>
      </c>
      <c r="K539" s="5">
        <f>Table25[[#This Row],[Sold]]*Table25[[#This Row],[Price]]</f>
        <v>-437.13</v>
      </c>
      <c r="L539" s="8">
        <f>ABS(SUMIF(Table25[[#All],[Assets]],Table25[[#This Row],[Assets]],Table25[[#All],[Sold]]))</f>
        <v>3</v>
      </c>
      <c r="M539" s="5">
        <f>ABS(SUMIF(Table25[[#All],[Assets]],Table25[[#This Row],[Assets]],Table25[[#All],[Sold Amount]]))</f>
        <v>437.13</v>
      </c>
      <c r="N539" s="5">
        <f>IFERROR(Table25[[#This Row],[Total sold amount]]/Table25[[#This Row],[Total Sold number of stocks]],"")</f>
        <v>145.71</v>
      </c>
      <c r="O539" s="4">
        <f>IFERROR(Table25[[#This Row],[Total Amount bought]]/Table25[[#This Row],[Total number bought]],"")</f>
        <v>133.6</v>
      </c>
      <c r="P539" s="4">
        <f>IFERROR((Table25[[#This Row],[Average sell price]]-Table25[[#This Row],[Average buy price]])*Table25[[#This Row],[Total Sold number of stocks]],0)</f>
        <v>36.330000000000041</v>
      </c>
      <c r="Q539" s="85">
        <f>SUMIF(Table25[[#All],[Assets]],Table25[[#This Row],[Assets]],Table25[[#All],[Number of stocks]])</f>
        <v>0</v>
      </c>
    </row>
    <row r="540" spans="1:17">
      <c r="A540" t="e" vm="254">
        <v>#VALUE!</v>
      </c>
      <c r="B540" s="2">
        <v>45594</v>
      </c>
      <c r="C540" t="str" cm="1">
        <f t="array" aca="1" ref="C540" ca="1">_FV(A540,"Ticker symbol",TRUE)</f>
        <v>TALK</v>
      </c>
      <c r="D540" s="4">
        <v>3.14</v>
      </c>
      <c r="E540" s="50">
        <v>-150</v>
      </c>
      <c r="F540" s="81">
        <f>IF(Table25[[#This Row],[Number of stocks]]&gt;0,Table25[[#This Row],[Number of stocks]],0)</f>
        <v>0</v>
      </c>
      <c r="G540" s="73">
        <f>Table25[[#This Row],[Bought]]*Table25[[#This Row],[Price]]</f>
        <v>0</v>
      </c>
      <c r="H540">
        <f>SUMIF(Table25[[#All],[Assets]],Table25[[#This Row],[Assets]],Table25[[#All],[Bought]])</f>
        <v>885</v>
      </c>
      <c r="I540">
        <f>SUMIF(Table25[[#All],[Assets]],Table25[[#This Row],[Assets]],Table25[[#All],[Bought Amount]])</f>
        <v>2664.7</v>
      </c>
      <c r="J540" s="88">
        <f>IF(Table25[[#This Row],[Number of stocks]]&lt;0,Table25[[#This Row],[Number of stocks]],0)</f>
        <v>-150</v>
      </c>
      <c r="K540" s="5">
        <f>Table25[[#This Row],[Sold]]*Table25[[#This Row],[Price]]</f>
        <v>-471</v>
      </c>
      <c r="L540" s="8">
        <f>ABS(SUMIF(Table25[[#All],[Assets]],Table25[[#This Row],[Assets]],Table25[[#All],[Sold]]))</f>
        <v>885</v>
      </c>
      <c r="M540" s="5">
        <f>ABS(SUMIF(Table25[[#All],[Assets]],Table25[[#This Row],[Assets]],Table25[[#All],[Sold Amount]]))</f>
        <v>2591</v>
      </c>
      <c r="N540" s="5">
        <f>IFERROR(Table25[[#This Row],[Total sold amount]]/Table25[[#This Row],[Total Sold number of stocks]],"")</f>
        <v>2.927683615819209</v>
      </c>
      <c r="O540" s="4">
        <f>IFERROR(Table25[[#This Row],[Total Amount bought]]/Table25[[#This Row],[Total number bought]],"")</f>
        <v>3.0109604519774011</v>
      </c>
      <c r="P540" s="4">
        <f>IFERROR((Table25[[#This Row],[Average sell price]]-Table25[[#This Row],[Average buy price]])*Table25[[#This Row],[Total Sold number of stocks]],0)</f>
        <v>-73.700000000000045</v>
      </c>
      <c r="Q540" s="85">
        <f>SUMIF(Table25[[#All],[Assets]],Table25[[#This Row],[Assets]],Table25[[#All],[Number of stocks]])</f>
        <v>0</v>
      </c>
    </row>
    <row r="541" spans="1:17">
      <c r="A541" t="e" vm="312">
        <v>#VALUE!</v>
      </c>
      <c r="B541" s="2">
        <v>45594</v>
      </c>
      <c r="C541" t="str" cm="1">
        <f t="array" aca="1" ref="C541" ca="1">_FV(A541,"Ticker symbol",TRUE)</f>
        <v>ATEC</v>
      </c>
      <c r="D541" s="4">
        <v>5.37</v>
      </c>
      <c r="E541" s="50">
        <v>-78</v>
      </c>
      <c r="F541" s="81">
        <f>IF(Table25[[#This Row],[Number of stocks]]&gt;0,Table25[[#This Row],[Number of stocks]],0)</f>
        <v>0</v>
      </c>
      <c r="G541" s="73">
        <f>Table25[[#This Row],[Bought]]*Table25[[#This Row],[Price]]</f>
        <v>0</v>
      </c>
      <c r="H541">
        <f>SUMIF(Table25[[#All],[Assets]],Table25[[#This Row],[Assets]],Table25[[#All],[Bought]])</f>
        <v>108</v>
      </c>
      <c r="I541">
        <f>SUMIF(Table25[[#All],[Assets]],Table25[[#This Row],[Assets]],Table25[[#All],[Bought Amount]])</f>
        <v>893.16</v>
      </c>
      <c r="J541" s="88">
        <f>IF(Table25[[#This Row],[Number of stocks]]&lt;0,Table25[[#This Row],[Number of stocks]],0)</f>
        <v>-78</v>
      </c>
      <c r="K541" s="5">
        <f>Table25[[#This Row],[Sold]]*Table25[[#This Row],[Price]]</f>
        <v>-418.86</v>
      </c>
      <c r="L541" s="8">
        <f>ABS(SUMIF(Table25[[#All],[Assets]],Table25[[#This Row],[Assets]],Table25[[#All],[Sold]]))</f>
        <v>108</v>
      </c>
      <c r="M541" s="5">
        <f>ABS(SUMIF(Table25[[#All],[Assets]],Table25[[#This Row],[Assets]],Table25[[#All],[Sold Amount]]))</f>
        <v>737.76</v>
      </c>
      <c r="N541" s="5">
        <f>IFERROR(Table25[[#This Row],[Total sold amount]]/Table25[[#This Row],[Total Sold number of stocks]],"")</f>
        <v>6.8311111111111114</v>
      </c>
      <c r="O541" s="4">
        <f>IFERROR(Table25[[#This Row],[Total Amount bought]]/Table25[[#This Row],[Total number bought]],"")</f>
        <v>8.27</v>
      </c>
      <c r="P541" s="4">
        <f>IFERROR((Table25[[#This Row],[Average sell price]]-Table25[[#This Row],[Average buy price]])*Table25[[#This Row],[Total Sold number of stocks]],0)</f>
        <v>-155.39999999999992</v>
      </c>
      <c r="Q541" s="85">
        <f>SUMIF(Table25[[#All],[Assets]],Table25[[#This Row],[Assets]],Table25[[#All],[Number of stocks]])</f>
        <v>0</v>
      </c>
    </row>
    <row r="542" spans="1:17">
      <c r="A542" t="e" vm="259">
        <v>#VALUE!</v>
      </c>
      <c r="B542" s="2">
        <v>45594</v>
      </c>
      <c r="C542" t="str" cm="1">
        <f t="array" aca="1" ref="C542" ca="1">_FV(A542,"Ticker symbol",TRUE)</f>
        <v>GRAL</v>
      </c>
      <c r="D542" s="4">
        <v>12.95</v>
      </c>
      <c r="E542" s="50">
        <v>-15</v>
      </c>
      <c r="F542" s="81">
        <f>IF(Table25[[#This Row],[Number of stocks]]&gt;0,Table25[[#This Row],[Number of stocks]],0)</f>
        <v>0</v>
      </c>
      <c r="G542" s="73">
        <f>Table25[[#This Row],[Bought]]*Table25[[#This Row],[Price]]</f>
        <v>0</v>
      </c>
      <c r="H542">
        <f>SUMIF(Table25[[#All],[Assets]],Table25[[#This Row],[Assets]],Table25[[#All],[Bought]])</f>
        <v>100</v>
      </c>
      <c r="I542">
        <f>SUMIF(Table25[[#All],[Assets]],Table25[[#This Row],[Assets]],Table25[[#All],[Bought Amount]])</f>
        <v>1720.3</v>
      </c>
      <c r="J542" s="88">
        <f>IF(Table25[[#This Row],[Number of stocks]]&lt;0,Table25[[#This Row],[Number of stocks]],0)</f>
        <v>-15</v>
      </c>
      <c r="K542" s="5">
        <f>Table25[[#This Row],[Sold]]*Table25[[#This Row],[Price]]</f>
        <v>-194.25</v>
      </c>
      <c r="L542" s="8">
        <f>ABS(SUMIF(Table25[[#All],[Assets]],Table25[[#This Row],[Assets]],Table25[[#All],[Sold]]))</f>
        <v>100</v>
      </c>
      <c r="M542" s="5">
        <f>ABS(SUMIF(Table25[[#All],[Assets]],Table25[[#This Row],[Assets]],Table25[[#All],[Sold Amount]]))</f>
        <v>2684.8</v>
      </c>
      <c r="N542" s="5">
        <f>IFERROR(Table25[[#This Row],[Total sold amount]]/Table25[[#This Row],[Total Sold number of stocks]],"")</f>
        <v>26.848000000000003</v>
      </c>
      <c r="O542" s="4">
        <f>IFERROR(Table25[[#This Row],[Total Amount bought]]/Table25[[#This Row],[Total number bought]],"")</f>
        <v>17.202999999999999</v>
      </c>
      <c r="P542" s="4">
        <f>IFERROR((Table25[[#This Row],[Average sell price]]-Table25[[#This Row],[Average buy price]])*Table25[[#This Row],[Total Sold number of stocks]],0)</f>
        <v>964.50000000000034</v>
      </c>
      <c r="Q542" s="85">
        <f>SUMIF(Table25[[#All],[Assets]],Table25[[#This Row],[Assets]],Table25[[#All],[Number of stocks]])</f>
        <v>0</v>
      </c>
    </row>
    <row r="543" spans="1:17">
      <c r="A543" t="e" vm="354">
        <v>#VALUE!</v>
      </c>
      <c r="B543" s="2">
        <v>45594</v>
      </c>
      <c r="C543" t="str" cm="1">
        <f t="array" aca="1" ref="C543" ca="1">_FV(A543,"Ticker symbol",TRUE)</f>
        <v>MDT</v>
      </c>
      <c r="D543" s="4">
        <v>90.41</v>
      </c>
      <c r="E543" s="50">
        <v>-4</v>
      </c>
      <c r="F543" s="81">
        <f>IF(Table25[[#This Row],[Number of stocks]]&gt;0,Table25[[#This Row],[Number of stocks]],0)</f>
        <v>0</v>
      </c>
      <c r="G543" s="73">
        <f>Table25[[#This Row],[Bought]]*Table25[[#This Row],[Price]]</f>
        <v>0</v>
      </c>
      <c r="H543">
        <f>SUMIF(Table25[[#All],[Assets]],Table25[[#This Row],[Assets]],Table25[[#All],[Bought]])</f>
        <v>4</v>
      </c>
      <c r="I543">
        <f>SUMIF(Table25[[#All],[Assets]],Table25[[#This Row],[Assets]],Table25[[#All],[Bought Amount]])</f>
        <v>339.72</v>
      </c>
      <c r="J543" s="88">
        <f>IF(Table25[[#This Row],[Number of stocks]]&lt;0,Table25[[#This Row],[Number of stocks]],0)</f>
        <v>-4</v>
      </c>
      <c r="K543" s="5">
        <f>Table25[[#This Row],[Sold]]*Table25[[#This Row],[Price]]</f>
        <v>-361.64</v>
      </c>
      <c r="L543" s="8">
        <f>ABS(SUMIF(Table25[[#All],[Assets]],Table25[[#This Row],[Assets]],Table25[[#All],[Sold]]))</f>
        <v>4</v>
      </c>
      <c r="M543" s="5">
        <f>ABS(SUMIF(Table25[[#All],[Assets]],Table25[[#This Row],[Assets]],Table25[[#All],[Sold Amount]]))</f>
        <v>361.64</v>
      </c>
      <c r="N543" s="5">
        <f>IFERROR(Table25[[#This Row],[Total sold amount]]/Table25[[#This Row],[Total Sold number of stocks]],"")</f>
        <v>90.41</v>
      </c>
      <c r="O543" s="4">
        <f>IFERROR(Table25[[#This Row],[Total Amount bought]]/Table25[[#This Row],[Total number bought]],"")</f>
        <v>84.93</v>
      </c>
      <c r="P543" s="4">
        <f>IFERROR((Table25[[#This Row],[Average sell price]]-Table25[[#This Row],[Average buy price]])*Table25[[#This Row],[Total Sold number of stocks]],0)</f>
        <v>21.919999999999959</v>
      </c>
      <c r="Q543" s="85">
        <f>SUMIF(Table25[[#All],[Assets]],Table25[[#This Row],[Assets]],Table25[[#All],[Number of stocks]])</f>
        <v>0</v>
      </c>
    </row>
    <row r="544" spans="1:17">
      <c r="A544" t="e" vm="259">
        <v>#VALUE!</v>
      </c>
      <c r="B544" s="2">
        <v>45594</v>
      </c>
      <c r="C544" t="str" cm="1">
        <f t="array" aca="1" ref="C544" ca="1">_FV(A544,"Ticker symbol",TRUE)</f>
        <v>GRAL</v>
      </c>
      <c r="D544" s="4">
        <v>12.95</v>
      </c>
      <c r="E544" s="50">
        <v>-15</v>
      </c>
      <c r="F544" s="81">
        <f>IF(Table25[[#This Row],[Number of stocks]]&gt;0,Table25[[#This Row],[Number of stocks]],0)</f>
        <v>0</v>
      </c>
      <c r="G544" s="73">
        <f>Table25[[#This Row],[Bought]]*Table25[[#This Row],[Price]]</f>
        <v>0</v>
      </c>
      <c r="H544">
        <f>SUMIF(Table25[[#All],[Assets]],Table25[[#This Row],[Assets]],Table25[[#All],[Bought]])</f>
        <v>100</v>
      </c>
      <c r="I544">
        <f>SUMIF(Table25[[#All],[Assets]],Table25[[#This Row],[Assets]],Table25[[#All],[Bought Amount]])</f>
        <v>1720.3</v>
      </c>
      <c r="J544" s="88">
        <f>IF(Table25[[#This Row],[Number of stocks]]&lt;0,Table25[[#This Row],[Number of stocks]],0)</f>
        <v>-15</v>
      </c>
      <c r="K544" s="5">
        <f>Table25[[#This Row],[Sold]]*Table25[[#This Row],[Price]]</f>
        <v>-194.25</v>
      </c>
      <c r="L544" s="8">
        <f>ABS(SUMIF(Table25[[#All],[Assets]],Table25[[#This Row],[Assets]],Table25[[#All],[Sold]]))</f>
        <v>100</v>
      </c>
      <c r="M544" s="5">
        <f>ABS(SUMIF(Table25[[#All],[Assets]],Table25[[#This Row],[Assets]],Table25[[#All],[Sold Amount]]))</f>
        <v>2684.8</v>
      </c>
      <c r="N544" s="5">
        <f>IFERROR(Table25[[#This Row],[Total sold amount]]/Table25[[#This Row],[Total Sold number of stocks]],"")</f>
        <v>26.848000000000003</v>
      </c>
      <c r="O544" s="4">
        <f>IFERROR(Table25[[#This Row],[Total Amount bought]]/Table25[[#This Row],[Total number bought]],"")</f>
        <v>17.202999999999999</v>
      </c>
      <c r="P544" s="4">
        <f>IFERROR((Table25[[#This Row],[Average sell price]]-Table25[[#This Row],[Average buy price]])*Table25[[#This Row],[Total Sold number of stocks]],0)</f>
        <v>964.50000000000034</v>
      </c>
      <c r="Q544" s="85">
        <f>SUMIF(Table25[[#All],[Assets]],Table25[[#This Row],[Assets]],Table25[[#All],[Number of stocks]])</f>
        <v>0</v>
      </c>
    </row>
    <row r="545" spans="1:17">
      <c r="A545" t="e" vm="344">
        <v>#VALUE!</v>
      </c>
      <c r="B545" s="2">
        <v>45594</v>
      </c>
      <c r="C545" t="str" cm="1">
        <f t="array" aca="1" ref="C545" ca="1">_FV(A545,"Ticker symbol",TRUE)</f>
        <v>QDEL</v>
      </c>
      <c r="D545" s="4">
        <v>38.29</v>
      </c>
      <c r="E545" s="50">
        <v>-6</v>
      </c>
      <c r="F545" s="81">
        <f>IF(Table25[[#This Row],[Number of stocks]]&gt;0,Table25[[#This Row],[Number of stocks]],0)</f>
        <v>0</v>
      </c>
      <c r="G545" s="73">
        <f>Table25[[#This Row],[Bought]]*Table25[[#This Row],[Price]]</f>
        <v>0</v>
      </c>
      <c r="H545">
        <f>SUMIF(Table25[[#All],[Assets]],Table25[[#This Row],[Assets]],Table25[[#All],[Bought]])</f>
        <v>26</v>
      </c>
      <c r="I545">
        <f>SUMIF(Table25[[#All],[Assets]],Table25[[#This Row],[Assets]],Table25[[#All],[Bought Amount]])</f>
        <v>1148.52</v>
      </c>
      <c r="J545" s="88">
        <f>IF(Table25[[#This Row],[Number of stocks]]&lt;0,Table25[[#This Row],[Number of stocks]],0)</f>
        <v>-6</v>
      </c>
      <c r="K545" s="5">
        <f>Table25[[#This Row],[Sold]]*Table25[[#This Row],[Price]]</f>
        <v>-229.74</v>
      </c>
      <c r="L545" s="8">
        <f>ABS(SUMIF(Table25[[#All],[Assets]],Table25[[#This Row],[Assets]],Table25[[#All],[Sold]]))</f>
        <v>26</v>
      </c>
      <c r="M545" s="5">
        <f>ABS(SUMIF(Table25[[#All],[Assets]],Table25[[#This Row],[Assets]],Table25[[#All],[Sold Amount]]))</f>
        <v>1034.74</v>
      </c>
      <c r="N545" s="5">
        <f>IFERROR(Table25[[#This Row],[Total sold amount]]/Table25[[#This Row],[Total Sold number of stocks]],"")</f>
        <v>39.797692307692309</v>
      </c>
      <c r="O545" s="4">
        <f>IFERROR(Table25[[#This Row],[Total Amount bought]]/Table25[[#This Row],[Total number bought]],"")</f>
        <v>44.173846153846156</v>
      </c>
      <c r="P545" s="4">
        <f>IFERROR((Table25[[#This Row],[Average sell price]]-Table25[[#This Row],[Average buy price]])*Table25[[#This Row],[Total Sold number of stocks]],0)</f>
        <v>-113.78000000000004</v>
      </c>
      <c r="Q545" s="85">
        <f>SUMIF(Table25[[#All],[Assets]],Table25[[#This Row],[Assets]],Table25[[#All],[Number of stocks]])</f>
        <v>0</v>
      </c>
    </row>
    <row r="546" spans="1:17">
      <c r="A546" t="e" vm="279">
        <v>#VALUE!</v>
      </c>
      <c r="B546" s="2">
        <v>45594</v>
      </c>
      <c r="C546" t="str" cm="1">
        <f t="array" aca="1" ref="C546" ca="1">_FV(A546,"Ticker symbol",TRUE)</f>
        <v>DXCM</v>
      </c>
      <c r="D546" s="4">
        <v>72.48</v>
      </c>
      <c r="E546" s="50">
        <v>-3</v>
      </c>
      <c r="F546" s="81">
        <f>IF(Table25[[#This Row],[Number of stocks]]&gt;0,Table25[[#This Row],[Number of stocks]],0)</f>
        <v>0</v>
      </c>
      <c r="G546" s="73">
        <f>Table25[[#This Row],[Bought]]*Table25[[#This Row],[Price]]</f>
        <v>0</v>
      </c>
      <c r="H546">
        <f>SUMIF(Table25[[#All],[Assets]],Table25[[#This Row],[Assets]],Table25[[#All],[Bought]])</f>
        <v>17</v>
      </c>
      <c r="I546">
        <f>SUMIF(Table25[[#All],[Assets]],Table25[[#This Row],[Assets]],Table25[[#All],[Bought Amount]])</f>
        <v>1281.7399999999998</v>
      </c>
      <c r="J546" s="88">
        <f>IF(Table25[[#This Row],[Number of stocks]]&lt;0,Table25[[#This Row],[Number of stocks]],0)</f>
        <v>-3</v>
      </c>
      <c r="K546" s="5">
        <f>Table25[[#This Row],[Sold]]*Table25[[#This Row],[Price]]</f>
        <v>-217.44</v>
      </c>
      <c r="L546" s="8">
        <f>ABS(SUMIF(Table25[[#All],[Assets]],Table25[[#This Row],[Assets]],Table25[[#All],[Sold]]))</f>
        <v>17</v>
      </c>
      <c r="M546" s="5">
        <f>ABS(SUMIF(Table25[[#All],[Assets]],Table25[[#This Row],[Assets]],Table25[[#All],[Sold Amount]]))</f>
        <v>1420.81</v>
      </c>
      <c r="N546" s="5">
        <f>IFERROR(Table25[[#This Row],[Total sold amount]]/Table25[[#This Row],[Total Sold number of stocks]],"")</f>
        <v>83.577058823529413</v>
      </c>
      <c r="O546" s="4">
        <f>IFERROR(Table25[[#This Row],[Total Amount bought]]/Table25[[#This Row],[Total number bought]],"")</f>
        <v>75.396470588235275</v>
      </c>
      <c r="P546" s="4">
        <f>IFERROR((Table25[[#This Row],[Average sell price]]-Table25[[#This Row],[Average buy price]])*Table25[[#This Row],[Total Sold number of stocks]],0)</f>
        <v>139.07000000000033</v>
      </c>
      <c r="Q546" s="85">
        <f>SUMIF(Table25[[#All],[Assets]],Table25[[#This Row],[Assets]],Table25[[#All],[Number of stocks]])</f>
        <v>0</v>
      </c>
    </row>
    <row r="547" spans="1:17">
      <c r="A547" t="e" vm="386">
        <v>#VALUE!</v>
      </c>
      <c r="B547" s="2">
        <v>45594</v>
      </c>
      <c r="C547" t="str" cm="1">
        <f t="array" aca="1" ref="C547" ca="1">_FV(A547,"Ticker symbol",TRUE)</f>
        <v>BSX</v>
      </c>
      <c r="D547" s="4">
        <v>84.78</v>
      </c>
      <c r="E547" s="50">
        <v>-5</v>
      </c>
      <c r="F547" s="81">
        <f>IF(Table25[[#This Row],[Number of stocks]]&gt;0,Table25[[#This Row],[Number of stocks]],0)</f>
        <v>0</v>
      </c>
      <c r="G547" s="73">
        <f>Table25[[#This Row],[Bought]]*Table25[[#This Row],[Price]]</f>
        <v>0</v>
      </c>
      <c r="H547">
        <f>SUMIF(Table25[[#All],[Assets]],Table25[[#This Row],[Assets]],Table25[[#All],[Bought]])</f>
        <v>10</v>
      </c>
      <c r="I547">
        <f>SUMIF(Table25[[#All],[Assets]],Table25[[#This Row],[Assets]],Table25[[#All],[Bought Amount]])</f>
        <v>784.7</v>
      </c>
      <c r="J547" s="88">
        <f>IF(Table25[[#This Row],[Number of stocks]]&lt;0,Table25[[#This Row],[Number of stocks]],0)</f>
        <v>-5</v>
      </c>
      <c r="K547" s="5">
        <f>Table25[[#This Row],[Sold]]*Table25[[#This Row],[Price]]</f>
        <v>-423.9</v>
      </c>
      <c r="L547" s="8">
        <f>ABS(SUMIF(Table25[[#All],[Assets]],Table25[[#This Row],[Assets]],Table25[[#All],[Sold]]))</f>
        <v>10</v>
      </c>
      <c r="M547" s="5">
        <f>ABS(SUMIF(Table25[[#All],[Assets]],Table25[[#This Row],[Assets]],Table25[[#All],[Sold Amount]]))</f>
        <v>847.09999999999991</v>
      </c>
      <c r="N547" s="5">
        <f>IFERROR(Table25[[#This Row],[Total sold amount]]/Table25[[#This Row],[Total Sold number of stocks]],"")</f>
        <v>84.71</v>
      </c>
      <c r="O547" s="4">
        <f>IFERROR(Table25[[#This Row],[Total Amount bought]]/Table25[[#This Row],[Total number bought]],"")</f>
        <v>78.47</v>
      </c>
      <c r="P547" s="4">
        <f>IFERROR((Table25[[#This Row],[Average sell price]]-Table25[[#This Row],[Average buy price]])*Table25[[#This Row],[Total Sold number of stocks]],0)</f>
        <v>62.399999999999949</v>
      </c>
      <c r="Q547" s="85">
        <f>SUMIF(Table25[[#All],[Assets]],Table25[[#This Row],[Assets]],Table25[[#All],[Number of stocks]])</f>
        <v>0</v>
      </c>
    </row>
    <row r="548" spans="1:17">
      <c r="A548" t="e" vm="273">
        <v>#VALUE!</v>
      </c>
      <c r="B548" s="2">
        <v>45594</v>
      </c>
      <c r="C548" t="str" cm="1">
        <f t="array" aca="1" ref="C548" ca="1">_FV(A548,"Ticker symbol",TRUE)</f>
        <v>CVRX</v>
      </c>
      <c r="D548" s="4">
        <v>10.83</v>
      </c>
      <c r="E548" s="50">
        <v>-75</v>
      </c>
      <c r="F548" s="81">
        <f>IF(Table25[[#This Row],[Number of stocks]]&gt;0,Table25[[#This Row],[Number of stocks]],0)</f>
        <v>0</v>
      </c>
      <c r="G548" s="73">
        <f>Table25[[#This Row],[Bought]]*Table25[[#This Row],[Price]]</f>
        <v>0</v>
      </c>
      <c r="H548">
        <f>SUMIF(Table25[[#All],[Assets]],Table25[[#This Row],[Assets]],Table25[[#All],[Bought]])</f>
        <v>560</v>
      </c>
      <c r="I548">
        <f>SUMIF(Table25[[#All],[Assets]],Table25[[#This Row],[Assets]],Table25[[#All],[Bought Amount]])</f>
        <v>5451</v>
      </c>
      <c r="J548" s="88">
        <f>IF(Table25[[#This Row],[Number of stocks]]&lt;0,Table25[[#This Row],[Number of stocks]],0)</f>
        <v>-75</v>
      </c>
      <c r="K548" s="5">
        <f>Table25[[#This Row],[Sold]]*Table25[[#This Row],[Price]]</f>
        <v>-812.25</v>
      </c>
      <c r="L548" s="8">
        <f>ABS(SUMIF(Table25[[#All],[Assets]],Table25[[#This Row],[Assets]],Table25[[#All],[Sold]]))</f>
        <v>560</v>
      </c>
      <c r="M548" s="5">
        <f>ABS(SUMIF(Table25[[#All],[Assets]],Table25[[#This Row],[Assets]],Table25[[#All],[Sold Amount]]))</f>
        <v>4910.5499999999993</v>
      </c>
      <c r="N548" s="5">
        <f>IFERROR(Table25[[#This Row],[Total sold amount]]/Table25[[#This Row],[Total Sold number of stocks]],"")</f>
        <v>8.7688392857142841</v>
      </c>
      <c r="O548" s="4">
        <f>IFERROR(Table25[[#This Row],[Total Amount bought]]/Table25[[#This Row],[Total number bought]],"")</f>
        <v>9.7339285714285708</v>
      </c>
      <c r="P548" s="4">
        <f>IFERROR((Table25[[#This Row],[Average sell price]]-Table25[[#This Row],[Average buy price]])*Table25[[#This Row],[Total Sold number of stocks]],0)</f>
        <v>-540.45000000000061</v>
      </c>
      <c r="Q548" s="85">
        <f>SUMIF(Table25[[#All],[Assets]],Table25[[#This Row],[Assets]],Table25[[#All],[Number of stocks]])</f>
        <v>0</v>
      </c>
    </row>
    <row r="549" spans="1:17">
      <c r="A549" t="e" vm="71">
        <v>#VALUE!</v>
      </c>
      <c r="B549" s="2">
        <v>45594</v>
      </c>
      <c r="C549" t="str" cm="1">
        <f t="array" aca="1" ref="C549" ca="1">_FV(A549,"Ticker symbol",TRUE)</f>
        <v>TKNO</v>
      </c>
      <c r="D549" s="4">
        <v>7.09</v>
      </c>
      <c r="E549" s="50">
        <v>-190</v>
      </c>
      <c r="F549" s="81">
        <f>IF(Table25[[#This Row],[Number of stocks]]&gt;0,Table25[[#This Row],[Number of stocks]],0)</f>
        <v>0</v>
      </c>
      <c r="G549" s="73">
        <f>Table25[[#This Row],[Bought]]*Table25[[#This Row],[Price]]</f>
        <v>0</v>
      </c>
      <c r="H549">
        <f>SUMIF(Table25[[#All],[Assets]],Table25[[#This Row],[Assets]],Table25[[#All],[Bought]])</f>
        <v>2166.0267990000002</v>
      </c>
      <c r="I549">
        <f>SUMIF(Table25[[#All],[Assets]],Table25[[#This Row],[Assets]],Table25[[#All],[Bought Amount]])</f>
        <v>13370.91512648</v>
      </c>
      <c r="J549" s="88">
        <f>IF(Table25[[#This Row],[Number of stocks]]&lt;0,Table25[[#This Row],[Number of stocks]],0)</f>
        <v>-190</v>
      </c>
      <c r="K549" s="5">
        <f>Table25[[#This Row],[Sold]]*Table25[[#This Row],[Price]]</f>
        <v>-1347.1</v>
      </c>
      <c r="L549" s="8">
        <f>ABS(SUMIF(Table25[[#All],[Assets]],Table25[[#This Row],[Assets]],Table25[[#All],[Sold]]))</f>
        <v>2083</v>
      </c>
      <c r="M549" s="5">
        <f>ABS(SUMIF(Table25[[#All],[Assets]],Table25[[#This Row],[Assets]],Table25[[#All],[Sold Amount]]))</f>
        <v>11153.28</v>
      </c>
      <c r="N549" s="5">
        <f>IFERROR(Table25[[#This Row],[Total sold amount]]/Table25[[#This Row],[Total Sold number of stocks]],"")</f>
        <v>5.3544311089774368</v>
      </c>
      <c r="O549" s="4">
        <f>IFERROR(Table25[[#This Row],[Total Amount bought]]/Table25[[#This Row],[Total number bought]],"")</f>
        <v>6.1730146333614213</v>
      </c>
      <c r="P549" s="4">
        <f>IFERROR((Table25[[#This Row],[Average sell price]]-Table25[[#This Row],[Average buy price]])*Table25[[#This Row],[Total Sold number of stocks]],0)</f>
        <v>-1705.1094812918398</v>
      </c>
      <c r="Q549" s="85">
        <f>SUMIF(Table25[[#All],[Assets]],Table25[[#This Row],[Assets]],Table25[[#All],[Number of stocks]])</f>
        <v>83.026798999999983</v>
      </c>
    </row>
    <row r="550" spans="1:17">
      <c r="A550" t="e" vm="297">
        <v>#VALUE!</v>
      </c>
      <c r="B550" s="2">
        <v>45594</v>
      </c>
      <c r="C550" t="str" cm="1">
        <f t="array" aca="1" ref="C550" ca="1">_FV(A550,"Ticker symbol",TRUE)</f>
        <v>LAB</v>
      </c>
      <c r="D550" s="4">
        <v>1.74</v>
      </c>
      <c r="E550" s="50">
        <v>-300</v>
      </c>
      <c r="F550" s="81">
        <f>IF(Table25[[#This Row],[Number of stocks]]&gt;0,Table25[[#This Row],[Number of stocks]],0)</f>
        <v>0</v>
      </c>
      <c r="G550" s="73">
        <f>Table25[[#This Row],[Bought]]*Table25[[#This Row],[Price]]</f>
        <v>0</v>
      </c>
      <c r="H550">
        <f>SUMIF(Table25[[#All],[Assets]],Table25[[#This Row],[Assets]],Table25[[#All],[Bought]])</f>
        <v>600</v>
      </c>
      <c r="I550">
        <f>SUMIF(Table25[[#All],[Assets]],Table25[[#This Row],[Assets]],Table25[[#All],[Bought Amount]])</f>
        <v>1056</v>
      </c>
      <c r="J550" s="88">
        <f>IF(Table25[[#This Row],[Number of stocks]]&lt;0,Table25[[#This Row],[Number of stocks]],0)</f>
        <v>-300</v>
      </c>
      <c r="K550" s="5">
        <f>Table25[[#This Row],[Sold]]*Table25[[#This Row],[Price]]</f>
        <v>-522</v>
      </c>
      <c r="L550" s="8">
        <f>ABS(SUMIF(Table25[[#All],[Assets]],Table25[[#This Row],[Assets]],Table25[[#All],[Sold]]))</f>
        <v>600</v>
      </c>
      <c r="M550" s="5">
        <f>ABS(SUMIF(Table25[[#All],[Assets]],Table25[[#This Row],[Assets]],Table25[[#All],[Sold Amount]]))</f>
        <v>1077</v>
      </c>
      <c r="N550" s="5">
        <f>IFERROR(Table25[[#This Row],[Total sold amount]]/Table25[[#This Row],[Total Sold number of stocks]],"")</f>
        <v>1.7949999999999999</v>
      </c>
      <c r="O550" s="4">
        <f>IFERROR(Table25[[#This Row],[Total Amount bought]]/Table25[[#This Row],[Total number bought]],"")</f>
        <v>1.76</v>
      </c>
      <c r="P550" s="4">
        <f>IFERROR((Table25[[#This Row],[Average sell price]]-Table25[[#This Row],[Average buy price]])*Table25[[#This Row],[Total Sold number of stocks]],0)</f>
        <v>20.99999999999995</v>
      </c>
      <c r="Q550" s="85">
        <f>SUMIF(Table25[[#All],[Assets]],Table25[[#This Row],[Assets]],Table25[[#All],[Number of stocks]])</f>
        <v>0</v>
      </c>
    </row>
    <row r="551" spans="1:17">
      <c r="A551" t="e" vm="334">
        <v>#VALUE!</v>
      </c>
      <c r="B551" s="2">
        <v>45594</v>
      </c>
      <c r="C551" t="str" cm="1">
        <f t="array" aca="1" ref="C551" ca="1">_FV(A551,"Ticker symbol",TRUE)</f>
        <v>CSTL</v>
      </c>
      <c r="D551" s="4">
        <v>33.67</v>
      </c>
      <c r="E551" s="50">
        <v>-19</v>
      </c>
      <c r="F551" s="81">
        <f>IF(Table25[[#This Row],[Number of stocks]]&gt;0,Table25[[#This Row],[Number of stocks]],0)</f>
        <v>0</v>
      </c>
      <c r="G551" s="73">
        <f>Table25[[#This Row],[Bought]]*Table25[[#This Row],[Price]]</f>
        <v>0</v>
      </c>
      <c r="H551">
        <f>SUMIF(Table25[[#All],[Assets]],Table25[[#This Row],[Assets]],Table25[[#All],[Bought]])</f>
        <v>19</v>
      </c>
      <c r="I551">
        <f>SUMIF(Table25[[#All],[Assets]],Table25[[#This Row],[Assets]],Table25[[#All],[Bought Amount]])</f>
        <v>522.82999999999993</v>
      </c>
      <c r="J551" s="88">
        <f>IF(Table25[[#This Row],[Number of stocks]]&lt;0,Table25[[#This Row],[Number of stocks]],0)</f>
        <v>-19</v>
      </c>
      <c r="K551" s="5">
        <f>Table25[[#This Row],[Sold]]*Table25[[#This Row],[Price]]</f>
        <v>-639.73</v>
      </c>
      <c r="L551" s="8">
        <f>ABS(SUMIF(Table25[[#All],[Assets]],Table25[[#This Row],[Assets]],Table25[[#All],[Sold]]))</f>
        <v>19</v>
      </c>
      <c r="M551" s="5">
        <f>ABS(SUMIF(Table25[[#All],[Assets]],Table25[[#This Row],[Assets]],Table25[[#All],[Sold Amount]]))</f>
        <v>639.73</v>
      </c>
      <c r="N551" s="5">
        <f>IFERROR(Table25[[#This Row],[Total sold amount]]/Table25[[#This Row],[Total Sold number of stocks]],"")</f>
        <v>33.67</v>
      </c>
      <c r="O551" s="4">
        <f>IFERROR(Table25[[#This Row],[Total Amount bought]]/Table25[[#This Row],[Total number bought]],"")</f>
        <v>27.517368421052627</v>
      </c>
      <c r="P551" s="4">
        <f>IFERROR((Table25[[#This Row],[Average sell price]]-Table25[[#This Row],[Average buy price]])*Table25[[#This Row],[Total Sold number of stocks]],0)</f>
        <v>116.90000000000012</v>
      </c>
      <c r="Q551" s="85">
        <f>SUMIF(Table25[[#All],[Assets]],Table25[[#This Row],[Assets]],Table25[[#All],[Number of stocks]])</f>
        <v>0</v>
      </c>
    </row>
    <row r="552" spans="1:17">
      <c r="A552" t="e" vm="386">
        <v>#VALUE!</v>
      </c>
      <c r="B552" s="2">
        <v>45594</v>
      </c>
      <c r="C552" t="str" cm="1">
        <f t="array" aca="1" ref="C552" ca="1">_FV(A552,"Ticker symbol",TRUE)</f>
        <v>BSX</v>
      </c>
      <c r="D552" s="4">
        <v>84.64</v>
      </c>
      <c r="E552" s="50">
        <v>-5</v>
      </c>
      <c r="F552" s="81">
        <f>IF(Table25[[#This Row],[Number of stocks]]&gt;0,Table25[[#This Row],[Number of stocks]],0)</f>
        <v>0</v>
      </c>
      <c r="G552" s="73">
        <f>Table25[[#This Row],[Bought]]*Table25[[#This Row],[Price]]</f>
        <v>0</v>
      </c>
      <c r="H552">
        <f>SUMIF(Table25[[#All],[Assets]],Table25[[#This Row],[Assets]],Table25[[#All],[Bought]])</f>
        <v>10</v>
      </c>
      <c r="I552">
        <f>SUMIF(Table25[[#All],[Assets]],Table25[[#This Row],[Assets]],Table25[[#All],[Bought Amount]])</f>
        <v>784.7</v>
      </c>
      <c r="J552" s="88">
        <f>IF(Table25[[#This Row],[Number of stocks]]&lt;0,Table25[[#This Row],[Number of stocks]],0)</f>
        <v>-5</v>
      </c>
      <c r="K552" s="5">
        <f>Table25[[#This Row],[Sold]]*Table25[[#This Row],[Price]]</f>
        <v>-423.2</v>
      </c>
      <c r="L552" s="8">
        <f>ABS(SUMIF(Table25[[#All],[Assets]],Table25[[#This Row],[Assets]],Table25[[#All],[Sold]]))</f>
        <v>10</v>
      </c>
      <c r="M552" s="5">
        <f>ABS(SUMIF(Table25[[#All],[Assets]],Table25[[#This Row],[Assets]],Table25[[#All],[Sold Amount]]))</f>
        <v>847.09999999999991</v>
      </c>
      <c r="N552" s="5">
        <f>IFERROR(Table25[[#This Row],[Total sold amount]]/Table25[[#This Row],[Total Sold number of stocks]],"")</f>
        <v>84.71</v>
      </c>
      <c r="O552" s="4">
        <f>IFERROR(Table25[[#This Row],[Total Amount bought]]/Table25[[#This Row],[Total number bought]],"")</f>
        <v>78.47</v>
      </c>
      <c r="P552" s="4">
        <f>IFERROR((Table25[[#This Row],[Average sell price]]-Table25[[#This Row],[Average buy price]])*Table25[[#This Row],[Total Sold number of stocks]],0)</f>
        <v>62.399999999999949</v>
      </c>
      <c r="Q552" s="85">
        <f>SUMIF(Table25[[#All],[Assets]],Table25[[#This Row],[Assets]],Table25[[#All],[Number of stocks]])</f>
        <v>0</v>
      </c>
    </row>
    <row r="553" spans="1:17">
      <c r="A553" t="e" vm="455">
        <v>#VALUE!</v>
      </c>
      <c r="B553" s="2">
        <v>45594</v>
      </c>
      <c r="C553" t="str" cm="1">
        <f t="array" aca="1" ref="C553" ca="1">_FV(A553,"Ticker symbol",TRUE)</f>
        <v>SGOV</v>
      </c>
      <c r="D553" s="4">
        <v>100.68</v>
      </c>
      <c r="E553" s="50">
        <v>80</v>
      </c>
      <c r="F553" s="81">
        <f>IF(Table25[[#This Row],[Number of stocks]]&gt;0,Table25[[#This Row],[Number of stocks]],0)</f>
        <v>80</v>
      </c>
      <c r="G553" s="73">
        <f>Table25[[#This Row],[Bought]]*Table25[[#This Row],[Price]]</f>
        <v>8054.4000000000005</v>
      </c>
      <c r="H553">
        <f>SUMIF(Table25[[#All],[Assets]],Table25[[#This Row],[Assets]],Table25[[#All],[Bought]])</f>
        <v>96</v>
      </c>
      <c r="I553">
        <f>SUMIF(Table25[[#All],[Assets]],Table25[[#This Row],[Assets]],Table25[[#All],[Bought Amount]])</f>
        <v>9661.36</v>
      </c>
      <c r="J553" s="88">
        <f>IF(Table25[[#This Row],[Number of stocks]]&lt;0,Table25[[#This Row],[Number of stocks]],0)</f>
        <v>0</v>
      </c>
      <c r="K553" s="5">
        <f>Table25[[#This Row],[Sold]]*Table25[[#This Row],[Price]]</f>
        <v>0</v>
      </c>
      <c r="L553" s="8">
        <f>ABS(SUMIF(Table25[[#All],[Assets]],Table25[[#This Row],[Assets]],Table25[[#All],[Sold]]))</f>
        <v>96</v>
      </c>
      <c r="M553" s="5">
        <f>ABS(SUMIF(Table25[[#All],[Assets]],Table25[[#This Row],[Assets]],Table25[[#All],[Sold Amount]]))</f>
        <v>9600.9399999999987</v>
      </c>
      <c r="N553" s="5">
        <f>IFERROR(Table25[[#This Row],[Total sold amount]]/Table25[[#This Row],[Total Sold number of stocks]],"")</f>
        <v>100.00979166666666</v>
      </c>
      <c r="O553" s="4">
        <f>IFERROR(Table25[[#This Row],[Total Amount bought]]/Table25[[#This Row],[Total number bought]],"")</f>
        <v>100.63916666666667</v>
      </c>
      <c r="P553" s="4">
        <f>IFERROR((Table25[[#This Row],[Average sell price]]-Table25[[#This Row],[Average buy price]])*Table25[[#This Row],[Total Sold number of stocks]],0)</f>
        <v>-60.420000000000982</v>
      </c>
      <c r="Q553" s="85">
        <f>SUMIF(Table25[[#All],[Assets]],Table25[[#This Row],[Assets]],Table25[[#All],[Number of stocks]])</f>
        <v>0</v>
      </c>
    </row>
    <row r="554" spans="1:17">
      <c r="A554" t="e" vm="102">
        <v>#VALUE!</v>
      </c>
      <c r="B554" s="2">
        <v>45594</v>
      </c>
      <c r="C554" t="str" cm="1">
        <f t="array" aca="1" ref="C554" ca="1">_FV(A554,"Ticker symbol",TRUE)</f>
        <v>GM</v>
      </c>
      <c r="D554" s="4">
        <v>51.69</v>
      </c>
      <c r="E554" s="50">
        <v>10</v>
      </c>
      <c r="F554" s="81">
        <f>IF(Table25[[#This Row],[Number of stocks]]&gt;0,Table25[[#This Row],[Number of stocks]],0)</f>
        <v>10</v>
      </c>
      <c r="G554" s="73">
        <f>Table25[[#This Row],[Bought]]*Table25[[#This Row],[Price]]</f>
        <v>516.9</v>
      </c>
      <c r="H554">
        <f>SUMIF(Table25[[#All],[Assets]],Table25[[#This Row],[Assets]],Table25[[#All],[Bought]])</f>
        <v>20</v>
      </c>
      <c r="I554">
        <f>SUMIF(Table25[[#All],[Assets]],Table25[[#This Row],[Assets]],Table25[[#All],[Bought Amount]])</f>
        <v>1050.3000000000002</v>
      </c>
      <c r="J554" s="88">
        <f>IF(Table25[[#This Row],[Number of stocks]]&lt;0,Table25[[#This Row],[Number of stocks]],0)</f>
        <v>0</v>
      </c>
      <c r="K554" s="5">
        <f>Table25[[#This Row],[Sold]]*Table25[[#This Row],[Price]]</f>
        <v>0</v>
      </c>
      <c r="L554" s="8">
        <f>ABS(SUMIF(Table25[[#All],[Assets]],Table25[[#This Row],[Assets]],Table25[[#All],[Sold]]))</f>
        <v>20</v>
      </c>
      <c r="M554" s="5">
        <f>ABS(SUMIF(Table25[[#All],[Assets]],Table25[[#This Row],[Assets]],Table25[[#All],[Sold Amount]]))</f>
        <v>963.4</v>
      </c>
      <c r="N554" s="5">
        <f>IFERROR(Table25[[#This Row],[Total sold amount]]/Table25[[#This Row],[Total Sold number of stocks]],"")</f>
        <v>48.17</v>
      </c>
      <c r="O554" s="4">
        <f>IFERROR(Table25[[#This Row],[Total Amount bought]]/Table25[[#This Row],[Total number bought]],"")</f>
        <v>52.515000000000008</v>
      </c>
      <c r="P554" s="4">
        <f>IFERROR((Table25[[#This Row],[Average sell price]]-Table25[[#This Row],[Average buy price]])*Table25[[#This Row],[Total Sold number of stocks]],0)</f>
        <v>-86.900000000000119</v>
      </c>
      <c r="Q554" s="85">
        <f>SUMIF(Table25[[#All],[Assets]],Table25[[#This Row],[Assets]],Table25[[#All],[Number of stocks]])</f>
        <v>0</v>
      </c>
    </row>
    <row r="555" spans="1:17">
      <c r="A555" t="e" vm="21">
        <v>#VALUE!</v>
      </c>
      <c r="B555" s="2">
        <v>45594</v>
      </c>
      <c r="C555" t="str" cm="1">
        <f t="array" aca="1" ref="C555" ca="1">_FV(A555,"Ticker symbol",TRUE)</f>
        <v>INTC</v>
      </c>
      <c r="D555" s="4">
        <v>23.07</v>
      </c>
      <c r="E555" s="50">
        <v>20</v>
      </c>
      <c r="F555" s="81">
        <f>IF(Table25[[#This Row],[Number of stocks]]&gt;0,Table25[[#This Row],[Number of stocks]],0)</f>
        <v>20</v>
      </c>
      <c r="G555" s="73">
        <f>Table25[[#This Row],[Bought]]*Table25[[#This Row],[Price]]</f>
        <v>461.4</v>
      </c>
      <c r="H555">
        <f>SUMIF(Table25[[#All],[Assets]],Table25[[#This Row],[Assets]],Table25[[#All],[Bought]])</f>
        <v>334.73663899999997</v>
      </c>
      <c r="I555">
        <f>SUMIF(Table25[[#All],[Assets]],Table25[[#This Row],[Assets]],Table25[[#All],[Bought Amount]])</f>
        <v>9755.9173948600001</v>
      </c>
      <c r="J555" s="88">
        <f>IF(Table25[[#This Row],[Number of stocks]]&lt;0,Table25[[#This Row],[Number of stocks]],0)</f>
        <v>0</v>
      </c>
      <c r="K555" s="5">
        <f>Table25[[#This Row],[Sold]]*Table25[[#This Row],[Price]]</f>
        <v>0</v>
      </c>
      <c r="L555" s="8">
        <f>ABS(SUMIF(Table25[[#All],[Assets]],Table25[[#This Row],[Assets]],Table25[[#All],[Sold]]))</f>
        <v>334.74</v>
      </c>
      <c r="M555" s="5">
        <f>ABS(SUMIF(Table25[[#All],[Assets]],Table25[[#This Row],[Assets]],Table25[[#All],[Sold Amount]]))</f>
        <v>7909.2053999999998</v>
      </c>
      <c r="N555" s="5">
        <f>IFERROR(Table25[[#This Row],[Total sold amount]]/Table25[[#This Row],[Total Sold number of stocks]],"")</f>
        <v>23.627906434844952</v>
      </c>
      <c r="O555" s="4">
        <f>IFERROR(Table25[[#This Row],[Total Amount bought]]/Table25[[#This Row],[Total number bought]],"")</f>
        <v>29.145053926588542</v>
      </c>
      <c r="P555" s="4">
        <f>IFERROR((Table25[[#This Row],[Average sell price]]-Table25[[#This Row],[Average buy price]])*Table25[[#This Row],[Total Sold number of stocks]],0)</f>
        <v>-1846.8099513862492</v>
      </c>
      <c r="Q555" s="85">
        <f>SUMIF(Table25[[#All],[Assets]],Table25[[#This Row],[Assets]],Table25[[#All],[Number of stocks]])</f>
        <v>-3.3610000000123819E-3</v>
      </c>
    </row>
    <row r="556" spans="1:17">
      <c r="A556" t="e" vm="26">
        <v>#VALUE!</v>
      </c>
      <c r="B556" s="2">
        <v>45593</v>
      </c>
      <c r="C556" t="str" cm="1">
        <f t="array" aca="1" ref="C556" ca="1">_FV(A556,"Ticker symbol",TRUE)</f>
        <v>AEHR</v>
      </c>
      <c r="D556" s="4">
        <v>16.37</v>
      </c>
      <c r="E556" s="50">
        <v>-50</v>
      </c>
      <c r="F556" s="81">
        <f>IF(Table25[[#This Row],[Number of stocks]]&gt;0,Table25[[#This Row],[Number of stocks]],0)</f>
        <v>0</v>
      </c>
      <c r="G556" s="73">
        <f>Table25[[#This Row],[Bought]]*Table25[[#This Row],[Price]]</f>
        <v>0</v>
      </c>
      <c r="H556">
        <f>SUMIF(Table25[[#All],[Assets]],Table25[[#This Row],[Assets]],Table25[[#All],[Bought]])</f>
        <v>559</v>
      </c>
      <c r="I556">
        <f>SUMIF(Table25[[#All],[Assets]],Table25[[#This Row],[Assets]],Table25[[#All],[Bought Amount]])</f>
        <v>7405.6399999999994</v>
      </c>
      <c r="J556" s="88">
        <f>IF(Table25[[#This Row],[Number of stocks]]&lt;0,Table25[[#This Row],[Number of stocks]],0)</f>
        <v>-50</v>
      </c>
      <c r="K556" s="5">
        <f>Table25[[#This Row],[Sold]]*Table25[[#This Row],[Price]]</f>
        <v>-818.5</v>
      </c>
      <c r="L556" s="8">
        <f>ABS(SUMIF(Table25[[#All],[Assets]],Table25[[#This Row],[Assets]],Table25[[#All],[Sold]]))</f>
        <v>539</v>
      </c>
      <c r="M556" s="5">
        <f>ABS(SUMIF(Table25[[#All],[Assets]],Table25[[#This Row],[Assets]],Table25[[#All],[Sold Amount]]))</f>
        <v>9662.32</v>
      </c>
      <c r="N556" s="5">
        <f>IFERROR(Table25[[#This Row],[Total sold amount]]/Table25[[#This Row],[Total Sold number of stocks]],"")</f>
        <v>17.92638218923933</v>
      </c>
      <c r="O556" s="4">
        <f>IFERROR(Table25[[#This Row],[Total Amount bought]]/Table25[[#This Row],[Total number bought]],"")</f>
        <v>13.248014311270124</v>
      </c>
      <c r="P556" s="4">
        <f>IFERROR((Table25[[#This Row],[Average sell price]]-Table25[[#This Row],[Average buy price]])*Table25[[#This Row],[Total Sold number of stocks]],0)</f>
        <v>2521.6402862254022</v>
      </c>
      <c r="Q556" s="85">
        <f>SUMIF(Table25[[#All],[Assets]],Table25[[#This Row],[Assets]],Table25[[#All],[Number of stocks]])</f>
        <v>20</v>
      </c>
    </row>
    <row r="557" spans="1:17">
      <c r="A557" t="e" vm="26">
        <v>#VALUE!</v>
      </c>
      <c r="B557" s="2">
        <v>45590</v>
      </c>
      <c r="C557" t="str" cm="1">
        <f t="array" aca="1" ref="C557" ca="1">_FV(A557,"Ticker symbol",TRUE)</f>
        <v>AEHR</v>
      </c>
      <c r="D557" s="4">
        <v>16.52</v>
      </c>
      <c r="E557" s="50">
        <v>-50</v>
      </c>
      <c r="F557" s="81">
        <f>IF(Table25[[#This Row],[Number of stocks]]&gt;0,Table25[[#This Row],[Number of stocks]],0)</f>
        <v>0</v>
      </c>
      <c r="G557" s="73">
        <f>Table25[[#This Row],[Bought]]*Table25[[#This Row],[Price]]</f>
        <v>0</v>
      </c>
      <c r="H557">
        <f>SUMIF(Table25[[#All],[Assets]],Table25[[#This Row],[Assets]],Table25[[#All],[Bought]])</f>
        <v>559</v>
      </c>
      <c r="I557">
        <f>SUMIF(Table25[[#All],[Assets]],Table25[[#This Row],[Assets]],Table25[[#All],[Bought Amount]])</f>
        <v>7405.6399999999994</v>
      </c>
      <c r="J557" s="88">
        <f>IF(Table25[[#This Row],[Number of stocks]]&lt;0,Table25[[#This Row],[Number of stocks]],0)</f>
        <v>-50</v>
      </c>
      <c r="K557" s="5">
        <f>Table25[[#This Row],[Sold]]*Table25[[#This Row],[Price]]</f>
        <v>-826</v>
      </c>
      <c r="L557" s="8">
        <f>ABS(SUMIF(Table25[[#All],[Assets]],Table25[[#This Row],[Assets]],Table25[[#All],[Sold]]))</f>
        <v>539</v>
      </c>
      <c r="M557" s="5">
        <f>ABS(SUMIF(Table25[[#All],[Assets]],Table25[[#This Row],[Assets]],Table25[[#All],[Sold Amount]]))</f>
        <v>9662.32</v>
      </c>
      <c r="N557" s="5">
        <f>IFERROR(Table25[[#This Row],[Total sold amount]]/Table25[[#This Row],[Total Sold number of stocks]],"")</f>
        <v>17.92638218923933</v>
      </c>
      <c r="O557" s="4">
        <f>IFERROR(Table25[[#This Row],[Total Amount bought]]/Table25[[#This Row],[Total number bought]],"")</f>
        <v>13.248014311270124</v>
      </c>
      <c r="P557" s="4">
        <f>IFERROR((Table25[[#This Row],[Average sell price]]-Table25[[#This Row],[Average buy price]])*Table25[[#This Row],[Total Sold number of stocks]],0)</f>
        <v>2521.6402862254022</v>
      </c>
      <c r="Q557" s="85">
        <f>SUMIF(Table25[[#All],[Assets]],Table25[[#This Row],[Assets]],Table25[[#All],[Number of stocks]])</f>
        <v>20</v>
      </c>
    </row>
    <row r="558" spans="1:17">
      <c r="A558" t="e" vm="13">
        <v>#VALUE!</v>
      </c>
      <c r="B558" s="2">
        <v>45590</v>
      </c>
      <c r="C558" t="str" cm="1">
        <f t="array" aca="1" ref="C558" ca="1">_FV(A558,"Ticker symbol",TRUE)</f>
        <v>ON</v>
      </c>
      <c r="D558" s="4">
        <v>71.42</v>
      </c>
      <c r="E558" s="50">
        <v>5</v>
      </c>
      <c r="F558" s="81">
        <f>IF(Table25[[#This Row],[Number of stocks]]&gt;0,Table25[[#This Row],[Number of stocks]],0)</f>
        <v>5</v>
      </c>
      <c r="G558" s="73">
        <f>Table25[[#This Row],[Bought]]*Table25[[#This Row],[Price]]</f>
        <v>357.1</v>
      </c>
      <c r="H558">
        <f>SUMIF(Table25[[#All],[Assets]],Table25[[#This Row],[Assets]],Table25[[#All],[Bought]])</f>
        <v>326</v>
      </c>
      <c r="I558">
        <f>SUMIF(Table25[[#All],[Assets]],Table25[[#This Row],[Assets]],Table25[[#All],[Bought Amount]])</f>
        <v>19172.809999999998</v>
      </c>
      <c r="J558" s="88">
        <f>IF(Table25[[#This Row],[Number of stocks]]&lt;0,Table25[[#This Row],[Number of stocks]],0)</f>
        <v>0</v>
      </c>
      <c r="K558" s="5">
        <f>Table25[[#This Row],[Sold]]*Table25[[#This Row],[Price]]</f>
        <v>0</v>
      </c>
      <c r="L558" s="8">
        <f>ABS(SUMIF(Table25[[#All],[Assets]],Table25[[#This Row],[Assets]],Table25[[#All],[Sold]]))</f>
        <v>283</v>
      </c>
      <c r="M558" s="5">
        <f>ABS(SUMIF(Table25[[#All],[Assets]],Table25[[#This Row],[Assets]],Table25[[#All],[Sold Amount]]))</f>
        <v>15700.74</v>
      </c>
      <c r="N558" s="5">
        <f>IFERROR(Table25[[#This Row],[Total sold amount]]/Table25[[#This Row],[Total Sold number of stocks]],"")</f>
        <v>55.47964664310954</v>
      </c>
      <c r="O558" s="4">
        <f>IFERROR(Table25[[#This Row],[Total Amount bought]]/Table25[[#This Row],[Total number bought]],"")</f>
        <v>58.812300613496923</v>
      </c>
      <c r="P558" s="4">
        <f>IFERROR((Table25[[#This Row],[Average sell price]]-Table25[[#This Row],[Average buy price]])*Table25[[#This Row],[Total Sold number of stocks]],0)</f>
        <v>-943.14107361962954</v>
      </c>
      <c r="Q558" s="85">
        <f>SUMIF(Table25[[#All],[Assets]],Table25[[#This Row],[Assets]],Table25[[#All],[Number of stocks]])</f>
        <v>43</v>
      </c>
    </row>
    <row r="559" spans="1:17">
      <c r="A559" t="e" vm="22">
        <v>#VALUE!</v>
      </c>
      <c r="B559" s="2">
        <v>45590</v>
      </c>
      <c r="C559" t="str" cm="1">
        <f t="array" aca="1" ref="C559" ca="1">_FV(A559,"Ticker symbol",TRUE)</f>
        <v>RMBS</v>
      </c>
      <c r="D559" s="4">
        <v>43</v>
      </c>
      <c r="E559" s="50">
        <v>10</v>
      </c>
      <c r="F559" s="81">
        <f>IF(Table25[[#This Row],[Number of stocks]]&gt;0,Table25[[#This Row],[Number of stocks]],0)</f>
        <v>10</v>
      </c>
      <c r="G559" s="73">
        <f>Table25[[#This Row],[Bought]]*Table25[[#This Row],[Price]]</f>
        <v>430</v>
      </c>
      <c r="H559">
        <f>SUMIF(Table25[[#All],[Assets]],Table25[[#This Row],[Assets]],Table25[[#All],[Bought]])</f>
        <v>36</v>
      </c>
      <c r="I559">
        <f>SUMIF(Table25[[#All],[Assets]],Table25[[#This Row],[Assets]],Table25[[#All],[Bought Amount]])</f>
        <v>1746.8</v>
      </c>
      <c r="J559" s="88">
        <f>IF(Table25[[#This Row],[Number of stocks]]&lt;0,Table25[[#This Row],[Number of stocks]],0)</f>
        <v>0</v>
      </c>
      <c r="K559" s="5">
        <f>Table25[[#This Row],[Sold]]*Table25[[#This Row],[Price]]</f>
        <v>0</v>
      </c>
      <c r="L559" s="8">
        <f>ABS(SUMIF(Table25[[#All],[Assets]],Table25[[#This Row],[Assets]],Table25[[#All],[Sold]]))</f>
        <v>25</v>
      </c>
      <c r="M559" s="5">
        <f>ABS(SUMIF(Table25[[#All],[Assets]],Table25[[#This Row],[Assets]],Table25[[#All],[Sold Amount]]))</f>
        <v>1340.1</v>
      </c>
      <c r="N559" s="5">
        <f>IFERROR(Table25[[#This Row],[Total sold amount]]/Table25[[#This Row],[Total Sold number of stocks]],"")</f>
        <v>53.603999999999999</v>
      </c>
      <c r="O559" s="4">
        <f>IFERROR(Table25[[#This Row],[Total Amount bought]]/Table25[[#This Row],[Total number bought]],"")</f>
        <v>48.522222222222219</v>
      </c>
      <c r="P559" s="4">
        <f>IFERROR((Table25[[#This Row],[Average sell price]]-Table25[[#This Row],[Average buy price]])*Table25[[#This Row],[Total Sold number of stocks]],0)</f>
        <v>127.04444444444451</v>
      </c>
      <c r="Q559" s="85">
        <f>SUMIF(Table25[[#All],[Assets]],Table25[[#This Row],[Assets]],Table25[[#All],[Number of stocks]])</f>
        <v>11</v>
      </c>
    </row>
    <row r="560" spans="1:17">
      <c r="A560" t="e" vm="150">
        <v>#VALUE!</v>
      </c>
      <c r="B560" s="2">
        <v>45590</v>
      </c>
      <c r="C560" t="str" cm="1">
        <f t="array" aca="1" ref="C560" ca="1">_FV(A560,"Ticker symbol",TRUE)</f>
        <v>CIEN</v>
      </c>
      <c r="D560" s="4">
        <v>65.53</v>
      </c>
      <c r="E560" s="50">
        <v>6</v>
      </c>
      <c r="F560" s="81">
        <f>IF(Table25[[#This Row],[Number of stocks]]&gt;0,Table25[[#This Row],[Number of stocks]],0)</f>
        <v>6</v>
      </c>
      <c r="G560" s="73">
        <f>Table25[[#This Row],[Bought]]*Table25[[#This Row],[Price]]</f>
        <v>393.18</v>
      </c>
      <c r="H560">
        <f>SUMIF(Table25[[#All],[Assets]],Table25[[#This Row],[Assets]],Table25[[#All],[Bought]])</f>
        <v>12</v>
      </c>
      <c r="I560">
        <f>SUMIF(Table25[[#All],[Assets]],Table25[[#This Row],[Assets]],Table25[[#All],[Bought Amount]])</f>
        <v>727.5</v>
      </c>
      <c r="J560" s="88">
        <f>IF(Table25[[#This Row],[Number of stocks]]&lt;0,Table25[[#This Row],[Number of stocks]],0)</f>
        <v>0</v>
      </c>
      <c r="K560" s="5">
        <f>Table25[[#This Row],[Sold]]*Table25[[#This Row],[Price]]</f>
        <v>0</v>
      </c>
      <c r="L560" s="8">
        <f>ABS(SUMIF(Table25[[#All],[Assets]],Table25[[#This Row],[Assets]],Table25[[#All],[Sold]]))</f>
        <v>12</v>
      </c>
      <c r="M560" s="5">
        <f>ABS(SUMIF(Table25[[#All],[Assets]],Table25[[#This Row],[Assets]],Table25[[#All],[Sold Amount]]))</f>
        <v>1017.96</v>
      </c>
      <c r="N560" s="5">
        <f>IFERROR(Table25[[#This Row],[Total sold amount]]/Table25[[#This Row],[Total Sold number of stocks]],"")</f>
        <v>84.83</v>
      </c>
      <c r="O560" s="4">
        <f>IFERROR(Table25[[#This Row],[Total Amount bought]]/Table25[[#This Row],[Total number bought]],"")</f>
        <v>60.625</v>
      </c>
      <c r="P560" s="4">
        <f>IFERROR((Table25[[#This Row],[Average sell price]]-Table25[[#This Row],[Average buy price]])*Table25[[#This Row],[Total Sold number of stocks]],0)</f>
        <v>290.45999999999998</v>
      </c>
      <c r="Q560" s="85">
        <f>SUMIF(Table25[[#All],[Assets]],Table25[[#This Row],[Assets]],Table25[[#All],[Number of stocks]])</f>
        <v>0</v>
      </c>
    </row>
    <row r="561" spans="1:17">
      <c r="A561" t="e" vm="228">
        <v>#VALUE!</v>
      </c>
      <c r="B561" s="2">
        <v>45590</v>
      </c>
      <c r="C561" t="str" cm="1">
        <f t="array" aca="1" ref="C561" ca="1">_FV(A561,"Ticker symbol",TRUE)</f>
        <v>BILL</v>
      </c>
      <c r="D561" s="4">
        <v>55.44</v>
      </c>
      <c r="E561" s="50">
        <v>-15</v>
      </c>
      <c r="F561" s="81">
        <f>IF(Table25[[#This Row],[Number of stocks]]&gt;0,Table25[[#This Row],[Number of stocks]],0)</f>
        <v>0</v>
      </c>
      <c r="G561" s="73">
        <f>Table25[[#This Row],[Bought]]*Table25[[#This Row],[Price]]</f>
        <v>0</v>
      </c>
      <c r="H561">
        <f>SUMIF(Table25[[#All],[Assets]],Table25[[#This Row],[Assets]],Table25[[#All],[Bought]])</f>
        <v>101</v>
      </c>
      <c r="I561">
        <f>SUMIF(Table25[[#All],[Assets]],Table25[[#This Row],[Assets]],Table25[[#All],[Bought Amount]])</f>
        <v>5292.3600000000006</v>
      </c>
      <c r="J561" s="88">
        <f>IF(Table25[[#This Row],[Number of stocks]]&lt;0,Table25[[#This Row],[Number of stocks]],0)</f>
        <v>-15</v>
      </c>
      <c r="K561" s="5">
        <f>Table25[[#This Row],[Sold]]*Table25[[#This Row],[Price]]</f>
        <v>-831.59999999999991</v>
      </c>
      <c r="L561" s="8">
        <f>ABS(SUMIF(Table25[[#All],[Assets]],Table25[[#This Row],[Assets]],Table25[[#All],[Sold]]))</f>
        <v>101</v>
      </c>
      <c r="M561" s="5">
        <f>ABS(SUMIF(Table25[[#All],[Assets]],Table25[[#This Row],[Assets]],Table25[[#All],[Sold Amount]]))</f>
        <v>5973.49</v>
      </c>
      <c r="N561" s="5">
        <f>IFERROR(Table25[[#This Row],[Total sold amount]]/Table25[[#This Row],[Total Sold number of stocks]],"")</f>
        <v>59.143465346534654</v>
      </c>
      <c r="O561" s="4">
        <f>IFERROR(Table25[[#This Row],[Total Amount bought]]/Table25[[#This Row],[Total number bought]],"")</f>
        <v>52.399603960396043</v>
      </c>
      <c r="P561" s="4">
        <f>IFERROR((Table25[[#This Row],[Average sell price]]-Table25[[#This Row],[Average buy price]])*Table25[[#This Row],[Total Sold number of stocks]],0)</f>
        <v>681.12999999999977</v>
      </c>
      <c r="Q561" s="85">
        <f>SUMIF(Table25[[#All],[Assets]],Table25[[#This Row],[Assets]],Table25[[#All],[Number of stocks]])</f>
        <v>0</v>
      </c>
    </row>
    <row r="562" spans="1:17">
      <c r="A562" t="e" vm="228">
        <v>#VALUE!</v>
      </c>
      <c r="B562" s="2">
        <v>45572</v>
      </c>
      <c r="C562" t="str" cm="1">
        <f t="array" aca="1" ref="C562" ca="1">_FV(A562,"Ticker symbol",TRUE)</f>
        <v>BILL</v>
      </c>
      <c r="D562" s="4">
        <v>56.67</v>
      </c>
      <c r="E562" s="50">
        <v>18</v>
      </c>
      <c r="F562" s="81">
        <f>IF(Table25[[#This Row],[Number of stocks]]&gt;0,Table25[[#This Row],[Number of stocks]],0)</f>
        <v>18</v>
      </c>
      <c r="G562" s="73">
        <f>Table25[[#This Row],[Bought]]*Table25[[#This Row],[Price]]</f>
        <v>1020.0600000000001</v>
      </c>
      <c r="H562">
        <f>SUMIF(Table25[[#All],[Assets]],Table25[[#This Row],[Assets]],Table25[[#All],[Bought]])</f>
        <v>101</v>
      </c>
      <c r="I562">
        <f>SUMIF(Table25[[#All],[Assets]],Table25[[#This Row],[Assets]],Table25[[#All],[Bought Amount]])</f>
        <v>5292.3600000000006</v>
      </c>
      <c r="J562" s="88">
        <f>IF(Table25[[#This Row],[Number of stocks]]&lt;0,Table25[[#This Row],[Number of stocks]],0)</f>
        <v>0</v>
      </c>
      <c r="K562" s="5">
        <f>Table25[[#This Row],[Sold]]*Table25[[#This Row],[Price]]</f>
        <v>0</v>
      </c>
      <c r="L562" s="8">
        <f>ABS(SUMIF(Table25[[#All],[Assets]],Table25[[#This Row],[Assets]],Table25[[#All],[Sold]]))</f>
        <v>101</v>
      </c>
      <c r="M562" s="5">
        <f>ABS(SUMIF(Table25[[#All],[Assets]],Table25[[#This Row],[Assets]],Table25[[#All],[Sold Amount]]))</f>
        <v>5973.49</v>
      </c>
      <c r="N562" s="5">
        <f>IFERROR(Table25[[#This Row],[Total sold amount]]/Table25[[#This Row],[Total Sold number of stocks]],"")</f>
        <v>59.143465346534654</v>
      </c>
      <c r="O562" s="4">
        <f>IFERROR(Table25[[#This Row],[Total Amount bought]]/Table25[[#This Row],[Total number bought]],"")</f>
        <v>52.399603960396043</v>
      </c>
      <c r="P562" s="4">
        <f>IFERROR((Table25[[#This Row],[Average sell price]]-Table25[[#This Row],[Average buy price]])*Table25[[#This Row],[Total Sold number of stocks]],0)</f>
        <v>681.12999999999977</v>
      </c>
      <c r="Q562" s="85">
        <f>SUMIF(Table25[[#All],[Assets]],Table25[[#This Row],[Assets]],Table25[[#All],[Number of stocks]])</f>
        <v>0</v>
      </c>
    </row>
    <row r="563" spans="1:17">
      <c r="A563" t="e" vm="228">
        <v>#VALUE!</v>
      </c>
      <c r="B563" s="2">
        <v>45569</v>
      </c>
      <c r="C563" t="str" cm="1">
        <f t="array" aca="1" ref="C563" ca="1">_FV(A563,"Ticker symbol",TRUE)</f>
        <v>BILL</v>
      </c>
      <c r="D563" s="4">
        <v>57.1</v>
      </c>
      <c r="E563" s="50">
        <v>3</v>
      </c>
      <c r="F563" s="81">
        <f>IF(Table25[[#This Row],[Number of stocks]]&gt;0,Table25[[#This Row],[Number of stocks]],0)</f>
        <v>3</v>
      </c>
      <c r="G563" s="73">
        <f>Table25[[#This Row],[Bought]]*Table25[[#This Row],[Price]]</f>
        <v>171.3</v>
      </c>
      <c r="H563">
        <f>SUMIF(Table25[[#All],[Assets]],Table25[[#This Row],[Assets]],Table25[[#All],[Bought]])</f>
        <v>101</v>
      </c>
      <c r="I563">
        <f>SUMIF(Table25[[#All],[Assets]],Table25[[#This Row],[Assets]],Table25[[#All],[Bought Amount]])</f>
        <v>5292.3600000000006</v>
      </c>
      <c r="J563" s="88">
        <f>IF(Table25[[#This Row],[Number of stocks]]&lt;0,Table25[[#This Row],[Number of stocks]],0)</f>
        <v>0</v>
      </c>
      <c r="K563" s="5">
        <f>Table25[[#This Row],[Sold]]*Table25[[#This Row],[Price]]</f>
        <v>0</v>
      </c>
      <c r="L563" s="8">
        <f>ABS(SUMIF(Table25[[#All],[Assets]],Table25[[#This Row],[Assets]],Table25[[#All],[Sold]]))</f>
        <v>101</v>
      </c>
      <c r="M563" s="5">
        <f>ABS(SUMIF(Table25[[#All],[Assets]],Table25[[#This Row],[Assets]],Table25[[#All],[Sold Amount]]))</f>
        <v>5973.49</v>
      </c>
      <c r="N563" s="5">
        <f>IFERROR(Table25[[#This Row],[Total sold amount]]/Table25[[#This Row],[Total Sold number of stocks]],"")</f>
        <v>59.143465346534654</v>
      </c>
      <c r="O563" s="4">
        <f>IFERROR(Table25[[#This Row],[Total Amount bought]]/Table25[[#This Row],[Total number bought]],"")</f>
        <v>52.399603960396043</v>
      </c>
      <c r="P563" s="4">
        <f>IFERROR((Table25[[#This Row],[Average sell price]]-Table25[[#This Row],[Average buy price]])*Table25[[#This Row],[Total Sold number of stocks]],0)</f>
        <v>681.12999999999977</v>
      </c>
      <c r="Q563" s="85">
        <f>SUMIF(Table25[[#All],[Assets]],Table25[[#This Row],[Assets]],Table25[[#All],[Number of stocks]])</f>
        <v>0</v>
      </c>
    </row>
    <row r="564" spans="1:17">
      <c r="A564" t="e" vm="54">
        <v>#VALUE!</v>
      </c>
      <c r="B564" s="2">
        <v>45595</v>
      </c>
      <c r="C564" t="str" cm="1">
        <f t="array" aca="1" ref="C564" ca="1">_FV(A564,"Ticker symbol",TRUE)</f>
        <v>AR</v>
      </c>
      <c r="D564" s="4">
        <v>28.05</v>
      </c>
      <c r="E564" s="50">
        <v>40</v>
      </c>
      <c r="F564" s="81">
        <f>IF(Table25[[#This Row],[Number of stocks]]&gt;0,Table25[[#This Row],[Number of stocks]],0)</f>
        <v>40</v>
      </c>
      <c r="G564" s="73">
        <f>Table25[[#This Row],[Bought]]*Table25[[#This Row],[Price]]</f>
        <v>1122</v>
      </c>
      <c r="H564">
        <f>SUMIF(Table25[[#All],[Assets]],Table25[[#This Row],[Assets]],Table25[[#All],[Bought]])</f>
        <v>210</v>
      </c>
      <c r="I564">
        <f>SUMIF(Table25[[#All],[Assets]],Table25[[#This Row],[Assets]],Table25[[#All],[Bought Amount]])</f>
        <v>6833.5000000000009</v>
      </c>
      <c r="J564" s="88">
        <f>IF(Table25[[#This Row],[Number of stocks]]&lt;0,Table25[[#This Row],[Number of stocks]],0)</f>
        <v>0</v>
      </c>
      <c r="K564" s="5">
        <f>Table25[[#This Row],[Sold]]*Table25[[#This Row],[Price]]</f>
        <v>0</v>
      </c>
      <c r="L564" s="8">
        <f>ABS(SUMIF(Table25[[#All],[Assets]],Table25[[#This Row],[Assets]],Table25[[#All],[Sold]]))</f>
        <v>180</v>
      </c>
      <c r="M564" s="5">
        <f>ABS(SUMIF(Table25[[#All],[Assets]],Table25[[#This Row],[Assets]],Table25[[#All],[Sold Amount]]))</f>
        <v>6156.15</v>
      </c>
      <c r="N564" s="5">
        <f>IFERROR(Table25[[#This Row],[Total sold amount]]/Table25[[#This Row],[Total Sold number of stocks]],"")</f>
        <v>34.200833333333328</v>
      </c>
      <c r="O564" s="4">
        <f>IFERROR(Table25[[#This Row],[Total Amount bought]]/Table25[[#This Row],[Total number bought]],"")</f>
        <v>32.540476190476198</v>
      </c>
      <c r="P564" s="4">
        <f>IFERROR((Table25[[#This Row],[Average sell price]]-Table25[[#This Row],[Average buy price]])*Table25[[#This Row],[Total Sold number of stocks]],0)</f>
        <v>298.86428571428337</v>
      </c>
      <c r="Q564" s="85">
        <f>SUMIF(Table25[[#All],[Assets]],Table25[[#This Row],[Assets]],Table25[[#All],[Number of stocks]])</f>
        <v>30</v>
      </c>
    </row>
    <row r="565" spans="1:17">
      <c r="A565" t="e" vm="54">
        <v>#VALUE!</v>
      </c>
      <c r="B565" s="2">
        <v>45595</v>
      </c>
      <c r="C565" t="str" cm="1">
        <f t="array" aca="1" ref="C565" ca="1">_FV(A565,"Ticker symbol",TRUE)</f>
        <v>AR</v>
      </c>
      <c r="D565" s="4">
        <v>28.12</v>
      </c>
      <c r="E565" s="50">
        <v>40</v>
      </c>
      <c r="F565" s="81">
        <f>IF(Table25[[#This Row],[Number of stocks]]&gt;0,Table25[[#This Row],[Number of stocks]],0)</f>
        <v>40</v>
      </c>
      <c r="G565" s="73">
        <f>Table25[[#This Row],[Bought]]*Table25[[#This Row],[Price]]</f>
        <v>1124.8</v>
      </c>
      <c r="H565">
        <f>SUMIF(Table25[[#All],[Assets]],Table25[[#This Row],[Assets]],Table25[[#All],[Bought]])</f>
        <v>210</v>
      </c>
      <c r="I565">
        <f>SUMIF(Table25[[#All],[Assets]],Table25[[#This Row],[Assets]],Table25[[#All],[Bought Amount]])</f>
        <v>6833.5000000000009</v>
      </c>
      <c r="J565" s="88">
        <f>IF(Table25[[#This Row],[Number of stocks]]&lt;0,Table25[[#This Row],[Number of stocks]],0)</f>
        <v>0</v>
      </c>
      <c r="K565" s="5">
        <f>Table25[[#This Row],[Sold]]*Table25[[#This Row],[Price]]</f>
        <v>0</v>
      </c>
      <c r="L565" s="8">
        <f>ABS(SUMIF(Table25[[#All],[Assets]],Table25[[#This Row],[Assets]],Table25[[#All],[Sold]]))</f>
        <v>180</v>
      </c>
      <c r="M565" s="5">
        <f>ABS(SUMIF(Table25[[#All],[Assets]],Table25[[#This Row],[Assets]],Table25[[#All],[Sold Amount]]))</f>
        <v>6156.15</v>
      </c>
      <c r="N565" s="5">
        <f>IFERROR(Table25[[#This Row],[Total sold amount]]/Table25[[#This Row],[Total Sold number of stocks]],"")</f>
        <v>34.200833333333328</v>
      </c>
      <c r="O565" s="4">
        <f>IFERROR(Table25[[#This Row],[Total Amount bought]]/Table25[[#This Row],[Total number bought]],"")</f>
        <v>32.540476190476198</v>
      </c>
      <c r="P565" s="4">
        <f>IFERROR((Table25[[#This Row],[Average sell price]]-Table25[[#This Row],[Average buy price]])*Table25[[#This Row],[Total Sold number of stocks]],0)</f>
        <v>298.86428571428337</v>
      </c>
      <c r="Q565" s="85">
        <f>SUMIF(Table25[[#All],[Assets]],Table25[[#This Row],[Assets]],Table25[[#All],[Number of stocks]])</f>
        <v>30</v>
      </c>
    </row>
    <row r="566" spans="1:17">
      <c r="A566" t="e" vm="313">
        <v>#VALUE!</v>
      </c>
      <c r="B566" s="2">
        <v>45596</v>
      </c>
      <c r="C566" t="str" cm="1">
        <f t="array" aca="1" ref="C566" ca="1">_FV(A566,"Ticker symbol",TRUE)</f>
        <v>APLD</v>
      </c>
      <c r="D566" s="4">
        <v>6.82</v>
      </c>
      <c r="E566" s="50">
        <v>-50</v>
      </c>
      <c r="F566" s="81">
        <f>IF(Table25[[#This Row],[Number of stocks]]&gt;0,Table25[[#This Row],[Number of stocks]],0)</f>
        <v>0</v>
      </c>
      <c r="G566" s="73">
        <f>Table25[[#This Row],[Bought]]*Table25[[#This Row],[Price]]</f>
        <v>0</v>
      </c>
      <c r="H566">
        <f>SUMIF(Table25[[#All],[Assets]],Table25[[#This Row],[Assets]],Table25[[#All],[Bought]])</f>
        <v>380</v>
      </c>
      <c r="I566">
        <f>SUMIF(Table25[[#All],[Assets]],Table25[[#This Row],[Assets]],Table25[[#All],[Bought Amount]])</f>
        <v>2450.8000000000002</v>
      </c>
      <c r="J566" s="88">
        <f>IF(Table25[[#This Row],[Number of stocks]]&lt;0,Table25[[#This Row],[Number of stocks]],0)</f>
        <v>-50</v>
      </c>
      <c r="K566" s="5">
        <f>Table25[[#This Row],[Sold]]*Table25[[#This Row],[Price]]</f>
        <v>-341</v>
      </c>
      <c r="L566" s="8">
        <f>ABS(SUMIF(Table25[[#All],[Assets]],Table25[[#This Row],[Assets]],Table25[[#All],[Sold]]))</f>
        <v>380</v>
      </c>
      <c r="M566" s="5">
        <f>ABS(SUMIF(Table25[[#All],[Assets]],Table25[[#This Row],[Assets]],Table25[[#All],[Sold Amount]]))</f>
        <v>2418.3000000000002</v>
      </c>
      <c r="N566" s="5">
        <f>IFERROR(Table25[[#This Row],[Total sold amount]]/Table25[[#This Row],[Total Sold number of stocks]],"")</f>
        <v>6.3639473684210532</v>
      </c>
      <c r="O566" s="4">
        <f>IFERROR(Table25[[#This Row],[Total Amount bought]]/Table25[[#This Row],[Total number bought]],"")</f>
        <v>6.4494736842105267</v>
      </c>
      <c r="P566" s="4">
        <f>IFERROR((Table25[[#This Row],[Average sell price]]-Table25[[#This Row],[Average buy price]])*Table25[[#This Row],[Total Sold number of stocks]],0)</f>
        <v>-32.499999999999915</v>
      </c>
      <c r="Q566" s="85">
        <f>SUMIF(Table25[[#All],[Assets]],Table25[[#This Row],[Assets]],Table25[[#All],[Number of stocks]])</f>
        <v>0</v>
      </c>
    </row>
    <row r="567" spans="1:17">
      <c r="A567" t="e" vm="309">
        <v>#VALUE!</v>
      </c>
      <c r="B567" s="2">
        <v>45596</v>
      </c>
      <c r="C567" t="str" cm="1">
        <f t="array" aca="1" ref="C567" ca="1">_FV(A567,"Ticker symbol",TRUE)</f>
        <v>IREN</v>
      </c>
      <c r="D567" s="4">
        <v>9.8000000000000007</v>
      </c>
      <c r="E567" s="50">
        <v>-48</v>
      </c>
      <c r="F567" s="81">
        <f>IF(Table25[[#This Row],[Number of stocks]]&gt;0,Table25[[#This Row],[Number of stocks]],0)</f>
        <v>0</v>
      </c>
      <c r="G567" s="73">
        <f>Table25[[#This Row],[Bought]]*Table25[[#This Row],[Price]]</f>
        <v>0</v>
      </c>
      <c r="H567">
        <f>SUMIF(Table25[[#All],[Assets]],Table25[[#This Row],[Assets]],Table25[[#All],[Bought]])</f>
        <v>48</v>
      </c>
      <c r="I567">
        <f>SUMIF(Table25[[#All],[Assets]],Table25[[#This Row],[Assets]],Table25[[#All],[Bought Amount]])</f>
        <v>545.28</v>
      </c>
      <c r="J567" s="88">
        <f>IF(Table25[[#This Row],[Number of stocks]]&lt;0,Table25[[#This Row],[Number of stocks]],0)</f>
        <v>-48</v>
      </c>
      <c r="K567" s="5">
        <f>Table25[[#This Row],[Sold]]*Table25[[#This Row],[Price]]</f>
        <v>-470.40000000000003</v>
      </c>
      <c r="L567" s="8">
        <f>ABS(SUMIF(Table25[[#All],[Assets]],Table25[[#This Row],[Assets]],Table25[[#All],[Sold]]))</f>
        <v>48</v>
      </c>
      <c r="M567" s="5">
        <f>ABS(SUMIF(Table25[[#All],[Assets]],Table25[[#This Row],[Assets]],Table25[[#All],[Sold Amount]]))</f>
        <v>470.40000000000003</v>
      </c>
      <c r="N567" s="5">
        <f>IFERROR(Table25[[#This Row],[Total sold amount]]/Table25[[#This Row],[Total Sold number of stocks]],"")</f>
        <v>9.8000000000000007</v>
      </c>
      <c r="O567" s="4">
        <f>IFERROR(Table25[[#This Row],[Total Amount bought]]/Table25[[#This Row],[Total number bought]],"")</f>
        <v>11.36</v>
      </c>
      <c r="P567" s="4">
        <f>IFERROR((Table25[[#This Row],[Average sell price]]-Table25[[#This Row],[Average buy price]])*Table25[[#This Row],[Total Sold number of stocks]],0)</f>
        <v>-74.879999999999939</v>
      </c>
      <c r="Q567" s="85">
        <f>SUMIF(Table25[[#All],[Assets]],Table25[[#This Row],[Assets]],Table25[[#All],[Number of stocks]])</f>
        <v>0</v>
      </c>
    </row>
    <row r="568" spans="1:17">
      <c r="A568" t="e" vm="286">
        <v>#VALUE!</v>
      </c>
      <c r="B568" s="2">
        <v>45595</v>
      </c>
      <c r="C568" t="str" cm="1">
        <f t="array" aca="1" ref="C568" ca="1">_FV(A568,"Ticker symbol",TRUE)</f>
        <v>KMI</v>
      </c>
      <c r="D568" s="4">
        <v>24.95</v>
      </c>
      <c r="E568" s="50">
        <v>20</v>
      </c>
      <c r="F568" s="81">
        <f>IF(Table25[[#This Row],[Number of stocks]]&gt;0,Table25[[#This Row],[Number of stocks]],0)</f>
        <v>20</v>
      </c>
      <c r="G568" s="73">
        <f>Table25[[#This Row],[Bought]]*Table25[[#This Row],[Price]]</f>
        <v>499</v>
      </c>
      <c r="H568">
        <f>SUMIF(Table25[[#All],[Assets]],Table25[[#This Row],[Assets]],Table25[[#All],[Bought]])</f>
        <v>20</v>
      </c>
      <c r="I568">
        <f>SUMIF(Table25[[#All],[Assets]],Table25[[#This Row],[Assets]],Table25[[#All],[Bought Amount]])</f>
        <v>499</v>
      </c>
      <c r="J568" s="88">
        <f>IF(Table25[[#This Row],[Number of stocks]]&lt;0,Table25[[#This Row],[Number of stocks]],0)</f>
        <v>0</v>
      </c>
      <c r="K568" s="5">
        <f>Table25[[#This Row],[Sold]]*Table25[[#This Row],[Price]]</f>
        <v>0</v>
      </c>
      <c r="L568" s="8">
        <f>ABS(SUMIF(Table25[[#All],[Assets]],Table25[[#This Row],[Assets]],Table25[[#All],[Sold]]))</f>
        <v>20</v>
      </c>
      <c r="M568" s="5">
        <f>ABS(SUMIF(Table25[[#All],[Assets]],Table25[[#This Row],[Assets]],Table25[[#All],[Sold Amount]]))</f>
        <v>517</v>
      </c>
      <c r="N568" s="5">
        <f>IFERROR(Table25[[#This Row],[Total sold amount]]/Table25[[#This Row],[Total Sold number of stocks]],"")</f>
        <v>25.85</v>
      </c>
      <c r="O568" s="4">
        <f>IFERROR(Table25[[#This Row],[Total Amount bought]]/Table25[[#This Row],[Total number bought]],"")</f>
        <v>24.95</v>
      </c>
      <c r="P568" s="4">
        <f>IFERROR((Table25[[#This Row],[Average sell price]]-Table25[[#This Row],[Average buy price]])*Table25[[#This Row],[Total Sold number of stocks]],0)</f>
        <v>18.000000000000043</v>
      </c>
      <c r="Q568" s="85">
        <f>SUMIF(Table25[[#All],[Assets]],Table25[[#This Row],[Assets]],Table25[[#All],[Number of stocks]])</f>
        <v>0</v>
      </c>
    </row>
    <row r="569" spans="1:17">
      <c r="A569" t="e" vm="319">
        <v>#VALUE!</v>
      </c>
      <c r="B569" s="2">
        <v>45596</v>
      </c>
      <c r="C569" t="str" cm="1">
        <f t="array" aca="1" ref="C569" ca="1">_FV(A569,"Ticker symbol",TRUE)</f>
        <v>PTON</v>
      </c>
      <c r="D569" s="4">
        <v>8.36</v>
      </c>
      <c r="E569" s="50">
        <v>-60</v>
      </c>
      <c r="F569" s="81">
        <f>IF(Table25[[#This Row],[Number of stocks]]&gt;0,Table25[[#This Row],[Number of stocks]],0)</f>
        <v>0</v>
      </c>
      <c r="G569" s="73">
        <f>Table25[[#This Row],[Bought]]*Table25[[#This Row],[Price]]</f>
        <v>0</v>
      </c>
      <c r="H569">
        <f>SUMIF(Table25[[#All],[Assets]],Table25[[#This Row],[Assets]],Table25[[#All],[Bought]])</f>
        <v>60</v>
      </c>
      <c r="I569">
        <f>SUMIF(Table25[[#All],[Assets]],Table25[[#This Row],[Assets]],Table25[[#All],[Bought Amount]])</f>
        <v>308.39999999999998</v>
      </c>
      <c r="J569" s="88">
        <f>IF(Table25[[#This Row],[Number of stocks]]&lt;0,Table25[[#This Row],[Number of stocks]],0)</f>
        <v>-60</v>
      </c>
      <c r="K569" s="5">
        <f>Table25[[#This Row],[Sold]]*Table25[[#This Row],[Price]]</f>
        <v>-501.59999999999997</v>
      </c>
      <c r="L569" s="8">
        <f>ABS(SUMIF(Table25[[#All],[Assets]],Table25[[#This Row],[Assets]],Table25[[#All],[Sold]]))</f>
        <v>60</v>
      </c>
      <c r="M569" s="5">
        <f>ABS(SUMIF(Table25[[#All],[Assets]],Table25[[#This Row],[Assets]],Table25[[#All],[Sold Amount]]))</f>
        <v>501.59999999999997</v>
      </c>
      <c r="N569" s="5">
        <f>IFERROR(Table25[[#This Row],[Total sold amount]]/Table25[[#This Row],[Total Sold number of stocks]],"")</f>
        <v>8.36</v>
      </c>
      <c r="O569" s="4">
        <f>IFERROR(Table25[[#This Row],[Total Amount bought]]/Table25[[#This Row],[Total number bought]],"")</f>
        <v>5.14</v>
      </c>
      <c r="P569" s="4">
        <f>IFERROR((Table25[[#This Row],[Average sell price]]-Table25[[#This Row],[Average buy price]])*Table25[[#This Row],[Total Sold number of stocks]],0)</f>
        <v>193.2</v>
      </c>
      <c r="Q569" s="85">
        <f>SUMIF(Table25[[#All],[Assets]],Table25[[#This Row],[Assets]],Table25[[#All],[Number of stocks]])</f>
        <v>0</v>
      </c>
    </row>
    <row r="570" spans="1:17">
      <c r="A570" t="e" vm="518">
        <v>#VALUE!</v>
      </c>
      <c r="B570" s="2">
        <v>45597</v>
      </c>
      <c r="C570" t="str" cm="1">
        <f t="array" aca="1" ref="C570" ca="1">_FV(A570,"Ticker symbol",TRUE)</f>
        <v>SNDX</v>
      </c>
      <c r="D570" s="4">
        <v>19.149999999999999</v>
      </c>
      <c r="E570" s="50">
        <v>20</v>
      </c>
      <c r="F570" s="81">
        <f>IF(Table25[[#This Row],[Number of stocks]]&gt;0,Table25[[#This Row],[Number of stocks]],0)</f>
        <v>20</v>
      </c>
      <c r="G570" s="73">
        <f>Table25[[#This Row],[Bought]]*Table25[[#This Row],[Price]]</f>
        <v>383</v>
      </c>
      <c r="H570">
        <f>SUMIF(Table25[[#All],[Assets]],Table25[[#This Row],[Assets]],Table25[[#All],[Bought]])</f>
        <v>20</v>
      </c>
      <c r="I570">
        <f>SUMIF(Table25[[#All],[Assets]],Table25[[#This Row],[Assets]],Table25[[#All],[Bought Amount]])</f>
        <v>383</v>
      </c>
      <c r="J570" s="88">
        <f>IF(Table25[[#This Row],[Number of stocks]]&lt;0,Table25[[#This Row],[Number of stocks]],0)</f>
        <v>0</v>
      </c>
      <c r="K570" s="5">
        <f>Table25[[#This Row],[Sold]]*Table25[[#This Row],[Price]]</f>
        <v>0</v>
      </c>
      <c r="L570" s="8">
        <f>ABS(SUMIF(Table25[[#All],[Assets]],Table25[[#This Row],[Assets]],Table25[[#All],[Sold]]))</f>
        <v>20</v>
      </c>
      <c r="M570" s="5">
        <f>ABS(SUMIF(Table25[[#All],[Assets]],Table25[[#This Row],[Assets]],Table25[[#All],[Sold Amount]]))</f>
        <v>198</v>
      </c>
      <c r="N570" s="5">
        <f>IFERROR(Table25[[#This Row],[Total sold amount]]/Table25[[#This Row],[Total Sold number of stocks]],"")</f>
        <v>9.9</v>
      </c>
      <c r="O570" s="4">
        <f>IFERROR(Table25[[#This Row],[Total Amount bought]]/Table25[[#This Row],[Total number bought]],"")</f>
        <v>19.149999999999999</v>
      </c>
      <c r="P570" s="4">
        <f>IFERROR((Table25[[#This Row],[Average sell price]]-Table25[[#This Row],[Average buy price]])*Table25[[#This Row],[Total Sold number of stocks]],0)</f>
        <v>-184.99999999999997</v>
      </c>
      <c r="Q570" s="85">
        <f>SUMIF(Table25[[#All],[Assets]],Table25[[#This Row],[Assets]],Table25[[#All],[Number of stocks]])</f>
        <v>0</v>
      </c>
    </row>
    <row r="571" spans="1:17">
      <c r="A571" t="e" vm="307">
        <v>#VALUE!</v>
      </c>
      <c r="B571" s="2">
        <v>45600</v>
      </c>
      <c r="C571" t="str" cm="1">
        <f t="array" aca="1" ref="C571" ca="1">_FV(A571,"Ticker symbol",TRUE)</f>
        <v>LHX</v>
      </c>
      <c r="D571" s="4">
        <v>248.14</v>
      </c>
      <c r="E571" s="50">
        <v>2</v>
      </c>
      <c r="F571" s="81">
        <f>IF(Table25[[#This Row],[Number of stocks]]&gt;0,Table25[[#This Row],[Number of stocks]],0)</f>
        <v>2</v>
      </c>
      <c r="G571" s="73">
        <f>Table25[[#This Row],[Bought]]*Table25[[#This Row],[Price]]</f>
        <v>496.28</v>
      </c>
      <c r="H571">
        <f>SUMIF(Table25[[#All],[Assets]],Table25[[#This Row],[Assets]],Table25[[#All],[Bought]])</f>
        <v>4</v>
      </c>
      <c r="I571">
        <f>SUMIF(Table25[[#All],[Assets]],Table25[[#This Row],[Assets]],Table25[[#All],[Bought Amount]])</f>
        <v>1005.28</v>
      </c>
      <c r="J571" s="88">
        <f>IF(Table25[[#This Row],[Number of stocks]]&lt;0,Table25[[#This Row],[Number of stocks]],0)</f>
        <v>0</v>
      </c>
      <c r="K571" s="5">
        <f>Table25[[#This Row],[Sold]]*Table25[[#This Row],[Price]]</f>
        <v>0</v>
      </c>
      <c r="L571" s="8">
        <f>ABS(SUMIF(Table25[[#All],[Assets]],Table25[[#This Row],[Assets]],Table25[[#All],[Sold]]))</f>
        <v>4</v>
      </c>
      <c r="M571" s="5">
        <f>ABS(SUMIF(Table25[[#All],[Assets]],Table25[[#This Row],[Assets]],Table25[[#All],[Sold Amount]]))</f>
        <v>927.24</v>
      </c>
      <c r="N571" s="5">
        <f>IFERROR(Table25[[#This Row],[Total sold amount]]/Table25[[#This Row],[Total Sold number of stocks]],"")</f>
        <v>231.81</v>
      </c>
      <c r="O571" s="4">
        <f>IFERROR(Table25[[#This Row],[Total Amount bought]]/Table25[[#This Row],[Total number bought]],"")</f>
        <v>251.32</v>
      </c>
      <c r="P571" s="4">
        <f>IFERROR((Table25[[#This Row],[Average sell price]]-Table25[[#This Row],[Average buy price]])*Table25[[#This Row],[Total Sold number of stocks]],0)</f>
        <v>-78.039999999999964</v>
      </c>
      <c r="Q571" s="85">
        <f>SUMIF(Table25[[#All],[Assets]],Table25[[#This Row],[Assets]],Table25[[#All],[Number of stocks]])</f>
        <v>0</v>
      </c>
    </row>
    <row r="572" spans="1:17">
      <c r="A572" t="e" vm="57">
        <v>#VALUE!</v>
      </c>
      <c r="B572" s="2">
        <v>45600</v>
      </c>
      <c r="C572" t="str" cm="1">
        <f t="array" aca="1" ref="C572" ca="1">_FV(A572,"Ticker symbol",TRUE)</f>
        <v>EXE</v>
      </c>
      <c r="D572" s="4">
        <v>84.37</v>
      </c>
      <c r="E572" s="50">
        <v>4</v>
      </c>
      <c r="F572" s="81">
        <f>IF(Table25[[#This Row],[Number of stocks]]&gt;0,Table25[[#This Row],[Number of stocks]],0)</f>
        <v>4</v>
      </c>
      <c r="G572" s="73">
        <f>Table25[[#This Row],[Bought]]*Table25[[#This Row],[Price]]</f>
        <v>337.48</v>
      </c>
      <c r="H572">
        <f>SUMIF(Table25[[#All],[Assets]],Table25[[#This Row],[Assets]],Table25[[#All],[Bought]])</f>
        <v>4</v>
      </c>
      <c r="I572">
        <f>SUMIF(Table25[[#All],[Assets]],Table25[[#This Row],[Assets]],Table25[[#All],[Bought Amount]])</f>
        <v>337.48</v>
      </c>
      <c r="J572" s="88">
        <f>IF(Table25[[#This Row],[Number of stocks]]&lt;0,Table25[[#This Row],[Number of stocks]],0)</f>
        <v>0</v>
      </c>
      <c r="K572" s="5">
        <f>Table25[[#This Row],[Sold]]*Table25[[#This Row],[Price]]</f>
        <v>0</v>
      </c>
      <c r="L572" s="8">
        <f>ABS(SUMIF(Table25[[#All],[Assets]],Table25[[#This Row],[Assets]],Table25[[#All],[Sold]]))</f>
        <v>4</v>
      </c>
      <c r="M572" s="5">
        <f>ABS(SUMIF(Table25[[#All],[Assets]],Table25[[#This Row],[Assets]],Table25[[#All],[Sold Amount]]))</f>
        <v>396</v>
      </c>
      <c r="N572" s="5">
        <f>IFERROR(Table25[[#This Row],[Total sold amount]]/Table25[[#This Row],[Total Sold number of stocks]],"")</f>
        <v>99</v>
      </c>
      <c r="O572" s="4">
        <f>IFERROR(Table25[[#This Row],[Total Amount bought]]/Table25[[#This Row],[Total number bought]],"")</f>
        <v>84.37</v>
      </c>
      <c r="P572" s="4">
        <f>IFERROR((Table25[[#This Row],[Average sell price]]-Table25[[#This Row],[Average buy price]])*Table25[[#This Row],[Total Sold number of stocks]],0)</f>
        <v>58.519999999999982</v>
      </c>
      <c r="Q572" s="85">
        <f>SUMIF(Table25[[#All],[Assets]],Table25[[#This Row],[Assets]],Table25[[#All],[Number of stocks]])</f>
        <v>0</v>
      </c>
    </row>
    <row r="573" spans="1:17">
      <c r="A573" t="e" vm="21">
        <v>#VALUE!</v>
      </c>
      <c r="B573" s="2">
        <v>45601</v>
      </c>
      <c r="C573" t="str" cm="1">
        <f t="array" aca="1" ref="C573" ca="1">_FV(A573,"Ticker symbol",TRUE)</f>
        <v>INTC</v>
      </c>
      <c r="D573" s="4">
        <v>24.68</v>
      </c>
      <c r="E573" s="50">
        <v>40</v>
      </c>
      <c r="F573" s="81">
        <f>IF(Table25[[#This Row],[Number of stocks]]&gt;0,Table25[[#This Row],[Number of stocks]],0)</f>
        <v>40</v>
      </c>
      <c r="G573" s="73">
        <f>Table25[[#This Row],[Bought]]*Table25[[#This Row],[Price]]</f>
        <v>987.2</v>
      </c>
      <c r="H573">
        <f>SUMIF(Table25[[#All],[Assets]],Table25[[#This Row],[Assets]],Table25[[#All],[Bought]])</f>
        <v>334.73663899999997</v>
      </c>
      <c r="I573">
        <f>SUMIF(Table25[[#All],[Assets]],Table25[[#This Row],[Assets]],Table25[[#All],[Bought Amount]])</f>
        <v>9755.9173948600001</v>
      </c>
      <c r="J573" s="88">
        <f>IF(Table25[[#This Row],[Number of stocks]]&lt;0,Table25[[#This Row],[Number of stocks]],0)</f>
        <v>0</v>
      </c>
      <c r="K573" s="5">
        <f>Table25[[#This Row],[Sold]]*Table25[[#This Row],[Price]]</f>
        <v>0</v>
      </c>
      <c r="L573" s="8">
        <f>ABS(SUMIF(Table25[[#All],[Assets]],Table25[[#This Row],[Assets]],Table25[[#All],[Sold]]))</f>
        <v>334.74</v>
      </c>
      <c r="M573" s="5">
        <f>ABS(SUMIF(Table25[[#All],[Assets]],Table25[[#This Row],[Assets]],Table25[[#All],[Sold Amount]]))</f>
        <v>7909.2053999999998</v>
      </c>
      <c r="N573" s="5">
        <f>IFERROR(Table25[[#This Row],[Total sold amount]]/Table25[[#This Row],[Total Sold number of stocks]],"")</f>
        <v>23.627906434844952</v>
      </c>
      <c r="O573" s="4">
        <f>IFERROR(Table25[[#This Row],[Total Amount bought]]/Table25[[#This Row],[Total number bought]],"")</f>
        <v>29.145053926588542</v>
      </c>
      <c r="P573" s="4">
        <f>IFERROR((Table25[[#This Row],[Average sell price]]-Table25[[#This Row],[Average buy price]])*Table25[[#This Row],[Total Sold number of stocks]],0)</f>
        <v>-1846.8099513862492</v>
      </c>
      <c r="Q573" s="85">
        <f>SUMIF(Table25[[#All],[Assets]],Table25[[#This Row],[Assets]],Table25[[#All],[Number of stocks]])</f>
        <v>-3.3610000000123819E-3</v>
      </c>
    </row>
    <row r="574" spans="1:17">
      <c r="A574" t="e" vm="455">
        <v>#VALUE!</v>
      </c>
      <c r="B574" s="2">
        <v>45602</v>
      </c>
      <c r="C574" t="str" cm="1">
        <f t="array" aca="1" ref="C574" ca="1">_FV(A574,"Ticker symbol",TRUE)</f>
        <v>SGOV</v>
      </c>
      <c r="D574" s="4">
        <v>100.38</v>
      </c>
      <c r="E574" s="50">
        <v>-10</v>
      </c>
      <c r="F574" s="81">
        <f>IF(Table25[[#This Row],[Number of stocks]]&gt;0,Table25[[#This Row],[Number of stocks]],0)</f>
        <v>0</v>
      </c>
      <c r="G574" s="73">
        <f>Table25[[#This Row],[Bought]]*Table25[[#This Row],[Price]]</f>
        <v>0</v>
      </c>
      <c r="H574">
        <f>SUMIF(Table25[[#All],[Assets]],Table25[[#This Row],[Assets]],Table25[[#All],[Bought]])</f>
        <v>96</v>
      </c>
      <c r="I574">
        <f>SUMIF(Table25[[#All],[Assets]],Table25[[#This Row],[Assets]],Table25[[#All],[Bought Amount]])</f>
        <v>9661.36</v>
      </c>
      <c r="J574" s="88">
        <f>IF(Table25[[#This Row],[Number of stocks]]&lt;0,Table25[[#This Row],[Number of stocks]],0)</f>
        <v>-10</v>
      </c>
      <c r="K574" s="5">
        <f>Table25[[#This Row],[Sold]]*Table25[[#This Row],[Price]]</f>
        <v>-1003.8</v>
      </c>
      <c r="L574" s="8">
        <f>ABS(SUMIF(Table25[[#All],[Assets]],Table25[[#This Row],[Assets]],Table25[[#All],[Sold]]))</f>
        <v>96</v>
      </c>
      <c r="M574" s="5">
        <f>ABS(SUMIF(Table25[[#All],[Assets]],Table25[[#This Row],[Assets]],Table25[[#All],[Sold Amount]]))</f>
        <v>9600.9399999999987</v>
      </c>
      <c r="N574" s="5">
        <f>IFERROR(Table25[[#This Row],[Total sold amount]]/Table25[[#This Row],[Total Sold number of stocks]],"")</f>
        <v>100.00979166666666</v>
      </c>
      <c r="O574" s="4">
        <f>IFERROR(Table25[[#This Row],[Total Amount bought]]/Table25[[#This Row],[Total number bought]],"")</f>
        <v>100.63916666666667</v>
      </c>
      <c r="P574" s="4">
        <f>IFERROR((Table25[[#This Row],[Average sell price]]-Table25[[#This Row],[Average buy price]])*Table25[[#This Row],[Total Sold number of stocks]],0)</f>
        <v>-60.420000000000982</v>
      </c>
      <c r="Q574" s="85">
        <f>SUMIF(Table25[[#All],[Assets]],Table25[[#This Row],[Assets]],Table25[[#All],[Number of stocks]])</f>
        <v>0</v>
      </c>
    </row>
    <row r="575" spans="1:17">
      <c r="A575" t="e" vm="455">
        <v>#VALUE!</v>
      </c>
      <c r="B575" s="2">
        <v>45604</v>
      </c>
      <c r="C575" t="str" cm="1">
        <f t="array" aca="1" ref="C575" ca="1">_FV(A575,"Ticker symbol",TRUE)</f>
        <v>SGOV</v>
      </c>
      <c r="D575" s="4">
        <v>100.43</v>
      </c>
      <c r="E575" s="50">
        <v>-15</v>
      </c>
      <c r="F575" s="81">
        <f>IF(Table25[[#This Row],[Number of stocks]]&gt;0,Table25[[#This Row],[Number of stocks]],0)</f>
        <v>0</v>
      </c>
      <c r="G575" s="73">
        <f>Table25[[#This Row],[Bought]]*Table25[[#This Row],[Price]]</f>
        <v>0</v>
      </c>
      <c r="H575">
        <f>SUMIF(Table25[[#All],[Assets]],Table25[[#This Row],[Assets]],Table25[[#All],[Bought]])</f>
        <v>96</v>
      </c>
      <c r="I575">
        <f>SUMIF(Table25[[#All],[Assets]],Table25[[#This Row],[Assets]],Table25[[#All],[Bought Amount]])</f>
        <v>9661.36</v>
      </c>
      <c r="J575" s="88">
        <f>IF(Table25[[#This Row],[Number of stocks]]&lt;0,Table25[[#This Row],[Number of stocks]],0)</f>
        <v>-15</v>
      </c>
      <c r="K575" s="5">
        <f>Table25[[#This Row],[Sold]]*Table25[[#This Row],[Price]]</f>
        <v>-1506.45</v>
      </c>
      <c r="L575" s="8">
        <f>ABS(SUMIF(Table25[[#All],[Assets]],Table25[[#This Row],[Assets]],Table25[[#All],[Sold]]))</f>
        <v>96</v>
      </c>
      <c r="M575" s="5">
        <f>ABS(SUMIF(Table25[[#All],[Assets]],Table25[[#This Row],[Assets]],Table25[[#All],[Sold Amount]]))</f>
        <v>9600.9399999999987</v>
      </c>
      <c r="N575" s="5">
        <f>IFERROR(Table25[[#This Row],[Total sold amount]]/Table25[[#This Row],[Total Sold number of stocks]],"")</f>
        <v>100.00979166666666</v>
      </c>
      <c r="O575" s="4">
        <f>IFERROR(Table25[[#This Row],[Total Amount bought]]/Table25[[#This Row],[Total number bought]],"")</f>
        <v>100.63916666666667</v>
      </c>
      <c r="P575" s="4">
        <f>IFERROR((Table25[[#This Row],[Average sell price]]-Table25[[#This Row],[Average buy price]])*Table25[[#This Row],[Total Sold number of stocks]],0)</f>
        <v>-60.420000000000982</v>
      </c>
      <c r="Q575" s="85">
        <f>SUMIF(Table25[[#All],[Assets]],Table25[[#This Row],[Assets]],Table25[[#All],[Number of stocks]])</f>
        <v>0</v>
      </c>
    </row>
    <row r="576" spans="1:17">
      <c r="A576" t="e" vm="71">
        <v>#VALUE!</v>
      </c>
      <c r="B576" s="2">
        <v>45604</v>
      </c>
      <c r="C576" t="str" cm="1">
        <f t="array" aca="1" ref="C576" ca="1">_FV(A576,"Ticker symbol",TRUE)</f>
        <v>TKNO</v>
      </c>
      <c r="D576" s="4">
        <v>7.19</v>
      </c>
      <c r="E576" s="50">
        <v>200</v>
      </c>
      <c r="F576" s="81">
        <f>IF(Table25[[#This Row],[Number of stocks]]&gt;0,Table25[[#This Row],[Number of stocks]],0)</f>
        <v>200</v>
      </c>
      <c r="G576" s="73">
        <f>Table25[[#This Row],[Bought]]*Table25[[#This Row],[Price]]</f>
        <v>1438</v>
      </c>
      <c r="H576">
        <f>SUMIF(Table25[[#All],[Assets]],Table25[[#This Row],[Assets]],Table25[[#All],[Bought]])</f>
        <v>2166.0267990000002</v>
      </c>
      <c r="I576">
        <f>SUMIF(Table25[[#All],[Assets]],Table25[[#This Row],[Assets]],Table25[[#All],[Bought Amount]])</f>
        <v>13370.91512648</v>
      </c>
      <c r="J576" s="88">
        <f>IF(Table25[[#This Row],[Number of stocks]]&lt;0,Table25[[#This Row],[Number of stocks]],0)</f>
        <v>0</v>
      </c>
      <c r="K576" s="5">
        <f>Table25[[#This Row],[Sold]]*Table25[[#This Row],[Price]]</f>
        <v>0</v>
      </c>
      <c r="L576" s="8">
        <f>ABS(SUMIF(Table25[[#All],[Assets]],Table25[[#This Row],[Assets]],Table25[[#All],[Sold]]))</f>
        <v>2083</v>
      </c>
      <c r="M576" s="5">
        <f>ABS(SUMIF(Table25[[#All],[Assets]],Table25[[#This Row],[Assets]],Table25[[#All],[Sold Amount]]))</f>
        <v>11153.28</v>
      </c>
      <c r="N576" s="5">
        <f>IFERROR(Table25[[#This Row],[Total sold amount]]/Table25[[#This Row],[Total Sold number of stocks]],"")</f>
        <v>5.3544311089774368</v>
      </c>
      <c r="O576" s="4">
        <f>IFERROR(Table25[[#This Row],[Total Amount bought]]/Table25[[#This Row],[Total number bought]],"")</f>
        <v>6.1730146333614213</v>
      </c>
      <c r="P576" s="4">
        <f>IFERROR((Table25[[#This Row],[Average sell price]]-Table25[[#This Row],[Average buy price]])*Table25[[#This Row],[Total Sold number of stocks]],0)</f>
        <v>-1705.1094812918398</v>
      </c>
      <c r="Q576" s="85">
        <f>SUMIF(Table25[[#All],[Assets]],Table25[[#This Row],[Assets]],Table25[[#All],[Number of stocks]])</f>
        <v>83.026798999999983</v>
      </c>
    </row>
    <row r="577" spans="1:17">
      <c r="A577" t="e" vm="273">
        <v>#VALUE!</v>
      </c>
      <c r="B577" s="2">
        <v>45607</v>
      </c>
      <c r="C577" t="str" cm="1">
        <f t="array" aca="1" ref="C577" ca="1">_FV(A577,"Ticker symbol",TRUE)</f>
        <v>CVRX</v>
      </c>
      <c r="D577" s="4">
        <v>15.71</v>
      </c>
      <c r="E577" s="50">
        <v>30</v>
      </c>
      <c r="F577" s="81">
        <f>IF(Table25[[#This Row],[Number of stocks]]&gt;0,Table25[[#This Row],[Number of stocks]],0)</f>
        <v>30</v>
      </c>
      <c r="G577" s="73">
        <f>Table25[[#This Row],[Bought]]*Table25[[#This Row],[Price]]</f>
        <v>471.3</v>
      </c>
      <c r="H577">
        <f>SUMIF(Table25[[#All],[Assets]],Table25[[#This Row],[Assets]],Table25[[#All],[Bought]])</f>
        <v>560</v>
      </c>
      <c r="I577">
        <f>SUMIF(Table25[[#All],[Assets]],Table25[[#This Row],[Assets]],Table25[[#All],[Bought Amount]])</f>
        <v>5451</v>
      </c>
      <c r="J577" s="88">
        <f>IF(Table25[[#This Row],[Number of stocks]]&lt;0,Table25[[#This Row],[Number of stocks]],0)</f>
        <v>0</v>
      </c>
      <c r="K577" s="5">
        <f>Table25[[#This Row],[Sold]]*Table25[[#This Row],[Price]]</f>
        <v>0</v>
      </c>
      <c r="L577" s="8">
        <f>ABS(SUMIF(Table25[[#All],[Assets]],Table25[[#This Row],[Assets]],Table25[[#All],[Sold]]))</f>
        <v>560</v>
      </c>
      <c r="M577" s="5">
        <f>ABS(SUMIF(Table25[[#All],[Assets]],Table25[[#This Row],[Assets]],Table25[[#All],[Sold Amount]]))</f>
        <v>4910.5499999999993</v>
      </c>
      <c r="N577" s="5">
        <f>IFERROR(Table25[[#This Row],[Total sold amount]]/Table25[[#This Row],[Total Sold number of stocks]],"")</f>
        <v>8.7688392857142841</v>
      </c>
      <c r="O577" s="4">
        <f>IFERROR(Table25[[#This Row],[Total Amount bought]]/Table25[[#This Row],[Total number bought]],"")</f>
        <v>9.7339285714285708</v>
      </c>
      <c r="P577" s="4">
        <f>IFERROR((Table25[[#This Row],[Average sell price]]-Table25[[#This Row],[Average buy price]])*Table25[[#This Row],[Total Sold number of stocks]],0)</f>
        <v>-540.45000000000061</v>
      </c>
      <c r="Q577" s="85">
        <f>SUMIF(Table25[[#All],[Assets]],Table25[[#This Row],[Assets]],Table25[[#All],[Number of stocks]])</f>
        <v>0</v>
      </c>
    </row>
    <row r="578" spans="1:17">
      <c r="A578" t="e" vm="42">
        <v>#VALUE!</v>
      </c>
      <c r="B578" s="2">
        <v>45607</v>
      </c>
      <c r="C578" t="str" cm="1">
        <f t="array" aca="1" ref="C578" ca="1">_FV(A578,"Ticker symbol",TRUE)</f>
        <v>FLR</v>
      </c>
      <c r="D578" s="4">
        <v>51.18</v>
      </c>
      <c r="E578" s="50">
        <v>10</v>
      </c>
      <c r="F578" s="81">
        <f>IF(Table25[[#This Row],[Number of stocks]]&gt;0,Table25[[#This Row],[Number of stocks]],0)</f>
        <v>10</v>
      </c>
      <c r="G578" s="73">
        <f>Table25[[#This Row],[Bought]]*Table25[[#This Row],[Price]]</f>
        <v>511.8</v>
      </c>
      <c r="H578">
        <f>SUMIF(Table25[[#All],[Assets]],Table25[[#This Row],[Assets]],Table25[[#All],[Bought]])</f>
        <v>91</v>
      </c>
      <c r="I578">
        <f>SUMIF(Table25[[#All],[Assets]],Table25[[#This Row],[Assets]],Table25[[#All],[Bought Amount]])</f>
        <v>4262.41</v>
      </c>
      <c r="J578" s="88">
        <f>IF(Table25[[#This Row],[Number of stocks]]&lt;0,Table25[[#This Row],[Number of stocks]],0)</f>
        <v>0</v>
      </c>
      <c r="K578" s="5">
        <f>Table25[[#This Row],[Sold]]*Table25[[#This Row],[Price]]</f>
        <v>0</v>
      </c>
      <c r="L578" s="8">
        <f>ABS(SUMIF(Table25[[#All],[Assets]],Table25[[#This Row],[Assets]],Table25[[#All],[Sold]]))</f>
        <v>91</v>
      </c>
      <c r="M578" s="5">
        <f>ABS(SUMIF(Table25[[#All],[Assets]],Table25[[#This Row],[Assets]],Table25[[#All],[Sold Amount]]))</f>
        <v>4467.7199999999993</v>
      </c>
      <c r="N578" s="5">
        <f>IFERROR(Table25[[#This Row],[Total sold amount]]/Table25[[#This Row],[Total Sold number of stocks]],"")</f>
        <v>49.09582417582417</v>
      </c>
      <c r="O578" s="4">
        <f>IFERROR(Table25[[#This Row],[Total Amount bought]]/Table25[[#This Row],[Total number bought]],"")</f>
        <v>46.839670329670327</v>
      </c>
      <c r="P578" s="4">
        <f>IFERROR((Table25[[#This Row],[Average sell price]]-Table25[[#This Row],[Average buy price]])*Table25[[#This Row],[Total Sold number of stocks]],0)</f>
        <v>205.30999999999975</v>
      </c>
      <c r="Q578" s="85">
        <f>SUMIF(Table25[[#All],[Assets]],Table25[[#This Row],[Assets]],Table25[[#All],[Number of stocks]])</f>
        <v>0</v>
      </c>
    </row>
    <row r="579" spans="1:17">
      <c r="A579" t="e" vm="39">
        <v>#VALUE!</v>
      </c>
      <c r="B579" s="2">
        <v>45607</v>
      </c>
      <c r="C579" t="str" cm="1">
        <f t="array" aca="1" ref="C579" ca="1">_FV(A579,"Ticker symbol",TRUE)</f>
        <v>AMSC</v>
      </c>
      <c r="D579" s="4">
        <v>35.049999999999997</v>
      </c>
      <c r="E579" s="50">
        <v>150</v>
      </c>
      <c r="F579" s="81">
        <f>IF(Table25[[#This Row],[Number of stocks]]&gt;0,Table25[[#This Row],[Number of stocks]],0)</f>
        <v>150</v>
      </c>
      <c r="G579" s="73">
        <f>Table25[[#This Row],[Bought]]*Table25[[#This Row],[Price]]</f>
        <v>5257.5</v>
      </c>
      <c r="H579">
        <f>SUMIF(Table25[[#All],[Assets]],Table25[[#This Row],[Assets]],Table25[[#All],[Bought]])</f>
        <v>812.4</v>
      </c>
      <c r="I579">
        <f>SUMIF(Table25[[#All],[Assets]],Table25[[#This Row],[Assets]],Table25[[#All],[Bought Amount]])</f>
        <v>24146.880000000001</v>
      </c>
      <c r="J579" s="88">
        <f>IF(Table25[[#This Row],[Number of stocks]]&lt;0,Table25[[#This Row],[Number of stocks]],0)</f>
        <v>0</v>
      </c>
      <c r="K579" s="5">
        <f>Table25[[#This Row],[Sold]]*Table25[[#This Row],[Price]]</f>
        <v>0</v>
      </c>
      <c r="L579" s="8">
        <f>ABS(SUMIF(Table25[[#All],[Assets]],Table25[[#This Row],[Assets]],Table25[[#All],[Sold]]))</f>
        <v>535</v>
      </c>
      <c r="M579" s="5">
        <f>ABS(SUMIF(Table25[[#All],[Assets]],Table25[[#This Row],[Assets]],Table25[[#All],[Sold Amount]]))</f>
        <v>14777.289999999999</v>
      </c>
      <c r="N579" s="5">
        <f>IFERROR(Table25[[#This Row],[Total sold amount]]/Table25[[#This Row],[Total Sold number of stocks]],"")</f>
        <v>27.621102803738317</v>
      </c>
      <c r="O579" s="4">
        <f>IFERROR(Table25[[#This Row],[Total Amount bought]]/Table25[[#This Row],[Total number bought]],"")</f>
        <v>29.722895125553915</v>
      </c>
      <c r="P579" s="4">
        <f>IFERROR((Table25[[#This Row],[Average sell price]]-Table25[[#This Row],[Average buy price]])*Table25[[#This Row],[Total Sold number of stocks]],0)</f>
        <v>-1124.4588921713448</v>
      </c>
      <c r="Q579" s="85">
        <f>SUMIF(Table25[[#All],[Assets]],Table25[[#This Row],[Assets]],Table25[[#All],[Number of stocks]])</f>
        <v>277.39999999999998</v>
      </c>
    </row>
    <row r="580" spans="1:17">
      <c r="A580" t="e" vm="455">
        <v>#VALUE!</v>
      </c>
      <c r="B580" s="2">
        <v>45607</v>
      </c>
      <c r="C580" t="str" cm="1">
        <f t="array" aca="1" ref="C580" ca="1">_FV(A580,"Ticker symbol",TRUE)</f>
        <v>SGOV</v>
      </c>
      <c r="D580" s="4">
        <v>100.43</v>
      </c>
      <c r="E580" s="50">
        <v>-20</v>
      </c>
      <c r="F580" s="81">
        <f>IF(Table25[[#This Row],[Number of stocks]]&gt;0,Table25[[#This Row],[Number of stocks]],0)</f>
        <v>0</v>
      </c>
      <c r="G580" s="73">
        <f>Table25[[#This Row],[Bought]]*Table25[[#This Row],[Price]]</f>
        <v>0</v>
      </c>
      <c r="H580">
        <f>SUMIF(Table25[[#All],[Assets]],Table25[[#This Row],[Assets]],Table25[[#All],[Bought]])</f>
        <v>96</v>
      </c>
      <c r="I580">
        <f>SUMIF(Table25[[#All],[Assets]],Table25[[#This Row],[Assets]],Table25[[#All],[Bought Amount]])</f>
        <v>9661.36</v>
      </c>
      <c r="J580" s="88">
        <f>IF(Table25[[#This Row],[Number of stocks]]&lt;0,Table25[[#This Row],[Number of stocks]],0)</f>
        <v>-20</v>
      </c>
      <c r="K580" s="5">
        <f>Table25[[#This Row],[Sold]]*Table25[[#This Row],[Price]]</f>
        <v>-2008.6000000000001</v>
      </c>
      <c r="L580" s="8">
        <f>ABS(SUMIF(Table25[[#All],[Assets]],Table25[[#This Row],[Assets]],Table25[[#All],[Sold]]))</f>
        <v>96</v>
      </c>
      <c r="M580" s="5">
        <f>ABS(SUMIF(Table25[[#All],[Assets]],Table25[[#This Row],[Assets]],Table25[[#All],[Sold Amount]]))</f>
        <v>9600.9399999999987</v>
      </c>
      <c r="N580" s="5">
        <f>IFERROR(Table25[[#This Row],[Total sold amount]]/Table25[[#This Row],[Total Sold number of stocks]],"")</f>
        <v>100.00979166666666</v>
      </c>
      <c r="O580" s="4">
        <f>IFERROR(Table25[[#This Row],[Total Amount bought]]/Table25[[#This Row],[Total number bought]],"")</f>
        <v>100.63916666666667</v>
      </c>
      <c r="P580" s="4">
        <f>IFERROR((Table25[[#This Row],[Average sell price]]-Table25[[#This Row],[Average buy price]])*Table25[[#This Row],[Total Sold number of stocks]],0)</f>
        <v>-60.420000000000982</v>
      </c>
      <c r="Q580" s="85">
        <f>SUMIF(Table25[[#All],[Assets]],Table25[[#This Row],[Assets]],Table25[[#All],[Number of stocks]])</f>
        <v>0</v>
      </c>
    </row>
    <row r="581" spans="1:17">
      <c r="A581" t="e" vm="455">
        <v>#VALUE!</v>
      </c>
      <c r="B581" s="2">
        <v>45603</v>
      </c>
      <c r="C581" t="str" cm="1">
        <f t="array" aca="1" ref="C581" ca="1">_FV(A581,"Ticker symbol",TRUE)</f>
        <v>SGOV</v>
      </c>
      <c r="D581" s="4">
        <v>100.39</v>
      </c>
      <c r="E581" s="50">
        <v>-5</v>
      </c>
      <c r="F581" s="81">
        <f>IF(Table25[[#This Row],[Number of stocks]]&gt;0,Table25[[#This Row],[Number of stocks]],0)</f>
        <v>0</v>
      </c>
      <c r="G581" s="73">
        <f>Table25[[#This Row],[Bought]]*Table25[[#This Row],[Price]]</f>
        <v>0</v>
      </c>
      <c r="H581">
        <f>SUMIF(Table25[[#All],[Assets]],Table25[[#This Row],[Assets]],Table25[[#All],[Bought]])</f>
        <v>96</v>
      </c>
      <c r="I581">
        <f>SUMIF(Table25[[#All],[Assets]],Table25[[#This Row],[Assets]],Table25[[#All],[Bought Amount]])</f>
        <v>9661.36</v>
      </c>
      <c r="J581" s="88">
        <f>IF(Table25[[#This Row],[Number of stocks]]&lt;0,Table25[[#This Row],[Number of stocks]],0)</f>
        <v>-5</v>
      </c>
      <c r="K581" s="5">
        <f>Table25[[#This Row],[Sold]]*Table25[[#This Row],[Price]]</f>
        <v>-501.95</v>
      </c>
      <c r="L581" s="8">
        <f>ABS(SUMIF(Table25[[#All],[Assets]],Table25[[#This Row],[Assets]],Table25[[#All],[Sold]]))</f>
        <v>96</v>
      </c>
      <c r="M581" s="5">
        <f>ABS(SUMIF(Table25[[#All],[Assets]],Table25[[#This Row],[Assets]],Table25[[#All],[Sold Amount]]))</f>
        <v>9600.9399999999987</v>
      </c>
      <c r="N581" s="5">
        <f>IFERROR(Table25[[#This Row],[Total sold amount]]/Table25[[#This Row],[Total Sold number of stocks]],"")</f>
        <v>100.00979166666666</v>
      </c>
      <c r="O581" s="4">
        <f>IFERROR(Table25[[#This Row],[Total Amount bought]]/Table25[[#This Row],[Total number bought]],"")</f>
        <v>100.63916666666667</v>
      </c>
      <c r="P581" s="4">
        <f>IFERROR((Table25[[#This Row],[Average sell price]]-Table25[[#This Row],[Average buy price]])*Table25[[#This Row],[Total Sold number of stocks]],0)</f>
        <v>-60.420000000000982</v>
      </c>
      <c r="Q581" s="85">
        <f>SUMIF(Table25[[#All],[Assets]],Table25[[#This Row],[Assets]],Table25[[#All],[Number of stocks]])</f>
        <v>0</v>
      </c>
    </row>
    <row r="582" spans="1:17">
      <c r="A582" t="e" vm="33">
        <v>#VALUE!</v>
      </c>
      <c r="B582" s="2">
        <v>45610</v>
      </c>
      <c r="C582" t="str" cm="1">
        <f t="array" aca="1" ref="C582" ca="1">_FV(A582,"Ticker symbol",TRUE)</f>
        <v>CRDO</v>
      </c>
      <c r="D582" s="4">
        <v>45.28</v>
      </c>
      <c r="E582" s="50">
        <v>-35</v>
      </c>
      <c r="F582" s="81">
        <f>IF(Table25[[#This Row],[Number of stocks]]&gt;0,Table25[[#This Row],[Number of stocks]],0)</f>
        <v>0</v>
      </c>
      <c r="G582" s="73">
        <f>Table25[[#This Row],[Bought]]*Table25[[#This Row],[Price]]</f>
        <v>0</v>
      </c>
      <c r="H582">
        <f>SUMIF(Table25[[#All],[Assets]],Table25[[#This Row],[Assets]],Table25[[#All],[Bought]])</f>
        <v>135</v>
      </c>
      <c r="I582">
        <f>SUMIF(Table25[[#All],[Assets]],Table25[[#This Row],[Assets]],Table25[[#All],[Bought Amount]])</f>
        <v>3772.0499999999997</v>
      </c>
      <c r="J582" s="88">
        <f>IF(Table25[[#This Row],[Number of stocks]]&lt;0,Table25[[#This Row],[Number of stocks]],0)</f>
        <v>-35</v>
      </c>
      <c r="K582" s="5">
        <f>Table25[[#This Row],[Sold]]*Table25[[#This Row],[Price]]</f>
        <v>-1584.8</v>
      </c>
      <c r="L582" s="8">
        <f>ABS(SUMIF(Table25[[#All],[Assets]],Table25[[#This Row],[Assets]],Table25[[#All],[Sold]]))</f>
        <v>135</v>
      </c>
      <c r="M582" s="5">
        <f>ABS(SUMIF(Table25[[#All],[Assets]],Table25[[#This Row],[Assets]],Table25[[#All],[Sold Amount]]))</f>
        <v>5564.1</v>
      </c>
      <c r="N582" s="5">
        <f>IFERROR(Table25[[#This Row],[Total sold amount]]/Table25[[#This Row],[Total Sold number of stocks]],"")</f>
        <v>41.215555555555561</v>
      </c>
      <c r="O582" s="4">
        <f>IFERROR(Table25[[#This Row],[Total Amount bought]]/Table25[[#This Row],[Total number bought]],"")</f>
        <v>27.941111111111109</v>
      </c>
      <c r="P582" s="4">
        <f>IFERROR((Table25[[#This Row],[Average sell price]]-Table25[[#This Row],[Average buy price]])*Table25[[#This Row],[Total Sold number of stocks]],0)</f>
        <v>1792.0500000000011</v>
      </c>
      <c r="Q582" s="85">
        <f>SUMIF(Table25[[#All],[Assets]],Table25[[#This Row],[Assets]],Table25[[#All],[Number of stocks]])</f>
        <v>0</v>
      </c>
    </row>
    <row r="583" spans="1:17">
      <c r="A583" t="e" vm="77">
        <v>#VALUE!</v>
      </c>
      <c r="B583" s="2">
        <v>45610</v>
      </c>
      <c r="C583" t="str" cm="1">
        <f t="array" aca="1" ref="C583" ca="1">_FV(A583,"Ticker symbol",TRUE)</f>
        <v>STIM</v>
      </c>
      <c r="D583" s="4">
        <v>0.71609999999999996</v>
      </c>
      <c r="E583" s="50">
        <v>1000</v>
      </c>
      <c r="F583" s="81">
        <f>IF(Table25[[#This Row],[Number of stocks]]&gt;0,Table25[[#This Row],[Number of stocks]],0)</f>
        <v>1000</v>
      </c>
      <c r="G583" s="73">
        <f>Table25[[#This Row],[Bought]]*Table25[[#This Row],[Price]]</f>
        <v>716.09999999999991</v>
      </c>
      <c r="H583">
        <f>SUMIF(Table25[[#All],[Assets]],Table25[[#This Row],[Assets]],Table25[[#All],[Bought]])</f>
        <v>7036.45</v>
      </c>
      <c r="I583">
        <f>SUMIF(Table25[[#All],[Assets]],Table25[[#This Row],[Assets]],Table25[[#All],[Bought Amount]])</f>
        <v>19162.260000000002</v>
      </c>
      <c r="J583" s="88">
        <f>IF(Table25[[#This Row],[Number of stocks]]&lt;0,Table25[[#This Row],[Number of stocks]],0)</f>
        <v>0</v>
      </c>
      <c r="K583" s="5">
        <f>Table25[[#This Row],[Sold]]*Table25[[#This Row],[Price]]</f>
        <v>0</v>
      </c>
      <c r="L583" s="8">
        <f>ABS(SUMIF(Table25[[#All],[Assets]],Table25[[#This Row],[Assets]],Table25[[#All],[Sold]]))</f>
        <v>6686.45</v>
      </c>
      <c r="M583" s="5">
        <f>ABS(SUMIF(Table25[[#All],[Assets]],Table25[[#This Row],[Assets]],Table25[[#All],[Sold Amount]]))</f>
        <v>19226.484999999997</v>
      </c>
      <c r="N583" s="5">
        <f>IFERROR(Table25[[#This Row],[Total sold amount]]/Table25[[#This Row],[Total Sold number of stocks]],"")</f>
        <v>2.8754398821497205</v>
      </c>
      <c r="O583" s="4">
        <f>IFERROR(Table25[[#This Row],[Total Amount bought]]/Table25[[#This Row],[Total number bought]],"")</f>
        <v>2.7232851793162749</v>
      </c>
      <c r="P583" s="4">
        <f>IFERROR((Table25[[#This Row],[Average sell price]]-Table25[[#This Row],[Average buy price]])*Table25[[#This Row],[Total Sold number of stocks]],0)</f>
        <v>1017.3748127606921</v>
      </c>
      <c r="Q583" s="85">
        <f>SUMIF(Table25[[#All],[Assets]],Table25[[#This Row],[Assets]],Table25[[#All],[Number of stocks]])</f>
        <v>349.99999999999977</v>
      </c>
    </row>
    <row r="584" spans="1:17">
      <c r="A584" t="e" vm="300">
        <v>#VALUE!</v>
      </c>
      <c r="B584" s="2">
        <v>45609</v>
      </c>
      <c r="C584" t="str" cm="1">
        <f t="array" aca="1" ref="C584" ca="1">_FV(A584,"Ticker symbol",TRUE)</f>
        <v>BITF</v>
      </c>
      <c r="D584" s="4">
        <v>2.61</v>
      </c>
      <c r="E584" s="50">
        <v>1000</v>
      </c>
      <c r="F584" s="81">
        <f>IF(Table25[[#This Row],[Number of stocks]]&gt;0,Table25[[#This Row],[Number of stocks]],0)</f>
        <v>1000</v>
      </c>
      <c r="G584" s="73">
        <f>Table25[[#This Row],[Bought]]*Table25[[#This Row],[Price]]</f>
        <v>2610</v>
      </c>
      <c r="H584">
        <f>SUMIF(Table25[[#All],[Assets]],Table25[[#This Row],[Assets]],Table25[[#All],[Bought]])</f>
        <v>1000</v>
      </c>
      <c r="I584">
        <f>SUMIF(Table25[[#All],[Assets]],Table25[[#This Row],[Assets]],Table25[[#All],[Bought Amount]])</f>
        <v>2610</v>
      </c>
      <c r="J584" s="88">
        <f>IF(Table25[[#This Row],[Number of stocks]]&lt;0,Table25[[#This Row],[Number of stocks]],0)</f>
        <v>0</v>
      </c>
      <c r="K584" s="5">
        <f>Table25[[#This Row],[Sold]]*Table25[[#This Row],[Price]]</f>
        <v>0</v>
      </c>
      <c r="L584" s="8">
        <f>ABS(SUMIF(Table25[[#All],[Assets]],Table25[[#This Row],[Assets]],Table25[[#All],[Sold]]))</f>
        <v>1000</v>
      </c>
      <c r="M584" s="5">
        <f>ABS(SUMIF(Table25[[#All],[Assets]],Table25[[#This Row],[Assets]],Table25[[#All],[Sold Amount]]))</f>
        <v>2170</v>
      </c>
      <c r="N584" s="5">
        <f>IFERROR(Table25[[#This Row],[Total sold amount]]/Table25[[#This Row],[Total Sold number of stocks]],"")</f>
        <v>2.17</v>
      </c>
      <c r="O584" s="4">
        <f>IFERROR(Table25[[#This Row],[Total Amount bought]]/Table25[[#This Row],[Total number bought]],"")</f>
        <v>2.61</v>
      </c>
      <c r="P584" s="4">
        <f>IFERROR((Table25[[#This Row],[Average sell price]]-Table25[[#This Row],[Average buy price]])*Table25[[#This Row],[Total Sold number of stocks]],0)</f>
        <v>-439.99999999999994</v>
      </c>
      <c r="Q584" s="85">
        <f>SUMIF(Table25[[#All],[Assets]],Table25[[#This Row],[Assets]],Table25[[#All],[Number of stocks]])</f>
        <v>0</v>
      </c>
    </row>
    <row r="585" spans="1:17">
      <c r="A585" t="e" vm="300">
        <v>#VALUE!</v>
      </c>
      <c r="B585" s="2">
        <v>45610</v>
      </c>
      <c r="C585" t="str" cm="1">
        <f t="array" aca="1" ref="C585" ca="1">_FV(A585,"Ticker symbol",TRUE)</f>
        <v>BITF</v>
      </c>
      <c r="D585" s="4">
        <v>2.17</v>
      </c>
      <c r="E585" s="50">
        <v>-1000</v>
      </c>
      <c r="F585" s="81">
        <f>IF(Table25[[#This Row],[Number of stocks]]&gt;0,Table25[[#This Row],[Number of stocks]],0)</f>
        <v>0</v>
      </c>
      <c r="G585" s="73">
        <f>Table25[[#This Row],[Bought]]*Table25[[#This Row],[Price]]</f>
        <v>0</v>
      </c>
      <c r="H585">
        <f>SUMIF(Table25[[#All],[Assets]],Table25[[#This Row],[Assets]],Table25[[#All],[Bought]])</f>
        <v>1000</v>
      </c>
      <c r="I585">
        <f>SUMIF(Table25[[#All],[Assets]],Table25[[#This Row],[Assets]],Table25[[#All],[Bought Amount]])</f>
        <v>2610</v>
      </c>
      <c r="J585" s="88">
        <f>IF(Table25[[#This Row],[Number of stocks]]&lt;0,Table25[[#This Row],[Number of stocks]],0)</f>
        <v>-1000</v>
      </c>
      <c r="K585" s="5">
        <f>Table25[[#This Row],[Sold]]*Table25[[#This Row],[Price]]</f>
        <v>-2170</v>
      </c>
      <c r="L585" s="8">
        <f>ABS(SUMIF(Table25[[#All],[Assets]],Table25[[#This Row],[Assets]],Table25[[#All],[Sold]]))</f>
        <v>1000</v>
      </c>
      <c r="M585" s="5">
        <f>ABS(SUMIF(Table25[[#All],[Assets]],Table25[[#This Row],[Assets]],Table25[[#All],[Sold Amount]]))</f>
        <v>2170</v>
      </c>
      <c r="N585" s="5">
        <f>IFERROR(Table25[[#This Row],[Total sold amount]]/Table25[[#This Row],[Total Sold number of stocks]],"")</f>
        <v>2.17</v>
      </c>
      <c r="O585" s="4">
        <f>IFERROR(Table25[[#This Row],[Total Amount bought]]/Table25[[#This Row],[Total number bought]],"")</f>
        <v>2.61</v>
      </c>
      <c r="P585" s="4">
        <f>IFERROR((Table25[[#This Row],[Average sell price]]-Table25[[#This Row],[Average buy price]])*Table25[[#This Row],[Total Sold number of stocks]],0)</f>
        <v>-439.99999999999994</v>
      </c>
      <c r="Q585" s="85">
        <f>SUMIF(Table25[[#All],[Assets]],Table25[[#This Row],[Assets]],Table25[[#All],[Number of stocks]])</f>
        <v>0</v>
      </c>
    </row>
    <row r="586" spans="1:17">
      <c r="A586" t="e" vm="176">
        <v>#VALUE!</v>
      </c>
      <c r="B586" s="2">
        <v>45607</v>
      </c>
      <c r="C586" t="str" cm="1">
        <f t="array" aca="1" ref="C586" ca="1">_FV(A586,"Ticker symbol",TRUE)</f>
        <v>HUT</v>
      </c>
      <c r="D586" s="4">
        <v>22.14</v>
      </c>
      <c r="E586" s="50">
        <v>100</v>
      </c>
      <c r="F586" s="81">
        <f>IF(Table25[[#This Row],[Number of stocks]]&gt;0,Table25[[#This Row],[Number of stocks]],0)</f>
        <v>100</v>
      </c>
      <c r="G586" s="73">
        <f>Table25[[#This Row],[Bought]]*Table25[[#This Row],[Price]]</f>
        <v>2214</v>
      </c>
      <c r="H586">
        <f>SUMIF(Table25[[#All],[Assets]],Table25[[#This Row],[Assets]],Table25[[#All],[Bought]])</f>
        <v>461</v>
      </c>
      <c r="I586">
        <f>SUMIF(Table25[[#All],[Assets]],Table25[[#This Row],[Assets]],Table25[[#All],[Bought Amount]])</f>
        <v>12551.63</v>
      </c>
      <c r="J586" s="88">
        <f>IF(Table25[[#This Row],[Number of stocks]]&lt;0,Table25[[#This Row],[Number of stocks]],0)</f>
        <v>0</v>
      </c>
      <c r="K586" s="5">
        <f>Table25[[#This Row],[Sold]]*Table25[[#This Row],[Price]]</f>
        <v>0</v>
      </c>
      <c r="L586" s="8">
        <f>ABS(SUMIF(Table25[[#All],[Assets]],Table25[[#This Row],[Assets]],Table25[[#All],[Sold]]))</f>
        <v>350</v>
      </c>
      <c r="M586" s="5">
        <f>ABS(SUMIF(Table25[[#All],[Assets]],Table25[[#This Row],[Assets]],Table25[[#All],[Sold Amount]]))</f>
        <v>6704.5</v>
      </c>
      <c r="N586" s="5">
        <f>IFERROR(Table25[[#This Row],[Total sold amount]]/Table25[[#This Row],[Total Sold number of stocks]],"")</f>
        <v>19.155714285714286</v>
      </c>
      <c r="O586" s="4">
        <f>IFERROR(Table25[[#This Row],[Total Amount bought]]/Table25[[#This Row],[Total number bought]],"")</f>
        <v>27.22696312364425</v>
      </c>
      <c r="P586" s="4">
        <f>IFERROR((Table25[[#This Row],[Average sell price]]-Table25[[#This Row],[Average buy price]])*Table25[[#This Row],[Total Sold number of stocks]],0)</f>
        <v>-2824.9370932754873</v>
      </c>
      <c r="Q586" s="85">
        <f>SUMIF(Table25[[#All],[Assets]],Table25[[#This Row],[Assets]],Table25[[#All],[Number of stocks]])</f>
        <v>111</v>
      </c>
    </row>
    <row r="587" spans="1:17">
      <c r="A587" t="e" vm="176">
        <v>#VALUE!</v>
      </c>
      <c r="B587" s="2">
        <v>45607</v>
      </c>
      <c r="C587" t="str" cm="1">
        <f t="array" aca="1" ref="C587" ca="1">_FV(A587,"Ticker symbol",TRUE)</f>
        <v>HUT</v>
      </c>
      <c r="D587" s="4">
        <v>23.93</v>
      </c>
      <c r="E587" s="50">
        <v>80</v>
      </c>
      <c r="F587" s="81">
        <f>IF(Table25[[#This Row],[Number of stocks]]&gt;0,Table25[[#This Row],[Number of stocks]],0)</f>
        <v>80</v>
      </c>
      <c r="G587" s="73">
        <f>Table25[[#This Row],[Bought]]*Table25[[#This Row],[Price]]</f>
        <v>1914.4</v>
      </c>
      <c r="H587">
        <f>SUMIF(Table25[[#All],[Assets]],Table25[[#This Row],[Assets]],Table25[[#All],[Bought]])</f>
        <v>461</v>
      </c>
      <c r="I587">
        <f>SUMIF(Table25[[#All],[Assets]],Table25[[#This Row],[Assets]],Table25[[#All],[Bought Amount]])</f>
        <v>12551.63</v>
      </c>
      <c r="J587" s="88">
        <f>IF(Table25[[#This Row],[Number of stocks]]&lt;0,Table25[[#This Row],[Number of stocks]],0)</f>
        <v>0</v>
      </c>
      <c r="K587" s="5">
        <f>Table25[[#This Row],[Sold]]*Table25[[#This Row],[Price]]</f>
        <v>0</v>
      </c>
      <c r="L587" s="8">
        <f>ABS(SUMIF(Table25[[#All],[Assets]],Table25[[#This Row],[Assets]],Table25[[#All],[Sold]]))</f>
        <v>350</v>
      </c>
      <c r="M587" s="5">
        <f>ABS(SUMIF(Table25[[#All],[Assets]],Table25[[#This Row],[Assets]],Table25[[#All],[Sold Amount]]))</f>
        <v>6704.5</v>
      </c>
      <c r="N587" s="5">
        <f>IFERROR(Table25[[#This Row],[Total sold amount]]/Table25[[#This Row],[Total Sold number of stocks]],"")</f>
        <v>19.155714285714286</v>
      </c>
      <c r="O587" s="4">
        <f>IFERROR(Table25[[#This Row],[Total Amount bought]]/Table25[[#This Row],[Total number bought]],"")</f>
        <v>27.22696312364425</v>
      </c>
      <c r="P587" s="4">
        <f>IFERROR((Table25[[#This Row],[Average sell price]]-Table25[[#This Row],[Average buy price]])*Table25[[#This Row],[Total Sold number of stocks]],0)</f>
        <v>-2824.9370932754873</v>
      </c>
      <c r="Q587" s="85">
        <f>SUMIF(Table25[[#All],[Assets]],Table25[[#This Row],[Assets]],Table25[[#All],[Number of stocks]])</f>
        <v>111</v>
      </c>
    </row>
    <row r="588" spans="1:17">
      <c r="A588" t="e" vm="176">
        <v>#VALUE!</v>
      </c>
      <c r="B588" s="2">
        <v>45610</v>
      </c>
      <c r="C588" t="str" cm="1">
        <f t="array" aca="1" ref="C588" ca="1">_FV(A588,"Ticker symbol",TRUE)</f>
        <v>HUT</v>
      </c>
      <c r="D588" s="4">
        <v>23.78</v>
      </c>
      <c r="E588" s="50">
        <v>80</v>
      </c>
      <c r="F588" s="81">
        <f>IF(Table25[[#This Row],[Number of stocks]]&gt;0,Table25[[#This Row],[Number of stocks]],0)</f>
        <v>80</v>
      </c>
      <c r="G588" s="73">
        <f>Table25[[#This Row],[Bought]]*Table25[[#This Row],[Price]]</f>
        <v>1902.4</v>
      </c>
      <c r="H588">
        <f>SUMIF(Table25[[#All],[Assets]],Table25[[#This Row],[Assets]],Table25[[#All],[Bought]])</f>
        <v>461</v>
      </c>
      <c r="I588">
        <f>SUMIF(Table25[[#All],[Assets]],Table25[[#This Row],[Assets]],Table25[[#All],[Bought Amount]])</f>
        <v>12551.63</v>
      </c>
      <c r="J588" s="88">
        <f>IF(Table25[[#This Row],[Number of stocks]]&lt;0,Table25[[#This Row],[Number of stocks]],0)</f>
        <v>0</v>
      </c>
      <c r="K588" s="5">
        <f>Table25[[#This Row],[Sold]]*Table25[[#This Row],[Price]]</f>
        <v>0</v>
      </c>
      <c r="L588" s="8">
        <f>ABS(SUMIF(Table25[[#All],[Assets]],Table25[[#This Row],[Assets]],Table25[[#All],[Sold]]))</f>
        <v>350</v>
      </c>
      <c r="M588" s="5">
        <f>ABS(SUMIF(Table25[[#All],[Assets]],Table25[[#This Row],[Assets]],Table25[[#All],[Sold Amount]]))</f>
        <v>6704.5</v>
      </c>
      <c r="N588" s="5">
        <f>IFERROR(Table25[[#This Row],[Total sold amount]]/Table25[[#This Row],[Total Sold number of stocks]],"")</f>
        <v>19.155714285714286</v>
      </c>
      <c r="O588" s="4">
        <f>IFERROR(Table25[[#This Row],[Total Amount bought]]/Table25[[#This Row],[Total number bought]],"")</f>
        <v>27.22696312364425</v>
      </c>
      <c r="P588" s="4">
        <f>IFERROR((Table25[[#This Row],[Average sell price]]-Table25[[#This Row],[Average buy price]])*Table25[[#This Row],[Total Sold number of stocks]],0)</f>
        <v>-2824.9370932754873</v>
      </c>
      <c r="Q588" s="85">
        <f>SUMIF(Table25[[#All],[Assets]],Table25[[#This Row],[Assets]],Table25[[#All],[Number of stocks]])</f>
        <v>111</v>
      </c>
    </row>
    <row r="589" spans="1:17">
      <c r="A589" t="e" vm="176">
        <v>#VALUE!</v>
      </c>
      <c r="B589" s="2">
        <v>45607</v>
      </c>
      <c r="C589" t="str" cm="1">
        <f t="array" aca="1" ref="C589" ca="1">_FV(A589,"Ticker symbol",TRUE)</f>
        <v>HUT</v>
      </c>
      <c r="D589" s="4">
        <v>21.53</v>
      </c>
      <c r="E589" s="50">
        <v>20</v>
      </c>
      <c r="F589" s="81">
        <f>IF(Table25[[#This Row],[Number of stocks]]&gt;0,Table25[[#This Row],[Number of stocks]],0)</f>
        <v>20</v>
      </c>
      <c r="G589" s="73">
        <f>Table25[[#This Row],[Bought]]*Table25[[#This Row],[Price]]</f>
        <v>430.6</v>
      </c>
      <c r="H589">
        <f>SUMIF(Table25[[#All],[Assets]],Table25[[#This Row],[Assets]],Table25[[#All],[Bought]])</f>
        <v>461</v>
      </c>
      <c r="I589">
        <f>SUMIF(Table25[[#All],[Assets]],Table25[[#This Row],[Assets]],Table25[[#All],[Bought Amount]])</f>
        <v>12551.63</v>
      </c>
      <c r="J589" s="88">
        <f>IF(Table25[[#This Row],[Number of stocks]]&lt;0,Table25[[#This Row],[Number of stocks]],0)</f>
        <v>0</v>
      </c>
      <c r="K589" s="5">
        <f>Table25[[#This Row],[Sold]]*Table25[[#This Row],[Price]]</f>
        <v>0</v>
      </c>
      <c r="L589" s="8">
        <f>ABS(SUMIF(Table25[[#All],[Assets]],Table25[[#This Row],[Assets]],Table25[[#All],[Sold]]))</f>
        <v>350</v>
      </c>
      <c r="M589" s="5">
        <f>ABS(SUMIF(Table25[[#All],[Assets]],Table25[[#This Row],[Assets]],Table25[[#All],[Sold Amount]]))</f>
        <v>6704.5</v>
      </c>
      <c r="N589" s="5">
        <f>IFERROR(Table25[[#This Row],[Total sold amount]]/Table25[[#This Row],[Total Sold number of stocks]],"")</f>
        <v>19.155714285714286</v>
      </c>
      <c r="O589" s="4">
        <f>IFERROR(Table25[[#This Row],[Total Amount bought]]/Table25[[#This Row],[Total number bought]],"")</f>
        <v>27.22696312364425</v>
      </c>
      <c r="P589" s="4">
        <f>IFERROR((Table25[[#This Row],[Average sell price]]-Table25[[#This Row],[Average buy price]])*Table25[[#This Row],[Total Sold number of stocks]],0)</f>
        <v>-2824.9370932754873</v>
      </c>
      <c r="Q589" s="85">
        <f>SUMIF(Table25[[#All],[Assets]],Table25[[#This Row],[Assets]],Table25[[#All],[Number of stocks]])</f>
        <v>111</v>
      </c>
    </row>
    <row r="590" spans="1:17">
      <c r="A590" t="e" vm="26">
        <v>#VALUE!</v>
      </c>
      <c r="B590" s="2">
        <v>45610</v>
      </c>
      <c r="C590" t="str" cm="1">
        <f t="array" aca="1" ref="C590" ca="1">_FV(A590,"Ticker symbol",TRUE)</f>
        <v>AEHR</v>
      </c>
      <c r="D590" s="4">
        <v>11.25</v>
      </c>
      <c r="E590" s="50">
        <v>-50</v>
      </c>
      <c r="F590" s="81">
        <f>IF(Table25[[#This Row],[Number of stocks]]&gt;0,Table25[[#This Row],[Number of stocks]],0)</f>
        <v>0</v>
      </c>
      <c r="G590" s="73">
        <f>Table25[[#This Row],[Bought]]*Table25[[#This Row],[Price]]</f>
        <v>0</v>
      </c>
      <c r="H590">
        <f>SUMIF(Table25[[#All],[Assets]],Table25[[#This Row],[Assets]],Table25[[#All],[Bought]])</f>
        <v>559</v>
      </c>
      <c r="I590">
        <f>SUMIF(Table25[[#All],[Assets]],Table25[[#This Row],[Assets]],Table25[[#All],[Bought Amount]])</f>
        <v>7405.6399999999994</v>
      </c>
      <c r="J590" s="88">
        <f>IF(Table25[[#This Row],[Number of stocks]]&lt;0,Table25[[#This Row],[Number of stocks]],0)</f>
        <v>-50</v>
      </c>
      <c r="K590" s="5">
        <f>Table25[[#This Row],[Sold]]*Table25[[#This Row],[Price]]</f>
        <v>-562.5</v>
      </c>
      <c r="L590" s="8">
        <f>ABS(SUMIF(Table25[[#All],[Assets]],Table25[[#This Row],[Assets]],Table25[[#All],[Sold]]))</f>
        <v>539</v>
      </c>
      <c r="M590" s="5">
        <f>ABS(SUMIF(Table25[[#All],[Assets]],Table25[[#This Row],[Assets]],Table25[[#All],[Sold Amount]]))</f>
        <v>9662.32</v>
      </c>
      <c r="N590" s="5">
        <f>IFERROR(Table25[[#This Row],[Total sold amount]]/Table25[[#This Row],[Total Sold number of stocks]],"")</f>
        <v>17.92638218923933</v>
      </c>
      <c r="O590" s="4">
        <f>IFERROR(Table25[[#This Row],[Total Amount bought]]/Table25[[#This Row],[Total number bought]],"")</f>
        <v>13.248014311270124</v>
      </c>
      <c r="P590" s="4">
        <f>IFERROR((Table25[[#This Row],[Average sell price]]-Table25[[#This Row],[Average buy price]])*Table25[[#This Row],[Total Sold number of stocks]],0)</f>
        <v>2521.6402862254022</v>
      </c>
      <c r="Q590" s="85">
        <f>SUMIF(Table25[[#All],[Assets]],Table25[[#This Row],[Assets]],Table25[[#All],[Number of stocks]])</f>
        <v>20</v>
      </c>
    </row>
    <row r="591" spans="1:17">
      <c r="A591" t="e" vm="13">
        <v>#VALUE!</v>
      </c>
      <c r="B591" s="2">
        <v>45610</v>
      </c>
      <c r="C591" t="str" cm="1">
        <f t="array" aca="1" ref="C591" ca="1">_FV(A591,"Ticker symbol",TRUE)</f>
        <v>ON</v>
      </c>
      <c r="D591" s="4">
        <v>66.959999999999994</v>
      </c>
      <c r="E591" s="50">
        <v>-5</v>
      </c>
      <c r="F591" s="81">
        <f>IF(Table25[[#This Row],[Number of stocks]]&gt;0,Table25[[#This Row],[Number of stocks]],0)</f>
        <v>0</v>
      </c>
      <c r="G591" s="73">
        <f>Table25[[#This Row],[Bought]]*Table25[[#This Row],[Price]]</f>
        <v>0</v>
      </c>
      <c r="H591">
        <f>SUMIF(Table25[[#All],[Assets]],Table25[[#This Row],[Assets]],Table25[[#All],[Bought]])</f>
        <v>326</v>
      </c>
      <c r="I591">
        <f>SUMIF(Table25[[#All],[Assets]],Table25[[#This Row],[Assets]],Table25[[#All],[Bought Amount]])</f>
        <v>19172.809999999998</v>
      </c>
      <c r="J591" s="88">
        <f>IF(Table25[[#This Row],[Number of stocks]]&lt;0,Table25[[#This Row],[Number of stocks]],0)</f>
        <v>-5</v>
      </c>
      <c r="K591" s="5">
        <f>Table25[[#This Row],[Sold]]*Table25[[#This Row],[Price]]</f>
        <v>-334.79999999999995</v>
      </c>
      <c r="L591" s="8">
        <f>ABS(SUMIF(Table25[[#All],[Assets]],Table25[[#This Row],[Assets]],Table25[[#All],[Sold]]))</f>
        <v>283</v>
      </c>
      <c r="M591" s="5">
        <f>ABS(SUMIF(Table25[[#All],[Assets]],Table25[[#This Row],[Assets]],Table25[[#All],[Sold Amount]]))</f>
        <v>15700.74</v>
      </c>
      <c r="N591" s="5">
        <f>IFERROR(Table25[[#This Row],[Total sold amount]]/Table25[[#This Row],[Total Sold number of stocks]],"")</f>
        <v>55.47964664310954</v>
      </c>
      <c r="O591" s="4">
        <f>IFERROR(Table25[[#This Row],[Total Amount bought]]/Table25[[#This Row],[Total number bought]],"")</f>
        <v>58.812300613496923</v>
      </c>
      <c r="P591" s="4">
        <f>IFERROR((Table25[[#This Row],[Average sell price]]-Table25[[#This Row],[Average buy price]])*Table25[[#This Row],[Total Sold number of stocks]],0)</f>
        <v>-943.14107361962954</v>
      </c>
      <c r="Q591" s="85">
        <f>SUMIF(Table25[[#All],[Assets]],Table25[[#This Row],[Assets]],Table25[[#All],[Number of stocks]])</f>
        <v>43</v>
      </c>
    </row>
    <row r="592" spans="1:17">
      <c r="A592" t="e" vm="424">
        <v>#VALUE!</v>
      </c>
      <c r="B592" s="2">
        <v>45603</v>
      </c>
      <c r="C592" t="str" cm="1">
        <f t="array" aca="1" ref="C592" ca="1">_FV(A592,"Ticker symbol",TRUE)</f>
        <v>VISN</v>
      </c>
      <c r="D592" s="4">
        <v>5.26</v>
      </c>
      <c r="E592" s="50">
        <v>-50</v>
      </c>
      <c r="F592" s="81">
        <f>IF(Table25[[#This Row],[Number of stocks]]&gt;0,Table25[[#This Row],[Number of stocks]],0)</f>
        <v>0</v>
      </c>
      <c r="G592" s="73">
        <f>Table25[[#This Row],[Bought]]*Table25[[#This Row],[Price]]</f>
        <v>0</v>
      </c>
      <c r="H592">
        <f>SUMIF(Table25[[#All],[Assets]],Table25[[#This Row],[Assets]],Table25[[#All],[Bought]])</f>
        <v>50</v>
      </c>
      <c r="I592">
        <f>SUMIF(Table25[[#All],[Assets]],Table25[[#This Row],[Assets]],Table25[[#All],[Bought Amount]])</f>
        <v>256</v>
      </c>
      <c r="J592" s="88">
        <f>IF(Table25[[#This Row],[Number of stocks]]&lt;0,Table25[[#This Row],[Number of stocks]],0)</f>
        <v>-50</v>
      </c>
      <c r="K592" s="5">
        <f>Table25[[#This Row],[Sold]]*Table25[[#This Row],[Price]]</f>
        <v>-263</v>
      </c>
      <c r="L592" s="8">
        <f>ABS(SUMIF(Table25[[#All],[Assets]],Table25[[#This Row],[Assets]],Table25[[#All],[Sold]]))</f>
        <v>50</v>
      </c>
      <c r="M592" s="5">
        <f>ABS(SUMIF(Table25[[#All],[Assets]],Table25[[#This Row],[Assets]],Table25[[#All],[Sold Amount]]))</f>
        <v>263</v>
      </c>
      <c r="N592" s="5">
        <f>IFERROR(Table25[[#This Row],[Total sold amount]]/Table25[[#This Row],[Total Sold number of stocks]],"")</f>
        <v>5.26</v>
      </c>
      <c r="O592" s="4">
        <f>IFERROR(Table25[[#This Row],[Total Amount bought]]/Table25[[#This Row],[Total number bought]],"")</f>
        <v>5.12</v>
      </c>
      <c r="P592" s="4">
        <f>IFERROR((Table25[[#This Row],[Average sell price]]-Table25[[#This Row],[Average buy price]])*Table25[[#This Row],[Total Sold number of stocks]],0)</f>
        <v>6.999999999999984</v>
      </c>
      <c r="Q592" s="85">
        <f>SUMIF(Table25[[#All],[Assets]],Table25[[#This Row],[Assets]],Table25[[#All],[Number of stocks]])</f>
        <v>0</v>
      </c>
    </row>
    <row r="593" spans="1:17">
      <c r="A593" t="e" vm="172">
        <v>#VALUE!</v>
      </c>
      <c r="B593" s="2">
        <v>45603</v>
      </c>
      <c r="C593" t="str" cm="1">
        <f t="array" aca="1" ref="C593" ca="1">_FV(A593,"Ticker symbol",TRUE)</f>
        <v>WOLF</v>
      </c>
      <c r="D593" s="4">
        <v>10.210000000000001</v>
      </c>
      <c r="E593" s="50">
        <v>-30</v>
      </c>
      <c r="F593" s="81">
        <f>IF(Table25[[#This Row],[Number of stocks]]&gt;0,Table25[[#This Row],[Number of stocks]],0)</f>
        <v>0</v>
      </c>
      <c r="G593" s="73">
        <f>Table25[[#This Row],[Bought]]*Table25[[#This Row],[Price]]</f>
        <v>0</v>
      </c>
      <c r="H593">
        <f>SUMIF(Table25[[#All],[Assets]],Table25[[#This Row],[Assets]],Table25[[#All],[Bought]])</f>
        <v>900</v>
      </c>
      <c r="I593">
        <f>SUMIF(Table25[[#All],[Assets]],Table25[[#This Row],[Assets]],Table25[[#All],[Bought Amount]])</f>
        <v>3579</v>
      </c>
      <c r="J593" s="88">
        <f>IF(Table25[[#This Row],[Number of stocks]]&lt;0,Table25[[#This Row],[Number of stocks]],0)</f>
        <v>-30</v>
      </c>
      <c r="K593" s="5">
        <f>Table25[[#This Row],[Sold]]*Table25[[#This Row],[Price]]</f>
        <v>-306.3</v>
      </c>
      <c r="L593" s="8">
        <f>ABS(SUMIF(Table25[[#All],[Assets]],Table25[[#This Row],[Assets]],Table25[[#All],[Sold]]))</f>
        <v>900</v>
      </c>
      <c r="M593" s="5">
        <f>ABS(SUMIF(Table25[[#All],[Assets]],Table25[[#This Row],[Assets]],Table25[[#All],[Sold Amount]]))</f>
        <v>3724.3</v>
      </c>
      <c r="N593" s="5">
        <f>IFERROR(Table25[[#This Row],[Total sold amount]]/Table25[[#This Row],[Total Sold number of stocks]],"")</f>
        <v>4.1381111111111117</v>
      </c>
      <c r="O593" s="4">
        <f>IFERROR(Table25[[#This Row],[Total Amount bought]]/Table25[[#This Row],[Total number bought]],"")</f>
        <v>3.9766666666666666</v>
      </c>
      <c r="P593" s="4">
        <f>IFERROR((Table25[[#This Row],[Average sell price]]-Table25[[#This Row],[Average buy price]])*Table25[[#This Row],[Total Sold number of stocks]],0)</f>
        <v>145.30000000000064</v>
      </c>
      <c r="Q593" s="85">
        <f>SUMIF(Table25[[#All],[Assets]],Table25[[#This Row],[Assets]],Table25[[#All],[Number of stocks]])</f>
        <v>0</v>
      </c>
    </row>
    <row r="594" spans="1:17">
      <c r="A594" t="e" vm="307">
        <v>#VALUE!</v>
      </c>
      <c r="B594" s="2">
        <v>45603</v>
      </c>
      <c r="C594" t="str" cm="1">
        <f t="array" aca="1" ref="C594" ca="1">_FV(A594,"Ticker symbol",TRUE)</f>
        <v>LHX</v>
      </c>
      <c r="D594" s="4">
        <v>254.5</v>
      </c>
      <c r="E594" s="50">
        <v>2</v>
      </c>
      <c r="F594" s="81">
        <f>IF(Table25[[#This Row],[Number of stocks]]&gt;0,Table25[[#This Row],[Number of stocks]],0)</f>
        <v>2</v>
      </c>
      <c r="G594" s="73">
        <f>Table25[[#This Row],[Bought]]*Table25[[#This Row],[Price]]</f>
        <v>509</v>
      </c>
      <c r="H594">
        <f>SUMIF(Table25[[#All],[Assets]],Table25[[#This Row],[Assets]],Table25[[#All],[Bought]])</f>
        <v>4</v>
      </c>
      <c r="I594">
        <f>SUMIF(Table25[[#All],[Assets]],Table25[[#This Row],[Assets]],Table25[[#All],[Bought Amount]])</f>
        <v>1005.28</v>
      </c>
      <c r="J594" s="88">
        <f>IF(Table25[[#This Row],[Number of stocks]]&lt;0,Table25[[#This Row],[Number of stocks]],0)</f>
        <v>0</v>
      </c>
      <c r="K594" s="5">
        <f>Table25[[#This Row],[Sold]]*Table25[[#This Row],[Price]]</f>
        <v>0</v>
      </c>
      <c r="L594" s="8">
        <f>ABS(SUMIF(Table25[[#All],[Assets]],Table25[[#This Row],[Assets]],Table25[[#All],[Sold]]))</f>
        <v>4</v>
      </c>
      <c r="M594" s="5">
        <f>ABS(SUMIF(Table25[[#All],[Assets]],Table25[[#This Row],[Assets]],Table25[[#All],[Sold Amount]]))</f>
        <v>927.24</v>
      </c>
      <c r="N594" s="5">
        <f>IFERROR(Table25[[#This Row],[Total sold amount]]/Table25[[#This Row],[Total Sold number of stocks]],"")</f>
        <v>231.81</v>
      </c>
      <c r="O594" s="4">
        <f>IFERROR(Table25[[#This Row],[Total Amount bought]]/Table25[[#This Row],[Total number bought]],"")</f>
        <v>251.32</v>
      </c>
      <c r="P594" s="4">
        <f>IFERROR((Table25[[#This Row],[Average sell price]]-Table25[[#This Row],[Average buy price]])*Table25[[#This Row],[Total Sold number of stocks]],0)</f>
        <v>-78.039999999999964</v>
      </c>
      <c r="Q594" s="85">
        <f>SUMIF(Table25[[#All],[Assets]],Table25[[#This Row],[Assets]],Table25[[#All],[Number of stocks]])</f>
        <v>0</v>
      </c>
    </row>
    <row r="595" spans="1:17">
      <c r="A595" t="e" vm="455">
        <v>#VALUE!</v>
      </c>
      <c r="B595" s="2">
        <v>45603</v>
      </c>
      <c r="C595" t="str" cm="1">
        <f t="array" aca="1" ref="C595" ca="1">_FV(A595,"Ticker symbol",TRUE)</f>
        <v>SGOV</v>
      </c>
      <c r="D595" s="4">
        <v>100.39</v>
      </c>
      <c r="E595" s="50">
        <v>-5</v>
      </c>
      <c r="F595" s="81">
        <f>IF(Table25[[#This Row],[Number of stocks]]&gt;0,Table25[[#This Row],[Number of stocks]],0)</f>
        <v>0</v>
      </c>
      <c r="G595" s="73">
        <f>Table25[[#This Row],[Bought]]*Table25[[#This Row],[Price]]</f>
        <v>0</v>
      </c>
      <c r="H595">
        <f>SUMIF(Table25[[#All],[Assets]],Table25[[#This Row],[Assets]],Table25[[#All],[Bought]])</f>
        <v>96</v>
      </c>
      <c r="I595">
        <f>SUMIF(Table25[[#All],[Assets]],Table25[[#This Row],[Assets]],Table25[[#All],[Bought Amount]])</f>
        <v>9661.36</v>
      </c>
      <c r="J595" s="88">
        <f>IF(Table25[[#This Row],[Number of stocks]]&lt;0,Table25[[#This Row],[Number of stocks]],0)</f>
        <v>-5</v>
      </c>
      <c r="K595" s="5">
        <f>Table25[[#This Row],[Sold]]*Table25[[#This Row],[Price]]</f>
        <v>-501.95</v>
      </c>
      <c r="L595" s="8">
        <f>ABS(SUMIF(Table25[[#All],[Assets]],Table25[[#This Row],[Assets]],Table25[[#All],[Sold]]))</f>
        <v>96</v>
      </c>
      <c r="M595" s="5">
        <f>ABS(SUMIF(Table25[[#All],[Assets]],Table25[[#This Row],[Assets]],Table25[[#All],[Sold Amount]]))</f>
        <v>9600.9399999999987</v>
      </c>
      <c r="N595" s="5">
        <f>IFERROR(Table25[[#This Row],[Total sold amount]]/Table25[[#This Row],[Total Sold number of stocks]],"")</f>
        <v>100.00979166666666</v>
      </c>
      <c r="O595" s="4">
        <f>IFERROR(Table25[[#This Row],[Total Amount bought]]/Table25[[#This Row],[Total number bought]],"")</f>
        <v>100.63916666666667</v>
      </c>
      <c r="P595" s="4">
        <f>IFERROR((Table25[[#This Row],[Average sell price]]-Table25[[#This Row],[Average buy price]])*Table25[[#This Row],[Total Sold number of stocks]],0)</f>
        <v>-60.420000000000982</v>
      </c>
      <c r="Q595" s="85">
        <f>SUMIF(Table25[[#All],[Assets]],Table25[[#This Row],[Assets]],Table25[[#All],[Number of stocks]])</f>
        <v>0</v>
      </c>
    </row>
    <row r="596" spans="1:17">
      <c r="A596" t="e" vm="455">
        <v>#VALUE!</v>
      </c>
      <c r="B596" s="2">
        <v>45604</v>
      </c>
      <c r="C596" t="str" cm="1">
        <f t="array" aca="1" ref="C596" ca="1">_FV(A596,"Ticker symbol",TRUE)</f>
        <v>SGOV</v>
      </c>
      <c r="D596" s="4">
        <v>100.43</v>
      </c>
      <c r="E596" s="50">
        <v>-15</v>
      </c>
      <c r="F596" s="81">
        <f>IF(Table25[[#This Row],[Number of stocks]]&gt;0,Table25[[#This Row],[Number of stocks]],0)</f>
        <v>0</v>
      </c>
      <c r="G596" s="73">
        <f>Table25[[#This Row],[Bought]]*Table25[[#This Row],[Price]]</f>
        <v>0</v>
      </c>
      <c r="H596">
        <f>SUMIF(Table25[[#All],[Assets]],Table25[[#This Row],[Assets]],Table25[[#All],[Bought]])</f>
        <v>96</v>
      </c>
      <c r="I596">
        <f>SUMIF(Table25[[#All],[Assets]],Table25[[#This Row],[Assets]],Table25[[#All],[Bought Amount]])</f>
        <v>9661.36</v>
      </c>
      <c r="J596" s="88">
        <f>IF(Table25[[#This Row],[Number of stocks]]&lt;0,Table25[[#This Row],[Number of stocks]],0)</f>
        <v>-15</v>
      </c>
      <c r="K596" s="5">
        <f>Table25[[#This Row],[Sold]]*Table25[[#This Row],[Price]]</f>
        <v>-1506.45</v>
      </c>
      <c r="L596" s="8">
        <f>ABS(SUMIF(Table25[[#All],[Assets]],Table25[[#This Row],[Assets]],Table25[[#All],[Sold]]))</f>
        <v>96</v>
      </c>
      <c r="M596" s="5">
        <f>ABS(SUMIF(Table25[[#All],[Assets]],Table25[[#This Row],[Assets]],Table25[[#All],[Sold Amount]]))</f>
        <v>9600.9399999999987</v>
      </c>
      <c r="N596" s="5">
        <f>IFERROR(Table25[[#This Row],[Total sold amount]]/Table25[[#This Row],[Total Sold number of stocks]],"")</f>
        <v>100.00979166666666</v>
      </c>
      <c r="O596" s="4">
        <f>IFERROR(Table25[[#This Row],[Total Amount bought]]/Table25[[#This Row],[Total number bought]],"")</f>
        <v>100.63916666666667</v>
      </c>
      <c r="P596" s="4">
        <f>IFERROR((Table25[[#This Row],[Average sell price]]-Table25[[#This Row],[Average buy price]])*Table25[[#This Row],[Total Sold number of stocks]],0)</f>
        <v>-60.420000000000982</v>
      </c>
      <c r="Q596" s="85">
        <f>SUMIF(Table25[[#All],[Assets]],Table25[[#This Row],[Assets]],Table25[[#All],[Number of stocks]])</f>
        <v>0</v>
      </c>
    </row>
    <row r="597" spans="1:17">
      <c r="A597" t="e" vm="455">
        <v>#VALUE!</v>
      </c>
      <c r="B597" s="2">
        <v>45607</v>
      </c>
      <c r="C597" t="str" cm="1">
        <f t="array" aca="1" ref="C597" ca="1">_FV(A597,"Ticker symbol",TRUE)</f>
        <v>SGOV</v>
      </c>
      <c r="D597" s="4">
        <v>100.43</v>
      </c>
      <c r="E597" s="50">
        <v>-10</v>
      </c>
      <c r="F597" s="81">
        <f>IF(Table25[[#This Row],[Number of stocks]]&gt;0,Table25[[#This Row],[Number of stocks]],0)</f>
        <v>0</v>
      </c>
      <c r="G597" s="73">
        <f>Table25[[#This Row],[Bought]]*Table25[[#This Row],[Price]]</f>
        <v>0</v>
      </c>
      <c r="H597">
        <f>SUMIF(Table25[[#All],[Assets]],Table25[[#This Row],[Assets]],Table25[[#All],[Bought]])</f>
        <v>96</v>
      </c>
      <c r="I597">
        <f>SUMIF(Table25[[#All],[Assets]],Table25[[#This Row],[Assets]],Table25[[#All],[Bought Amount]])</f>
        <v>9661.36</v>
      </c>
      <c r="J597" s="88">
        <f>IF(Table25[[#This Row],[Number of stocks]]&lt;0,Table25[[#This Row],[Number of stocks]],0)</f>
        <v>-10</v>
      </c>
      <c r="K597" s="5">
        <f>Table25[[#This Row],[Sold]]*Table25[[#This Row],[Price]]</f>
        <v>-1004.3000000000001</v>
      </c>
      <c r="L597" s="8">
        <f>ABS(SUMIF(Table25[[#All],[Assets]],Table25[[#This Row],[Assets]],Table25[[#All],[Sold]]))</f>
        <v>96</v>
      </c>
      <c r="M597" s="5">
        <f>ABS(SUMIF(Table25[[#All],[Assets]],Table25[[#This Row],[Assets]],Table25[[#All],[Sold Amount]]))</f>
        <v>9600.9399999999987</v>
      </c>
      <c r="N597" s="5">
        <f>IFERROR(Table25[[#This Row],[Total sold amount]]/Table25[[#This Row],[Total Sold number of stocks]],"")</f>
        <v>100.00979166666666</v>
      </c>
      <c r="O597" s="4">
        <f>IFERROR(Table25[[#This Row],[Total Amount bought]]/Table25[[#This Row],[Total number bought]],"")</f>
        <v>100.63916666666667</v>
      </c>
      <c r="P597" s="4">
        <f>IFERROR((Table25[[#This Row],[Average sell price]]-Table25[[#This Row],[Average buy price]])*Table25[[#This Row],[Total Sold number of stocks]],0)</f>
        <v>-60.420000000000982</v>
      </c>
      <c r="Q597" s="85">
        <f>SUMIF(Table25[[#All],[Assets]],Table25[[#This Row],[Assets]],Table25[[#All],[Number of stocks]])</f>
        <v>0</v>
      </c>
    </row>
    <row r="598" spans="1:17">
      <c r="A598" t="e" vm="456">
        <v>#VALUE!</v>
      </c>
      <c r="B598" s="2">
        <v>45610</v>
      </c>
      <c r="C598" t="str" cm="1">
        <f t="array" aca="1" ref="C598" ca="1">_FV(A598,"Ticker symbol",TRUE)</f>
        <v>BIL</v>
      </c>
      <c r="D598" s="4">
        <v>91.61</v>
      </c>
      <c r="E598" s="50">
        <v>20</v>
      </c>
      <c r="F598" s="81">
        <f>IF(Table25[[#This Row],[Number of stocks]]&gt;0,Table25[[#This Row],[Number of stocks]],0)</f>
        <v>20</v>
      </c>
      <c r="G598" s="73">
        <f>Table25[[#This Row],[Bought]]*Table25[[#This Row],[Price]]</f>
        <v>1832.2</v>
      </c>
      <c r="H598">
        <f>SUMIF(Table25[[#All],[Assets]],Table25[[#This Row],[Assets]],Table25[[#All],[Bought]])</f>
        <v>419</v>
      </c>
      <c r="I598">
        <f>SUMIF(Table25[[#All],[Assets]],Table25[[#This Row],[Assets]],Table25[[#All],[Bought Amount]])</f>
        <v>38555.520000000004</v>
      </c>
      <c r="J598" s="88">
        <f>IF(Table25[[#This Row],[Number of stocks]]&lt;0,Table25[[#This Row],[Number of stocks]],0)</f>
        <v>0</v>
      </c>
      <c r="K598" s="5">
        <f>Table25[[#This Row],[Sold]]*Table25[[#This Row],[Price]]</f>
        <v>0</v>
      </c>
      <c r="L598" s="8">
        <f>ABS(SUMIF(Table25[[#All],[Assets]],Table25[[#This Row],[Assets]],Table25[[#All],[Sold]]))</f>
        <v>419</v>
      </c>
      <c r="M598" s="5">
        <f>ABS(SUMIF(Table25[[#All],[Assets]],Table25[[#This Row],[Assets]],Table25[[#All],[Sold Amount]]))</f>
        <v>38372</v>
      </c>
      <c r="N598" s="5">
        <f>IFERROR(Table25[[#This Row],[Total sold amount]]/Table25[[#This Row],[Total Sold number of stocks]],"")</f>
        <v>91.579952267303099</v>
      </c>
      <c r="O598" s="4">
        <f>IFERROR(Table25[[#This Row],[Total Amount bought]]/Table25[[#This Row],[Total number bought]],"")</f>
        <v>92.017947494033422</v>
      </c>
      <c r="P598" s="4">
        <f>IFERROR((Table25[[#This Row],[Average sell price]]-Table25[[#This Row],[Average buy price]])*Table25[[#This Row],[Total Sold number of stocks]],0)</f>
        <v>-183.5200000000051</v>
      </c>
      <c r="Q598" s="85">
        <f>SUMIF(Table25[[#All],[Assets]],Table25[[#This Row],[Assets]],Table25[[#All],[Number of stocks]])</f>
        <v>0</v>
      </c>
    </row>
    <row r="599" spans="1:17">
      <c r="A599" t="e" vm="22">
        <v>#VALUE!</v>
      </c>
      <c r="B599" s="2">
        <v>45604</v>
      </c>
      <c r="C599" t="str" cm="1">
        <f t="array" aca="1" ref="C599" ca="1">_FV(A599,"Ticker symbol",TRUE)</f>
        <v>RMBS</v>
      </c>
      <c r="D599" s="4">
        <v>55.52</v>
      </c>
      <c r="E599" s="50">
        <v>-15</v>
      </c>
      <c r="F599" s="81">
        <f>IF(Table25[[#This Row],[Number of stocks]]&gt;0,Table25[[#This Row],[Number of stocks]],0)</f>
        <v>0</v>
      </c>
      <c r="G599" s="73">
        <f>Table25[[#This Row],[Bought]]*Table25[[#This Row],[Price]]</f>
        <v>0</v>
      </c>
      <c r="H599">
        <f>SUMIF(Table25[[#All],[Assets]],Table25[[#This Row],[Assets]],Table25[[#All],[Bought]])</f>
        <v>36</v>
      </c>
      <c r="I599">
        <f>SUMIF(Table25[[#All],[Assets]],Table25[[#This Row],[Assets]],Table25[[#All],[Bought Amount]])</f>
        <v>1746.8</v>
      </c>
      <c r="J599" s="88">
        <f>IF(Table25[[#This Row],[Number of stocks]]&lt;0,Table25[[#This Row],[Number of stocks]],0)</f>
        <v>-15</v>
      </c>
      <c r="K599" s="5">
        <f>Table25[[#This Row],[Sold]]*Table25[[#This Row],[Price]]</f>
        <v>-832.80000000000007</v>
      </c>
      <c r="L599" s="8">
        <f>ABS(SUMIF(Table25[[#All],[Assets]],Table25[[#This Row],[Assets]],Table25[[#All],[Sold]]))</f>
        <v>25</v>
      </c>
      <c r="M599" s="5">
        <f>ABS(SUMIF(Table25[[#All],[Assets]],Table25[[#This Row],[Assets]],Table25[[#All],[Sold Amount]]))</f>
        <v>1340.1</v>
      </c>
      <c r="N599" s="5">
        <f>IFERROR(Table25[[#This Row],[Total sold amount]]/Table25[[#This Row],[Total Sold number of stocks]],"")</f>
        <v>53.603999999999999</v>
      </c>
      <c r="O599" s="4">
        <f>IFERROR(Table25[[#This Row],[Total Amount bought]]/Table25[[#This Row],[Total number bought]],"")</f>
        <v>48.522222222222219</v>
      </c>
      <c r="P599" s="4">
        <f>IFERROR((Table25[[#This Row],[Average sell price]]-Table25[[#This Row],[Average buy price]])*Table25[[#This Row],[Total Sold number of stocks]],0)</f>
        <v>127.04444444444451</v>
      </c>
      <c r="Q599" s="85">
        <f>SUMIF(Table25[[#All],[Assets]],Table25[[#This Row],[Assets]],Table25[[#All],[Number of stocks]])</f>
        <v>11</v>
      </c>
    </row>
    <row r="600" spans="1:17">
      <c r="A600" t="e" vm="22">
        <v>#VALUE!</v>
      </c>
      <c r="B600" s="2">
        <v>45610</v>
      </c>
      <c r="C600" t="str" cm="1">
        <f t="array" aca="1" ref="C600" ca="1">_FV(A600,"Ticker symbol",TRUE)</f>
        <v>RMBS</v>
      </c>
      <c r="D600" s="4">
        <v>50.73</v>
      </c>
      <c r="E600" s="50">
        <v>-10</v>
      </c>
      <c r="F600" s="81">
        <f>IF(Table25[[#This Row],[Number of stocks]]&gt;0,Table25[[#This Row],[Number of stocks]],0)</f>
        <v>0</v>
      </c>
      <c r="G600" s="73">
        <f>Table25[[#This Row],[Bought]]*Table25[[#This Row],[Price]]</f>
        <v>0</v>
      </c>
      <c r="H600">
        <f>SUMIF(Table25[[#All],[Assets]],Table25[[#This Row],[Assets]],Table25[[#All],[Bought]])</f>
        <v>36</v>
      </c>
      <c r="I600">
        <f>SUMIF(Table25[[#All],[Assets]],Table25[[#This Row],[Assets]],Table25[[#All],[Bought Amount]])</f>
        <v>1746.8</v>
      </c>
      <c r="J600" s="88">
        <f>IF(Table25[[#This Row],[Number of stocks]]&lt;0,Table25[[#This Row],[Number of stocks]],0)</f>
        <v>-10</v>
      </c>
      <c r="K600" s="5">
        <f>Table25[[#This Row],[Sold]]*Table25[[#This Row],[Price]]</f>
        <v>-507.29999999999995</v>
      </c>
      <c r="L600" s="8">
        <f>ABS(SUMIF(Table25[[#All],[Assets]],Table25[[#This Row],[Assets]],Table25[[#All],[Sold]]))</f>
        <v>25</v>
      </c>
      <c r="M600" s="5">
        <f>ABS(SUMIF(Table25[[#All],[Assets]],Table25[[#This Row],[Assets]],Table25[[#All],[Sold Amount]]))</f>
        <v>1340.1</v>
      </c>
      <c r="N600" s="5">
        <f>IFERROR(Table25[[#This Row],[Total sold amount]]/Table25[[#This Row],[Total Sold number of stocks]],"")</f>
        <v>53.603999999999999</v>
      </c>
      <c r="O600" s="4">
        <f>IFERROR(Table25[[#This Row],[Total Amount bought]]/Table25[[#This Row],[Total number bought]],"")</f>
        <v>48.522222222222219</v>
      </c>
      <c r="P600" s="4">
        <f>IFERROR((Table25[[#This Row],[Average sell price]]-Table25[[#This Row],[Average buy price]])*Table25[[#This Row],[Total Sold number of stocks]],0)</f>
        <v>127.04444444444451</v>
      </c>
      <c r="Q600" s="85">
        <f>SUMIF(Table25[[#All],[Assets]],Table25[[#This Row],[Assets]],Table25[[#All],[Number of stocks]])</f>
        <v>11</v>
      </c>
    </row>
    <row r="601" spans="1:17">
      <c r="A601" t="e" vm="329">
        <v>#VALUE!</v>
      </c>
      <c r="B601" s="2">
        <v>45607</v>
      </c>
      <c r="C601" t="str" cm="1">
        <f t="array" aca="1" ref="C601" ca="1">_FV(A601,"Ticker symbol",TRUE)</f>
        <v>SDIG</v>
      </c>
      <c r="D601" s="4">
        <v>6.55</v>
      </c>
      <c r="E601" s="50">
        <v>20</v>
      </c>
      <c r="F601" s="81">
        <f>IF(Table25[[#This Row],[Number of stocks]]&gt;0,Table25[[#This Row],[Number of stocks]],0)</f>
        <v>20</v>
      </c>
      <c r="G601" s="73">
        <f>Table25[[#This Row],[Bought]]*Table25[[#This Row],[Price]]</f>
        <v>131</v>
      </c>
      <c r="H601">
        <f>SUMIF(Table25[[#All],[Assets]],Table25[[#This Row],[Assets]],Table25[[#All],[Bought]])</f>
        <v>420</v>
      </c>
      <c r="I601">
        <f>SUMIF(Table25[[#All],[Assets]],Table25[[#This Row],[Assets]],Table25[[#All],[Bought Amount]])</f>
        <v>1650</v>
      </c>
      <c r="J601" s="88">
        <f>IF(Table25[[#This Row],[Number of stocks]]&lt;0,Table25[[#This Row],[Number of stocks]],0)</f>
        <v>0</v>
      </c>
      <c r="K601" s="5">
        <f>Table25[[#This Row],[Sold]]*Table25[[#This Row],[Price]]</f>
        <v>0</v>
      </c>
      <c r="L601" s="8">
        <f>ABS(SUMIF(Table25[[#All],[Assets]],Table25[[#This Row],[Assets]],Table25[[#All],[Sold]]))</f>
        <v>420</v>
      </c>
      <c r="M601" s="5">
        <f>ABS(SUMIF(Table25[[#All],[Assets]],Table25[[#This Row],[Assets]],Table25[[#All],[Sold Amount]]))</f>
        <v>2037.2</v>
      </c>
      <c r="N601" s="5">
        <f>IFERROR(Table25[[#This Row],[Total sold amount]]/Table25[[#This Row],[Total Sold number of stocks]],"")</f>
        <v>4.8504761904761908</v>
      </c>
      <c r="O601" s="4">
        <f>IFERROR(Table25[[#This Row],[Total Amount bought]]/Table25[[#This Row],[Total number bought]],"")</f>
        <v>3.9285714285714284</v>
      </c>
      <c r="P601" s="4">
        <f>IFERROR((Table25[[#This Row],[Average sell price]]-Table25[[#This Row],[Average buy price]])*Table25[[#This Row],[Total Sold number of stocks]],0)</f>
        <v>387.20000000000022</v>
      </c>
      <c r="Q601" s="85">
        <f>SUMIF(Table25[[#All],[Assets]],Table25[[#This Row],[Assets]],Table25[[#All],[Number of stocks]])</f>
        <v>0</v>
      </c>
    </row>
    <row r="602" spans="1:17">
      <c r="A602" t="e" vm="228">
        <v>#VALUE!</v>
      </c>
      <c r="B602" s="2">
        <v>45607</v>
      </c>
      <c r="C602" t="str" cm="1">
        <f t="array" aca="1" ref="C602" ca="1">_FV(A602,"Ticker symbol",TRUE)</f>
        <v>BILL</v>
      </c>
      <c r="D602" s="4">
        <v>89.11</v>
      </c>
      <c r="E602" s="50">
        <v>-15</v>
      </c>
      <c r="F602" s="81">
        <f>IF(Table25[[#This Row],[Number of stocks]]&gt;0,Table25[[#This Row],[Number of stocks]],0)</f>
        <v>0</v>
      </c>
      <c r="G602" s="73">
        <f>Table25[[#This Row],[Bought]]*Table25[[#This Row],[Price]]</f>
        <v>0</v>
      </c>
      <c r="H602">
        <f>SUMIF(Table25[[#All],[Assets]],Table25[[#This Row],[Assets]],Table25[[#All],[Bought]])</f>
        <v>101</v>
      </c>
      <c r="I602">
        <f>SUMIF(Table25[[#All],[Assets]],Table25[[#This Row],[Assets]],Table25[[#All],[Bought Amount]])</f>
        <v>5292.3600000000006</v>
      </c>
      <c r="J602" s="88">
        <f>IF(Table25[[#This Row],[Number of stocks]]&lt;0,Table25[[#This Row],[Number of stocks]],0)</f>
        <v>-15</v>
      </c>
      <c r="K602" s="5">
        <f>Table25[[#This Row],[Sold]]*Table25[[#This Row],[Price]]</f>
        <v>-1336.65</v>
      </c>
      <c r="L602" s="8">
        <f>ABS(SUMIF(Table25[[#All],[Assets]],Table25[[#This Row],[Assets]],Table25[[#All],[Sold]]))</f>
        <v>101</v>
      </c>
      <c r="M602" s="5">
        <f>ABS(SUMIF(Table25[[#All],[Assets]],Table25[[#This Row],[Assets]],Table25[[#All],[Sold Amount]]))</f>
        <v>5973.49</v>
      </c>
      <c r="N602" s="5">
        <f>IFERROR(Table25[[#This Row],[Total sold amount]]/Table25[[#This Row],[Total Sold number of stocks]],"")</f>
        <v>59.143465346534654</v>
      </c>
      <c r="O602" s="4">
        <f>IFERROR(Table25[[#This Row],[Total Amount bought]]/Table25[[#This Row],[Total number bought]],"")</f>
        <v>52.399603960396043</v>
      </c>
      <c r="P602" s="4">
        <f>IFERROR((Table25[[#This Row],[Average sell price]]-Table25[[#This Row],[Average buy price]])*Table25[[#This Row],[Total Sold number of stocks]],0)</f>
        <v>681.12999999999977</v>
      </c>
      <c r="Q602" s="85">
        <f>SUMIF(Table25[[#All],[Assets]],Table25[[#This Row],[Assets]],Table25[[#All],[Number of stocks]])</f>
        <v>0</v>
      </c>
    </row>
    <row r="603" spans="1:17">
      <c r="A603" t="e" vm="42">
        <v>#VALUE!</v>
      </c>
      <c r="B603" s="2">
        <v>45609</v>
      </c>
      <c r="C603" t="str" cm="1">
        <f t="array" aca="1" ref="C603" ca="1">_FV(A603,"Ticker symbol",TRUE)</f>
        <v>FLR</v>
      </c>
      <c r="D603" s="4">
        <v>48.66</v>
      </c>
      <c r="E603" s="50">
        <v>20</v>
      </c>
      <c r="F603" s="81">
        <f>IF(Table25[[#This Row],[Number of stocks]]&gt;0,Table25[[#This Row],[Number of stocks]],0)</f>
        <v>20</v>
      </c>
      <c r="G603" s="73">
        <f>Table25[[#This Row],[Bought]]*Table25[[#This Row],[Price]]</f>
        <v>973.19999999999993</v>
      </c>
      <c r="H603">
        <f>SUMIF(Table25[[#All],[Assets]],Table25[[#This Row],[Assets]],Table25[[#All],[Bought]])</f>
        <v>91</v>
      </c>
      <c r="I603">
        <f>SUMIF(Table25[[#All],[Assets]],Table25[[#This Row],[Assets]],Table25[[#All],[Bought Amount]])</f>
        <v>4262.41</v>
      </c>
      <c r="J603" s="88">
        <f>IF(Table25[[#This Row],[Number of stocks]]&lt;0,Table25[[#This Row],[Number of stocks]],0)</f>
        <v>0</v>
      </c>
      <c r="K603" s="5">
        <f>Table25[[#This Row],[Sold]]*Table25[[#This Row],[Price]]</f>
        <v>0</v>
      </c>
      <c r="L603" s="8">
        <f>ABS(SUMIF(Table25[[#All],[Assets]],Table25[[#This Row],[Assets]],Table25[[#All],[Sold]]))</f>
        <v>91</v>
      </c>
      <c r="M603" s="5">
        <f>ABS(SUMIF(Table25[[#All],[Assets]],Table25[[#This Row],[Assets]],Table25[[#All],[Sold Amount]]))</f>
        <v>4467.7199999999993</v>
      </c>
      <c r="N603" s="5">
        <f>IFERROR(Table25[[#This Row],[Total sold amount]]/Table25[[#This Row],[Total Sold number of stocks]],"")</f>
        <v>49.09582417582417</v>
      </c>
      <c r="O603" s="4">
        <f>IFERROR(Table25[[#This Row],[Total Amount bought]]/Table25[[#This Row],[Total number bought]],"")</f>
        <v>46.839670329670327</v>
      </c>
      <c r="P603" s="4">
        <f>IFERROR((Table25[[#This Row],[Average sell price]]-Table25[[#This Row],[Average buy price]])*Table25[[#This Row],[Total Sold number of stocks]],0)</f>
        <v>205.30999999999975</v>
      </c>
      <c r="Q603" s="85">
        <f>SUMIF(Table25[[#All],[Assets]],Table25[[#This Row],[Assets]],Table25[[#All],[Number of stocks]])</f>
        <v>0</v>
      </c>
    </row>
    <row r="604" spans="1:17">
      <c r="A604" t="e" vm="271">
        <v>#VALUE!</v>
      </c>
      <c r="B604" s="2">
        <v>45610</v>
      </c>
      <c r="C604" t="str" cm="1">
        <f t="array" aca="1" ref="C604" ca="1">_FV(A604,"Ticker symbol",TRUE)</f>
        <v>POET</v>
      </c>
      <c r="D604" s="4">
        <v>3.92</v>
      </c>
      <c r="E604" s="50">
        <v>130</v>
      </c>
      <c r="F604" s="81">
        <f>IF(Table25[[#This Row],[Number of stocks]]&gt;0,Table25[[#This Row],[Number of stocks]],0)</f>
        <v>130</v>
      </c>
      <c r="G604" s="73">
        <f>Table25[[#This Row],[Bought]]*Table25[[#This Row],[Price]]</f>
        <v>509.59999999999997</v>
      </c>
      <c r="H604">
        <f>SUMIF(Table25[[#All],[Assets]],Table25[[#This Row],[Assets]],Table25[[#All],[Bought]])</f>
        <v>150</v>
      </c>
      <c r="I604">
        <f>SUMIF(Table25[[#All],[Assets]],Table25[[#This Row],[Assets]],Table25[[#All],[Bought Amount]])</f>
        <v>673</v>
      </c>
      <c r="J604" s="88">
        <f>IF(Table25[[#This Row],[Number of stocks]]&lt;0,Table25[[#This Row],[Number of stocks]],0)</f>
        <v>0</v>
      </c>
      <c r="K604" s="5">
        <f>Table25[[#This Row],[Sold]]*Table25[[#This Row],[Price]]</f>
        <v>0</v>
      </c>
      <c r="L604" s="8">
        <f>ABS(SUMIF(Table25[[#All],[Assets]],Table25[[#This Row],[Assets]],Table25[[#All],[Sold]]))</f>
        <v>130</v>
      </c>
      <c r="M604" s="5">
        <f>ABS(SUMIF(Table25[[#All],[Assets]],Table25[[#This Row],[Assets]],Table25[[#All],[Sold Amount]]))</f>
        <v>650</v>
      </c>
      <c r="N604" s="5">
        <f>IFERROR(Table25[[#This Row],[Total sold amount]]/Table25[[#This Row],[Total Sold number of stocks]],"")</f>
        <v>5</v>
      </c>
      <c r="O604" s="4">
        <f>IFERROR(Table25[[#This Row],[Total Amount bought]]/Table25[[#This Row],[Total number bought]],"")</f>
        <v>4.4866666666666664</v>
      </c>
      <c r="P604" s="4">
        <f>IFERROR((Table25[[#This Row],[Average sell price]]-Table25[[#This Row],[Average buy price]])*Table25[[#This Row],[Total Sold number of stocks]],0)</f>
        <v>66.733333333333377</v>
      </c>
      <c r="Q604" s="85">
        <f>SUMIF(Table25[[#All],[Assets]],Table25[[#This Row],[Assets]],Table25[[#All],[Number of stocks]])</f>
        <v>20</v>
      </c>
    </row>
    <row r="605" spans="1:17">
      <c r="A605" t="e" vm="249">
        <v>#VALUE!</v>
      </c>
      <c r="B605" s="2">
        <v>45610</v>
      </c>
      <c r="C605" t="str" cm="1">
        <f t="array" aca="1" ref="C605" ca="1">_FV(A605,"Ticker symbol",TRUE)</f>
        <v>OSCR</v>
      </c>
      <c r="D605" s="4">
        <v>16.16</v>
      </c>
      <c r="E605" s="50">
        <v>30</v>
      </c>
      <c r="F605" s="81">
        <f>IF(Table25[[#This Row],[Number of stocks]]&gt;0,Table25[[#This Row],[Number of stocks]],0)</f>
        <v>30</v>
      </c>
      <c r="G605" s="73">
        <f>Table25[[#This Row],[Bought]]*Table25[[#This Row],[Price]]</f>
        <v>484.8</v>
      </c>
      <c r="H605">
        <f>SUMIF(Table25[[#All],[Assets]],Table25[[#This Row],[Assets]],Table25[[#All],[Bought]])</f>
        <v>195</v>
      </c>
      <c r="I605">
        <f>SUMIF(Table25[[#All],[Assets]],Table25[[#This Row],[Assets]],Table25[[#All],[Bought Amount]])</f>
        <v>3156.6</v>
      </c>
      <c r="J605" s="88">
        <f>IF(Table25[[#This Row],[Number of stocks]]&lt;0,Table25[[#This Row],[Number of stocks]],0)</f>
        <v>0</v>
      </c>
      <c r="K605" s="5">
        <f>Table25[[#This Row],[Sold]]*Table25[[#This Row],[Price]]</f>
        <v>0</v>
      </c>
      <c r="L605" s="8">
        <f>ABS(SUMIF(Table25[[#All],[Assets]],Table25[[#This Row],[Assets]],Table25[[#All],[Sold]]))</f>
        <v>195</v>
      </c>
      <c r="M605" s="5">
        <f>ABS(SUMIF(Table25[[#All],[Assets]],Table25[[#This Row],[Assets]],Table25[[#All],[Sold Amount]]))</f>
        <v>2927.3999999999996</v>
      </c>
      <c r="N605" s="5">
        <f>IFERROR(Table25[[#This Row],[Total sold amount]]/Table25[[#This Row],[Total Sold number of stocks]],"")</f>
        <v>15.01230769230769</v>
      </c>
      <c r="O605" s="4">
        <f>IFERROR(Table25[[#This Row],[Total Amount bought]]/Table25[[#This Row],[Total number bought]],"")</f>
        <v>16.187692307692306</v>
      </c>
      <c r="P605" s="4">
        <f>IFERROR((Table25[[#This Row],[Average sell price]]-Table25[[#This Row],[Average buy price]])*Table25[[#This Row],[Total Sold number of stocks]],0)</f>
        <v>-229.20000000000002</v>
      </c>
      <c r="Q605" s="85">
        <f>SUMIF(Table25[[#All],[Assets]],Table25[[#This Row],[Assets]],Table25[[#All],[Number of stocks]])</f>
        <v>0</v>
      </c>
    </row>
    <row r="606" spans="1:17">
      <c r="A606" t="e" vm="81">
        <v>#VALUE!</v>
      </c>
      <c r="B606" s="2">
        <v>45610</v>
      </c>
      <c r="C606" t="str" cm="1">
        <f t="array" aca="1" ref="C606" ca="1">_FV(A606,"Ticker symbol",TRUE)</f>
        <v>DLO</v>
      </c>
      <c r="D606" s="4">
        <v>10.4</v>
      </c>
      <c r="E606" s="50">
        <v>48</v>
      </c>
      <c r="F606" s="81">
        <f>IF(Table25[[#This Row],[Number of stocks]]&gt;0,Table25[[#This Row],[Number of stocks]],0)</f>
        <v>48</v>
      </c>
      <c r="G606" s="73">
        <f>Table25[[#This Row],[Bought]]*Table25[[#This Row],[Price]]</f>
        <v>499.20000000000005</v>
      </c>
      <c r="H606">
        <f>SUMIF(Table25[[#All],[Assets]],Table25[[#This Row],[Assets]],Table25[[#All],[Bought]])</f>
        <v>436</v>
      </c>
      <c r="I606">
        <f>SUMIF(Table25[[#All],[Assets]],Table25[[#This Row],[Assets]],Table25[[#All],[Bought Amount]])</f>
        <v>5840.9900000000007</v>
      </c>
      <c r="J606" s="88">
        <f>IF(Table25[[#This Row],[Number of stocks]]&lt;0,Table25[[#This Row],[Number of stocks]],0)</f>
        <v>0</v>
      </c>
      <c r="K606" s="5">
        <f>Table25[[#This Row],[Sold]]*Table25[[#This Row],[Price]]</f>
        <v>0</v>
      </c>
      <c r="L606" s="8">
        <f>ABS(SUMIF(Table25[[#All],[Assets]],Table25[[#This Row],[Assets]],Table25[[#All],[Sold]]))</f>
        <v>436</v>
      </c>
      <c r="M606" s="5">
        <f>ABS(SUMIF(Table25[[#All],[Assets]],Table25[[#This Row],[Assets]],Table25[[#All],[Sold Amount]]))</f>
        <v>5546.6</v>
      </c>
      <c r="N606" s="5">
        <f>IFERROR(Table25[[#This Row],[Total sold amount]]/Table25[[#This Row],[Total Sold number of stocks]],"")</f>
        <v>12.721559633027523</v>
      </c>
      <c r="O606" s="4">
        <f>IFERROR(Table25[[#This Row],[Total Amount bought]]/Table25[[#This Row],[Total number bought]],"")</f>
        <v>13.396766055045873</v>
      </c>
      <c r="P606" s="4">
        <f>IFERROR((Table25[[#This Row],[Average sell price]]-Table25[[#This Row],[Average buy price]])*Table25[[#This Row],[Total Sold number of stocks]],0)</f>
        <v>-294.39000000000073</v>
      </c>
      <c r="Q606" s="85">
        <f>SUMIF(Table25[[#All],[Assets]],Table25[[#This Row],[Assets]],Table25[[#All],[Number of stocks]])</f>
        <v>0</v>
      </c>
    </row>
    <row r="607" spans="1:17">
      <c r="A607" t="e" vm="403">
        <v>#VALUE!</v>
      </c>
      <c r="B607" s="2">
        <v>45611</v>
      </c>
      <c r="C607" t="str" cm="1">
        <f t="array" aca="1" ref="C607" ca="1">_FV(A607,"Ticker symbol",TRUE)</f>
        <v>CCOI</v>
      </c>
      <c r="D607" s="4">
        <v>77.77</v>
      </c>
      <c r="E607" s="50">
        <v>-5</v>
      </c>
      <c r="F607" s="81">
        <f>IF(Table25[[#This Row],[Number of stocks]]&gt;0,Table25[[#This Row],[Number of stocks]],0)</f>
        <v>0</v>
      </c>
      <c r="G607" s="73">
        <f>Table25[[#This Row],[Bought]]*Table25[[#This Row],[Price]]</f>
        <v>0</v>
      </c>
      <c r="H607">
        <f>SUMIF(Table25[[#All],[Assets]],Table25[[#This Row],[Assets]],Table25[[#All],[Bought]])</f>
        <v>5</v>
      </c>
      <c r="I607">
        <f>SUMIF(Table25[[#All],[Assets]],Table25[[#This Row],[Assets]],Table25[[#All],[Bought Amount]])</f>
        <v>349.25</v>
      </c>
      <c r="J607" s="88">
        <f>IF(Table25[[#This Row],[Number of stocks]]&lt;0,Table25[[#This Row],[Number of stocks]],0)</f>
        <v>-5</v>
      </c>
      <c r="K607" s="5">
        <f>Table25[[#This Row],[Sold]]*Table25[[#This Row],[Price]]</f>
        <v>-388.84999999999997</v>
      </c>
      <c r="L607" s="8">
        <f>ABS(SUMIF(Table25[[#All],[Assets]],Table25[[#This Row],[Assets]],Table25[[#All],[Sold]]))</f>
        <v>5</v>
      </c>
      <c r="M607" s="5">
        <f>ABS(SUMIF(Table25[[#All],[Assets]],Table25[[#This Row],[Assets]],Table25[[#All],[Sold Amount]]))</f>
        <v>388.84999999999997</v>
      </c>
      <c r="N607" s="5">
        <f>IFERROR(Table25[[#This Row],[Total sold amount]]/Table25[[#This Row],[Total Sold number of stocks]],"")</f>
        <v>77.77</v>
      </c>
      <c r="O607" s="4">
        <f>IFERROR(Table25[[#This Row],[Total Amount bought]]/Table25[[#This Row],[Total number bought]],"")</f>
        <v>69.849999999999994</v>
      </c>
      <c r="P607" s="4">
        <f>IFERROR((Table25[[#This Row],[Average sell price]]-Table25[[#This Row],[Average buy price]])*Table25[[#This Row],[Total Sold number of stocks]],0)</f>
        <v>39.600000000000009</v>
      </c>
      <c r="Q607" s="85">
        <f>SUMIF(Table25[[#All],[Assets]],Table25[[#This Row],[Assets]],Table25[[#All],[Number of stocks]])</f>
        <v>0</v>
      </c>
    </row>
    <row r="608" spans="1:17">
      <c r="A608" t="e" vm="400">
        <v>#VALUE!</v>
      </c>
      <c r="B608" s="2">
        <v>45611</v>
      </c>
      <c r="C608" t="str" cm="1">
        <f t="array" aca="1" ref="C608" ca="1">_FV(A608,"Ticker symbol",TRUE)</f>
        <v>CALX</v>
      </c>
      <c r="D608" s="4">
        <v>29.91</v>
      </c>
      <c r="E608" s="50">
        <v>-6</v>
      </c>
      <c r="F608" s="81">
        <f>IF(Table25[[#This Row],[Number of stocks]]&gt;0,Table25[[#This Row],[Number of stocks]],0)</f>
        <v>0</v>
      </c>
      <c r="G608" s="73">
        <f>Table25[[#This Row],[Bought]]*Table25[[#This Row],[Price]]</f>
        <v>0</v>
      </c>
      <c r="H608">
        <f>SUMIF(Table25[[#All],[Assets]],Table25[[#This Row],[Assets]],Table25[[#All],[Bought]])</f>
        <v>6</v>
      </c>
      <c r="I608">
        <f>SUMIF(Table25[[#All],[Assets]],Table25[[#This Row],[Assets]],Table25[[#All],[Bought Amount]])</f>
        <v>223.98</v>
      </c>
      <c r="J608" s="88">
        <f>IF(Table25[[#This Row],[Number of stocks]]&lt;0,Table25[[#This Row],[Number of stocks]],0)</f>
        <v>-6</v>
      </c>
      <c r="K608" s="5">
        <f>Table25[[#This Row],[Sold]]*Table25[[#This Row],[Price]]</f>
        <v>-179.46</v>
      </c>
      <c r="L608" s="8">
        <f>ABS(SUMIF(Table25[[#All],[Assets]],Table25[[#This Row],[Assets]],Table25[[#All],[Sold]]))</f>
        <v>6</v>
      </c>
      <c r="M608" s="5">
        <f>ABS(SUMIF(Table25[[#All],[Assets]],Table25[[#This Row],[Assets]],Table25[[#All],[Sold Amount]]))</f>
        <v>179.46</v>
      </c>
      <c r="N608" s="5">
        <f>IFERROR(Table25[[#This Row],[Total sold amount]]/Table25[[#This Row],[Total Sold number of stocks]],"")</f>
        <v>29.91</v>
      </c>
      <c r="O608" s="4">
        <f>IFERROR(Table25[[#This Row],[Total Amount bought]]/Table25[[#This Row],[Total number bought]],"")</f>
        <v>37.33</v>
      </c>
      <c r="P608" s="4">
        <f>IFERROR((Table25[[#This Row],[Average sell price]]-Table25[[#This Row],[Average buy price]])*Table25[[#This Row],[Total Sold number of stocks]],0)</f>
        <v>-44.519999999999989</v>
      </c>
      <c r="Q608" s="85">
        <f>SUMIF(Table25[[#All],[Assets]],Table25[[#This Row],[Assets]],Table25[[#All],[Number of stocks]])</f>
        <v>0</v>
      </c>
    </row>
    <row r="609" spans="1:17">
      <c r="A609" t="e" vm="49">
        <v>#VALUE!</v>
      </c>
      <c r="B609" s="2">
        <v>45614</v>
      </c>
      <c r="C609" t="str" cm="1">
        <f t="array" aca="1" ref="C609" ca="1">_FV(A609,"Ticker symbol",TRUE)</f>
        <v>LEU</v>
      </c>
      <c r="D609" s="4">
        <v>74.86</v>
      </c>
      <c r="E609" s="50">
        <v>5</v>
      </c>
      <c r="F609" s="81">
        <f>IF(Table25[[#This Row],[Number of stocks]]&gt;0,Table25[[#This Row],[Number of stocks]],0)</f>
        <v>5</v>
      </c>
      <c r="G609" s="73">
        <f>Table25[[#This Row],[Bought]]*Table25[[#This Row],[Price]]</f>
        <v>374.3</v>
      </c>
      <c r="H609">
        <f>SUMIF(Table25[[#All],[Assets]],Table25[[#This Row],[Assets]],Table25[[#All],[Bought]])</f>
        <v>20</v>
      </c>
      <c r="I609">
        <f>SUMIF(Table25[[#All],[Assets]],Table25[[#This Row],[Assets]],Table25[[#All],[Bought Amount]])</f>
        <v>1555.5</v>
      </c>
      <c r="J609" s="88">
        <f>IF(Table25[[#This Row],[Number of stocks]]&lt;0,Table25[[#This Row],[Number of stocks]],0)</f>
        <v>0</v>
      </c>
      <c r="K609" s="5">
        <f>Table25[[#This Row],[Sold]]*Table25[[#This Row],[Price]]</f>
        <v>0</v>
      </c>
      <c r="L609" s="8">
        <f>ABS(SUMIF(Table25[[#All],[Assets]],Table25[[#This Row],[Assets]],Table25[[#All],[Sold]]))</f>
        <v>20</v>
      </c>
      <c r="M609" s="5">
        <f>ABS(SUMIF(Table25[[#All],[Assets]],Table25[[#This Row],[Assets]],Table25[[#All],[Sold Amount]]))</f>
        <v>1711.1999999999998</v>
      </c>
      <c r="N609" s="5">
        <f>IFERROR(Table25[[#This Row],[Total sold amount]]/Table25[[#This Row],[Total Sold number of stocks]],"")</f>
        <v>85.559999999999988</v>
      </c>
      <c r="O609" s="4">
        <f>IFERROR(Table25[[#This Row],[Total Amount bought]]/Table25[[#This Row],[Total number bought]],"")</f>
        <v>77.775000000000006</v>
      </c>
      <c r="P609" s="4">
        <f>IFERROR((Table25[[#This Row],[Average sell price]]-Table25[[#This Row],[Average buy price]])*Table25[[#This Row],[Total Sold number of stocks]],0)</f>
        <v>155.69999999999965</v>
      </c>
      <c r="Q609" s="85">
        <f>SUMIF(Table25[[#All],[Assets]],Table25[[#This Row],[Assets]],Table25[[#All],[Number of stocks]])</f>
        <v>0</v>
      </c>
    </row>
    <row r="610" spans="1:17">
      <c r="A610" t="e" vm="49">
        <v>#VALUE!</v>
      </c>
      <c r="B610" s="2">
        <v>45614</v>
      </c>
      <c r="C610" t="str" cm="1">
        <f t="array" aca="1" ref="C610" ca="1">_FV(A610,"Ticker symbol",TRUE)</f>
        <v>LEU</v>
      </c>
      <c r="D610" s="4">
        <v>76.73</v>
      </c>
      <c r="E610" s="50">
        <v>10</v>
      </c>
      <c r="F610" s="81">
        <f>IF(Table25[[#This Row],[Number of stocks]]&gt;0,Table25[[#This Row],[Number of stocks]],0)</f>
        <v>10</v>
      </c>
      <c r="G610" s="73">
        <f>Table25[[#This Row],[Bought]]*Table25[[#This Row],[Price]]</f>
        <v>767.30000000000007</v>
      </c>
      <c r="H610">
        <f>SUMIF(Table25[[#All],[Assets]],Table25[[#This Row],[Assets]],Table25[[#All],[Bought]])</f>
        <v>20</v>
      </c>
      <c r="I610">
        <f>SUMIF(Table25[[#All],[Assets]],Table25[[#This Row],[Assets]],Table25[[#All],[Bought Amount]])</f>
        <v>1555.5</v>
      </c>
      <c r="J610" s="88">
        <f>IF(Table25[[#This Row],[Number of stocks]]&lt;0,Table25[[#This Row],[Number of stocks]],0)</f>
        <v>0</v>
      </c>
      <c r="K610" s="5">
        <f>Table25[[#This Row],[Sold]]*Table25[[#This Row],[Price]]</f>
        <v>0</v>
      </c>
      <c r="L610" s="8">
        <f>ABS(SUMIF(Table25[[#All],[Assets]],Table25[[#This Row],[Assets]],Table25[[#All],[Sold]]))</f>
        <v>20</v>
      </c>
      <c r="M610" s="5">
        <f>ABS(SUMIF(Table25[[#All],[Assets]],Table25[[#This Row],[Assets]],Table25[[#All],[Sold Amount]]))</f>
        <v>1711.1999999999998</v>
      </c>
      <c r="N610" s="5">
        <f>IFERROR(Table25[[#This Row],[Total sold amount]]/Table25[[#This Row],[Total Sold number of stocks]],"")</f>
        <v>85.559999999999988</v>
      </c>
      <c r="O610" s="4">
        <f>IFERROR(Table25[[#This Row],[Total Amount bought]]/Table25[[#This Row],[Total number bought]],"")</f>
        <v>77.775000000000006</v>
      </c>
      <c r="P610" s="4">
        <f>IFERROR((Table25[[#This Row],[Average sell price]]-Table25[[#This Row],[Average buy price]])*Table25[[#This Row],[Total Sold number of stocks]],0)</f>
        <v>155.69999999999965</v>
      </c>
      <c r="Q610" s="85">
        <f>SUMIF(Table25[[#All],[Assets]],Table25[[#This Row],[Assets]],Table25[[#All],[Number of stocks]])</f>
        <v>0</v>
      </c>
    </row>
    <row r="611" spans="1:17">
      <c r="A611" t="e" vm="249">
        <v>#VALUE!</v>
      </c>
      <c r="B611" s="2">
        <v>45615</v>
      </c>
      <c r="C611" t="str" cm="1">
        <f t="array" aca="1" ref="C611" ca="1">_FV(A611,"Ticker symbol",TRUE)</f>
        <v>OSCR</v>
      </c>
      <c r="D611" s="4">
        <v>18.03</v>
      </c>
      <c r="E611" s="50">
        <v>30</v>
      </c>
      <c r="F611" s="81">
        <f>IF(Table25[[#This Row],[Number of stocks]]&gt;0,Table25[[#This Row],[Number of stocks]],0)</f>
        <v>30</v>
      </c>
      <c r="G611" s="73">
        <f>Table25[[#This Row],[Bought]]*Table25[[#This Row],[Price]]</f>
        <v>540.90000000000009</v>
      </c>
      <c r="H611">
        <f>SUMIF(Table25[[#All],[Assets]],Table25[[#This Row],[Assets]],Table25[[#All],[Bought]])</f>
        <v>195</v>
      </c>
      <c r="I611">
        <f>SUMIF(Table25[[#All],[Assets]],Table25[[#This Row],[Assets]],Table25[[#All],[Bought Amount]])</f>
        <v>3156.6</v>
      </c>
      <c r="J611" s="88">
        <f>IF(Table25[[#This Row],[Number of stocks]]&lt;0,Table25[[#This Row],[Number of stocks]],0)</f>
        <v>0</v>
      </c>
      <c r="K611" s="5">
        <f>Table25[[#This Row],[Sold]]*Table25[[#This Row],[Price]]</f>
        <v>0</v>
      </c>
      <c r="L611" s="8">
        <f>ABS(SUMIF(Table25[[#All],[Assets]],Table25[[#This Row],[Assets]],Table25[[#All],[Sold]]))</f>
        <v>195</v>
      </c>
      <c r="M611" s="5">
        <f>ABS(SUMIF(Table25[[#All],[Assets]],Table25[[#This Row],[Assets]],Table25[[#All],[Sold Amount]]))</f>
        <v>2927.3999999999996</v>
      </c>
      <c r="N611" s="5">
        <f>IFERROR(Table25[[#This Row],[Total sold amount]]/Table25[[#This Row],[Total Sold number of stocks]],"")</f>
        <v>15.01230769230769</v>
      </c>
      <c r="O611" s="4">
        <f>IFERROR(Table25[[#This Row],[Total Amount bought]]/Table25[[#This Row],[Total number bought]],"")</f>
        <v>16.187692307692306</v>
      </c>
      <c r="P611" s="4">
        <f>IFERROR((Table25[[#This Row],[Average sell price]]-Table25[[#This Row],[Average buy price]])*Table25[[#This Row],[Total Sold number of stocks]],0)</f>
        <v>-229.20000000000002</v>
      </c>
      <c r="Q611" s="85">
        <f>SUMIF(Table25[[#All],[Assets]],Table25[[#This Row],[Assets]],Table25[[#All],[Number of stocks]])</f>
        <v>0</v>
      </c>
    </row>
    <row r="612" spans="1:17">
      <c r="A612" t="e" vm="73">
        <v>#VALUE!</v>
      </c>
      <c r="B612" s="2">
        <v>45616</v>
      </c>
      <c r="C612" t="str" cm="1">
        <f t="array" aca="1" ref="C612" ca="1">_FV(A612,"Ticker symbol",TRUE)</f>
        <v>NOTV</v>
      </c>
      <c r="D612" s="4">
        <v>3.63</v>
      </c>
      <c r="E612" s="50">
        <v>250</v>
      </c>
      <c r="F612" s="81">
        <f>IF(Table25[[#This Row],[Number of stocks]]&gt;0,Table25[[#This Row],[Number of stocks]],0)</f>
        <v>250</v>
      </c>
      <c r="G612" s="73">
        <f>Table25[[#This Row],[Bought]]*Table25[[#This Row],[Price]]</f>
        <v>907.5</v>
      </c>
      <c r="H612">
        <f>SUMIF(Table25[[#All],[Assets]],Table25[[#This Row],[Assets]],Table25[[#All],[Bought]])</f>
        <v>3556</v>
      </c>
      <c r="I612">
        <f>SUMIF(Table25[[#All],[Assets]],Table25[[#This Row],[Assets]],Table25[[#All],[Bought Amount]])</f>
        <v>10249.890000000001</v>
      </c>
      <c r="J612" s="88">
        <f>IF(Table25[[#This Row],[Number of stocks]]&lt;0,Table25[[#This Row],[Number of stocks]],0)</f>
        <v>0</v>
      </c>
      <c r="K612" s="5">
        <f>Table25[[#This Row],[Sold]]*Table25[[#This Row],[Price]]</f>
        <v>0</v>
      </c>
      <c r="L612" s="8">
        <f>ABS(SUMIF(Table25[[#All],[Assets]],Table25[[#This Row],[Assets]],Table25[[#All],[Sold]]))</f>
        <v>2741</v>
      </c>
      <c r="M612" s="5">
        <f>ABS(SUMIF(Table25[[#All],[Assets]],Table25[[#This Row],[Assets]],Table25[[#All],[Sold Amount]]))</f>
        <v>6559.66</v>
      </c>
      <c r="N612" s="5">
        <f>IFERROR(Table25[[#This Row],[Total sold amount]]/Table25[[#This Row],[Total Sold number of stocks]],"")</f>
        <v>2.3931630791681866</v>
      </c>
      <c r="O612" s="4">
        <f>IFERROR(Table25[[#This Row],[Total Amount bought]]/Table25[[#This Row],[Total number bought]],"")</f>
        <v>2.8824212598425198</v>
      </c>
      <c r="P612" s="4">
        <f>IFERROR((Table25[[#This Row],[Average sell price]]-Table25[[#This Row],[Average buy price]])*Table25[[#This Row],[Total Sold number of stocks]],0)</f>
        <v>-1341.0566732283473</v>
      </c>
      <c r="Q612" s="85">
        <f>SUMIF(Table25[[#All],[Assets]],Table25[[#This Row],[Assets]],Table25[[#All],[Number of stocks]])</f>
        <v>815</v>
      </c>
    </row>
    <row r="613" spans="1:17">
      <c r="A613" t="e" vm="289">
        <v>#VALUE!</v>
      </c>
      <c r="B613" s="2">
        <v>45616</v>
      </c>
      <c r="C613" t="str" cm="1">
        <f t="array" aca="1" ref="C613" ca="1">_FV(A613,"Ticker symbol",TRUE)</f>
        <v>CRL</v>
      </c>
      <c r="D613" s="4">
        <v>186.87</v>
      </c>
      <c r="E613" s="50">
        <v>5</v>
      </c>
      <c r="F613" s="81">
        <f>IF(Table25[[#This Row],[Number of stocks]]&gt;0,Table25[[#This Row],[Number of stocks]],0)</f>
        <v>5</v>
      </c>
      <c r="G613" s="73">
        <f>Table25[[#This Row],[Bought]]*Table25[[#This Row],[Price]]</f>
        <v>934.35</v>
      </c>
      <c r="H613">
        <f>SUMIF(Table25[[#All],[Assets]],Table25[[#This Row],[Assets]],Table25[[#All],[Bought]])</f>
        <v>12</v>
      </c>
      <c r="I613">
        <f>SUMIF(Table25[[#All],[Assets]],Table25[[#This Row],[Assets]],Table25[[#All],[Bought Amount]])</f>
        <v>1667.04</v>
      </c>
      <c r="J613" s="88">
        <f>IF(Table25[[#This Row],[Number of stocks]]&lt;0,Table25[[#This Row],[Number of stocks]],0)</f>
        <v>0</v>
      </c>
      <c r="K613" s="5">
        <f>Table25[[#This Row],[Sold]]*Table25[[#This Row],[Price]]</f>
        <v>0</v>
      </c>
      <c r="L613" s="8">
        <f>ABS(SUMIF(Table25[[#All],[Assets]],Table25[[#This Row],[Assets]],Table25[[#All],[Sold]]))</f>
        <v>12</v>
      </c>
      <c r="M613" s="5">
        <f>ABS(SUMIF(Table25[[#All],[Assets]],Table25[[#This Row],[Assets]],Table25[[#All],[Sold Amount]]))</f>
        <v>1917.08</v>
      </c>
      <c r="N613" s="5">
        <f>IFERROR(Table25[[#This Row],[Total sold amount]]/Table25[[#This Row],[Total Sold number of stocks]],"")</f>
        <v>159.75666666666666</v>
      </c>
      <c r="O613" s="4">
        <f>IFERROR(Table25[[#This Row],[Total Amount bought]]/Table25[[#This Row],[Total number bought]],"")</f>
        <v>138.91999999999999</v>
      </c>
      <c r="P613" s="4">
        <f>IFERROR((Table25[[#This Row],[Average sell price]]-Table25[[#This Row],[Average buy price]])*Table25[[#This Row],[Total Sold number of stocks]],0)</f>
        <v>250.04000000000008</v>
      </c>
      <c r="Q613" s="85">
        <f>SUMIF(Table25[[#All],[Assets]],Table25[[#This Row],[Assets]],Table25[[#All],[Number of stocks]])</f>
        <v>0</v>
      </c>
    </row>
    <row r="614" spans="1:17">
      <c r="A614" t="e" vm="274">
        <v>#VALUE!</v>
      </c>
      <c r="B614" s="2">
        <v>45616</v>
      </c>
      <c r="C614" t="str" cm="1">
        <f t="array" aca="1" ref="C614" ca="1">_FV(A614,"Ticker symbol",TRUE)</f>
        <v>AVTR</v>
      </c>
      <c r="D614" s="4">
        <v>19.7</v>
      </c>
      <c r="E614" s="50">
        <v>50</v>
      </c>
      <c r="F614" s="81">
        <f>IF(Table25[[#This Row],[Number of stocks]]&gt;0,Table25[[#This Row],[Number of stocks]],0)</f>
        <v>50</v>
      </c>
      <c r="G614" s="73">
        <f>Table25[[#This Row],[Bought]]*Table25[[#This Row],[Price]]</f>
        <v>985</v>
      </c>
      <c r="H614">
        <f>SUMIF(Table25[[#All],[Assets]],Table25[[#This Row],[Assets]],Table25[[#All],[Bought]])</f>
        <v>140</v>
      </c>
      <c r="I614">
        <f>SUMIF(Table25[[#All],[Assets]],Table25[[#This Row],[Assets]],Table25[[#All],[Bought Amount]])</f>
        <v>2026.3</v>
      </c>
      <c r="J614" s="88">
        <f>IF(Table25[[#This Row],[Number of stocks]]&lt;0,Table25[[#This Row],[Number of stocks]],0)</f>
        <v>0</v>
      </c>
      <c r="K614" s="5">
        <f>Table25[[#This Row],[Sold]]*Table25[[#This Row],[Price]]</f>
        <v>0</v>
      </c>
      <c r="L614" s="8">
        <f>ABS(SUMIF(Table25[[#All],[Assets]],Table25[[#This Row],[Assets]],Table25[[#All],[Sold]]))</f>
        <v>140</v>
      </c>
      <c r="M614" s="5">
        <f>ABS(SUMIF(Table25[[#All],[Assets]],Table25[[#This Row],[Assets]],Table25[[#All],[Sold Amount]]))</f>
        <v>2139.8000000000002</v>
      </c>
      <c r="N614" s="5">
        <f>IFERROR(Table25[[#This Row],[Total sold amount]]/Table25[[#This Row],[Total Sold number of stocks]],"")</f>
        <v>15.284285714285716</v>
      </c>
      <c r="O614" s="4">
        <f>IFERROR(Table25[[#This Row],[Total Amount bought]]/Table25[[#This Row],[Total number bought]],"")</f>
        <v>14.473571428571429</v>
      </c>
      <c r="P614" s="4">
        <f>IFERROR((Table25[[#This Row],[Average sell price]]-Table25[[#This Row],[Average buy price]])*Table25[[#This Row],[Total Sold number of stocks]],0)</f>
        <v>113.50000000000016</v>
      </c>
      <c r="Q614" s="85">
        <f>SUMIF(Table25[[#All],[Assets]],Table25[[#This Row],[Assets]],Table25[[#All],[Number of stocks]])</f>
        <v>0</v>
      </c>
    </row>
    <row r="615" spans="1:17">
      <c r="A615" t="e" vm="509">
        <v>#VALUE!</v>
      </c>
      <c r="B615" s="2">
        <v>45616</v>
      </c>
      <c r="C615" t="str" cm="1">
        <f t="array" aca="1" ref="C615" ca="1">_FV(A615,"Ticker symbol",TRUE)</f>
        <v>FTRE</v>
      </c>
      <c r="D615" s="4">
        <v>19.010000000000002</v>
      </c>
      <c r="E615" s="50">
        <v>50</v>
      </c>
      <c r="F615" s="81">
        <f>IF(Table25[[#This Row],[Number of stocks]]&gt;0,Table25[[#This Row],[Number of stocks]],0)</f>
        <v>50</v>
      </c>
      <c r="G615" s="73">
        <f>Table25[[#This Row],[Bought]]*Table25[[#This Row],[Price]]</f>
        <v>950.50000000000011</v>
      </c>
      <c r="H615">
        <f>SUMIF(Table25[[#All],[Assets]],Table25[[#This Row],[Assets]],Table25[[#All],[Bought]])</f>
        <v>50</v>
      </c>
      <c r="I615">
        <f>SUMIF(Table25[[#All],[Assets]],Table25[[#This Row],[Assets]],Table25[[#All],[Bought Amount]])</f>
        <v>950.50000000000011</v>
      </c>
      <c r="J615" s="88">
        <f>IF(Table25[[#This Row],[Number of stocks]]&lt;0,Table25[[#This Row],[Number of stocks]],0)</f>
        <v>0</v>
      </c>
      <c r="K615" s="5">
        <f>Table25[[#This Row],[Sold]]*Table25[[#This Row],[Price]]</f>
        <v>0</v>
      </c>
      <c r="L615" s="8">
        <f>ABS(SUMIF(Table25[[#All],[Assets]],Table25[[#This Row],[Assets]],Table25[[#All],[Sold]]))</f>
        <v>50</v>
      </c>
      <c r="M615" s="5">
        <f>ABS(SUMIF(Table25[[#All],[Assets]],Table25[[#This Row],[Assets]],Table25[[#All],[Sold Amount]]))</f>
        <v>225</v>
      </c>
      <c r="N615" s="5">
        <f>IFERROR(Table25[[#This Row],[Total sold amount]]/Table25[[#This Row],[Total Sold number of stocks]],"")</f>
        <v>4.5</v>
      </c>
      <c r="O615" s="4">
        <f>IFERROR(Table25[[#This Row],[Total Amount bought]]/Table25[[#This Row],[Total number bought]],"")</f>
        <v>19.010000000000002</v>
      </c>
      <c r="P615" s="4">
        <f>IFERROR((Table25[[#This Row],[Average sell price]]-Table25[[#This Row],[Average buy price]])*Table25[[#This Row],[Total Sold number of stocks]],0)</f>
        <v>-725.50000000000011</v>
      </c>
      <c r="Q615" s="85">
        <f>SUMIF(Table25[[#All],[Assets]],Table25[[#This Row],[Assets]],Table25[[#All],[Number of stocks]])</f>
        <v>0</v>
      </c>
    </row>
    <row r="616" spans="1:17">
      <c r="A616" t="e" vm="169">
        <v>#VALUE!</v>
      </c>
      <c r="B616" s="2">
        <v>45616</v>
      </c>
      <c r="C616" t="str" cm="1">
        <f t="array" aca="1" ref="C616" ca="1">_FV(A616,"Ticker symbol",TRUE)</f>
        <v>CVS</v>
      </c>
      <c r="D616" s="4">
        <v>56.37</v>
      </c>
      <c r="E616" s="50">
        <v>6</v>
      </c>
      <c r="F616" s="81">
        <f>IF(Table25[[#This Row],[Number of stocks]]&gt;0,Table25[[#This Row],[Number of stocks]],0)</f>
        <v>6</v>
      </c>
      <c r="G616" s="73">
        <f>Table25[[#This Row],[Bought]]*Table25[[#This Row],[Price]]</f>
        <v>338.21999999999997</v>
      </c>
      <c r="H616">
        <f>SUMIF(Table25[[#All],[Assets]],Table25[[#This Row],[Assets]],Table25[[#All],[Bought]])</f>
        <v>104</v>
      </c>
      <c r="I616">
        <f>SUMIF(Table25[[#All],[Assets]],Table25[[#This Row],[Assets]],Table25[[#All],[Bought Amount]])</f>
        <v>6111.46</v>
      </c>
      <c r="J616" s="88">
        <f>IF(Table25[[#This Row],[Number of stocks]]&lt;0,Table25[[#This Row],[Number of stocks]],0)</f>
        <v>0</v>
      </c>
      <c r="K616" s="5">
        <f>Table25[[#This Row],[Sold]]*Table25[[#This Row],[Price]]</f>
        <v>0</v>
      </c>
      <c r="L616" s="8">
        <f>ABS(SUMIF(Table25[[#All],[Assets]],Table25[[#This Row],[Assets]],Table25[[#All],[Sold]]))</f>
        <v>104</v>
      </c>
      <c r="M616" s="5">
        <f>ABS(SUMIF(Table25[[#All],[Assets]],Table25[[#This Row],[Assets]],Table25[[#All],[Sold Amount]]))</f>
        <v>6244.5899999999992</v>
      </c>
      <c r="N616" s="5">
        <f>IFERROR(Table25[[#This Row],[Total sold amount]]/Table25[[#This Row],[Total Sold number of stocks]],"")</f>
        <v>60.044134615384607</v>
      </c>
      <c r="O616" s="4">
        <f>IFERROR(Table25[[#This Row],[Total Amount bought]]/Table25[[#This Row],[Total number bought]],"")</f>
        <v>58.764038461538462</v>
      </c>
      <c r="P616" s="4">
        <f>IFERROR((Table25[[#This Row],[Average sell price]]-Table25[[#This Row],[Average buy price]])*Table25[[#This Row],[Total Sold number of stocks]],0)</f>
        <v>133.12999999999909</v>
      </c>
      <c r="Q616" s="85">
        <f>SUMIF(Table25[[#All],[Assets]],Table25[[#This Row],[Assets]],Table25[[#All],[Number of stocks]])</f>
        <v>0</v>
      </c>
    </row>
    <row r="617" spans="1:17">
      <c r="A617" t="e" vm="176">
        <v>#VALUE!</v>
      </c>
      <c r="B617" s="2">
        <v>45616</v>
      </c>
      <c r="C617" t="str" cm="1">
        <f t="array" aca="1" ref="C617" ca="1">_FV(A617,"Ticker symbol",TRUE)</f>
        <v>HUT</v>
      </c>
      <c r="D617" s="4">
        <v>25.25</v>
      </c>
      <c r="E617" s="50">
        <v>70</v>
      </c>
      <c r="F617" s="81">
        <f>IF(Table25[[#This Row],[Number of stocks]]&gt;0,Table25[[#This Row],[Number of stocks]],0)</f>
        <v>70</v>
      </c>
      <c r="G617" s="73">
        <f>Table25[[#This Row],[Bought]]*Table25[[#This Row],[Price]]</f>
        <v>1767.5</v>
      </c>
      <c r="H617">
        <f>SUMIF(Table25[[#All],[Assets]],Table25[[#This Row],[Assets]],Table25[[#All],[Bought]])</f>
        <v>461</v>
      </c>
      <c r="I617">
        <f>SUMIF(Table25[[#All],[Assets]],Table25[[#This Row],[Assets]],Table25[[#All],[Bought Amount]])</f>
        <v>12551.63</v>
      </c>
      <c r="J617" s="88">
        <f>IF(Table25[[#This Row],[Number of stocks]]&lt;0,Table25[[#This Row],[Number of stocks]],0)</f>
        <v>0</v>
      </c>
      <c r="K617" s="5">
        <f>Table25[[#This Row],[Sold]]*Table25[[#This Row],[Price]]</f>
        <v>0</v>
      </c>
      <c r="L617" s="8">
        <f>ABS(SUMIF(Table25[[#All],[Assets]],Table25[[#This Row],[Assets]],Table25[[#All],[Sold]]))</f>
        <v>350</v>
      </c>
      <c r="M617" s="5">
        <f>ABS(SUMIF(Table25[[#All],[Assets]],Table25[[#This Row],[Assets]],Table25[[#All],[Sold Amount]]))</f>
        <v>6704.5</v>
      </c>
      <c r="N617" s="5">
        <f>IFERROR(Table25[[#This Row],[Total sold amount]]/Table25[[#This Row],[Total Sold number of stocks]],"")</f>
        <v>19.155714285714286</v>
      </c>
      <c r="O617" s="4">
        <f>IFERROR(Table25[[#This Row],[Total Amount bought]]/Table25[[#This Row],[Total number bought]],"")</f>
        <v>27.22696312364425</v>
      </c>
      <c r="P617" s="4">
        <f>IFERROR((Table25[[#This Row],[Average sell price]]-Table25[[#This Row],[Average buy price]])*Table25[[#This Row],[Total Sold number of stocks]],0)</f>
        <v>-2824.9370932754873</v>
      </c>
      <c r="Q617" s="85">
        <f>SUMIF(Table25[[#All],[Assets]],Table25[[#This Row],[Assets]],Table25[[#All],[Number of stocks]])</f>
        <v>111</v>
      </c>
    </row>
    <row r="618" spans="1:17">
      <c r="A618" t="e" vm="33">
        <v>#VALUE!</v>
      </c>
      <c r="B618" s="2">
        <v>45616</v>
      </c>
      <c r="C618" t="str" cm="1">
        <f t="array" aca="1" ref="C618" ca="1">_FV(A618,"Ticker symbol",TRUE)</f>
        <v>CRDO</v>
      </c>
      <c r="D618" s="4">
        <v>42.59</v>
      </c>
      <c r="E618" s="50">
        <v>-15</v>
      </c>
      <c r="F618" s="81">
        <f>IF(Table25[[#This Row],[Number of stocks]]&gt;0,Table25[[#This Row],[Number of stocks]],0)</f>
        <v>0</v>
      </c>
      <c r="G618" s="73">
        <f>Table25[[#This Row],[Bought]]*Table25[[#This Row],[Price]]</f>
        <v>0</v>
      </c>
      <c r="H618">
        <f>SUMIF(Table25[[#All],[Assets]],Table25[[#This Row],[Assets]],Table25[[#All],[Bought]])</f>
        <v>135</v>
      </c>
      <c r="I618">
        <f>SUMIF(Table25[[#All],[Assets]],Table25[[#This Row],[Assets]],Table25[[#All],[Bought Amount]])</f>
        <v>3772.0499999999997</v>
      </c>
      <c r="J618" s="88">
        <f>IF(Table25[[#This Row],[Number of stocks]]&lt;0,Table25[[#This Row],[Number of stocks]],0)</f>
        <v>-15</v>
      </c>
      <c r="K618" s="5">
        <f>Table25[[#This Row],[Sold]]*Table25[[#This Row],[Price]]</f>
        <v>-638.85</v>
      </c>
      <c r="L618" s="8">
        <f>ABS(SUMIF(Table25[[#All],[Assets]],Table25[[#This Row],[Assets]],Table25[[#All],[Sold]]))</f>
        <v>135</v>
      </c>
      <c r="M618" s="5">
        <f>ABS(SUMIF(Table25[[#All],[Assets]],Table25[[#This Row],[Assets]],Table25[[#All],[Sold Amount]]))</f>
        <v>5564.1</v>
      </c>
      <c r="N618" s="5">
        <f>IFERROR(Table25[[#This Row],[Total sold amount]]/Table25[[#This Row],[Total Sold number of stocks]],"")</f>
        <v>41.215555555555561</v>
      </c>
      <c r="O618" s="4">
        <f>IFERROR(Table25[[#This Row],[Total Amount bought]]/Table25[[#This Row],[Total number bought]],"")</f>
        <v>27.941111111111109</v>
      </c>
      <c r="P618" s="4">
        <f>IFERROR((Table25[[#This Row],[Average sell price]]-Table25[[#This Row],[Average buy price]])*Table25[[#This Row],[Total Sold number of stocks]],0)</f>
        <v>1792.0500000000011</v>
      </c>
      <c r="Q618" s="85">
        <f>SUMIF(Table25[[#All],[Assets]],Table25[[#This Row],[Assets]],Table25[[#All],[Number of stocks]])</f>
        <v>0</v>
      </c>
    </row>
    <row r="619" spans="1:17">
      <c r="A619" t="e" vm="46">
        <v>#VALUE!</v>
      </c>
      <c r="B619" s="2">
        <v>45616</v>
      </c>
      <c r="C619" t="str" cm="1">
        <f t="array" aca="1" ref="C619" ca="1">_FV(A619,"Ticker symbol",TRUE)</f>
        <v>ASPI</v>
      </c>
      <c r="D619" s="4">
        <v>7.13</v>
      </c>
      <c r="E619" s="50">
        <v>-80</v>
      </c>
      <c r="F619" s="81">
        <f>IF(Table25[[#This Row],[Number of stocks]]&gt;0,Table25[[#This Row],[Number of stocks]],0)</f>
        <v>0</v>
      </c>
      <c r="G619" s="73">
        <f>Table25[[#This Row],[Bought]]*Table25[[#This Row],[Price]]</f>
        <v>0</v>
      </c>
      <c r="H619">
        <f>SUMIF(Table25[[#All],[Assets]],Table25[[#This Row],[Assets]],Table25[[#All],[Bought]])</f>
        <v>1899</v>
      </c>
      <c r="I619">
        <f>SUMIF(Table25[[#All],[Assets]],Table25[[#This Row],[Assets]],Table25[[#All],[Bought Amount]])</f>
        <v>8555.869999999999</v>
      </c>
      <c r="J619" s="88">
        <f>IF(Table25[[#This Row],[Number of stocks]]&lt;0,Table25[[#This Row],[Number of stocks]],0)</f>
        <v>-80</v>
      </c>
      <c r="K619" s="5">
        <f>Table25[[#This Row],[Sold]]*Table25[[#This Row],[Price]]</f>
        <v>-570.4</v>
      </c>
      <c r="L619" s="8">
        <f>ABS(SUMIF(Table25[[#All],[Assets]],Table25[[#This Row],[Assets]],Table25[[#All],[Sold]]))</f>
        <v>1599</v>
      </c>
      <c r="M619" s="5">
        <f>ABS(SUMIF(Table25[[#All],[Assets]],Table25[[#This Row],[Assets]],Table25[[#All],[Sold Amount]]))</f>
        <v>8799.17</v>
      </c>
      <c r="N619" s="5">
        <f>IFERROR(Table25[[#This Row],[Total sold amount]]/Table25[[#This Row],[Total Sold number of stocks]],"")</f>
        <v>5.5029205753595996</v>
      </c>
      <c r="O619" s="4">
        <f>IFERROR(Table25[[#This Row],[Total Amount bought]]/Table25[[#This Row],[Total number bought]],"")</f>
        <v>4.5054607688256976</v>
      </c>
      <c r="P619" s="4">
        <f>IFERROR((Table25[[#This Row],[Average sell price]]-Table25[[#This Row],[Average buy price]])*Table25[[#This Row],[Total Sold number of stocks]],0)</f>
        <v>1594.9382306477094</v>
      </c>
      <c r="Q619" s="85">
        <f>SUMIF(Table25[[#All],[Assets]],Table25[[#This Row],[Assets]],Table25[[#All],[Number of stocks]])</f>
        <v>300</v>
      </c>
    </row>
    <row r="620" spans="1:17">
      <c r="A620" t="e" vm="154">
        <v>#VALUE!</v>
      </c>
      <c r="B620" s="2">
        <v>45618</v>
      </c>
      <c r="C620" t="str" cm="1">
        <f t="array" aca="1" ref="C620" ca="1">_FV(A620,"Ticker symbol",TRUE)</f>
        <v>B</v>
      </c>
      <c r="D620" s="4">
        <v>18.149999999999999</v>
      </c>
      <c r="E620" s="50">
        <v>-50</v>
      </c>
      <c r="F620" s="81">
        <f>IF(Table25[[#This Row],[Number of stocks]]&gt;0,Table25[[#This Row],[Number of stocks]],0)</f>
        <v>0</v>
      </c>
      <c r="G620" s="73">
        <f>Table25[[#This Row],[Bought]]*Table25[[#This Row],[Price]]</f>
        <v>0</v>
      </c>
      <c r="H620">
        <f>SUMIF(Table25[[#All],[Assets]],Table25[[#This Row],[Assets]],Table25[[#All],[Bought]])</f>
        <v>100</v>
      </c>
      <c r="I620">
        <f>SUMIF(Table25[[#All],[Assets]],Table25[[#This Row],[Assets]],Table25[[#All],[Bought Amount]])</f>
        <v>2006.5</v>
      </c>
      <c r="J620" s="88">
        <f>IF(Table25[[#This Row],[Number of stocks]]&lt;0,Table25[[#This Row],[Number of stocks]],0)</f>
        <v>-50</v>
      </c>
      <c r="K620" s="5">
        <f>Table25[[#This Row],[Sold]]*Table25[[#This Row],[Price]]</f>
        <v>-907.49999999999989</v>
      </c>
      <c r="L620" s="8">
        <f>ABS(SUMIF(Table25[[#All],[Assets]],Table25[[#This Row],[Assets]],Table25[[#All],[Sold]]))</f>
        <v>100</v>
      </c>
      <c r="M620" s="5">
        <f>ABS(SUMIF(Table25[[#All],[Assets]],Table25[[#This Row],[Assets]],Table25[[#All],[Sold Amount]]))</f>
        <v>1768.5</v>
      </c>
      <c r="N620" s="5">
        <f>IFERROR(Table25[[#This Row],[Total sold amount]]/Table25[[#This Row],[Total Sold number of stocks]],"")</f>
        <v>17.684999999999999</v>
      </c>
      <c r="O620" s="4">
        <f>IFERROR(Table25[[#This Row],[Total Amount bought]]/Table25[[#This Row],[Total number bought]],"")</f>
        <v>20.065000000000001</v>
      </c>
      <c r="P620" s="4">
        <f>IFERROR((Table25[[#This Row],[Average sell price]]-Table25[[#This Row],[Average buy price]])*Table25[[#This Row],[Total Sold number of stocks]],0)</f>
        <v>-238.00000000000026</v>
      </c>
      <c r="Q620" s="85">
        <f>SUMIF(Table25[[#All],[Assets]],Table25[[#This Row],[Assets]],Table25[[#All],[Number of stocks]])</f>
        <v>0</v>
      </c>
    </row>
    <row r="621" spans="1:17">
      <c r="A621" t="e" vm="53">
        <v>#VALUE!</v>
      </c>
      <c r="B621" s="2">
        <v>45618</v>
      </c>
      <c r="C621" t="str" cm="1">
        <f t="array" aca="1" ref="C621" ca="1">_FV(A621,"Ticker symbol",TRUE)</f>
        <v>PESI</v>
      </c>
      <c r="D621" s="4">
        <v>15</v>
      </c>
      <c r="E621" s="50">
        <v>100</v>
      </c>
      <c r="F621" s="81">
        <f>IF(Table25[[#This Row],[Number of stocks]]&gt;0,Table25[[#This Row],[Number of stocks]],0)</f>
        <v>100</v>
      </c>
      <c r="G621" s="73">
        <f>Table25[[#This Row],[Bought]]*Table25[[#This Row],[Price]]</f>
        <v>1500</v>
      </c>
      <c r="H621">
        <f>SUMIF(Table25[[#All],[Assets]],Table25[[#This Row],[Assets]],Table25[[#All],[Bought]])</f>
        <v>160</v>
      </c>
      <c r="I621">
        <f>SUMIF(Table25[[#All],[Assets]],Table25[[#This Row],[Assets]],Table25[[#All],[Bought Amount]])</f>
        <v>2058.6</v>
      </c>
      <c r="J621" s="88">
        <f>IF(Table25[[#This Row],[Number of stocks]]&lt;0,Table25[[#This Row],[Number of stocks]],0)</f>
        <v>0</v>
      </c>
      <c r="K621" s="5">
        <f>Table25[[#This Row],[Sold]]*Table25[[#This Row],[Price]]</f>
        <v>0</v>
      </c>
      <c r="L621" s="8">
        <f>ABS(SUMIF(Table25[[#All],[Assets]],Table25[[#This Row],[Assets]],Table25[[#All],[Sold]]))</f>
        <v>160</v>
      </c>
      <c r="M621" s="5">
        <f>ABS(SUMIF(Table25[[#All],[Assets]],Table25[[#This Row],[Assets]],Table25[[#All],[Sold Amount]]))</f>
        <v>1773.6000000000001</v>
      </c>
      <c r="N621" s="5">
        <f>IFERROR(Table25[[#This Row],[Total sold amount]]/Table25[[#This Row],[Total Sold number of stocks]],"")</f>
        <v>11.085000000000001</v>
      </c>
      <c r="O621" s="4">
        <f>IFERROR(Table25[[#This Row],[Total Amount bought]]/Table25[[#This Row],[Total number bought]],"")</f>
        <v>12.866249999999999</v>
      </c>
      <c r="P621" s="4">
        <f>IFERROR((Table25[[#This Row],[Average sell price]]-Table25[[#This Row],[Average buy price]])*Table25[[#This Row],[Total Sold number of stocks]],0)</f>
        <v>-284.99999999999972</v>
      </c>
      <c r="Q621" s="85">
        <f>SUMIF(Table25[[#All],[Assets]],Table25[[#This Row],[Assets]],Table25[[#All],[Number of stocks]])</f>
        <v>0</v>
      </c>
    </row>
    <row r="622" spans="1:17">
      <c r="A622" t="e" vm="71">
        <v>#VALUE!</v>
      </c>
      <c r="B622" s="2">
        <v>45621</v>
      </c>
      <c r="C622" t="str" cm="1">
        <f t="array" aca="1" ref="C622" ca="1">_FV(A622,"Ticker symbol",TRUE)</f>
        <v>TKNO</v>
      </c>
      <c r="D622" s="4">
        <v>7.45</v>
      </c>
      <c r="E622" s="50">
        <v>130</v>
      </c>
      <c r="F622" s="81">
        <f>IF(Table25[[#This Row],[Number of stocks]]&gt;0,Table25[[#This Row],[Number of stocks]],0)</f>
        <v>130</v>
      </c>
      <c r="G622" s="73">
        <f>Table25[[#This Row],[Bought]]*Table25[[#This Row],[Price]]</f>
        <v>968.5</v>
      </c>
      <c r="H622">
        <f>SUMIF(Table25[[#All],[Assets]],Table25[[#This Row],[Assets]],Table25[[#All],[Bought]])</f>
        <v>2166.0267990000002</v>
      </c>
      <c r="I622">
        <f>SUMIF(Table25[[#All],[Assets]],Table25[[#This Row],[Assets]],Table25[[#All],[Bought Amount]])</f>
        <v>13370.91512648</v>
      </c>
      <c r="J622" s="88">
        <f>IF(Table25[[#This Row],[Number of stocks]]&lt;0,Table25[[#This Row],[Number of stocks]],0)</f>
        <v>0</v>
      </c>
      <c r="K622" s="5">
        <f>Table25[[#This Row],[Sold]]*Table25[[#This Row],[Price]]</f>
        <v>0</v>
      </c>
      <c r="L622" s="8">
        <f>ABS(SUMIF(Table25[[#All],[Assets]],Table25[[#This Row],[Assets]],Table25[[#All],[Sold]]))</f>
        <v>2083</v>
      </c>
      <c r="M622" s="5">
        <f>ABS(SUMIF(Table25[[#All],[Assets]],Table25[[#This Row],[Assets]],Table25[[#All],[Sold Amount]]))</f>
        <v>11153.28</v>
      </c>
      <c r="N622" s="5">
        <f>IFERROR(Table25[[#This Row],[Total sold amount]]/Table25[[#This Row],[Total Sold number of stocks]],"")</f>
        <v>5.3544311089774368</v>
      </c>
      <c r="O622" s="4">
        <f>IFERROR(Table25[[#This Row],[Total Amount bought]]/Table25[[#This Row],[Total number bought]],"")</f>
        <v>6.1730146333614213</v>
      </c>
      <c r="P622" s="4">
        <f>IFERROR((Table25[[#This Row],[Average sell price]]-Table25[[#This Row],[Average buy price]])*Table25[[#This Row],[Total Sold number of stocks]],0)</f>
        <v>-1705.1094812918398</v>
      </c>
      <c r="Q622" s="85">
        <f>SUMIF(Table25[[#All],[Assets]],Table25[[#This Row],[Assets]],Table25[[#All],[Number of stocks]])</f>
        <v>83.026798999999983</v>
      </c>
    </row>
    <row r="623" spans="1:17">
      <c r="A623" t="e" vm="73">
        <v>#VALUE!</v>
      </c>
      <c r="B623" s="2">
        <v>45621</v>
      </c>
      <c r="C623" t="str" cm="1">
        <f t="array" aca="1" ref="C623" ca="1">_FV(A623,"Ticker symbol",TRUE)</f>
        <v>NOTV</v>
      </c>
      <c r="D623" s="4">
        <v>3.66</v>
      </c>
      <c r="E623" s="50">
        <v>275</v>
      </c>
      <c r="F623" s="81">
        <f>IF(Table25[[#This Row],[Number of stocks]]&gt;0,Table25[[#This Row],[Number of stocks]],0)</f>
        <v>275</v>
      </c>
      <c r="G623" s="73">
        <f>Table25[[#This Row],[Bought]]*Table25[[#This Row],[Price]]</f>
        <v>1006.5</v>
      </c>
      <c r="H623">
        <f>SUMIF(Table25[[#All],[Assets]],Table25[[#This Row],[Assets]],Table25[[#All],[Bought]])</f>
        <v>3556</v>
      </c>
      <c r="I623">
        <f>SUMIF(Table25[[#All],[Assets]],Table25[[#This Row],[Assets]],Table25[[#All],[Bought Amount]])</f>
        <v>10249.890000000001</v>
      </c>
      <c r="J623" s="88">
        <f>IF(Table25[[#This Row],[Number of stocks]]&lt;0,Table25[[#This Row],[Number of stocks]],0)</f>
        <v>0</v>
      </c>
      <c r="K623" s="5">
        <f>Table25[[#This Row],[Sold]]*Table25[[#This Row],[Price]]</f>
        <v>0</v>
      </c>
      <c r="L623" s="8">
        <f>ABS(SUMIF(Table25[[#All],[Assets]],Table25[[#This Row],[Assets]],Table25[[#All],[Sold]]))</f>
        <v>2741</v>
      </c>
      <c r="M623" s="5">
        <f>ABS(SUMIF(Table25[[#All],[Assets]],Table25[[#This Row],[Assets]],Table25[[#All],[Sold Amount]]))</f>
        <v>6559.66</v>
      </c>
      <c r="N623" s="5">
        <f>IFERROR(Table25[[#This Row],[Total sold amount]]/Table25[[#This Row],[Total Sold number of stocks]],"")</f>
        <v>2.3931630791681866</v>
      </c>
      <c r="O623" s="4">
        <f>IFERROR(Table25[[#This Row],[Total Amount bought]]/Table25[[#This Row],[Total number bought]],"")</f>
        <v>2.8824212598425198</v>
      </c>
      <c r="P623" s="4">
        <f>IFERROR((Table25[[#This Row],[Average sell price]]-Table25[[#This Row],[Average buy price]])*Table25[[#This Row],[Total Sold number of stocks]],0)</f>
        <v>-1341.0566732283473</v>
      </c>
      <c r="Q623" s="85">
        <f>SUMIF(Table25[[#All],[Assets]],Table25[[#This Row],[Assets]],Table25[[#All],[Number of stocks]])</f>
        <v>815</v>
      </c>
    </row>
    <row r="624" spans="1:17">
      <c r="A624" t="e" vm="279">
        <v>#VALUE!</v>
      </c>
      <c r="B624" s="2">
        <v>45621</v>
      </c>
      <c r="C624" t="str" cm="1">
        <f t="array" aca="1" ref="C624" ca="1">_FV(A624,"Ticker symbol",TRUE)</f>
        <v>DXCM</v>
      </c>
      <c r="D624" s="4">
        <v>75.099999999999994</v>
      </c>
      <c r="E624" s="50">
        <v>14</v>
      </c>
      <c r="F624" s="81">
        <f>IF(Table25[[#This Row],[Number of stocks]]&gt;0,Table25[[#This Row],[Number of stocks]],0)</f>
        <v>14</v>
      </c>
      <c r="G624" s="73">
        <f>Table25[[#This Row],[Bought]]*Table25[[#This Row],[Price]]</f>
        <v>1051.3999999999999</v>
      </c>
      <c r="H624">
        <f>SUMIF(Table25[[#All],[Assets]],Table25[[#This Row],[Assets]],Table25[[#All],[Bought]])</f>
        <v>17</v>
      </c>
      <c r="I624">
        <f>SUMIF(Table25[[#All],[Assets]],Table25[[#This Row],[Assets]],Table25[[#All],[Bought Amount]])</f>
        <v>1281.7399999999998</v>
      </c>
      <c r="J624" s="88">
        <f>IF(Table25[[#This Row],[Number of stocks]]&lt;0,Table25[[#This Row],[Number of stocks]],0)</f>
        <v>0</v>
      </c>
      <c r="K624" s="5">
        <f>Table25[[#This Row],[Sold]]*Table25[[#This Row],[Price]]</f>
        <v>0</v>
      </c>
      <c r="L624" s="8">
        <f>ABS(SUMIF(Table25[[#All],[Assets]],Table25[[#This Row],[Assets]],Table25[[#All],[Sold]]))</f>
        <v>17</v>
      </c>
      <c r="M624" s="5">
        <f>ABS(SUMIF(Table25[[#All],[Assets]],Table25[[#This Row],[Assets]],Table25[[#All],[Sold Amount]]))</f>
        <v>1420.81</v>
      </c>
      <c r="N624" s="5">
        <f>IFERROR(Table25[[#This Row],[Total sold amount]]/Table25[[#This Row],[Total Sold number of stocks]],"")</f>
        <v>83.577058823529413</v>
      </c>
      <c r="O624" s="4">
        <f>IFERROR(Table25[[#This Row],[Total Amount bought]]/Table25[[#This Row],[Total number bought]],"")</f>
        <v>75.396470588235275</v>
      </c>
      <c r="P624" s="4">
        <f>IFERROR((Table25[[#This Row],[Average sell price]]-Table25[[#This Row],[Average buy price]])*Table25[[#This Row],[Total Sold number of stocks]],0)</f>
        <v>139.07000000000033</v>
      </c>
      <c r="Q624" s="85">
        <f>SUMIF(Table25[[#All],[Assets]],Table25[[#This Row],[Assets]],Table25[[#All],[Number of stocks]])</f>
        <v>0</v>
      </c>
    </row>
    <row r="625" spans="1:17">
      <c r="A625" t="e" vm="287">
        <v>#VALUE!</v>
      </c>
      <c r="B625" s="2">
        <v>45621</v>
      </c>
      <c r="C625" t="str" cm="1">
        <f t="array" aca="1" ref="C625" ca="1">_FV(A625,"Ticker symbol",TRUE)</f>
        <v>EXAS</v>
      </c>
      <c r="D625" s="4">
        <v>54.01</v>
      </c>
      <c r="E625" s="50">
        <v>20</v>
      </c>
      <c r="F625" s="81">
        <f>IF(Table25[[#This Row],[Number of stocks]]&gt;0,Table25[[#This Row],[Number of stocks]],0)</f>
        <v>20</v>
      </c>
      <c r="G625" s="73">
        <f>Table25[[#This Row],[Bought]]*Table25[[#This Row],[Price]]</f>
        <v>1080.2</v>
      </c>
      <c r="H625">
        <f>SUMIF(Table25[[#All],[Assets]],Table25[[#This Row],[Assets]],Table25[[#All],[Bought]])</f>
        <v>30</v>
      </c>
      <c r="I625">
        <f>SUMIF(Table25[[#All],[Assets]],Table25[[#This Row],[Assets]],Table25[[#All],[Bought Amount]])</f>
        <v>1661.7</v>
      </c>
      <c r="J625" s="88">
        <f>IF(Table25[[#This Row],[Number of stocks]]&lt;0,Table25[[#This Row],[Number of stocks]],0)</f>
        <v>0</v>
      </c>
      <c r="K625" s="5">
        <f>Table25[[#This Row],[Sold]]*Table25[[#This Row],[Price]]</f>
        <v>0</v>
      </c>
      <c r="L625" s="8">
        <f>ABS(SUMIF(Table25[[#All],[Assets]],Table25[[#This Row],[Assets]],Table25[[#All],[Sold]]))</f>
        <v>30</v>
      </c>
      <c r="M625" s="5">
        <f>ABS(SUMIF(Table25[[#All],[Assets]],Table25[[#This Row],[Assets]],Table25[[#All],[Sold Amount]]))</f>
        <v>1483.5</v>
      </c>
      <c r="N625" s="5">
        <f>IFERROR(Table25[[#This Row],[Total sold amount]]/Table25[[#This Row],[Total Sold number of stocks]],"")</f>
        <v>49.45</v>
      </c>
      <c r="O625" s="4">
        <f>IFERROR(Table25[[#This Row],[Total Amount bought]]/Table25[[#This Row],[Total number bought]],"")</f>
        <v>55.39</v>
      </c>
      <c r="P625" s="4">
        <f>IFERROR((Table25[[#This Row],[Average sell price]]-Table25[[#This Row],[Average buy price]])*Table25[[#This Row],[Total Sold number of stocks]],0)</f>
        <v>-178.19999999999993</v>
      </c>
      <c r="Q625" s="85">
        <f>SUMIF(Table25[[#All],[Assets]],Table25[[#This Row],[Assets]],Table25[[#All],[Number of stocks]])</f>
        <v>0</v>
      </c>
    </row>
    <row r="626" spans="1:17">
      <c r="A626" t="e" vm="249">
        <v>#VALUE!</v>
      </c>
      <c r="B626" s="2">
        <v>45621</v>
      </c>
      <c r="C626" t="str" cm="1">
        <f t="array" aca="1" ref="C626" ca="1">_FV(A626,"Ticker symbol",TRUE)</f>
        <v>OSCR</v>
      </c>
      <c r="D626" s="4">
        <v>16.309999999999999</v>
      </c>
      <c r="E626" s="50">
        <v>60</v>
      </c>
      <c r="F626" s="81">
        <f>IF(Table25[[#This Row],[Number of stocks]]&gt;0,Table25[[#This Row],[Number of stocks]],0)</f>
        <v>60</v>
      </c>
      <c r="G626" s="73">
        <f>Table25[[#This Row],[Bought]]*Table25[[#This Row],[Price]]</f>
        <v>978.59999999999991</v>
      </c>
      <c r="H626">
        <f>SUMIF(Table25[[#All],[Assets]],Table25[[#This Row],[Assets]],Table25[[#All],[Bought]])</f>
        <v>195</v>
      </c>
      <c r="I626">
        <f>SUMIF(Table25[[#All],[Assets]],Table25[[#This Row],[Assets]],Table25[[#All],[Bought Amount]])</f>
        <v>3156.6</v>
      </c>
      <c r="J626" s="88">
        <f>IF(Table25[[#This Row],[Number of stocks]]&lt;0,Table25[[#This Row],[Number of stocks]],0)</f>
        <v>0</v>
      </c>
      <c r="K626" s="5">
        <f>Table25[[#This Row],[Sold]]*Table25[[#This Row],[Price]]</f>
        <v>0</v>
      </c>
      <c r="L626" s="8">
        <f>ABS(SUMIF(Table25[[#All],[Assets]],Table25[[#This Row],[Assets]],Table25[[#All],[Sold]]))</f>
        <v>195</v>
      </c>
      <c r="M626" s="5">
        <f>ABS(SUMIF(Table25[[#All],[Assets]],Table25[[#This Row],[Assets]],Table25[[#All],[Sold Amount]]))</f>
        <v>2927.3999999999996</v>
      </c>
      <c r="N626" s="5">
        <f>IFERROR(Table25[[#This Row],[Total sold amount]]/Table25[[#This Row],[Total Sold number of stocks]],"")</f>
        <v>15.01230769230769</v>
      </c>
      <c r="O626" s="4">
        <f>IFERROR(Table25[[#This Row],[Total Amount bought]]/Table25[[#This Row],[Total number bought]],"")</f>
        <v>16.187692307692306</v>
      </c>
      <c r="P626" s="4">
        <f>IFERROR((Table25[[#This Row],[Average sell price]]-Table25[[#This Row],[Average buy price]])*Table25[[#This Row],[Total Sold number of stocks]],0)</f>
        <v>-229.20000000000002</v>
      </c>
      <c r="Q626" s="85">
        <f>SUMIF(Table25[[#All],[Assets]],Table25[[#This Row],[Assets]],Table25[[#All],[Number of stocks]])</f>
        <v>0</v>
      </c>
    </row>
    <row r="627" spans="1:17">
      <c r="A627" t="e" vm="465">
        <v>#VALUE!</v>
      </c>
      <c r="B627" s="2">
        <v>45622</v>
      </c>
      <c r="C627" t="str" cm="1">
        <f t="array" aca="1" ref="C627" ca="1">_FV(A627,"Ticker symbol",TRUE)</f>
        <v>APP</v>
      </c>
      <c r="D627" s="4">
        <v>329.69</v>
      </c>
      <c r="E627" s="50">
        <v>-1</v>
      </c>
      <c r="F627" s="81">
        <f>IF(Table25[[#This Row],[Number of stocks]]&gt;0,Table25[[#This Row],[Number of stocks]],0)</f>
        <v>0</v>
      </c>
      <c r="G627" s="73">
        <f>Table25[[#This Row],[Bought]]*Table25[[#This Row],[Price]]</f>
        <v>0</v>
      </c>
      <c r="H627">
        <f>SUMIF(Table25[[#All],[Assets]],Table25[[#This Row],[Assets]],Table25[[#All],[Bought]])</f>
        <v>1</v>
      </c>
      <c r="I627">
        <f>SUMIF(Table25[[#All],[Assets]],Table25[[#This Row],[Assets]],Table25[[#All],[Bought Amount]])</f>
        <v>76.19</v>
      </c>
      <c r="J627" s="88">
        <f>IF(Table25[[#This Row],[Number of stocks]]&lt;0,Table25[[#This Row],[Number of stocks]],0)</f>
        <v>-1</v>
      </c>
      <c r="K627" s="5">
        <f>Table25[[#This Row],[Sold]]*Table25[[#This Row],[Price]]</f>
        <v>-329.69</v>
      </c>
      <c r="L627" s="8">
        <f>ABS(SUMIF(Table25[[#All],[Assets]],Table25[[#This Row],[Assets]],Table25[[#All],[Sold]]))</f>
        <v>1</v>
      </c>
      <c r="M627" s="5">
        <f>ABS(SUMIF(Table25[[#All],[Assets]],Table25[[#This Row],[Assets]],Table25[[#All],[Sold Amount]]))</f>
        <v>329.69</v>
      </c>
      <c r="N627" s="5">
        <f>IFERROR(Table25[[#This Row],[Total sold amount]]/Table25[[#This Row],[Total Sold number of stocks]],"")</f>
        <v>329.69</v>
      </c>
      <c r="O627" s="4">
        <f>IFERROR(Table25[[#This Row],[Total Amount bought]]/Table25[[#This Row],[Total number bought]],"")</f>
        <v>76.19</v>
      </c>
      <c r="P627" s="4">
        <f>IFERROR((Table25[[#This Row],[Average sell price]]-Table25[[#This Row],[Average buy price]])*Table25[[#This Row],[Total Sold number of stocks]],0)</f>
        <v>253.5</v>
      </c>
      <c r="Q627" s="85">
        <f>SUMIF(Table25[[#All],[Assets]],Table25[[#This Row],[Assets]],Table25[[#All],[Number of stocks]])</f>
        <v>0</v>
      </c>
    </row>
    <row r="628" spans="1:17">
      <c r="A628" t="e" vm="249">
        <v>#VALUE!</v>
      </c>
      <c r="B628" s="2">
        <v>45622</v>
      </c>
      <c r="C628" t="str" cm="1">
        <f t="array" aca="1" ref="C628" ca="1">_FV(A628,"Ticker symbol",TRUE)</f>
        <v>OSCR</v>
      </c>
      <c r="D628" s="4">
        <v>16.41</v>
      </c>
      <c r="E628" s="50">
        <v>-60</v>
      </c>
      <c r="F628" s="81">
        <f>IF(Table25[[#This Row],[Number of stocks]]&gt;0,Table25[[#This Row],[Number of stocks]],0)</f>
        <v>0</v>
      </c>
      <c r="G628" s="73">
        <f>Table25[[#This Row],[Bought]]*Table25[[#This Row],[Price]]</f>
        <v>0</v>
      </c>
      <c r="H628">
        <f>SUMIF(Table25[[#All],[Assets]],Table25[[#This Row],[Assets]],Table25[[#All],[Bought]])</f>
        <v>195</v>
      </c>
      <c r="I628">
        <f>SUMIF(Table25[[#All],[Assets]],Table25[[#This Row],[Assets]],Table25[[#All],[Bought Amount]])</f>
        <v>3156.6</v>
      </c>
      <c r="J628" s="88">
        <f>IF(Table25[[#This Row],[Number of stocks]]&lt;0,Table25[[#This Row],[Number of stocks]],0)</f>
        <v>-60</v>
      </c>
      <c r="K628" s="5">
        <f>Table25[[#This Row],[Sold]]*Table25[[#This Row],[Price]]</f>
        <v>-984.6</v>
      </c>
      <c r="L628" s="8">
        <f>ABS(SUMIF(Table25[[#All],[Assets]],Table25[[#This Row],[Assets]],Table25[[#All],[Sold]]))</f>
        <v>195</v>
      </c>
      <c r="M628" s="5">
        <f>ABS(SUMIF(Table25[[#All],[Assets]],Table25[[#This Row],[Assets]],Table25[[#All],[Sold Amount]]))</f>
        <v>2927.3999999999996</v>
      </c>
      <c r="N628" s="5">
        <f>IFERROR(Table25[[#This Row],[Total sold amount]]/Table25[[#This Row],[Total Sold number of stocks]],"")</f>
        <v>15.01230769230769</v>
      </c>
      <c r="O628" s="4">
        <f>IFERROR(Table25[[#This Row],[Total Amount bought]]/Table25[[#This Row],[Total number bought]],"")</f>
        <v>16.187692307692306</v>
      </c>
      <c r="P628" s="4">
        <f>IFERROR((Table25[[#This Row],[Average sell price]]-Table25[[#This Row],[Average buy price]])*Table25[[#This Row],[Total Sold number of stocks]],0)</f>
        <v>-229.20000000000002</v>
      </c>
      <c r="Q628" s="85">
        <f>SUMIF(Table25[[#All],[Assets]],Table25[[#This Row],[Assets]],Table25[[#All],[Number of stocks]])</f>
        <v>0</v>
      </c>
    </row>
    <row r="629" spans="1:17">
      <c r="A629" t="e" vm="276">
        <v>#VALUE!</v>
      </c>
      <c r="B629" s="2">
        <v>45622</v>
      </c>
      <c r="C629" t="str" cm="1">
        <f t="array" aca="1" ref="C629" ca="1">_FV(A629,"Ticker symbol",TRUE)</f>
        <v>PGNY</v>
      </c>
      <c r="D629" s="4">
        <v>15.41</v>
      </c>
      <c r="E629" s="50">
        <v>32</v>
      </c>
      <c r="F629" s="81">
        <f>IF(Table25[[#This Row],[Number of stocks]]&gt;0,Table25[[#This Row],[Number of stocks]],0)</f>
        <v>32</v>
      </c>
      <c r="G629" s="73">
        <f>Table25[[#This Row],[Bought]]*Table25[[#This Row],[Price]]</f>
        <v>493.12</v>
      </c>
      <c r="H629">
        <f>SUMIF(Table25[[#All],[Assets]],Table25[[#This Row],[Assets]],Table25[[#All],[Bought]])</f>
        <v>42</v>
      </c>
      <c r="I629">
        <f>SUMIF(Table25[[#All],[Assets]],Table25[[#This Row],[Assets]],Table25[[#All],[Bought Amount]])</f>
        <v>673.02</v>
      </c>
      <c r="J629" s="88">
        <f>IF(Table25[[#This Row],[Number of stocks]]&lt;0,Table25[[#This Row],[Number of stocks]],0)</f>
        <v>0</v>
      </c>
      <c r="K629" s="5">
        <f>Table25[[#This Row],[Sold]]*Table25[[#This Row],[Price]]</f>
        <v>0</v>
      </c>
      <c r="L629" s="8">
        <f>ABS(SUMIF(Table25[[#All],[Assets]],Table25[[#This Row],[Assets]],Table25[[#All],[Sold]]))</f>
        <v>42</v>
      </c>
      <c r="M629" s="5">
        <f>ABS(SUMIF(Table25[[#All],[Assets]],Table25[[#This Row],[Assets]],Table25[[#All],[Sold Amount]]))</f>
        <v>958.44</v>
      </c>
      <c r="N629" s="5">
        <f>IFERROR(Table25[[#This Row],[Total sold amount]]/Table25[[#This Row],[Total Sold number of stocks]],"")</f>
        <v>22.82</v>
      </c>
      <c r="O629" s="4">
        <f>IFERROR(Table25[[#This Row],[Total Amount bought]]/Table25[[#This Row],[Total number bought]],"")</f>
        <v>16.024285714285714</v>
      </c>
      <c r="P629" s="4">
        <f>IFERROR((Table25[[#This Row],[Average sell price]]-Table25[[#This Row],[Average buy price]])*Table25[[#This Row],[Total Sold number of stocks]],0)</f>
        <v>285.42</v>
      </c>
      <c r="Q629" s="85">
        <f>SUMIF(Table25[[#All],[Assets]],Table25[[#This Row],[Assets]],Table25[[#All],[Number of stocks]])</f>
        <v>0</v>
      </c>
    </row>
    <row r="630" spans="1:17">
      <c r="A630" t="e" vm="510">
        <v>#VALUE!</v>
      </c>
      <c r="B630" s="2">
        <v>45622</v>
      </c>
      <c r="C630" t="str" cm="1">
        <f t="array" aca="1" ref="C630" ca="1">_FV(A630,"Ticker symbol",TRUE)</f>
        <v>ALGN</v>
      </c>
      <c r="D630" s="4">
        <v>230.82</v>
      </c>
      <c r="E630" s="50">
        <v>2</v>
      </c>
      <c r="F630" s="81">
        <f>IF(Table25[[#This Row],[Number of stocks]]&gt;0,Table25[[#This Row],[Number of stocks]],0)</f>
        <v>2</v>
      </c>
      <c r="G630" s="73">
        <f>Table25[[#This Row],[Bought]]*Table25[[#This Row],[Price]]</f>
        <v>461.64</v>
      </c>
      <c r="H630">
        <f>SUMIF(Table25[[#All],[Assets]],Table25[[#This Row],[Assets]],Table25[[#All],[Bought]])</f>
        <v>2</v>
      </c>
      <c r="I630">
        <f>SUMIF(Table25[[#All],[Assets]],Table25[[#This Row],[Assets]],Table25[[#All],[Bought Amount]])</f>
        <v>461.64</v>
      </c>
      <c r="J630" s="88">
        <f>IF(Table25[[#This Row],[Number of stocks]]&lt;0,Table25[[#This Row],[Number of stocks]],0)</f>
        <v>0</v>
      </c>
      <c r="K630" s="5">
        <f>Table25[[#This Row],[Sold]]*Table25[[#This Row],[Price]]</f>
        <v>0</v>
      </c>
      <c r="L630" s="8">
        <f>ABS(SUMIF(Table25[[#All],[Assets]],Table25[[#This Row],[Assets]],Table25[[#All],[Sold]]))</f>
        <v>2</v>
      </c>
      <c r="M630" s="5">
        <f>ABS(SUMIF(Table25[[#All],[Assets]],Table25[[#This Row],[Assets]],Table25[[#All],[Sold Amount]]))</f>
        <v>416.42</v>
      </c>
      <c r="N630" s="5">
        <f>IFERROR(Table25[[#This Row],[Total sold amount]]/Table25[[#This Row],[Total Sold number of stocks]],"")</f>
        <v>208.21</v>
      </c>
      <c r="O630" s="4">
        <f>IFERROR(Table25[[#This Row],[Total Amount bought]]/Table25[[#This Row],[Total number bought]],"")</f>
        <v>230.82</v>
      </c>
      <c r="P630" s="4">
        <f>IFERROR((Table25[[#This Row],[Average sell price]]-Table25[[#This Row],[Average buy price]])*Table25[[#This Row],[Total Sold number of stocks]],0)</f>
        <v>-45.21999999999997</v>
      </c>
      <c r="Q630" s="85">
        <f>SUMIF(Table25[[#All],[Assets]],Table25[[#This Row],[Assets]],Table25[[#All],[Number of stocks]])</f>
        <v>0</v>
      </c>
    </row>
    <row r="631" spans="1:17">
      <c r="A631" t="e" vm="287">
        <v>#VALUE!</v>
      </c>
      <c r="B631" s="2">
        <v>45622</v>
      </c>
      <c r="C631" t="str" cm="1">
        <f t="array" aca="1" ref="C631" ca="1">_FV(A631,"Ticker symbol",TRUE)</f>
        <v>EXAS</v>
      </c>
      <c r="D631" s="4">
        <v>58.15</v>
      </c>
      <c r="E631" s="50">
        <v>10</v>
      </c>
      <c r="F631" s="81">
        <f>IF(Table25[[#This Row],[Number of stocks]]&gt;0,Table25[[#This Row],[Number of stocks]],0)</f>
        <v>10</v>
      </c>
      <c r="G631" s="73">
        <f>Table25[[#This Row],[Bought]]*Table25[[#This Row],[Price]]</f>
        <v>581.5</v>
      </c>
      <c r="H631">
        <f>SUMIF(Table25[[#All],[Assets]],Table25[[#This Row],[Assets]],Table25[[#All],[Bought]])</f>
        <v>30</v>
      </c>
      <c r="I631">
        <f>SUMIF(Table25[[#All],[Assets]],Table25[[#This Row],[Assets]],Table25[[#All],[Bought Amount]])</f>
        <v>1661.7</v>
      </c>
      <c r="J631" s="88">
        <f>IF(Table25[[#This Row],[Number of stocks]]&lt;0,Table25[[#This Row],[Number of stocks]],0)</f>
        <v>0</v>
      </c>
      <c r="K631" s="5">
        <f>Table25[[#This Row],[Sold]]*Table25[[#This Row],[Price]]</f>
        <v>0</v>
      </c>
      <c r="L631" s="8">
        <f>ABS(SUMIF(Table25[[#All],[Assets]],Table25[[#This Row],[Assets]],Table25[[#All],[Sold]]))</f>
        <v>30</v>
      </c>
      <c r="M631" s="5">
        <f>ABS(SUMIF(Table25[[#All],[Assets]],Table25[[#This Row],[Assets]],Table25[[#All],[Sold Amount]]))</f>
        <v>1483.5</v>
      </c>
      <c r="N631" s="5">
        <f>IFERROR(Table25[[#This Row],[Total sold amount]]/Table25[[#This Row],[Total Sold number of stocks]],"")</f>
        <v>49.45</v>
      </c>
      <c r="O631" s="4">
        <f>IFERROR(Table25[[#This Row],[Total Amount bought]]/Table25[[#This Row],[Total number bought]],"")</f>
        <v>55.39</v>
      </c>
      <c r="P631" s="4">
        <f>IFERROR((Table25[[#This Row],[Average sell price]]-Table25[[#This Row],[Average buy price]])*Table25[[#This Row],[Total Sold number of stocks]],0)</f>
        <v>-178.19999999999993</v>
      </c>
      <c r="Q631" s="85">
        <f>SUMIF(Table25[[#All],[Assets]],Table25[[#This Row],[Assets]],Table25[[#All],[Number of stocks]])</f>
        <v>0</v>
      </c>
    </row>
    <row r="632" spans="1:17">
      <c r="A632" t="e" vm="224">
        <v>#VALUE!</v>
      </c>
      <c r="B632" s="2">
        <v>45632</v>
      </c>
      <c r="C632" t="str" cm="1">
        <f t="array" aca="1" ref="C632" ca="1">_FV(A632,"Ticker symbol",TRUE)</f>
        <v>NU</v>
      </c>
      <c r="D632" s="4">
        <v>12</v>
      </c>
      <c r="E632" s="50">
        <v>45</v>
      </c>
      <c r="F632" s="81">
        <f>IF(Table25[[#This Row],[Number of stocks]]&gt;0,Table25[[#This Row],[Number of stocks]],0)</f>
        <v>45</v>
      </c>
      <c r="G632" s="73">
        <f>Table25[[#This Row],[Bought]]*Table25[[#This Row],[Price]]</f>
        <v>540</v>
      </c>
      <c r="H632">
        <f>SUMIF(Table25[[#All],[Assets]],Table25[[#This Row],[Assets]],Table25[[#All],[Bought]])</f>
        <v>45</v>
      </c>
      <c r="I632">
        <f>SUMIF(Table25[[#All],[Assets]],Table25[[#This Row],[Assets]],Table25[[#All],[Bought Amount]])</f>
        <v>540</v>
      </c>
      <c r="J632" s="88">
        <f>IF(Table25[[#This Row],[Number of stocks]]&lt;0,Table25[[#This Row],[Number of stocks]],0)</f>
        <v>0</v>
      </c>
      <c r="K632" s="5">
        <f>Table25[[#This Row],[Sold]]*Table25[[#This Row],[Price]]</f>
        <v>0</v>
      </c>
      <c r="L632" s="8">
        <f>ABS(SUMIF(Table25[[#All],[Assets]],Table25[[#This Row],[Assets]],Table25[[#All],[Sold]]))</f>
        <v>42</v>
      </c>
      <c r="M632" s="5">
        <f>ABS(SUMIF(Table25[[#All],[Assets]],Table25[[#This Row],[Assets]],Table25[[#All],[Sold Amount]]))</f>
        <v>511.97999999999996</v>
      </c>
      <c r="N632" s="5">
        <f>IFERROR(Table25[[#This Row],[Total sold amount]]/Table25[[#This Row],[Total Sold number of stocks]],"")</f>
        <v>12.19</v>
      </c>
      <c r="O632" s="4">
        <f>IFERROR(Table25[[#This Row],[Total Amount bought]]/Table25[[#This Row],[Total number bought]],"")</f>
        <v>12</v>
      </c>
      <c r="P632" s="4">
        <f>IFERROR((Table25[[#This Row],[Average sell price]]-Table25[[#This Row],[Average buy price]])*Table25[[#This Row],[Total Sold number of stocks]],0)</f>
        <v>7.9799999999999791</v>
      </c>
      <c r="Q632" s="85">
        <f>SUMIF(Table25[[#All],[Assets]],Table25[[#This Row],[Assets]],Table25[[#All],[Number of stocks]])</f>
        <v>3</v>
      </c>
    </row>
    <row r="633" spans="1:17">
      <c r="A633" t="e" vm="41">
        <v>#VALUE!</v>
      </c>
      <c r="B633" s="2">
        <v>45632</v>
      </c>
      <c r="C633" t="str" cm="1">
        <f t="array" aca="1" ref="C633" ca="1">_FV(A633,"Ticker symbol",TRUE)</f>
        <v>AGX</v>
      </c>
      <c r="D633" s="4">
        <v>149.09</v>
      </c>
      <c r="E633" s="50">
        <v>7</v>
      </c>
      <c r="F633" s="81">
        <f>IF(Table25[[#This Row],[Number of stocks]]&gt;0,Table25[[#This Row],[Number of stocks]],0)</f>
        <v>7</v>
      </c>
      <c r="G633" s="73">
        <f>Table25[[#This Row],[Bought]]*Table25[[#This Row],[Price]]</f>
        <v>1043.6300000000001</v>
      </c>
      <c r="H633">
        <f>SUMIF(Table25[[#All],[Assets]],Table25[[#This Row],[Assets]],Table25[[#All],[Bought]])</f>
        <v>18</v>
      </c>
      <c r="I633">
        <f>SUMIF(Table25[[#All],[Assets]],Table25[[#This Row],[Assets]],Table25[[#All],[Bought Amount]])</f>
        <v>2470.9900000000002</v>
      </c>
      <c r="J633" s="88">
        <f>IF(Table25[[#This Row],[Number of stocks]]&lt;0,Table25[[#This Row],[Number of stocks]],0)</f>
        <v>0</v>
      </c>
      <c r="K633" s="5">
        <f>Table25[[#This Row],[Sold]]*Table25[[#This Row],[Price]]</f>
        <v>0</v>
      </c>
      <c r="L633" s="8">
        <f>ABS(SUMIF(Table25[[#All],[Assets]],Table25[[#This Row],[Assets]],Table25[[#All],[Sold]]))</f>
        <v>18</v>
      </c>
      <c r="M633" s="5">
        <f>ABS(SUMIF(Table25[[#All],[Assets]],Table25[[#This Row],[Assets]],Table25[[#All],[Sold Amount]]))</f>
        <v>3587.9800000000005</v>
      </c>
      <c r="N633" s="5">
        <f>IFERROR(Table25[[#This Row],[Total sold amount]]/Table25[[#This Row],[Total Sold number of stocks]],"")</f>
        <v>199.33222222222224</v>
      </c>
      <c r="O633" s="4">
        <f>IFERROR(Table25[[#This Row],[Total Amount bought]]/Table25[[#This Row],[Total number bought]],"")</f>
        <v>137.27722222222224</v>
      </c>
      <c r="P633" s="4">
        <f>IFERROR((Table25[[#This Row],[Average sell price]]-Table25[[#This Row],[Average buy price]])*Table25[[#This Row],[Total Sold number of stocks]],0)</f>
        <v>1116.9900000000002</v>
      </c>
      <c r="Q633" s="85">
        <f>SUMIF(Table25[[#All],[Assets]],Table25[[#This Row],[Assets]],Table25[[#All],[Number of stocks]])</f>
        <v>0</v>
      </c>
    </row>
    <row r="634" spans="1:17">
      <c r="A634" t="e" vm="159">
        <v>#VALUE!</v>
      </c>
      <c r="B634" s="2">
        <v>45632</v>
      </c>
      <c r="C634" t="str" cm="1">
        <f t="array" aca="1" ref="C634" ca="1">_FV(A634,"Ticker symbol",TRUE)</f>
        <v>BABA</v>
      </c>
      <c r="D634" s="4">
        <v>86.2</v>
      </c>
      <c r="E634" s="50">
        <v>5</v>
      </c>
      <c r="F634" s="81">
        <f>IF(Table25[[#This Row],[Number of stocks]]&gt;0,Table25[[#This Row],[Number of stocks]],0)</f>
        <v>5</v>
      </c>
      <c r="G634" s="73">
        <f>Table25[[#This Row],[Bought]]*Table25[[#This Row],[Price]]</f>
        <v>431</v>
      </c>
      <c r="H634">
        <f>SUMIF(Table25[[#All],[Assets]],Table25[[#This Row],[Assets]],Table25[[#All],[Bought]])</f>
        <v>128</v>
      </c>
      <c r="I634">
        <f>SUMIF(Table25[[#All],[Assets]],Table25[[#This Row],[Assets]],Table25[[#All],[Bought Amount]])</f>
        <v>12533.52</v>
      </c>
      <c r="J634" s="88">
        <f>IF(Table25[[#This Row],[Number of stocks]]&lt;0,Table25[[#This Row],[Number of stocks]],0)</f>
        <v>0</v>
      </c>
      <c r="K634" s="5">
        <f>Table25[[#This Row],[Sold]]*Table25[[#This Row],[Price]]</f>
        <v>0</v>
      </c>
      <c r="L634" s="8">
        <f>ABS(SUMIF(Table25[[#All],[Assets]],Table25[[#This Row],[Assets]],Table25[[#All],[Sold]]))</f>
        <v>128</v>
      </c>
      <c r="M634" s="5">
        <f>ABS(SUMIF(Table25[[#All],[Assets]],Table25[[#This Row],[Assets]],Table25[[#All],[Sold Amount]]))</f>
        <v>17148.419999999998</v>
      </c>
      <c r="N634" s="5">
        <f>IFERROR(Table25[[#This Row],[Total sold amount]]/Table25[[#This Row],[Total Sold number of stocks]],"")</f>
        <v>133.97203124999999</v>
      </c>
      <c r="O634" s="4">
        <f>IFERROR(Table25[[#This Row],[Total Amount bought]]/Table25[[#This Row],[Total number bought]],"")</f>
        <v>97.918125000000003</v>
      </c>
      <c r="P634" s="4">
        <f>IFERROR((Table25[[#This Row],[Average sell price]]-Table25[[#This Row],[Average buy price]])*Table25[[#This Row],[Total Sold number of stocks]],0)</f>
        <v>4614.8999999999978</v>
      </c>
      <c r="Q634" s="85">
        <f>SUMIF(Table25[[#All],[Assets]],Table25[[#This Row],[Assets]],Table25[[#All],[Number of stocks]])</f>
        <v>0</v>
      </c>
    </row>
    <row r="635" spans="1:17">
      <c r="A635" t="e" vm="159">
        <v>#VALUE!</v>
      </c>
      <c r="B635" s="2">
        <v>45632</v>
      </c>
      <c r="C635" t="str" cm="1">
        <f t="array" aca="1" ref="C635" ca="1">_FV(A635,"Ticker symbol",TRUE)</f>
        <v>BABA</v>
      </c>
      <c r="D635" s="4">
        <v>86.13</v>
      </c>
      <c r="E635" s="50">
        <v>20</v>
      </c>
      <c r="F635" s="81">
        <f>IF(Table25[[#This Row],[Number of stocks]]&gt;0,Table25[[#This Row],[Number of stocks]],0)</f>
        <v>20</v>
      </c>
      <c r="G635" s="73">
        <f>Table25[[#This Row],[Bought]]*Table25[[#This Row],[Price]]</f>
        <v>1722.6</v>
      </c>
      <c r="H635">
        <f>SUMIF(Table25[[#All],[Assets]],Table25[[#This Row],[Assets]],Table25[[#All],[Bought]])</f>
        <v>128</v>
      </c>
      <c r="I635">
        <f>SUMIF(Table25[[#All],[Assets]],Table25[[#This Row],[Assets]],Table25[[#All],[Bought Amount]])</f>
        <v>12533.52</v>
      </c>
      <c r="J635" s="88">
        <f>IF(Table25[[#This Row],[Number of stocks]]&lt;0,Table25[[#This Row],[Number of stocks]],0)</f>
        <v>0</v>
      </c>
      <c r="K635" s="5">
        <f>Table25[[#This Row],[Sold]]*Table25[[#This Row],[Price]]</f>
        <v>0</v>
      </c>
      <c r="L635" s="8">
        <f>ABS(SUMIF(Table25[[#All],[Assets]],Table25[[#This Row],[Assets]],Table25[[#All],[Sold]]))</f>
        <v>128</v>
      </c>
      <c r="M635" s="5">
        <f>ABS(SUMIF(Table25[[#All],[Assets]],Table25[[#This Row],[Assets]],Table25[[#All],[Sold Amount]]))</f>
        <v>17148.419999999998</v>
      </c>
      <c r="N635" s="5">
        <f>IFERROR(Table25[[#This Row],[Total sold amount]]/Table25[[#This Row],[Total Sold number of stocks]],"")</f>
        <v>133.97203124999999</v>
      </c>
      <c r="O635" s="4">
        <f>IFERROR(Table25[[#This Row],[Total Amount bought]]/Table25[[#This Row],[Total number bought]],"")</f>
        <v>97.918125000000003</v>
      </c>
      <c r="P635" s="4">
        <f>IFERROR((Table25[[#This Row],[Average sell price]]-Table25[[#This Row],[Average buy price]])*Table25[[#This Row],[Total Sold number of stocks]],0)</f>
        <v>4614.8999999999978</v>
      </c>
      <c r="Q635" s="85">
        <f>SUMIF(Table25[[#All],[Assets]],Table25[[#This Row],[Assets]],Table25[[#All],[Number of stocks]])</f>
        <v>0</v>
      </c>
    </row>
    <row r="636" spans="1:17">
      <c r="A636" t="e" vm="268">
        <v>#VALUE!</v>
      </c>
      <c r="B636" s="2">
        <v>45632</v>
      </c>
      <c r="C636" t="str" cm="1">
        <f t="array" aca="1" ref="C636" ca="1">_FV(A636,"Ticker symbol",TRUE)</f>
        <v>KNTK</v>
      </c>
      <c r="D636" s="4">
        <v>58.05</v>
      </c>
      <c r="E636" s="50">
        <v>-40</v>
      </c>
      <c r="F636" s="81">
        <f>IF(Table25[[#This Row],[Number of stocks]]&gt;0,Table25[[#This Row],[Number of stocks]],0)</f>
        <v>0</v>
      </c>
      <c r="G636" s="73">
        <f>Table25[[#This Row],[Bought]]*Table25[[#This Row],[Price]]</f>
        <v>0</v>
      </c>
      <c r="H636">
        <f>SUMIF(Table25[[#All],[Assets]],Table25[[#This Row],[Assets]],Table25[[#All],[Bought]])</f>
        <v>70</v>
      </c>
      <c r="I636">
        <f>SUMIF(Table25[[#All],[Assets]],Table25[[#This Row],[Assets]],Table25[[#All],[Bought Amount]])</f>
        <v>2985.8999999999996</v>
      </c>
      <c r="J636" s="88">
        <f>IF(Table25[[#This Row],[Number of stocks]]&lt;0,Table25[[#This Row],[Number of stocks]],0)</f>
        <v>-40</v>
      </c>
      <c r="K636" s="5">
        <f>Table25[[#This Row],[Sold]]*Table25[[#This Row],[Price]]</f>
        <v>-2322</v>
      </c>
      <c r="L636" s="8">
        <f>ABS(SUMIF(Table25[[#All],[Assets]],Table25[[#This Row],[Assets]],Table25[[#All],[Sold]]))</f>
        <v>70</v>
      </c>
      <c r="M636" s="5">
        <f>ABS(SUMIF(Table25[[#All],[Assets]],Table25[[#This Row],[Assets]],Table25[[#All],[Sold Amount]]))</f>
        <v>4037</v>
      </c>
      <c r="N636" s="5">
        <f>IFERROR(Table25[[#This Row],[Total sold amount]]/Table25[[#This Row],[Total Sold number of stocks]],"")</f>
        <v>57.671428571428571</v>
      </c>
      <c r="O636" s="4">
        <f>IFERROR(Table25[[#This Row],[Total Amount bought]]/Table25[[#This Row],[Total number bought]],"")</f>
        <v>42.655714285714282</v>
      </c>
      <c r="P636" s="4">
        <f>IFERROR((Table25[[#This Row],[Average sell price]]-Table25[[#This Row],[Average buy price]])*Table25[[#This Row],[Total Sold number of stocks]],0)</f>
        <v>1051.1000000000001</v>
      </c>
      <c r="Q636" s="85">
        <f>SUMIF(Table25[[#All],[Assets]],Table25[[#This Row],[Assets]],Table25[[#All],[Number of stocks]])</f>
        <v>0</v>
      </c>
    </row>
    <row r="637" spans="1:17">
      <c r="A637" t="e" vm="100">
        <v>#VALUE!</v>
      </c>
      <c r="B637" s="2">
        <v>45632</v>
      </c>
      <c r="C637" t="str" cm="1">
        <f t="array" aca="1" ref="C637" ca="1">_FV(A637,"Ticker symbol",TRUE)</f>
        <v>FNV</v>
      </c>
      <c r="D637" s="4">
        <v>120.31</v>
      </c>
      <c r="E637" s="50">
        <v>-15</v>
      </c>
      <c r="F637" s="81">
        <f>IF(Table25[[#This Row],[Number of stocks]]&gt;0,Table25[[#This Row],[Number of stocks]],0)</f>
        <v>0</v>
      </c>
      <c r="G637" s="73">
        <f>Table25[[#This Row],[Bought]]*Table25[[#This Row],[Price]]</f>
        <v>0</v>
      </c>
      <c r="H637">
        <f>SUMIF(Table25[[#All],[Assets]],Table25[[#This Row],[Assets]],Table25[[#All],[Bought]])</f>
        <v>80</v>
      </c>
      <c r="I637">
        <f>SUMIF(Table25[[#All],[Assets]],Table25[[#This Row],[Assets]],Table25[[#All],[Bought Amount]])</f>
        <v>10074.099999999999</v>
      </c>
      <c r="J637" s="88">
        <f>IF(Table25[[#This Row],[Number of stocks]]&lt;0,Table25[[#This Row],[Number of stocks]],0)</f>
        <v>-15</v>
      </c>
      <c r="K637" s="5">
        <f>Table25[[#This Row],[Sold]]*Table25[[#This Row],[Price]]</f>
        <v>-1804.65</v>
      </c>
      <c r="L637" s="8">
        <f>ABS(SUMIF(Table25[[#All],[Assets]],Table25[[#This Row],[Assets]],Table25[[#All],[Sold]]))</f>
        <v>80</v>
      </c>
      <c r="M637" s="5">
        <f>ABS(SUMIF(Table25[[#All],[Assets]],Table25[[#This Row],[Assets]],Table25[[#All],[Sold Amount]]))</f>
        <v>9798.76</v>
      </c>
      <c r="N637" s="5">
        <f>IFERROR(Table25[[#This Row],[Total sold amount]]/Table25[[#This Row],[Total Sold number of stocks]],"")</f>
        <v>122.4845</v>
      </c>
      <c r="O637" s="4">
        <f>IFERROR(Table25[[#This Row],[Total Amount bought]]/Table25[[#This Row],[Total number bought]],"")</f>
        <v>125.92624999999998</v>
      </c>
      <c r="P637" s="4">
        <f>IFERROR((Table25[[#This Row],[Average sell price]]-Table25[[#This Row],[Average buy price]])*Table25[[#This Row],[Total Sold number of stocks]],0)</f>
        <v>-275.33999999999878</v>
      </c>
      <c r="Q637" s="85">
        <f>SUMIF(Table25[[#All],[Assets]],Table25[[#This Row],[Assets]],Table25[[#All],[Number of stocks]])</f>
        <v>0</v>
      </c>
    </row>
    <row r="638" spans="1:17">
      <c r="A638" t="e" vm="456">
        <v>#VALUE!</v>
      </c>
      <c r="B638" s="2">
        <v>45632</v>
      </c>
      <c r="C638" t="str" cm="1">
        <f t="array" aca="1" ref="C638" ca="1">_FV(A638,"Ticker symbol",TRUE)</f>
        <v>BIL</v>
      </c>
      <c r="D638" s="4">
        <v>91.55</v>
      </c>
      <c r="E638" s="50">
        <v>45</v>
      </c>
      <c r="F638" s="81">
        <f>IF(Table25[[#This Row],[Number of stocks]]&gt;0,Table25[[#This Row],[Number of stocks]],0)</f>
        <v>45</v>
      </c>
      <c r="G638" s="73">
        <f>Table25[[#This Row],[Bought]]*Table25[[#This Row],[Price]]</f>
        <v>4119.75</v>
      </c>
      <c r="H638">
        <f>SUMIF(Table25[[#All],[Assets]],Table25[[#This Row],[Assets]],Table25[[#All],[Bought]])</f>
        <v>419</v>
      </c>
      <c r="I638">
        <f>SUMIF(Table25[[#All],[Assets]],Table25[[#This Row],[Assets]],Table25[[#All],[Bought Amount]])</f>
        <v>38555.520000000004</v>
      </c>
      <c r="J638" s="88">
        <f>IF(Table25[[#This Row],[Number of stocks]]&lt;0,Table25[[#This Row],[Number of stocks]],0)</f>
        <v>0</v>
      </c>
      <c r="K638" s="5">
        <f>Table25[[#This Row],[Sold]]*Table25[[#This Row],[Price]]</f>
        <v>0</v>
      </c>
      <c r="L638" s="8">
        <f>ABS(SUMIF(Table25[[#All],[Assets]],Table25[[#This Row],[Assets]],Table25[[#All],[Sold]]))</f>
        <v>419</v>
      </c>
      <c r="M638" s="5">
        <f>ABS(SUMIF(Table25[[#All],[Assets]],Table25[[#This Row],[Assets]],Table25[[#All],[Sold Amount]]))</f>
        <v>38372</v>
      </c>
      <c r="N638" s="5">
        <f>IFERROR(Table25[[#This Row],[Total sold amount]]/Table25[[#This Row],[Total Sold number of stocks]],"")</f>
        <v>91.579952267303099</v>
      </c>
      <c r="O638" s="4">
        <f>IFERROR(Table25[[#This Row],[Total Amount bought]]/Table25[[#This Row],[Total number bought]],"")</f>
        <v>92.017947494033422</v>
      </c>
      <c r="P638" s="4">
        <f>IFERROR((Table25[[#This Row],[Average sell price]]-Table25[[#This Row],[Average buy price]])*Table25[[#This Row],[Total Sold number of stocks]],0)</f>
        <v>-183.5200000000051</v>
      </c>
      <c r="Q638" s="85">
        <f>SUMIF(Table25[[#All],[Assets]],Table25[[#This Row],[Assets]],Table25[[#All],[Number of stocks]])</f>
        <v>0</v>
      </c>
    </row>
    <row r="639" spans="1:17">
      <c r="A639" t="e" vm="456">
        <v>#VALUE!</v>
      </c>
      <c r="B639" s="2">
        <v>45628</v>
      </c>
      <c r="C639" t="str" cm="1">
        <f t="array" aca="1" ref="C639" ca="1">_FV(A639,"Ticker symbol",TRUE)</f>
        <v>BIL</v>
      </c>
      <c r="D639" s="4">
        <v>91.47</v>
      </c>
      <c r="E639" s="50">
        <v>-11</v>
      </c>
      <c r="F639" s="81">
        <f>IF(Table25[[#This Row],[Number of stocks]]&gt;0,Table25[[#This Row],[Number of stocks]],0)</f>
        <v>0</v>
      </c>
      <c r="G639" s="73">
        <f>Table25[[#This Row],[Bought]]*Table25[[#This Row],[Price]]</f>
        <v>0</v>
      </c>
      <c r="H639">
        <f>SUMIF(Table25[[#All],[Assets]],Table25[[#This Row],[Assets]],Table25[[#All],[Bought]])</f>
        <v>419</v>
      </c>
      <c r="I639">
        <f>SUMIF(Table25[[#All],[Assets]],Table25[[#This Row],[Assets]],Table25[[#All],[Bought Amount]])</f>
        <v>38555.520000000004</v>
      </c>
      <c r="J639" s="88">
        <f>IF(Table25[[#This Row],[Number of stocks]]&lt;0,Table25[[#This Row],[Number of stocks]],0)</f>
        <v>-11</v>
      </c>
      <c r="K639" s="5">
        <f>Table25[[#This Row],[Sold]]*Table25[[#This Row],[Price]]</f>
        <v>-1006.17</v>
      </c>
      <c r="L639" s="8">
        <f>ABS(SUMIF(Table25[[#All],[Assets]],Table25[[#This Row],[Assets]],Table25[[#All],[Sold]]))</f>
        <v>419</v>
      </c>
      <c r="M639" s="5">
        <f>ABS(SUMIF(Table25[[#All],[Assets]],Table25[[#This Row],[Assets]],Table25[[#All],[Sold Amount]]))</f>
        <v>38372</v>
      </c>
      <c r="N639" s="5">
        <f>IFERROR(Table25[[#This Row],[Total sold amount]]/Table25[[#This Row],[Total Sold number of stocks]],"")</f>
        <v>91.579952267303099</v>
      </c>
      <c r="O639" s="4">
        <f>IFERROR(Table25[[#This Row],[Total Amount bought]]/Table25[[#This Row],[Total number bought]],"")</f>
        <v>92.017947494033422</v>
      </c>
      <c r="P639" s="4">
        <f>IFERROR((Table25[[#This Row],[Average sell price]]-Table25[[#This Row],[Average buy price]])*Table25[[#This Row],[Total Sold number of stocks]],0)</f>
        <v>-183.5200000000051</v>
      </c>
      <c r="Q639" s="85">
        <f>SUMIF(Table25[[#All],[Assets]],Table25[[#This Row],[Assets]],Table25[[#All],[Number of stocks]])</f>
        <v>0</v>
      </c>
    </row>
    <row r="640" spans="1:17">
      <c r="A640" t="e" vm="39">
        <v>#VALUE!</v>
      </c>
      <c r="B640" s="2">
        <v>45632</v>
      </c>
      <c r="C640" t="str" cm="1">
        <f t="array" aca="1" ref="C640" ca="1">_FV(A640,"Ticker symbol",TRUE)</f>
        <v>AMSC</v>
      </c>
      <c r="D640" s="4">
        <v>30.68</v>
      </c>
      <c r="E640" s="50">
        <v>60</v>
      </c>
      <c r="F640" s="81">
        <f>IF(Table25[[#This Row],[Number of stocks]]&gt;0,Table25[[#This Row],[Number of stocks]],0)</f>
        <v>60</v>
      </c>
      <c r="G640" s="73">
        <f>Table25[[#This Row],[Bought]]*Table25[[#This Row],[Price]]</f>
        <v>1840.8</v>
      </c>
      <c r="H640">
        <f>SUMIF(Table25[[#All],[Assets]],Table25[[#This Row],[Assets]],Table25[[#All],[Bought]])</f>
        <v>812.4</v>
      </c>
      <c r="I640">
        <f>SUMIF(Table25[[#All],[Assets]],Table25[[#This Row],[Assets]],Table25[[#All],[Bought Amount]])</f>
        <v>24146.880000000001</v>
      </c>
      <c r="J640" s="88">
        <f>IF(Table25[[#This Row],[Number of stocks]]&lt;0,Table25[[#This Row],[Number of stocks]],0)</f>
        <v>0</v>
      </c>
      <c r="K640" s="5">
        <f>Table25[[#This Row],[Sold]]*Table25[[#This Row],[Price]]</f>
        <v>0</v>
      </c>
      <c r="L640" s="8">
        <f>ABS(SUMIF(Table25[[#All],[Assets]],Table25[[#This Row],[Assets]],Table25[[#All],[Sold]]))</f>
        <v>535</v>
      </c>
      <c r="M640" s="5">
        <f>ABS(SUMIF(Table25[[#All],[Assets]],Table25[[#This Row],[Assets]],Table25[[#All],[Sold Amount]]))</f>
        <v>14777.289999999999</v>
      </c>
      <c r="N640" s="5">
        <f>IFERROR(Table25[[#This Row],[Total sold amount]]/Table25[[#This Row],[Total Sold number of stocks]],"")</f>
        <v>27.621102803738317</v>
      </c>
      <c r="O640" s="4">
        <f>IFERROR(Table25[[#This Row],[Total Amount bought]]/Table25[[#This Row],[Total number bought]],"")</f>
        <v>29.722895125553915</v>
      </c>
      <c r="P640" s="4">
        <f>IFERROR((Table25[[#This Row],[Average sell price]]-Table25[[#This Row],[Average buy price]])*Table25[[#This Row],[Total Sold number of stocks]],0)</f>
        <v>-1124.4588921713448</v>
      </c>
      <c r="Q640" s="85">
        <f>SUMIF(Table25[[#All],[Assets]],Table25[[#This Row],[Assets]],Table25[[#All],[Number of stocks]])</f>
        <v>277.39999999999998</v>
      </c>
    </row>
    <row r="641" spans="1:17">
      <c r="A641" t="e" vm="33">
        <v>#VALUE!</v>
      </c>
      <c r="B641" s="2">
        <v>45627</v>
      </c>
      <c r="C641" t="str" cm="1">
        <f t="array" aca="1" ref="C641" ca="1">_FV(A641,"Ticker symbol",TRUE)</f>
        <v>CRDO</v>
      </c>
      <c r="D641" s="4">
        <v>48.61</v>
      </c>
      <c r="E641" s="50">
        <v>-20</v>
      </c>
      <c r="F641" s="81">
        <f>IF(Table25[[#This Row],[Number of stocks]]&gt;0,Table25[[#This Row],[Number of stocks]],0)</f>
        <v>0</v>
      </c>
      <c r="G641" s="73">
        <f>Table25[[#This Row],[Bought]]*Table25[[#This Row],[Price]]</f>
        <v>0</v>
      </c>
      <c r="H641">
        <f>SUMIF(Table25[[#All],[Assets]],Table25[[#This Row],[Assets]],Table25[[#All],[Bought]])</f>
        <v>135</v>
      </c>
      <c r="I641">
        <f>SUMIF(Table25[[#All],[Assets]],Table25[[#This Row],[Assets]],Table25[[#All],[Bought Amount]])</f>
        <v>3772.0499999999997</v>
      </c>
      <c r="J641" s="88">
        <f>IF(Table25[[#This Row],[Number of stocks]]&lt;0,Table25[[#This Row],[Number of stocks]],0)</f>
        <v>-20</v>
      </c>
      <c r="K641" s="5">
        <f>Table25[[#This Row],[Sold]]*Table25[[#This Row],[Price]]</f>
        <v>-972.2</v>
      </c>
      <c r="L641" s="8">
        <f>ABS(SUMIF(Table25[[#All],[Assets]],Table25[[#This Row],[Assets]],Table25[[#All],[Sold]]))</f>
        <v>135</v>
      </c>
      <c r="M641" s="5">
        <f>ABS(SUMIF(Table25[[#All],[Assets]],Table25[[#This Row],[Assets]],Table25[[#All],[Sold Amount]]))</f>
        <v>5564.1</v>
      </c>
      <c r="N641" s="5">
        <f>IFERROR(Table25[[#This Row],[Total sold amount]]/Table25[[#This Row],[Total Sold number of stocks]],"")</f>
        <v>41.215555555555561</v>
      </c>
      <c r="O641" s="4">
        <f>IFERROR(Table25[[#This Row],[Total Amount bought]]/Table25[[#This Row],[Total number bought]],"")</f>
        <v>27.941111111111109</v>
      </c>
      <c r="P641" s="4">
        <f>IFERROR((Table25[[#This Row],[Average sell price]]-Table25[[#This Row],[Average buy price]])*Table25[[#This Row],[Total Sold number of stocks]],0)</f>
        <v>1792.0500000000011</v>
      </c>
      <c r="Q641" s="85">
        <f>SUMIF(Table25[[#All],[Assets]],Table25[[#This Row],[Assets]],Table25[[#All],[Number of stocks]])</f>
        <v>0</v>
      </c>
    </row>
    <row r="642" spans="1:17">
      <c r="A642" t="e" vm="438">
        <v>#VALUE!</v>
      </c>
      <c r="B642" s="2">
        <v>45627</v>
      </c>
      <c r="C642" t="str" cm="1">
        <f t="array" aca="1" ref="C642" ca="1">_FV(A642,"Ticker symbol",TRUE)</f>
        <v>RIO</v>
      </c>
      <c r="D642" s="4">
        <v>63.25</v>
      </c>
      <c r="E642" s="50">
        <v>-20</v>
      </c>
      <c r="F642" s="81">
        <f>IF(Table25[[#This Row],[Number of stocks]]&gt;0,Table25[[#This Row],[Number of stocks]],0)</f>
        <v>0</v>
      </c>
      <c r="G642" s="73">
        <f>Table25[[#This Row],[Bought]]*Table25[[#This Row],[Price]]</f>
        <v>0</v>
      </c>
      <c r="H642">
        <f>SUMIF(Table25[[#All],[Assets]],Table25[[#This Row],[Assets]],Table25[[#All],[Bought]])</f>
        <v>20</v>
      </c>
      <c r="I642">
        <f>SUMIF(Table25[[#All],[Assets]],Table25[[#This Row],[Assets]],Table25[[#All],[Bought Amount]])</f>
        <v>1400.6</v>
      </c>
      <c r="J642" s="88">
        <f>IF(Table25[[#This Row],[Number of stocks]]&lt;0,Table25[[#This Row],[Number of stocks]],0)</f>
        <v>-20</v>
      </c>
      <c r="K642" s="5">
        <f>Table25[[#This Row],[Sold]]*Table25[[#This Row],[Price]]</f>
        <v>-1265</v>
      </c>
      <c r="L642" s="8">
        <f>ABS(SUMIF(Table25[[#All],[Assets]],Table25[[#This Row],[Assets]],Table25[[#All],[Sold]]))</f>
        <v>20</v>
      </c>
      <c r="M642" s="5">
        <f>ABS(SUMIF(Table25[[#All],[Assets]],Table25[[#This Row],[Assets]],Table25[[#All],[Sold Amount]]))</f>
        <v>1265</v>
      </c>
      <c r="N642" s="5">
        <f>IFERROR(Table25[[#This Row],[Total sold amount]]/Table25[[#This Row],[Total Sold number of stocks]],"")</f>
        <v>63.25</v>
      </c>
      <c r="O642" s="4">
        <f>IFERROR(Table25[[#This Row],[Total Amount bought]]/Table25[[#This Row],[Total number bought]],"")</f>
        <v>70.03</v>
      </c>
      <c r="P642" s="4">
        <f>IFERROR((Table25[[#This Row],[Average sell price]]-Table25[[#This Row],[Average buy price]])*Table25[[#This Row],[Total Sold number of stocks]],0)</f>
        <v>-135.60000000000002</v>
      </c>
      <c r="Q642" s="85">
        <f>SUMIF(Table25[[#All],[Assets]],Table25[[#This Row],[Assets]],Table25[[#All],[Number of stocks]])</f>
        <v>0</v>
      </c>
    </row>
    <row r="643" spans="1:17">
      <c r="A643" t="e" vm="114">
        <v>#VALUE!</v>
      </c>
      <c r="B643" s="2">
        <v>45627</v>
      </c>
      <c r="C643" t="str" cm="1">
        <f t="array" aca="1" ref="C643" ca="1">_FV(A643,"Ticker symbol",TRUE)</f>
        <v>LRCX</v>
      </c>
      <c r="D643" s="4">
        <v>77.95</v>
      </c>
      <c r="E643" s="50">
        <v>7</v>
      </c>
      <c r="F643" s="81">
        <f>IF(Table25[[#This Row],[Number of stocks]]&gt;0,Table25[[#This Row],[Number of stocks]],0)</f>
        <v>7</v>
      </c>
      <c r="G643" s="73">
        <f>Table25[[#This Row],[Bought]]*Table25[[#This Row],[Price]]</f>
        <v>545.65</v>
      </c>
      <c r="H643">
        <f>SUMIF(Table25[[#All],[Assets]],Table25[[#This Row],[Assets]],Table25[[#All],[Bought]])</f>
        <v>7</v>
      </c>
      <c r="I643">
        <f>SUMIF(Table25[[#All],[Assets]],Table25[[#This Row],[Assets]],Table25[[#All],[Bought Amount]])</f>
        <v>545.65</v>
      </c>
      <c r="J643" s="88">
        <f>IF(Table25[[#This Row],[Number of stocks]]&lt;0,Table25[[#This Row],[Number of stocks]],0)</f>
        <v>0</v>
      </c>
      <c r="K643" s="5">
        <f>Table25[[#This Row],[Sold]]*Table25[[#This Row],[Price]]</f>
        <v>0</v>
      </c>
      <c r="L643" s="8">
        <f>ABS(SUMIF(Table25[[#All],[Assets]],Table25[[#This Row],[Assets]],Table25[[#All],[Sold]]))</f>
        <v>7</v>
      </c>
      <c r="M643" s="5">
        <f>ABS(SUMIF(Table25[[#All],[Assets]],Table25[[#This Row],[Assets]],Table25[[#All],[Sold Amount]]))</f>
        <v>508.69</v>
      </c>
      <c r="N643" s="5">
        <f>IFERROR(Table25[[#This Row],[Total sold amount]]/Table25[[#This Row],[Total Sold number of stocks]],"")</f>
        <v>72.67</v>
      </c>
      <c r="O643" s="4">
        <f>IFERROR(Table25[[#This Row],[Total Amount bought]]/Table25[[#This Row],[Total number bought]],"")</f>
        <v>77.95</v>
      </c>
      <c r="P643" s="4">
        <f>IFERROR((Table25[[#This Row],[Average sell price]]-Table25[[#This Row],[Average buy price]])*Table25[[#This Row],[Total Sold number of stocks]],0)</f>
        <v>-36.960000000000008</v>
      </c>
      <c r="Q643" s="85">
        <f>SUMIF(Table25[[#All],[Assets]],Table25[[#This Row],[Assets]],Table25[[#All],[Number of stocks]])</f>
        <v>0</v>
      </c>
    </row>
    <row r="644" spans="1:17">
      <c r="A644" t="e" vm="27">
        <v>#VALUE!</v>
      </c>
      <c r="B644" s="2">
        <v>45627</v>
      </c>
      <c r="C644" t="str" cm="1">
        <f t="array" aca="1" ref="C644" ca="1">_FV(A644,"Ticker symbol",TRUE)</f>
        <v>ASML</v>
      </c>
      <c r="D644" s="4">
        <v>710.14</v>
      </c>
      <c r="E644" s="50">
        <v>1</v>
      </c>
      <c r="F644" s="81">
        <f>IF(Table25[[#This Row],[Number of stocks]]&gt;0,Table25[[#This Row],[Number of stocks]],0)</f>
        <v>1</v>
      </c>
      <c r="G644" s="73">
        <f>Table25[[#This Row],[Bought]]*Table25[[#This Row],[Price]]</f>
        <v>710.14</v>
      </c>
      <c r="H644">
        <f>SUMIF(Table25[[#All],[Assets]],Table25[[#This Row],[Assets]],Table25[[#All],[Bought]])</f>
        <v>2</v>
      </c>
      <c r="I644">
        <f>SUMIF(Table25[[#All],[Assets]],Table25[[#This Row],[Assets]],Table25[[#All],[Bought Amount]])</f>
        <v>1444.51</v>
      </c>
      <c r="J644" s="88">
        <f>IF(Table25[[#This Row],[Number of stocks]]&lt;0,Table25[[#This Row],[Number of stocks]],0)</f>
        <v>0</v>
      </c>
      <c r="K644" s="5">
        <f>Table25[[#This Row],[Sold]]*Table25[[#This Row],[Price]]</f>
        <v>0</v>
      </c>
      <c r="L644" s="8">
        <f>ABS(SUMIF(Table25[[#All],[Assets]],Table25[[#This Row],[Assets]],Table25[[#All],[Sold]]))</f>
        <v>2</v>
      </c>
      <c r="M644" s="5">
        <f>ABS(SUMIF(Table25[[#All],[Assets]],Table25[[#This Row],[Assets]],Table25[[#All],[Sold Amount]]))</f>
        <v>1468.0900000000001</v>
      </c>
      <c r="N644" s="5">
        <f>IFERROR(Table25[[#This Row],[Total sold amount]]/Table25[[#This Row],[Total Sold number of stocks]],"")</f>
        <v>734.04500000000007</v>
      </c>
      <c r="O644" s="4">
        <f>IFERROR(Table25[[#This Row],[Total Amount bought]]/Table25[[#This Row],[Total number bought]],"")</f>
        <v>722.255</v>
      </c>
      <c r="P644" s="4">
        <f>IFERROR((Table25[[#This Row],[Average sell price]]-Table25[[#This Row],[Average buy price]])*Table25[[#This Row],[Total Sold number of stocks]],0)</f>
        <v>23.580000000000155</v>
      </c>
      <c r="Q644" s="85">
        <f>SUMIF(Table25[[#All],[Assets]],Table25[[#This Row],[Assets]],Table25[[#All],[Number of stocks]])</f>
        <v>0</v>
      </c>
    </row>
    <row r="645" spans="1:17">
      <c r="A645" t="e" vm="164">
        <v>#VALUE!</v>
      </c>
      <c r="B645" s="2">
        <v>45627</v>
      </c>
      <c r="C645" t="str" cm="1">
        <f t="array" aca="1" ref="C645" ca="1">_FV(A645,"Ticker symbol",TRUE)</f>
        <v>KLAC</v>
      </c>
      <c r="D645" s="4">
        <v>664.7</v>
      </c>
      <c r="E645" s="50">
        <v>1</v>
      </c>
      <c r="F645" s="81">
        <f>IF(Table25[[#This Row],[Number of stocks]]&gt;0,Table25[[#This Row],[Number of stocks]],0)</f>
        <v>1</v>
      </c>
      <c r="G645" s="73">
        <f>Table25[[#This Row],[Bought]]*Table25[[#This Row],[Price]]</f>
        <v>664.7</v>
      </c>
      <c r="H645">
        <f>SUMIF(Table25[[#All],[Assets]],Table25[[#This Row],[Assets]],Table25[[#All],[Bought]])</f>
        <v>1</v>
      </c>
      <c r="I645">
        <f>SUMIF(Table25[[#All],[Assets]],Table25[[#This Row],[Assets]],Table25[[#All],[Bought Amount]])</f>
        <v>664.7</v>
      </c>
      <c r="J645" s="88">
        <f>IF(Table25[[#This Row],[Number of stocks]]&lt;0,Table25[[#This Row],[Number of stocks]],0)</f>
        <v>0</v>
      </c>
      <c r="K645" s="5">
        <f>Table25[[#This Row],[Sold]]*Table25[[#This Row],[Price]]</f>
        <v>0</v>
      </c>
      <c r="L645" s="8">
        <f>ABS(SUMIF(Table25[[#All],[Assets]],Table25[[#This Row],[Assets]],Table25[[#All],[Sold]]))</f>
        <v>1</v>
      </c>
      <c r="M645" s="5">
        <f>ABS(SUMIF(Table25[[#All],[Assets]],Table25[[#This Row],[Assets]],Table25[[#All],[Sold Amount]]))</f>
        <v>711.48</v>
      </c>
      <c r="N645" s="5">
        <f>IFERROR(Table25[[#This Row],[Total sold amount]]/Table25[[#This Row],[Total Sold number of stocks]],"")</f>
        <v>711.48</v>
      </c>
      <c r="O645" s="4">
        <f>IFERROR(Table25[[#This Row],[Total Amount bought]]/Table25[[#This Row],[Total number bought]],"")</f>
        <v>664.7</v>
      </c>
      <c r="P645" s="4">
        <f>IFERROR((Table25[[#This Row],[Average sell price]]-Table25[[#This Row],[Average buy price]])*Table25[[#This Row],[Total Sold number of stocks]],0)</f>
        <v>46.779999999999973</v>
      </c>
      <c r="Q645" s="85">
        <f>SUMIF(Table25[[#All],[Assets]],Table25[[#This Row],[Assets]],Table25[[#All],[Number of stocks]])</f>
        <v>0</v>
      </c>
    </row>
    <row r="646" spans="1:17">
      <c r="A646" t="e" vm="516">
        <v>#VALUE!</v>
      </c>
      <c r="B646" s="2">
        <v>45627</v>
      </c>
      <c r="C646" t="str" cm="1">
        <f t="array" aca="1" ref="C646" ca="1">_FV(A646,"Ticker symbol",TRUE)</f>
        <v>MTSI</v>
      </c>
      <c r="D646" s="4">
        <v>137.47999999999999</v>
      </c>
      <c r="E646" s="50">
        <v>3</v>
      </c>
      <c r="F646" s="81">
        <f>IF(Table25[[#This Row],[Number of stocks]]&gt;0,Table25[[#This Row],[Number of stocks]],0)</f>
        <v>3</v>
      </c>
      <c r="G646" s="73">
        <f>Table25[[#This Row],[Bought]]*Table25[[#This Row],[Price]]</f>
        <v>412.43999999999994</v>
      </c>
      <c r="H646">
        <f>SUMIF(Table25[[#All],[Assets]],Table25[[#This Row],[Assets]],Table25[[#All],[Bought]])</f>
        <v>3</v>
      </c>
      <c r="I646">
        <f>SUMIF(Table25[[#All],[Assets]],Table25[[#This Row],[Assets]],Table25[[#All],[Bought Amount]])</f>
        <v>412.43999999999994</v>
      </c>
      <c r="J646" s="88">
        <f>IF(Table25[[#This Row],[Number of stocks]]&lt;0,Table25[[#This Row],[Number of stocks]],0)</f>
        <v>0</v>
      </c>
      <c r="K646" s="5">
        <f>Table25[[#This Row],[Sold]]*Table25[[#This Row],[Price]]</f>
        <v>0</v>
      </c>
      <c r="L646" s="8">
        <f>ABS(SUMIF(Table25[[#All],[Assets]],Table25[[#This Row],[Assets]],Table25[[#All],[Sold]]))</f>
        <v>3</v>
      </c>
      <c r="M646" s="5">
        <f>ABS(SUMIF(Table25[[#All],[Assets]],Table25[[#This Row],[Assets]],Table25[[#All],[Sold Amount]]))</f>
        <v>371.31</v>
      </c>
      <c r="N646" s="5">
        <f>IFERROR(Table25[[#This Row],[Total sold amount]]/Table25[[#This Row],[Total Sold number of stocks]],"")</f>
        <v>123.77</v>
      </c>
      <c r="O646" s="4">
        <f>IFERROR(Table25[[#This Row],[Total Amount bought]]/Table25[[#This Row],[Total number bought]],"")</f>
        <v>137.47999999999999</v>
      </c>
      <c r="P646" s="4">
        <f>IFERROR((Table25[[#This Row],[Average sell price]]-Table25[[#This Row],[Average buy price]])*Table25[[#This Row],[Total Sold number of stocks]],0)</f>
        <v>-41.129999999999981</v>
      </c>
      <c r="Q646" s="85">
        <f>SUMIF(Table25[[#All],[Assets]],Table25[[#This Row],[Assets]],Table25[[#All],[Number of stocks]])</f>
        <v>0</v>
      </c>
    </row>
    <row r="647" spans="1:17">
      <c r="A647" t="e" vm="23">
        <v>#VALUE!</v>
      </c>
      <c r="B647" s="2">
        <v>45630</v>
      </c>
      <c r="C647" t="str" cm="1">
        <f t="array" aca="1" ref="C647" ca="1">_FV(A647,"Ticker symbol",TRUE)</f>
        <v>ALGM</v>
      </c>
      <c r="D647" s="4">
        <v>21.01</v>
      </c>
      <c r="E647" s="50">
        <v>-25</v>
      </c>
      <c r="F647" s="81">
        <f>IF(Table25[[#This Row],[Number of stocks]]&gt;0,Table25[[#This Row],[Number of stocks]],0)</f>
        <v>0</v>
      </c>
      <c r="G647" s="73">
        <f>Table25[[#This Row],[Bought]]*Table25[[#This Row],[Price]]</f>
        <v>0</v>
      </c>
      <c r="H647">
        <f>SUMIF(Table25[[#All],[Assets]],Table25[[#This Row],[Assets]],Table25[[#All],[Bought]])</f>
        <v>30</v>
      </c>
      <c r="I647">
        <f>SUMIF(Table25[[#All],[Assets]],Table25[[#This Row],[Assets]],Table25[[#All],[Bought Amount]])</f>
        <v>766.3</v>
      </c>
      <c r="J647" s="88">
        <f>IF(Table25[[#This Row],[Number of stocks]]&lt;0,Table25[[#This Row],[Number of stocks]],0)</f>
        <v>-25</v>
      </c>
      <c r="K647" s="5">
        <f>Table25[[#This Row],[Sold]]*Table25[[#This Row],[Price]]</f>
        <v>-525.25</v>
      </c>
      <c r="L647" s="8">
        <f>ABS(SUMIF(Table25[[#All],[Assets]],Table25[[#This Row],[Assets]],Table25[[#All],[Sold]]))</f>
        <v>25</v>
      </c>
      <c r="M647" s="5">
        <f>ABS(SUMIF(Table25[[#All],[Assets]],Table25[[#This Row],[Assets]],Table25[[#All],[Sold Amount]]))</f>
        <v>525.25</v>
      </c>
      <c r="N647" s="5">
        <f>IFERROR(Table25[[#This Row],[Total sold amount]]/Table25[[#This Row],[Total Sold number of stocks]],"")</f>
        <v>21.01</v>
      </c>
      <c r="O647" s="4">
        <f>IFERROR(Table25[[#This Row],[Total Amount bought]]/Table25[[#This Row],[Total number bought]],"")</f>
        <v>25.543333333333333</v>
      </c>
      <c r="P647" s="4">
        <f>IFERROR((Table25[[#This Row],[Average sell price]]-Table25[[#This Row],[Average buy price]])*Table25[[#This Row],[Total Sold number of stocks]],0)</f>
        <v>-113.33333333333329</v>
      </c>
      <c r="Q647" s="85">
        <f>SUMIF(Table25[[#All],[Assets]],Table25[[#This Row],[Assets]],Table25[[#All],[Number of stocks]])</f>
        <v>5</v>
      </c>
    </row>
    <row r="648" spans="1:17">
      <c r="A648" t="e" vm="513">
        <v>#VALUE!</v>
      </c>
      <c r="B648" s="2">
        <v>45630</v>
      </c>
      <c r="C648" t="str" cm="1">
        <f t="array" aca="1" ref="C648" ca="1">_FV(A648,"Ticker symbol",TRUE)</f>
        <v>RPD</v>
      </c>
      <c r="D648" s="4">
        <v>43.9</v>
      </c>
      <c r="E648" s="50">
        <v>12</v>
      </c>
      <c r="F648" s="81">
        <f>IF(Table25[[#This Row],[Number of stocks]]&gt;0,Table25[[#This Row],[Number of stocks]],0)</f>
        <v>12</v>
      </c>
      <c r="G648" s="73">
        <f>Table25[[#This Row],[Bought]]*Table25[[#This Row],[Price]]</f>
        <v>526.79999999999995</v>
      </c>
      <c r="H648">
        <f>SUMIF(Table25[[#All],[Assets]],Table25[[#This Row],[Assets]],Table25[[#All],[Bought]])</f>
        <v>12</v>
      </c>
      <c r="I648">
        <f>SUMIF(Table25[[#All],[Assets]],Table25[[#This Row],[Assets]],Table25[[#All],[Bought Amount]])</f>
        <v>526.79999999999995</v>
      </c>
      <c r="J648" s="88">
        <f>IF(Table25[[#This Row],[Number of stocks]]&lt;0,Table25[[#This Row],[Number of stocks]],0)</f>
        <v>0</v>
      </c>
      <c r="K648" s="5">
        <f>Table25[[#This Row],[Sold]]*Table25[[#This Row],[Price]]</f>
        <v>0</v>
      </c>
      <c r="L648" s="8">
        <f>ABS(SUMIF(Table25[[#All],[Assets]],Table25[[#This Row],[Assets]],Table25[[#All],[Sold]]))</f>
        <v>12</v>
      </c>
      <c r="M648" s="5">
        <f>ABS(SUMIF(Table25[[#All],[Assets]],Table25[[#This Row],[Assets]],Table25[[#All],[Sold Amount]]))</f>
        <v>290.64</v>
      </c>
      <c r="N648" s="5">
        <f>IFERROR(Table25[[#This Row],[Total sold amount]]/Table25[[#This Row],[Total Sold number of stocks]],"")</f>
        <v>24.22</v>
      </c>
      <c r="O648" s="4">
        <f>IFERROR(Table25[[#This Row],[Total Amount bought]]/Table25[[#This Row],[Total number bought]],"")</f>
        <v>43.9</v>
      </c>
      <c r="P648" s="4">
        <f>IFERROR((Table25[[#This Row],[Average sell price]]-Table25[[#This Row],[Average buy price]])*Table25[[#This Row],[Total Sold number of stocks]],0)</f>
        <v>-236.16</v>
      </c>
      <c r="Q648" s="85">
        <f>SUMIF(Table25[[#All],[Assets]],Table25[[#This Row],[Assets]],Table25[[#All],[Number of stocks]])</f>
        <v>0</v>
      </c>
    </row>
    <row r="649" spans="1:17">
      <c r="A649" t="e" vm="21">
        <v>#VALUE!</v>
      </c>
      <c r="B649" s="2">
        <v>45631</v>
      </c>
      <c r="C649" t="str" cm="1">
        <f t="array" aca="1" ref="C649" ca="1">_FV(A649,"Ticker symbol",TRUE)</f>
        <v>INTC</v>
      </c>
      <c r="D649" s="4">
        <v>21.3</v>
      </c>
      <c r="E649" s="50">
        <v>-71</v>
      </c>
      <c r="F649" s="81">
        <f>IF(Table25[[#This Row],[Number of stocks]]&gt;0,Table25[[#This Row],[Number of stocks]],0)</f>
        <v>0</v>
      </c>
      <c r="G649" s="73">
        <f>Table25[[#This Row],[Bought]]*Table25[[#This Row],[Price]]</f>
        <v>0</v>
      </c>
      <c r="H649">
        <f>SUMIF(Table25[[#All],[Assets]],Table25[[#This Row],[Assets]],Table25[[#All],[Bought]])</f>
        <v>334.73663899999997</v>
      </c>
      <c r="I649">
        <f>SUMIF(Table25[[#All],[Assets]],Table25[[#This Row],[Assets]],Table25[[#All],[Bought Amount]])</f>
        <v>9755.9173948600001</v>
      </c>
      <c r="J649" s="88">
        <f>IF(Table25[[#This Row],[Number of stocks]]&lt;0,Table25[[#This Row],[Number of stocks]],0)</f>
        <v>-71</v>
      </c>
      <c r="K649" s="5">
        <f>Table25[[#This Row],[Sold]]*Table25[[#This Row],[Price]]</f>
        <v>-1512.3</v>
      </c>
      <c r="L649" s="8">
        <f>ABS(SUMIF(Table25[[#All],[Assets]],Table25[[#This Row],[Assets]],Table25[[#All],[Sold]]))</f>
        <v>334.74</v>
      </c>
      <c r="M649" s="5">
        <f>ABS(SUMIF(Table25[[#All],[Assets]],Table25[[#This Row],[Assets]],Table25[[#All],[Sold Amount]]))</f>
        <v>7909.2053999999998</v>
      </c>
      <c r="N649" s="5">
        <f>IFERROR(Table25[[#This Row],[Total sold amount]]/Table25[[#This Row],[Total Sold number of stocks]],"")</f>
        <v>23.627906434844952</v>
      </c>
      <c r="O649" s="4">
        <f>IFERROR(Table25[[#This Row],[Total Amount bought]]/Table25[[#This Row],[Total number bought]],"")</f>
        <v>29.145053926588542</v>
      </c>
      <c r="P649" s="4">
        <f>IFERROR((Table25[[#This Row],[Average sell price]]-Table25[[#This Row],[Average buy price]])*Table25[[#This Row],[Total Sold number of stocks]],0)</f>
        <v>-1846.8099513862492</v>
      </c>
      <c r="Q649" s="85">
        <f>SUMIF(Table25[[#All],[Assets]],Table25[[#This Row],[Assets]],Table25[[#All],[Number of stocks]])</f>
        <v>-3.3610000000123819E-3</v>
      </c>
    </row>
    <row r="650" spans="1:17">
      <c r="A650" t="e" vm="456">
        <v>#VALUE!</v>
      </c>
      <c r="B650" s="2">
        <v>45635</v>
      </c>
      <c r="C650" t="str" cm="1">
        <f t="array" aca="1" ref="C650" ca="1">_FV(A650,"Ticker symbol",TRUE)</f>
        <v>BIL</v>
      </c>
      <c r="D650" s="4">
        <v>91.56</v>
      </c>
      <c r="E650" s="50">
        <v>-54</v>
      </c>
      <c r="F650" s="81">
        <f>IF(Table25[[#This Row],[Number of stocks]]&gt;0,Table25[[#This Row],[Number of stocks]],0)</f>
        <v>0</v>
      </c>
      <c r="G650" s="73">
        <f>Table25[[#This Row],[Bought]]*Table25[[#This Row],[Price]]</f>
        <v>0</v>
      </c>
      <c r="H650">
        <f>SUMIF(Table25[[#All],[Assets]],Table25[[#This Row],[Assets]],Table25[[#All],[Bought]])</f>
        <v>419</v>
      </c>
      <c r="I650">
        <f>SUMIF(Table25[[#All],[Assets]],Table25[[#This Row],[Assets]],Table25[[#All],[Bought Amount]])</f>
        <v>38555.520000000004</v>
      </c>
      <c r="J650" s="88">
        <f>IF(Table25[[#This Row],[Number of stocks]]&lt;0,Table25[[#This Row],[Number of stocks]],0)</f>
        <v>-54</v>
      </c>
      <c r="K650" s="5">
        <f>Table25[[#This Row],[Sold]]*Table25[[#This Row],[Price]]</f>
        <v>-4944.24</v>
      </c>
      <c r="L650" s="8">
        <f>ABS(SUMIF(Table25[[#All],[Assets]],Table25[[#This Row],[Assets]],Table25[[#All],[Sold]]))</f>
        <v>419</v>
      </c>
      <c r="M650" s="5">
        <f>ABS(SUMIF(Table25[[#All],[Assets]],Table25[[#This Row],[Assets]],Table25[[#All],[Sold Amount]]))</f>
        <v>38372</v>
      </c>
      <c r="N650" s="5">
        <f>IFERROR(Table25[[#This Row],[Total sold amount]]/Table25[[#This Row],[Total Sold number of stocks]],"")</f>
        <v>91.579952267303099</v>
      </c>
      <c r="O650" s="4">
        <f>IFERROR(Table25[[#This Row],[Total Amount bought]]/Table25[[#This Row],[Total number bought]],"")</f>
        <v>92.017947494033422</v>
      </c>
      <c r="P650" s="4">
        <f>IFERROR((Table25[[#This Row],[Average sell price]]-Table25[[#This Row],[Average buy price]])*Table25[[#This Row],[Total Sold number of stocks]],0)</f>
        <v>-183.5200000000051</v>
      </c>
      <c r="Q650" s="85">
        <f>SUMIF(Table25[[#All],[Assets]],Table25[[#This Row],[Assets]],Table25[[#All],[Number of stocks]])</f>
        <v>0</v>
      </c>
    </row>
    <row r="651" spans="1:17">
      <c r="A651" t="e" vm="159">
        <v>#VALUE!</v>
      </c>
      <c r="B651" s="2">
        <v>45635</v>
      </c>
      <c r="C651" t="str" cm="1">
        <f t="array" aca="1" ref="C651" ca="1">_FV(A651,"Ticker symbol",TRUE)</f>
        <v>BABA</v>
      </c>
      <c r="D651" s="4">
        <v>93.12</v>
      </c>
      <c r="E651" s="50">
        <v>53</v>
      </c>
      <c r="F651" s="81">
        <f>IF(Table25[[#This Row],[Number of stocks]]&gt;0,Table25[[#This Row],[Number of stocks]],0)</f>
        <v>53</v>
      </c>
      <c r="G651" s="73">
        <f>Table25[[#This Row],[Bought]]*Table25[[#This Row],[Price]]</f>
        <v>4935.3600000000006</v>
      </c>
      <c r="H651">
        <f>SUMIF(Table25[[#All],[Assets]],Table25[[#This Row],[Assets]],Table25[[#All],[Bought]])</f>
        <v>128</v>
      </c>
      <c r="I651">
        <f>SUMIF(Table25[[#All],[Assets]],Table25[[#This Row],[Assets]],Table25[[#All],[Bought Amount]])</f>
        <v>12533.52</v>
      </c>
      <c r="J651" s="88">
        <f>IF(Table25[[#This Row],[Number of stocks]]&lt;0,Table25[[#This Row],[Number of stocks]],0)</f>
        <v>0</v>
      </c>
      <c r="K651" s="5">
        <f>Table25[[#This Row],[Sold]]*Table25[[#This Row],[Price]]</f>
        <v>0</v>
      </c>
      <c r="L651" s="8">
        <f>ABS(SUMIF(Table25[[#All],[Assets]],Table25[[#This Row],[Assets]],Table25[[#All],[Sold]]))</f>
        <v>128</v>
      </c>
      <c r="M651" s="5">
        <f>ABS(SUMIF(Table25[[#All],[Assets]],Table25[[#This Row],[Assets]],Table25[[#All],[Sold Amount]]))</f>
        <v>17148.419999999998</v>
      </c>
      <c r="N651" s="5">
        <f>IFERROR(Table25[[#This Row],[Total sold amount]]/Table25[[#This Row],[Total Sold number of stocks]],"")</f>
        <v>133.97203124999999</v>
      </c>
      <c r="O651" s="4">
        <f>IFERROR(Table25[[#This Row],[Total Amount bought]]/Table25[[#This Row],[Total number bought]],"")</f>
        <v>97.918125000000003</v>
      </c>
      <c r="P651" s="4">
        <f>IFERROR((Table25[[#This Row],[Average sell price]]-Table25[[#This Row],[Average buy price]])*Table25[[#This Row],[Total Sold number of stocks]],0)</f>
        <v>4614.8999999999978</v>
      </c>
      <c r="Q651" s="85">
        <f>SUMIF(Table25[[#All],[Assets]],Table25[[#This Row],[Assets]],Table25[[#All],[Number of stocks]])</f>
        <v>0</v>
      </c>
    </row>
    <row r="652" spans="1:17">
      <c r="A652" t="e" vm="42">
        <v>#VALUE!</v>
      </c>
      <c r="B652" s="2">
        <v>45635</v>
      </c>
      <c r="C652" t="str" cm="1">
        <f t="array" aca="1" ref="C652" ca="1">_FV(A652,"Ticker symbol",TRUE)</f>
        <v>FLR</v>
      </c>
      <c r="D652" s="4">
        <v>55.28</v>
      </c>
      <c r="E652" s="50">
        <v>-50</v>
      </c>
      <c r="F652" s="81">
        <f>IF(Table25[[#This Row],[Number of stocks]]&gt;0,Table25[[#This Row],[Number of stocks]],0)</f>
        <v>0</v>
      </c>
      <c r="G652" s="73">
        <f>Table25[[#This Row],[Bought]]*Table25[[#This Row],[Price]]</f>
        <v>0</v>
      </c>
      <c r="H652">
        <f>SUMIF(Table25[[#All],[Assets]],Table25[[#This Row],[Assets]],Table25[[#All],[Bought]])</f>
        <v>91</v>
      </c>
      <c r="I652">
        <f>SUMIF(Table25[[#All],[Assets]],Table25[[#This Row],[Assets]],Table25[[#All],[Bought Amount]])</f>
        <v>4262.41</v>
      </c>
      <c r="J652" s="88">
        <f>IF(Table25[[#This Row],[Number of stocks]]&lt;0,Table25[[#This Row],[Number of stocks]],0)</f>
        <v>-50</v>
      </c>
      <c r="K652" s="5">
        <f>Table25[[#This Row],[Sold]]*Table25[[#This Row],[Price]]</f>
        <v>-2764</v>
      </c>
      <c r="L652" s="8">
        <f>ABS(SUMIF(Table25[[#All],[Assets]],Table25[[#This Row],[Assets]],Table25[[#All],[Sold]]))</f>
        <v>91</v>
      </c>
      <c r="M652" s="5">
        <f>ABS(SUMIF(Table25[[#All],[Assets]],Table25[[#This Row],[Assets]],Table25[[#All],[Sold Amount]]))</f>
        <v>4467.7199999999993</v>
      </c>
      <c r="N652" s="5">
        <f>IFERROR(Table25[[#This Row],[Total sold amount]]/Table25[[#This Row],[Total Sold number of stocks]],"")</f>
        <v>49.09582417582417</v>
      </c>
      <c r="O652" s="4">
        <f>IFERROR(Table25[[#This Row],[Total Amount bought]]/Table25[[#This Row],[Total number bought]],"")</f>
        <v>46.839670329670327</v>
      </c>
      <c r="P652" s="4">
        <f>IFERROR((Table25[[#This Row],[Average sell price]]-Table25[[#This Row],[Average buy price]])*Table25[[#This Row],[Total Sold number of stocks]],0)</f>
        <v>205.30999999999975</v>
      </c>
      <c r="Q652" s="85">
        <f>SUMIF(Table25[[#All],[Assets]],Table25[[#This Row],[Assets]],Table25[[#All],[Number of stocks]])</f>
        <v>0</v>
      </c>
    </row>
    <row r="653" spans="1:17">
      <c r="A653" t="e" vm="116">
        <v>#VALUE!</v>
      </c>
      <c r="B653" s="2">
        <v>45642</v>
      </c>
      <c r="C653" t="str" cm="1">
        <f t="array" aca="1" ref="C653" ca="1">_FV(A653,"Ticker symbol",TRUE)</f>
        <v>MPC</v>
      </c>
      <c r="D653" s="4">
        <v>143.79</v>
      </c>
      <c r="E653" s="50">
        <v>-9</v>
      </c>
      <c r="F653" s="81">
        <f>IF(Table25[[#This Row],[Number of stocks]]&gt;0,Table25[[#This Row],[Number of stocks]],0)</f>
        <v>0</v>
      </c>
      <c r="G653" s="73">
        <f>Table25[[#This Row],[Bought]]*Table25[[#This Row],[Price]]</f>
        <v>0</v>
      </c>
      <c r="H653">
        <f>SUMIF(Table25[[#All],[Assets]],Table25[[#This Row],[Assets]],Table25[[#All],[Bought]])</f>
        <v>23</v>
      </c>
      <c r="I653">
        <f>SUMIF(Table25[[#All],[Assets]],Table25[[#This Row],[Assets]],Table25[[#All],[Bought Amount]])</f>
        <v>3826.89</v>
      </c>
      <c r="J653" s="88">
        <f>IF(Table25[[#This Row],[Number of stocks]]&lt;0,Table25[[#This Row],[Number of stocks]],0)</f>
        <v>-9</v>
      </c>
      <c r="K653" s="5">
        <f>Table25[[#This Row],[Sold]]*Table25[[#This Row],[Price]]</f>
        <v>-1294.1099999999999</v>
      </c>
      <c r="L653" s="8">
        <f>ABS(SUMIF(Table25[[#All],[Assets]],Table25[[#This Row],[Assets]],Table25[[#All],[Sold]]))</f>
        <v>23</v>
      </c>
      <c r="M653" s="5">
        <f>ABS(SUMIF(Table25[[#All],[Assets]],Table25[[#This Row],[Assets]],Table25[[#All],[Sold Amount]]))</f>
        <v>3605.23</v>
      </c>
      <c r="N653" s="5">
        <f>IFERROR(Table25[[#This Row],[Total sold amount]]/Table25[[#This Row],[Total Sold number of stocks]],"")</f>
        <v>156.74913043478261</v>
      </c>
      <c r="O653" s="4">
        <f>IFERROR(Table25[[#This Row],[Total Amount bought]]/Table25[[#This Row],[Total number bought]],"")</f>
        <v>166.38652173913042</v>
      </c>
      <c r="P653" s="4">
        <f>IFERROR((Table25[[#This Row],[Average sell price]]-Table25[[#This Row],[Average buy price]])*Table25[[#This Row],[Total Sold number of stocks]],0)</f>
        <v>-221.65999999999943</v>
      </c>
      <c r="Q653" s="85">
        <f>SUMIF(Table25[[#All],[Assets]],Table25[[#This Row],[Assets]],Table25[[#All],[Number of stocks]])</f>
        <v>0</v>
      </c>
    </row>
    <row r="654" spans="1:17">
      <c r="A654" t="e" vm="154">
        <v>#VALUE!</v>
      </c>
      <c r="B654" s="2">
        <v>45636</v>
      </c>
      <c r="C654" t="str" cm="1">
        <f t="array" aca="1" ref="C654" ca="1">_FV(A654,"Ticker symbol",TRUE)</f>
        <v>B</v>
      </c>
      <c r="D654" s="4">
        <v>17.22</v>
      </c>
      <c r="E654" s="50">
        <v>-50</v>
      </c>
      <c r="F654" s="81">
        <f>IF(Table25[[#This Row],[Number of stocks]]&gt;0,Table25[[#This Row],[Number of stocks]],0)</f>
        <v>0</v>
      </c>
      <c r="G654" s="73">
        <f>Table25[[#This Row],[Bought]]*Table25[[#This Row],[Price]]</f>
        <v>0</v>
      </c>
      <c r="H654">
        <f>SUMIF(Table25[[#All],[Assets]],Table25[[#This Row],[Assets]],Table25[[#All],[Bought]])</f>
        <v>100</v>
      </c>
      <c r="I654">
        <f>SUMIF(Table25[[#All],[Assets]],Table25[[#This Row],[Assets]],Table25[[#All],[Bought Amount]])</f>
        <v>2006.5</v>
      </c>
      <c r="J654" s="88">
        <f>IF(Table25[[#This Row],[Number of stocks]]&lt;0,Table25[[#This Row],[Number of stocks]],0)</f>
        <v>-50</v>
      </c>
      <c r="K654" s="5">
        <f>Table25[[#This Row],[Sold]]*Table25[[#This Row],[Price]]</f>
        <v>-861</v>
      </c>
      <c r="L654" s="8">
        <f>ABS(SUMIF(Table25[[#All],[Assets]],Table25[[#This Row],[Assets]],Table25[[#All],[Sold]]))</f>
        <v>100</v>
      </c>
      <c r="M654" s="5">
        <f>ABS(SUMIF(Table25[[#All],[Assets]],Table25[[#This Row],[Assets]],Table25[[#All],[Sold Amount]]))</f>
        <v>1768.5</v>
      </c>
      <c r="N654" s="5">
        <f>IFERROR(Table25[[#This Row],[Total sold amount]]/Table25[[#This Row],[Total Sold number of stocks]],"")</f>
        <v>17.684999999999999</v>
      </c>
      <c r="O654" s="4">
        <f>IFERROR(Table25[[#This Row],[Total Amount bought]]/Table25[[#This Row],[Total number bought]],"")</f>
        <v>20.065000000000001</v>
      </c>
      <c r="P654" s="4">
        <f>IFERROR((Table25[[#This Row],[Average sell price]]-Table25[[#This Row],[Average buy price]])*Table25[[#This Row],[Total Sold number of stocks]],0)</f>
        <v>-238.00000000000026</v>
      </c>
      <c r="Q654" s="85">
        <f>SUMIF(Table25[[#All],[Assets]],Table25[[#This Row],[Assets]],Table25[[#All],[Number of stocks]])</f>
        <v>0</v>
      </c>
    </row>
    <row r="655" spans="1:17">
      <c r="A655" t="e" vm="183">
        <v>#VALUE!</v>
      </c>
      <c r="B655" s="2">
        <v>45636</v>
      </c>
      <c r="C655" t="str" cm="1">
        <f t="array" aca="1" ref="C655" ca="1">_FV(A655,"Ticker symbol",TRUE)</f>
        <v>ESOA</v>
      </c>
      <c r="D655" s="4">
        <v>16.07</v>
      </c>
      <c r="E655" s="50">
        <v>80</v>
      </c>
      <c r="F655" s="81">
        <f>IF(Table25[[#This Row],[Number of stocks]]&gt;0,Table25[[#This Row],[Number of stocks]],0)</f>
        <v>80</v>
      </c>
      <c r="G655" s="73">
        <f>Table25[[#This Row],[Bought]]*Table25[[#This Row],[Price]]</f>
        <v>1285.5999999999999</v>
      </c>
      <c r="H655">
        <f>SUMIF(Table25[[#All],[Assets]],Table25[[#This Row],[Assets]],Table25[[#All],[Bought]])</f>
        <v>1832</v>
      </c>
      <c r="I655">
        <f>SUMIF(Table25[[#All],[Assets]],Table25[[#This Row],[Assets]],Table25[[#All],[Bought Amount]])</f>
        <v>18152.78</v>
      </c>
      <c r="J655" s="88">
        <f>IF(Table25[[#This Row],[Number of stocks]]&lt;0,Table25[[#This Row],[Number of stocks]],0)</f>
        <v>0</v>
      </c>
      <c r="K655" s="5">
        <f>Table25[[#This Row],[Sold]]*Table25[[#This Row],[Price]]</f>
        <v>0</v>
      </c>
      <c r="L655" s="8">
        <f>ABS(SUMIF(Table25[[#All],[Assets]],Table25[[#This Row],[Assets]],Table25[[#All],[Sold]]))</f>
        <v>1568</v>
      </c>
      <c r="M655" s="5">
        <f>ABS(SUMIF(Table25[[#All],[Assets]],Table25[[#This Row],[Assets]],Table25[[#All],[Sold Amount]]))</f>
        <v>14668</v>
      </c>
      <c r="N655" s="5">
        <f>IFERROR(Table25[[#This Row],[Total sold amount]]/Table25[[#This Row],[Total Sold number of stocks]],"")</f>
        <v>9.3545918367346932</v>
      </c>
      <c r="O655" s="4">
        <f>IFERROR(Table25[[#This Row],[Total Amount bought]]/Table25[[#This Row],[Total number bought]],"")</f>
        <v>9.9087227074235802</v>
      </c>
      <c r="P655" s="4">
        <f>IFERROR((Table25[[#This Row],[Average sell price]]-Table25[[#This Row],[Average buy price]])*Table25[[#This Row],[Total Sold number of stocks]],0)</f>
        <v>-868.87720524017482</v>
      </c>
      <c r="Q655" s="85">
        <f>SUMIF(Table25[[#All],[Assets]],Table25[[#This Row],[Assets]],Table25[[#All],[Number of stocks]])</f>
        <v>264</v>
      </c>
    </row>
    <row r="656" spans="1:17">
      <c r="A656" t="e" vm="307">
        <v>#VALUE!</v>
      </c>
      <c r="B656" s="2">
        <v>45636</v>
      </c>
      <c r="C656" t="str" cm="1">
        <f t="array" aca="1" ref="C656" ca="1">_FV(A656,"Ticker symbol",TRUE)</f>
        <v>LHX</v>
      </c>
      <c r="D656" s="4">
        <v>231.81</v>
      </c>
      <c r="E656" s="50">
        <v>-4</v>
      </c>
      <c r="F656" s="81">
        <f>IF(Table25[[#This Row],[Number of stocks]]&gt;0,Table25[[#This Row],[Number of stocks]],0)</f>
        <v>0</v>
      </c>
      <c r="G656" s="73">
        <f>Table25[[#This Row],[Bought]]*Table25[[#This Row],[Price]]</f>
        <v>0</v>
      </c>
      <c r="H656">
        <f>SUMIF(Table25[[#All],[Assets]],Table25[[#This Row],[Assets]],Table25[[#All],[Bought]])</f>
        <v>4</v>
      </c>
      <c r="I656">
        <f>SUMIF(Table25[[#All],[Assets]],Table25[[#This Row],[Assets]],Table25[[#All],[Bought Amount]])</f>
        <v>1005.28</v>
      </c>
      <c r="J656" s="88">
        <f>IF(Table25[[#This Row],[Number of stocks]]&lt;0,Table25[[#This Row],[Number of stocks]],0)</f>
        <v>-4</v>
      </c>
      <c r="K656" s="5">
        <f>Table25[[#This Row],[Sold]]*Table25[[#This Row],[Price]]</f>
        <v>-927.24</v>
      </c>
      <c r="L656" s="8">
        <f>ABS(SUMIF(Table25[[#All],[Assets]],Table25[[#This Row],[Assets]],Table25[[#All],[Sold]]))</f>
        <v>4</v>
      </c>
      <c r="M656" s="5">
        <f>ABS(SUMIF(Table25[[#All],[Assets]],Table25[[#This Row],[Assets]],Table25[[#All],[Sold Amount]]))</f>
        <v>927.24</v>
      </c>
      <c r="N656" s="5">
        <f>IFERROR(Table25[[#This Row],[Total sold amount]]/Table25[[#This Row],[Total Sold number of stocks]],"")</f>
        <v>231.81</v>
      </c>
      <c r="O656" s="4">
        <f>IFERROR(Table25[[#This Row],[Total Amount bought]]/Table25[[#This Row],[Total number bought]],"")</f>
        <v>251.32</v>
      </c>
      <c r="P656" s="4">
        <f>IFERROR((Table25[[#This Row],[Average sell price]]-Table25[[#This Row],[Average buy price]])*Table25[[#This Row],[Total Sold number of stocks]],0)</f>
        <v>-78.039999999999964</v>
      </c>
      <c r="Q656" s="85">
        <f>SUMIF(Table25[[#All],[Assets]],Table25[[#This Row],[Assets]],Table25[[#All],[Number of stocks]])</f>
        <v>0</v>
      </c>
    </row>
    <row r="657" spans="1:17">
      <c r="A657" t="e" vm="71">
        <v>#VALUE!</v>
      </c>
      <c r="B657" s="2">
        <v>45636</v>
      </c>
      <c r="C657" t="str" cm="1">
        <f t="array" aca="1" ref="C657" ca="1">_FV(A657,"Ticker symbol",TRUE)</f>
        <v>TKNO</v>
      </c>
      <c r="D657" s="4">
        <v>8.1199999999999992</v>
      </c>
      <c r="E657" s="50">
        <v>100</v>
      </c>
      <c r="F657" s="81">
        <f>IF(Table25[[#This Row],[Number of stocks]]&gt;0,Table25[[#This Row],[Number of stocks]],0)</f>
        <v>100</v>
      </c>
      <c r="G657" s="73">
        <f>Table25[[#This Row],[Bought]]*Table25[[#This Row],[Price]]</f>
        <v>811.99999999999989</v>
      </c>
      <c r="H657">
        <f>SUMIF(Table25[[#All],[Assets]],Table25[[#This Row],[Assets]],Table25[[#All],[Bought]])</f>
        <v>2166.0267990000002</v>
      </c>
      <c r="I657">
        <f>SUMIF(Table25[[#All],[Assets]],Table25[[#This Row],[Assets]],Table25[[#All],[Bought Amount]])</f>
        <v>13370.91512648</v>
      </c>
      <c r="J657" s="88">
        <f>IF(Table25[[#This Row],[Number of stocks]]&lt;0,Table25[[#This Row],[Number of stocks]],0)</f>
        <v>0</v>
      </c>
      <c r="K657" s="5">
        <f>Table25[[#This Row],[Sold]]*Table25[[#This Row],[Price]]</f>
        <v>0</v>
      </c>
      <c r="L657" s="8">
        <f>ABS(SUMIF(Table25[[#All],[Assets]],Table25[[#This Row],[Assets]],Table25[[#All],[Sold]]))</f>
        <v>2083</v>
      </c>
      <c r="M657" s="5">
        <f>ABS(SUMIF(Table25[[#All],[Assets]],Table25[[#This Row],[Assets]],Table25[[#All],[Sold Amount]]))</f>
        <v>11153.28</v>
      </c>
      <c r="N657" s="5">
        <f>IFERROR(Table25[[#This Row],[Total sold amount]]/Table25[[#This Row],[Total Sold number of stocks]],"")</f>
        <v>5.3544311089774368</v>
      </c>
      <c r="O657" s="4">
        <f>IFERROR(Table25[[#This Row],[Total Amount bought]]/Table25[[#This Row],[Total number bought]],"")</f>
        <v>6.1730146333614213</v>
      </c>
      <c r="P657" s="4">
        <f>IFERROR((Table25[[#This Row],[Average sell price]]-Table25[[#This Row],[Average buy price]])*Table25[[#This Row],[Total Sold number of stocks]],0)</f>
        <v>-1705.1094812918398</v>
      </c>
      <c r="Q657" s="85">
        <f>SUMIF(Table25[[#All],[Assets]],Table25[[#This Row],[Assets]],Table25[[#All],[Number of stocks]])</f>
        <v>83.026798999999983</v>
      </c>
    </row>
    <row r="658" spans="1:17">
      <c r="A658" t="e" vm="54">
        <v>#VALUE!</v>
      </c>
      <c r="B658" s="2">
        <v>45636</v>
      </c>
      <c r="C658" t="str" cm="1">
        <f t="array" aca="1" ref="C658" ca="1">_FV(A658,"Ticker symbol",TRUE)</f>
        <v>AR</v>
      </c>
      <c r="D658" s="4">
        <v>32.270000000000003</v>
      </c>
      <c r="E658" s="50">
        <v>-40</v>
      </c>
      <c r="F658" s="81">
        <f>IF(Table25[[#This Row],[Number of stocks]]&gt;0,Table25[[#This Row],[Number of stocks]],0)</f>
        <v>0</v>
      </c>
      <c r="G658" s="73">
        <f>Table25[[#This Row],[Bought]]*Table25[[#This Row],[Price]]</f>
        <v>0</v>
      </c>
      <c r="H658">
        <f>SUMIF(Table25[[#All],[Assets]],Table25[[#This Row],[Assets]],Table25[[#All],[Bought]])</f>
        <v>210</v>
      </c>
      <c r="I658">
        <f>SUMIF(Table25[[#All],[Assets]],Table25[[#This Row],[Assets]],Table25[[#All],[Bought Amount]])</f>
        <v>6833.5000000000009</v>
      </c>
      <c r="J658" s="88">
        <f>IF(Table25[[#This Row],[Number of stocks]]&lt;0,Table25[[#This Row],[Number of stocks]],0)</f>
        <v>-40</v>
      </c>
      <c r="K658" s="5">
        <f>Table25[[#This Row],[Sold]]*Table25[[#This Row],[Price]]</f>
        <v>-1290.8000000000002</v>
      </c>
      <c r="L658" s="8">
        <f>ABS(SUMIF(Table25[[#All],[Assets]],Table25[[#This Row],[Assets]],Table25[[#All],[Sold]]))</f>
        <v>180</v>
      </c>
      <c r="M658" s="5">
        <f>ABS(SUMIF(Table25[[#All],[Assets]],Table25[[#This Row],[Assets]],Table25[[#All],[Sold Amount]]))</f>
        <v>6156.15</v>
      </c>
      <c r="N658" s="5">
        <f>IFERROR(Table25[[#This Row],[Total sold amount]]/Table25[[#This Row],[Total Sold number of stocks]],"")</f>
        <v>34.200833333333328</v>
      </c>
      <c r="O658" s="4">
        <f>IFERROR(Table25[[#This Row],[Total Amount bought]]/Table25[[#This Row],[Total number bought]],"")</f>
        <v>32.540476190476198</v>
      </c>
      <c r="P658" s="4">
        <f>IFERROR((Table25[[#This Row],[Average sell price]]-Table25[[#This Row],[Average buy price]])*Table25[[#This Row],[Total Sold number of stocks]],0)</f>
        <v>298.86428571428337</v>
      </c>
      <c r="Q658" s="85">
        <f>SUMIF(Table25[[#All],[Assets]],Table25[[#This Row],[Assets]],Table25[[#All],[Number of stocks]])</f>
        <v>30</v>
      </c>
    </row>
    <row r="659" spans="1:17">
      <c r="A659" t="e" vm="34">
        <v>#VALUE!</v>
      </c>
      <c r="B659" s="2">
        <v>45639</v>
      </c>
      <c r="C659" t="str" cm="1">
        <f t="array" aca="1" ref="C659" ca="1">_FV(A659,"Ticker symbol",TRUE)</f>
        <v>TSM</v>
      </c>
      <c r="D659" s="4">
        <v>201.12</v>
      </c>
      <c r="E659" s="50">
        <v>5</v>
      </c>
      <c r="F659" s="81">
        <f>IF(Table25[[#This Row],[Number of stocks]]&gt;0,Table25[[#This Row],[Number of stocks]],0)</f>
        <v>5</v>
      </c>
      <c r="G659" s="73">
        <f>Table25[[#This Row],[Bought]]*Table25[[#This Row],[Price]]</f>
        <v>1005.6</v>
      </c>
      <c r="H659">
        <f>SUMIF(Table25[[#All],[Assets]],Table25[[#This Row],[Assets]],Table25[[#All],[Bought]])</f>
        <v>45</v>
      </c>
      <c r="I659">
        <f>SUMIF(Table25[[#All],[Assets]],Table25[[#This Row],[Assets]],Table25[[#All],[Bought Amount]])</f>
        <v>7503.4800000000005</v>
      </c>
      <c r="J659" s="88">
        <f>IF(Table25[[#This Row],[Number of stocks]]&lt;0,Table25[[#This Row],[Number of stocks]],0)</f>
        <v>0</v>
      </c>
      <c r="K659" s="5">
        <f>Table25[[#This Row],[Sold]]*Table25[[#This Row],[Price]]</f>
        <v>0</v>
      </c>
      <c r="L659" s="8">
        <f>ABS(SUMIF(Table25[[#All],[Assets]],Table25[[#This Row],[Assets]],Table25[[#All],[Sold]]))</f>
        <v>44</v>
      </c>
      <c r="M659" s="5">
        <f>ABS(SUMIF(Table25[[#All],[Assets]],Table25[[#This Row],[Assets]],Table25[[#All],[Sold Amount]]))</f>
        <v>7951.28</v>
      </c>
      <c r="N659" s="5">
        <f>IFERROR(Table25[[#This Row],[Total sold amount]]/Table25[[#This Row],[Total Sold number of stocks]],"")</f>
        <v>180.7109090909091</v>
      </c>
      <c r="O659" s="4">
        <f>IFERROR(Table25[[#This Row],[Total Amount bought]]/Table25[[#This Row],[Total number bought]],"")</f>
        <v>166.744</v>
      </c>
      <c r="P659" s="4">
        <f>IFERROR((Table25[[#This Row],[Average sell price]]-Table25[[#This Row],[Average buy price]])*Table25[[#This Row],[Total Sold number of stocks]],0)</f>
        <v>614.54400000000032</v>
      </c>
      <c r="Q659" s="85">
        <f>SUMIF(Table25[[#All],[Assets]],Table25[[#This Row],[Assets]],Table25[[#All],[Number of stocks]])</f>
        <v>1</v>
      </c>
    </row>
    <row r="660" spans="1:17">
      <c r="A660" t="e" vm="72">
        <v>#VALUE!</v>
      </c>
      <c r="B660" s="2">
        <v>45636</v>
      </c>
      <c r="C660" t="str" cm="1">
        <f t="array" aca="1" ref="C660" ca="1">_FV(A660,"Ticker symbol",TRUE)</f>
        <v>AIRS</v>
      </c>
      <c r="D660" s="4">
        <v>6.63</v>
      </c>
      <c r="E660" s="50">
        <v>300</v>
      </c>
      <c r="F660" s="81">
        <f>IF(Table25[[#This Row],[Number of stocks]]&gt;0,Table25[[#This Row],[Number of stocks]],0)</f>
        <v>300</v>
      </c>
      <c r="G660" s="73">
        <f>Table25[[#This Row],[Bought]]*Table25[[#This Row],[Price]]</f>
        <v>1989</v>
      </c>
      <c r="H660">
        <f>SUMIF(Table25[[#All],[Assets]],Table25[[#This Row],[Assets]],Table25[[#All],[Bought]])</f>
        <v>2980</v>
      </c>
      <c r="I660">
        <f>SUMIF(Table25[[#All],[Assets]],Table25[[#This Row],[Assets]],Table25[[#All],[Bought Amount]])</f>
        <v>14267.900000000001</v>
      </c>
      <c r="J660" s="88">
        <f>IF(Table25[[#This Row],[Number of stocks]]&lt;0,Table25[[#This Row],[Number of stocks]],0)</f>
        <v>0</v>
      </c>
      <c r="K660" s="5">
        <f>Table25[[#This Row],[Sold]]*Table25[[#This Row],[Price]]</f>
        <v>0</v>
      </c>
      <c r="L660" s="8">
        <f>ABS(SUMIF(Table25[[#All],[Assets]],Table25[[#This Row],[Assets]],Table25[[#All],[Sold]]))</f>
        <v>2360</v>
      </c>
      <c r="M660" s="5">
        <f>ABS(SUMIF(Table25[[#All],[Assets]],Table25[[#This Row],[Assets]],Table25[[#All],[Sold Amount]]))</f>
        <v>7796.6</v>
      </c>
      <c r="N660" s="5">
        <f>IFERROR(Table25[[#This Row],[Total sold amount]]/Table25[[#This Row],[Total Sold number of stocks]],"")</f>
        <v>3.3036440677966104</v>
      </c>
      <c r="O660" s="4">
        <f>IFERROR(Table25[[#This Row],[Total Amount bought]]/Table25[[#This Row],[Total number bought]],"")</f>
        <v>4.7878859060402688</v>
      </c>
      <c r="P660" s="4">
        <f>IFERROR((Table25[[#This Row],[Average sell price]]-Table25[[#This Row],[Average buy price]])*Table25[[#This Row],[Total Sold number of stocks]],0)</f>
        <v>-3502.8107382550338</v>
      </c>
      <c r="Q660" s="85">
        <f>SUMIF(Table25[[#All],[Assets]],Table25[[#This Row],[Assets]],Table25[[#All],[Number of stocks]])</f>
        <v>620</v>
      </c>
    </row>
    <row r="661" spans="1:17">
      <c r="A661" t="e" vm="150">
        <v>#VALUE!</v>
      </c>
      <c r="B661" s="2">
        <v>45636</v>
      </c>
      <c r="C661" t="str" cm="1">
        <f t="array" aca="1" ref="C661" ca="1">_FV(A661,"Ticker symbol",TRUE)</f>
        <v>CIEN</v>
      </c>
      <c r="D661" s="4">
        <v>89.81</v>
      </c>
      <c r="E661" s="50">
        <v>-6</v>
      </c>
      <c r="F661" s="81">
        <f>IF(Table25[[#This Row],[Number of stocks]]&gt;0,Table25[[#This Row],[Number of stocks]],0)</f>
        <v>0</v>
      </c>
      <c r="G661" s="73">
        <f>Table25[[#This Row],[Bought]]*Table25[[#This Row],[Price]]</f>
        <v>0</v>
      </c>
      <c r="H661">
        <f>SUMIF(Table25[[#All],[Assets]],Table25[[#This Row],[Assets]],Table25[[#All],[Bought]])</f>
        <v>12</v>
      </c>
      <c r="I661">
        <f>SUMIF(Table25[[#All],[Assets]],Table25[[#This Row],[Assets]],Table25[[#All],[Bought Amount]])</f>
        <v>727.5</v>
      </c>
      <c r="J661" s="88">
        <f>IF(Table25[[#This Row],[Number of stocks]]&lt;0,Table25[[#This Row],[Number of stocks]],0)</f>
        <v>-6</v>
      </c>
      <c r="K661" s="5">
        <f>Table25[[#This Row],[Sold]]*Table25[[#This Row],[Price]]</f>
        <v>-538.86</v>
      </c>
      <c r="L661" s="8">
        <f>ABS(SUMIF(Table25[[#All],[Assets]],Table25[[#This Row],[Assets]],Table25[[#All],[Sold]]))</f>
        <v>12</v>
      </c>
      <c r="M661" s="5">
        <f>ABS(SUMIF(Table25[[#All],[Assets]],Table25[[#This Row],[Assets]],Table25[[#All],[Sold Amount]]))</f>
        <v>1017.96</v>
      </c>
      <c r="N661" s="5">
        <f>IFERROR(Table25[[#This Row],[Total sold amount]]/Table25[[#This Row],[Total Sold number of stocks]],"")</f>
        <v>84.83</v>
      </c>
      <c r="O661" s="4">
        <f>IFERROR(Table25[[#This Row],[Total Amount bought]]/Table25[[#This Row],[Total number bought]],"")</f>
        <v>60.625</v>
      </c>
      <c r="P661" s="4">
        <f>IFERROR((Table25[[#This Row],[Average sell price]]-Table25[[#This Row],[Average buy price]])*Table25[[#This Row],[Total Sold number of stocks]],0)</f>
        <v>290.45999999999998</v>
      </c>
      <c r="Q661" s="85">
        <f>SUMIF(Table25[[#All],[Assets]],Table25[[#This Row],[Assets]],Table25[[#All],[Number of stocks]])</f>
        <v>0</v>
      </c>
    </row>
    <row r="662" spans="1:17">
      <c r="A662" t="e" vm="39">
        <v>#VALUE!</v>
      </c>
      <c r="B662" s="2">
        <v>45642</v>
      </c>
      <c r="C662" t="str" cm="1">
        <f t="array" aca="1" ref="C662" ca="1">_FV(A662,"Ticker symbol",TRUE)</f>
        <v>AMSC</v>
      </c>
      <c r="D662" s="4">
        <v>26.47</v>
      </c>
      <c r="E662" s="50">
        <v>60</v>
      </c>
      <c r="F662" s="81">
        <f>IF(Table25[[#This Row],[Number of stocks]]&gt;0,Table25[[#This Row],[Number of stocks]],0)</f>
        <v>60</v>
      </c>
      <c r="G662" s="73">
        <f>Table25[[#This Row],[Bought]]*Table25[[#This Row],[Price]]</f>
        <v>1588.1999999999998</v>
      </c>
      <c r="H662">
        <f>SUMIF(Table25[[#All],[Assets]],Table25[[#This Row],[Assets]],Table25[[#All],[Bought]])</f>
        <v>812.4</v>
      </c>
      <c r="I662">
        <f>SUMIF(Table25[[#All],[Assets]],Table25[[#This Row],[Assets]],Table25[[#All],[Bought Amount]])</f>
        <v>24146.880000000001</v>
      </c>
      <c r="J662" s="88">
        <f>IF(Table25[[#This Row],[Number of stocks]]&lt;0,Table25[[#This Row],[Number of stocks]],0)</f>
        <v>0</v>
      </c>
      <c r="K662" s="5">
        <f>Table25[[#This Row],[Sold]]*Table25[[#This Row],[Price]]</f>
        <v>0</v>
      </c>
      <c r="L662" s="8">
        <f>ABS(SUMIF(Table25[[#All],[Assets]],Table25[[#This Row],[Assets]],Table25[[#All],[Sold]]))</f>
        <v>535</v>
      </c>
      <c r="M662" s="5">
        <f>ABS(SUMIF(Table25[[#All],[Assets]],Table25[[#This Row],[Assets]],Table25[[#All],[Sold Amount]]))</f>
        <v>14777.289999999999</v>
      </c>
      <c r="N662" s="5">
        <f>IFERROR(Table25[[#This Row],[Total sold amount]]/Table25[[#This Row],[Total Sold number of stocks]],"")</f>
        <v>27.621102803738317</v>
      </c>
      <c r="O662" s="4">
        <f>IFERROR(Table25[[#This Row],[Total Amount bought]]/Table25[[#This Row],[Total number bought]],"")</f>
        <v>29.722895125553915</v>
      </c>
      <c r="P662" s="4">
        <f>IFERROR((Table25[[#This Row],[Average sell price]]-Table25[[#This Row],[Average buy price]])*Table25[[#This Row],[Total Sold number of stocks]],0)</f>
        <v>-1124.4588921713448</v>
      </c>
      <c r="Q662" s="85">
        <f>SUMIF(Table25[[#All],[Assets]],Table25[[#This Row],[Assets]],Table25[[#All],[Number of stocks]])</f>
        <v>277.39999999999998</v>
      </c>
    </row>
    <row r="663" spans="1:17">
      <c r="A663" t="e" vm="83">
        <v>#VALUE!</v>
      </c>
      <c r="B663" s="2">
        <v>45652</v>
      </c>
      <c r="C663" t="str" cm="1">
        <f t="array" aca="1" ref="C663" ca="1">_FV(A663,"Ticker symbol",TRUE)</f>
        <v>FOA</v>
      </c>
      <c r="D663" s="4">
        <v>28.46</v>
      </c>
      <c r="E663" s="50">
        <v>14</v>
      </c>
      <c r="F663" s="81">
        <f>IF(Table25[[#This Row],[Number of stocks]]&gt;0,Table25[[#This Row],[Number of stocks]],0)</f>
        <v>14</v>
      </c>
      <c r="G663" s="73">
        <f>Table25[[#This Row],[Bought]]*Table25[[#This Row],[Price]]</f>
        <v>398.44</v>
      </c>
      <c r="H663">
        <f>SUMIF(Table25[[#All],[Assets]],Table25[[#This Row],[Assets]],Table25[[#All],[Bought]])</f>
        <v>203</v>
      </c>
      <c r="I663">
        <f>SUMIF(Table25[[#All],[Assets]],Table25[[#This Row],[Assets]],Table25[[#All],[Bought Amount]])</f>
        <v>4881.38</v>
      </c>
      <c r="J663" s="88">
        <f>IF(Table25[[#This Row],[Number of stocks]]&lt;0,Table25[[#This Row],[Number of stocks]],0)</f>
        <v>0</v>
      </c>
      <c r="K663" s="5">
        <f>Table25[[#This Row],[Sold]]*Table25[[#This Row],[Price]]</f>
        <v>0</v>
      </c>
      <c r="L663" s="8">
        <f>ABS(SUMIF(Table25[[#All],[Assets]],Table25[[#This Row],[Assets]],Table25[[#All],[Sold]]))</f>
        <v>203</v>
      </c>
      <c r="M663" s="5">
        <f>ABS(SUMIF(Table25[[#All],[Assets]],Table25[[#This Row],[Assets]],Table25[[#All],[Sold Amount]]))</f>
        <v>4534.54</v>
      </c>
      <c r="N663" s="5">
        <f>IFERROR(Table25[[#This Row],[Total sold amount]]/Table25[[#This Row],[Total Sold number of stocks]],"")</f>
        <v>22.337635467980295</v>
      </c>
      <c r="O663" s="4">
        <f>IFERROR(Table25[[#This Row],[Total Amount bought]]/Table25[[#This Row],[Total number bought]],"")</f>
        <v>24.046206896551723</v>
      </c>
      <c r="P663" s="4">
        <f>IFERROR((Table25[[#This Row],[Average sell price]]-Table25[[#This Row],[Average buy price]])*Table25[[#This Row],[Total Sold number of stocks]],0)</f>
        <v>-346.83999999999992</v>
      </c>
      <c r="Q663" s="85">
        <f>SUMIF(Table25[[#All],[Assets]],Table25[[#This Row],[Assets]],Table25[[#All],[Number of stocks]])</f>
        <v>0</v>
      </c>
    </row>
    <row r="664" spans="1:17">
      <c r="A664" t="e" vm="63">
        <v>#VALUE!</v>
      </c>
      <c r="B664" s="2">
        <v>45656</v>
      </c>
      <c r="C664" t="str" cm="1">
        <f t="array" aca="1" ref="C664" ca="1">_FV(A664,"Ticker symbol",TRUE)</f>
        <v>TSLA</v>
      </c>
      <c r="D664" s="4">
        <v>418.34</v>
      </c>
      <c r="E664" s="50">
        <v>-3</v>
      </c>
      <c r="F664" s="81">
        <f>IF(Table25[[#This Row],[Number of stocks]]&gt;0,Table25[[#This Row],[Number of stocks]],0)</f>
        <v>0</v>
      </c>
      <c r="G664" s="73">
        <f>Table25[[#This Row],[Bought]]*Table25[[#This Row],[Price]]</f>
        <v>0</v>
      </c>
      <c r="H664">
        <f>SUMIF(Table25[[#All],[Assets]],Table25[[#This Row],[Assets]],Table25[[#All],[Bought]])</f>
        <v>13</v>
      </c>
      <c r="I664">
        <f>SUMIF(Table25[[#All],[Assets]],Table25[[#This Row],[Assets]],Table25[[#All],[Bought Amount]])</f>
        <v>3484.85</v>
      </c>
      <c r="J664" s="88">
        <f>IF(Table25[[#This Row],[Number of stocks]]&lt;0,Table25[[#This Row],[Number of stocks]],0)</f>
        <v>-3</v>
      </c>
      <c r="K664" s="5">
        <f>Table25[[#This Row],[Sold]]*Table25[[#This Row],[Price]]</f>
        <v>-1255.02</v>
      </c>
      <c r="L664" s="8">
        <f>ABS(SUMIF(Table25[[#All],[Assets]],Table25[[#This Row],[Assets]],Table25[[#All],[Sold]]))</f>
        <v>13</v>
      </c>
      <c r="M664" s="5">
        <f>ABS(SUMIF(Table25[[#All],[Assets]],Table25[[#This Row],[Assets]],Table25[[#All],[Sold Amount]]))</f>
        <v>4240.6299999999992</v>
      </c>
      <c r="N664" s="5">
        <f>IFERROR(Table25[[#This Row],[Total sold amount]]/Table25[[#This Row],[Total Sold number of stocks]],"")</f>
        <v>326.20230769230761</v>
      </c>
      <c r="O664" s="4">
        <f>IFERROR(Table25[[#This Row],[Total Amount bought]]/Table25[[#This Row],[Total number bought]],"")</f>
        <v>268.06538461538463</v>
      </c>
      <c r="P664" s="4">
        <f>IFERROR((Table25[[#This Row],[Average sell price]]-Table25[[#This Row],[Average buy price]])*Table25[[#This Row],[Total Sold number of stocks]],0)</f>
        <v>755.77999999999884</v>
      </c>
      <c r="Q664" s="85">
        <f>SUMIF(Table25[[#All],[Assets]],Table25[[#This Row],[Assets]],Table25[[#All],[Number of stocks]])</f>
        <v>0</v>
      </c>
    </row>
    <row r="665" spans="1:17">
      <c r="A665" t="e" vm="478">
        <v>#VALUE!</v>
      </c>
      <c r="B665" s="2">
        <v>45656</v>
      </c>
      <c r="C665" t="str" cm="1">
        <f t="array" aca="1" ref="C665" ca="1">_FV(A665,"Ticker symbol",TRUE)</f>
        <v>TM</v>
      </c>
      <c r="D665" s="4">
        <v>195.82</v>
      </c>
      <c r="E665" s="50">
        <v>-2</v>
      </c>
      <c r="F665" s="81">
        <f>IF(Table25[[#This Row],[Number of stocks]]&gt;0,Table25[[#This Row],[Number of stocks]],0)</f>
        <v>0</v>
      </c>
      <c r="G665" s="73">
        <f>Table25[[#This Row],[Bought]]*Table25[[#This Row],[Price]]</f>
        <v>0</v>
      </c>
      <c r="H665">
        <f>SUMIF(Table25[[#All],[Assets]],Table25[[#This Row],[Assets]],Table25[[#All],[Bought]])</f>
        <v>7</v>
      </c>
      <c r="I665">
        <f>SUMIF(Table25[[#All],[Assets]],Table25[[#This Row],[Assets]],Table25[[#All],[Bought Amount]])</f>
        <v>1530.22</v>
      </c>
      <c r="J665" s="88">
        <f>IF(Table25[[#This Row],[Number of stocks]]&lt;0,Table25[[#This Row],[Number of stocks]],0)</f>
        <v>-2</v>
      </c>
      <c r="K665" s="5">
        <f>Table25[[#This Row],[Sold]]*Table25[[#This Row],[Price]]</f>
        <v>-391.64</v>
      </c>
      <c r="L665" s="8">
        <f>ABS(SUMIF(Table25[[#All],[Assets]],Table25[[#This Row],[Assets]],Table25[[#All],[Sold]]))</f>
        <v>7</v>
      </c>
      <c r="M665" s="5">
        <f>ABS(SUMIF(Table25[[#All],[Assets]],Table25[[#This Row],[Assets]],Table25[[#All],[Sold Amount]]))</f>
        <v>1262.1199999999999</v>
      </c>
      <c r="N665" s="5">
        <f>IFERROR(Table25[[#This Row],[Total sold amount]]/Table25[[#This Row],[Total Sold number of stocks]],"")</f>
        <v>180.30285714285714</v>
      </c>
      <c r="O665" s="4">
        <f>IFERROR(Table25[[#This Row],[Total Amount bought]]/Table25[[#This Row],[Total number bought]],"")</f>
        <v>218.60285714285715</v>
      </c>
      <c r="P665" s="4">
        <f>IFERROR((Table25[[#This Row],[Average sell price]]-Table25[[#This Row],[Average buy price]])*Table25[[#This Row],[Total Sold number of stocks]],0)</f>
        <v>-268.10000000000008</v>
      </c>
      <c r="Q665" s="85">
        <f>SUMIF(Table25[[#All],[Assets]],Table25[[#This Row],[Assets]],Table25[[#All],[Number of stocks]])</f>
        <v>0</v>
      </c>
    </row>
    <row r="666" spans="1:17">
      <c r="A666" t="e" vm="329">
        <v>#VALUE!</v>
      </c>
      <c r="B666" s="2">
        <v>45656</v>
      </c>
      <c r="C666" t="str" cm="1">
        <f t="array" aca="1" ref="C666" ca="1">_FV(A666,"Ticker symbol",TRUE)</f>
        <v>SDIG</v>
      </c>
      <c r="D666" s="4">
        <v>3.66</v>
      </c>
      <c r="E666" s="50">
        <v>-20</v>
      </c>
      <c r="F666" s="81">
        <f>IF(Table25[[#This Row],[Number of stocks]]&gt;0,Table25[[#This Row],[Number of stocks]],0)</f>
        <v>0</v>
      </c>
      <c r="G666" s="73">
        <f>Table25[[#This Row],[Bought]]*Table25[[#This Row],[Price]]</f>
        <v>0</v>
      </c>
      <c r="H666">
        <f>SUMIF(Table25[[#All],[Assets]],Table25[[#This Row],[Assets]],Table25[[#All],[Bought]])</f>
        <v>420</v>
      </c>
      <c r="I666">
        <f>SUMIF(Table25[[#All],[Assets]],Table25[[#This Row],[Assets]],Table25[[#All],[Bought Amount]])</f>
        <v>1650</v>
      </c>
      <c r="J666" s="88">
        <f>IF(Table25[[#This Row],[Number of stocks]]&lt;0,Table25[[#This Row],[Number of stocks]],0)</f>
        <v>-20</v>
      </c>
      <c r="K666" s="5">
        <f>Table25[[#This Row],[Sold]]*Table25[[#This Row],[Price]]</f>
        <v>-73.2</v>
      </c>
      <c r="L666" s="8">
        <f>ABS(SUMIF(Table25[[#All],[Assets]],Table25[[#This Row],[Assets]],Table25[[#All],[Sold]]))</f>
        <v>420</v>
      </c>
      <c r="M666" s="5">
        <f>ABS(SUMIF(Table25[[#All],[Assets]],Table25[[#This Row],[Assets]],Table25[[#All],[Sold Amount]]))</f>
        <v>2037.2</v>
      </c>
      <c r="N666" s="5">
        <f>IFERROR(Table25[[#This Row],[Total sold amount]]/Table25[[#This Row],[Total Sold number of stocks]],"")</f>
        <v>4.8504761904761908</v>
      </c>
      <c r="O666" s="4">
        <f>IFERROR(Table25[[#This Row],[Total Amount bought]]/Table25[[#This Row],[Total number bought]],"")</f>
        <v>3.9285714285714284</v>
      </c>
      <c r="P666" s="4">
        <f>IFERROR((Table25[[#This Row],[Average sell price]]-Table25[[#This Row],[Average buy price]])*Table25[[#This Row],[Total Sold number of stocks]],0)</f>
        <v>387.20000000000022</v>
      </c>
      <c r="Q666" s="85">
        <f>SUMIF(Table25[[#All],[Assets]],Table25[[#This Row],[Assets]],Table25[[#All],[Number of stocks]])</f>
        <v>0</v>
      </c>
    </row>
    <row r="667" spans="1:17">
      <c r="A667" t="e" vm="462">
        <v>#VALUE!</v>
      </c>
      <c r="B667" s="2">
        <v>45656</v>
      </c>
      <c r="C667" t="str" cm="1">
        <f t="array" aca="1" ref="C667" ca="1">_FV(A667,"Ticker symbol",TRUE)</f>
        <v>ENTG</v>
      </c>
      <c r="D667" s="4">
        <v>98.88</v>
      </c>
      <c r="E667" s="50">
        <v>-8</v>
      </c>
      <c r="F667" s="81">
        <f>IF(Table25[[#This Row],[Number of stocks]]&gt;0,Table25[[#This Row],[Number of stocks]],0)</f>
        <v>0</v>
      </c>
      <c r="G667" s="73">
        <f>Table25[[#This Row],[Bought]]*Table25[[#This Row],[Price]]</f>
        <v>0</v>
      </c>
      <c r="H667">
        <f>SUMIF(Table25[[#All],[Assets]],Table25[[#This Row],[Assets]],Table25[[#All],[Bought]])</f>
        <v>8</v>
      </c>
      <c r="I667">
        <f>SUMIF(Table25[[#All],[Assets]],Table25[[#This Row],[Assets]],Table25[[#All],[Bought Amount]])</f>
        <v>831.28</v>
      </c>
      <c r="J667" s="88">
        <f>IF(Table25[[#This Row],[Number of stocks]]&lt;0,Table25[[#This Row],[Number of stocks]],0)</f>
        <v>-8</v>
      </c>
      <c r="K667" s="5">
        <f>Table25[[#This Row],[Sold]]*Table25[[#This Row],[Price]]</f>
        <v>-791.04</v>
      </c>
      <c r="L667" s="8">
        <f>ABS(SUMIF(Table25[[#All],[Assets]],Table25[[#This Row],[Assets]],Table25[[#All],[Sold]]))</f>
        <v>8</v>
      </c>
      <c r="M667" s="5">
        <f>ABS(SUMIF(Table25[[#All],[Assets]],Table25[[#This Row],[Assets]],Table25[[#All],[Sold Amount]]))</f>
        <v>791.04</v>
      </c>
      <c r="N667" s="5">
        <f>IFERROR(Table25[[#This Row],[Total sold amount]]/Table25[[#This Row],[Total Sold number of stocks]],"")</f>
        <v>98.88</v>
      </c>
      <c r="O667" s="4">
        <f>IFERROR(Table25[[#This Row],[Total Amount bought]]/Table25[[#This Row],[Total number bought]],"")</f>
        <v>103.91</v>
      </c>
      <c r="P667" s="4">
        <f>IFERROR((Table25[[#This Row],[Average sell price]]-Table25[[#This Row],[Average buy price]])*Table25[[#This Row],[Total Sold number of stocks]],0)</f>
        <v>-40.240000000000009</v>
      </c>
      <c r="Q667" s="85">
        <f>SUMIF(Table25[[#All],[Assets]],Table25[[#This Row],[Assets]],Table25[[#All],[Number of stocks]])</f>
        <v>0</v>
      </c>
    </row>
    <row r="668" spans="1:17">
      <c r="A668" t="e" vm="54">
        <v>#VALUE!</v>
      </c>
      <c r="B668" s="2">
        <v>45656</v>
      </c>
      <c r="C668" t="str" cm="1">
        <f t="array" aca="1" ref="C668" ca="1">_FV(A668,"Ticker symbol",TRUE)</f>
        <v>AR</v>
      </c>
      <c r="D668" s="4">
        <v>35.700000000000003</v>
      </c>
      <c r="E668" s="50">
        <v>40</v>
      </c>
      <c r="F668" s="81">
        <f>IF(Table25[[#This Row],[Number of stocks]]&gt;0,Table25[[#This Row],[Number of stocks]],0)</f>
        <v>40</v>
      </c>
      <c r="G668" s="73">
        <f>Table25[[#This Row],[Bought]]*Table25[[#This Row],[Price]]</f>
        <v>1428</v>
      </c>
      <c r="H668">
        <f>SUMIF(Table25[[#All],[Assets]],Table25[[#This Row],[Assets]],Table25[[#All],[Bought]])</f>
        <v>210</v>
      </c>
      <c r="I668">
        <f>SUMIF(Table25[[#All],[Assets]],Table25[[#This Row],[Assets]],Table25[[#All],[Bought Amount]])</f>
        <v>6833.5000000000009</v>
      </c>
      <c r="J668" s="88">
        <f>IF(Table25[[#This Row],[Number of stocks]]&lt;0,Table25[[#This Row],[Number of stocks]],0)</f>
        <v>0</v>
      </c>
      <c r="K668" s="5">
        <f>Table25[[#This Row],[Sold]]*Table25[[#This Row],[Price]]</f>
        <v>0</v>
      </c>
      <c r="L668" s="8">
        <f>ABS(SUMIF(Table25[[#All],[Assets]],Table25[[#This Row],[Assets]],Table25[[#All],[Sold]]))</f>
        <v>180</v>
      </c>
      <c r="M668" s="5">
        <f>ABS(SUMIF(Table25[[#All],[Assets]],Table25[[#This Row],[Assets]],Table25[[#All],[Sold Amount]]))</f>
        <v>6156.15</v>
      </c>
      <c r="N668" s="5">
        <f>IFERROR(Table25[[#This Row],[Total sold amount]]/Table25[[#This Row],[Total Sold number of stocks]],"")</f>
        <v>34.200833333333328</v>
      </c>
      <c r="O668" s="4">
        <f>IFERROR(Table25[[#This Row],[Total Amount bought]]/Table25[[#This Row],[Total number bought]],"")</f>
        <v>32.540476190476198</v>
      </c>
      <c r="P668" s="4">
        <f>IFERROR((Table25[[#This Row],[Average sell price]]-Table25[[#This Row],[Average buy price]])*Table25[[#This Row],[Total Sold number of stocks]],0)</f>
        <v>298.86428571428337</v>
      </c>
      <c r="Q668" s="85">
        <f>SUMIF(Table25[[#All],[Assets]],Table25[[#This Row],[Assets]],Table25[[#All],[Number of stocks]])</f>
        <v>30</v>
      </c>
    </row>
    <row r="669" spans="1:17">
      <c r="A669" t="e" vm="55">
        <v>#VALUE!</v>
      </c>
      <c r="B669" s="2">
        <v>45656</v>
      </c>
      <c r="C669" t="str" cm="1">
        <f t="array" aca="1" ref="C669" ca="1">_FV(A669,"Ticker symbol",TRUE)</f>
        <v>RRC</v>
      </c>
      <c r="D669" s="4">
        <v>36.57</v>
      </c>
      <c r="E669" s="50">
        <v>40</v>
      </c>
      <c r="F669" s="81">
        <f>IF(Table25[[#This Row],[Number of stocks]]&gt;0,Table25[[#This Row],[Number of stocks]],0)</f>
        <v>40</v>
      </c>
      <c r="G669" s="73">
        <f>Table25[[#This Row],[Bought]]*Table25[[#This Row],[Price]]</f>
        <v>1462.8</v>
      </c>
      <c r="H669">
        <f>SUMIF(Table25[[#All],[Assets]],Table25[[#This Row],[Assets]],Table25[[#All],[Bought]])</f>
        <v>40</v>
      </c>
      <c r="I669">
        <f>SUMIF(Table25[[#All],[Assets]],Table25[[#This Row],[Assets]],Table25[[#All],[Bought Amount]])</f>
        <v>1462.8</v>
      </c>
      <c r="J669" s="88">
        <f>IF(Table25[[#This Row],[Number of stocks]]&lt;0,Table25[[#This Row],[Number of stocks]],0)</f>
        <v>0</v>
      </c>
      <c r="K669" s="5">
        <f>Table25[[#This Row],[Sold]]*Table25[[#This Row],[Price]]</f>
        <v>0</v>
      </c>
      <c r="L669" s="8">
        <f>ABS(SUMIF(Table25[[#All],[Assets]],Table25[[#This Row],[Assets]],Table25[[#All],[Sold]]))</f>
        <v>40</v>
      </c>
      <c r="M669" s="5">
        <f>ABS(SUMIF(Table25[[#All],[Assets]],Table25[[#This Row],[Assets]],Table25[[#All],[Sold Amount]]))</f>
        <v>1549.6000000000001</v>
      </c>
      <c r="N669" s="5">
        <f>IFERROR(Table25[[#This Row],[Total sold amount]]/Table25[[#This Row],[Total Sold number of stocks]],"")</f>
        <v>38.74</v>
      </c>
      <c r="O669" s="4">
        <f>IFERROR(Table25[[#This Row],[Total Amount bought]]/Table25[[#This Row],[Total number bought]],"")</f>
        <v>36.57</v>
      </c>
      <c r="P669" s="4">
        <f>IFERROR((Table25[[#This Row],[Average sell price]]-Table25[[#This Row],[Average buy price]])*Table25[[#This Row],[Total Sold number of stocks]],0)</f>
        <v>86.800000000000068</v>
      </c>
      <c r="Q669" s="85">
        <f>SUMIF(Table25[[#All],[Assets]],Table25[[#This Row],[Assets]],Table25[[#All],[Number of stocks]])</f>
        <v>0</v>
      </c>
    </row>
    <row r="670" spans="1:17">
      <c r="A670" t="e" vm="39">
        <v>#VALUE!</v>
      </c>
      <c r="B670" s="2">
        <v>45656</v>
      </c>
      <c r="C670" t="str" cm="1">
        <f t="array" aca="1" ref="C670" ca="1">_FV(A670,"Ticker symbol",TRUE)</f>
        <v>AMSC</v>
      </c>
      <c r="D670" s="4">
        <v>24.75</v>
      </c>
      <c r="E670" s="50">
        <v>12</v>
      </c>
      <c r="F670" s="81">
        <f>IF(Table25[[#This Row],[Number of stocks]]&gt;0,Table25[[#This Row],[Number of stocks]],0)</f>
        <v>12</v>
      </c>
      <c r="G670" s="73">
        <f>Table25[[#This Row],[Bought]]*Table25[[#This Row],[Price]]</f>
        <v>297</v>
      </c>
      <c r="H670">
        <f>SUMIF(Table25[[#All],[Assets]],Table25[[#This Row],[Assets]],Table25[[#All],[Bought]])</f>
        <v>812.4</v>
      </c>
      <c r="I670">
        <f>SUMIF(Table25[[#All],[Assets]],Table25[[#This Row],[Assets]],Table25[[#All],[Bought Amount]])</f>
        <v>24146.880000000001</v>
      </c>
      <c r="J670" s="88">
        <f>IF(Table25[[#This Row],[Number of stocks]]&lt;0,Table25[[#This Row],[Number of stocks]],0)</f>
        <v>0</v>
      </c>
      <c r="K670" s="5">
        <f>Table25[[#This Row],[Sold]]*Table25[[#This Row],[Price]]</f>
        <v>0</v>
      </c>
      <c r="L670" s="8">
        <f>ABS(SUMIF(Table25[[#All],[Assets]],Table25[[#This Row],[Assets]],Table25[[#All],[Sold]]))</f>
        <v>535</v>
      </c>
      <c r="M670" s="5">
        <f>ABS(SUMIF(Table25[[#All],[Assets]],Table25[[#This Row],[Assets]],Table25[[#All],[Sold Amount]]))</f>
        <v>14777.289999999999</v>
      </c>
      <c r="N670" s="5">
        <f>IFERROR(Table25[[#This Row],[Total sold amount]]/Table25[[#This Row],[Total Sold number of stocks]],"")</f>
        <v>27.621102803738317</v>
      </c>
      <c r="O670" s="4">
        <f>IFERROR(Table25[[#This Row],[Total Amount bought]]/Table25[[#This Row],[Total number bought]],"")</f>
        <v>29.722895125553915</v>
      </c>
      <c r="P670" s="4">
        <f>IFERROR((Table25[[#This Row],[Average sell price]]-Table25[[#This Row],[Average buy price]])*Table25[[#This Row],[Total Sold number of stocks]],0)</f>
        <v>-1124.4588921713448</v>
      </c>
      <c r="Q670" s="85">
        <f>SUMIF(Table25[[#All],[Assets]],Table25[[#This Row],[Assets]],Table25[[#All],[Number of stocks]])</f>
        <v>277.39999999999998</v>
      </c>
    </row>
    <row r="671" spans="1:17">
      <c r="A671" t="e" vm="39">
        <v>#VALUE!</v>
      </c>
      <c r="B671" s="2">
        <v>45656</v>
      </c>
      <c r="C671" t="str" cm="1">
        <f t="array" aca="1" ref="C671" ca="1">_FV(A671,"Ticker symbol",TRUE)</f>
        <v>AMSC</v>
      </c>
      <c r="D671" s="4">
        <v>24.45</v>
      </c>
      <c r="E671" s="50">
        <v>24</v>
      </c>
      <c r="F671" s="81">
        <f>IF(Table25[[#This Row],[Number of stocks]]&gt;0,Table25[[#This Row],[Number of stocks]],0)</f>
        <v>24</v>
      </c>
      <c r="G671" s="73">
        <f>Table25[[#This Row],[Bought]]*Table25[[#This Row],[Price]]</f>
        <v>586.79999999999995</v>
      </c>
      <c r="H671">
        <f>SUMIF(Table25[[#All],[Assets]],Table25[[#This Row],[Assets]],Table25[[#All],[Bought]])</f>
        <v>812.4</v>
      </c>
      <c r="I671">
        <f>SUMIF(Table25[[#All],[Assets]],Table25[[#This Row],[Assets]],Table25[[#All],[Bought Amount]])</f>
        <v>24146.880000000001</v>
      </c>
      <c r="J671" s="88">
        <f>IF(Table25[[#This Row],[Number of stocks]]&lt;0,Table25[[#This Row],[Number of stocks]],0)</f>
        <v>0</v>
      </c>
      <c r="K671" s="5">
        <f>Table25[[#This Row],[Sold]]*Table25[[#This Row],[Price]]</f>
        <v>0</v>
      </c>
      <c r="L671" s="8">
        <f>ABS(SUMIF(Table25[[#All],[Assets]],Table25[[#This Row],[Assets]],Table25[[#All],[Sold]]))</f>
        <v>535</v>
      </c>
      <c r="M671" s="5">
        <f>ABS(SUMIF(Table25[[#All],[Assets]],Table25[[#This Row],[Assets]],Table25[[#All],[Sold Amount]]))</f>
        <v>14777.289999999999</v>
      </c>
      <c r="N671" s="5">
        <f>IFERROR(Table25[[#This Row],[Total sold amount]]/Table25[[#This Row],[Total Sold number of stocks]],"")</f>
        <v>27.621102803738317</v>
      </c>
      <c r="O671" s="4">
        <f>IFERROR(Table25[[#This Row],[Total Amount bought]]/Table25[[#This Row],[Total number bought]],"")</f>
        <v>29.722895125553915</v>
      </c>
      <c r="P671" s="4">
        <f>IFERROR((Table25[[#This Row],[Average sell price]]-Table25[[#This Row],[Average buy price]])*Table25[[#This Row],[Total Sold number of stocks]],0)</f>
        <v>-1124.4588921713448</v>
      </c>
      <c r="Q671" s="85">
        <f>SUMIF(Table25[[#All],[Assets]],Table25[[#This Row],[Assets]],Table25[[#All],[Number of stocks]])</f>
        <v>277.39999999999998</v>
      </c>
    </row>
    <row r="672" spans="1:17">
      <c r="A672" t="e" vm="39">
        <v>#VALUE!</v>
      </c>
      <c r="B672" s="2">
        <v>45656</v>
      </c>
      <c r="C672" t="str" cm="1">
        <f t="array" aca="1" ref="C672" ca="1">_FV(A672,"Ticker symbol",TRUE)</f>
        <v>AMSC</v>
      </c>
      <c r="D672" s="4">
        <v>24.4</v>
      </c>
      <c r="E672" s="50">
        <v>8.4</v>
      </c>
      <c r="F672" s="81">
        <f>IF(Table25[[#This Row],[Number of stocks]]&gt;0,Table25[[#This Row],[Number of stocks]],0)</f>
        <v>8.4</v>
      </c>
      <c r="G672" s="73">
        <f>Table25[[#This Row],[Bought]]*Table25[[#This Row],[Price]]</f>
        <v>204.96</v>
      </c>
      <c r="H672">
        <f>SUMIF(Table25[[#All],[Assets]],Table25[[#This Row],[Assets]],Table25[[#All],[Bought]])</f>
        <v>812.4</v>
      </c>
      <c r="I672">
        <f>SUMIF(Table25[[#All],[Assets]],Table25[[#This Row],[Assets]],Table25[[#All],[Bought Amount]])</f>
        <v>24146.880000000001</v>
      </c>
      <c r="J672" s="88">
        <f>IF(Table25[[#This Row],[Number of stocks]]&lt;0,Table25[[#This Row],[Number of stocks]],0)</f>
        <v>0</v>
      </c>
      <c r="K672" s="5">
        <f>Table25[[#This Row],[Sold]]*Table25[[#This Row],[Price]]</f>
        <v>0</v>
      </c>
      <c r="L672" s="8">
        <f>ABS(SUMIF(Table25[[#All],[Assets]],Table25[[#This Row],[Assets]],Table25[[#All],[Sold]]))</f>
        <v>535</v>
      </c>
      <c r="M672" s="5">
        <f>ABS(SUMIF(Table25[[#All],[Assets]],Table25[[#This Row],[Assets]],Table25[[#All],[Sold Amount]]))</f>
        <v>14777.289999999999</v>
      </c>
      <c r="N672" s="5">
        <f>IFERROR(Table25[[#This Row],[Total sold amount]]/Table25[[#This Row],[Total Sold number of stocks]],"")</f>
        <v>27.621102803738317</v>
      </c>
      <c r="O672" s="4">
        <f>IFERROR(Table25[[#This Row],[Total Amount bought]]/Table25[[#This Row],[Total number bought]],"")</f>
        <v>29.722895125553915</v>
      </c>
      <c r="P672" s="4">
        <f>IFERROR((Table25[[#This Row],[Average sell price]]-Table25[[#This Row],[Average buy price]])*Table25[[#This Row],[Total Sold number of stocks]],0)</f>
        <v>-1124.4588921713448</v>
      </c>
      <c r="Q672" s="85">
        <f>SUMIF(Table25[[#All],[Assets]],Table25[[#This Row],[Assets]],Table25[[#All],[Number of stocks]])</f>
        <v>277.39999999999998</v>
      </c>
    </row>
    <row r="673" spans="1:17">
      <c r="A673" t="e" vm="29">
        <v>#VALUE!</v>
      </c>
      <c r="B673" s="2">
        <v>45657</v>
      </c>
      <c r="C673" t="str" cm="1">
        <f t="array" aca="1" ref="C673" ca="1">_FV(A673,"Ticker symbol",TRUE)</f>
        <v>NVDA</v>
      </c>
      <c r="D673" s="4">
        <v>135.1</v>
      </c>
      <c r="E673" s="50">
        <v>-2</v>
      </c>
      <c r="F673" s="81">
        <f>IF(Table25[[#This Row],[Number of stocks]]&gt;0,Table25[[#This Row],[Number of stocks]],0)</f>
        <v>0</v>
      </c>
      <c r="G673" s="73">
        <f>Table25[[#This Row],[Bought]]*Table25[[#This Row],[Price]]</f>
        <v>0</v>
      </c>
      <c r="H673">
        <f>SUMIF(Table25[[#All],[Assets]],Table25[[#This Row],[Assets]],Table25[[#All],[Bought]])</f>
        <v>4</v>
      </c>
      <c r="I673">
        <f>SUMIF(Table25[[#All],[Assets]],Table25[[#This Row],[Assets]],Table25[[#All],[Bought Amount]])</f>
        <v>519.04</v>
      </c>
      <c r="J673" s="88">
        <f>IF(Table25[[#This Row],[Number of stocks]]&lt;0,Table25[[#This Row],[Number of stocks]],0)</f>
        <v>-2</v>
      </c>
      <c r="K673" s="5">
        <f>Table25[[#This Row],[Sold]]*Table25[[#This Row],[Price]]</f>
        <v>-270.2</v>
      </c>
      <c r="L673" s="8">
        <f>ABS(SUMIF(Table25[[#All],[Assets]],Table25[[#This Row],[Assets]],Table25[[#All],[Sold]]))</f>
        <v>3</v>
      </c>
      <c r="M673" s="5">
        <f>ABS(SUMIF(Table25[[#All],[Assets]],Table25[[#This Row],[Assets]],Table25[[#All],[Sold Amount]]))</f>
        <v>455.75</v>
      </c>
      <c r="N673" s="5">
        <f>IFERROR(Table25[[#This Row],[Total sold amount]]/Table25[[#This Row],[Total Sold number of stocks]],"")</f>
        <v>151.91666666666666</v>
      </c>
      <c r="O673" s="4">
        <f>IFERROR(Table25[[#This Row],[Total Amount bought]]/Table25[[#This Row],[Total number bought]],"")</f>
        <v>129.76</v>
      </c>
      <c r="P673" s="4">
        <f>IFERROR((Table25[[#This Row],[Average sell price]]-Table25[[#This Row],[Average buy price]])*Table25[[#This Row],[Total Sold number of stocks]],0)</f>
        <v>66.47</v>
      </c>
      <c r="Q673" s="85">
        <f>SUMIF(Table25[[#All],[Assets]],Table25[[#This Row],[Assets]],Table25[[#All],[Number of stocks]])</f>
        <v>1</v>
      </c>
    </row>
    <row r="674" spans="1:17">
      <c r="A674" t="e" vm="259">
        <v>#VALUE!</v>
      </c>
      <c r="B674" s="2">
        <v>45646</v>
      </c>
      <c r="C674" t="str" cm="1">
        <f t="array" aca="1" ref="C674" ca="1">_FV(A674,"Ticker symbol",TRUE)</f>
        <v>GRAL</v>
      </c>
      <c r="D674" s="4">
        <v>17.29</v>
      </c>
      <c r="E674" s="50">
        <v>70</v>
      </c>
      <c r="F674" s="81">
        <f>IF(Table25[[#This Row],[Number of stocks]]&gt;0,Table25[[#This Row],[Number of stocks]],0)</f>
        <v>70</v>
      </c>
      <c r="G674" s="73">
        <f>Table25[[#This Row],[Bought]]*Table25[[#This Row],[Price]]</f>
        <v>1210.3</v>
      </c>
      <c r="H674">
        <f>SUMIF(Table25[[#All],[Assets]],Table25[[#This Row],[Assets]],Table25[[#All],[Bought]])</f>
        <v>100</v>
      </c>
      <c r="I674">
        <f>SUMIF(Table25[[#All],[Assets]],Table25[[#This Row],[Assets]],Table25[[#All],[Bought Amount]])</f>
        <v>1720.3</v>
      </c>
      <c r="J674" s="88">
        <f>IF(Table25[[#This Row],[Number of stocks]]&lt;0,Table25[[#This Row],[Number of stocks]],0)</f>
        <v>0</v>
      </c>
      <c r="K674" s="5">
        <f>Table25[[#This Row],[Sold]]*Table25[[#This Row],[Price]]</f>
        <v>0</v>
      </c>
      <c r="L674" s="8">
        <f>ABS(SUMIF(Table25[[#All],[Assets]],Table25[[#This Row],[Assets]],Table25[[#All],[Sold]]))</f>
        <v>100</v>
      </c>
      <c r="M674" s="5">
        <f>ABS(SUMIF(Table25[[#All],[Assets]],Table25[[#This Row],[Assets]],Table25[[#All],[Sold Amount]]))</f>
        <v>2684.8</v>
      </c>
      <c r="N674" s="5">
        <f>IFERROR(Table25[[#This Row],[Total sold amount]]/Table25[[#This Row],[Total Sold number of stocks]],"")</f>
        <v>26.848000000000003</v>
      </c>
      <c r="O674" s="4">
        <f>IFERROR(Table25[[#This Row],[Total Amount bought]]/Table25[[#This Row],[Total number bought]],"")</f>
        <v>17.202999999999999</v>
      </c>
      <c r="P674" s="4">
        <f>IFERROR((Table25[[#This Row],[Average sell price]]-Table25[[#This Row],[Average buy price]])*Table25[[#This Row],[Total Sold number of stocks]],0)</f>
        <v>964.50000000000034</v>
      </c>
      <c r="Q674" s="85">
        <f>SUMIF(Table25[[#All],[Assets]],Table25[[#This Row],[Assets]],Table25[[#All],[Number of stocks]])</f>
        <v>0</v>
      </c>
    </row>
    <row r="675" spans="1:17">
      <c r="A675" t="e" vm="507">
        <v>#VALUE!</v>
      </c>
      <c r="B675" s="2">
        <v>45646</v>
      </c>
      <c r="C675" t="str" cm="1">
        <f t="array" aca="1" ref="C675" ca="1">_FV(A675,"Ticker symbol",TRUE)</f>
        <v>SPRY</v>
      </c>
      <c r="D675" s="4">
        <v>11.48</v>
      </c>
      <c r="E675" s="50">
        <v>40</v>
      </c>
      <c r="F675" s="81">
        <f>IF(Table25[[#This Row],[Number of stocks]]&gt;0,Table25[[#This Row],[Number of stocks]],0)</f>
        <v>40</v>
      </c>
      <c r="G675" s="73">
        <f>Table25[[#This Row],[Bought]]*Table25[[#This Row],[Price]]</f>
        <v>459.20000000000005</v>
      </c>
      <c r="H675">
        <f>SUMIF(Table25[[#All],[Assets]],Table25[[#This Row],[Assets]],Table25[[#All],[Bought]])</f>
        <v>40</v>
      </c>
      <c r="I675">
        <f>SUMIF(Table25[[#All],[Assets]],Table25[[#This Row],[Assets]],Table25[[#All],[Bought Amount]])</f>
        <v>459.20000000000005</v>
      </c>
      <c r="J675" s="88">
        <f>IF(Table25[[#This Row],[Number of stocks]]&lt;0,Table25[[#This Row],[Number of stocks]],0)</f>
        <v>0</v>
      </c>
      <c r="K675" s="5">
        <f>Table25[[#This Row],[Sold]]*Table25[[#This Row],[Price]]</f>
        <v>0</v>
      </c>
      <c r="L675" s="8">
        <f>ABS(SUMIF(Table25[[#All],[Assets]],Table25[[#This Row],[Assets]],Table25[[#All],[Sold]]))</f>
        <v>40</v>
      </c>
      <c r="M675" s="5">
        <f>ABS(SUMIF(Table25[[#All],[Assets]],Table25[[#This Row],[Assets]],Table25[[#All],[Sold Amount]]))</f>
        <v>460</v>
      </c>
      <c r="N675" s="5">
        <f>IFERROR(Table25[[#This Row],[Total sold amount]]/Table25[[#This Row],[Total Sold number of stocks]],"")</f>
        <v>11.5</v>
      </c>
      <c r="O675" s="4">
        <f>IFERROR(Table25[[#This Row],[Total Amount bought]]/Table25[[#This Row],[Total number bought]],"")</f>
        <v>11.48</v>
      </c>
      <c r="P675" s="4">
        <f>IFERROR((Table25[[#This Row],[Average sell price]]-Table25[[#This Row],[Average buy price]])*Table25[[#This Row],[Total Sold number of stocks]],0)</f>
        <v>0.79999999999998295</v>
      </c>
      <c r="Q675" s="85">
        <f>SUMIF(Table25[[#All],[Assets]],Table25[[#This Row],[Assets]],Table25[[#All],[Number of stocks]])</f>
        <v>0</v>
      </c>
    </row>
    <row r="676" spans="1:17">
      <c r="A676" t="e" vm="80">
        <v>#VALUE!</v>
      </c>
      <c r="B676" s="2">
        <v>45646</v>
      </c>
      <c r="C676" t="str" cm="1">
        <f t="array" aca="1" ref="C676" ca="1">_FV(A676,"Ticker symbol",TRUE)</f>
        <v>PYPL</v>
      </c>
      <c r="D676" s="4">
        <v>86.09</v>
      </c>
      <c r="E676" s="50">
        <v>-5</v>
      </c>
      <c r="F676" s="81">
        <f>IF(Table25[[#This Row],[Number of stocks]]&gt;0,Table25[[#This Row],[Number of stocks]],0)</f>
        <v>0</v>
      </c>
      <c r="G676" s="73">
        <f>Table25[[#This Row],[Bought]]*Table25[[#This Row],[Price]]</f>
        <v>0</v>
      </c>
      <c r="H676">
        <f>SUMIF(Table25[[#All],[Assets]],Table25[[#This Row],[Assets]],Table25[[#All],[Bought]])</f>
        <v>223</v>
      </c>
      <c r="I676">
        <f>SUMIF(Table25[[#All],[Assets]],Table25[[#This Row],[Assets]],Table25[[#All],[Bought Amount]])</f>
        <v>14862.050000000003</v>
      </c>
      <c r="J676" s="88">
        <f>IF(Table25[[#This Row],[Number of stocks]]&lt;0,Table25[[#This Row],[Number of stocks]],0)</f>
        <v>-5</v>
      </c>
      <c r="K676" s="5">
        <f>Table25[[#This Row],[Sold]]*Table25[[#This Row],[Price]]</f>
        <v>-430.45000000000005</v>
      </c>
      <c r="L676" s="8">
        <f>ABS(SUMIF(Table25[[#All],[Assets]],Table25[[#This Row],[Assets]],Table25[[#All],[Sold]]))</f>
        <v>222</v>
      </c>
      <c r="M676" s="5">
        <f>ABS(SUMIF(Table25[[#All],[Assets]],Table25[[#This Row],[Assets]],Table25[[#All],[Sold Amount]]))</f>
        <v>15255.44</v>
      </c>
      <c r="N676" s="5">
        <f>IFERROR(Table25[[#This Row],[Total sold amount]]/Table25[[#This Row],[Total Sold number of stocks]],"")</f>
        <v>68.718198198198195</v>
      </c>
      <c r="O676" s="4">
        <f>IFERROR(Table25[[#This Row],[Total Amount bought]]/Table25[[#This Row],[Total number bought]],"")</f>
        <v>66.645964125560553</v>
      </c>
      <c r="P676" s="4">
        <f>IFERROR((Table25[[#This Row],[Average sell price]]-Table25[[#This Row],[Average buy price]])*Table25[[#This Row],[Total Sold number of stocks]],0)</f>
        <v>460.03596412555646</v>
      </c>
      <c r="Q676" s="85">
        <f>SUMIF(Table25[[#All],[Assets]],Table25[[#This Row],[Assets]],Table25[[#All],[Number of stocks]])</f>
        <v>1</v>
      </c>
    </row>
    <row r="677" spans="1:17">
      <c r="A677" t="e" vm="24">
        <v>#VALUE!</v>
      </c>
      <c r="B677" s="2">
        <v>45646</v>
      </c>
      <c r="C677" t="str" cm="1">
        <f t="array" aca="1" ref="C677" ca="1">_FV(A677,"Ticker symbol",TRUE)</f>
        <v>QCOM</v>
      </c>
      <c r="D677" s="4">
        <v>150.31</v>
      </c>
      <c r="E677" s="50">
        <v>1</v>
      </c>
      <c r="F677" s="81">
        <f>IF(Table25[[#This Row],[Number of stocks]]&gt;0,Table25[[#This Row],[Number of stocks]],0)</f>
        <v>1</v>
      </c>
      <c r="G677" s="73">
        <f>Table25[[#This Row],[Bought]]*Table25[[#This Row],[Price]]</f>
        <v>150.31</v>
      </c>
      <c r="H677">
        <f>SUMIF(Table25[[#All],[Assets]],Table25[[#This Row],[Assets]],Table25[[#All],[Bought]])</f>
        <v>58</v>
      </c>
      <c r="I677">
        <f>SUMIF(Table25[[#All],[Assets]],Table25[[#This Row],[Assets]],Table25[[#All],[Bought Amount]])</f>
        <v>9670.27</v>
      </c>
      <c r="J677" s="88">
        <f>IF(Table25[[#This Row],[Number of stocks]]&lt;0,Table25[[#This Row],[Number of stocks]],0)</f>
        <v>0</v>
      </c>
      <c r="K677" s="5">
        <f>Table25[[#This Row],[Sold]]*Table25[[#This Row],[Price]]</f>
        <v>0</v>
      </c>
      <c r="L677" s="8">
        <f>ABS(SUMIF(Table25[[#All],[Assets]],Table25[[#This Row],[Assets]],Table25[[#All],[Sold]]))</f>
        <v>57</v>
      </c>
      <c r="M677" s="5">
        <f>ABS(SUMIF(Table25[[#All],[Assets]],Table25[[#This Row],[Assets]],Table25[[#All],[Sold Amount]]))</f>
        <v>8530.1</v>
      </c>
      <c r="N677" s="5">
        <f>IFERROR(Table25[[#This Row],[Total sold amount]]/Table25[[#This Row],[Total Sold number of stocks]],"")</f>
        <v>149.65087719298245</v>
      </c>
      <c r="O677" s="4">
        <f>IFERROR(Table25[[#This Row],[Total Amount bought]]/Table25[[#This Row],[Total number bought]],"")</f>
        <v>166.72879310344828</v>
      </c>
      <c r="P677" s="4">
        <f>IFERROR((Table25[[#This Row],[Average sell price]]-Table25[[#This Row],[Average buy price]])*Table25[[#This Row],[Total Sold number of stocks]],0)</f>
        <v>-973.44120689655256</v>
      </c>
      <c r="Q677" s="85">
        <f>SUMIF(Table25[[#All],[Assets]],Table25[[#This Row],[Assets]],Table25[[#All],[Number of stocks]])</f>
        <v>1</v>
      </c>
    </row>
    <row r="678" spans="1:17">
      <c r="A678" t="e" vm="80">
        <v>#VALUE!</v>
      </c>
      <c r="B678" s="2">
        <v>45646</v>
      </c>
      <c r="C678" t="str" cm="1">
        <f t="array" aca="1" ref="C678" ca="1">_FV(A678,"Ticker symbol",TRUE)</f>
        <v>PYPL</v>
      </c>
      <c r="D678" s="4">
        <v>86.67</v>
      </c>
      <c r="E678" s="50">
        <v>-20</v>
      </c>
      <c r="F678" s="81">
        <f>IF(Table25[[#This Row],[Number of stocks]]&gt;0,Table25[[#This Row],[Number of stocks]],0)</f>
        <v>0</v>
      </c>
      <c r="G678" s="73">
        <f>Table25[[#This Row],[Bought]]*Table25[[#This Row],[Price]]</f>
        <v>0</v>
      </c>
      <c r="H678">
        <f>SUMIF(Table25[[#All],[Assets]],Table25[[#This Row],[Assets]],Table25[[#All],[Bought]])</f>
        <v>223</v>
      </c>
      <c r="I678">
        <f>SUMIF(Table25[[#All],[Assets]],Table25[[#This Row],[Assets]],Table25[[#All],[Bought Amount]])</f>
        <v>14862.050000000003</v>
      </c>
      <c r="J678" s="88">
        <f>IF(Table25[[#This Row],[Number of stocks]]&lt;0,Table25[[#This Row],[Number of stocks]],0)</f>
        <v>-20</v>
      </c>
      <c r="K678" s="5">
        <f>Table25[[#This Row],[Sold]]*Table25[[#This Row],[Price]]</f>
        <v>-1733.4</v>
      </c>
      <c r="L678" s="8">
        <f>ABS(SUMIF(Table25[[#All],[Assets]],Table25[[#This Row],[Assets]],Table25[[#All],[Sold]]))</f>
        <v>222</v>
      </c>
      <c r="M678" s="5">
        <f>ABS(SUMIF(Table25[[#All],[Assets]],Table25[[#This Row],[Assets]],Table25[[#All],[Sold Amount]]))</f>
        <v>15255.44</v>
      </c>
      <c r="N678" s="5">
        <f>IFERROR(Table25[[#This Row],[Total sold amount]]/Table25[[#This Row],[Total Sold number of stocks]],"")</f>
        <v>68.718198198198195</v>
      </c>
      <c r="O678" s="4">
        <f>IFERROR(Table25[[#This Row],[Total Amount bought]]/Table25[[#This Row],[Total number bought]],"")</f>
        <v>66.645964125560553</v>
      </c>
      <c r="P678" s="4">
        <f>IFERROR((Table25[[#This Row],[Average sell price]]-Table25[[#This Row],[Average buy price]])*Table25[[#This Row],[Total Sold number of stocks]],0)</f>
        <v>460.03596412555646</v>
      </c>
      <c r="Q678" s="85">
        <f>SUMIF(Table25[[#All],[Assets]],Table25[[#This Row],[Assets]],Table25[[#All],[Number of stocks]])</f>
        <v>1</v>
      </c>
    </row>
    <row r="679" spans="1:17">
      <c r="A679" t="e" vm="209">
        <v>#VALUE!</v>
      </c>
      <c r="B679" s="2">
        <v>45646</v>
      </c>
      <c r="C679" t="str" cm="1">
        <f t="array" aca="1" ref="C679" ca="1">_FV(A679,"Ticker symbol",TRUE)</f>
        <v>CMTL</v>
      </c>
      <c r="D679" s="4">
        <v>3.94</v>
      </c>
      <c r="E679" s="50">
        <v>400</v>
      </c>
      <c r="F679" s="81">
        <f>IF(Table25[[#This Row],[Number of stocks]]&gt;0,Table25[[#This Row],[Number of stocks]],0)</f>
        <v>400</v>
      </c>
      <c r="G679" s="73">
        <f>Table25[[#This Row],[Bought]]*Table25[[#This Row],[Price]]</f>
        <v>1576</v>
      </c>
      <c r="H679">
        <f>SUMIF(Table25[[#All],[Assets]],Table25[[#This Row],[Assets]],Table25[[#All],[Bought]])</f>
        <v>900</v>
      </c>
      <c r="I679">
        <f>SUMIF(Table25[[#All],[Assets]],Table25[[#This Row],[Assets]],Table25[[#All],[Bought Amount]])</f>
        <v>2867</v>
      </c>
      <c r="J679" s="88">
        <f>IF(Table25[[#This Row],[Number of stocks]]&lt;0,Table25[[#This Row],[Number of stocks]],0)</f>
        <v>0</v>
      </c>
      <c r="K679" s="5">
        <f>Table25[[#This Row],[Sold]]*Table25[[#This Row],[Price]]</f>
        <v>0</v>
      </c>
      <c r="L679" s="8">
        <f>ABS(SUMIF(Table25[[#All],[Assets]],Table25[[#This Row],[Assets]],Table25[[#All],[Sold]]))</f>
        <v>800</v>
      </c>
      <c r="M679" s="5">
        <f>ABS(SUMIF(Table25[[#All],[Assets]],Table25[[#This Row],[Assets]],Table25[[#All],[Sold Amount]]))</f>
        <v>1676</v>
      </c>
      <c r="N679" s="5">
        <f>IFERROR(Table25[[#This Row],[Total sold amount]]/Table25[[#This Row],[Total Sold number of stocks]],"")</f>
        <v>2.0950000000000002</v>
      </c>
      <c r="O679" s="4">
        <f>IFERROR(Table25[[#This Row],[Total Amount bought]]/Table25[[#This Row],[Total number bought]],"")</f>
        <v>3.1855555555555557</v>
      </c>
      <c r="P679" s="4">
        <f>IFERROR((Table25[[#This Row],[Average sell price]]-Table25[[#This Row],[Average buy price]])*Table25[[#This Row],[Total Sold number of stocks]],0)</f>
        <v>-872.44444444444434</v>
      </c>
      <c r="Q679" s="85">
        <f>SUMIF(Table25[[#All],[Assets]],Table25[[#This Row],[Assets]],Table25[[#All],[Number of stocks]])</f>
        <v>100</v>
      </c>
    </row>
    <row r="680" spans="1:17">
      <c r="A680" t="e" vm="88">
        <v>#VALUE!</v>
      </c>
      <c r="B680" s="2">
        <v>45646</v>
      </c>
      <c r="C680" t="str" cm="1">
        <f t="array" aca="1" ref="C680" ca="1">_FV(A680,"Ticker symbol",TRUE)</f>
        <v>SPIR</v>
      </c>
      <c r="D680" s="4">
        <v>14.87</v>
      </c>
      <c r="E680" s="50">
        <v>36</v>
      </c>
      <c r="F680" s="81">
        <f>IF(Table25[[#This Row],[Number of stocks]]&gt;0,Table25[[#This Row],[Number of stocks]],0)</f>
        <v>36</v>
      </c>
      <c r="G680" s="73">
        <f>Table25[[#This Row],[Bought]]*Table25[[#This Row],[Price]]</f>
        <v>535.31999999999994</v>
      </c>
      <c r="H680">
        <f>SUMIF(Table25[[#All],[Assets]],Table25[[#This Row],[Assets]],Table25[[#All],[Bought]])</f>
        <v>173</v>
      </c>
      <c r="I680">
        <f>SUMIF(Table25[[#All],[Assets]],Table25[[#This Row],[Assets]],Table25[[#All],[Bought Amount]])</f>
        <v>2251.35</v>
      </c>
      <c r="J680" s="88">
        <f>IF(Table25[[#This Row],[Number of stocks]]&lt;0,Table25[[#This Row],[Number of stocks]],0)</f>
        <v>0</v>
      </c>
      <c r="K680" s="5">
        <f>Table25[[#This Row],[Sold]]*Table25[[#This Row],[Price]]</f>
        <v>0</v>
      </c>
      <c r="L680" s="8">
        <f>ABS(SUMIF(Table25[[#All],[Assets]],Table25[[#This Row],[Assets]],Table25[[#All],[Sold]]))</f>
        <v>173</v>
      </c>
      <c r="M680" s="5">
        <f>ABS(SUMIF(Table25[[#All],[Assets]],Table25[[#This Row],[Assets]],Table25[[#All],[Sold Amount]]))</f>
        <v>2095.02</v>
      </c>
      <c r="N680" s="5">
        <f>IFERROR(Table25[[#This Row],[Total sold amount]]/Table25[[#This Row],[Total Sold number of stocks]],"")</f>
        <v>12.109942196531792</v>
      </c>
      <c r="O680" s="4">
        <f>IFERROR(Table25[[#This Row],[Total Amount bought]]/Table25[[#This Row],[Total number bought]],"")</f>
        <v>13.013583815028902</v>
      </c>
      <c r="P680" s="4">
        <f>IFERROR((Table25[[#This Row],[Average sell price]]-Table25[[#This Row],[Average buy price]])*Table25[[#This Row],[Total Sold number of stocks]],0)</f>
        <v>-156.33000000000001</v>
      </c>
      <c r="Q680" s="85">
        <f>SUMIF(Table25[[#All],[Assets]],Table25[[#This Row],[Assets]],Table25[[#All],[Number of stocks]])</f>
        <v>0</v>
      </c>
    </row>
    <row r="681" spans="1:17">
      <c r="A681" t="e" vm="280">
        <v>#VALUE!</v>
      </c>
      <c r="B681" s="2">
        <v>45646</v>
      </c>
      <c r="C681" t="str" cm="1">
        <f t="array" aca="1" ref="C681" ca="1">_FV(A681,"Ticker symbol",TRUE)</f>
        <v>CHWY</v>
      </c>
      <c r="D681" s="4">
        <v>34.19</v>
      </c>
      <c r="E681" s="50">
        <v>15</v>
      </c>
      <c r="F681" s="81">
        <f>IF(Table25[[#This Row],[Number of stocks]]&gt;0,Table25[[#This Row],[Number of stocks]],0)</f>
        <v>15</v>
      </c>
      <c r="G681" s="73">
        <f>Table25[[#This Row],[Bought]]*Table25[[#This Row],[Price]]</f>
        <v>512.84999999999991</v>
      </c>
      <c r="H681">
        <f>SUMIF(Table25[[#All],[Assets]],Table25[[#This Row],[Assets]],Table25[[#All],[Bought]])</f>
        <v>30</v>
      </c>
      <c r="I681">
        <f>SUMIF(Table25[[#All],[Assets]],Table25[[#This Row],[Assets]],Table25[[#All],[Bought Amount]])</f>
        <v>1013.55</v>
      </c>
      <c r="J681" s="88">
        <f>IF(Table25[[#This Row],[Number of stocks]]&lt;0,Table25[[#This Row],[Number of stocks]],0)</f>
        <v>0</v>
      </c>
      <c r="K681" s="5">
        <f>Table25[[#This Row],[Sold]]*Table25[[#This Row],[Price]]</f>
        <v>0</v>
      </c>
      <c r="L681" s="8">
        <f>ABS(SUMIF(Table25[[#All],[Assets]],Table25[[#This Row],[Assets]],Table25[[#All],[Sold]]))</f>
        <v>30</v>
      </c>
      <c r="M681" s="5">
        <f>ABS(SUMIF(Table25[[#All],[Assets]],Table25[[#This Row],[Assets]],Table25[[#All],[Sold Amount]]))</f>
        <v>1104.3000000000002</v>
      </c>
      <c r="N681" s="5">
        <f>IFERROR(Table25[[#This Row],[Total sold amount]]/Table25[[#This Row],[Total Sold number of stocks]],"")</f>
        <v>36.810000000000009</v>
      </c>
      <c r="O681" s="4">
        <f>IFERROR(Table25[[#This Row],[Total Amount bought]]/Table25[[#This Row],[Total number bought]],"")</f>
        <v>33.784999999999997</v>
      </c>
      <c r="P681" s="4">
        <f>IFERROR((Table25[[#This Row],[Average sell price]]-Table25[[#This Row],[Average buy price]])*Table25[[#This Row],[Total Sold number of stocks]],0)</f>
        <v>90.750000000000384</v>
      </c>
      <c r="Q681" s="85">
        <f>SUMIF(Table25[[#All],[Assets]],Table25[[#This Row],[Assets]],Table25[[#All],[Number of stocks]])</f>
        <v>0</v>
      </c>
    </row>
    <row r="682" spans="1:17">
      <c r="A682" t="e" vm="276">
        <v>#VALUE!</v>
      </c>
      <c r="B682" s="2">
        <v>45663</v>
      </c>
      <c r="C682" t="str" cm="1">
        <f t="array" aca="1" ref="C682" ca="1">_FV(A682,"Ticker symbol",TRUE)</f>
        <v>PGNY</v>
      </c>
      <c r="D682" s="4">
        <v>17.989999999999998</v>
      </c>
      <c r="E682" s="50">
        <v>10</v>
      </c>
      <c r="F682" s="81">
        <f>IF(Table25[[#This Row],[Number of stocks]]&gt;0,Table25[[#This Row],[Number of stocks]],0)</f>
        <v>10</v>
      </c>
      <c r="G682" s="73">
        <f>Table25[[#This Row],[Bought]]*Table25[[#This Row],[Price]]</f>
        <v>179.89999999999998</v>
      </c>
      <c r="H682">
        <f>SUMIF(Table25[[#All],[Assets]],Table25[[#This Row],[Assets]],Table25[[#All],[Bought]])</f>
        <v>42</v>
      </c>
      <c r="I682">
        <f>SUMIF(Table25[[#All],[Assets]],Table25[[#This Row],[Assets]],Table25[[#All],[Bought Amount]])</f>
        <v>673.02</v>
      </c>
      <c r="J682" s="88">
        <f>IF(Table25[[#This Row],[Number of stocks]]&lt;0,Table25[[#This Row],[Number of stocks]],0)</f>
        <v>0</v>
      </c>
      <c r="K682" s="5">
        <f>Table25[[#This Row],[Sold]]*Table25[[#This Row],[Price]]</f>
        <v>0</v>
      </c>
      <c r="L682" s="8">
        <f>ABS(SUMIF(Table25[[#All],[Assets]],Table25[[#This Row],[Assets]],Table25[[#All],[Sold]]))</f>
        <v>42</v>
      </c>
      <c r="M682" s="5">
        <f>ABS(SUMIF(Table25[[#All],[Assets]],Table25[[#This Row],[Assets]],Table25[[#All],[Sold Amount]]))</f>
        <v>958.44</v>
      </c>
      <c r="N682" s="5">
        <f>IFERROR(Table25[[#This Row],[Total sold amount]]/Table25[[#This Row],[Total Sold number of stocks]],"")</f>
        <v>22.82</v>
      </c>
      <c r="O682" s="4">
        <f>IFERROR(Table25[[#This Row],[Total Amount bought]]/Table25[[#This Row],[Total number bought]],"")</f>
        <v>16.024285714285714</v>
      </c>
      <c r="P682" s="4">
        <f>IFERROR((Table25[[#This Row],[Average sell price]]-Table25[[#This Row],[Average buy price]])*Table25[[#This Row],[Total Sold number of stocks]],0)</f>
        <v>285.42</v>
      </c>
      <c r="Q682" s="85">
        <f>SUMIF(Table25[[#All],[Assets]],Table25[[#This Row],[Assets]],Table25[[#All],[Number of stocks]])</f>
        <v>0</v>
      </c>
    </row>
    <row r="683" spans="1:17">
      <c r="A683" t="e" vm="246">
        <v>#VALUE!</v>
      </c>
      <c r="B683" s="2">
        <v>45652</v>
      </c>
      <c r="C683" t="str" cm="1">
        <f t="array" aca="1" ref="C683" ca="1">_FV(A683,"Ticker symbol",TRUE)</f>
        <v>ALAB</v>
      </c>
      <c r="D683" s="4">
        <v>146.01</v>
      </c>
      <c r="E683" s="50">
        <v>2</v>
      </c>
      <c r="F683" s="81">
        <f>IF(Table25[[#This Row],[Number of stocks]]&gt;0,Table25[[#This Row],[Number of stocks]],0)</f>
        <v>2</v>
      </c>
      <c r="G683" s="73">
        <f>Table25[[#This Row],[Bought]]*Table25[[#This Row],[Price]]</f>
        <v>292.02</v>
      </c>
      <c r="H683">
        <f>SUMIF(Table25[[#All],[Assets]],Table25[[#This Row],[Assets]],Table25[[#All],[Bought]])</f>
        <v>6</v>
      </c>
      <c r="I683">
        <f>SUMIF(Table25[[#All],[Assets]],Table25[[#This Row],[Assets]],Table25[[#All],[Bought Amount]])</f>
        <v>902.3599999999999</v>
      </c>
      <c r="J683" s="88">
        <f>IF(Table25[[#This Row],[Number of stocks]]&lt;0,Table25[[#This Row],[Number of stocks]],0)</f>
        <v>0</v>
      </c>
      <c r="K683" s="5">
        <f>Table25[[#This Row],[Sold]]*Table25[[#This Row],[Price]]</f>
        <v>0</v>
      </c>
      <c r="L683" s="8">
        <f>ABS(SUMIF(Table25[[#All],[Assets]],Table25[[#This Row],[Assets]],Table25[[#All],[Sold]]))</f>
        <v>3</v>
      </c>
      <c r="M683" s="5">
        <f>ABS(SUMIF(Table25[[#All],[Assets]],Table25[[#This Row],[Assets]],Table25[[#All],[Sold Amount]]))</f>
        <v>359.03999999999996</v>
      </c>
      <c r="N683" s="5">
        <f>IFERROR(Table25[[#This Row],[Total sold amount]]/Table25[[#This Row],[Total Sold number of stocks]],"")</f>
        <v>119.67999999999999</v>
      </c>
      <c r="O683" s="4">
        <f>IFERROR(Table25[[#This Row],[Total Amount bought]]/Table25[[#This Row],[Total number bought]],"")</f>
        <v>150.39333333333332</v>
      </c>
      <c r="P683" s="4">
        <f>IFERROR((Table25[[#This Row],[Average sell price]]-Table25[[#This Row],[Average buy price]])*Table25[[#This Row],[Total Sold number of stocks]],0)</f>
        <v>-92.139999999999972</v>
      </c>
      <c r="Q683" s="85">
        <f>SUMIF(Table25[[#All],[Assets]],Table25[[#This Row],[Assets]],Table25[[#All],[Number of stocks]])</f>
        <v>3</v>
      </c>
    </row>
    <row r="684" spans="1:17">
      <c r="A684" t="e" vm="248">
        <v>#VALUE!</v>
      </c>
      <c r="B684" s="2">
        <v>45652</v>
      </c>
      <c r="C684" t="str" cm="1">
        <f t="array" aca="1" ref="C684" ca="1">_FV(A684,"Ticker symbol",TRUE)</f>
        <v>GTLS</v>
      </c>
      <c r="D684" s="4">
        <v>196.03</v>
      </c>
      <c r="E684" s="50">
        <v>1</v>
      </c>
      <c r="F684" s="81">
        <f>IF(Table25[[#This Row],[Number of stocks]]&gt;0,Table25[[#This Row],[Number of stocks]],0)</f>
        <v>1</v>
      </c>
      <c r="G684" s="73">
        <f>Table25[[#This Row],[Bought]]*Table25[[#This Row],[Price]]</f>
        <v>196.03</v>
      </c>
      <c r="H684">
        <f>SUMIF(Table25[[#All],[Assets]],Table25[[#This Row],[Assets]],Table25[[#All],[Bought]])</f>
        <v>7</v>
      </c>
      <c r="I684">
        <f>SUMIF(Table25[[#All],[Assets]],Table25[[#This Row],[Assets]],Table25[[#All],[Bought Amount]])</f>
        <v>1345.45</v>
      </c>
      <c r="J684" s="88">
        <f>IF(Table25[[#This Row],[Number of stocks]]&lt;0,Table25[[#This Row],[Number of stocks]],0)</f>
        <v>0</v>
      </c>
      <c r="K684" s="5">
        <f>Table25[[#This Row],[Sold]]*Table25[[#This Row],[Price]]</f>
        <v>0</v>
      </c>
      <c r="L684" s="8">
        <f>ABS(SUMIF(Table25[[#All],[Assets]],Table25[[#This Row],[Assets]],Table25[[#All],[Sold]]))</f>
        <v>7</v>
      </c>
      <c r="M684" s="5">
        <f>ABS(SUMIF(Table25[[#All],[Assets]],Table25[[#This Row],[Assets]],Table25[[#All],[Sold Amount]]))</f>
        <v>1011.9200000000001</v>
      </c>
      <c r="N684" s="5">
        <f>IFERROR(Table25[[#This Row],[Total sold amount]]/Table25[[#This Row],[Total Sold number of stocks]],"")</f>
        <v>144.56</v>
      </c>
      <c r="O684" s="4">
        <f>IFERROR(Table25[[#This Row],[Total Amount bought]]/Table25[[#This Row],[Total number bought]],"")</f>
        <v>192.20714285714286</v>
      </c>
      <c r="P684" s="4">
        <f>IFERROR((Table25[[#This Row],[Average sell price]]-Table25[[#This Row],[Average buy price]])*Table25[[#This Row],[Total Sold number of stocks]],0)</f>
        <v>-333.53</v>
      </c>
      <c r="Q684" s="85">
        <f>SUMIF(Table25[[#All],[Assets]],Table25[[#This Row],[Assets]],Table25[[#All],[Number of stocks]])</f>
        <v>0</v>
      </c>
    </row>
    <row r="685" spans="1:17">
      <c r="A685" t="e" vm="195">
        <v>#VALUE!</v>
      </c>
      <c r="B685" s="2">
        <v>45652</v>
      </c>
      <c r="C685" t="str" cm="1">
        <f t="array" aca="1" ref="C685" ca="1">_FV(A685,"Ticker symbol",TRUE)</f>
        <v>LBRT</v>
      </c>
      <c r="D685" s="4">
        <v>18.829999999999998</v>
      </c>
      <c r="E685" s="50">
        <v>9</v>
      </c>
      <c r="F685" s="81">
        <f>IF(Table25[[#This Row],[Number of stocks]]&gt;0,Table25[[#This Row],[Number of stocks]],0)</f>
        <v>9</v>
      </c>
      <c r="G685" s="73">
        <f>Table25[[#This Row],[Bought]]*Table25[[#This Row],[Price]]</f>
        <v>169.46999999999997</v>
      </c>
      <c r="H685">
        <f>SUMIF(Table25[[#All],[Assets]],Table25[[#This Row],[Assets]],Table25[[#All],[Bought]])</f>
        <v>130</v>
      </c>
      <c r="I685">
        <f>SUMIF(Table25[[#All],[Assets]],Table25[[#This Row],[Assets]],Table25[[#All],[Bought Amount]])</f>
        <v>2190.91</v>
      </c>
      <c r="J685" s="88">
        <f>IF(Table25[[#This Row],[Number of stocks]]&lt;0,Table25[[#This Row],[Number of stocks]],0)</f>
        <v>0</v>
      </c>
      <c r="K685" s="5">
        <f>Table25[[#This Row],[Sold]]*Table25[[#This Row],[Price]]</f>
        <v>0</v>
      </c>
      <c r="L685" s="8">
        <f>ABS(SUMIF(Table25[[#All],[Assets]],Table25[[#This Row],[Assets]],Table25[[#All],[Sold]]))</f>
        <v>60</v>
      </c>
      <c r="M685" s="5">
        <f>ABS(SUMIF(Table25[[#All],[Assets]],Table25[[#This Row],[Assets]],Table25[[#All],[Sold Amount]]))</f>
        <v>982.86</v>
      </c>
      <c r="N685" s="5">
        <f>IFERROR(Table25[[#This Row],[Total sold amount]]/Table25[[#This Row],[Total Sold number of stocks]],"")</f>
        <v>16.381</v>
      </c>
      <c r="O685" s="4">
        <f>IFERROR(Table25[[#This Row],[Total Amount bought]]/Table25[[#This Row],[Total number bought]],"")</f>
        <v>16.853153846153845</v>
      </c>
      <c r="P685" s="4">
        <f>IFERROR((Table25[[#This Row],[Average sell price]]-Table25[[#This Row],[Average buy price]])*Table25[[#This Row],[Total Sold number of stocks]],0)</f>
        <v>-28.329230769230662</v>
      </c>
      <c r="Q685" s="85">
        <f>SUMIF(Table25[[#All],[Assets]],Table25[[#This Row],[Assets]],Table25[[#All],[Number of stocks]])</f>
        <v>70</v>
      </c>
    </row>
    <row r="686" spans="1:17">
      <c r="A686" t="e" vm="169">
        <v>#VALUE!</v>
      </c>
      <c r="B686" s="2">
        <v>45652</v>
      </c>
      <c r="C686" t="str" cm="1">
        <f t="array" aca="1" ref="C686" ca="1">_FV(A686,"Ticker symbol",TRUE)</f>
        <v>CVS</v>
      </c>
      <c r="D686" s="4">
        <v>45.02</v>
      </c>
      <c r="E686" s="50">
        <v>10</v>
      </c>
      <c r="F686" s="81">
        <f>IF(Table25[[#This Row],[Number of stocks]]&gt;0,Table25[[#This Row],[Number of stocks]],0)</f>
        <v>10</v>
      </c>
      <c r="G686" s="73">
        <f>Table25[[#This Row],[Bought]]*Table25[[#This Row],[Price]]</f>
        <v>450.20000000000005</v>
      </c>
      <c r="H686">
        <f>SUMIF(Table25[[#All],[Assets]],Table25[[#This Row],[Assets]],Table25[[#All],[Bought]])</f>
        <v>104</v>
      </c>
      <c r="I686">
        <f>SUMIF(Table25[[#All],[Assets]],Table25[[#This Row],[Assets]],Table25[[#All],[Bought Amount]])</f>
        <v>6111.46</v>
      </c>
      <c r="J686" s="88">
        <f>IF(Table25[[#This Row],[Number of stocks]]&lt;0,Table25[[#This Row],[Number of stocks]],0)</f>
        <v>0</v>
      </c>
      <c r="K686" s="5">
        <f>Table25[[#This Row],[Sold]]*Table25[[#This Row],[Price]]</f>
        <v>0</v>
      </c>
      <c r="L686" s="8">
        <f>ABS(SUMIF(Table25[[#All],[Assets]],Table25[[#This Row],[Assets]],Table25[[#All],[Sold]]))</f>
        <v>104</v>
      </c>
      <c r="M686" s="5">
        <f>ABS(SUMIF(Table25[[#All],[Assets]],Table25[[#This Row],[Assets]],Table25[[#All],[Sold Amount]]))</f>
        <v>6244.5899999999992</v>
      </c>
      <c r="N686" s="5">
        <f>IFERROR(Table25[[#This Row],[Total sold amount]]/Table25[[#This Row],[Total Sold number of stocks]],"")</f>
        <v>60.044134615384607</v>
      </c>
      <c r="O686" s="4">
        <f>IFERROR(Table25[[#This Row],[Total Amount bought]]/Table25[[#This Row],[Total number bought]],"")</f>
        <v>58.764038461538462</v>
      </c>
      <c r="P686" s="4">
        <f>IFERROR((Table25[[#This Row],[Average sell price]]-Table25[[#This Row],[Average buy price]])*Table25[[#This Row],[Total Sold number of stocks]],0)</f>
        <v>133.12999999999909</v>
      </c>
      <c r="Q686" s="85">
        <f>SUMIF(Table25[[#All],[Assets]],Table25[[#This Row],[Assets]],Table25[[#All],[Number of stocks]])</f>
        <v>0</v>
      </c>
    </row>
    <row r="687" spans="1:17">
      <c r="A687" t="e" vm="56">
        <v>#VALUE!</v>
      </c>
      <c r="B687" s="2">
        <v>45652</v>
      </c>
      <c r="C687" t="str" cm="1">
        <f t="array" aca="1" ref="C687" ca="1">_FV(A687,"Ticker symbol",TRUE)</f>
        <v>PBF</v>
      </c>
      <c r="D687" s="4">
        <v>25.78</v>
      </c>
      <c r="E687" s="50">
        <v>20</v>
      </c>
      <c r="F687" s="81">
        <f>IF(Table25[[#This Row],[Number of stocks]]&gt;0,Table25[[#This Row],[Number of stocks]],0)</f>
        <v>20</v>
      </c>
      <c r="G687" s="73">
        <f>Table25[[#This Row],[Bought]]*Table25[[#This Row],[Price]]</f>
        <v>515.6</v>
      </c>
      <c r="H687">
        <f>SUMIF(Table25[[#All],[Assets]],Table25[[#This Row],[Assets]],Table25[[#All],[Bought]])</f>
        <v>55</v>
      </c>
      <c r="I687">
        <f>SUMIF(Table25[[#All],[Assets]],Table25[[#This Row],[Assets]],Table25[[#All],[Bought Amount]])</f>
        <v>2249.35</v>
      </c>
      <c r="J687" s="88">
        <f>IF(Table25[[#This Row],[Number of stocks]]&lt;0,Table25[[#This Row],[Number of stocks]],0)</f>
        <v>0</v>
      </c>
      <c r="K687" s="5">
        <f>Table25[[#This Row],[Sold]]*Table25[[#This Row],[Price]]</f>
        <v>0</v>
      </c>
      <c r="L687" s="8">
        <f>ABS(SUMIF(Table25[[#All],[Assets]],Table25[[#This Row],[Assets]],Table25[[#All],[Sold]]))</f>
        <v>15</v>
      </c>
      <c r="M687" s="5">
        <f>ABS(SUMIF(Table25[[#All],[Assets]],Table25[[#This Row],[Assets]],Table25[[#All],[Sold Amount]]))</f>
        <v>543.15</v>
      </c>
      <c r="N687" s="5">
        <f>IFERROR(Table25[[#This Row],[Total sold amount]]/Table25[[#This Row],[Total Sold number of stocks]],"")</f>
        <v>36.21</v>
      </c>
      <c r="O687" s="4">
        <f>IFERROR(Table25[[#This Row],[Total Amount bought]]/Table25[[#This Row],[Total number bought]],"")</f>
        <v>40.897272727272728</v>
      </c>
      <c r="P687" s="4">
        <f>IFERROR((Table25[[#This Row],[Average sell price]]-Table25[[#This Row],[Average buy price]])*Table25[[#This Row],[Total Sold number of stocks]],0)</f>
        <v>-70.309090909090912</v>
      </c>
      <c r="Q687" s="85">
        <f>SUMIF(Table25[[#All],[Assets]],Table25[[#This Row],[Assets]],Table25[[#All],[Number of stocks]])</f>
        <v>40</v>
      </c>
    </row>
    <row r="688" spans="1:17">
      <c r="A688" t="e" vm="83">
        <v>#VALUE!</v>
      </c>
      <c r="B688" s="2">
        <v>45652</v>
      </c>
      <c r="C688" t="str" cm="1">
        <f t="array" aca="1" ref="C688" ca="1">_FV(A688,"Ticker symbol",TRUE)</f>
        <v>FOA</v>
      </c>
      <c r="D688" s="4">
        <v>28.62</v>
      </c>
      <c r="E688" s="50">
        <v>20</v>
      </c>
      <c r="F688" s="81">
        <f>IF(Table25[[#This Row],[Number of stocks]]&gt;0,Table25[[#This Row],[Number of stocks]],0)</f>
        <v>20</v>
      </c>
      <c r="G688" s="73">
        <f>Table25[[#This Row],[Bought]]*Table25[[#This Row],[Price]]</f>
        <v>572.4</v>
      </c>
      <c r="H688">
        <f>SUMIF(Table25[[#All],[Assets]],Table25[[#This Row],[Assets]],Table25[[#All],[Bought]])</f>
        <v>203</v>
      </c>
      <c r="I688">
        <f>SUMIF(Table25[[#All],[Assets]],Table25[[#This Row],[Assets]],Table25[[#All],[Bought Amount]])</f>
        <v>4881.38</v>
      </c>
      <c r="J688" s="88">
        <f>IF(Table25[[#This Row],[Number of stocks]]&lt;0,Table25[[#This Row],[Number of stocks]],0)</f>
        <v>0</v>
      </c>
      <c r="K688" s="5">
        <f>Table25[[#This Row],[Sold]]*Table25[[#This Row],[Price]]</f>
        <v>0</v>
      </c>
      <c r="L688" s="8">
        <f>ABS(SUMIF(Table25[[#All],[Assets]],Table25[[#This Row],[Assets]],Table25[[#All],[Sold]]))</f>
        <v>203</v>
      </c>
      <c r="M688" s="5">
        <f>ABS(SUMIF(Table25[[#All],[Assets]],Table25[[#This Row],[Assets]],Table25[[#All],[Sold Amount]]))</f>
        <v>4534.54</v>
      </c>
      <c r="N688" s="5">
        <f>IFERROR(Table25[[#This Row],[Total sold amount]]/Table25[[#This Row],[Total Sold number of stocks]],"")</f>
        <v>22.337635467980295</v>
      </c>
      <c r="O688" s="4">
        <f>IFERROR(Table25[[#This Row],[Total Amount bought]]/Table25[[#This Row],[Total number bought]],"")</f>
        <v>24.046206896551723</v>
      </c>
      <c r="P688" s="4">
        <f>IFERROR((Table25[[#This Row],[Average sell price]]-Table25[[#This Row],[Average buy price]])*Table25[[#This Row],[Total Sold number of stocks]],0)</f>
        <v>-346.83999999999992</v>
      </c>
      <c r="Q688" s="85">
        <f>SUMIF(Table25[[#All],[Assets]],Table25[[#This Row],[Assets]],Table25[[#All],[Number of stocks]])</f>
        <v>0</v>
      </c>
    </row>
    <row r="689" spans="1:17">
      <c r="A689" t="e" vm="46">
        <v>#VALUE!</v>
      </c>
      <c r="B689" s="2">
        <v>45652</v>
      </c>
      <c r="C689" t="str" cm="1">
        <f t="array" aca="1" ref="C689" ca="1">_FV(A689,"Ticker symbol",TRUE)</f>
        <v>ASPI</v>
      </c>
      <c r="D689" s="4">
        <v>4.59</v>
      </c>
      <c r="E689" s="50">
        <v>-80</v>
      </c>
      <c r="F689" s="81">
        <f>IF(Table25[[#This Row],[Number of stocks]]&gt;0,Table25[[#This Row],[Number of stocks]],0)</f>
        <v>0</v>
      </c>
      <c r="G689" s="73">
        <f>Table25[[#This Row],[Bought]]*Table25[[#This Row],[Price]]</f>
        <v>0</v>
      </c>
      <c r="H689">
        <f>SUMIF(Table25[[#All],[Assets]],Table25[[#This Row],[Assets]],Table25[[#All],[Bought]])</f>
        <v>1899</v>
      </c>
      <c r="I689">
        <f>SUMIF(Table25[[#All],[Assets]],Table25[[#This Row],[Assets]],Table25[[#All],[Bought Amount]])</f>
        <v>8555.869999999999</v>
      </c>
      <c r="J689" s="88">
        <f>IF(Table25[[#This Row],[Number of stocks]]&lt;0,Table25[[#This Row],[Number of stocks]],0)</f>
        <v>-80</v>
      </c>
      <c r="K689" s="5">
        <f>Table25[[#This Row],[Sold]]*Table25[[#This Row],[Price]]</f>
        <v>-367.2</v>
      </c>
      <c r="L689" s="8">
        <f>ABS(SUMIF(Table25[[#All],[Assets]],Table25[[#This Row],[Assets]],Table25[[#All],[Sold]]))</f>
        <v>1599</v>
      </c>
      <c r="M689" s="5">
        <f>ABS(SUMIF(Table25[[#All],[Assets]],Table25[[#This Row],[Assets]],Table25[[#All],[Sold Amount]]))</f>
        <v>8799.17</v>
      </c>
      <c r="N689" s="5">
        <f>IFERROR(Table25[[#This Row],[Total sold amount]]/Table25[[#This Row],[Total Sold number of stocks]],"")</f>
        <v>5.5029205753595996</v>
      </c>
      <c r="O689" s="4">
        <f>IFERROR(Table25[[#This Row],[Total Amount bought]]/Table25[[#This Row],[Total number bought]],"")</f>
        <v>4.5054607688256976</v>
      </c>
      <c r="P689" s="4">
        <f>IFERROR((Table25[[#This Row],[Average sell price]]-Table25[[#This Row],[Average buy price]])*Table25[[#This Row],[Total Sold number of stocks]],0)</f>
        <v>1594.9382306477094</v>
      </c>
      <c r="Q689" s="85">
        <f>SUMIF(Table25[[#All],[Assets]],Table25[[#This Row],[Assets]],Table25[[#All],[Number of stocks]])</f>
        <v>300</v>
      </c>
    </row>
    <row r="690" spans="1:17">
      <c r="A690" t="e" vm="82">
        <v>#VALUE!</v>
      </c>
      <c r="B690" s="2">
        <v>45652</v>
      </c>
      <c r="C690" t="str" cm="1">
        <f t="array" aca="1" ref="C690" ca="1">_FV(A690,"Ticker symbol",TRUE)</f>
        <v>XYZ</v>
      </c>
      <c r="D690" s="4">
        <v>86.02</v>
      </c>
      <c r="E690" s="50">
        <v>1</v>
      </c>
      <c r="F690" s="81">
        <f>IF(Table25[[#This Row],[Number of stocks]]&gt;0,Table25[[#This Row],[Number of stocks]],0)</f>
        <v>1</v>
      </c>
      <c r="G690" s="73">
        <f>Table25[[#This Row],[Bought]]*Table25[[#This Row],[Price]]</f>
        <v>86.02</v>
      </c>
      <c r="H690">
        <f>SUMIF(Table25[[#All],[Assets]],Table25[[#This Row],[Assets]],Table25[[#All],[Bought]])</f>
        <v>35</v>
      </c>
      <c r="I690">
        <f>SUMIF(Table25[[#All],[Assets]],Table25[[#This Row],[Assets]],Table25[[#All],[Bought Amount]])</f>
        <v>2551.4399999999996</v>
      </c>
      <c r="J690" s="88">
        <f>IF(Table25[[#This Row],[Number of stocks]]&lt;0,Table25[[#This Row],[Number of stocks]],0)</f>
        <v>0</v>
      </c>
      <c r="K690" s="5">
        <f>Table25[[#This Row],[Sold]]*Table25[[#This Row],[Price]]</f>
        <v>0</v>
      </c>
      <c r="L690" s="8">
        <f>ABS(SUMIF(Table25[[#All],[Assets]],Table25[[#This Row],[Assets]],Table25[[#All],[Sold]]))</f>
        <v>35</v>
      </c>
      <c r="M690" s="5">
        <f>ABS(SUMIF(Table25[[#All],[Assets]],Table25[[#This Row],[Assets]],Table25[[#All],[Sold Amount]]))</f>
        <v>2639.0700000000006</v>
      </c>
      <c r="N690" s="5">
        <f>IFERROR(Table25[[#This Row],[Total sold amount]]/Table25[[#This Row],[Total Sold number of stocks]],"")</f>
        <v>75.402000000000015</v>
      </c>
      <c r="O690" s="4">
        <f>IFERROR(Table25[[#This Row],[Total Amount bought]]/Table25[[#This Row],[Total number bought]],"")</f>
        <v>72.898285714285706</v>
      </c>
      <c r="P690" s="4">
        <f>IFERROR((Table25[[#This Row],[Average sell price]]-Table25[[#This Row],[Average buy price]])*Table25[[#This Row],[Total Sold number of stocks]],0)</f>
        <v>87.630000000000834</v>
      </c>
      <c r="Q690" s="85">
        <f>SUMIF(Table25[[#All],[Assets]],Table25[[#This Row],[Assets]],Table25[[#All],[Number of stocks]])</f>
        <v>0</v>
      </c>
    </row>
    <row r="691" spans="1:17">
      <c r="A691" t="e" vm="267">
        <v>#VALUE!</v>
      </c>
      <c r="B691" s="2">
        <v>45652</v>
      </c>
      <c r="C691" t="str" cm="1">
        <f t="array" aca="1" ref="C691" ca="1">_FV(A691,"Ticker symbol",TRUE)</f>
        <v>NXL</v>
      </c>
      <c r="D691" s="4">
        <v>2.65</v>
      </c>
      <c r="E691" s="50">
        <v>120</v>
      </c>
      <c r="F691" s="81">
        <f>IF(Table25[[#This Row],[Number of stocks]]&gt;0,Table25[[#This Row],[Number of stocks]],0)</f>
        <v>120</v>
      </c>
      <c r="G691" s="73">
        <f>Table25[[#This Row],[Bought]]*Table25[[#This Row],[Price]]</f>
        <v>318</v>
      </c>
      <c r="H691">
        <f>SUMIF(Table25[[#All],[Assets]],Table25[[#This Row],[Assets]],Table25[[#All],[Bought]])</f>
        <v>120</v>
      </c>
      <c r="I691">
        <f>SUMIF(Table25[[#All],[Assets]],Table25[[#This Row],[Assets]],Table25[[#All],[Bought Amount]])</f>
        <v>318</v>
      </c>
      <c r="J691" s="88">
        <f>IF(Table25[[#This Row],[Number of stocks]]&lt;0,Table25[[#This Row],[Number of stocks]],0)</f>
        <v>0</v>
      </c>
      <c r="K691" s="5">
        <f>Table25[[#This Row],[Sold]]*Table25[[#This Row],[Price]]</f>
        <v>0</v>
      </c>
      <c r="L691" s="8">
        <f>ABS(SUMIF(Table25[[#All],[Assets]],Table25[[#This Row],[Assets]],Table25[[#All],[Sold]]))</f>
        <v>120</v>
      </c>
      <c r="M691" s="5">
        <f>ABS(SUMIF(Table25[[#All],[Assets]],Table25[[#This Row],[Assets]],Table25[[#All],[Sold Amount]]))</f>
        <v>108.53999999999999</v>
      </c>
      <c r="N691" s="5">
        <f>IFERROR(Table25[[#This Row],[Total sold amount]]/Table25[[#This Row],[Total Sold number of stocks]],"")</f>
        <v>0.90449999999999997</v>
      </c>
      <c r="O691" s="4">
        <f>IFERROR(Table25[[#This Row],[Total Amount bought]]/Table25[[#This Row],[Total number bought]],"")</f>
        <v>2.65</v>
      </c>
      <c r="P691" s="4">
        <f>IFERROR((Table25[[#This Row],[Average sell price]]-Table25[[#This Row],[Average buy price]])*Table25[[#This Row],[Total Sold number of stocks]],0)</f>
        <v>-209.45999999999998</v>
      </c>
      <c r="Q691" s="85">
        <f>SUMIF(Table25[[#All],[Assets]],Table25[[#This Row],[Assets]],Table25[[#All],[Number of stocks]])</f>
        <v>0</v>
      </c>
    </row>
    <row r="692" spans="1:17">
      <c r="A692" t="e" vm="514">
        <v>#VALUE!</v>
      </c>
      <c r="B692" s="2">
        <v>45659</v>
      </c>
      <c r="C692" t="str" cm="1">
        <f t="array" aca="1" ref="C692" ca="1">_FV(A692,"Ticker symbol",TRUE)</f>
        <v>PTLO</v>
      </c>
      <c r="D692" s="4">
        <v>9.57</v>
      </c>
      <c r="E692" s="50">
        <v>200</v>
      </c>
      <c r="F692" s="81">
        <f>IF(Table25[[#This Row],[Number of stocks]]&gt;0,Table25[[#This Row],[Number of stocks]],0)</f>
        <v>200</v>
      </c>
      <c r="G692" s="73">
        <f>Table25[[#This Row],[Bought]]*Table25[[#This Row],[Price]]</f>
        <v>1914</v>
      </c>
      <c r="H692">
        <f>SUMIF(Table25[[#All],[Assets]],Table25[[#This Row],[Assets]],Table25[[#All],[Bought]])</f>
        <v>200</v>
      </c>
      <c r="I692">
        <f>SUMIF(Table25[[#All],[Assets]],Table25[[#This Row],[Assets]],Table25[[#All],[Bought Amount]])</f>
        <v>1914</v>
      </c>
      <c r="J692" s="88">
        <f>IF(Table25[[#This Row],[Number of stocks]]&lt;0,Table25[[#This Row],[Number of stocks]],0)</f>
        <v>0</v>
      </c>
      <c r="K692" s="5">
        <f>Table25[[#This Row],[Sold]]*Table25[[#This Row],[Price]]</f>
        <v>0</v>
      </c>
      <c r="L692" s="8">
        <f>ABS(SUMIF(Table25[[#All],[Assets]],Table25[[#This Row],[Assets]],Table25[[#All],[Sold]]))</f>
        <v>200</v>
      </c>
      <c r="M692" s="5">
        <f>ABS(SUMIF(Table25[[#All],[Assets]],Table25[[#This Row],[Assets]],Table25[[#All],[Sold Amount]]))</f>
        <v>2685.5</v>
      </c>
      <c r="N692" s="5">
        <f>IFERROR(Table25[[#This Row],[Total sold amount]]/Table25[[#This Row],[Total Sold number of stocks]],"")</f>
        <v>13.4275</v>
      </c>
      <c r="O692" s="4">
        <f>IFERROR(Table25[[#This Row],[Total Amount bought]]/Table25[[#This Row],[Total number bought]],"")</f>
        <v>9.57</v>
      </c>
      <c r="P692" s="4">
        <f>IFERROR((Table25[[#This Row],[Average sell price]]-Table25[[#This Row],[Average buy price]])*Table25[[#This Row],[Total Sold number of stocks]],0)</f>
        <v>771.5</v>
      </c>
      <c r="Q692" s="85">
        <f>SUMIF(Table25[[#All],[Assets]],Table25[[#This Row],[Assets]],Table25[[#All],[Number of stocks]])</f>
        <v>0</v>
      </c>
    </row>
    <row r="693" spans="1:17">
      <c r="A693" t="e" vm="282">
        <v>#VALUE!</v>
      </c>
      <c r="B693" s="2">
        <v>45659</v>
      </c>
      <c r="C693" t="str" cm="1">
        <f t="array" aca="1" ref="C693" ca="1">_FV(A693,"Ticker symbol",TRUE)</f>
        <v>ARQT</v>
      </c>
      <c r="D693" s="4">
        <v>14.98</v>
      </c>
      <c r="E693" s="50">
        <v>70</v>
      </c>
      <c r="F693" s="81">
        <f>IF(Table25[[#This Row],[Number of stocks]]&gt;0,Table25[[#This Row],[Number of stocks]],0)</f>
        <v>70</v>
      </c>
      <c r="G693" s="73">
        <f>Table25[[#This Row],[Bought]]*Table25[[#This Row],[Price]]</f>
        <v>1048.6000000000001</v>
      </c>
      <c r="H693">
        <f>SUMIF(Table25[[#All],[Assets]],Table25[[#This Row],[Assets]],Table25[[#All],[Bought]])</f>
        <v>70</v>
      </c>
      <c r="I693">
        <f>SUMIF(Table25[[#All],[Assets]],Table25[[#This Row],[Assets]],Table25[[#All],[Bought Amount]])</f>
        <v>1048.6000000000001</v>
      </c>
      <c r="J693" s="88">
        <f>IF(Table25[[#This Row],[Number of stocks]]&lt;0,Table25[[#This Row],[Number of stocks]],0)</f>
        <v>0</v>
      </c>
      <c r="K693" s="5">
        <f>Table25[[#This Row],[Sold]]*Table25[[#This Row],[Price]]</f>
        <v>0</v>
      </c>
      <c r="L693" s="8">
        <f>ABS(SUMIF(Table25[[#All],[Assets]],Table25[[#This Row],[Assets]],Table25[[#All],[Sold]]))</f>
        <v>70</v>
      </c>
      <c r="M693" s="5">
        <f>ABS(SUMIF(Table25[[#All],[Assets]],Table25[[#This Row],[Assets]],Table25[[#All],[Sold Amount]]))</f>
        <v>985.95</v>
      </c>
      <c r="N693" s="5">
        <f>IFERROR(Table25[[#This Row],[Total sold amount]]/Table25[[#This Row],[Total Sold number of stocks]],"")</f>
        <v>14.085000000000001</v>
      </c>
      <c r="O693" s="4">
        <f>IFERROR(Table25[[#This Row],[Total Amount bought]]/Table25[[#This Row],[Total number bought]],"")</f>
        <v>14.980000000000002</v>
      </c>
      <c r="P693" s="4">
        <f>IFERROR((Table25[[#This Row],[Average sell price]]-Table25[[#This Row],[Average buy price]])*Table25[[#This Row],[Total Sold number of stocks]],0)</f>
        <v>-62.650000000000091</v>
      </c>
      <c r="Q693" s="85">
        <f>SUMIF(Table25[[#All],[Assets]],Table25[[#This Row],[Assets]],Table25[[#All],[Number of stocks]])</f>
        <v>0</v>
      </c>
    </row>
    <row r="694" spans="1:17">
      <c r="A694" t="e" vm="182">
        <v>#VALUE!</v>
      </c>
      <c r="B694" s="2">
        <v>45659</v>
      </c>
      <c r="C694" t="str" cm="1">
        <f t="array" aca="1" ref="C694" ca="1">_FV(A694,"Ticker symbol",TRUE)</f>
        <v>PUMP</v>
      </c>
      <c r="D694" s="4">
        <v>9.83</v>
      </c>
      <c r="E694" s="50">
        <v>50</v>
      </c>
      <c r="F694" s="81">
        <f>IF(Table25[[#This Row],[Number of stocks]]&gt;0,Table25[[#This Row],[Number of stocks]],0)</f>
        <v>50</v>
      </c>
      <c r="G694" s="73">
        <f>Table25[[#This Row],[Bought]]*Table25[[#This Row],[Price]]</f>
        <v>491.5</v>
      </c>
      <c r="H694">
        <f>SUMIF(Table25[[#All],[Assets]],Table25[[#This Row],[Assets]],Table25[[#All],[Bought]])</f>
        <v>425</v>
      </c>
      <c r="I694">
        <f>SUMIF(Table25[[#All],[Assets]],Table25[[#This Row],[Assets]],Table25[[#All],[Bought Amount]])</f>
        <v>2988.75</v>
      </c>
      <c r="J694" s="88">
        <f>IF(Table25[[#This Row],[Number of stocks]]&lt;0,Table25[[#This Row],[Number of stocks]],0)</f>
        <v>0</v>
      </c>
      <c r="K694" s="5">
        <f>Table25[[#This Row],[Sold]]*Table25[[#This Row],[Price]]</f>
        <v>0</v>
      </c>
      <c r="L694" s="8">
        <f>ABS(SUMIF(Table25[[#All],[Assets]],Table25[[#This Row],[Assets]],Table25[[#All],[Sold]]))</f>
        <v>100</v>
      </c>
      <c r="M694" s="5">
        <f>ABS(SUMIF(Table25[[#All],[Assets]],Table25[[#This Row],[Assets]],Table25[[#All],[Sold Amount]]))</f>
        <v>831</v>
      </c>
      <c r="N694" s="5">
        <f>IFERROR(Table25[[#This Row],[Total sold amount]]/Table25[[#This Row],[Total Sold number of stocks]],"")</f>
        <v>8.31</v>
      </c>
      <c r="O694" s="4">
        <f>IFERROR(Table25[[#This Row],[Total Amount bought]]/Table25[[#This Row],[Total number bought]],"")</f>
        <v>7.0323529411764705</v>
      </c>
      <c r="P694" s="4">
        <f>IFERROR((Table25[[#This Row],[Average sell price]]-Table25[[#This Row],[Average buy price]])*Table25[[#This Row],[Total Sold number of stocks]],0)</f>
        <v>127.764705882353</v>
      </c>
      <c r="Q694" s="85">
        <f>SUMIF(Table25[[#All],[Assets]],Table25[[#This Row],[Assets]],Table25[[#All],[Number of stocks]])</f>
        <v>325</v>
      </c>
    </row>
    <row r="695" spans="1:17">
      <c r="A695" t="e" vm="195">
        <v>#VALUE!</v>
      </c>
      <c r="B695" s="2">
        <v>45659</v>
      </c>
      <c r="C695" t="str" cm="1">
        <f t="array" aca="1" ref="C695" ca="1">_FV(A695,"Ticker symbol",TRUE)</f>
        <v>LBRT</v>
      </c>
      <c r="D695" s="4">
        <v>21.11</v>
      </c>
      <c r="E695" s="50">
        <v>20</v>
      </c>
      <c r="F695" s="81">
        <f>IF(Table25[[#This Row],[Number of stocks]]&gt;0,Table25[[#This Row],[Number of stocks]],0)</f>
        <v>20</v>
      </c>
      <c r="G695" s="73">
        <f>Table25[[#This Row],[Bought]]*Table25[[#This Row],[Price]]</f>
        <v>422.2</v>
      </c>
      <c r="H695">
        <f>SUMIF(Table25[[#All],[Assets]],Table25[[#This Row],[Assets]],Table25[[#All],[Bought]])</f>
        <v>130</v>
      </c>
      <c r="I695">
        <f>SUMIF(Table25[[#All],[Assets]],Table25[[#This Row],[Assets]],Table25[[#All],[Bought Amount]])</f>
        <v>2190.91</v>
      </c>
      <c r="J695" s="88">
        <f>IF(Table25[[#This Row],[Number of stocks]]&lt;0,Table25[[#This Row],[Number of stocks]],0)</f>
        <v>0</v>
      </c>
      <c r="K695" s="5">
        <f>Table25[[#This Row],[Sold]]*Table25[[#This Row],[Price]]</f>
        <v>0</v>
      </c>
      <c r="L695" s="8">
        <f>ABS(SUMIF(Table25[[#All],[Assets]],Table25[[#This Row],[Assets]],Table25[[#All],[Sold]]))</f>
        <v>60</v>
      </c>
      <c r="M695" s="5">
        <f>ABS(SUMIF(Table25[[#All],[Assets]],Table25[[#This Row],[Assets]],Table25[[#All],[Sold Amount]]))</f>
        <v>982.86</v>
      </c>
      <c r="N695" s="5">
        <f>IFERROR(Table25[[#This Row],[Total sold amount]]/Table25[[#This Row],[Total Sold number of stocks]],"")</f>
        <v>16.381</v>
      </c>
      <c r="O695" s="4">
        <f>IFERROR(Table25[[#This Row],[Total Amount bought]]/Table25[[#This Row],[Total number bought]],"")</f>
        <v>16.853153846153845</v>
      </c>
      <c r="P695" s="4">
        <f>IFERROR((Table25[[#This Row],[Average sell price]]-Table25[[#This Row],[Average buy price]])*Table25[[#This Row],[Total Sold number of stocks]],0)</f>
        <v>-28.329230769230662</v>
      </c>
      <c r="Q695" s="85">
        <f>SUMIF(Table25[[#All],[Assets]],Table25[[#This Row],[Assets]],Table25[[#All],[Number of stocks]])</f>
        <v>70</v>
      </c>
    </row>
    <row r="696" spans="1:17">
      <c r="A696" t="e" vm="88">
        <v>#VALUE!</v>
      </c>
      <c r="B696" s="2">
        <v>45659</v>
      </c>
      <c r="C696" t="str" cm="1">
        <f t="array" aca="1" ref="C696" ca="1">_FV(A696,"Ticker symbol",TRUE)</f>
        <v>SPIR</v>
      </c>
      <c r="D696" s="4">
        <v>14.53</v>
      </c>
      <c r="E696" s="50">
        <v>40</v>
      </c>
      <c r="F696" s="81">
        <f>IF(Table25[[#This Row],[Number of stocks]]&gt;0,Table25[[#This Row],[Number of stocks]],0)</f>
        <v>40</v>
      </c>
      <c r="G696" s="73">
        <f>Table25[[#This Row],[Bought]]*Table25[[#This Row],[Price]]</f>
        <v>581.19999999999993</v>
      </c>
      <c r="H696">
        <f>SUMIF(Table25[[#All],[Assets]],Table25[[#This Row],[Assets]],Table25[[#All],[Bought]])</f>
        <v>173</v>
      </c>
      <c r="I696">
        <f>SUMIF(Table25[[#All],[Assets]],Table25[[#This Row],[Assets]],Table25[[#All],[Bought Amount]])</f>
        <v>2251.35</v>
      </c>
      <c r="J696" s="88">
        <f>IF(Table25[[#This Row],[Number of stocks]]&lt;0,Table25[[#This Row],[Number of stocks]],0)</f>
        <v>0</v>
      </c>
      <c r="K696" s="5">
        <f>Table25[[#This Row],[Sold]]*Table25[[#This Row],[Price]]</f>
        <v>0</v>
      </c>
      <c r="L696" s="8">
        <f>ABS(SUMIF(Table25[[#All],[Assets]],Table25[[#This Row],[Assets]],Table25[[#All],[Sold]]))</f>
        <v>173</v>
      </c>
      <c r="M696" s="5">
        <f>ABS(SUMIF(Table25[[#All],[Assets]],Table25[[#This Row],[Assets]],Table25[[#All],[Sold Amount]]))</f>
        <v>2095.02</v>
      </c>
      <c r="N696" s="5">
        <f>IFERROR(Table25[[#This Row],[Total sold amount]]/Table25[[#This Row],[Total Sold number of stocks]],"")</f>
        <v>12.109942196531792</v>
      </c>
      <c r="O696" s="4">
        <f>IFERROR(Table25[[#This Row],[Total Amount bought]]/Table25[[#This Row],[Total number bought]],"")</f>
        <v>13.013583815028902</v>
      </c>
      <c r="P696" s="4">
        <f>IFERROR((Table25[[#This Row],[Average sell price]]-Table25[[#This Row],[Average buy price]])*Table25[[#This Row],[Total Sold number of stocks]],0)</f>
        <v>-156.33000000000001</v>
      </c>
      <c r="Q696" s="85">
        <f>SUMIF(Table25[[#All],[Assets]],Table25[[#This Row],[Assets]],Table25[[#All],[Number of stocks]])</f>
        <v>0</v>
      </c>
    </row>
    <row r="697" spans="1:17">
      <c r="A697" t="e" vm="280">
        <v>#VALUE!</v>
      </c>
      <c r="B697" s="2">
        <v>45659</v>
      </c>
      <c r="C697" t="str" cm="1">
        <f t="array" aca="1" ref="C697" ca="1">_FV(A697,"Ticker symbol",TRUE)</f>
        <v>CHWY</v>
      </c>
      <c r="D697" s="4">
        <v>33.380000000000003</v>
      </c>
      <c r="E697" s="50">
        <v>15</v>
      </c>
      <c r="F697" s="81">
        <f>IF(Table25[[#This Row],[Number of stocks]]&gt;0,Table25[[#This Row],[Number of stocks]],0)</f>
        <v>15</v>
      </c>
      <c r="G697" s="73">
        <f>Table25[[#This Row],[Bought]]*Table25[[#This Row],[Price]]</f>
        <v>500.70000000000005</v>
      </c>
      <c r="H697">
        <f>SUMIF(Table25[[#All],[Assets]],Table25[[#This Row],[Assets]],Table25[[#All],[Bought]])</f>
        <v>30</v>
      </c>
      <c r="I697">
        <f>SUMIF(Table25[[#All],[Assets]],Table25[[#This Row],[Assets]],Table25[[#All],[Bought Amount]])</f>
        <v>1013.55</v>
      </c>
      <c r="J697" s="88">
        <f>IF(Table25[[#This Row],[Number of stocks]]&lt;0,Table25[[#This Row],[Number of stocks]],0)</f>
        <v>0</v>
      </c>
      <c r="K697" s="5">
        <f>Table25[[#This Row],[Sold]]*Table25[[#This Row],[Price]]</f>
        <v>0</v>
      </c>
      <c r="L697" s="8">
        <f>ABS(SUMIF(Table25[[#All],[Assets]],Table25[[#This Row],[Assets]],Table25[[#All],[Sold]]))</f>
        <v>30</v>
      </c>
      <c r="M697" s="5">
        <f>ABS(SUMIF(Table25[[#All],[Assets]],Table25[[#This Row],[Assets]],Table25[[#All],[Sold Amount]]))</f>
        <v>1104.3000000000002</v>
      </c>
      <c r="N697" s="5">
        <f>IFERROR(Table25[[#This Row],[Total sold amount]]/Table25[[#This Row],[Total Sold number of stocks]],"")</f>
        <v>36.810000000000009</v>
      </c>
      <c r="O697" s="4">
        <f>IFERROR(Table25[[#This Row],[Total Amount bought]]/Table25[[#This Row],[Total number bought]],"")</f>
        <v>33.784999999999997</v>
      </c>
      <c r="P697" s="4">
        <f>IFERROR((Table25[[#This Row],[Average sell price]]-Table25[[#This Row],[Average buy price]])*Table25[[#This Row],[Total Sold number of stocks]],0)</f>
        <v>90.750000000000384</v>
      </c>
      <c r="Q697" s="85">
        <f>SUMIF(Table25[[#All],[Assets]],Table25[[#This Row],[Assets]],Table25[[#All],[Number of stocks]])</f>
        <v>0</v>
      </c>
    </row>
    <row r="698" spans="1:17">
      <c r="A698" t="e" vm="32">
        <v>#VALUE!</v>
      </c>
      <c r="B698" s="2">
        <v>45659</v>
      </c>
      <c r="C698" t="str" cm="1">
        <f t="array" aca="1" ref="C698" ca="1">_FV(A698,"Ticker symbol",TRUE)</f>
        <v>MU</v>
      </c>
      <c r="D698" s="4">
        <v>86.72</v>
      </c>
      <c r="E698" s="50">
        <v>5</v>
      </c>
      <c r="F698" s="81">
        <f>IF(Table25[[#This Row],[Number of stocks]]&gt;0,Table25[[#This Row],[Number of stocks]],0)</f>
        <v>5</v>
      </c>
      <c r="G698" s="73">
        <f>Table25[[#This Row],[Bought]]*Table25[[#This Row],[Price]]</f>
        <v>433.6</v>
      </c>
      <c r="H698">
        <f>SUMIF(Table25[[#All],[Assets]],Table25[[#This Row],[Assets]],Table25[[#All],[Bought]])</f>
        <v>59</v>
      </c>
      <c r="I698">
        <f>SUMIF(Table25[[#All],[Assets]],Table25[[#This Row],[Assets]],Table25[[#All],[Bought Amount]])</f>
        <v>6964.04</v>
      </c>
      <c r="J698" s="88">
        <f>IF(Table25[[#This Row],[Number of stocks]]&lt;0,Table25[[#This Row],[Number of stocks]],0)</f>
        <v>0</v>
      </c>
      <c r="K698" s="5">
        <f>Table25[[#This Row],[Sold]]*Table25[[#This Row],[Price]]</f>
        <v>0</v>
      </c>
      <c r="L698" s="8">
        <f>ABS(SUMIF(Table25[[#All],[Assets]],Table25[[#This Row],[Assets]],Table25[[#All],[Sold]]))</f>
        <v>58</v>
      </c>
      <c r="M698" s="5">
        <f>ABS(SUMIF(Table25[[#All],[Assets]],Table25[[#This Row],[Assets]],Table25[[#All],[Sold Amount]]))</f>
        <v>6974.51</v>
      </c>
      <c r="N698" s="5">
        <f>IFERROR(Table25[[#This Row],[Total sold amount]]/Table25[[#This Row],[Total Sold number of stocks]],"")</f>
        <v>120.25017241379311</v>
      </c>
      <c r="O698" s="4">
        <f>IFERROR(Table25[[#This Row],[Total Amount bought]]/Table25[[#This Row],[Total number bought]],"")</f>
        <v>118.03457627118644</v>
      </c>
      <c r="P698" s="4">
        <f>IFERROR((Table25[[#This Row],[Average sell price]]-Table25[[#This Row],[Average buy price]])*Table25[[#This Row],[Total Sold number of stocks]],0)</f>
        <v>128.50457627118692</v>
      </c>
      <c r="Q698" s="85">
        <f>SUMIF(Table25[[#All],[Assets]],Table25[[#This Row],[Assets]],Table25[[#All],[Number of stocks]])</f>
        <v>1</v>
      </c>
    </row>
    <row r="699" spans="1:17">
      <c r="A699" t="e" vm="248">
        <v>#VALUE!</v>
      </c>
      <c r="B699" s="2">
        <v>45659</v>
      </c>
      <c r="C699" t="str" cm="1">
        <f t="array" aca="1" ref="C699" ca="1">_FV(A699,"Ticker symbol",TRUE)</f>
        <v>GTLS</v>
      </c>
      <c r="D699" s="4">
        <v>191.57</v>
      </c>
      <c r="E699" s="50">
        <v>6</v>
      </c>
      <c r="F699" s="81">
        <f>IF(Table25[[#This Row],[Number of stocks]]&gt;0,Table25[[#This Row],[Number of stocks]],0)</f>
        <v>6</v>
      </c>
      <c r="G699" s="73">
        <f>Table25[[#This Row],[Bought]]*Table25[[#This Row],[Price]]</f>
        <v>1149.42</v>
      </c>
      <c r="H699">
        <f>SUMIF(Table25[[#All],[Assets]],Table25[[#This Row],[Assets]],Table25[[#All],[Bought]])</f>
        <v>7</v>
      </c>
      <c r="I699">
        <f>SUMIF(Table25[[#All],[Assets]],Table25[[#This Row],[Assets]],Table25[[#All],[Bought Amount]])</f>
        <v>1345.45</v>
      </c>
      <c r="J699" s="88">
        <f>IF(Table25[[#This Row],[Number of stocks]]&lt;0,Table25[[#This Row],[Number of stocks]],0)</f>
        <v>0</v>
      </c>
      <c r="K699" s="5">
        <f>Table25[[#This Row],[Sold]]*Table25[[#This Row],[Price]]</f>
        <v>0</v>
      </c>
      <c r="L699" s="8">
        <f>ABS(SUMIF(Table25[[#All],[Assets]],Table25[[#This Row],[Assets]],Table25[[#All],[Sold]]))</f>
        <v>7</v>
      </c>
      <c r="M699" s="5">
        <f>ABS(SUMIF(Table25[[#All],[Assets]],Table25[[#This Row],[Assets]],Table25[[#All],[Sold Amount]]))</f>
        <v>1011.9200000000001</v>
      </c>
      <c r="N699" s="5">
        <f>IFERROR(Table25[[#This Row],[Total sold amount]]/Table25[[#This Row],[Total Sold number of stocks]],"")</f>
        <v>144.56</v>
      </c>
      <c r="O699" s="4">
        <f>IFERROR(Table25[[#This Row],[Total Amount bought]]/Table25[[#This Row],[Total number bought]],"")</f>
        <v>192.20714285714286</v>
      </c>
      <c r="P699" s="4">
        <f>IFERROR((Table25[[#This Row],[Average sell price]]-Table25[[#This Row],[Average buy price]])*Table25[[#This Row],[Total Sold number of stocks]],0)</f>
        <v>-333.53</v>
      </c>
      <c r="Q699" s="85">
        <f>SUMIF(Table25[[#All],[Assets]],Table25[[#This Row],[Assets]],Table25[[#All],[Number of stocks]])</f>
        <v>0</v>
      </c>
    </row>
    <row r="700" spans="1:17">
      <c r="A700" t="e" vm="82">
        <v>#VALUE!</v>
      </c>
      <c r="B700" s="2">
        <v>45659</v>
      </c>
      <c r="C700" t="str" cm="1">
        <f t="array" aca="1" ref="C700" ca="1">_FV(A700,"Ticker symbol",TRUE)</f>
        <v>XYZ</v>
      </c>
      <c r="D700" s="4">
        <v>90.32</v>
      </c>
      <c r="E700" s="50">
        <v>10</v>
      </c>
      <c r="F700" s="81">
        <f>IF(Table25[[#This Row],[Number of stocks]]&gt;0,Table25[[#This Row],[Number of stocks]],0)</f>
        <v>10</v>
      </c>
      <c r="G700" s="73">
        <f>Table25[[#This Row],[Bought]]*Table25[[#This Row],[Price]]</f>
        <v>903.19999999999993</v>
      </c>
      <c r="H700">
        <f>SUMIF(Table25[[#All],[Assets]],Table25[[#This Row],[Assets]],Table25[[#All],[Bought]])</f>
        <v>35</v>
      </c>
      <c r="I700">
        <f>SUMIF(Table25[[#All],[Assets]],Table25[[#This Row],[Assets]],Table25[[#All],[Bought Amount]])</f>
        <v>2551.4399999999996</v>
      </c>
      <c r="J700" s="88">
        <f>IF(Table25[[#This Row],[Number of stocks]]&lt;0,Table25[[#This Row],[Number of stocks]],0)</f>
        <v>0</v>
      </c>
      <c r="K700" s="5">
        <f>Table25[[#This Row],[Sold]]*Table25[[#This Row],[Price]]</f>
        <v>0</v>
      </c>
      <c r="L700" s="8">
        <f>ABS(SUMIF(Table25[[#All],[Assets]],Table25[[#This Row],[Assets]],Table25[[#All],[Sold]]))</f>
        <v>35</v>
      </c>
      <c r="M700" s="5">
        <f>ABS(SUMIF(Table25[[#All],[Assets]],Table25[[#This Row],[Assets]],Table25[[#All],[Sold Amount]]))</f>
        <v>2639.0700000000006</v>
      </c>
      <c r="N700" s="5">
        <f>IFERROR(Table25[[#This Row],[Total sold amount]]/Table25[[#This Row],[Total Sold number of stocks]],"")</f>
        <v>75.402000000000015</v>
      </c>
      <c r="O700" s="4">
        <f>IFERROR(Table25[[#This Row],[Total Amount bought]]/Table25[[#This Row],[Total number bought]],"")</f>
        <v>72.898285714285706</v>
      </c>
      <c r="P700" s="4">
        <f>IFERROR((Table25[[#This Row],[Average sell price]]-Table25[[#This Row],[Average buy price]])*Table25[[#This Row],[Total Sold number of stocks]],0)</f>
        <v>87.630000000000834</v>
      </c>
      <c r="Q700" s="85">
        <f>SUMIF(Table25[[#All],[Assets]],Table25[[#This Row],[Assets]],Table25[[#All],[Number of stocks]])</f>
        <v>0</v>
      </c>
    </row>
    <row r="701" spans="1:17">
      <c r="A701" t="e" vm="239">
        <v>#VALUE!</v>
      </c>
      <c r="B701" s="2">
        <v>45659</v>
      </c>
      <c r="C701" t="str" cm="1">
        <f t="array" aca="1" ref="C701" ca="1">_FV(A701,"Ticker symbol",TRUE)</f>
        <v>U</v>
      </c>
      <c r="D701" s="4">
        <v>24.46</v>
      </c>
      <c r="E701" s="50">
        <v>20</v>
      </c>
      <c r="F701" s="81">
        <f>IF(Table25[[#This Row],[Number of stocks]]&gt;0,Table25[[#This Row],[Number of stocks]],0)</f>
        <v>20</v>
      </c>
      <c r="G701" s="73">
        <f>Table25[[#This Row],[Bought]]*Table25[[#This Row],[Price]]</f>
        <v>489.20000000000005</v>
      </c>
      <c r="H701">
        <f>SUMIF(Table25[[#All],[Assets]],Table25[[#This Row],[Assets]],Table25[[#All],[Bought]])</f>
        <v>36</v>
      </c>
      <c r="I701">
        <f>SUMIF(Table25[[#All],[Assets]],Table25[[#This Row],[Assets]],Table25[[#All],[Bought Amount]])</f>
        <v>1027.28</v>
      </c>
      <c r="J701" s="88">
        <f>IF(Table25[[#This Row],[Number of stocks]]&lt;0,Table25[[#This Row],[Number of stocks]],0)</f>
        <v>0</v>
      </c>
      <c r="K701" s="5">
        <f>Table25[[#This Row],[Sold]]*Table25[[#This Row],[Price]]</f>
        <v>0</v>
      </c>
      <c r="L701" s="8">
        <f>ABS(SUMIF(Table25[[#All],[Assets]],Table25[[#This Row],[Assets]],Table25[[#All],[Sold]]))</f>
        <v>36</v>
      </c>
      <c r="M701" s="5">
        <f>ABS(SUMIF(Table25[[#All],[Assets]],Table25[[#This Row],[Assets]],Table25[[#All],[Sold Amount]]))</f>
        <v>1089.8800000000001</v>
      </c>
      <c r="N701" s="5">
        <f>IFERROR(Table25[[#This Row],[Total sold amount]]/Table25[[#This Row],[Total Sold number of stocks]],"")</f>
        <v>30.274444444444448</v>
      </c>
      <c r="O701" s="4">
        <f>IFERROR(Table25[[#This Row],[Total Amount bought]]/Table25[[#This Row],[Total number bought]],"")</f>
        <v>28.535555555555554</v>
      </c>
      <c r="P701" s="4">
        <f>IFERROR((Table25[[#This Row],[Average sell price]]-Table25[[#This Row],[Average buy price]])*Table25[[#This Row],[Total Sold number of stocks]],0)</f>
        <v>62.600000000000193</v>
      </c>
      <c r="Q701" s="85">
        <f>SUMIF(Table25[[#All],[Assets]],Table25[[#This Row],[Assets]],Table25[[#All],[Number of stocks]])</f>
        <v>0</v>
      </c>
    </row>
    <row r="702" spans="1:17">
      <c r="A702" t="e" vm="24">
        <v>#VALUE!</v>
      </c>
      <c r="B702" s="2">
        <v>45659</v>
      </c>
      <c r="C702" t="str" cm="1">
        <f t="array" aca="1" ref="C702" ca="1">_FV(A702,"Ticker symbol",TRUE)</f>
        <v>QCOM</v>
      </c>
      <c r="D702" s="4">
        <v>158.22999999999999</v>
      </c>
      <c r="E702" s="50">
        <v>7</v>
      </c>
      <c r="F702" s="81">
        <f>IF(Table25[[#This Row],[Number of stocks]]&gt;0,Table25[[#This Row],[Number of stocks]],0)</f>
        <v>7</v>
      </c>
      <c r="G702" s="73">
        <f>Table25[[#This Row],[Bought]]*Table25[[#This Row],[Price]]</f>
        <v>1107.6099999999999</v>
      </c>
      <c r="H702">
        <f>SUMIF(Table25[[#All],[Assets]],Table25[[#This Row],[Assets]],Table25[[#All],[Bought]])</f>
        <v>58</v>
      </c>
      <c r="I702">
        <f>SUMIF(Table25[[#All],[Assets]],Table25[[#This Row],[Assets]],Table25[[#All],[Bought Amount]])</f>
        <v>9670.27</v>
      </c>
      <c r="J702" s="88">
        <f>IF(Table25[[#This Row],[Number of stocks]]&lt;0,Table25[[#This Row],[Number of stocks]],0)</f>
        <v>0</v>
      </c>
      <c r="K702" s="5">
        <f>Table25[[#This Row],[Sold]]*Table25[[#This Row],[Price]]</f>
        <v>0</v>
      </c>
      <c r="L702" s="8">
        <f>ABS(SUMIF(Table25[[#All],[Assets]],Table25[[#This Row],[Assets]],Table25[[#All],[Sold]]))</f>
        <v>57</v>
      </c>
      <c r="M702" s="5">
        <f>ABS(SUMIF(Table25[[#All],[Assets]],Table25[[#This Row],[Assets]],Table25[[#All],[Sold Amount]]))</f>
        <v>8530.1</v>
      </c>
      <c r="N702" s="5">
        <f>IFERROR(Table25[[#This Row],[Total sold amount]]/Table25[[#This Row],[Total Sold number of stocks]],"")</f>
        <v>149.65087719298245</v>
      </c>
      <c r="O702" s="4">
        <f>IFERROR(Table25[[#This Row],[Total Amount bought]]/Table25[[#This Row],[Total number bought]],"")</f>
        <v>166.72879310344828</v>
      </c>
      <c r="P702" s="4">
        <f>IFERROR((Table25[[#This Row],[Average sell price]]-Table25[[#This Row],[Average buy price]])*Table25[[#This Row],[Total Sold number of stocks]],0)</f>
        <v>-973.44120689655256</v>
      </c>
      <c r="Q702" s="85">
        <f>SUMIF(Table25[[#All],[Assets]],Table25[[#This Row],[Assets]],Table25[[#All],[Number of stocks]])</f>
        <v>1</v>
      </c>
    </row>
    <row r="703" spans="1:17">
      <c r="A703" t="e" vm="515">
        <v>#VALUE!</v>
      </c>
      <c r="B703" s="2">
        <v>45659</v>
      </c>
      <c r="C703" t="str" cm="1">
        <f t="array" aca="1" ref="C703" ca="1">_FV(A703,"Ticker symbol",TRUE)</f>
        <v>SOUN</v>
      </c>
      <c r="D703" s="4">
        <v>21.55</v>
      </c>
      <c r="E703" s="50">
        <v>-20</v>
      </c>
      <c r="F703" s="81">
        <f>IF(Table25[[#This Row],[Number of stocks]]&gt;0,Table25[[#This Row],[Number of stocks]],0)</f>
        <v>0</v>
      </c>
      <c r="G703" s="73">
        <f>Table25[[#This Row],[Bought]]*Table25[[#This Row],[Price]]</f>
        <v>0</v>
      </c>
      <c r="H703">
        <f>SUMIF(Table25[[#All],[Assets]],Table25[[#This Row],[Assets]],Table25[[#All],[Bought]])</f>
        <v>20</v>
      </c>
      <c r="I703">
        <f>SUMIF(Table25[[#All],[Assets]],Table25[[#This Row],[Assets]],Table25[[#All],[Bought Amount]])</f>
        <v>102.2</v>
      </c>
      <c r="J703" s="88">
        <f>IF(Table25[[#This Row],[Number of stocks]]&lt;0,Table25[[#This Row],[Number of stocks]],0)</f>
        <v>-20</v>
      </c>
      <c r="K703" s="5">
        <f>Table25[[#This Row],[Sold]]*Table25[[#This Row],[Price]]</f>
        <v>-431</v>
      </c>
      <c r="L703" s="8">
        <f>ABS(SUMIF(Table25[[#All],[Assets]],Table25[[#This Row],[Assets]],Table25[[#All],[Sold]]))</f>
        <v>20</v>
      </c>
      <c r="M703" s="5">
        <f>ABS(SUMIF(Table25[[#All],[Assets]],Table25[[#This Row],[Assets]],Table25[[#All],[Sold Amount]]))</f>
        <v>431</v>
      </c>
      <c r="N703" s="5">
        <f>IFERROR(Table25[[#This Row],[Total sold amount]]/Table25[[#This Row],[Total Sold number of stocks]],"")</f>
        <v>21.55</v>
      </c>
      <c r="O703" s="4">
        <f>IFERROR(Table25[[#This Row],[Total Amount bought]]/Table25[[#This Row],[Total number bought]],"")</f>
        <v>5.1100000000000003</v>
      </c>
      <c r="P703" s="4">
        <f>IFERROR((Table25[[#This Row],[Average sell price]]-Table25[[#This Row],[Average buy price]])*Table25[[#This Row],[Total Sold number of stocks]],0)</f>
        <v>328.8</v>
      </c>
      <c r="Q703" s="85">
        <f>SUMIF(Table25[[#All],[Assets]],Table25[[#This Row],[Assets]],Table25[[#All],[Number of stocks]])</f>
        <v>0</v>
      </c>
    </row>
    <row r="704" spans="1:17">
      <c r="A704" t="e" vm="11">
        <v>#VALUE!</v>
      </c>
      <c r="B704" s="2">
        <v>45659</v>
      </c>
      <c r="C704" t="str" cm="1">
        <f t="array" aca="1" ref="C704" ca="1">_FV(A704,"Ticker symbol",TRUE)</f>
        <v>AMZN</v>
      </c>
      <c r="D704" s="4">
        <v>224.29</v>
      </c>
      <c r="E704" s="50">
        <v>2</v>
      </c>
      <c r="F704" s="81">
        <f>IF(Table25[[#This Row],[Number of stocks]]&gt;0,Table25[[#This Row],[Number of stocks]],0)</f>
        <v>2</v>
      </c>
      <c r="G704" s="73">
        <f>Table25[[#This Row],[Bought]]*Table25[[#This Row],[Price]]</f>
        <v>448.58</v>
      </c>
      <c r="H704">
        <f>SUMIF(Table25[[#All],[Assets]],Table25[[#This Row],[Assets]],Table25[[#All],[Bought]])</f>
        <v>14</v>
      </c>
      <c r="I704">
        <f>SUMIF(Table25[[#All],[Assets]],Table25[[#This Row],[Assets]],Table25[[#All],[Bought Amount]])</f>
        <v>2779.23</v>
      </c>
      <c r="J704" s="88">
        <f>IF(Table25[[#This Row],[Number of stocks]]&lt;0,Table25[[#This Row],[Number of stocks]],0)</f>
        <v>0</v>
      </c>
      <c r="K704" s="5">
        <f>Table25[[#This Row],[Sold]]*Table25[[#This Row],[Price]]</f>
        <v>0</v>
      </c>
      <c r="L704" s="8">
        <f>ABS(SUMIF(Table25[[#All],[Assets]],Table25[[#This Row],[Assets]],Table25[[#All],[Sold]]))</f>
        <v>9</v>
      </c>
      <c r="M704" s="5">
        <f>ABS(SUMIF(Table25[[#All],[Assets]],Table25[[#This Row],[Assets]],Table25[[#All],[Sold Amount]]))</f>
        <v>1854.81</v>
      </c>
      <c r="N704" s="5">
        <f>IFERROR(Table25[[#This Row],[Total sold amount]]/Table25[[#This Row],[Total Sold number of stocks]],"")</f>
        <v>206.09</v>
      </c>
      <c r="O704" s="4">
        <f>IFERROR(Table25[[#This Row],[Total Amount bought]]/Table25[[#This Row],[Total number bought]],"")</f>
        <v>198.51642857142858</v>
      </c>
      <c r="P704" s="4">
        <f>IFERROR((Table25[[#This Row],[Average sell price]]-Table25[[#This Row],[Average buy price]])*Table25[[#This Row],[Total Sold number of stocks]],0)</f>
        <v>68.16214285714284</v>
      </c>
      <c r="Q704" s="85">
        <f>SUMIF(Table25[[#All],[Assets]],Table25[[#This Row],[Assets]],Table25[[#All],[Number of stocks]])</f>
        <v>5</v>
      </c>
    </row>
    <row r="705" spans="1:17">
      <c r="A705" t="e" vm="215">
        <v>#VALUE!</v>
      </c>
      <c r="B705" s="2">
        <v>45665</v>
      </c>
      <c r="C705" t="str" cm="1">
        <f t="array" aca="1" ref="C705" ca="1">_FV(A705,"Ticker symbol",TRUE)</f>
        <v>SEI</v>
      </c>
      <c r="D705" s="4">
        <v>28.67</v>
      </c>
      <c r="E705" s="50">
        <v>10</v>
      </c>
      <c r="F705" s="81">
        <f>IF(Table25[[#This Row],[Number of stocks]]&gt;0,Table25[[#This Row],[Number of stocks]],0)</f>
        <v>10</v>
      </c>
      <c r="G705" s="73">
        <f>Table25[[#This Row],[Bought]]*Table25[[#This Row],[Price]]</f>
        <v>286.70000000000005</v>
      </c>
      <c r="H705">
        <f>SUMIF(Table25[[#All],[Assets]],Table25[[#This Row],[Assets]],Table25[[#All],[Bought]])</f>
        <v>57</v>
      </c>
      <c r="I705">
        <f>SUMIF(Table25[[#All],[Assets]],Table25[[#This Row],[Assets]],Table25[[#All],[Bought Amount]])</f>
        <v>1470.52</v>
      </c>
      <c r="J705" s="88">
        <f>IF(Table25[[#This Row],[Number of stocks]]&lt;0,Table25[[#This Row],[Number of stocks]],0)</f>
        <v>0</v>
      </c>
      <c r="K705" s="5">
        <f>Table25[[#This Row],[Sold]]*Table25[[#This Row],[Price]]</f>
        <v>0</v>
      </c>
      <c r="L705" s="8">
        <f>ABS(SUMIF(Table25[[#All],[Assets]],Table25[[#This Row],[Assets]],Table25[[#All],[Sold]]))</f>
        <v>50</v>
      </c>
      <c r="M705" s="5">
        <f>ABS(SUMIF(Table25[[#All],[Assets]],Table25[[#This Row],[Assets]],Table25[[#All],[Sold Amount]]))</f>
        <v>1133.05</v>
      </c>
      <c r="N705" s="5">
        <f>IFERROR(Table25[[#This Row],[Total sold amount]]/Table25[[#This Row],[Total Sold number of stocks]],"")</f>
        <v>22.660999999999998</v>
      </c>
      <c r="O705" s="4">
        <f>IFERROR(Table25[[#This Row],[Total Amount bought]]/Table25[[#This Row],[Total number bought]],"")</f>
        <v>25.798596491228071</v>
      </c>
      <c r="P705" s="4">
        <f>IFERROR((Table25[[#This Row],[Average sell price]]-Table25[[#This Row],[Average buy price]])*Table25[[#This Row],[Total Sold number of stocks]],0)</f>
        <v>-156.87982456140367</v>
      </c>
      <c r="Q705" s="85">
        <f>SUMIF(Table25[[#All],[Assets]],Table25[[#This Row],[Assets]],Table25[[#All],[Number of stocks]])</f>
        <v>7</v>
      </c>
    </row>
    <row r="706" spans="1:17">
      <c r="A706" t="e" vm="54">
        <v>#VALUE!</v>
      </c>
      <c r="B706" s="2">
        <v>45665</v>
      </c>
      <c r="C706" t="str" cm="1">
        <f t="array" aca="1" ref="C706" ca="1">_FV(A706,"Ticker symbol",TRUE)</f>
        <v>AR</v>
      </c>
      <c r="D706" s="4">
        <v>37.590000000000003</v>
      </c>
      <c r="E706" s="50">
        <v>-40</v>
      </c>
      <c r="F706" s="81">
        <f>IF(Table25[[#This Row],[Number of stocks]]&gt;0,Table25[[#This Row],[Number of stocks]],0)</f>
        <v>0</v>
      </c>
      <c r="G706" s="73">
        <f>Table25[[#This Row],[Bought]]*Table25[[#This Row],[Price]]</f>
        <v>0</v>
      </c>
      <c r="H706">
        <f>SUMIF(Table25[[#All],[Assets]],Table25[[#This Row],[Assets]],Table25[[#All],[Bought]])</f>
        <v>210</v>
      </c>
      <c r="I706">
        <f>SUMIF(Table25[[#All],[Assets]],Table25[[#This Row],[Assets]],Table25[[#All],[Bought Amount]])</f>
        <v>6833.5000000000009</v>
      </c>
      <c r="J706" s="88">
        <f>IF(Table25[[#This Row],[Number of stocks]]&lt;0,Table25[[#This Row],[Number of stocks]],0)</f>
        <v>-40</v>
      </c>
      <c r="K706" s="5">
        <f>Table25[[#This Row],[Sold]]*Table25[[#This Row],[Price]]</f>
        <v>-1503.6000000000001</v>
      </c>
      <c r="L706" s="8">
        <f>ABS(SUMIF(Table25[[#All],[Assets]],Table25[[#This Row],[Assets]],Table25[[#All],[Sold]]))</f>
        <v>180</v>
      </c>
      <c r="M706" s="5">
        <f>ABS(SUMIF(Table25[[#All],[Assets]],Table25[[#This Row],[Assets]],Table25[[#All],[Sold Amount]]))</f>
        <v>6156.15</v>
      </c>
      <c r="N706" s="5">
        <f>IFERROR(Table25[[#This Row],[Total sold amount]]/Table25[[#This Row],[Total Sold number of stocks]],"")</f>
        <v>34.200833333333328</v>
      </c>
      <c r="O706" s="4">
        <f>IFERROR(Table25[[#This Row],[Total Amount bought]]/Table25[[#This Row],[Total number bought]],"")</f>
        <v>32.540476190476198</v>
      </c>
      <c r="P706" s="4">
        <f>IFERROR((Table25[[#This Row],[Average sell price]]-Table25[[#This Row],[Average buy price]])*Table25[[#This Row],[Total Sold number of stocks]],0)</f>
        <v>298.86428571428337</v>
      </c>
      <c r="Q706" s="85">
        <f>SUMIF(Table25[[#All],[Assets]],Table25[[#This Row],[Assets]],Table25[[#All],[Number of stocks]])</f>
        <v>30</v>
      </c>
    </row>
    <row r="707" spans="1:17">
      <c r="A707" t="e" vm="38">
        <v>#VALUE!</v>
      </c>
      <c r="B707" s="2">
        <v>45665</v>
      </c>
      <c r="C707" t="str" cm="1">
        <f t="array" aca="1" ref="C707" ca="1">_FV(A707,"Ticker symbol",TRUE)</f>
        <v>FSLR</v>
      </c>
      <c r="D707" s="4">
        <v>192.54</v>
      </c>
      <c r="E707" s="50">
        <v>3</v>
      </c>
      <c r="F707" s="81">
        <f>IF(Table25[[#This Row],[Number of stocks]]&gt;0,Table25[[#This Row],[Number of stocks]],0)</f>
        <v>3</v>
      </c>
      <c r="G707" s="73">
        <f>Table25[[#This Row],[Bought]]*Table25[[#This Row],[Price]]</f>
        <v>577.62</v>
      </c>
      <c r="H707">
        <f>SUMIF(Table25[[#All],[Assets]],Table25[[#This Row],[Assets]],Table25[[#All],[Bought]])</f>
        <v>18</v>
      </c>
      <c r="I707">
        <f>SUMIF(Table25[[#All],[Assets]],Table25[[#This Row],[Assets]],Table25[[#All],[Bought Amount]])</f>
        <v>3079.49</v>
      </c>
      <c r="J707" s="88">
        <f>IF(Table25[[#This Row],[Number of stocks]]&lt;0,Table25[[#This Row],[Number of stocks]],0)</f>
        <v>0</v>
      </c>
      <c r="K707" s="5">
        <f>Table25[[#This Row],[Sold]]*Table25[[#This Row],[Price]]</f>
        <v>0</v>
      </c>
      <c r="L707" s="8">
        <f>ABS(SUMIF(Table25[[#All],[Assets]],Table25[[#This Row],[Assets]],Table25[[#All],[Sold]]))</f>
        <v>18</v>
      </c>
      <c r="M707" s="5">
        <f>ABS(SUMIF(Table25[[#All],[Assets]],Table25[[#This Row],[Assets]],Table25[[#All],[Sold Amount]]))</f>
        <v>4016.43</v>
      </c>
      <c r="N707" s="5">
        <f>IFERROR(Table25[[#This Row],[Total sold amount]]/Table25[[#This Row],[Total Sold number of stocks]],"")</f>
        <v>223.13499999999999</v>
      </c>
      <c r="O707" s="4">
        <f>IFERROR(Table25[[#This Row],[Total Amount bought]]/Table25[[#This Row],[Total number bought]],"")</f>
        <v>171.08277777777778</v>
      </c>
      <c r="P707" s="4">
        <f>IFERROR((Table25[[#This Row],[Average sell price]]-Table25[[#This Row],[Average buy price]])*Table25[[#This Row],[Total Sold number of stocks]],0)</f>
        <v>936.93999999999983</v>
      </c>
      <c r="Q707" s="85">
        <f>SUMIF(Table25[[#All],[Assets]],Table25[[#This Row],[Assets]],Table25[[#All],[Number of stocks]])</f>
        <v>0</v>
      </c>
    </row>
    <row r="708" spans="1:17">
      <c r="A708" t="e" vm="521">
        <v>#VALUE!</v>
      </c>
      <c r="B708" s="2">
        <v>45665</v>
      </c>
      <c r="C708" t="str" cm="1">
        <f t="array" aca="1" ref="C708" ca="1">_FV(A708,"Ticker symbol",TRUE)</f>
        <v>ENPH</v>
      </c>
      <c r="D708" s="4">
        <v>70.56</v>
      </c>
      <c r="E708" s="50">
        <v>7</v>
      </c>
      <c r="F708" s="81">
        <f>IF(Table25[[#This Row],[Number of stocks]]&gt;0,Table25[[#This Row],[Number of stocks]],0)</f>
        <v>7</v>
      </c>
      <c r="G708" s="73">
        <f>Table25[[#This Row],[Bought]]*Table25[[#This Row],[Price]]</f>
        <v>493.92</v>
      </c>
      <c r="H708">
        <f>SUMIF(Table25[[#All],[Assets]],Table25[[#This Row],[Assets]],Table25[[#All],[Bought]])</f>
        <v>7</v>
      </c>
      <c r="I708">
        <f>SUMIF(Table25[[#All],[Assets]],Table25[[#This Row],[Assets]],Table25[[#All],[Bought Amount]])</f>
        <v>493.92</v>
      </c>
      <c r="J708" s="88">
        <f>IF(Table25[[#This Row],[Number of stocks]]&lt;0,Table25[[#This Row],[Number of stocks]],0)</f>
        <v>0</v>
      </c>
      <c r="K708" s="5">
        <f>Table25[[#This Row],[Sold]]*Table25[[#This Row],[Price]]</f>
        <v>0</v>
      </c>
      <c r="L708" s="8">
        <f>ABS(SUMIF(Table25[[#All],[Assets]],Table25[[#This Row],[Assets]],Table25[[#All],[Sold]]))</f>
        <v>7</v>
      </c>
      <c r="M708" s="5">
        <f>ABS(SUMIF(Table25[[#All],[Assets]],Table25[[#This Row],[Assets]],Table25[[#All],[Sold Amount]]))</f>
        <v>439.59999999999997</v>
      </c>
      <c r="N708" s="5">
        <f>IFERROR(Table25[[#This Row],[Total sold amount]]/Table25[[#This Row],[Total Sold number of stocks]],"")</f>
        <v>62.8</v>
      </c>
      <c r="O708" s="4">
        <f>IFERROR(Table25[[#This Row],[Total Amount bought]]/Table25[[#This Row],[Total number bought]],"")</f>
        <v>70.56</v>
      </c>
      <c r="P708" s="4">
        <f>IFERROR((Table25[[#This Row],[Average sell price]]-Table25[[#This Row],[Average buy price]])*Table25[[#This Row],[Total Sold number of stocks]],0)</f>
        <v>-54.320000000000036</v>
      </c>
      <c r="Q708" s="85">
        <f>SUMIF(Table25[[#All],[Assets]],Table25[[#This Row],[Assets]],Table25[[#All],[Number of stocks]])</f>
        <v>0</v>
      </c>
    </row>
    <row r="709" spans="1:17">
      <c r="A709" t="e" vm="504">
        <v>#VALUE!</v>
      </c>
      <c r="B709" s="2">
        <v>45665</v>
      </c>
      <c r="C709" t="str" cm="1">
        <f t="array" aca="1" ref="C709" ca="1">_FV(A709,"Ticker symbol",TRUE)</f>
        <v>NXT</v>
      </c>
      <c r="D709" s="4">
        <v>42.26</v>
      </c>
      <c r="E709" s="50">
        <v>12</v>
      </c>
      <c r="F709" s="81">
        <f>IF(Table25[[#This Row],[Number of stocks]]&gt;0,Table25[[#This Row],[Number of stocks]],0)</f>
        <v>12</v>
      </c>
      <c r="G709" s="73">
        <f>Table25[[#This Row],[Bought]]*Table25[[#This Row],[Price]]</f>
        <v>507.12</v>
      </c>
      <c r="H709">
        <f>SUMIF(Table25[[#All],[Assets]],Table25[[#This Row],[Assets]],Table25[[#All],[Bought]])</f>
        <v>27</v>
      </c>
      <c r="I709">
        <f>SUMIF(Table25[[#All],[Assets]],Table25[[#This Row],[Assets]],Table25[[#All],[Bought Amount]])</f>
        <v>1372.77</v>
      </c>
      <c r="J709" s="88">
        <f>IF(Table25[[#This Row],[Number of stocks]]&lt;0,Table25[[#This Row],[Number of stocks]],0)</f>
        <v>0</v>
      </c>
      <c r="K709" s="5">
        <f>Table25[[#This Row],[Sold]]*Table25[[#This Row],[Price]]</f>
        <v>0</v>
      </c>
      <c r="L709" s="8">
        <f>ABS(SUMIF(Table25[[#All],[Assets]],Table25[[#This Row],[Assets]],Table25[[#All],[Sold]]))</f>
        <v>27</v>
      </c>
      <c r="M709" s="5">
        <f>ABS(SUMIF(Table25[[#All],[Assets]],Table25[[#This Row],[Assets]],Table25[[#All],[Sold Amount]]))</f>
        <v>965.46</v>
      </c>
      <c r="N709" s="5">
        <f>IFERROR(Table25[[#This Row],[Total sold amount]]/Table25[[#This Row],[Total Sold number of stocks]],"")</f>
        <v>35.757777777777783</v>
      </c>
      <c r="O709" s="4">
        <f>IFERROR(Table25[[#This Row],[Total Amount bought]]/Table25[[#This Row],[Total number bought]],"")</f>
        <v>50.843333333333334</v>
      </c>
      <c r="P709" s="4">
        <f>IFERROR((Table25[[#This Row],[Average sell price]]-Table25[[#This Row],[Average buy price]])*Table25[[#This Row],[Total Sold number of stocks]],0)</f>
        <v>-407.30999999999989</v>
      </c>
      <c r="Q709" s="85">
        <f>SUMIF(Table25[[#All],[Assets]],Table25[[#This Row],[Assets]],Table25[[#All],[Number of stocks]])</f>
        <v>0</v>
      </c>
    </row>
    <row r="710" spans="1:17">
      <c r="A710" t="e" vm="99">
        <v>#VALUE!</v>
      </c>
      <c r="B710" s="2">
        <v>45670</v>
      </c>
      <c r="C710" t="str" cm="1">
        <f t="array" aca="1" ref="C710" ca="1">_FV(A710,"Ticker symbol",TRUE)</f>
        <v>CSCO</v>
      </c>
      <c r="D710" s="4">
        <v>58.61</v>
      </c>
      <c r="E710" s="50">
        <v>-10</v>
      </c>
      <c r="F710" s="81">
        <f>IF(Table25[[#This Row],[Number of stocks]]&gt;0,Table25[[#This Row],[Number of stocks]],0)</f>
        <v>0</v>
      </c>
      <c r="G710" s="73">
        <f>Table25[[#This Row],[Bought]]*Table25[[#This Row],[Price]]</f>
        <v>0</v>
      </c>
      <c r="H710">
        <f>SUMIF(Table25[[#All],[Assets]],Table25[[#This Row],[Assets]],Table25[[#All],[Bought]])</f>
        <v>23</v>
      </c>
      <c r="I710">
        <f>SUMIF(Table25[[#All],[Assets]],Table25[[#This Row],[Assets]],Table25[[#All],[Bought Amount]])</f>
        <v>1173.48</v>
      </c>
      <c r="J710" s="88">
        <f>IF(Table25[[#This Row],[Number of stocks]]&lt;0,Table25[[#This Row],[Number of stocks]],0)</f>
        <v>-10</v>
      </c>
      <c r="K710" s="5">
        <f>Table25[[#This Row],[Sold]]*Table25[[#This Row],[Price]]</f>
        <v>-586.1</v>
      </c>
      <c r="L710" s="8">
        <f>ABS(SUMIF(Table25[[#All],[Assets]],Table25[[#This Row],[Assets]],Table25[[#All],[Sold]]))</f>
        <v>23</v>
      </c>
      <c r="M710" s="5">
        <f>ABS(SUMIF(Table25[[#All],[Assets]],Table25[[#This Row],[Assets]],Table25[[#All],[Sold Amount]]))</f>
        <v>1405.67</v>
      </c>
      <c r="N710" s="5">
        <f>IFERROR(Table25[[#This Row],[Total sold amount]]/Table25[[#This Row],[Total Sold number of stocks]],"")</f>
        <v>61.116086956521741</v>
      </c>
      <c r="O710" s="4">
        <f>IFERROR(Table25[[#This Row],[Total Amount bought]]/Table25[[#This Row],[Total number bought]],"")</f>
        <v>51.020869565217389</v>
      </c>
      <c r="P710" s="4">
        <f>IFERROR((Table25[[#This Row],[Average sell price]]-Table25[[#This Row],[Average buy price]])*Table25[[#This Row],[Total Sold number of stocks]],0)</f>
        <v>232.19000000000011</v>
      </c>
      <c r="Q710" s="85">
        <f>SUMIF(Table25[[#All],[Assets]],Table25[[#This Row],[Assets]],Table25[[#All],[Number of stocks]])</f>
        <v>0</v>
      </c>
    </row>
    <row r="711" spans="1:17">
      <c r="A711" t="e" vm="510">
        <v>#VALUE!</v>
      </c>
      <c r="B711" s="2">
        <v>45670</v>
      </c>
      <c r="C711" t="str" cm="1">
        <f t="array" aca="1" ref="C711" ca="1">_FV(A711,"Ticker symbol",TRUE)</f>
        <v>ALGN</v>
      </c>
      <c r="D711" s="4">
        <v>208.21</v>
      </c>
      <c r="E711" s="50">
        <v>-2</v>
      </c>
      <c r="F711" s="81">
        <f>IF(Table25[[#This Row],[Number of stocks]]&gt;0,Table25[[#This Row],[Number of stocks]],0)</f>
        <v>0</v>
      </c>
      <c r="G711" s="73">
        <f>Table25[[#This Row],[Bought]]*Table25[[#This Row],[Price]]</f>
        <v>0</v>
      </c>
      <c r="H711">
        <f>SUMIF(Table25[[#All],[Assets]],Table25[[#This Row],[Assets]],Table25[[#All],[Bought]])</f>
        <v>2</v>
      </c>
      <c r="I711">
        <f>SUMIF(Table25[[#All],[Assets]],Table25[[#This Row],[Assets]],Table25[[#All],[Bought Amount]])</f>
        <v>461.64</v>
      </c>
      <c r="J711" s="88">
        <f>IF(Table25[[#This Row],[Number of stocks]]&lt;0,Table25[[#This Row],[Number of stocks]],0)</f>
        <v>-2</v>
      </c>
      <c r="K711" s="5">
        <f>Table25[[#This Row],[Sold]]*Table25[[#This Row],[Price]]</f>
        <v>-416.42</v>
      </c>
      <c r="L711" s="8">
        <f>ABS(SUMIF(Table25[[#All],[Assets]],Table25[[#This Row],[Assets]],Table25[[#All],[Sold]]))</f>
        <v>2</v>
      </c>
      <c r="M711" s="5">
        <f>ABS(SUMIF(Table25[[#All],[Assets]],Table25[[#This Row],[Assets]],Table25[[#All],[Sold Amount]]))</f>
        <v>416.42</v>
      </c>
      <c r="N711" s="5">
        <f>IFERROR(Table25[[#This Row],[Total sold amount]]/Table25[[#This Row],[Total Sold number of stocks]],"")</f>
        <v>208.21</v>
      </c>
      <c r="O711" s="4">
        <f>IFERROR(Table25[[#This Row],[Total Amount bought]]/Table25[[#This Row],[Total number bought]],"")</f>
        <v>230.82</v>
      </c>
      <c r="P711" s="4">
        <f>IFERROR((Table25[[#This Row],[Average sell price]]-Table25[[#This Row],[Average buy price]])*Table25[[#This Row],[Total Sold number of stocks]],0)</f>
        <v>-45.21999999999997</v>
      </c>
      <c r="Q711" s="85">
        <f>SUMIF(Table25[[#All],[Assets]],Table25[[#This Row],[Assets]],Table25[[#All],[Number of stocks]])</f>
        <v>0</v>
      </c>
    </row>
    <row r="712" spans="1:17">
      <c r="A712" t="e" vm="523">
        <v>#VALUE!</v>
      </c>
      <c r="B712" s="2">
        <v>45670</v>
      </c>
      <c r="C712" t="str" cm="1">
        <f t="array" aca="1" ref="C712" ca="1">_FV(A712,"Ticker symbol",TRUE)</f>
        <v>RXST</v>
      </c>
      <c r="D712" s="4">
        <v>28.49</v>
      </c>
      <c r="E712" s="50">
        <v>10</v>
      </c>
      <c r="F712" s="81">
        <f>IF(Table25[[#This Row],[Number of stocks]]&gt;0,Table25[[#This Row],[Number of stocks]],0)</f>
        <v>10</v>
      </c>
      <c r="G712" s="73">
        <f>Table25[[#This Row],[Bought]]*Table25[[#This Row],[Price]]</f>
        <v>284.89999999999998</v>
      </c>
      <c r="H712">
        <f>SUMIF(Table25[[#All],[Assets]],Table25[[#This Row],[Assets]],Table25[[#All],[Bought]])</f>
        <v>10</v>
      </c>
      <c r="I712">
        <f>SUMIF(Table25[[#All],[Assets]],Table25[[#This Row],[Assets]],Table25[[#All],[Bought Amount]])</f>
        <v>284.89999999999998</v>
      </c>
      <c r="J712" s="88">
        <f>IF(Table25[[#This Row],[Number of stocks]]&lt;0,Table25[[#This Row],[Number of stocks]],0)</f>
        <v>0</v>
      </c>
      <c r="K712" s="5">
        <f>Table25[[#This Row],[Sold]]*Table25[[#This Row],[Price]]</f>
        <v>0</v>
      </c>
      <c r="L712" s="8">
        <f>ABS(SUMIF(Table25[[#All],[Assets]],Table25[[#This Row],[Assets]],Table25[[#All],[Sold]]))</f>
        <v>10</v>
      </c>
      <c r="M712" s="5">
        <f>ABS(SUMIF(Table25[[#All],[Assets]],Table25[[#This Row],[Assets]],Table25[[#All],[Sold Amount]]))</f>
        <v>308.60000000000002</v>
      </c>
      <c r="N712" s="5">
        <f>IFERROR(Table25[[#This Row],[Total sold amount]]/Table25[[#This Row],[Total Sold number of stocks]],"")</f>
        <v>30.860000000000003</v>
      </c>
      <c r="O712" s="4">
        <f>IFERROR(Table25[[#This Row],[Total Amount bought]]/Table25[[#This Row],[Total number bought]],"")</f>
        <v>28.49</v>
      </c>
      <c r="P712" s="4">
        <f>IFERROR((Table25[[#This Row],[Average sell price]]-Table25[[#This Row],[Average buy price]])*Table25[[#This Row],[Total Sold number of stocks]],0)</f>
        <v>23.700000000000045</v>
      </c>
      <c r="Q712" s="85">
        <f>SUMIF(Table25[[#All],[Assets]],Table25[[#This Row],[Assets]],Table25[[#All],[Number of stocks]])</f>
        <v>0</v>
      </c>
    </row>
    <row r="713" spans="1:17">
      <c r="A713" t="e" vm="316">
        <v>#VALUE!</v>
      </c>
      <c r="B713" s="2">
        <v>45670</v>
      </c>
      <c r="C713" t="str" cm="1">
        <f t="array" aca="1" ref="C713" ca="1">_FV(A713,"Ticker symbol",TRUE)</f>
        <v>IRTC</v>
      </c>
      <c r="D713" s="4">
        <v>87.99</v>
      </c>
      <c r="E713" s="50">
        <v>4</v>
      </c>
      <c r="F713" s="81">
        <f>IF(Table25[[#This Row],[Number of stocks]]&gt;0,Table25[[#This Row],[Number of stocks]],0)</f>
        <v>4</v>
      </c>
      <c r="G713" s="73">
        <f>Table25[[#This Row],[Bought]]*Table25[[#This Row],[Price]]</f>
        <v>351.96</v>
      </c>
      <c r="H713">
        <f>SUMIF(Table25[[#All],[Assets]],Table25[[#This Row],[Assets]],Table25[[#All],[Bought]])</f>
        <v>22</v>
      </c>
      <c r="I713">
        <f>SUMIF(Table25[[#All],[Assets]],Table25[[#This Row],[Assets]],Table25[[#All],[Bought Amount]])</f>
        <v>1721.73</v>
      </c>
      <c r="J713" s="88">
        <f>IF(Table25[[#This Row],[Number of stocks]]&lt;0,Table25[[#This Row],[Number of stocks]],0)</f>
        <v>0</v>
      </c>
      <c r="K713" s="5">
        <f>Table25[[#This Row],[Sold]]*Table25[[#This Row],[Price]]</f>
        <v>0</v>
      </c>
      <c r="L713" s="8">
        <f>ABS(SUMIF(Table25[[#All],[Assets]],Table25[[#This Row],[Assets]],Table25[[#All],[Sold]]))</f>
        <v>22</v>
      </c>
      <c r="M713" s="5">
        <f>ABS(SUMIF(Table25[[#All],[Assets]],Table25[[#This Row],[Assets]],Table25[[#All],[Sold Amount]]))</f>
        <v>1870.17</v>
      </c>
      <c r="N713" s="5">
        <f>IFERROR(Table25[[#This Row],[Total sold amount]]/Table25[[#This Row],[Total Sold number of stocks]],"")</f>
        <v>85.00772727272728</v>
      </c>
      <c r="O713" s="4">
        <f>IFERROR(Table25[[#This Row],[Total Amount bought]]/Table25[[#This Row],[Total number bought]],"")</f>
        <v>78.26045454545455</v>
      </c>
      <c r="P713" s="4">
        <f>IFERROR((Table25[[#This Row],[Average sell price]]-Table25[[#This Row],[Average buy price]])*Table25[[#This Row],[Total Sold number of stocks]],0)</f>
        <v>148.44000000000005</v>
      </c>
      <c r="Q713" s="85">
        <f>SUMIF(Table25[[#All],[Assets]],Table25[[#This Row],[Assets]],Table25[[#All],[Number of stocks]])</f>
        <v>0</v>
      </c>
    </row>
    <row r="714" spans="1:17">
      <c r="A714" t="e" vm="169">
        <v>#VALUE!</v>
      </c>
      <c r="B714" s="2">
        <v>45670</v>
      </c>
      <c r="C714" t="str" cm="1">
        <f t="array" aca="1" ref="C714" ca="1">_FV(A714,"Ticker symbol",TRUE)</f>
        <v>CVS</v>
      </c>
      <c r="D714" s="4">
        <v>49.71</v>
      </c>
      <c r="E714" s="50">
        <v>-16</v>
      </c>
      <c r="F714" s="81">
        <f>IF(Table25[[#This Row],[Number of stocks]]&gt;0,Table25[[#This Row],[Number of stocks]],0)</f>
        <v>0</v>
      </c>
      <c r="G714" s="73">
        <f>Table25[[#This Row],[Bought]]*Table25[[#This Row],[Price]]</f>
        <v>0</v>
      </c>
      <c r="H714">
        <f>SUMIF(Table25[[#All],[Assets]],Table25[[#This Row],[Assets]],Table25[[#All],[Bought]])</f>
        <v>104</v>
      </c>
      <c r="I714">
        <f>SUMIF(Table25[[#All],[Assets]],Table25[[#This Row],[Assets]],Table25[[#All],[Bought Amount]])</f>
        <v>6111.46</v>
      </c>
      <c r="J714" s="88">
        <f>IF(Table25[[#This Row],[Number of stocks]]&lt;0,Table25[[#This Row],[Number of stocks]],0)</f>
        <v>-16</v>
      </c>
      <c r="K714" s="5">
        <f>Table25[[#This Row],[Sold]]*Table25[[#This Row],[Price]]</f>
        <v>-795.36</v>
      </c>
      <c r="L714" s="8">
        <f>ABS(SUMIF(Table25[[#All],[Assets]],Table25[[#This Row],[Assets]],Table25[[#All],[Sold]]))</f>
        <v>104</v>
      </c>
      <c r="M714" s="5">
        <f>ABS(SUMIF(Table25[[#All],[Assets]],Table25[[#This Row],[Assets]],Table25[[#All],[Sold Amount]]))</f>
        <v>6244.5899999999992</v>
      </c>
      <c r="N714" s="5">
        <f>IFERROR(Table25[[#This Row],[Total sold amount]]/Table25[[#This Row],[Total Sold number of stocks]],"")</f>
        <v>60.044134615384607</v>
      </c>
      <c r="O714" s="4">
        <f>IFERROR(Table25[[#This Row],[Total Amount bought]]/Table25[[#This Row],[Total number bought]],"")</f>
        <v>58.764038461538462</v>
      </c>
      <c r="P714" s="4">
        <f>IFERROR((Table25[[#This Row],[Average sell price]]-Table25[[#This Row],[Average buy price]])*Table25[[#This Row],[Total Sold number of stocks]],0)</f>
        <v>133.12999999999909</v>
      </c>
      <c r="Q714" s="85">
        <f>SUMIF(Table25[[#All],[Assets]],Table25[[#This Row],[Assets]],Table25[[#All],[Number of stocks]])</f>
        <v>0</v>
      </c>
    </row>
    <row r="715" spans="1:17">
      <c r="A715" t="e" vm="249">
        <v>#VALUE!</v>
      </c>
      <c r="B715" s="2">
        <v>45670</v>
      </c>
      <c r="C715" t="str" cm="1">
        <f t="array" aca="1" ref="C715" ca="1">_FV(A715,"Ticker symbol",TRUE)</f>
        <v>OSCR</v>
      </c>
      <c r="D715" s="4">
        <v>14.3</v>
      </c>
      <c r="E715" s="50">
        <v>20</v>
      </c>
      <c r="F715" s="81">
        <f>IF(Table25[[#This Row],[Number of stocks]]&gt;0,Table25[[#This Row],[Number of stocks]],0)</f>
        <v>20</v>
      </c>
      <c r="G715" s="73">
        <f>Table25[[#This Row],[Bought]]*Table25[[#This Row],[Price]]</f>
        <v>286</v>
      </c>
      <c r="H715">
        <f>SUMIF(Table25[[#All],[Assets]],Table25[[#This Row],[Assets]],Table25[[#All],[Bought]])</f>
        <v>195</v>
      </c>
      <c r="I715">
        <f>SUMIF(Table25[[#All],[Assets]],Table25[[#This Row],[Assets]],Table25[[#All],[Bought Amount]])</f>
        <v>3156.6</v>
      </c>
      <c r="J715" s="88">
        <f>IF(Table25[[#This Row],[Number of stocks]]&lt;0,Table25[[#This Row],[Number of stocks]],0)</f>
        <v>0</v>
      </c>
      <c r="K715" s="5">
        <f>Table25[[#This Row],[Sold]]*Table25[[#This Row],[Price]]</f>
        <v>0</v>
      </c>
      <c r="L715" s="8">
        <f>ABS(SUMIF(Table25[[#All],[Assets]],Table25[[#This Row],[Assets]],Table25[[#All],[Sold]]))</f>
        <v>195</v>
      </c>
      <c r="M715" s="5">
        <f>ABS(SUMIF(Table25[[#All],[Assets]],Table25[[#This Row],[Assets]],Table25[[#All],[Sold Amount]]))</f>
        <v>2927.3999999999996</v>
      </c>
      <c r="N715" s="5">
        <f>IFERROR(Table25[[#This Row],[Total sold amount]]/Table25[[#This Row],[Total Sold number of stocks]],"")</f>
        <v>15.01230769230769</v>
      </c>
      <c r="O715" s="4">
        <f>IFERROR(Table25[[#This Row],[Total Amount bought]]/Table25[[#This Row],[Total number bought]],"")</f>
        <v>16.187692307692306</v>
      </c>
      <c r="P715" s="4">
        <f>IFERROR((Table25[[#This Row],[Average sell price]]-Table25[[#This Row],[Average buy price]])*Table25[[#This Row],[Total Sold number of stocks]],0)</f>
        <v>-229.20000000000002</v>
      </c>
      <c r="Q715" s="85">
        <f>SUMIF(Table25[[#All],[Assets]],Table25[[#This Row],[Assets]],Table25[[#All],[Number of stocks]])</f>
        <v>0</v>
      </c>
    </row>
    <row r="716" spans="1:17">
      <c r="A716" t="e" vm="289">
        <v>#VALUE!</v>
      </c>
      <c r="B716" s="2">
        <v>45670</v>
      </c>
      <c r="C716" t="str" cm="1">
        <f t="array" aca="1" ref="C716" ca="1">_FV(A716,"Ticker symbol",TRUE)</f>
        <v>CRL</v>
      </c>
      <c r="D716" s="4">
        <v>187.48</v>
      </c>
      <c r="E716" s="50">
        <v>-5</v>
      </c>
      <c r="F716" s="81">
        <f>IF(Table25[[#This Row],[Number of stocks]]&gt;0,Table25[[#This Row],[Number of stocks]],0)</f>
        <v>0</v>
      </c>
      <c r="G716" s="73">
        <f>Table25[[#This Row],[Bought]]*Table25[[#This Row],[Price]]</f>
        <v>0</v>
      </c>
      <c r="H716">
        <f>SUMIF(Table25[[#All],[Assets]],Table25[[#This Row],[Assets]],Table25[[#All],[Bought]])</f>
        <v>12</v>
      </c>
      <c r="I716">
        <f>SUMIF(Table25[[#All],[Assets]],Table25[[#This Row],[Assets]],Table25[[#All],[Bought Amount]])</f>
        <v>1667.04</v>
      </c>
      <c r="J716" s="88">
        <f>IF(Table25[[#This Row],[Number of stocks]]&lt;0,Table25[[#This Row],[Number of stocks]],0)</f>
        <v>-5</v>
      </c>
      <c r="K716" s="5">
        <f>Table25[[#This Row],[Sold]]*Table25[[#This Row],[Price]]</f>
        <v>-937.4</v>
      </c>
      <c r="L716" s="8">
        <f>ABS(SUMIF(Table25[[#All],[Assets]],Table25[[#This Row],[Assets]],Table25[[#All],[Sold]]))</f>
        <v>12</v>
      </c>
      <c r="M716" s="5">
        <f>ABS(SUMIF(Table25[[#All],[Assets]],Table25[[#This Row],[Assets]],Table25[[#All],[Sold Amount]]))</f>
        <v>1917.08</v>
      </c>
      <c r="N716" s="5">
        <f>IFERROR(Table25[[#This Row],[Total sold amount]]/Table25[[#This Row],[Total Sold number of stocks]],"")</f>
        <v>159.75666666666666</v>
      </c>
      <c r="O716" s="4">
        <f>IFERROR(Table25[[#This Row],[Total Amount bought]]/Table25[[#This Row],[Total number bought]],"")</f>
        <v>138.91999999999999</v>
      </c>
      <c r="P716" s="4">
        <f>IFERROR((Table25[[#This Row],[Average sell price]]-Table25[[#This Row],[Average buy price]])*Table25[[#This Row],[Total Sold number of stocks]],0)</f>
        <v>250.04000000000008</v>
      </c>
      <c r="Q716" s="85">
        <f>SUMIF(Table25[[#All],[Assets]],Table25[[#This Row],[Assets]],Table25[[#All],[Number of stocks]])</f>
        <v>0</v>
      </c>
    </row>
    <row r="717" spans="1:17">
      <c r="A717" t="e" vm="77">
        <v>#VALUE!</v>
      </c>
      <c r="B717" s="2">
        <v>45670</v>
      </c>
      <c r="C717" t="str" cm="1">
        <f t="array" aca="1" ref="C717" ca="1">_FV(A717,"Ticker symbol",TRUE)</f>
        <v>STIM</v>
      </c>
      <c r="D717" s="4">
        <v>2.2000000000000002</v>
      </c>
      <c r="E717" s="50">
        <v>-1000</v>
      </c>
      <c r="F717" s="81">
        <f>IF(Table25[[#This Row],[Number of stocks]]&gt;0,Table25[[#This Row],[Number of stocks]],0)</f>
        <v>0</v>
      </c>
      <c r="G717" s="73">
        <f>Table25[[#This Row],[Bought]]*Table25[[#This Row],[Price]]</f>
        <v>0</v>
      </c>
      <c r="H717">
        <f>SUMIF(Table25[[#All],[Assets]],Table25[[#This Row],[Assets]],Table25[[#All],[Bought]])</f>
        <v>7036.45</v>
      </c>
      <c r="I717">
        <f>SUMIF(Table25[[#All],[Assets]],Table25[[#This Row],[Assets]],Table25[[#All],[Bought Amount]])</f>
        <v>19162.260000000002</v>
      </c>
      <c r="J717" s="88">
        <f>IF(Table25[[#This Row],[Number of stocks]]&lt;0,Table25[[#This Row],[Number of stocks]],0)</f>
        <v>-1000</v>
      </c>
      <c r="K717" s="5">
        <f>Table25[[#This Row],[Sold]]*Table25[[#This Row],[Price]]</f>
        <v>-2200</v>
      </c>
      <c r="L717" s="8">
        <f>ABS(SUMIF(Table25[[#All],[Assets]],Table25[[#This Row],[Assets]],Table25[[#All],[Sold]]))</f>
        <v>6686.45</v>
      </c>
      <c r="M717" s="5">
        <f>ABS(SUMIF(Table25[[#All],[Assets]],Table25[[#This Row],[Assets]],Table25[[#All],[Sold Amount]]))</f>
        <v>19226.484999999997</v>
      </c>
      <c r="N717" s="5">
        <f>IFERROR(Table25[[#This Row],[Total sold amount]]/Table25[[#This Row],[Total Sold number of stocks]],"")</f>
        <v>2.8754398821497205</v>
      </c>
      <c r="O717" s="4">
        <f>IFERROR(Table25[[#This Row],[Total Amount bought]]/Table25[[#This Row],[Total number bought]],"")</f>
        <v>2.7232851793162749</v>
      </c>
      <c r="P717" s="4">
        <f>IFERROR((Table25[[#This Row],[Average sell price]]-Table25[[#This Row],[Average buy price]])*Table25[[#This Row],[Total Sold number of stocks]],0)</f>
        <v>1017.3748127606921</v>
      </c>
      <c r="Q717" s="85">
        <f>SUMIF(Table25[[#All],[Assets]],Table25[[#This Row],[Assets]],Table25[[#All],[Number of stocks]])</f>
        <v>349.99999999999977</v>
      </c>
    </row>
    <row r="718" spans="1:17">
      <c r="A718" t="e" vm="522">
        <v>#VALUE!</v>
      </c>
      <c r="B718" s="2">
        <v>45670</v>
      </c>
      <c r="C718" t="str" cm="1">
        <f t="array" aca="1" ref="C718" ca="1">_FV(A718,"Ticker symbol",TRUE)</f>
        <v>MASS</v>
      </c>
      <c r="D718" s="4">
        <v>2.16</v>
      </c>
      <c r="E718" s="50">
        <v>240</v>
      </c>
      <c r="F718" s="81">
        <f>IF(Table25[[#This Row],[Number of stocks]]&gt;0,Table25[[#This Row],[Number of stocks]],0)</f>
        <v>240</v>
      </c>
      <c r="G718" s="73">
        <f>Table25[[#This Row],[Bought]]*Table25[[#This Row],[Price]]</f>
        <v>518.40000000000009</v>
      </c>
      <c r="H718">
        <f>SUMIF(Table25[[#All],[Assets]],Table25[[#This Row],[Assets]],Table25[[#All],[Bought]])</f>
        <v>240</v>
      </c>
      <c r="I718">
        <f>SUMIF(Table25[[#All],[Assets]],Table25[[#This Row],[Assets]],Table25[[#All],[Bought Amount]])</f>
        <v>518.40000000000009</v>
      </c>
      <c r="J718" s="88">
        <f>IF(Table25[[#This Row],[Number of stocks]]&lt;0,Table25[[#This Row],[Number of stocks]],0)</f>
        <v>0</v>
      </c>
      <c r="K718" s="5">
        <f>Table25[[#This Row],[Sold]]*Table25[[#This Row],[Price]]</f>
        <v>0</v>
      </c>
      <c r="L718" s="8">
        <f>ABS(SUMIF(Table25[[#All],[Assets]],Table25[[#This Row],[Assets]],Table25[[#All],[Sold]]))</f>
        <v>240</v>
      </c>
      <c r="M718" s="5">
        <f>ABS(SUMIF(Table25[[#All],[Assets]],Table25[[#This Row],[Assets]],Table25[[#All],[Sold Amount]]))</f>
        <v>703.2</v>
      </c>
      <c r="N718" s="5">
        <f>IFERROR(Table25[[#This Row],[Total sold amount]]/Table25[[#This Row],[Total Sold number of stocks]],"")</f>
        <v>2.93</v>
      </c>
      <c r="O718" s="4">
        <f>IFERROR(Table25[[#This Row],[Total Amount bought]]/Table25[[#This Row],[Total number bought]],"")</f>
        <v>2.1600000000000006</v>
      </c>
      <c r="P718" s="4">
        <f>IFERROR((Table25[[#This Row],[Average sell price]]-Table25[[#This Row],[Average buy price]])*Table25[[#This Row],[Total Sold number of stocks]],0)</f>
        <v>184.7999999999999</v>
      </c>
      <c r="Q718" s="85">
        <f>SUMIF(Table25[[#All],[Assets]],Table25[[#This Row],[Assets]],Table25[[#All],[Number of stocks]])</f>
        <v>0</v>
      </c>
    </row>
    <row r="719" spans="1:17">
      <c r="A719" t="e" vm="524">
        <v>#VALUE!</v>
      </c>
      <c r="B719" s="2">
        <v>45670</v>
      </c>
      <c r="C719" t="str" cm="1">
        <f t="array" aca="1" ref="C719" ca="1">_FV(A719,"Ticker symbol",TRUE)</f>
        <v>WVE</v>
      </c>
      <c r="D719" s="4">
        <v>11</v>
      </c>
      <c r="E719" s="50">
        <v>40</v>
      </c>
      <c r="F719" s="81">
        <f>IF(Table25[[#This Row],[Number of stocks]]&gt;0,Table25[[#This Row],[Number of stocks]],0)</f>
        <v>40</v>
      </c>
      <c r="G719" s="73">
        <f>Table25[[#This Row],[Bought]]*Table25[[#This Row],[Price]]</f>
        <v>440</v>
      </c>
      <c r="H719">
        <f>SUMIF(Table25[[#All],[Assets]],Table25[[#This Row],[Assets]],Table25[[#All],[Bought]])</f>
        <v>40</v>
      </c>
      <c r="I719">
        <f>SUMIF(Table25[[#All],[Assets]],Table25[[#This Row],[Assets]],Table25[[#All],[Bought Amount]])</f>
        <v>440</v>
      </c>
      <c r="J719" s="88">
        <f>IF(Table25[[#This Row],[Number of stocks]]&lt;0,Table25[[#This Row],[Number of stocks]],0)</f>
        <v>0</v>
      </c>
      <c r="K719" s="5">
        <f>Table25[[#This Row],[Sold]]*Table25[[#This Row],[Price]]</f>
        <v>0</v>
      </c>
      <c r="L719" s="8">
        <f>ABS(SUMIF(Table25[[#All],[Assets]],Table25[[#This Row],[Assets]],Table25[[#All],[Sold]]))</f>
        <v>40</v>
      </c>
      <c r="M719" s="5">
        <f>ABS(SUMIF(Table25[[#All],[Assets]],Table25[[#This Row],[Assets]],Table25[[#All],[Sold Amount]]))</f>
        <v>496</v>
      </c>
      <c r="N719" s="5">
        <f>IFERROR(Table25[[#This Row],[Total sold amount]]/Table25[[#This Row],[Total Sold number of stocks]],"")</f>
        <v>12.4</v>
      </c>
      <c r="O719" s="4">
        <f>IFERROR(Table25[[#This Row],[Total Amount bought]]/Table25[[#This Row],[Total number bought]],"")</f>
        <v>11</v>
      </c>
      <c r="P719" s="4">
        <f>IFERROR((Table25[[#This Row],[Average sell price]]-Table25[[#This Row],[Average buy price]])*Table25[[#This Row],[Total Sold number of stocks]],0)</f>
        <v>56.000000000000014</v>
      </c>
      <c r="Q719" s="85">
        <f>SUMIF(Table25[[#All],[Assets]],Table25[[#This Row],[Assets]],Table25[[#All],[Number of stocks]])</f>
        <v>0</v>
      </c>
    </row>
    <row r="720" spans="1:17">
      <c r="A720" t="e" vm="263">
        <v>#VALUE!</v>
      </c>
      <c r="B720" s="2">
        <v>45670</v>
      </c>
      <c r="C720" t="str" cm="1">
        <f t="array" aca="1" ref="C720" ca="1">_FV(A720,"Ticker symbol",TRUE)</f>
        <v>GDRX</v>
      </c>
      <c r="D720" s="4">
        <v>4.29</v>
      </c>
      <c r="E720" s="50">
        <v>120</v>
      </c>
      <c r="F720" s="81">
        <f>IF(Table25[[#This Row],[Number of stocks]]&gt;0,Table25[[#This Row],[Number of stocks]],0)</f>
        <v>120</v>
      </c>
      <c r="G720" s="73">
        <f>Table25[[#This Row],[Bought]]*Table25[[#This Row],[Price]]</f>
        <v>514.79999999999995</v>
      </c>
      <c r="H720">
        <f>SUMIF(Table25[[#All],[Assets]],Table25[[#This Row],[Assets]],Table25[[#All],[Bought]])</f>
        <v>420</v>
      </c>
      <c r="I720">
        <f>SUMIF(Table25[[#All],[Assets]],Table25[[#This Row],[Assets]],Table25[[#All],[Bought Amount]])</f>
        <v>1907.8000000000002</v>
      </c>
      <c r="J720" s="88">
        <f>IF(Table25[[#This Row],[Number of stocks]]&lt;0,Table25[[#This Row],[Number of stocks]],0)</f>
        <v>0</v>
      </c>
      <c r="K720" s="5">
        <f>Table25[[#This Row],[Sold]]*Table25[[#This Row],[Price]]</f>
        <v>0</v>
      </c>
      <c r="L720" s="8">
        <f>ABS(SUMIF(Table25[[#All],[Assets]],Table25[[#This Row],[Assets]],Table25[[#All],[Sold]]))</f>
        <v>420</v>
      </c>
      <c r="M720" s="5">
        <f>ABS(SUMIF(Table25[[#All],[Assets]],Table25[[#This Row],[Assets]],Table25[[#All],[Sold Amount]]))</f>
        <v>1792.2000000000003</v>
      </c>
      <c r="N720" s="5">
        <f>IFERROR(Table25[[#This Row],[Total sold amount]]/Table25[[#This Row],[Total Sold number of stocks]],"")</f>
        <v>4.2671428571428578</v>
      </c>
      <c r="O720" s="4">
        <f>IFERROR(Table25[[#This Row],[Total Amount bought]]/Table25[[#This Row],[Total number bought]],"")</f>
        <v>4.5423809523809524</v>
      </c>
      <c r="P720" s="4">
        <f>IFERROR((Table25[[#This Row],[Average sell price]]-Table25[[#This Row],[Average buy price]])*Table25[[#This Row],[Total Sold number of stocks]],0)</f>
        <v>-115.59999999999974</v>
      </c>
      <c r="Q720" s="85">
        <f>SUMIF(Table25[[#All],[Assets]],Table25[[#This Row],[Assets]],Table25[[#All],[Number of stocks]])</f>
        <v>0</v>
      </c>
    </row>
    <row r="721" spans="1:17">
      <c r="A721" t="e" vm="344">
        <v>#VALUE!</v>
      </c>
      <c r="B721" s="2">
        <v>45670</v>
      </c>
      <c r="C721" t="str" cm="1">
        <f t="array" aca="1" ref="C721" ca="1">_FV(A721,"Ticker symbol",TRUE)</f>
        <v>QDEL</v>
      </c>
      <c r="D721" s="4">
        <v>44.11</v>
      </c>
      <c r="E721" s="50">
        <v>10</v>
      </c>
      <c r="F721" s="81">
        <f>IF(Table25[[#This Row],[Number of stocks]]&gt;0,Table25[[#This Row],[Number of stocks]],0)</f>
        <v>10</v>
      </c>
      <c r="G721" s="73">
        <f>Table25[[#This Row],[Bought]]*Table25[[#This Row],[Price]]</f>
        <v>441.1</v>
      </c>
      <c r="H721">
        <f>SUMIF(Table25[[#All],[Assets]],Table25[[#This Row],[Assets]],Table25[[#All],[Bought]])</f>
        <v>26</v>
      </c>
      <c r="I721">
        <f>SUMIF(Table25[[#All],[Assets]],Table25[[#This Row],[Assets]],Table25[[#All],[Bought Amount]])</f>
        <v>1148.52</v>
      </c>
      <c r="J721" s="88">
        <f>IF(Table25[[#This Row],[Number of stocks]]&lt;0,Table25[[#This Row],[Number of stocks]],0)</f>
        <v>0</v>
      </c>
      <c r="K721" s="5">
        <f>Table25[[#This Row],[Sold]]*Table25[[#This Row],[Price]]</f>
        <v>0</v>
      </c>
      <c r="L721" s="8">
        <f>ABS(SUMIF(Table25[[#All],[Assets]],Table25[[#This Row],[Assets]],Table25[[#All],[Sold]]))</f>
        <v>26</v>
      </c>
      <c r="M721" s="5">
        <f>ABS(SUMIF(Table25[[#All],[Assets]],Table25[[#This Row],[Assets]],Table25[[#All],[Sold Amount]]))</f>
        <v>1034.74</v>
      </c>
      <c r="N721" s="5">
        <f>IFERROR(Table25[[#This Row],[Total sold amount]]/Table25[[#This Row],[Total Sold number of stocks]],"")</f>
        <v>39.797692307692309</v>
      </c>
      <c r="O721" s="4">
        <f>IFERROR(Table25[[#This Row],[Total Amount bought]]/Table25[[#This Row],[Total number bought]],"")</f>
        <v>44.173846153846156</v>
      </c>
      <c r="P721" s="4">
        <f>IFERROR((Table25[[#This Row],[Average sell price]]-Table25[[#This Row],[Average buy price]])*Table25[[#This Row],[Total Sold number of stocks]],0)</f>
        <v>-113.78000000000004</v>
      </c>
      <c r="Q721" s="85">
        <f>SUMIF(Table25[[#All],[Assets]],Table25[[#This Row],[Assets]],Table25[[#All],[Number of stocks]])</f>
        <v>0</v>
      </c>
    </row>
    <row r="722" spans="1:17">
      <c r="A722" t="e" vm="527">
        <v>#VALUE!</v>
      </c>
      <c r="B722" s="2">
        <v>45670</v>
      </c>
      <c r="C722" t="str" cm="1">
        <f t="array" aca="1" ref="C722" ca="1">_FV(A722,"Ticker symbol",TRUE)</f>
        <v>NPCE</v>
      </c>
      <c r="D722" s="4">
        <v>12.6</v>
      </c>
      <c r="E722" s="50">
        <v>25</v>
      </c>
      <c r="F722" s="81">
        <f>IF(Table25[[#This Row],[Number of stocks]]&gt;0,Table25[[#This Row],[Number of stocks]],0)</f>
        <v>25</v>
      </c>
      <c r="G722" s="73">
        <f>Table25[[#This Row],[Bought]]*Table25[[#This Row],[Price]]</f>
        <v>315</v>
      </c>
      <c r="H722">
        <f>SUMIF(Table25[[#All],[Assets]],Table25[[#This Row],[Assets]],Table25[[#All],[Bought]])</f>
        <v>115</v>
      </c>
      <c r="I722">
        <f>SUMIF(Table25[[#All],[Assets]],Table25[[#This Row],[Assets]],Table25[[#All],[Bought Amount]])</f>
        <v>1524.3000000000002</v>
      </c>
      <c r="J722" s="88">
        <f>IF(Table25[[#This Row],[Number of stocks]]&lt;0,Table25[[#This Row],[Number of stocks]],0)</f>
        <v>0</v>
      </c>
      <c r="K722" s="5">
        <f>Table25[[#This Row],[Sold]]*Table25[[#This Row],[Price]]</f>
        <v>0</v>
      </c>
      <c r="L722" s="8">
        <f>ABS(SUMIF(Table25[[#All],[Assets]],Table25[[#This Row],[Assets]],Table25[[#All],[Sold]]))</f>
        <v>115</v>
      </c>
      <c r="M722" s="5">
        <f>ABS(SUMIF(Table25[[#All],[Assets]],Table25[[#This Row],[Assets]],Table25[[#All],[Sold Amount]]))</f>
        <v>1473.35</v>
      </c>
      <c r="N722" s="5">
        <f>IFERROR(Table25[[#This Row],[Total sold amount]]/Table25[[#This Row],[Total Sold number of stocks]],"")</f>
        <v>12.811739130434782</v>
      </c>
      <c r="O722" s="4">
        <f>IFERROR(Table25[[#This Row],[Total Amount bought]]/Table25[[#This Row],[Total number bought]],"")</f>
        <v>13.254782608695654</v>
      </c>
      <c r="P722" s="4">
        <f>IFERROR((Table25[[#This Row],[Average sell price]]-Table25[[#This Row],[Average buy price]])*Table25[[#This Row],[Total Sold number of stocks]],0)</f>
        <v>-50.950000000000287</v>
      </c>
      <c r="Q722" s="85">
        <f>SUMIF(Table25[[#All],[Assets]],Table25[[#This Row],[Assets]],Table25[[#All],[Number of stocks]])</f>
        <v>0</v>
      </c>
    </row>
    <row r="723" spans="1:17">
      <c r="A723" t="e" vm="525">
        <v>#VALUE!</v>
      </c>
      <c r="B723" s="2">
        <v>45670</v>
      </c>
      <c r="C723" t="str" cm="1">
        <f t="array" aca="1" ref="C723" ca="1">_FV(A723,"Ticker symbol",TRUE)</f>
        <v>PSNL</v>
      </c>
      <c r="D723" s="4">
        <v>5.51</v>
      </c>
      <c r="E723" s="50">
        <v>90</v>
      </c>
      <c r="F723" s="81">
        <f>IF(Table25[[#This Row],[Number of stocks]]&gt;0,Table25[[#This Row],[Number of stocks]],0)</f>
        <v>90</v>
      </c>
      <c r="G723" s="73">
        <f>Table25[[#This Row],[Bought]]*Table25[[#This Row],[Price]]</f>
        <v>495.9</v>
      </c>
      <c r="H723">
        <f>SUMIF(Table25[[#All],[Assets]],Table25[[#This Row],[Assets]],Table25[[#All],[Bought]])</f>
        <v>90</v>
      </c>
      <c r="I723">
        <f>SUMIF(Table25[[#All],[Assets]],Table25[[#This Row],[Assets]],Table25[[#All],[Bought Amount]])</f>
        <v>495.9</v>
      </c>
      <c r="J723" s="88">
        <f>IF(Table25[[#This Row],[Number of stocks]]&lt;0,Table25[[#This Row],[Number of stocks]],0)</f>
        <v>0</v>
      </c>
      <c r="K723" s="5">
        <f>Table25[[#This Row],[Sold]]*Table25[[#This Row],[Price]]</f>
        <v>0</v>
      </c>
      <c r="L723" s="8">
        <f>ABS(SUMIF(Table25[[#All],[Assets]],Table25[[#This Row],[Assets]],Table25[[#All],[Sold]]))</f>
        <v>90</v>
      </c>
      <c r="M723" s="5">
        <f>ABS(SUMIF(Table25[[#All],[Assets]],Table25[[#This Row],[Assets]],Table25[[#All],[Sold Amount]]))</f>
        <v>374.40000000000003</v>
      </c>
      <c r="N723" s="5">
        <f>IFERROR(Table25[[#This Row],[Total sold amount]]/Table25[[#This Row],[Total Sold number of stocks]],"")</f>
        <v>4.16</v>
      </c>
      <c r="O723" s="4">
        <f>IFERROR(Table25[[#This Row],[Total Amount bought]]/Table25[[#This Row],[Total number bought]],"")</f>
        <v>5.51</v>
      </c>
      <c r="P723" s="4">
        <f>IFERROR((Table25[[#This Row],[Average sell price]]-Table25[[#This Row],[Average buy price]])*Table25[[#This Row],[Total Sold number of stocks]],0)</f>
        <v>-121.49999999999997</v>
      </c>
      <c r="Q723" s="85">
        <f>SUMIF(Table25[[#All],[Assets]],Table25[[#This Row],[Assets]],Table25[[#All],[Number of stocks]])</f>
        <v>0</v>
      </c>
    </row>
    <row r="724" spans="1:17">
      <c r="A724" t="e" vm="225">
        <v>#VALUE!</v>
      </c>
      <c r="B724" s="2">
        <v>45670</v>
      </c>
      <c r="C724" t="str" cm="1">
        <f t="array" aca="1" ref="C724" ca="1">_FV(A724,"Ticker symbol",TRUE)</f>
        <v>ARQ</v>
      </c>
      <c r="D724" s="4">
        <v>6.21</v>
      </c>
      <c r="E724" s="50">
        <v>-50</v>
      </c>
      <c r="F724" s="81">
        <f>IF(Table25[[#This Row],[Number of stocks]]&gt;0,Table25[[#This Row],[Number of stocks]],0)</f>
        <v>0</v>
      </c>
      <c r="G724" s="73">
        <f>Table25[[#This Row],[Bought]]*Table25[[#This Row],[Price]]</f>
        <v>0</v>
      </c>
      <c r="H724">
        <f>SUMIF(Table25[[#All],[Assets]],Table25[[#This Row],[Assets]],Table25[[#All],[Bought]])</f>
        <v>60</v>
      </c>
      <c r="I724">
        <f>SUMIF(Table25[[#All],[Assets]],Table25[[#This Row],[Assets]],Table25[[#All],[Bought Amount]])</f>
        <v>364.8</v>
      </c>
      <c r="J724" s="88">
        <f>IF(Table25[[#This Row],[Number of stocks]]&lt;0,Table25[[#This Row],[Number of stocks]],0)</f>
        <v>-50</v>
      </c>
      <c r="K724" s="5">
        <f>Table25[[#This Row],[Sold]]*Table25[[#This Row],[Price]]</f>
        <v>-310.5</v>
      </c>
      <c r="L724" s="8">
        <f>ABS(SUMIF(Table25[[#All],[Assets]],Table25[[#This Row],[Assets]],Table25[[#All],[Sold]]))</f>
        <v>50</v>
      </c>
      <c r="M724" s="5">
        <f>ABS(SUMIF(Table25[[#All],[Assets]],Table25[[#This Row],[Assets]],Table25[[#All],[Sold Amount]]))</f>
        <v>310.5</v>
      </c>
      <c r="N724" s="5">
        <f>IFERROR(Table25[[#This Row],[Total sold amount]]/Table25[[#This Row],[Total Sold number of stocks]],"")</f>
        <v>6.21</v>
      </c>
      <c r="O724" s="4">
        <f>IFERROR(Table25[[#This Row],[Total Amount bought]]/Table25[[#This Row],[Total number bought]],"")</f>
        <v>6.08</v>
      </c>
      <c r="P724" s="4">
        <f>IFERROR((Table25[[#This Row],[Average sell price]]-Table25[[#This Row],[Average buy price]])*Table25[[#This Row],[Total Sold number of stocks]],0)</f>
        <v>6.4999999999999947</v>
      </c>
      <c r="Q724" s="85">
        <f>SUMIF(Table25[[#All],[Assets]],Table25[[#This Row],[Assets]],Table25[[#All],[Number of stocks]])</f>
        <v>10</v>
      </c>
    </row>
    <row r="725" spans="1:17">
      <c r="A725" t="e" vm="268">
        <v>#VALUE!</v>
      </c>
      <c r="B725" s="2">
        <v>45670</v>
      </c>
      <c r="C725" t="str" cm="1">
        <f t="array" aca="1" ref="C725" ca="1">_FV(A725,"Ticker symbol",TRUE)</f>
        <v>KNTK</v>
      </c>
      <c r="D725" s="4">
        <v>60.74</v>
      </c>
      <c r="E725" s="50">
        <v>-20</v>
      </c>
      <c r="F725" s="81">
        <f>IF(Table25[[#This Row],[Number of stocks]]&gt;0,Table25[[#This Row],[Number of stocks]],0)</f>
        <v>0</v>
      </c>
      <c r="G725" s="73">
        <f>Table25[[#This Row],[Bought]]*Table25[[#This Row],[Price]]</f>
        <v>0</v>
      </c>
      <c r="H725">
        <f>SUMIF(Table25[[#All],[Assets]],Table25[[#This Row],[Assets]],Table25[[#All],[Bought]])</f>
        <v>70</v>
      </c>
      <c r="I725">
        <f>SUMIF(Table25[[#All],[Assets]],Table25[[#This Row],[Assets]],Table25[[#All],[Bought Amount]])</f>
        <v>2985.8999999999996</v>
      </c>
      <c r="J725" s="88">
        <f>IF(Table25[[#This Row],[Number of stocks]]&lt;0,Table25[[#This Row],[Number of stocks]],0)</f>
        <v>-20</v>
      </c>
      <c r="K725" s="5">
        <f>Table25[[#This Row],[Sold]]*Table25[[#This Row],[Price]]</f>
        <v>-1214.8</v>
      </c>
      <c r="L725" s="8">
        <f>ABS(SUMIF(Table25[[#All],[Assets]],Table25[[#This Row],[Assets]],Table25[[#All],[Sold]]))</f>
        <v>70</v>
      </c>
      <c r="M725" s="5">
        <f>ABS(SUMIF(Table25[[#All],[Assets]],Table25[[#This Row],[Assets]],Table25[[#All],[Sold Amount]]))</f>
        <v>4037</v>
      </c>
      <c r="N725" s="5">
        <f>IFERROR(Table25[[#This Row],[Total sold amount]]/Table25[[#This Row],[Total Sold number of stocks]],"")</f>
        <v>57.671428571428571</v>
      </c>
      <c r="O725" s="4">
        <f>IFERROR(Table25[[#This Row],[Total Amount bought]]/Table25[[#This Row],[Total number bought]],"")</f>
        <v>42.655714285714282</v>
      </c>
      <c r="P725" s="4">
        <f>IFERROR((Table25[[#This Row],[Average sell price]]-Table25[[#This Row],[Average buy price]])*Table25[[#This Row],[Total Sold number of stocks]],0)</f>
        <v>1051.1000000000001</v>
      </c>
      <c r="Q725" s="85">
        <f>SUMIF(Table25[[#All],[Assets]],Table25[[#This Row],[Assets]],Table25[[#All],[Number of stocks]])</f>
        <v>0</v>
      </c>
    </row>
    <row r="726" spans="1:17">
      <c r="A726" t="e" vm="265">
        <v>#VALUE!</v>
      </c>
      <c r="B726" s="2">
        <v>45670</v>
      </c>
      <c r="C726" t="str" cm="1">
        <f t="array" aca="1" ref="C726" ca="1">_FV(A726,"Ticker symbol",TRUE)</f>
        <v>OBIO</v>
      </c>
      <c r="D726" s="4">
        <v>5.54</v>
      </c>
      <c r="E726" s="50">
        <v>100</v>
      </c>
      <c r="F726" s="81">
        <f>IF(Table25[[#This Row],[Number of stocks]]&gt;0,Table25[[#This Row],[Number of stocks]],0)</f>
        <v>100</v>
      </c>
      <c r="G726" s="73">
        <f>Table25[[#This Row],[Bought]]*Table25[[#This Row],[Price]]</f>
        <v>554</v>
      </c>
      <c r="H726">
        <f>SUMIF(Table25[[#All],[Assets]],Table25[[#This Row],[Assets]],Table25[[#All],[Bought]])</f>
        <v>100</v>
      </c>
      <c r="I726">
        <f>SUMIF(Table25[[#All],[Assets]],Table25[[#This Row],[Assets]],Table25[[#All],[Bought Amount]])</f>
        <v>554</v>
      </c>
      <c r="J726" s="88">
        <f>IF(Table25[[#This Row],[Number of stocks]]&lt;0,Table25[[#This Row],[Number of stocks]],0)</f>
        <v>0</v>
      </c>
      <c r="K726" s="5">
        <f>Table25[[#This Row],[Sold]]*Table25[[#This Row],[Price]]</f>
        <v>0</v>
      </c>
      <c r="L726" s="8">
        <f>ABS(SUMIF(Table25[[#All],[Assets]],Table25[[#This Row],[Assets]],Table25[[#All],[Sold]]))</f>
        <v>100</v>
      </c>
      <c r="M726" s="5">
        <f>ABS(SUMIF(Table25[[#All],[Assets]],Table25[[#This Row],[Assets]],Table25[[#All],[Sold Amount]]))</f>
        <v>349</v>
      </c>
      <c r="N726" s="5">
        <f>IFERROR(Table25[[#This Row],[Total sold amount]]/Table25[[#This Row],[Total Sold number of stocks]],"")</f>
        <v>3.49</v>
      </c>
      <c r="O726" s="4">
        <f>IFERROR(Table25[[#This Row],[Total Amount bought]]/Table25[[#This Row],[Total number bought]],"")</f>
        <v>5.54</v>
      </c>
      <c r="P726" s="4">
        <f>IFERROR((Table25[[#This Row],[Average sell price]]-Table25[[#This Row],[Average buy price]])*Table25[[#This Row],[Total Sold number of stocks]],0)</f>
        <v>-204.99999999999997</v>
      </c>
      <c r="Q726" s="85">
        <f>SUMIF(Table25[[#All],[Assets]],Table25[[#This Row],[Assets]],Table25[[#All],[Number of stocks]])</f>
        <v>0</v>
      </c>
    </row>
    <row r="727" spans="1:17">
      <c r="A727" t="e" vm="183">
        <v>#VALUE!</v>
      </c>
      <c r="B727" s="2">
        <v>45670</v>
      </c>
      <c r="C727" t="str" cm="1">
        <f t="array" aca="1" ref="C727" ca="1">_FV(A727,"Ticker symbol",TRUE)</f>
        <v>ESOA</v>
      </c>
      <c r="D727" s="4">
        <v>11.48</v>
      </c>
      <c r="E727" s="50">
        <v>70</v>
      </c>
      <c r="F727" s="81">
        <f>IF(Table25[[#This Row],[Number of stocks]]&gt;0,Table25[[#This Row],[Number of stocks]],0)</f>
        <v>70</v>
      </c>
      <c r="G727" s="73">
        <f>Table25[[#This Row],[Bought]]*Table25[[#This Row],[Price]]</f>
        <v>803.6</v>
      </c>
      <c r="H727">
        <f>SUMIF(Table25[[#All],[Assets]],Table25[[#This Row],[Assets]],Table25[[#All],[Bought]])</f>
        <v>1832</v>
      </c>
      <c r="I727">
        <f>SUMIF(Table25[[#All],[Assets]],Table25[[#This Row],[Assets]],Table25[[#All],[Bought Amount]])</f>
        <v>18152.78</v>
      </c>
      <c r="J727" s="88">
        <f>IF(Table25[[#This Row],[Number of stocks]]&lt;0,Table25[[#This Row],[Number of stocks]],0)</f>
        <v>0</v>
      </c>
      <c r="K727" s="5">
        <f>Table25[[#This Row],[Sold]]*Table25[[#This Row],[Price]]</f>
        <v>0</v>
      </c>
      <c r="L727" s="8">
        <f>ABS(SUMIF(Table25[[#All],[Assets]],Table25[[#This Row],[Assets]],Table25[[#All],[Sold]]))</f>
        <v>1568</v>
      </c>
      <c r="M727" s="5">
        <f>ABS(SUMIF(Table25[[#All],[Assets]],Table25[[#This Row],[Assets]],Table25[[#All],[Sold Amount]]))</f>
        <v>14668</v>
      </c>
      <c r="N727" s="5">
        <f>IFERROR(Table25[[#This Row],[Total sold amount]]/Table25[[#This Row],[Total Sold number of stocks]],"")</f>
        <v>9.3545918367346932</v>
      </c>
      <c r="O727" s="4">
        <f>IFERROR(Table25[[#This Row],[Total Amount bought]]/Table25[[#This Row],[Total number bought]],"")</f>
        <v>9.9087227074235802</v>
      </c>
      <c r="P727" s="4">
        <f>IFERROR((Table25[[#This Row],[Average sell price]]-Table25[[#This Row],[Average buy price]])*Table25[[#This Row],[Total Sold number of stocks]],0)</f>
        <v>-868.87720524017482</v>
      </c>
      <c r="Q727" s="85">
        <f>SUMIF(Table25[[#All],[Assets]],Table25[[#This Row],[Assets]],Table25[[#All],[Number of stocks]])</f>
        <v>264</v>
      </c>
    </row>
    <row r="728" spans="1:17">
      <c r="A728" t="e" vm="270">
        <v>#VALUE!</v>
      </c>
      <c r="B728" s="2">
        <v>45670</v>
      </c>
      <c r="C728" t="str" cm="1">
        <f t="array" aca="1" ref="C728" ca="1">_FV(A728,"Ticker symbol",TRUE)</f>
        <v>APEI</v>
      </c>
      <c r="D728" s="4">
        <v>19.440000000000001</v>
      </c>
      <c r="E728" s="50">
        <v>-55</v>
      </c>
      <c r="F728" s="81">
        <f>IF(Table25[[#This Row],[Number of stocks]]&gt;0,Table25[[#This Row],[Number of stocks]],0)</f>
        <v>0</v>
      </c>
      <c r="G728" s="73">
        <f>Table25[[#This Row],[Bought]]*Table25[[#This Row],[Price]]</f>
        <v>0</v>
      </c>
      <c r="H728">
        <f>SUMIF(Table25[[#All],[Assets]],Table25[[#This Row],[Assets]],Table25[[#All],[Bought]])</f>
        <v>55</v>
      </c>
      <c r="I728">
        <f>SUMIF(Table25[[#All],[Assets]],Table25[[#This Row],[Assets]],Table25[[#All],[Bought Amount]])</f>
        <v>895</v>
      </c>
      <c r="J728" s="88">
        <f>IF(Table25[[#This Row],[Number of stocks]]&lt;0,Table25[[#This Row],[Number of stocks]],0)</f>
        <v>-55</v>
      </c>
      <c r="K728" s="5">
        <f>Table25[[#This Row],[Sold]]*Table25[[#This Row],[Price]]</f>
        <v>-1069.2</v>
      </c>
      <c r="L728" s="8">
        <f>ABS(SUMIF(Table25[[#All],[Assets]],Table25[[#This Row],[Assets]],Table25[[#All],[Sold]]))</f>
        <v>55</v>
      </c>
      <c r="M728" s="5">
        <f>ABS(SUMIF(Table25[[#All],[Assets]],Table25[[#This Row],[Assets]],Table25[[#All],[Sold Amount]]))</f>
        <v>1069.2</v>
      </c>
      <c r="N728" s="5">
        <f>IFERROR(Table25[[#This Row],[Total sold amount]]/Table25[[#This Row],[Total Sold number of stocks]],"")</f>
        <v>19.440000000000001</v>
      </c>
      <c r="O728" s="4">
        <f>IFERROR(Table25[[#This Row],[Total Amount bought]]/Table25[[#This Row],[Total number bought]],"")</f>
        <v>16.272727272727273</v>
      </c>
      <c r="P728" s="4">
        <f>IFERROR((Table25[[#This Row],[Average sell price]]-Table25[[#This Row],[Average buy price]])*Table25[[#This Row],[Total Sold number of stocks]],0)</f>
        <v>174.20000000000005</v>
      </c>
      <c r="Q728" s="85">
        <f>SUMIF(Table25[[#All],[Assets]],Table25[[#This Row],[Assets]],Table25[[#All],[Number of stocks]])</f>
        <v>0</v>
      </c>
    </row>
    <row r="729" spans="1:17">
      <c r="A729" t="e" vm="215">
        <v>#VALUE!</v>
      </c>
      <c r="B729" s="2">
        <v>45670</v>
      </c>
      <c r="C729" t="str" cm="1">
        <f t="array" aca="1" ref="C729" ca="1">_FV(A729,"Ticker symbol",TRUE)</f>
        <v>SEI</v>
      </c>
      <c r="D729" s="4">
        <v>29</v>
      </c>
      <c r="E729" s="50">
        <v>10</v>
      </c>
      <c r="F729" s="81">
        <f>IF(Table25[[#This Row],[Number of stocks]]&gt;0,Table25[[#This Row],[Number of stocks]],0)</f>
        <v>10</v>
      </c>
      <c r="G729" s="73">
        <f>Table25[[#This Row],[Bought]]*Table25[[#This Row],[Price]]</f>
        <v>290</v>
      </c>
      <c r="H729">
        <f>SUMIF(Table25[[#All],[Assets]],Table25[[#This Row],[Assets]],Table25[[#All],[Bought]])</f>
        <v>57</v>
      </c>
      <c r="I729">
        <f>SUMIF(Table25[[#All],[Assets]],Table25[[#This Row],[Assets]],Table25[[#All],[Bought Amount]])</f>
        <v>1470.52</v>
      </c>
      <c r="J729" s="88">
        <f>IF(Table25[[#This Row],[Number of stocks]]&lt;0,Table25[[#This Row],[Number of stocks]],0)</f>
        <v>0</v>
      </c>
      <c r="K729" s="5">
        <f>Table25[[#This Row],[Sold]]*Table25[[#This Row],[Price]]</f>
        <v>0</v>
      </c>
      <c r="L729" s="8">
        <f>ABS(SUMIF(Table25[[#All],[Assets]],Table25[[#This Row],[Assets]],Table25[[#All],[Sold]]))</f>
        <v>50</v>
      </c>
      <c r="M729" s="5">
        <f>ABS(SUMIF(Table25[[#All],[Assets]],Table25[[#This Row],[Assets]],Table25[[#All],[Sold Amount]]))</f>
        <v>1133.05</v>
      </c>
      <c r="N729" s="5">
        <f>IFERROR(Table25[[#This Row],[Total sold amount]]/Table25[[#This Row],[Total Sold number of stocks]],"")</f>
        <v>22.660999999999998</v>
      </c>
      <c r="O729" s="4">
        <f>IFERROR(Table25[[#This Row],[Total Amount bought]]/Table25[[#This Row],[Total number bought]],"")</f>
        <v>25.798596491228071</v>
      </c>
      <c r="P729" s="4">
        <f>IFERROR((Table25[[#This Row],[Average sell price]]-Table25[[#This Row],[Average buy price]])*Table25[[#This Row],[Total Sold number of stocks]],0)</f>
        <v>-156.87982456140367</v>
      </c>
      <c r="Q729" s="85">
        <f>SUMIF(Table25[[#All],[Assets]],Table25[[#This Row],[Assets]],Table25[[#All],[Number of stocks]])</f>
        <v>7</v>
      </c>
    </row>
    <row r="730" spans="1:17">
      <c r="A730" t="e" vm="13">
        <v>#VALUE!</v>
      </c>
      <c r="B730" s="2">
        <v>45670</v>
      </c>
      <c r="C730" t="str" cm="1">
        <f t="array" aca="1" ref="C730" ca="1">_FV(A730,"Ticker symbol",TRUE)</f>
        <v>ON</v>
      </c>
      <c r="D730" s="4">
        <v>55.31</v>
      </c>
      <c r="E730" s="50">
        <v>30</v>
      </c>
      <c r="F730" s="81">
        <f>IF(Table25[[#This Row],[Number of stocks]]&gt;0,Table25[[#This Row],[Number of stocks]],0)</f>
        <v>30</v>
      </c>
      <c r="G730" s="73">
        <f>Table25[[#This Row],[Bought]]*Table25[[#This Row],[Price]]</f>
        <v>1659.3000000000002</v>
      </c>
      <c r="H730">
        <f>SUMIF(Table25[[#All],[Assets]],Table25[[#This Row],[Assets]],Table25[[#All],[Bought]])</f>
        <v>326</v>
      </c>
      <c r="I730">
        <f>SUMIF(Table25[[#All],[Assets]],Table25[[#This Row],[Assets]],Table25[[#All],[Bought Amount]])</f>
        <v>19172.809999999998</v>
      </c>
      <c r="J730" s="88">
        <f>IF(Table25[[#This Row],[Number of stocks]]&lt;0,Table25[[#This Row],[Number of stocks]],0)</f>
        <v>0</v>
      </c>
      <c r="K730" s="5">
        <f>Table25[[#This Row],[Sold]]*Table25[[#This Row],[Price]]</f>
        <v>0</v>
      </c>
      <c r="L730" s="8">
        <f>ABS(SUMIF(Table25[[#All],[Assets]],Table25[[#This Row],[Assets]],Table25[[#All],[Sold]]))</f>
        <v>283</v>
      </c>
      <c r="M730" s="5">
        <f>ABS(SUMIF(Table25[[#All],[Assets]],Table25[[#This Row],[Assets]],Table25[[#All],[Sold Amount]]))</f>
        <v>15700.74</v>
      </c>
      <c r="N730" s="5">
        <f>IFERROR(Table25[[#This Row],[Total sold amount]]/Table25[[#This Row],[Total Sold number of stocks]],"")</f>
        <v>55.47964664310954</v>
      </c>
      <c r="O730" s="4">
        <f>IFERROR(Table25[[#This Row],[Total Amount bought]]/Table25[[#This Row],[Total number bought]],"")</f>
        <v>58.812300613496923</v>
      </c>
      <c r="P730" s="4">
        <f>IFERROR((Table25[[#This Row],[Average sell price]]-Table25[[#This Row],[Average buy price]])*Table25[[#This Row],[Total Sold number of stocks]],0)</f>
        <v>-943.14107361962954</v>
      </c>
      <c r="Q730" s="85">
        <f>SUMIF(Table25[[#All],[Assets]],Table25[[#This Row],[Assets]],Table25[[#All],[Number of stocks]])</f>
        <v>43</v>
      </c>
    </row>
    <row r="731" spans="1:17">
      <c r="A731" t="e" vm="35">
        <v>#VALUE!</v>
      </c>
      <c r="B731" s="2">
        <v>45670</v>
      </c>
      <c r="C731" t="str" cm="1">
        <f t="array" aca="1" ref="C731" ca="1">_FV(A731,"Ticker symbol",TRUE)</f>
        <v>VRT</v>
      </c>
      <c r="D731" s="4">
        <v>122.55</v>
      </c>
      <c r="E731" s="50">
        <v>2</v>
      </c>
      <c r="F731" s="81">
        <f>IF(Table25[[#This Row],[Number of stocks]]&gt;0,Table25[[#This Row],[Number of stocks]],0)</f>
        <v>2</v>
      </c>
      <c r="G731" s="73">
        <f>Table25[[#This Row],[Bought]]*Table25[[#This Row],[Price]]</f>
        <v>245.1</v>
      </c>
      <c r="H731">
        <f>SUMIF(Table25[[#All],[Assets]],Table25[[#This Row],[Assets]],Table25[[#All],[Bought]])</f>
        <v>24</v>
      </c>
      <c r="I731">
        <f>SUMIF(Table25[[#All],[Assets]],Table25[[#This Row],[Assets]],Table25[[#All],[Bought Amount]])</f>
        <v>2071.3599999999997</v>
      </c>
      <c r="J731" s="88">
        <f>IF(Table25[[#This Row],[Number of stocks]]&lt;0,Table25[[#This Row],[Number of stocks]],0)</f>
        <v>0</v>
      </c>
      <c r="K731" s="5">
        <f>Table25[[#This Row],[Sold]]*Table25[[#This Row],[Price]]</f>
        <v>0</v>
      </c>
      <c r="L731" s="8">
        <f>ABS(SUMIF(Table25[[#All],[Assets]],Table25[[#This Row],[Assets]],Table25[[#All],[Sold]]))</f>
        <v>24</v>
      </c>
      <c r="M731" s="5">
        <f>ABS(SUMIF(Table25[[#All],[Assets]],Table25[[#This Row],[Assets]],Table25[[#All],[Sold Amount]]))</f>
        <v>2694.0499999999997</v>
      </c>
      <c r="N731" s="5">
        <f>IFERROR(Table25[[#This Row],[Total sold amount]]/Table25[[#This Row],[Total Sold number of stocks]],"")</f>
        <v>112.25208333333332</v>
      </c>
      <c r="O731" s="4">
        <f>IFERROR(Table25[[#This Row],[Total Amount bought]]/Table25[[#This Row],[Total number bought]],"")</f>
        <v>86.306666666666658</v>
      </c>
      <c r="P731" s="4">
        <f>IFERROR((Table25[[#This Row],[Average sell price]]-Table25[[#This Row],[Average buy price]])*Table25[[#This Row],[Total Sold number of stocks]],0)</f>
        <v>622.68999999999983</v>
      </c>
      <c r="Q731" s="85">
        <f>SUMIF(Table25[[#All],[Assets]],Table25[[#This Row],[Assets]],Table25[[#All],[Number of stocks]])</f>
        <v>0</v>
      </c>
    </row>
    <row r="732" spans="1:17">
      <c r="A732" t="e" vm="14">
        <v>#VALUE!</v>
      </c>
      <c r="B732" s="2">
        <v>45670</v>
      </c>
      <c r="C732" t="str" cm="1">
        <f t="array" aca="1" ref="C732" ca="1">_FV(A732,"Ticker symbol",TRUE)</f>
        <v>NVTS</v>
      </c>
      <c r="D732" s="4">
        <v>2.95</v>
      </c>
      <c r="E732" s="50">
        <v>350</v>
      </c>
      <c r="F732" s="81">
        <f>IF(Table25[[#This Row],[Number of stocks]]&gt;0,Table25[[#This Row],[Number of stocks]],0)</f>
        <v>350</v>
      </c>
      <c r="G732" s="73">
        <f>Table25[[#This Row],[Bought]]*Table25[[#This Row],[Price]]</f>
        <v>1032.5</v>
      </c>
      <c r="H732">
        <f>SUMIF(Table25[[#All],[Assets]],Table25[[#This Row],[Assets]],Table25[[#All],[Bought]])</f>
        <v>453</v>
      </c>
      <c r="I732">
        <f>SUMIF(Table25[[#All],[Assets]],Table25[[#This Row],[Assets]],Table25[[#All],[Bought Amount]])</f>
        <v>1878.11</v>
      </c>
      <c r="J732" s="88">
        <f>IF(Table25[[#This Row],[Number of stocks]]&lt;0,Table25[[#This Row],[Number of stocks]],0)</f>
        <v>0</v>
      </c>
      <c r="K732" s="5">
        <f>Table25[[#This Row],[Sold]]*Table25[[#This Row],[Price]]</f>
        <v>0</v>
      </c>
      <c r="L732" s="8">
        <f>ABS(SUMIF(Table25[[#All],[Assets]],Table25[[#This Row],[Assets]],Table25[[#All],[Sold]]))</f>
        <v>410</v>
      </c>
      <c r="M732" s="5">
        <f>ABS(SUMIF(Table25[[#All],[Assets]],Table25[[#This Row],[Assets]],Table25[[#All],[Sold Amount]]))</f>
        <v>1286.2</v>
      </c>
      <c r="N732" s="5">
        <f>IFERROR(Table25[[#This Row],[Total sold amount]]/Table25[[#This Row],[Total Sold number of stocks]],"")</f>
        <v>3.1370731707317074</v>
      </c>
      <c r="O732" s="4">
        <f>IFERROR(Table25[[#This Row],[Total Amount bought]]/Table25[[#This Row],[Total number bought]],"")</f>
        <v>4.1459381898454746</v>
      </c>
      <c r="P732" s="4">
        <f>IFERROR((Table25[[#This Row],[Average sell price]]-Table25[[#This Row],[Average buy price]])*Table25[[#This Row],[Total Sold number of stocks]],0)</f>
        <v>-413.63465783664452</v>
      </c>
      <c r="Q732" s="85">
        <f>SUMIF(Table25[[#All],[Assets]],Table25[[#This Row],[Assets]],Table25[[#All],[Number of stocks]])</f>
        <v>43</v>
      </c>
    </row>
    <row r="733" spans="1:17">
      <c r="A733" t="e" vm="280">
        <v>#VALUE!</v>
      </c>
      <c r="B733" s="2">
        <v>45670</v>
      </c>
      <c r="C733" t="str" cm="1">
        <f t="array" aca="1" ref="C733" ca="1">_FV(A733,"Ticker symbol",TRUE)</f>
        <v>CHWY</v>
      </c>
      <c r="D733" s="4">
        <v>36.81</v>
      </c>
      <c r="E733" s="50">
        <v>-30</v>
      </c>
      <c r="F733" s="81">
        <f>IF(Table25[[#This Row],[Number of stocks]]&gt;0,Table25[[#This Row],[Number of stocks]],0)</f>
        <v>0</v>
      </c>
      <c r="G733" s="73">
        <f>Table25[[#This Row],[Bought]]*Table25[[#This Row],[Price]]</f>
        <v>0</v>
      </c>
      <c r="H733">
        <f>SUMIF(Table25[[#All],[Assets]],Table25[[#This Row],[Assets]],Table25[[#All],[Bought]])</f>
        <v>30</v>
      </c>
      <c r="I733">
        <f>SUMIF(Table25[[#All],[Assets]],Table25[[#This Row],[Assets]],Table25[[#All],[Bought Amount]])</f>
        <v>1013.55</v>
      </c>
      <c r="J733" s="88">
        <f>IF(Table25[[#This Row],[Number of stocks]]&lt;0,Table25[[#This Row],[Number of stocks]],0)</f>
        <v>-30</v>
      </c>
      <c r="K733" s="5">
        <f>Table25[[#This Row],[Sold]]*Table25[[#This Row],[Price]]</f>
        <v>-1104.3000000000002</v>
      </c>
      <c r="L733" s="8">
        <f>ABS(SUMIF(Table25[[#All],[Assets]],Table25[[#This Row],[Assets]],Table25[[#All],[Sold]]))</f>
        <v>30</v>
      </c>
      <c r="M733" s="5">
        <f>ABS(SUMIF(Table25[[#All],[Assets]],Table25[[#This Row],[Assets]],Table25[[#All],[Sold Amount]]))</f>
        <v>1104.3000000000002</v>
      </c>
      <c r="N733" s="5">
        <f>IFERROR(Table25[[#This Row],[Total sold amount]]/Table25[[#This Row],[Total Sold number of stocks]],"")</f>
        <v>36.810000000000009</v>
      </c>
      <c r="O733" s="4">
        <f>IFERROR(Table25[[#This Row],[Total Amount bought]]/Table25[[#This Row],[Total number bought]],"")</f>
        <v>33.784999999999997</v>
      </c>
      <c r="P733" s="4">
        <f>IFERROR((Table25[[#This Row],[Average sell price]]-Table25[[#This Row],[Average buy price]])*Table25[[#This Row],[Total Sold number of stocks]],0)</f>
        <v>90.750000000000384</v>
      </c>
      <c r="Q733" s="85">
        <f>SUMIF(Table25[[#All],[Assets]],Table25[[#This Row],[Assets]],Table25[[#All],[Number of stocks]])</f>
        <v>0</v>
      </c>
    </row>
    <row r="734" spans="1:17">
      <c r="A734" t="e" vm="88">
        <v>#VALUE!</v>
      </c>
      <c r="B734" s="2">
        <v>45670</v>
      </c>
      <c r="C734" t="str" cm="1">
        <f t="array" aca="1" ref="C734" ca="1">_FV(A734,"Ticker symbol",TRUE)</f>
        <v>SPIR</v>
      </c>
      <c r="D734" s="4">
        <v>12.82</v>
      </c>
      <c r="E734" s="50">
        <v>-76</v>
      </c>
      <c r="F734" s="81">
        <f>IF(Table25[[#This Row],[Number of stocks]]&gt;0,Table25[[#This Row],[Number of stocks]],0)</f>
        <v>0</v>
      </c>
      <c r="G734" s="73">
        <f>Table25[[#This Row],[Bought]]*Table25[[#This Row],[Price]]</f>
        <v>0</v>
      </c>
      <c r="H734">
        <f>SUMIF(Table25[[#All],[Assets]],Table25[[#This Row],[Assets]],Table25[[#All],[Bought]])</f>
        <v>173</v>
      </c>
      <c r="I734">
        <f>SUMIF(Table25[[#All],[Assets]],Table25[[#This Row],[Assets]],Table25[[#All],[Bought Amount]])</f>
        <v>2251.35</v>
      </c>
      <c r="J734" s="88">
        <f>IF(Table25[[#This Row],[Number of stocks]]&lt;0,Table25[[#This Row],[Number of stocks]],0)</f>
        <v>-76</v>
      </c>
      <c r="K734" s="5">
        <f>Table25[[#This Row],[Sold]]*Table25[[#This Row],[Price]]</f>
        <v>-974.32</v>
      </c>
      <c r="L734" s="8">
        <f>ABS(SUMIF(Table25[[#All],[Assets]],Table25[[#This Row],[Assets]],Table25[[#All],[Sold]]))</f>
        <v>173</v>
      </c>
      <c r="M734" s="5">
        <f>ABS(SUMIF(Table25[[#All],[Assets]],Table25[[#This Row],[Assets]],Table25[[#All],[Sold Amount]]))</f>
        <v>2095.02</v>
      </c>
      <c r="N734" s="5">
        <f>IFERROR(Table25[[#This Row],[Total sold amount]]/Table25[[#This Row],[Total Sold number of stocks]],"")</f>
        <v>12.109942196531792</v>
      </c>
      <c r="O734" s="4">
        <f>IFERROR(Table25[[#This Row],[Total Amount bought]]/Table25[[#This Row],[Total number bought]],"")</f>
        <v>13.013583815028902</v>
      </c>
      <c r="P734" s="4">
        <f>IFERROR((Table25[[#This Row],[Average sell price]]-Table25[[#This Row],[Average buy price]])*Table25[[#This Row],[Total Sold number of stocks]],0)</f>
        <v>-156.33000000000001</v>
      </c>
      <c r="Q734" s="85">
        <f>SUMIF(Table25[[#All],[Assets]],Table25[[#This Row],[Assets]],Table25[[#All],[Number of stocks]])</f>
        <v>0</v>
      </c>
    </row>
    <row r="735" spans="1:17">
      <c r="A735" t="e" vm="28">
        <v>#VALUE!</v>
      </c>
      <c r="B735" s="2">
        <v>45670</v>
      </c>
      <c r="C735" t="str" cm="1">
        <f t="array" aca="1" ref="C735" ca="1">_FV(A735,"Ticker symbol",TRUE)</f>
        <v>NXPI</v>
      </c>
      <c r="D735" s="4">
        <v>203.67</v>
      </c>
      <c r="E735" s="50">
        <v>5</v>
      </c>
      <c r="F735" s="81">
        <f>IF(Table25[[#This Row],[Number of stocks]]&gt;0,Table25[[#This Row],[Number of stocks]],0)</f>
        <v>5</v>
      </c>
      <c r="G735" s="73">
        <f>Table25[[#This Row],[Bought]]*Table25[[#This Row],[Price]]</f>
        <v>1018.3499999999999</v>
      </c>
      <c r="H735">
        <f>SUMIF(Table25[[#All],[Assets]],Table25[[#This Row],[Assets]],Table25[[#All],[Bought]])</f>
        <v>5</v>
      </c>
      <c r="I735">
        <f>SUMIF(Table25[[#All],[Assets]],Table25[[#This Row],[Assets]],Table25[[#All],[Bought Amount]])</f>
        <v>1018.3499999999999</v>
      </c>
      <c r="J735" s="88">
        <f>IF(Table25[[#This Row],[Number of stocks]]&lt;0,Table25[[#This Row],[Number of stocks]],0)</f>
        <v>0</v>
      </c>
      <c r="K735" s="5">
        <f>Table25[[#This Row],[Sold]]*Table25[[#This Row],[Price]]</f>
        <v>0</v>
      </c>
      <c r="L735" s="8">
        <f>ABS(SUMIF(Table25[[#All],[Assets]],Table25[[#This Row],[Assets]],Table25[[#All],[Sold]]))</f>
        <v>5</v>
      </c>
      <c r="M735" s="5">
        <f>ABS(SUMIF(Table25[[#All],[Assets]],Table25[[#This Row],[Assets]],Table25[[#All],[Sold Amount]]))</f>
        <v>1071.8499999999999</v>
      </c>
      <c r="N735" s="5">
        <f>IFERROR(Table25[[#This Row],[Total sold amount]]/Table25[[#This Row],[Total Sold number of stocks]],"")</f>
        <v>214.36999999999998</v>
      </c>
      <c r="O735" s="4">
        <f>IFERROR(Table25[[#This Row],[Total Amount bought]]/Table25[[#This Row],[Total number bought]],"")</f>
        <v>203.67</v>
      </c>
      <c r="P735" s="4">
        <f>IFERROR((Table25[[#This Row],[Average sell price]]-Table25[[#This Row],[Average buy price]])*Table25[[#This Row],[Total Sold number of stocks]],0)</f>
        <v>53.499999999999943</v>
      </c>
      <c r="Q735" s="85">
        <f>SUMIF(Table25[[#All],[Assets]],Table25[[#This Row],[Assets]],Table25[[#All],[Number of stocks]])</f>
        <v>0</v>
      </c>
    </row>
    <row r="736" spans="1:17">
      <c r="A736" t="e" vm="176">
        <v>#VALUE!</v>
      </c>
      <c r="B736" s="2">
        <v>45670</v>
      </c>
      <c r="C736" t="str" cm="1">
        <f t="array" aca="1" ref="C736" ca="1">_FV(A736,"Ticker symbol",TRUE)</f>
        <v>HUT</v>
      </c>
      <c r="D736" s="4">
        <v>22.07</v>
      </c>
      <c r="E736" s="50">
        <v>-150</v>
      </c>
      <c r="F736" s="81">
        <f>IF(Table25[[#This Row],[Number of stocks]]&gt;0,Table25[[#This Row],[Number of stocks]],0)</f>
        <v>0</v>
      </c>
      <c r="G736" s="73">
        <f>Table25[[#This Row],[Bought]]*Table25[[#This Row],[Price]]</f>
        <v>0</v>
      </c>
      <c r="H736">
        <f>SUMIF(Table25[[#All],[Assets]],Table25[[#This Row],[Assets]],Table25[[#All],[Bought]])</f>
        <v>461</v>
      </c>
      <c r="I736">
        <f>SUMIF(Table25[[#All],[Assets]],Table25[[#This Row],[Assets]],Table25[[#All],[Bought Amount]])</f>
        <v>12551.63</v>
      </c>
      <c r="J736" s="88">
        <f>IF(Table25[[#This Row],[Number of stocks]]&lt;0,Table25[[#This Row],[Number of stocks]],0)</f>
        <v>-150</v>
      </c>
      <c r="K736" s="5">
        <f>Table25[[#This Row],[Sold]]*Table25[[#This Row],[Price]]</f>
        <v>-3310.5</v>
      </c>
      <c r="L736" s="8">
        <f>ABS(SUMIF(Table25[[#All],[Assets]],Table25[[#This Row],[Assets]],Table25[[#All],[Sold]]))</f>
        <v>350</v>
      </c>
      <c r="M736" s="5">
        <f>ABS(SUMIF(Table25[[#All],[Assets]],Table25[[#This Row],[Assets]],Table25[[#All],[Sold Amount]]))</f>
        <v>6704.5</v>
      </c>
      <c r="N736" s="5">
        <f>IFERROR(Table25[[#This Row],[Total sold amount]]/Table25[[#This Row],[Total Sold number of stocks]],"")</f>
        <v>19.155714285714286</v>
      </c>
      <c r="O736" s="4">
        <f>IFERROR(Table25[[#This Row],[Total Amount bought]]/Table25[[#This Row],[Total number bought]],"")</f>
        <v>27.22696312364425</v>
      </c>
      <c r="P736" s="4">
        <f>IFERROR((Table25[[#This Row],[Average sell price]]-Table25[[#This Row],[Average buy price]])*Table25[[#This Row],[Total Sold number of stocks]],0)</f>
        <v>-2824.9370932754873</v>
      </c>
      <c r="Q736" s="85">
        <f>SUMIF(Table25[[#All],[Assets]],Table25[[#This Row],[Assets]],Table25[[#All],[Number of stocks]])</f>
        <v>111</v>
      </c>
    </row>
    <row r="737" spans="1:17">
      <c r="A737" t="e" vm="295">
        <v>#VALUE!</v>
      </c>
      <c r="B737" s="2">
        <v>45670</v>
      </c>
      <c r="C737" t="str" cm="1">
        <f t="array" aca="1" ref="C737" ca="1">_FV(A737,"Ticker symbol",TRUE)</f>
        <v>MCHP</v>
      </c>
      <c r="D737" s="4">
        <v>55.49</v>
      </c>
      <c r="E737" s="50">
        <v>19</v>
      </c>
      <c r="F737" s="81">
        <f>IF(Table25[[#This Row],[Number of stocks]]&gt;0,Table25[[#This Row],[Number of stocks]],0)</f>
        <v>19</v>
      </c>
      <c r="G737" s="73">
        <f>Table25[[#This Row],[Bought]]*Table25[[#This Row],[Price]]</f>
        <v>1054.31</v>
      </c>
      <c r="H737">
        <f>SUMIF(Table25[[#All],[Assets]],Table25[[#This Row],[Assets]],Table25[[#All],[Bought]])</f>
        <v>19</v>
      </c>
      <c r="I737">
        <f>SUMIF(Table25[[#All],[Assets]],Table25[[#This Row],[Assets]],Table25[[#All],[Bought Amount]])</f>
        <v>1054.31</v>
      </c>
      <c r="J737" s="88">
        <f>IF(Table25[[#This Row],[Number of stocks]]&lt;0,Table25[[#This Row],[Number of stocks]],0)</f>
        <v>0</v>
      </c>
      <c r="K737" s="5">
        <f>Table25[[#This Row],[Sold]]*Table25[[#This Row],[Price]]</f>
        <v>0</v>
      </c>
      <c r="L737" s="8">
        <f>ABS(SUMIF(Table25[[#All],[Assets]],Table25[[#This Row],[Assets]],Table25[[#All],[Sold]]))</f>
        <v>19</v>
      </c>
      <c r="M737" s="5">
        <f>ABS(SUMIF(Table25[[#All],[Assets]],Table25[[#This Row],[Assets]],Table25[[#All],[Sold Amount]]))</f>
        <v>1061.46</v>
      </c>
      <c r="N737" s="5">
        <f>IFERROR(Table25[[#This Row],[Total sold amount]]/Table25[[#This Row],[Total Sold number of stocks]],"")</f>
        <v>55.866315789473688</v>
      </c>
      <c r="O737" s="4">
        <f>IFERROR(Table25[[#This Row],[Total Amount bought]]/Table25[[#This Row],[Total number bought]],"")</f>
        <v>55.489999999999995</v>
      </c>
      <c r="P737" s="4">
        <f>IFERROR((Table25[[#This Row],[Average sell price]]-Table25[[#This Row],[Average buy price]])*Table25[[#This Row],[Total Sold number of stocks]],0)</f>
        <v>7.1500000000001762</v>
      </c>
      <c r="Q737" s="85">
        <f>SUMIF(Table25[[#All],[Assets]],Table25[[#This Row],[Assets]],Table25[[#All],[Number of stocks]])</f>
        <v>0</v>
      </c>
    </row>
    <row r="738" spans="1:17">
      <c r="A738" t="e" vm="77">
        <v>#VALUE!</v>
      </c>
      <c r="B738" s="2">
        <v>45670</v>
      </c>
      <c r="C738" t="str" cm="1">
        <f t="array" aca="1" ref="C738" ca="1">_FV(A738,"Ticker symbol",TRUE)</f>
        <v>STIM</v>
      </c>
      <c r="D738" s="4">
        <v>2.04</v>
      </c>
      <c r="E738" s="50">
        <v>500</v>
      </c>
      <c r="F738" s="81">
        <f>IF(Table25[[#This Row],[Number of stocks]]&gt;0,Table25[[#This Row],[Number of stocks]],0)</f>
        <v>500</v>
      </c>
      <c r="G738" s="73">
        <f>Table25[[#This Row],[Bought]]*Table25[[#This Row],[Price]]</f>
        <v>1020</v>
      </c>
      <c r="H738">
        <f>SUMIF(Table25[[#All],[Assets]],Table25[[#This Row],[Assets]],Table25[[#All],[Bought]])</f>
        <v>7036.45</v>
      </c>
      <c r="I738">
        <f>SUMIF(Table25[[#All],[Assets]],Table25[[#This Row],[Assets]],Table25[[#All],[Bought Amount]])</f>
        <v>19162.260000000002</v>
      </c>
      <c r="J738" s="88">
        <f>IF(Table25[[#This Row],[Number of stocks]]&lt;0,Table25[[#This Row],[Number of stocks]],0)</f>
        <v>0</v>
      </c>
      <c r="K738" s="5">
        <f>Table25[[#This Row],[Sold]]*Table25[[#This Row],[Price]]</f>
        <v>0</v>
      </c>
      <c r="L738" s="8">
        <f>ABS(SUMIF(Table25[[#All],[Assets]],Table25[[#This Row],[Assets]],Table25[[#All],[Sold]]))</f>
        <v>6686.45</v>
      </c>
      <c r="M738" s="5">
        <f>ABS(SUMIF(Table25[[#All],[Assets]],Table25[[#This Row],[Assets]],Table25[[#All],[Sold Amount]]))</f>
        <v>19226.484999999997</v>
      </c>
      <c r="N738" s="5">
        <f>IFERROR(Table25[[#This Row],[Total sold amount]]/Table25[[#This Row],[Total Sold number of stocks]],"")</f>
        <v>2.8754398821497205</v>
      </c>
      <c r="O738" s="4">
        <f>IFERROR(Table25[[#This Row],[Total Amount bought]]/Table25[[#This Row],[Total number bought]],"")</f>
        <v>2.7232851793162749</v>
      </c>
      <c r="P738" s="4">
        <f>IFERROR((Table25[[#This Row],[Average sell price]]-Table25[[#This Row],[Average buy price]])*Table25[[#This Row],[Total Sold number of stocks]],0)</f>
        <v>1017.3748127606921</v>
      </c>
      <c r="Q738" s="85">
        <f>SUMIF(Table25[[#All],[Assets]],Table25[[#This Row],[Assets]],Table25[[#All],[Number of stocks]])</f>
        <v>349.99999999999977</v>
      </c>
    </row>
    <row r="739" spans="1:17">
      <c r="A739" t="e" vm="312">
        <v>#VALUE!</v>
      </c>
      <c r="B739" s="2">
        <v>45670</v>
      </c>
      <c r="C739" t="str" cm="1">
        <f t="array" aca="1" ref="C739" ca="1">_FV(A739,"Ticker symbol",TRUE)</f>
        <v>ATEC</v>
      </c>
      <c r="D739" s="4">
        <v>11</v>
      </c>
      <c r="E739" s="50">
        <v>30</v>
      </c>
      <c r="F739" s="81">
        <f>IF(Table25[[#This Row],[Number of stocks]]&gt;0,Table25[[#This Row],[Number of stocks]],0)</f>
        <v>30</v>
      </c>
      <c r="G739" s="73">
        <f>Table25[[#This Row],[Bought]]*Table25[[#This Row],[Price]]</f>
        <v>330</v>
      </c>
      <c r="H739">
        <f>SUMIF(Table25[[#All],[Assets]],Table25[[#This Row],[Assets]],Table25[[#All],[Bought]])</f>
        <v>108</v>
      </c>
      <c r="I739">
        <f>SUMIF(Table25[[#All],[Assets]],Table25[[#This Row],[Assets]],Table25[[#All],[Bought Amount]])</f>
        <v>893.16</v>
      </c>
      <c r="J739" s="88">
        <f>IF(Table25[[#This Row],[Number of stocks]]&lt;0,Table25[[#This Row],[Number of stocks]],0)</f>
        <v>0</v>
      </c>
      <c r="K739" s="5">
        <f>Table25[[#This Row],[Sold]]*Table25[[#This Row],[Price]]</f>
        <v>0</v>
      </c>
      <c r="L739" s="8">
        <f>ABS(SUMIF(Table25[[#All],[Assets]],Table25[[#This Row],[Assets]],Table25[[#All],[Sold]]))</f>
        <v>108</v>
      </c>
      <c r="M739" s="5">
        <f>ABS(SUMIF(Table25[[#All],[Assets]],Table25[[#This Row],[Assets]],Table25[[#All],[Sold Amount]]))</f>
        <v>737.76</v>
      </c>
      <c r="N739" s="5">
        <f>IFERROR(Table25[[#This Row],[Total sold amount]]/Table25[[#This Row],[Total Sold number of stocks]],"")</f>
        <v>6.8311111111111114</v>
      </c>
      <c r="O739" s="4">
        <f>IFERROR(Table25[[#This Row],[Total Amount bought]]/Table25[[#This Row],[Total number bought]],"")</f>
        <v>8.27</v>
      </c>
      <c r="P739" s="4">
        <f>IFERROR((Table25[[#This Row],[Average sell price]]-Table25[[#This Row],[Average buy price]])*Table25[[#This Row],[Total Sold number of stocks]],0)</f>
        <v>-155.39999999999992</v>
      </c>
      <c r="Q739" s="85">
        <f>SUMIF(Table25[[#All],[Assets]],Table25[[#This Row],[Assets]],Table25[[#All],[Number of stocks]])</f>
        <v>0</v>
      </c>
    </row>
    <row r="740" spans="1:17">
      <c r="A740" t="e" vm="129">
        <v>#VALUE!</v>
      </c>
      <c r="B740" s="2">
        <v>45671</v>
      </c>
      <c r="C740" t="str" cm="1">
        <f t="array" aca="1" ref="C740" ca="1">_FV(A740,"Ticker symbol",TRUE)</f>
        <v>MRVL</v>
      </c>
      <c r="D740" s="4">
        <v>115.62</v>
      </c>
      <c r="E740" s="50">
        <v>-20</v>
      </c>
      <c r="F740" s="81">
        <f>IF(Table25[[#This Row],[Number of stocks]]&gt;0,Table25[[#This Row],[Number of stocks]],0)</f>
        <v>0</v>
      </c>
      <c r="G740" s="73">
        <f>Table25[[#This Row],[Bought]]*Table25[[#This Row],[Price]]</f>
        <v>0</v>
      </c>
      <c r="H740">
        <f>SUMIF(Table25[[#All],[Assets]],Table25[[#This Row],[Assets]],Table25[[#All],[Bought]])</f>
        <v>105</v>
      </c>
      <c r="I740">
        <f>SUMIF(Table25[[#All],[Assets]],Table25[[#This Row],[Assets]],Table25[[#All],[Bought Amount]])</f>
        <v>8175.6200000000008</v>
      </c>
      <c r="J740" s="88">
        <f>IF(Table25[[#This Row],[Number of stocks]]&lt;0,Table25[[#This Row],[Number of stocks]],0)</f>
        <v>-20</v>
      </c>
      <c r="K740" s="5">
        <f>Table25[[#This Row],[Sold]]*Table25[[#This Row],[Price]]</f>
        <v>-2312.4</v>
      </c>
      <c r="L740" s="8">
        <f>ABS(SUMIF(Table25[[#All],[Assets]],Table25[[#This Row],[Assets]],Table25[[#All],[Sold]]))</f>
        <v>83</v>
      </c>
      <c r="M740" s="5">
        <f>ABS(SUMIF(Table25[[#All],[Assets]],Table25[[#This Row],[Assets]],Table25[[#All],[Sold Amount]]))</f>
        <v>6745.73</v>
      </c>
      <c r="N740" s="5">
        <f>IFERROR(Table25[[#This Row],[Total sold amount]]/Table25[[#This Row],[Total Sold number of stocks]],"")</f>
        <v>81.273855421686747</v>
      </c>
      <c r="O740" s="4">
        <f>IFERROR(Table25[[#This Row],[Total Amount bought]]/Table25[[#This Row],[Total number bought]],"")</f>
        <v>77.86304761904762</v>
      </c>
      <c r="P740" s="4">
        <f>IFERROR((Table25[[#This Row],[Average sell price]]-Table25[[#This Row],[Average buy price]])*Table25[[#This Row],[Total Sold number of stocks]],0)</f>
        <v>283.09704761904754</v>
      </c>
      <c r="Q740" s="85">
        <f>SUMIF(Table25[[#All],[Assets]],Table25[[#This Row],[Assets]],Table25[[#All],[Number of stocks]])</f>
        <v>22</v>
      </c>
    </row>
    <row r="741" spans="1:17">
      <c r="A741" t="e" vm="75">
        <v>#VALUE!</v>
      </c>
      <c r="B741" s="2">
        <v>45671</v>
      </c>
      <c r="C741" t="str" cm="1">
        <f t="array" aca="1" ref="C741" ca="1">_FV(A741,"Ticker symbol",TRUE)</f>
        <v>QTRX</v>
      </c>
      <c r="D741" s="4">
        <v>9.18</v>
      </c>
      <c r="E741" s="50">
        <v>120</v>
      </c>
      <c r="F741" s="81">
        <f>IF(Table25[[#This Row],[Number of stocks]]&gt;0,Table25[[#This Row],[Number of stocks]],0)</f>
        <v>120</v>
      </c>
      <c r="G741" s="73">
        <f>Table25[[#This Row],[Bought]]*Table25[[#This Row],[Price]]</f>
        <v>1101.5999999999999</v>
      </c>
      <c r="H741">
        <f>SUMIF(Table25[[#All],[Assets]],Table25[[#This Row],[Assets]],Table25[[#All],[Bought]])</f>
        <v>1492</v>
      </c>
      <c r="I741">
        <f>SUMIF(Table25[[#All],[Assets]],Table25[[#This Row],[Assets]],Table25[[#All],[Bought Amount]])</f>
        <v>10313.249999999998</v>
      </c>
      <c r="J741" s="88">
        <f>IF(Table25[[#This Row],[Number of stocks]]&lt;0,Table25[[#This Row],[Number of stocks]],0)</f>
        <v>0</v>
      </c>
      <c r="K741" s="5">
        <f>Table25[[#This Row],[Sold]]*Table25[[#This Row],[Price]]</f>
        <v>0</v>
      </c>
      <c r="L741" s="8">
        <f>ABS(SUMIF(Table25[[#All],[Assets]],Table25[[#This Row],[Assets]],Table25[[#All],[Sold]]))</f>
        <v>1492</v>
      </c>
      <c r="M741" s="5">
        <f>ABS(SUMIF(Table25[[#All],[Assets]],Table25[[#This Row],[Assets]],Table25[[#All],[Sold Amount]]))</f>
        <v>8408.35</v>
      </c>
      <c r="N741" s="5">
        <f>IFERROR(Table25[[#This Row],[Total sold amount]]/Table25[[#This Row],[Total Sold number of stocks]],"")</f>
        <v>5.635623324396783</v>
      </c>
      <c r="O741" s="4">
        <f>IFERROR(Table25[[#This Row],[Total Amount bought]]/Table25[[#This Row],[Total number bought]],"")</f>
        <v>6.9123659517426264</v>
      </c>
      <c r="P741" s="4">
        <f>IFERROR((Table25[[#This Row],[Average sell price]]-Table25[[#This Row],[Average buy price]])*Table25[[#This Row],[Total Sold number of stocks]],0)</f>
        <v>-1904.8999999999983</v>
      </c>
      <c r="Q741" s="85">
        <f>SUMIF(Table25[[#All],[Assets]],Table25[[#This Row],[Assets]],Table25[[#All],[Number of stocks]])</f>
        <v>0</v>
      </c>
    </row>
    <row r="742" spans="1:17">
      <c r="A742" t="e" vm="39">
        <v>#VALUE!</v>
      </c>
      <c r="B742" s="2">
        <v>45672</v>
      </c>
      <c r="C742" t="str" cm="1">
        <f t="array" aca="1" ref="C742" ca="1">_FV(A742,"Ticker symbol",TRUE)</f>
        <v>AMSC</v>
      </c>
      <c r="D742" s="4">
        <v>27.89</v>
      </c>
      <c r="E742" s="50">
        <v>251</v>
      </c>
      <c r="F742" s="81">
        <f>IF(Table25[[#This Row],[Number of stocks]]&gt;0,Table25[[#This Row],[Number of stocks]],0)</f>
        <v>251</v>
      </c>
      <c r="G742" s="73">
        <f>Table25[[#This Row],[Bought]]*Table25[[#This Row],[Price]]</f>
        <v>7000.39</v>
      </c>
      <c r="H742">
        <f>SUMIF(Table25[[#All],[Assets]],Table25[[#This Row],[Assets]],Table25[[#All],[Bought]])</f>
        <v>812.4</v>
      </c>
      <c r="I742">
        <f>SUMIF(Table25[[#All],[Assets]],Table25[[#This Row],[Assets]],Table25[[#All],[Bought Amount]])</f>
        <v>24146.880000000001</v>
      </c>
      <c r="J742" s="88">
        <f>IF(Table25[[#This Row],[Number of stocks]]&lt;0,Table25[[#This Row],[Number of stocks]],0)</f>
        <v>0</v>
      </c>
      <c r="K742" s="5">
        <f>Table25[[#This Row],[Sold]]*Table25[[#This Row],[Price]]</f>
        <v>0</v>
      </c>
      <c r="L742" s="8">
        <f>ABS(SUMIF(Table25[[#All],[Assets]],Table25[[#This Row],[Assets]],Table25[[#All],[Sold]]))</f>
        <v>535</v>
      </c>
      <c r="M742" s="5">
        <f>ABS(SUMIF(Table25[[#All],[Assets]],Table25[[#This Row],[Assets]],Table25[[#All],[Sold Amount]]))</f>
        <v>14777.289999999999</v>
      </c>
      <c r="N742" s="5">
        <f>IFERROR(Table25[[#This Row],[Total sold amount]]/Table25[[#This Row],[Total Sold number of stocks]],"")</f>
        <v>27.621102803738317</v>
      </c>
      <c r="O742" s="4">
        <f>IFERROR(Table25[[#This Row],[Total Amount bought]]/Table25[[#This Row],[Total number bought]],"")</f>
        <v>29.722895125553915</v>
      </c>
      <c r="P742" s="4">
        <f>IFERROR((Table25[[#This Row],[Average sell price]]-Table25[[#This Row],[Average buy price]])*Table25[[#This Row],[Total Sold number of stocks]],0)</f>
        <v>-1124.4588921713448</v>
      </c>
      <c r="Q742" s="85">
        <f>SUMIF(Table25[[#All],[Assets]],Table25[[#This Row],[Assets]],Table25[[#All],[Number of stocks]])</f>
        <v>277.39999999999998</v>
      </c>
    </row>
    <row r="743" spans="1:17">
      <c r="A743" t="e" vm="507">
        <v>#VALUE!</v>
      </c>
      <c r="B743" s="2">
        <v>45672</v>
      </c>
      <c r="C743" t="str" cm="1">
        <f t="array" aca="1" ref="C743" ca="1">_FV(A743,"Ticker symbol",TRUE)</f>
        <v>SPRY</v>
      </c>
      <c r="D743" s="4">
        <v>11.5</v>
      </c>
      <c r="E743" s="50">
        <v>-40</v>
      </c>
      <c r="F743" s="81">
        <f>IF(Table25[[#This Row],[Number of stocks]]&gt;0,Table25[[#This Row],[Number of stocks]],0)</f>
        <v>0</v>
      </c>
      <c r="G743" s="73">
        <f>Table25[[#This Row],[Bought]]*Table25[[#This Row],[Price]]</f>
        <v>0</v>
      </c>
      <c r="H743">
        <f>SUMIF(Table25[[#All],[Assets]],Table25[[#This Row],[Assets]],Table25[[#All],[Bought]])</f>
        <v>40</v>
      </c>
      <c r="I743">
        <f>SUMIF(Table25[[#All],[Assets]],Table25[[#This Row],[Assets]],Table25[[#All],[Bought Amount]])</f>
        <v>459.20000000000005</v>
      </c>
      <c r="J743" s="88">
        <f>IF(Table25[[#This Row],[Number of stocks]]&lt;0,Table25[[#This Row],[Number of stocks]],0)</f>
        <v>-40</v>
      </c>
      <c r="K743" s="5">
        <f>Table25[[#This Row],[Sold]]*Table25[[#This Row],[Price]]</f>
        <v>-460</v>
      </c>
      <c r="L743" s="8">
        <f>ABS(SUMIF(Table25[[#All],[Assets]],Table25[[#This Row],[Assets]],Table25[[#All],[Sold]]))</f>
        <v>40</v>
      </c>
      <c r="M743" s="5">
        <f>ABS(SUMIF(Table25[[#All],[Assets]],Table25[[#This Row],[Assets]],Table25[[#All],[Sold Amount]]))</f>
        <v>460</v>
      </c>
      <c r="N743" s="5">
        <f>IFERROR(Table25[[#This Row],[Total sold amount]]/Table25[[#This Row],[Total Sold number of stocks]],"")</f>
        <v>11.5</v>
      </c>
      <c r="O743" s="4">
        <f>IFERROR(Table25[[#This Row],[Total Amount bought]]/Table25[[#This Row],[Total number bought]],"")</f>
        <v>11.48</v>
      </c>
      <c r="P743" s="4">
        <f>IFERROR((Table25[[#This Row],[Average sell price]]-Table25[[#This Row],[Average buy price]])*Table25[[#This Row],[Total Sold number of stocks]],0)</f>
        <v>0.79999999999998295</v>
      </c>
      <c r="Q743" s="85">
        <f>SUMIF(Table25[[#All],[Assets]],Table25[[#This Row],[Assets]],Table25[[#All],[Number of stocks]])</f>
        <v>0</v>
      </c>
    </row>
    <row r="744" spans="1:17">
      <c r="A744" t="e" vm="144">
        <v>#VALUE!</v>
      </c>
      <c r="B744" s="2">
        <v>45679</v>
      </c>
      <c r="C744" t="str" cm="1">
        <f t="array" aca="1" ref="C744" ca="1">_FV(A744,"Ticker symbol",TRUE)</f>
        <v>AAPL</v>
      </c>
      <c r="D744" s="4">
        <v>232.26</v>
      </c>
      <c r="E744" s="50">
        <v>4</v>
      </c>
      <c r="F744" s="81">
        <f>IF(Table25[[#This Row],[Number of stocks]]&gt;0,Table25[[#This Row],[Number of stocks]],0)</f>
        <v>4</v>
      </c>
      <c r="G744" s="73">
        <f>Table25[[#This Row],[Bought]]*Table25[[#This Row],[Price]]</f>
        <v>929.04</v>
      </c>
      <c r="H744">
        <f>SUMIF(Table25[[#All],[Assets]],Table25[[#This Row],[Assets]],Table25[[#All],[Bought]])</f>
        <v>4</v>
      </c>
      <c r="I744">
        <f>SUMIF(Table25[[#All],[Assets]],Table25[[#This Row],[Assets]],Table25[[#All],[Bought Amount]])</f>
        <v>929.04</v>
      </c>
      <c r="J744" s="88">
        <f>IF(Table25[[#This Row],[Number of stocks]]&lt;0,Table25[[#This Row],[Number of stocks]],0)</f>
        <v>0</v>
      </c>
      <c r="K744" s="5">
        <f>Table25[[#This Row],[Sold]]*Table25[[#This Row],[Price]]</f>
        <v>0</v>
      </c>
      <c r="L744" s="8">
        <f>ABS(SUMIF(Table25[[#All],[Assets]],Table25[[#This Row],[Assets]],Table25[[#All],[Sold]]))</f>
        <v>4</v>
      </c>
      <c r="M744" s="5">
        <f>ABS(SUMIF(Table25[[#All],[Assets]],Table25[[#This Row],[Assets]],Table25[[#All],[Sold Amount]]))</f>
        <v>936.28</v>
      </c>
      <c r="N744" s="5">
        <f>IFERROR(Table25[[#This Row],[Total sold amount]]/Table25[[#This Row],[Total Sold number of stocks]],"")</f>
        <v>234.07</v>
      </c>
      <c r="O744" s="4">
        <f>IFERROR(Table25[[#This Row],[Total Amount bought]]/Table25[[#This Row],[Total number bought]],"")</f>
        <v>232.26</v>
      </c>
      <c r="P744" s="4">
        <f>IFERROR((Table25[[#This Row],[Average sell price]]-Table25[[#This Row],[Average buy price]])*Table25[[#This Row],[Total Sold number of stocks]],0)</f>
        <v>7.2400000000000091</v>
      </c>
      <c r="Q744" s="85">
        <f>SUMIF(Table25[[#All],[Assets]],Table25[[#This Row],[Assets]],Table25[[#All],[Number of stocks]])</f>
        <v>0</v>
      </c>
    </row>
    <row r="745" spans="1:17">
      <c r="A745" t="e" vm="522">
        <v>#VALUE!</v>
      </c>
      <c r="B745" s="2">
        <v>45679</v>
      </c>
      <c r="C745" t="str" cm="1">
        <f t="array" aca="1" ref="C745" ca="1">_FV(A745,"Ticker symbol",TRUE)</f>
        <v>MASS</v>
      </c>
      <c r="D745" s="4">
        <v>2.93</v>
      </c>
      <c r="E745" s="50">
        <v>-240</v>
      </c>
      <c r="F745" s="81">
        <f>IF(Table25[[#This Row],[Number of stocks]]&gt;0,Table25[[#This Row],[Number of stocks]],0)</f>
        <v>0</v>
      </c>
      <c r="G745" s="73">
        <f>Table25[[#This Row],[Bought]]*Table25[[#This Row],[Price]]</f>
        <v>0</v>
      </c>
      <c r="H745">
        <f>SUMIF(Table25[[#All],[Assets]],Table25[[#This Row],[Assets]],Table25[[#All],[Bought]])</f>
        <v>240</v>
      </c>
      <c r="I745">
        <f>SUMIF(Table25[[#All],[Assets]],Table25[[#This Row],[Assets]],Table25[[#All],[Bought Amount]])</f>
        <v>518.40000000000009</v>
      </c>
      <c r="J745" s="88">
        <f>IF(Table25[[#This Row],[Number of stocks]]&lt;0,Table25[[#This Row],[Number of stocks]],0)</f>
        <v>-240</v>
      </c>
      <c r="K745" s="5">
        <f>Table25[[#This Row],[Sold]]*Table25[[#This Row],[Price]]</f>
        <v>-703.2</v>
      </c>
      <c r="L745" s="8">
        <f>ABS(SUMIF(Table25[[#All],[Assets]],Table25[[#This Row],[Assets]],Table25[[#All],[Sold]]))</f>
        <v>240</v>
      </c>
      <c r="M745" s="5">
        <f>ABS(SUMIF(Table25[[#All],[Assets]],Table25[[#This Row],[Assets]],Table25[[#All],[Sold Amount]]))</f>
        <v>703.2</v>
      </c>
      <c r="N745" s="5">
        <f>IFERROR(Table25[[#This Row],[Total sold amount]]/Table25[[#This Row],[Total Sold number of stocks]],"")</f>
        <v>2.93</v>
      </c>
      <c r="O745" s="4">
        <f>IFERROR(Table25[[#This Row],[Total Amount bought]]/Table25[[#This Row],[Total number bought]],"")</f>
        <v>2.1600000000000006</v>
      </c>
      <c r="P745" s="4">
        <f>IFERROR((Table25[[#This Row],[Average sell price]]-Table25[[#This Row],[Average buy price]])*Table25[[#This Row],[Total Sold number of stocks]],0)</f>
        <v>184.7999999999999</v>
      </c>
      <c r="Q745" s="85">
        <f>SUMIF(Table25[[#All],[Assets]],Table25[[#This Row],[Assets]],Table25[[#All],[Number of stocks]])</f>
        <v>0</v>
      </c>
    </row>
    <row r="746" spans="1:17">
      <c r="A746" t="e" vm="316">
        <v>#VALUE!</v>
      </c>
      <c r="B746" s="2">
        <v>45679</v>
      </c>
      <c r="C746" t="str" cm="1">
        <f t="array" aca="1" ref="C746" ca="1">_FV(A746,"Ticker symbol",TRUE)</f>
        <v>IRTC</v>
      </c>
      <c r="D746" s="4">
        <v>107.79</v>
      </c>
      <c r="E746" s="50">
        <v>-6</v>
      </c>
      <c r="F746" s="81">
        <f>IF(Table25[[#This Row],[Number of stocks]]&gt;0,Table25[[#This Row],[Number of stocks]],0)</f>
        <v>0</v>
      </c>
      <c r="G746" s="73">
        <f>Table25[[#This Row],[Bought]]*Table25[[#This Row],[Price]]</f>
        <v>0</v>
      </c>
      <c r="H746">
        <f>SUMIF(Table25[[#All],[Assets]],Table25[[#This Row],[Assets]],Table25[[#All],[Bought]])</f>
        <v>22</v>
      </c>
      <c r="I746">
        <f>SUMIF(Table25[[#All],[Assets]],Table25[[#This Row],[Assets]],Table25[[#All],[Bought Amount]])</f>
        <v>1721.73</v>
      </c>
      <c r="J746" s="88">
        <f>IF(Table25[[#This Row],[Number of stocks]]&lt;0,Table25[[#This Row],[Number of stocks]],0)</f>
        <v>-6</v>
      </c>
      <c r="K746" s="5">
        <f>Table25[[#This Row],[Sold]]*Table25[[#This Row],[Price]]</f>
        <v>-646.74</v>
      </c>
      <c r="L746" s="8">
        <f>ABS(SUMIF(Table25[[#All],[Assets]],Table25[[#This Row],[Assets]],Table25[[#All],[Sold]]))</f>
        <v>22</v>
      </c>
      <c r="M746" s="5">
        <f>ABS(SUMIF(Table25[[#All],[Assets]],Table25[[#This Row],[Assets]],Table25[[#All],[Sold Amount]]))</f>
        <v>1870.17</v>
      </c>
      <c r="N746" s="5">
        <f>IFERROR(Table25[[#This Row],[Total sold amount]]/Table25[[#This Row],[Total Sold number of stocks]],"")</f>
        <v>85.00772727272728</v>
      </c>
      <c r="O746" s="4">
        <f>IFERROR(Table25[[#This Row],[Total Amount bought]]/Table25[[#This Row],[Total number bought]],"")</f>
        <v>78.26045454545455</v>
      </c>
      <c r="P746" s="4">
        <f>IFERROR((Table25[[#This Row],[Average sell price]]-Table25[[#This Row],[Average buy price]])*Table25[[#This Row],[Total Sold number of stocks]],0)</f>
        <v>148.44000000000005</v>
      </c>
      <c r="Q746" s="85">
        <f>SUMIF(Table25[[#All],[Assets]],Table25[[#This Row],[Assets]],Table25[[#All],[Number of stocks]])</f>
        <v>0</v>
      </c>
    </row>
    <row r="747" spans="1:17">
      <c r="A747" t="e" vm="273">
        <v>#VALUE!</v>
      </c>
      <c r="B747" s="2">
        <v>45679</v>
      </c>
      <c r="C747" t="str" cm="1">
        <f t="array" aca="1" ref="C747" ca="1">_FV(A747,"Ticker symbol",TRUE)</f>
        <v>CVRX</v>
      </c>
      <c r="D747" s="4">
        <v>17.57</v>
      </c>
      <c r="E747" s="50">
        <v>-35</v>
      </c>
      <c r="F747" s="81">
        <f>IF(Table25[[#This Row],[Number of stocks]]&gt;0,Table25[[#This Row],[Number of stocks]],0)</f>
        <v>0</v>
      </c>
      <c r="G747" s="73">
        <f>Table25[[#This Row],[Bought]]*Table25[[#This Row],[Price]]</f>
        <v>0</v>
      </c>
      <c r="H747">
        <f>SUMIF(Table25[[#All],[Assets]],Table25[[#This Row],[Assets]],Table25[[#All],[Bought]])</f>
        <v>560</v>
      </c>
      <c r="I747">
        <f>SUMIF(Table25[[#All],[Assets]],Table25[[#This Row],[Assets]],Table25[[#All],[Bought Amount]])</f>
        <v>5451</v>
      </c>
      <c r="J747" s="88">
        <f>IF(Table25[[#This Row],[Number of stocks]]&lt;0,Table25[[#This Row],[Number of stocks]],0)</f>
        <v>-35</v>
      </c>
      <c r="K747" s="5">
        <f>Table25[[#This Row],[Sold]]*Table25[[#This Row],[Price]]</f>
        <v>-614.95000000000005</v>
      </c>
      <c r="L747" s="8">
        <f>ABS(SUMIF(Table25[[#All],[Assets]],Table25[[#This Row],[Assets]],Table25[[#All],[Sold]]))</f>
        <v>560</v>
      </c>
      <c r="M747" s="5">
        <f>ABS(SUMIF(Table25[[#All],[Assets]],Table25[[#This Row],[Assets]],Table25[[#All],[Sold Amount]]))</f>
        <v>4910.5499999999993</v>
      </c>
      <c r="N747" s="5">
        <f>IFERROR(Table25[[#This Row],[Total sold amount]]/Table25[[#This Row],[Total Sold number of stocks]],"")</f>
        <v>8.7688392857142841</v>
      </c>
      <c r="O747" s="4">
        <f>IFERROR(Table25[[#This Row],[Total Amount bought]]/Table25[[#This Row],[Total number bought]],"")</f>
        <v>9.7339285714285708</v>
      </c>
      <c r="P747" s="4">
        <f>IFERROR((Table25[[#This Row],[Average sell price]]-Table25[[#This Row],[Average buy price]])*Table25[[#This Row],[Total Sold number of stocks]],0)</f>
        <v>-540.45000000000061</v>
      </c>
      <c r="Q747" s="85">
        <f>SUMIF(Table25[[#All],[Assets]],Table25[[#This Row],[Assets]],Table25[[#All],[Number of stocks]])</f>
        <v>0</v>
      </c>
    </row>
    <row r="748" spans="1:17">
      <c r="A748" t="e" vm="290">
        <v>#VALUE!</v>
      </c>
      <c r="B748" s="2">
        <v>45679</v>
      </c>
      <c r="C748" t="str" cm="1">
        <f t="array" aca="1" ref="C748" ca="1">_FV(A748,"Ticker symbol",TRUE)</f>
        <v>O</v>
      </c>
      <c r="D748" s="4">
        <v>54.66</v>
      </c>
      <c r="E748" s="50">
        <v>-14</v>
      </c>
      <c r="F748" s="81">
        <f>IF(Table25[[#This Row],[Number of stocks]]&gt;0,Table25[[#This Row],[Number of stocks]],0)</f>
        <v>0</v>
      </c>
      <c r="G748" s="73">
        <f>Table25[[#This Row],[Bought]]*Table25[[#This Row],[Price]]</f>
        <v>0</v>
      </c>
      <c r="H748">
        <f>SUMIF(Table25[[#All],[Assets]],Table25[[#This Row],[Assets]],Table25[[#All],[Bought]])</f>
        <v>15</v>
      </c>
      <c r="I748">
        <f>SUMIF(Table25[[#All],[Assets]],Table25[[#This Row],[Assets]],Table25[[#All],[Bought Amount]])</f>
        <v>778.95</v>
      </c>
      <c r="J748" s="88">
        <f>IF(Table25[[#This Row],[Number of stocks]]&lt;0,Table25[[#This Row],[Number of stocks]],0)</f>
        <v>-14</v>
      </c>
      <c r="K748" s="5">
        <f>Table25[[#This Row],[Sold]]*Table25[[#This Row],[Price]]</f>
        <v>-765.24</v>
      </c>
      <c r="L748" s="8">
        <f>ABS(SUMIF(Table25[[#All],[Assets]],Table25[[#This Row],[Assets]],Table25[[#All],[Sold]]))</f>
        <v>15</v>
      </c>
      <c r="M748" s="5">
        <f>ABS(SUMIF(Table25[[#All],[Assets]],Table25[[#This Row],[Assets]],Table25[[#All],[Sold Amount]]))</f>
        <v>821.21</v>
      </c>
      <c r="N748" s="5">
        <f>IFERROR(Table25[[#This Row],[Total sold amount]]/Table25[[#This Row],[Total Sold number of stocks]],"")</f>
        <v>54.747333333333337</v>
      </c>
      <c r="O748" s="4">
        <f>IFERROR(Table25[[#This Row],[Total Amount bought]]/Table25[[#This Row],[Total number bought]],"")</f>
        <v>51.93</v>
      </c>
      <c r="P748" s="4">
        <f>IFERROR((Table25[[#This Row],[Average sell price]]-Table25[[#This Row],[Average buy price]])*Table25[[#This Row],[Total Sold number of stocks]],0)</f>
        <v>42.260000000000062</v>
      </c>
      <c r="Q748" s="85">
        <f>SUMIF(Table25[[#All],[Assets]],Table25[[#This Row],[Assets]],Table25[[#All],[Number of stocks]])</f>
        <v>0</v>
      </c>
    </row>
    <row r="749" spans="1:17">
      <c r="A749" t="e" vm="344">
        <v>#VALUE!</v>
      </c>
      <c r="B749" s="2">
        <v>45679</v>
      </c>
      <c r="C749" t="str" cm="1">
        <f t="array" aca="1" ref="C749" ca="1">_FV(A749,"Ticker symbol",TRUE)</f>
        <v>QDEL</v>
      </c>
      <c r="D749" s="4">
        <v>43.85</v>
      </c>
      <c r="E749" s="50">
        <v>10</v>
      </c>
      <c r="F749" s="81">
        <f>IF(Table25[[#This Row],[Number of stocks]]&gt;0,Table25[[#This Row],[Number of stocks]],0)</f>
        <v>10</v>
      </c>
      <c r="G749" s="73">
        <f>Table25[[#This Row],[Bought]]*Table25[[#This Row],[Price]]</f>
        <v>438.5</v>
      </c>
      <c r="H749">
        <f>SUMIF(Table25[[#All],[Assets]],Table25[[#This Row],[Assets]],Table25[[#All],[Bought]])</f>
        <v>26</v>
      </c>
      <c r="I749">
        <f>SUMIF(Table25[[#All],[Assets]],Table25[[#This Row],[Assets]],Table25[[#All],[Bought Amount]])</f>
        <v>1148.52</v>
      </c>
      <c r="J749" s="88">
        <f>IF(Table25[[#This Row],[Number of stocks]]&lt;0,Table25[[#This Row],[Number of stocks]],0)</f>
        <v>0</v>
      </c>
      <c r="K749" s="5">
        <f>Table25[[#This Row],[Sold]]*Table25[[#This Row],[Price]]</f>
        <v>0</v>
      </c>
      <c r="L749" s="8">
        <f>ABS(SUMIF(Table25[[#All],[Assets]],Table25[[#This Row],[Assets]],Table25[[#All],[Sold]]))</f>
        <v>26</v>
      </c>
      <c r="M749" s="5">
        <f>ABS(SUMIF(Table25[[#All],[Assets]],Table25[[#This Row],[Assets]],Table25[[#All],[Sold Amount]]))</f>
        <v>1034.74</v>
      </c>
      <c r="N749" s="5">
        <f>IFERROR(Table25[[#This Row],[Total sold amount]]/Table25[[#This Row],[Total Sold number of stocks]],"")</f>
        <v>39.797692307692309</v>
      </c>
      <c r="O749" s="4">
        <f>IFERROR(Table25[[#This Row],[Total Amount bought]]/Table25[[#This Row],[Total number bought]],"")</f>
        <v>44.173846153846156</v>
      </c>
      <c r="P749" s="4">
        <f>IFERROR((Table25[[#This Row],[Average sell price]]-Table25[[#This Row],[Average buy price]])*Table25[[#This Row],[Total Sold number of stocks]],0)</f>
        <v>-113.78000000000004</v>
      </c>
      <c r="Q749" s="85">
        <f>SUMIF(Table25[[#All],[Assets]],Table25[[#This Row],[Assets]],Table25[[#All],[Number of stocks]])</f>
        <v>0</v>
      </c>
    </row>
    <row r="750" spans="1:17">
      <c r="A750" t="e" vm="75">
        <v>#VALUE!</v>
      </c>
      <c r="B750" s="2">
        <v>45679</v>
      </c>
      <c r="C750" t="str" cm="1">
        <f t="array" aca="1" ref="C750" ca="1">_FV(A750,"Ticker symbol",TRUE)</f>
        <v>QTRX</v>
      </c>
      <c r="D750" s="4">
        <v>9.65</v>
      </c>
      <c r="E750" s="50">
        <v>60</v>
      </c>
      <c r="F750" s="81">
        <f>IF(Table25[[#This Row],[Number of stocks]]&gt;0,Table25[[#This Row],[Number of stocks]],0)</f>
        <v>60</v>
      </c>
      <c r="G750" s="73">
        <f>Table25[[#This Row],[Bought]]*Table25[[#This Row],[Price]]</f>
        <v>579</v>
      </c>
      <c r="H750">
        <f>SUMIF(Table25[[#All],[Assets]],Table25[[#This Row],[Assets]],Table25[[#All],[Bought]])</f>
        <v>1492</v>
      </c>
      <c r="I750">
        <f>SUMIF(Table25[[#All],[Assets]],Table25[[#This Row],[Assets]],Table25[[#All],[Bought Amount]])</f>
        <v>10313.249999999998</v>
      </c>
      <c r="J750" s="88">
        <f>IF(Table25[[#This Row],[Number of stocks]]&lt;0,Table25[[#This Row],[Number of stocks]],0)</f>
        <v>0</v>
      </c>
      <c r="K750" s="5">
        <f>Table25[[#This Row],[Sold]]*Table25[[#This Row],[Price]]</f>
        <v>0</v>
      </c>
      <c r="L750" s="8">
        <f>ABS(SUMIF(Table25[[#All],[Assets]],Table25[[#This Row],[Assets]],Table25[[#All],[Sold]]))</f>
        <v>1492</v>
      </c>
      <c r="M750" s="5">
        <f>ABS(SUMIF(Table25[[#All],[Assets]],Table25[[#This Row],[Assets]],Table25[[#All],[Sold Amount]]))</f>
        <v>8408.35</v>
      </c>
      <c r="N750" s="5">
        <f>IFERROR(Table25[[#This Row],[Total sold amount]]/Table25[[#This Row],[Total Sold number of stocks]],"")</f>
        <v>5.635623324396783</v>
      </c>
      <c r="O750" s="4">
        <f>IFERROR(Table25[[#This Row],[Total Amount bought]]/Table25[[#This Row],[Total number bought]],"")</f>
        <v>6.9123659517426264</v>
      </c>
      <c r="P750" s="4">
        <f>IFERROR((Table25[[#This Row],[Average sell price]]-Table25[[#This Row],[Average buy price]])*Table25[[#This Row],[Total Sold number of stocks]],0)</f>
        <v>-1904.8999999999983</v>
      </c>
      <c r="Q750" s="85">
        <f>SUMIF(Table25[[#All],[Assets]],Table25[[#This Row],[Assets]],Table25[[#All],[Number of stocks]])</f>
        <v>0</v>
      </c>
    </row>
    <row r="751" spans="1:17">
      <c r="A751" t="e" vm="527">
        <v>#VALUE!</v>
      </c>
      <c r="B751" s="2">
        <v>45679</v>
      </c>
      <c r="C751" t="str" cm="1">
        <f t="array" aca="1" ref="C751" ca="1">_FV(A751,"Ticker symbol",TRUE)</f>
        <v>NPCE</v>
      </c>
      <c r="D751" s="4">
        <v>14</v>
      </c>
      <c r="E751" s="50">
        <v>25</v>
      </c>
      <c r="F751" s="81">
        <f>IF(Table25[[#This Row],[Number of stocks]]&gt;0,Table25[[#This Row],[Number of stocks]],0)</f>
        <v>25</v>
      </c>
      <c r="G751" s="73">
        <f>Table25[[#This Row],[Bought]]*Table25[[#This Row],[Price]]</f>
        <v>350</v>
      </c>
      <c r="H751">
        <f>SUMIF(Table25[[#All],[Assets]],Table25[[#This Row],[Assets]],Table25[[#All],[Bought]])</f>
        <v>115</v>
      </c>
      <c r="I751">
        <f>SUMIF(Table25[[#All],[Assets]],Table25[[#This Row],[Assets]],Table25[[#All],[Bought Amount]])</f>
        <v>1524.3000000000002</v>
      </c>
      <c r="J751" s="88">
        <f>IF(Table25[[#This Row],[Number of stocks]]&lt;0,Table25[[#This Row],[Number of stocks]],0)</f>
        <v>0</v>
      </c>
      <c r="K751" s="5">
        <f>Table25[[#This Row],[Sold]]*Table25[[#This Row],[Price]]</f>
        <v>0</v>
      </c>
      <c r="L751" s="8">
        <f>ABS(SUMIF(Table25[[#All],[Assets]],Table25[[#This Row],[Assets]],Table25[[#All],[Sold]]))</f>
        <v>115</v>
      </c>
      <c r="M751" s="5">
        <f>ABS(SUMIF(Table25[[#All],[Assets]],Table25[[#This Row],[Assets]],Table25[[#All],[Sold Amount]]))</f>
        <v>1473.35</v>
      </c>
      <c r="N751" s="5">
        <f>IFERROR(Table25[[#This Row],[Total sold amount]]/Table25[[#This Row],[Total Sold number of stocks]],"")</f>
        <v>12.811739130434782</v>
      </c>
      <c r="O751" s="4">
        <f>IFERROR(Table25[[#This Row],[Total Amount bought]]/Table25[[#This Row],[Total number bought]],"")</f>
        <v>13.254782608695654</v>
      </c>
      <c r="P751" s="4">
        <f>IFERROR((Table25[[#This Row],[Average sell price]]-Table25[[#This Row],[Average buy price]])*Table25[[#This Row],[Total Sold number of stocks]],0)</f>
        <v>-50.950000000000287</v>
      </c>
      <c r="Q751" s="85">
        <f>SUMIF(Table25[[#All],[Assets]],Table25[[#This Row],[Assets]],Table25[[#All],[Number of stocks]])</f>
        <v>0</v>
      </c>
    </row>
    <row r="752" spans="1:17">
      <c r="A752" t="e" vm="13">
        <v>#VALUE!</v>
      </c>
      <c r="B752" s="2">
        <v>45679</v>
      </c>
      <c r="C752" t="str" cm="1">
        <f t="array" aca="1" ref="C752" ca="1">_FV(A752,"Ticker symbol",TRUE)</f>
        <v>ON</v>
      </c>
      <c r="D752" s="4">
        <v>56.11</v>
      </c>
      <c r="E752" s="50">
        <v>20</v>
      </c>
      <c r="F752" s="81">
        <f>IF(Table25[[#This Row],[Number of stocks]]&gt;0,Table25[[#This Row],[Number of stocks]],0)</f>
        <v>20</v>
      </c>
      <c r="G752" s="73">
        <f>Table25[[#This Row],[Bought]]*Table25[[#This Row],[Price]]</f>
        <v>1122.2</v>
      </c>
      <c r="H752">
        <f>SUMIF(Table25[[#All],[Assets]],Table25[[#This Row],[Assets]],Table25[[#All],[Bought]])</f>
        <v>326</v>
      </c>
      <c r="I752">
        <f>SUMIF(Table25[[#All],[Assets]],Table25[[#This Row],[Assets]],Table25[[#All],[Bought Amount]])</f>
        <v>19172.809999999998</v>
      </c>
      <c r="J752" s="88">
        <f>IF(Table25[[#This Row],[Number of stocks]]&lt;0,Table25[[#This Row],[Number of stocks]],0)</f>
        <v>0</v>
      </c>
      <c r="K752" s="5">
        <f>Table25[[#This Row],[Sold]]*Table25[[#This Row],[Price]]</f>
        <v>0</v>
      </c>
      <c r="L752" s="8">
        <f>ABS(SUMIF(Table25[[#All],[Assets]],Table25[[#This Row],[Assets]],Table25[[#All],[Sold]]))</f>
        <v>283</v>
      </c>
      <c r="M752" s="5">
        <f>ABS(SUMIF(Table25[[#All],[Assets]],Table25[[#This Row],[Assets]],Table25[[#All],[Sold Amount]]))</f>
        <v>15700.74</v>
      </c>
      <c r="N752" s="5">
        <f>IFERROR(Table25[[#This Row],[Total sold amount]]/Table25[[#This Row],[Total Sold number of stocks]],"")</f>
        <v>55.47964664310954</v>
      </c>
      <c r="O752" s="4">
        <f>IFERROR(Table25[[#This Row],[Total Amount bought]]/Table25[[#This Row],[Total number bought]],"")</f>
        <v>58.812300613496923</v>
      </c>
      <c r="P752" s="4">
        <f>IFERROR((Table25[[#This Row],[Average sell price]]-Table25[[#This Row],[Average buy price]])*Table25[[#This Row],[Total Sold number of stocks]],0)</f>
        <v>-943.14107361962954</v>
      </c>
      <c r="Q752" s="85">
        <f>SUMIF(Table25[[#All],[Assets]],Table25[[#This Row],[Assets]],Table25[[#All],[Number of stocks]])</f>
        <v>43</v>
      </c>
    </row>
    <row r="753" spans="1:17">
      <c r="A753" t="e" vm="85">
        <v>#VALUE!</v>
      </c>
      <c r="B753" s="2">
        <v>45679</v>
      </c>
      <c r="C753" t="str" cm="1">
        <f t="array" aca="1" ref="C753" ca="1">_FV(A753,"Ticker symbol",TRUE)</f>
        <v>HOOD</v>
      </c>
      <c r="D753" s="4">
        <v>50.75</v>
      </c>
      <c r="E753" s="50">
        <v>2</v>
      </c>
      <c r="F753" s="81">
        <f>IF(Table25[[#This Row],[Number of stocks]]&gt;0,Table25[[#This Row],[Number of stocks]],0)</f>
        <v>2</v>
      </c>
      <c r="G753" s="73">
        <f>Table25[[#This Row],[Bought]]*Table25[[#This Row],[Price]]</f>
        <v>101.5</v>
      </c>
      <c r="H753">
        <f>SUMIF(Table25[[#All],[Assets]],Table25[[#This Row],[Assets]],Table25[[#All],[Bought]])</f>
        <v>105</v>
      </c>
      <c r="I753">
        <f>SUMIF(Table25[[#All],[Assets]],Table25[[#This Row],[Assets]],Table25[[#All],[Bought Amount]])</f>
        <v>4056.0900000000006</v>
      </c>
      <c r="J753" s="88">
        <f>IF(Table25[[#This Row],[Number of stocks]]&lt;0,Table25[[#This Row],[Number of stocks]],0)</f>
        <v>0</v>
      </c>
      <c r="K753" s="5">
        <f>Table25[[#This Row],[Sold]]*Table25[[#This Row],[Price]]</f>
        <v>0</v>
      </c>
      <c r="L753" s="8">
        <f>ABS(SUMIF(Table25[[#All],[Assets]],Table25[[#This Row],[Assets]],Table25[[#All],[Sold]]))</f>
        <v>80</v>
      </c>
      <c r="M753" s="5">
        <f>ABS(SUMIF(Table25[[#All],[Assets]],Table25[[#This Row],[Assets]],Table25[[#All],[Sold Amount]]))</f>
        <v>2255.4300000000003</v>
      </c>
      <c r="N753" s="5">
        <f>IFERROR(Table25[[#This Row],[Total sold amount]]/Table25[[#This Row],[Total Sold number of stocks]],"")</f>
        <v>28.192875000000004</v>
      </c>
      <c r="O753" s="4">
        <f>IFERROR(Table25[[#This Row],[Total Amount bought]]/Table25[[#This Row],[Total number bought]],"")</f>
        <v>38.629428571428576</v>
      </c>
      <c r="P753" s="4">
        <f>IFERROR((Table25[[#This Row],[Average sell price]]-Table25[[#This Row],[Average buy price]])*Table25[[#This Row],[Total Sold number of stocks]],0)</f>
        <v>-834.92428571428582</v>
      </c>
      <c r="Q753" s="85">
        <f>SUMIF(Table25[[#All],[Assets]],Table25[[#This Row],[Assets]],Table25[[#All],[Number of stocks]])</f>
        <v>25</v>
      </c>
    </row>
    <row r="754" spans="1:17">
      <c r="A754" t="e" vm="13">
        <v>#VALUE!</v>
      </c>
      <c r="B754" s="2">
        <v>45679</v>
      </c>
      <c r="C754" t="str" cm="1">
        <f t="array" aca="1" ref="C754" ca="1">_FV(A754,"Ticker symbol",TRUE)</f>
        <v>ON</v>
      </c>
      <c r="D754" s="4">
        <v>56.21</v>
      </c>
      <c r="E754" s="50">
        <v>7</v>
      </c>
      <c r="F754" s="81">
        <f>IF(Table25[[#This Row],[Number of stocks]]&gt;0,Table25[[#This Row],[Number of stocks]],0)</f>
        <v>7</v>
      </c>
      <c r="G754" s="73">
        <f>Table25[[#This Row],[Bought]]*Table25[[#This Row],[Price]]</f>
        <v>393.47</v>
      </c>
      <c r="H754">
        <f>SUMIF(Table25[[#All],[Assets]],Table25[[#This Row],[Assets]],Table25[[#All],[Bought]])</f>
        <v>326</v>
      </c>
      <c r="I754">
        <f>SUMIF(Table25[[#All],[Assets]],Table25[[#This Row],[Assets]],Table25[[#All],[Bought Amount]])</f>
        <v>19172.809999999998</v>
      </c>
      <c r="J754" s="88">
        <f>IF(Table25[[#This Row],[Number of stocks]]&lt;0,Table25[[#This Row],[Number of stocks]],0)</f>
        <v>0</v>
      </c>
      <c r="K754" s="5">
        <f>Table25[[#This Row],[Sold]]*Table25[[#This Row],[Price]]</f>
        <v>0</v>
      </c>
      <c r="L754" s="8">
        <f>ABS(SUMIF(Table25[[#All],[Assets]],Table25[[#This Row],[Assets]],Table25[[#All],[Sold]]))</f>
        <v>283</v>
      </c>
      <c r="M754" s="5">
        <f>ABS(SUMIF(Table25[[#All],[Assets]],Table25[[#This Row],[Assets]],Table25[[#All],[Sold Amount]]))</f>
        <v>15700.74</v>
      </c>
      <c r="N754" s="5">
        <f>IFERROR(Table25[[#This Row],[Total sold amount]]/Table25[[#This Row],[Total Sold number of stocks]],"")</f>
        <v>55.47964664310954</v>
      </c>
      <c r="O754" s="4">
        <f>IFERROR(Table25[[#This Row],[Total Amount bought]]/Table25[[#This Row],[Total number bought]],"")</f>
        <v>58.812300613496923</v>
      </c>
      <c r="P754" s="4">
        <f>IFERROR((Table25[[#This Row],[Average sell price]]-Table25[[#This Row],[Average buy price]])*Table25[[#This Row],[Total Sold number of stocks]],0)</f>
        <v>-943.14107361962954</v>
      </c>
      <c r="Q754" s="85">
        <f>SUMIF(Table25[[#All],[Assets]],Table25[[#This Row],[Assets]],Table25[[#All],[Number of stocks]])</f>
        <v>43</v>
      </c>
    </row>
    <row r="755" spans="1:17">
      <c r="A755" t="e" vm="533">
        <v>#VALUE!</v>
      </c>
      <c r="B755" s="2">
        <v>45680</v>
      </c>
      <c r="C755" t="str" cm="1">
        <f t="array" aca="1" ref="C755" ca="1">_FV(A755,"Ticker symbol",TRUE)</f>
        <v>MPLX</v>
      </c>
      <c r="D755" s="4">
        <v>52</v>
      </c>
      <c r="E755" s="50">
        <v>1</v>
      </c>
      <c r="F755" s="81">
        <f>IF(Table25[[#This Row],[Number of stocks]]&gt;0,Table25[[#This Row],[Number of stocks]],0)</f>
        <v>1</v>
      </c>
      <c r="G755" s="73">
        <f>Table25[[#This Row],[Bought]]*Table25[[#This Row],[Price]]</f>
        <v>52</v>
      </c>
      <c r="H755">
        <f>SUMIF(Table25[[#All],[Assets]],Table25[[#This Row],[Assets]],Table25[[#All],[Bought]])</f>
        <v>1</v>
      </c>
      <c r="I755">
        <f>SUMIF(Table25[[#All],[Assets]],Table25[[#This Row],[Assets]],Table25[[#All],[Bought Amount]])</f>
        <v>52</v>
      </c>
      <c r="J755" s="88">
        <f>IF(Table25[[#This Row],[Number of stocks]]&lt;0,Table25[[#This Row],[Number of stocks]],0)</f>
        <v>0</v>
      </c>
      <c r="K755" s="5">
        <f>Table25[[#This Row],[Sold]]*Table25[[#This Row],[Price]]</f>
        <v>0</v>
      </c>
      <c r="L755" s="8">
        <f>ABS(SUMIF(Table25[[#All],[Assets]],Table25[[#This Row],[Assets]],Table25[[#All],[Sold]]))</f>
        <v>1</v>
      </c>
      <c r="M755" s="5">
        <f>ABS(SUMIF(Table25[[#All],[Assets]],Table25[[#This Row],[Assets]],Table25[[#All],[Sold Amount]]))</f>
        <v>51.97</v>
      </c>
      <c r="N755" s="5">
        <f>IFERROR(Table25[[#This Row],[Total sold amount]]/Table25[[#This Row],[Total Sold number of stocks]],"")</f>
        <v>51.97</v>
      </c>
      <c r="O755" s="4">
        <f>IFERROR(Table25[[#This Row],[Total Amount bought]]/Table25[[#This Row],[Total number bought]],"")</f>
        <v>52</v>
      </c>
      <c r="P755" s="4">
        <f>IFERROR((Table25[[#This Row],[Average sell price]]-Table25[[#This Row],[Average buy price]])*Table25[[#This Row],[Total Sold number of stocks]],0)</f>
        <v>-3.0000000000001137E-2</v>
      </c>
      <c r="Q755" s="85">
        <f>SUMIF(Table25[[#All],[Assets]],Table25[[#This Row],[Assets]],Table25[[#All],[Number of stocks]])</f>
        <v>0</v>
      </c>
    </row>
    <row r="756" spans="1:17">
      <c r="A756" t="e" vm="13">
        <v>#VALUE!</v>
      </c>
      <c r="B756" s="2">
        <v>45680</v>
      </c>
      <c r="C756" t="str" cm="1">
        <f t="array" aca="1" ref="C756" ca="1">_FV(A756,"Ticker symbol",TRUE)</f>
        <v>ON</v>
      </c>
      <c r="D756" s="4">
        <v>55.8</v>
      </c>
      <c r="E756" s="50">
        <v>29</v>
      </c>
      <c r="F756" s="81">
        <f>IF(Table25[[#This Row],[Number of stocks]]&gt;0,Table25[[#This Row],[Number of stocks]],0)</f>
        <v>29</v>
      </c>
      <c r="G756" s="73">
        <f>Table25[[#This Row],[Bought]]*Table25[[#This Row],[Price]]</f>
        <v>1618.1999999999998</v>
      </c>
      <c r="H756">
        <f>SUMIF(Table25[[#All],[Assets]],Table25[[#This Row],[Assets]],Table25[[#All],[Bought]])</f>
        <v>326</v>
      </c>
      <c r="I756">
        <f>SUMIF(Table25[[#All],[Assets]],Table25[[#This Row],[Assets]],Table25[[#All],[Bought Amount]])</f>
        <v>19172.809999999998</v>
      </c>
      <c r="J756" s="88">
        <f>IF(Table25[[#This Row],[Number of stocks]]&lt;0,Table25[[#This Row],[Number of stocks]],0)</f>
        <v>0</v>
      </c>
      <c r="K756" s="5">
        <f>Table25[[#This Row],[Sold]]*Table25[[#This Row],[Price]]</f>
        <v>0</v>
      </c>
      <c r="L756" s="8">
        <f>ABS(SUMIF(Table25[[#All],[Assets]],Table25[[#This Row],[Assets]],Table25[[#All],[Sold]]))</f>
        <v>283</v>
      </c>
      <c r="M756" s="5">
        <f>ABS(SUMIF(Table25[[#All],[Assets]],Table25[[#This Row],[Assets]],Table25[[#All],[Sold Amount]]))</f>
        <v>15700.74</v>
      </c>
      <c r="N756" s="5">
        <f>IFERROR(Table25[[#This Row],[Total sold amount]]/Table25[[#This Row],[Total Sold number of stocks]],"")</f>
        <v>55.47964664310954</v>
      </c>
      <c r="O756" s="4">
        <f>IFERROR(Table25[[#This Row],[Total Amount bought]]/Table25[[#This Row],[Total number bought]],"")</f>
        <v>58.812300613496923</v>
      </c>
      <c r="P756" s="4">
        <f>IFERROR((Table25[[#This Row],[Average sell price]]-Table25[[#This Row],[Average buy price]])*Table25[[#This Row],[Total Sold number of stocks]],0)</f>
        <v>-943.14107361962954</v>
      </c>
      <c r="Q756" s="85">
        <f>SUMIF(Table25[[#All],[Assets]],Table25[[#This Row],[Assets]],Table25[[#All],[Number of stocks]])</f>
        <v>43</v>
      </c>
    </row>
    <row r="757" spans="1:17">
      <c r="A757" t="e" vm="100">
        <v>#VALUE!</v>
      </c>
      <c r="B757" s="2">
        <v>45670</v>
      </c>
      <c r="C757" t="str" cm="1">
        <f t="array" aca="1" ref="C757" ca="1">_FV(A757,"Ticker symbol",TRUE)</f>
        <v>FNV</v>
      </c>
      <c r="D757" s="4">
        <v>124.38</v>
      </c>
      <c r="E757" s="50">
        <v>-7</v>
      </c>
      <c r="F757" s="81">
        <f>IF(Table25[[#This Row],[Number of stocks]]&gt;0,Table25[[#This Row],[Number of stocks]],0)</f>
        <v>0</v>
      </c>
      <c r="G757" s="73">
        <f>Table25[[#This Row],[Bought]]*Table25[[#This Row],[Price]]</f>
        <v>0</v>
      </c>
      <c r="H757">
        <f>SUMIF(Table25[[#All],[Assets]],Table25[[#This Row],[Assets]],Table25[[#All],[Bought]])</f>
        <v>80</v>
      </c>
      <c r="I757">
        <f>SUMIF(Table25[[#All],[Assets]],Table25[[#This Row],[Assets]],Table25[[#All],[Bought Amount]])</f>
        <v>10074.099999999999</v>
      </c>
      <c r="J757" s="88">
        <f>IF(Table25[[#This Row],[Number of stocks]]&lt;0,Table25[[#This Row],[Number of stocks]],0)</f>
        <v>-7</v>
      </c>
      <c r="K757" s="5">
        <f>Table25[[#This Row],[Sold]]*Table25[[#This Row],[Price]]</f>
        <v>-870.66</v>
      </c>
      <c r="L757" s="8">
        <f>ABS(SUMIF(Table25[[#All],[Assets]],Table25[[#This Row],[Assets]],Table25[[#All],[Sold]]))</f>
        <v>80</v>
      </c>
      <c r="M757" s="5">
        <f>ABS(SUMIF(Table25[[#All],[Assets]],Table25[[#This Row],[Assets]],Table25[[#All],[Sold Amount]]))</f>
        <v>9798.76</v>
      </c>
      <c r="N757" s="5">
        <f>IFERROR(Table25[[#This Row],[Total sold amount]]/Table25[[#This Row],[Total Sold number of stocks]],"")</f>
        <v>122.4845</v>
      </c>
      <c r="O757" s="4">
        <f>IFERROR(Table25[[#This Row],[Total Amount bought]]/Table25[[#This Row],[Total number bought]],"")</f>
        <v>125.92624999999998</v>
      </c>
      <c r="P757" s="4">
        <f>IFERROR((Table25[[#This Row],[Average sell price]]-Table25[[#This Row],[Average buy price]])*Table25[[#This Row],[Total Sold number of stocks]],0)</f>
        <v>-275.33999999999878</v>
      </c>
      <c r="Q757" s="85">
        <f>SUMIF(Table25[[#All],[Assets]],Table25[[#This Row],[Assets]],Table25[[#All],[Number of stocks]])</f>
        <v>0</v>
      </c>
    </row>
    <row r="758" spans="1:17">
      <c r="A758" t="e" vm="273">
        <v>#VALUE!</v>
      </c>
      <c r="B758" s="2">
        <v>45670</v>
      </c>
      <c r="C758" t="str" cm="1">
        <f t="array" aca="1" ref="C758" ca="1">_FV(A758,"Ticker symbol",TRUE)</f>
        <v>CVRX</v>
      </c>
      <c r="D758" s="4">
        <v>15.48</v>
      </c>
      <c r="E758" s="50">
        <v>40</v>
      </c>
      <c r="F758" s="81">
        <f>IF(Table25[[#This Row],[Number of stocks]]&gt;0,Table25[[#This Row],[Number of stocks]],0)</f>
        <v>40</v>
      </c>
      <c r="G758" s="73">
        <f>Table25[[#This Row],[Bought]]*Table25[[#This Row],[Price]]</f>
        <v>619.20000000000005</v>
      </c>
      <c r="H758">
        <f>SUMIF(Table25[[#All],[Assets]],Table25[[#This Row],[Assets]],Table25[[#All],[Bought]])</f>
        <v>560</v>
      </c>
      <c r="I758">
        <f>SUMIF(Table25[[#All],[Assets]],Table25[[#This Row],[Assets]],Table25[[#All],[Bought Amount]])</f>
        <v>5451</v>
      </c>
      <c r="J758" s="88">
        <f>IF(Table25[[#This Row],[Number of stocks]]&lt;0,Table25[[#This Row],[Number of stocks]],0)</f>
        <v>0</v>
      </c>
      <c r="K758" s="5">
        <f>Table25[[#This Row],[Sold]]*Table25[[#This Row],[Price]]</f>
        <v>0</v>
      </c>
      <c r="L758" s="8">
        <f>ABS(SUMIF(Table25[[#All],[Assets]],Table25[[#This Row],[Assets]],Table25[[#All],[Sold]]))</f>
        <v>560</v>
      </c>
      <c r="M758" s="5">
        <f>ABS(SUMIF(Table25[[#All],[Assets]],Table25[[#This Row],[Assets]],Table25[[#All],[Sold Amount]]))</f>
        <v>4910.5499999999993</v>
      </c>
      <c r="N758" s="5">
        <f>IFERROR(Table25[[#This Row],[Total sold amount]]/Table25[[#This Row],[Total Sold number of stocks]],"")</f>
        <v>8.7688392857142841</v>
      </c>
      <c r="O758" s="4">
        <f>IFERROR(Table25[[#This Row],[Total Amount bought]]/Table25[[#This Row],[Total number bought]],"")</f>
        <v>9.7339285714285708</v>
      </c>
      <c r="P758" s="4">
        <f>IFERROR((Table25[[#This Row],[Average sell price]]-Table25[[#This Row],[Average buy price]])*Table25[[#This Row],[Total Sold number of stocks]],0)</f>
        <v>-540.45000000000061</v>
      </c>
      <c r="Q758" s="85">
        <f>SUMIF(Table25[[#All],[Assets]],Table25[[#This Row],[Assets]],Table25[[#All],[Number of stocks]])</f>
        <v>0</v>
      </c>
    </row>
    <row r="759" spans="1:17">
      <c r="A759" t="e" vm="316">
        <v>#VALUE!</v>
      </c>
      <c r="B759" s="2">
        <v>45670</v>
      </c>
      <c r="C759" t="str" cm="1">
        <f t="array" aca="1" ref="C759" ca="1">_FV(A759,"Ticker symbol",TRUE)</f>
        <v>IRTC</v>
      </c>
      <c r="D759" s="4">
        <v>94.6</v>
      </c>
      <c r="E759" s="50">
        <v>2</v>
      </c>
      <c r="F759" s="81">
        <f>IF(Table25[[#This Row],[Number of stocks]]&gt;0,Table25[[#This Row],[Number of stocks]],0)</f>
        <v>2</v>
      </c>
      <c r="G759" s="73">
        <f>Table25[[#This Row],[Bought]]*Table25[[#This Row],[Price]]</f>
        <v>189.2</v>
      </c>
      <c r="H759">
        <f>SUMIF(Table25[[#All],[Assets]],Table25[[#This Row],[Assets]],Table25[[#All],[Bought]])</f>
        <v>22</v>
      </c>
      <c r="I759">
        <f>SUMIF(Table25[[#All],[Assets]],Table25[[#This Row],[Assets]],Table25[[#All],[Bought Amount]])</f>
        <v>1721.73</v>
      </c>
      <c r="J759" s="88">
        <f>IF(Table25[[#This Row],[Number of stocks]]&lt;0,Table25[[#This Row],[Number of stocks]],0)</f>
        <v>0</v>
      </c>
      <c r="K759" s="5">
        <f>Table25[[#This Row],[Sold]]*Table25[[#This Row],[Price]]</f>
        <v>0</v>
      </c>
      <c r="L759" s="8">
        <f>ABS(SUMIF(Table25[[#All],[Assets]],Table25[[#This Row],[Assets]],Table25[[#All],[Sold]]))</f>
        <v>22</v>
      </c>
      <c r="M759" s="5">
        <f>ABS(SUMIF(Table25[[#All],[Assets]],Table25[[#This Row],[Assets]],Table25[[#All],[Sold Amount]]))</f>
        <v>1870.17</v>
      </c>
      <c r="N759" s="5">
        <f>IFERROR(Table25[[#This Row],[Total sold amount]]/Table25[[#This Row],[Total Sold number of stocks]],"")</f>
        <v>85.00772727272728</v>
      </c>
      <c r="O759" s="4">
        <f>IFERROR(Table25[[#This Row],[Total Amount bought]]/Table25[[#This Row],[Total number bought]],"")</f>
        <v>78.26045454545455</v>
      </c>
      <c r="P759" s="4">
        <f>IFERROR((Table25[[#This Row],[Average sell price]]-Table25[[#This Row],[Average buy price]])*Table25[[#This Row],[Total Sold number of stocks]],0)</f>
        <v>148.44000000000005</v>
      </c>
      <c r="Q759" s="85">
        <f>SUMIF(Table25[[#All],[Assets]],Table25[[#This Row],[Assets]],Table25[[#All],[Number of stocks]])</f>
        <v>0</v>
      </c>
    </row>
    <row r="760" spans="1:17">
      <c r="A760" t="e" vm="517">
        <v>#VALUE!</v>
      </c>
      <c r="B760" s="2">
        <v>45670</v>
      </c>
      <c r="C760" t="str" cm="1">
        <f t="array" aca="1" ref="C760" ca="1">_FV(A760,"Ticker symbol",TRUE)</f>
        <v>PLOW</v>
      </c>
      <c r="D760" s="4">
        <v>23.07</v>
      </c>
      <c r="E760" s="50">
        <v>-20</v>
      </c>
      <c r="F760" s="81">
        <f>IF(Table25[[#This Row],[Number of stocks]]&gt;0,Table25[[#This Row],[Number of stocks]],0)</f>
        <v>0</v>
      </c>
      <c r="G760" s="73">
        <f>Table25[[#This Row],[Bought]]*Table25[[#This Row],[Price]]</f>
        <v>0</v>
      </c>
      <c r="H760">
        <f>SUMIF(Table25[[#All],[Assets]],Table25[[#This Row],[Assets]],Table25[[#All],[Bought]])</f>
        <v>20</v>
      </c>
      <c r="I760">
        <f>SUMIF(Table25[[#All],[Assets]],Table25[[#This Row],[Assets]],Table25[[#All],[Bought Amount]])</f>
        <v>563</v>
      </c>
      <c r="J760" s="88">
        <f>IF(Table25[[#This Row],[Number of stocks]]&lt;0,Table25[[#This Row],[Number of stocks]],0)</f>
        <v>-20</v>
      </c>
      <c r="K760" s="5">
        <f>Table25[[#This Row],[Sold]]*Table25[[#This Row],[Price]]</f>
        <v>-461.4</v>
      </c>
      <c r="L760" s="8">
        <f>ABS(SUMIF(Table25[[#All],[Assets]],Table25[[#This Row],[Assets]],Table25[[#All],[Sold]]))</f>
        <v>20</v>
      </c>
      <c r="M760" s="5">
        <f>ABS(SUMIF(Table25[[#All],[Assets]],Table25[[#This Row],[Assets]],Table25[[#All],[Sold Amount]]))</f>
        <v>461.4</v>
      </c>
      <c r="N760" s="5">
        <f>IFERROR(Table25[[#This Row],[Total sold amount]]/Table25[[#This Row],[Total Sold number of stocks]],"")</f>
        <v>23.07</v>
      </c>
      <c r="O760" s="4">
        <f>IFERROR(Table25[[#This Row],[Total Amount bought]]/Table25[[#This Row],[Total number bought]],"")</f>
        <v>28.15</v>
      </c>
      <c r="P760" s="4">
        <f>IFERROR((Table25[[#This Row],[Average sell price]]-Table25[[#This Row],[Average buy price]])*Table25[[#This Row],[Total Sold number of stocks]],0)</f>
        <v>-101.59999999999997</v>
      </c>
      <c r="Q760" s="85">
        <f>SUMIF(Table25[[#All],[Assets]],Table25[[#This Row],[Assets]],Table25[[#All],[Number of stocks]])</f>
        <v>0</v>
      </c>
    </row>
    <row r="761" spans="1:17">
      <c r="A761" t="e" vm="316">
        <v>#VALUE!</v>
      </c>
      <c r="B761" s="2">
        <v>45670</v>
      </c>
      <c r="C761" t="str" cm="1">
        <f t="array" aca="1" ref="C761" ca="1">_FV(A761,"Ticker symbol",TRUE)</f>
        <v>IRTC</v>
      </c>
      <c r="D761" s="4">
        <v>96.42</v>
      </c>
      <c r="E761" s="50">
        <v>5</v>
      </c>
      <c r="F761" s="81">
        <f>IF(Table25[[#This Row],[Number of stocks]]&gt;0,Table25[[#This Row],[Number of stocks]],0)</f>
        <v>5</v>
      </c>
      <c r="G761" s="73">
        <f>Table25[[#This Row],[Bought]]*Table25[[#This Row],[Price]]</f>
        <v>482.1</v>
      </c>
      <c r="H761">
        <f>SUMIF(Table25[[#All],[Assets]],Table25[[#This Row],[Assets]],Table25[[#All],[Bought]])</f>
        <v>22</v>
      </c>
      <c r="I761">
        <f>SUMIF(Table25[[#All],[Assets]],Table25[[#This Row],[Assets]],Table25[[#All],[Bought Amount]])</f>
        <v>1721.73</v>
      </c>
      <c r="J761" s="88">
        <f>IF(Table25[[#This Row],[Number of stocks]]&lt;0,Table25[[#This Row],[Number of stocks]],0)</f>
        <v>0</v>
      </c>
      <c r="K761" s="5">
        <f>Table25[[#This Row],[Sold]]*Table25[[#This Row],[Price]]</f>
        <v>0</v>
      </c>
      <c r="L761" s="8">
        <f>ABS(SUMIF(Table25[[#All],[Assets]],Table25[[#This Row],[Assets]],Table25[[#All],[Sold]]))</f>
        <v>22</v>
      </c>
      <c r="M761" s="5">
        <f>ABS(SUMIF(Table25[[#All],[Assets]],Table25[[#This Row],[Assets]],Table25[[#All],[Sold Amount]]))</f>
        <v>1870.17</v>
      </c>
      <c r="N761" s="5">
        <f>IFERROR(Table25[[#This Row],[Total sold amount]]/Table25[[#This Row],[Total Sold number of stocks]],"")</f>
        <v>85.00772727272728</v>
      </c>
      <c r="O761" s="4">
        <f>IFERROR(Table25[[#This Row],[Total Amount bought]]/Table25[[#This Row],[Total number bought]],"")</f>
        <v>78.26045454545455</v>
      </c>
      <c r="P761" s="4">
        <f>IFERROR((Table25[[#This Row],[Average sell price]]-Table25[[#This Row],[Average buy price]])*Table25[[#This Row],[Total Sold number of stocks]],0)</f>
        <v>148.44000000000005</v>
      </c>
      <c r="Q761" s="85">
        <f>SUMIF(Table25[[#All],[Assets]],Table25[[#This Row],[Assets]],Table25[[#All],[Number of stocks]])</f>
        <v>0</v>
      </c>
    </row>
    <row r="762" spans="1:17">
      <c r="A762" t="e" vm="100">
        <v>#VALUE!</v>
      </c>
      <c r="B762" s="2">
        <v>45678</v>
      </c>
      <c r="C762" t="str" cm="1">
        <f t="array" aca="1" ref="C762" ca="1">_FV(A762,"Ticker symbol",TRUE)</f>
        <v>FNV</v>
      </c>
      <c r="D762" s="4">
        <v>130.66999999999999</v>
      </c>
      <c r="E762" s="50">
        <v>-8</v>
      </c>
      <c r="F762" s="81">
        <f>IF(Table25[[#This Row],[Number of stocks]]&gt;0,Table25[[#This Row],[Number of stocks]],0)</f>
        <v>0</v>
      </c>
      <c r="G762" s="73">
        <f>Table25[[#This Row],[Bought]]*Table25[[#This Row],[Price]]</f>
        <v>0</v>
      </c>
      <c r="H762">
        <f>SUMIF(Table25[[#All],[Assets]],Table25[[#This Row],[Assets]],Table25[[#All],[Bought]])</f>
        <v>80</v>
      </c>
      <c r="I762">
        <f>SUMIF(Table25[[#All],[Assets]],Table25[[#This Row],[Assets]],Table25[[#All],[Bought Amount]])</f>
        <v>10074.099999999999</v>
      </c>
      <c r="J762" s="88">
        <f>IF(Table25[[#This Row],[Number of stocks]]&lt;0,Table25[[#This Row],[Number of stocks]],0)</f>
        <v>-8</v>
      </c>
      <c r="K762" s="5">
        <f>Table25[[#This Row],[Sold]]*Table25[[#This Row],[Price]]</f>
        <v>-1045.3599999999999</v>
      </c>
      <c r="L762" s="8">
        <f>ABS(SUMIF(Table25[[#All],[Assets]],Table25[[#This Row],[Assets]],Table25[[#All],[Sold]]))</f>
        <v>80</v>
      </c>
      <c r="M762" s="5">
        <f>ABS(SUMIF(Table25[[#All],[Assets]],Table25[[#This Row],[Assets]],Table25[[#All],[Sold Amount]]))</f>
        <v>9798.76</v>
      </c>
      <c r="N762" s="5">
        <f>IFERROR(Table25[[#This Row],[Total sold amount]]/Table25[[#This Row],[Total Sold number of stocks]],"")</f>
        <v>122.4845</v>
      </c>
      <c r="O762" s="4">
        <f>IFERROR(Table25[[#This Row],[Total Amount bought]]/Table25[[#This Row],[Total number bought]],"")</f>
        <v>125.92624999999998</v>
      </c>
      <c r="P762" s="4">
        <f>IFERROR((Table25[[#This Row],[Average sell price]]-Table25[[#This Row],[Average buy price]])*Table25[[#This Row],[Total Sold number of stocks]],0)</f>
        <v>-275.33999999999878</v>
      </c>
      <c r="Q762" s="85">
        <f>SUMIF(Table25[[#All],[Assets]],Table25[[#This Row],[Assets]],Table25[[#All],[Number of stocks]])</f>
        <v>0</v>
      </c>
    </row>
    <row r="763" spans="1:17">
      <c r="A763" t="e" vm="316">
        <v>#VALUE!</v>
      </c>
      <c r="B763" s="2">
        <v>45678</v>
      </c>
      <c r="C763" t="str" cm="1">
        <f t="array" aca="1" ref="C763" ca="1">_FV(A763,"Ticker symbol",TRUE)</f>
        <v>IRTC</v>
      </c>
      <c r="D763" s="4">
        <v>28</v>
      </c>
      <c r="E763" s="50">
        <v>-2</v>
      </c>
      <c r="F763" s="81">
        <f>IF(Table25[[#This Row],[Number of stocks]]&gt;0,Table25[[#This Row],[Number of stocks]],0)</f>
        <v>0</v>
      </c>
      <c r="G763" s="73">
        <f>Table25[[#This Row],[Bought]]*Table25[[#This Row],[Price]]</f>
        <v>0</v>
      </c>
      <c r="H763">
        <f>SUMIF(Table25[[#All],[Assets]],Table25[[#This Row],[Assets]],Table25[[#All],[Bought]])</f>
        <v>22</v>
      </c>
      <c r="I763">
        <f>SUMIF(Table25[[#All],[Assets]],Table25[[#This Row],[Assets]],Table25[[#All],[Bought Amount]])</f>
        <v>1721.73</v>
      </c>
      <c r="J763" s="88">
        <f>IF(Table25[[#This Row],[Number of stocks]]&lt;0,Table25[[#This Row],[Number of stocks]],0)</f>
        <v>-2</v>
      </c>
      <c r="K763" s="5">
        <f>Table25[[#This Row],[Sold]]*Table25[[#This Row],[Price]]</f>
        <v>-56</v>
      </c>
      <c r="L763" s="8">
        <f>ABS(SUMIF(Table25[[#All],[Assets]],Table25[[#This Row],[Assets]],Table25[[#All],[Sold]]))</f>
        <v>22</v>
      </c>
      <c r="M763" s="5">
        <f>ABS(SUMIF(Table25[[#All],[Assets]],Table25[[#This Row],[Assets]],Table25[[#All],[Sold Amount]]))</f>
        <v>1870.17</v>
      </c>
      <c r="N763" s="5">
        <f>IFERROR(Table25[[#This Row],[Total sold amount]]/Table25[[#This Row],[Total Sold number of stocks]],"")</f>
        <v>85.00772727272728</v>
      </c>
      <c r="O763" s="4">
        <f>IFERROR(Table25[[#This Row],[Total Amount bought]]/Table25[[#This Row],[Total number bought]],"")</f>
        <v>78.26045454545455</v>
      </c>
      <c r="P763" s="4">
        <f>IFERROR((Table25[[#This Row],[Average sell price]]-Table25[[#This Row],[Average buy price]])*Table25[[#This Row],[Total Sold number of stocks]],0)</f>
        <v>148.44000000000005</v>
      </c>
      <c r="Q763" s="85">
        <f>SUMIF(Table25[[#All],[Assets]],Table25[[#This Row],[Assets]],Table25[[#All],[Number of stocks]])</f>
        <v>0</v>
      </c>
    </row>
    <row r="764" spans="1:17">
      <c r="A764" t="e" vm="534">
        <v>#VALUE!</v>
      </c>
      <c r="B764" s="2">
        <v>45678</v>
      </c>
      <c r="C764" t="str" cm="1">
        <f t="array" aca="1" ref="C764" ca="1">_FV(A764,"Ticker symbol",TRUE)</f>
        <v>VSAT</v>
      </c>
      <c r="D764" s="4">
        <v>11.98</v>
      </c>
      <c r="E764" s="50">
        <v>80</v>
      </c>
      <c r="F764" s="81">
        <f>IF(Table25[[#This Row],[Number of stocks]]&gt;0,Table25[[#This Row],[Number of stocks]],0)</f>
        <v>80</v>
      </c>
      <c r="G764" s="73">
        <f>Table25[[#This Row],[Bought]]*Table25[[#This Row],[Price]]</f>
        <v>958.40000000000009</v>
      </c>
      <c r="H764">
        <f>SUMIF(Table25[[#All],[Assets]],Table25[[#This Row],[Assets]],Table25[[#All],[Bought]])</f>
        <v>80</v>
      </c>
      <c r="I764">
        <f>SUMIF(Table25[[#All],[Assets]],Table25[[#This Row],[Assets]],Table25[[#All],[Bought Amount]])</f>
        <v>958.40000000000009</v>
      </c>
      <c r="J764" s="88">
        <f>IF(Table25[[#This Row],[Number of stocks]]&lt;0,Table25[[#This Row],[Number of stocks]],0)</f>
        <v>0</v>
      </c>
      <c r="K764" s="5">
        <f>Table25[[#This Row],[Sold]]*Table25[[#This Row],[Price]]</f>
        <v>0</v>
      </c>
      <c r="L764" s="8">
        <f>ABS(SUMIF(Table25[[#All],[Assets]],Table25[[#This Row],[Assets]],Table25[[#All],[Sold]]))</f>
        <v>80</v>
      </c>
      <c r="M764" s="5">
        <f>ABS(SUMIF(Table25[[#All],[Assets]],Table25[[#This Row],[Assets]],Table25[[#All],[Sold Amount]]))</f>
        <v>819.2</v>
      </c>
      <c r="N764" s="5">
        <f>IFERROR(Table25[[#This Row],[Total sold amount]]/Table25[[#This Row],[Total Sold number of stocks]],"")</f>
        <v>10.24</v>
      </c>
      <c r="O764" s="4">
        <f>IFERROR(Table25[[#This Row],[Total Amount bought]]/Table25[[#This Row],[Total number bought]],"")</f>
        <v>11.98</v>
      </c>
      <c r="P764" s="4">
        <f>IFERROR((Table25[[#This Row],[Average sell price]]-Table25[[#This Row],[Average buy price]])*Table25[[#This Row],[Total Sold number of stocks]],0)</f>
        <v>-139.20000000000002</v>
      </c>
      <c r="Q764" s="85">
        <f>SUMIF(Table25[[#All],[Assets]],Table25[[#This Row],[Assets]],Table25[[#All],[Number of stocks]])</f>
        <v>0</v>
      </c>
    </row>
    <row r="765" spans="1:17">
      <c r="A765" t="e" vm="278">
        <v>#VALUE!</v>
      </c>
      <c r="B765" s="2">
        <v>45679</v>
      </c>
      <c r="C765" t="str" cm="1">
        <f t="array" aca="1" ref="C765" ca="1">_FV(A765,"Ticker symbol",TRUE)</f>
        <v>RTX</v>
      </c>
      <c r="D765" s="4">
        <v>123.99</v>
      </c>
      <c r="E765" s="50">
        <v>-2</v>
      </c>
      <c r="F765" s="81">
        <f>IF(Table25[[#This Row],[Number of stocks]]&gt;0,Table25[[#This Row],[Number of stocks]],0)</f>
        <v>0</v>
      </c>
      <c r="G765" s="73">
        <f>Table25[[#This Row],[Bought]]*Table25[[#This Row],[Price]]</f>
        <v>0</v>
      </c>
      <c r="H765">
        <f>SUMIF(Table25[[#All],[Assets]],Table25[[#This Row],[Assets]],Table25[[#All],[Bought]])</f>
        <v>4</v>
      </c>
      <c r="I765">
        <f>SUMIF(Table25[[#All],[Assets]],Table25[[#This Row],[Assets]],Table25[[#All],[Bought Amount]])</f>
        <v>313</v>
      </c>
      <c r="J765" s="88">
        <f>IF(Table25[[#This Row],[Number of stocks]]&lt;0,Table25[[#This Row],[Number of stocks]],0)</f>
        <v>-2</v>
      </c>
      <c r="K765" s="5">
        <f>Table25[[#This Row],[Sold]]*Table25[[#This Row],[Price]]</f>
        <v>-247.98</v>
      </c>
      <c r="L765" s="8">
        <f>ABS(SUMIF(Table25[[#All],[Assets]],Table25[[#This Row],[Assets]],Table25[[#All],[Sold]]))</f>
        <v>4</v>
      </c>
      <c r="M765" s="5">
        <f>ABS(SUMIF(Table25[[#All],[Assets]],Table25[[#This Row],[Assets]],Table25[[#All],[Sold Amount]]))</f>
        <v>479.28</v>
      </c>
      <c r="N765" s="5">
        <f>IFERROR(Table25[[#This Row],[Total sold amount]]/Table25[[#This Row],[Total Sold number of stocks]],"")</f>
        <v>119.82</v>
      </c>
      <c r="O765" s="4">
        <f>IFERROR(Table25[[#This Row],[Total Amount bought]]/Table25[[#This Row],[Total number bought]],"")</f>
        <v>78.25</v>
      </c>
      <c r="P765" s="4">
        <f>IFERROR((Table25[[#This Row],[Average sell price]]-Table25[[#This Row],[Average buy price]])*Table25[[#This Row],[Total Sold number of stocks]],0)</f>
        <v>166.27999999999997</v>
      </c>
      <c r="Q765" s="85">
        <f>SUMIF(Table25[[#All],[Assets]],Table25[[#This Row],[Assets]],Table25[[#All],[Number of stocks]])</f>
        <v>0</v>
      </c>
    </row>
    <row r="766" spans="1:17">
      <c r="A766" t="e" vm="259">
        <v>#VALUE!</v>
      </c>
      <c r="B766" s="2">
        <v>45679</v>
      </c>
      <c r="C766" t="str" cm="1">
        <f t="array" aca="1" ref="C766" ca="1">_FV(A766,"Ticker symbol",TRUE)</f>
        <v>GRAL</v>
      </c>
      <c r="D766" s="4">
        <v>22.34</v>
      </c>
      <c r="E766" s="50">
        <v>-20</v>
      </c>
      <c r="F766" s="81">
        <f>IF(Table25[[#This Row],[Number of stocks]]&gt;0,Table25[[#This Row],[Number of stocks]],0)</f>
        <v>0</v>
      </c>
      <c r="G766" s="73">
        <f>Table25[[#This Row],[Bought]]*Table25[[#This Row],[Price]]</f>
        <v>0</v>
      </c>
      <c r="H766">
        <f>SUMIF(Table25[[#All],[Assets]],Table25[[#This Row],[Assets]],Table25[[#All],[Bought]])</f>
        <v>100</v>
      </c>
      <c r="I766">
        <f>SUMIF(Table25[[#All],[Assets]],Table25[[#This Row],[Assets]],Table25[[#All],[Bought Amount]])</f>
        <v>1720.3</v>
      </c>
      <c r="J766" s="88">
        <f>IF(Table25[[#This Row],[Number of stocks]]&lt;0,Table25[[#This Row],[Number of stocks]],0)</f>
        <v>-20</v>
      </c>
      <c r="K766" s="5">
        <f>Table25[[#This Row],[Sold]]*Table25[[#This Row],[Price]]</f>
        <v>-446.8</v>
      </c>
      <c r="L766" s="8">
        <f>ABS(SUMIF(Table25[[#All],[Assets]],Table25[[#This Row],[Assets]],Table25[[#All],[Sold]]))</f>
        <v>100</v>
      </c>
      <c r="M766" s="5">
        <f>ABS(SUMIF(Table25[[#All],[Assets]],Table25[[#This Row],[Assets]],Table25[[#All],[Sold Amount]]))</f>
        <v>2684.8</v>
      </c>
      <c r="N766" s="5">
        <f>IFERROR(Table25[[#This Row],[Total sold amount]]/Table25[[#This Row],[Total Sold number of stocks]],"")</f>
        <v>26.848000000000003</v>
      </c>
      <c r="O766" s="4">
        <f>IFERROR(Table25[[#This Row],[Total Amount bought]]/Table25[[#This Row],[Total number bought]],"")</f>
        <v>17.202999999999999</v>
      </c>
      <c r="P766" s="4">
        <f>IFERROR((Table25[[#This Row],[Average sell price]]-Table25[[#This Row],[Average buy price]])*Table25[[#This Row],[Total Sold number of stocks]],0)</f>
        <v>964.50000000000034</v>
      </c>
      <c r="Q766" s="85">
        <f>SUMIF(Table25[[#All],[Assets]],Table25[[#This Row],[Assets]],Table25[[#All],[Number of stocks]])</f>
        <v>0</v>
      </c>
    </row>
    <row r="767" spans="1:17">
      <c r="A767" t="e" vm="224">
        <v>#VALUE!</v>
      </c>
      <c r="B767" s="2">
        <v>45680</v>
      </c>
      <c r="C767" t="str" cm="1">
        <f t="array" aca="1" ref="C767" ca="1">_FV(A767,"Ticker symbol",TRUE)</f>
        <v>NU</v>
      </c>
      <c r="D767" s="4">
        <v>12.19</v>
      </c>
      <c r="E767" s="50">
        <v>-42</v>
      </c>
      <c r="F767" s="81">
        <f>IF(Table25[[#This Row],[Number of stocks]]&gt;0,Table25[[#This Row],[Number of stocks]],0)</f>
        <v>0</v>
      </c>
      <c r="G767" s="73">
        <f>Table25[[#This Row],[Bought]]*Table25[[#This Row],[Price]]</f>
        <v>0</v>
      </c>
      <c r="H767">
        <f>SUMIF(Table25[[#All],[Assets]],Table25[[#This Row],[Assets]],Table25[[#All],[Bought]])</f>
        <v>45</v>
      </c>
      <c r="I767">
        <f>SUMIF(Table25[[#All],[Assets]],Table25[[#This Row],[Assets]],Table25[[#All],[Bought Amount]])</f>
        <v>540</v>
      </c>
      <c r="J767" s="88">
        <f>IF(Table25[[#This Row],[Number of stocks]]&lt;0,Table25[[#This Row],[Number of stocks]],0)</f>
        <v>-42</v>
      </c>
      <c r="K767" s="5">
        <f>Table25[[#This Row],[Sold]]*Table25[[#This Row],[Price]]</f>
        <v>-511.97999999999996</v>
      </c>
      <c r="L767" s="8">
        <f>ABS(SUMIF(Table25[[#All],[Assets]],Table25[[#This Row],[Assets]],Table25[[#All],[Sold]]))</f>
        <v>42</v>
      </c>
      <c r="M767" s="5">
        <f>ABS(SUMIF(Table25[[#All],[Assets]],Table25[[#This Row],[Assets]],Table25[[#All],[Sold Amount]]))</f>
        <v>511.97999999999996</v>
      </c>
      <c r="N767" s="5">
        <f>IFERROR(Table25[[#This Row],[Total sold amount]]/Table25[[#This Row],[Total Sold number of stocks]],"")</f>
        <v>12.19</v>
      </c>
      <c r="O767" s="4">
        <f>IFERROR(Table25[[#This Row],[Total Amount bought]]/Table25[[#This Row],[Total number bought]],"")</f>
        <v>12</v>
      </c>
      <c r="P767" s="4">
        <f>IFERROR((Table25[[#This Row],[Average sell price]]-Table25[[#This Row],[Average buy price]])*Table25[[#This Row],[Total Sold number of stocks]],0)</f>
        <v>7.9799999999999791</v>
      </c>
      <c r="Q767" s="85">
        <f>SUMIF(Table25[[#All],[Assets]],Table25[[#This Row],[Assets]],Table25[[#All],[Number of stocks]])</f>
        <v>3</v>
      </c>
    </row>
    <row r="768" spans="1:17">
      <c r="A768" t="e" vm="41">
        <v>#VALUE!</v>
      </c>
      <c r="B768" s="2">
        <v>45684</v>
      </c>
      <c r="C768" t="str" cm="1">
        <f t="array" aca="1" ref="C768" ca="1">_FV(A768,"Ticker symbol",TRUE)</f>
        <v>AGX</v>
      </c>
      <c r="D768" s="4">
        <v>140.46</v>
      </c>
      <c r="E768" s="50">
        <v>-7</v>
      </c>
      <c r="F768" s="81">
        <f>IF(Table25[[#This Row],[Number of stocks]]&gt;0,Table25[[#This Row],[Number of stocks]],0)</f>
        <v>0</v>
      </c>
      <c r="G768" s="73">
        <f>Table25[[#This Row],[Bought]]*Table25[[#This Row],[Price]]</f>
        <v>0</v>
      </c>
      <c r="H768">
        <f>SUMIF(Table25[[#All],[Assets]],Table25[[#This Row],[Assets]],Table25[[#All],[Bought]])</f>
        <v>18</v>
      </c>
      <c r="I768">
        <f>SUMIF(Table25[[#All],[Assets]],Table25[[#This Row],[Assets]],Table25[[#All],[Bought Amount]])</f>
        <v>2470.9900000000002</v>
      </c>
      <c r="J768" s="88">
        <f>IF(Table25[[#This Row],[Number of stocks]]&lt;0,Table25[[#This Row],[Number of stocks]],0)</f>
        <v>-7</v>
      </c>
      <c r="K768" s="5">
        <f>Table25[[#This Row],[Sold]]*Table25[[#This Row],[Price]]</f>
        <v>-983.22</v>
      </c>
      <c r="L768" s="8">
        <f>ABS(SUMIF(Table25[[#All],[Assets]],Table25[[#This Row],[Assets]],Table25[[#All],[Sold]]))</f>
        <v>18</v>
      </c>
      <c r="M768" s="5">
        <f>ABS(SUMIF(Table25[[#All],[Assets]],Table25[[#This Row],[Assets]],Table25[[#All],[Sold Amount]]))</f>
        <v>3587.9800000000005</v>
      </c>
      <c r="N768" s="5">
        <f>IFERROR(Table25[[#This Row],[Total sold amount]]/Table25[[#This Row],[Total Sold number of stocks]],"")</f>
        <v>199.33222222222224</v>
      </c>
      <c r="O768" s="4">
        <f>IFERROR(Table25[[#This Row],[Total Amount bought]]/Table25[[#This Row],[Total number bought]],"")</f>
        <v>137.27722222222224</v>
      </c>
      <c r="P768" s="4">
        <f>IFERROR((Table25[[#This Row],[Average sell price]]-Table25[[#This Row],[Average buy price]])*Table25[[#This Row],[Total Sold number of stocks]],0)</f>
        <v>1116.9900000000002</v>
      </c>
      <c r="Q768" s="85">
        <f>SUMIF(Table25[[#All],[Assets]],Table25[[#This Row],[Assets]],Table25[[#All],[Number of stocks]])</f>
        <v>0</v>
      </c>
    </row>
    <row r="769" spans="1:17">
      <c r="A769" t="e" vm="51">
        <v>#VALUE!</v>
      </c>
      <c r="B769" s="2">
        <v>45684</v>
      </c>
      <c r="C769" t="str" cm="1">
        <f t="array" aca="1" ref="C769" ca="1">_FV(A769,"Ticker symbol",TRUE)</f>
        <v>CEG</v>
      </c>
      <c r="D769" s="4">
        <v>281.41000000000003</v>
      </c>
      <c r="E769" s="50">
        <v>1</v>
      </c>
      <c r="F769" s="81">
        <f>IF(Table25[[#This Row],[Number of stocks]]&gt;0,Table25[[#This Row],[Number of stocks]],0)</f>
        <v>1</v>
      </c>
      <c r="G769" s="73">
        <f>Table25[[#This Row],[Bought]]*Table25[[#This Row],[Price]]</f>
        <v>281.41000000000003</v>
      </c>
      <c r="H769">
        <f>SUMIF(Table25[[#All],[Assets]],Table25[[#This Row],[Assets]],Table25[[#All],[Bought]])</f>
        <v>2</v>
      </c>
      <c r="I769">
        <f>SUMIF(Table25[[#All],[Assets]],Table25[[#This Row],[Assets]],Table25[[#All],[Bought Amount]])</f>
        <v>571.1</v>
      </c>
      <c r="J769" s="88">
        <f>IF(Table25[[#This Row],[Number of stocks]]&lt;0,Table25[[#This Row],[Number of stocks]],0)</f>
        <v>0</v>
      </c>
      <c r="K769" s="5">
        <f>Table25[[#This Row],[Sold]]*Table25[[#This Row],[Price]]</f>
        <v>0</v>
      </c>
      <c r="L769" s="8">
        <f>ABS(SUMIF(Table25[[#All],[Assets]],Table25[[#This Row],[Assets]],Table25[[#All],[Sold]]))</f>
        <v>2</v>
      </c>
      <c r="M769" s="5">
        <f>ABS(SUMIF(Table25[[#All],[Assets]],Table25[[#This Row],[Assets]],Table25[[#All],[Sold Amount]]))</f>
        <v>760.58</v>
      </c>
      <c r="N769" s="5">
        <f>IFERROR(Table25[[#This Row],[Total sold amount]]/Table25[[#This Row],[Total Sold number of stocks]],"")</f>
        <v>380.29</v>
      </c>
      <c r="O769" s="4">
        <f>IFERROR(Table25[[#This Row],[Total Amount bought]]/Table25[[#This Row],[Total number bought]],"")</f>
        <v>285.55</v>
      </c>
      <c r="P769" s="4">
        <f>IFERROR((Table25[[#This Row],[Average sell price]]-Table25[[#This Row],[Average buy price]])*Table25[[#This Row],[Total Sold number of stocks]],0)</f>
        <v>189.48000000000002</v>
      </c>
      <c r="Q769" s="85">
        <f>SUMIF(Table25[[#All],[Assets]],Table25[[#This Row],[Assets]],Table25[[#All],[Number of stocks]])</f>
        <v>0</v>
      </c>
    </row>
    <row r="770" spans="1:17">
      <c r="A770" t="e" vm="39">
        <v>#VALUE!</v>
      </c>
      <c r="B770" s="2">
        <v>45684</v>
      </c>
      <c r="C770" t="str" cm="1">
        <f t="array" aca="1" ref="C770" ca="1">_FV(A770,"Ticker symbol",TRUE)</f>
        <v>AMSC</v>
      </c>
      <c r="D770" s="4">
        <v>25.15</v>
      </c>
      <c r="E770" s="50">
        <v>-259</v>
      </c>
      <c r="F770" s="81">
        <f>IF(Table25[[#This Row],[Number of stocks]]&gt;0,Table25[[#This Row],[Number of stocks]],0)</f>
        <v>0</v>
      </c>
      <c r="G770" s="73">
        <f>Table25[[#This Row],[Bought]]*Table25[[#This Row],[Price]]</f>
        <v>0</v>
      </c>
      <c r="H770">
        <f>SUMIF(Table25[[#All],[Assets]],Table25[[#This Row],[Assets]],Table25[[#All],[Bought]])</f>
        <v>812.4</v>
      </c>
      <c r="I770">
        <f>SUMIF(Table25[[#All],[Assets]],Table25[[#This Row],[Assets]],Table25[[#All],[Bought Amount]])</f>
        <v>24146.880000000001</v>
      </c>
      <c r="J770" s="88">
        <f>IF(Table25[[#This Row],[Number of stocks]]&lt;0,Table25[[#This Row],[Number of stocks]],0)</f>
        <v>-259</v>
      </c>
      <c r="K770" s="5">
        <f>Table25[[#This Row],[Sold]]*Table25[[#This Row],[Price]]</f>
        <v>-6513.8499999999995</v>
      </c>
      <c r="L770" s="8">
        <f>ABS(SUMIF(Table25[[#All],[Assets]],Table25[[#This Row],[Assets]],Table25[[#All],[Sold]]))</f>
        <v>535</v>
      </c>
      <c r="M770" s="5">
        <f>ABS(SUMIF(Table25[[#All],[Assets]],Table25[[#This Row],[Assets]],Table25[[#All],[Sold Amount]]))</f>
        <v>14777.289999999999</v>
      </c>
      <c r="N770" s="5">
        <f>IFERROR(Table25[[#This Row],[Total sold amount]]/Table25[[#This Row],[Total Sold number of stocks]],"")</f>
        <v>27.621102803738317</v>
      </c>
      <c r="O770" s="4">
        <f>IFERROR(Table25[[#This Row],[Total Amount bought]]/Table25[[#This Row],[Total number bought]],"")</f>
        <v>29.722895125553915</v>
      </c>
      <c r="P770" s="4">
        <f>IFERROR((Table25[[#This Row],[Average sell price]]-Table25[[#This Row],[Average buy price]])*Table25[[#This Row],[Total Sold number of stocks]],0)</f>
        <v>-1124.4588921713448</v>
      </c>
      <c r="Q770" s="85">
        <f>SUMIF(Table25[[#All],[Assets]],Table25[[#This Row],[Assets]],Table25[[#All],[Number of stocks]])</f>
        <v>277.39999999999998</v>
      </c>
    </row>
    <row r="771" spans="1:17">
      <c r="A771" t="e" vm="37">
        <v>#VALUE!</v>
      </c>
      <c r="B771" s="2">
        <v>45684</v>
      </c>
      <c r="C771" t="str" cm="1">
        <f t="array" aca="1" ref="C771" ca="1">_FV(A771,"Ticker symbol",TRUE)</f>
        <v>AMD</v>
      </c>
      <c r="D771" s="4">
        <v>115.31</v>
      </c>
      <c r="E771" s="50">
        <v>8</v>
      </c>
      <c r="F771" s="81">
        <f>IF(Table25[[#This Row],[Number of stocks]]&gt;0,Table25[[#This Row],[Number of stocks]],0)</f>
        <v>8</v>
      </c>
      <c r="G771" s="73">
        <f>Table25[[#This Row],[Bought]]*Table25[[#This Row],[Price]]</f>
        <v>922.48</v>
      </c>
      <c r="H771">
        <f>SUMIF(Table25[[#All],[Assets]],Table25[[#This Row],[Assets]],Table25[[#All],[Bought]])</f>
        <v>41</v>
      </c>
      <c r="I771">
        <f>SUMIF(Table25[[#All],[Assets]],Table25[[#This Row],[Assets]],Table25[[#All],[Bought Amount]])</f>
        <v>5552.8399999999992</v>
      </c>
      <c r="J771" s="88">
        <f>IF(Table25[[#This Row],[Number of stocks]]&lt;0,Table25[[#This Row],[Number of stocks]],0)</f>
        <v>0</v>
      </c>
      <c r="K771" s="5">
        <f>Table25[[#This Row],[Sold]]*Table25[[#This Row],[Price]]</f>
        <v>0</v>
      </c>
      <c r="L771" s="8">
        <f>ABS(SUMIF(Table25[[#All],[Assets]],Table25[[#This Row],[Assets]],Table25[[#All],[Sold]]))</f>
        <v>23</v>
      </c>
      <c r="M771" s="5">
        <f>ABS(SUMIF(Table25[[#All],[Assets]],Table25[[#This Row],[Assets]],Table25[[#All],[Sold Amount]]))</f>
        <v>3203.4199999999996</v>
      </c>
      <c r="N771" s="5">
        <f>IFERROR(Table25[[#This Row],[Total sold amount]]/Table25[[#This Row],[Total Sold number of stocks]],"")</f>
        <v>139.27913043478259</v>
      </c>
      <c r="O771" s="4">
        <f>IFERROR(Table25[[#This Row],[Total Amount bought]]/Table25[[#This Row],[Total number bought]],"")</f>
        <v>135.43512195121949</v>
      </c>
      <c r="P771" s="4">
        <f>IFERROR((Table25[[#This Row],[Average sell price]]-Table25[[#This Row],[Average buy price]])*Table25[[#This Row],[Total Sold number of stocks]],0)</f>
        <v>88.412195121951328</v>
      </c>
      <c r="Q771" s="85">
        <f>SUMIF(Table25[[#All],[Assets]],Table25[[#This Row],[Assets]],Table25[[#All],[Number of stocks]])</f>
        <v>18</v>
      </c>
    </row>
    <row r="772" spans="1:17">
      <c r="A772" t="e" vm="516">
        <v>#VALUE!</v>
      </c>
      <c r="B772" s="2">
        <v>45684</v>
      </c>
      <c r="C772" t="str" cm="1">
        <f t="array" aca="1" ref="C772" ca="1">_FV(A772,"Ticker symbol",TRUE)</f>
        <v>MTSI</v>
      </c>
      <c r="D772" s="4">
        <v>123.77</v>
      </c>
      <c r="E772" s="50">
        <v>-3</v>
      </c>
      <c r="F772" s="81">
        <f>IF(Table25[[#This Row],[Number of stocks]]&gt;0,Table25[[#This Row],[Number of stocks]],0)</f>
        <v>0</v>
      </c>
      <c r="G772" s="73">
        <f>Table25[[#This Row],[Bought]]*Table25[[#This Row],[Price]]</f>
        <v>0</v>
      </c>
      <c r="H772">
        <f>SUMIF(Table25[[#All],[Assets]],Table25[[#This Row],[Assets]],Table25[[#All],[Bought]])</f>
        <v>3</v>
      </c>
      <c r="I772">
        <f>SUMIF(Table25[[#All],[Assets]],Table25[[#This Row],[Assets]],Table25[[#All],[Bought Amount]])</f>
        <v>412.43999999999994</v>
      </c>
      <c r="J772" s="88">
        <f>IF(Table25[[#This Row],[Number of stocks]]&lt;0,Table25[[#This Row],[Number of stocks]],0)</f>
        <v>-3</v>
      </c>
      <c r="K772" s="5">
        <f>Table25[[#This Row],[Sold]]*Table25[[#This Row],[Price]]</f>
        <v>-371.31</v>
      </c>
      <c r="L772" s="8">
        <f>ABS(SUMIF(Table25[[#All],[Assets]],Table25[[#This Row],[Assets]],Table25[[#All],[Sold]]))</f>
        <v>3</v>
      </c>
      <c r="M772" s="5">
        <f>ABS(SUMIF(Table25[[#All],[Assets]],Table25[[#This Row],[Assets]],Table25[[#All],[Sold Amount]]))</f>
        <v>371.31</v>
      </c>
      <c r="N772" s="5">
        <f>IFERROR(Table25[[#This Row],[Total sold amount]]/Table25[[#This Row],[Total Sold number of stocks]],"")</f>
        <v>123.77</v>
      </c>
      <c r="O772" s="4">
        <f>IFERROR(Table25[[#This Row],[Total Amount bought]]/Table25[[#This Row],[Total number bought]],"")</f>
        <v>137.47999999999999</v>
      </c>
      <c r="P772" s="4">
        <f>IFERROR((Table25[[#This Row],[Average sell price]]-Table25[[#This Row],[Average buy price]])*Table25[[#This Row],[Total Sold number of stocks]],0)</f>
        <v>-41.129999999999981</v>
      </c>
      <c r="Q772" s="85">
        <f>SUMIF(Table25[[#All],[Assets]],Table25[[#This Row],[Assets]],Table25[[#All],[Number of stocks]])</f>
        <v>0</v>
      </c>
    </row>
    <row r="773" spans="1:17">
      <c r="A773" t="e" vm="35">
        <v>#VALUE!</v>
      </c>
      <c r="B773" s="2">
        <v>45684</v>
      </c>
      <c r="C773" t="str" cm="1">
        <f t="array" aca="1" ref="C773" ca="1">_FV(A773,"Ticker symbol",TRUE)</f>
        <v>VRT</v>
      </c>
      <c r="D773" s="4">
        <v>105.99</v>
      </c>
      <c r="E773" s="50">
        <v>-17</v>
      </c>
      <c r="F773" s="81">
        <f>IF(Table25[[#This Row],[Number of stocks]]&gt;0,Table25[[#This Row],[Number of stocks]],0)</f>
        <v>0</v>
      </c>
      <c r="G773" s="73">
        <f>Table25[[#This Row],[Bought]]*Table25[[#This Row],[Price]]</f>
        <v>0</v>
      </c>
      <c r="H773">
        <f>SUMIF(Table25[[#All],[Assets]],Table25[[#This Row],[Assets]],Table25[[#All],[Bought]])</f>
        <v>24</v>
      </c>
      <c r="I773">
        <f>SUMIF(Table25[[#All],[Assets]],Table25[[#This Row],[Assets]],Table25[[#All],[Bought Amount]])</f>
        <v>2071.3599999999997</v>
      </c>
      <c r="J773" s="88">
        <f>IF(Table25[[#This Row],[Number of stocks]]&lt;0,Table25[[#This Row],[Number of stocks]],0)</f>
        <v>-17</v>
      </c>
      <c r="K773" s="5">
        <f>Table25[[#This Row],[Sold]]*Table25[[#This Row],[Price]]</f>
        <v>-1801.83</v>
      </c>
      <c r="L773" s="8">
        <f>ABS(SUMIF(Table25[[#All],[Assets]],Table25[[#This Row],[Assets]],Table25[[#All],[Sold]]))</f>
        <v>24</v>
      </c>
      <c r="M773" s="5">
        <f>ABS(SUMIF(Table25[[#All],[Assets]],Table25[[#This Row],[Assets]],Table25[[#All],[Sold Amount]]))</f>
        <v>2694.0499999999997</v>
      </c>
      <c r="N773" s="5">
        <f>IFERROR(Table25[[#This Row],[Total sold amount]]/Table25[[#This Row],[Total Sold number of stocks]],"")</f>
        <v>112.25208333333332</v>
      </c>
      <c r="O773" s="4">
        <f>IFERROR(Table25[[#This Row],[Total Amount bought]]/Table25[[#This Row],[Total number bought]],"")</f>
        <v>86.306666666666658</v>
      </c>
      <c r="P773" s="4">
        <f>IFERROR((Table25[[#This Row],[Average sell price]]-Table25[[#This Row],[Average buy price]])*Table25[[#This Row],[Total Sold number of stocks]],0)</f>
        <v>622.68999999999983</v>
      </c>
      <c r="Q773" s="85">
        <f>SUMIF(Table25[[#All],[Assets]],Table25[[#This Row],[Assets]],Table25[[#All],[Number of stocks]])</f>
        <v>0</v>
      </c>
    </row>
    <row r="774" spans="1:17">
      <c r="A774" t="e" vm="524">
        <v>#VALUE!</v>
      </c>
      <c r="B774" s="2">
        <v>45684</v>
      </c>
      <c r="C774" t="str" cm="1">
        <f t="array" aca="1" ref="C774" ca="1">_FV(A774,"Ticker symbol",TRUE)</f>
        <v>WVE</v>
      </c>
      <c r="D774" s="4">
        <v>12.4</v>
      </c>
      <c r="E774" s="50">
        <v>-40</v>
      </c>
      <c r="F774" s="81">
        <f>IF(Table25[[#This Row],[Number of stocks]]&gt;0,Table25[[#This Row],[Number of stocks]],0)</f>
        <v>0</v>
      </c>
      <c r="G774" s="73">
        <f>Table25[[#This Row],[Bought]]*Table25[[#This Row],[Price]]</f>
        <v>0</v>
      </c>
      <c r="H774">
        <f>SUMIF(Table25[[#All],[Assets]],Table25[[#This Row],[Assets]],Table25[[#All],[Bought]])</f>
        <v>40</v>
      </c>
      <c r="I774">
        <f>SUMIF(Table25[[#All],[Assets]],Table25[[#This Row],[Assets]],Table25[[#All],[Bought Amount]])</f>
        <v>440</v>
      </c>
      <c r="J774" s="88">
        <f>IF(Table25[[#This Row],[Number of stocks]]&lt;0,Table25[[#This Row],[Number of stocks]],0)</f>
        <v>-40</v>
      </c>
      <c r="K774" s="5">
        <f>Table25[[#This Row],[Sold]]*Table25[[#This Row],[Price]]</f>
        <v>-496</v>
      </c>
      <c r="L774" s="8">
        <f>ABS(SUMIF(Table25[[#All],[Assets]],Table25[[#This Row],[Assets]],Table25[[#All],[Sold]]))</f>
        <v>40</v>
      </c>
      <c r="M774" s="5">
        <f>ABS(SUMIF(Table25[[#All],[Assets]],Table25[[#This Row],[Assets]],Table25[[#All],[Sold Amount]]))</f>
        <v>496</v>
      </c>
      <c r="N774" s="5">
        <f>IFERROR(Table25[[#This Row],[Total sold amount]]/Table25[[#This Row],[Total Sold number of stocks]],"")</f>
        <v>12.4</v>
      </c>
      <c r="O774" s="4">
        <f>IFERROR(Table25[[#This Row],[Total Amount bought]]/Table25[[#This Row],[Total number bought]],"")</f>
        <v>11</v>
      </c>
      <c r="P774" s="4">
        <f>IFERROR((Table25[[#This Row],[Average sell price]]-Table25[[#This Row],[Average buy price]])*Table25[[#This Row],[Total Sold number of stocks]],0)</f>
        <v>56.000000000000014</v>
      </c>
      <c r="Q774" s="85">
        <f>SUMIF(Table25[[#All],[Assets]],Table25[[#This Row],[Assets]],Table25[[#All],[Number of stocks]])</f>
        <v>0</v>
      </c>
    </row>
    <row r="775" spans="1:17">
      <c r="A775" t="e" vm="233">
        <v>#VALUE!</v>
      </c>
      <c r="B775" s="2">
        <v>45684</v>
      </c>
      <c r="C775" t="str" cm="1">
        <f t="array" aca="1" ref="C775" ca="1">_FV(A775,"Ticker symbol",TRUE)</f>
        <v>NTGR</v>
      </c>
      <c r="D775" s="4">
        <v>26.05</v>
      </c>
      <c r="E775" s="50">
        <v>-10</v>
      </c>
      <c r="F775" s="81">
        <f>IF(Table25[[#This Row],[Number of stocks]]&gt;0,Table25[[#This Row],[Number of stocks]],0)</f>
        <v>0</v>
      </c>
      <c r="G775" s="73">
        <f>Table25[[#This Row],[Bought]]*Table25[[#This Row],[Price]]</f>
        <v>0</v>
      </c>
      <c r="H775">
        <f>SUMIF(Table25[[#All],[Assets]],Table25[[#This Row],[Assets]],Table25[[#All],[Bought]])</f>
        <v>57</v>
      </c>
      <c r="I775">
        <f>SUMIF(Table25[[#All],[Assets]],Table25[[#This Row],[Assets]],Table25[[#All],[Bought Amount]])</f>
        <v>1211.07</v>
      </c>
      <c r="J775" s="88">
        <f>IF(Table25[[#This Row],[Number of stocks]]&lt;0,Table25[[#This Row],[Number of stocks]],0)</f>
        <v>-10</v>
      </c>
      <c r="K775" s="5">
        <f>Table25[[#This Row],[Sold]]*Table25[[#This Row],[Price]]</f>
        <v>-260.5</v>
      </c>
      <c r="L775" s="8">
        <f>ABS(SUMIF(Table25[[#All],[Assets]],Table25[[#This Row],[Assets]],Table25[[#All],[Sold]]))</f>
        <v>57</v>
      </c>
      <c r="M775" s="5">
        <f>ABS(SUMIF(Table25[[#All],[Assets]],Table25[[#This Row],[Assets]],Table25[[#All],[Sold Amount]]))</f>
        <v>1382.52</v>
      </c>
      <c r="N775" s="5">
        <f>IFERROR(Table25[[#This Row],[Total sold amount]]/Table25[[#This Row],[Total Sold number of stocks]],"")</f>
        <v>24.254736842105263</v>
      </c>
      <c r="O775" s="4">
        <f>IFERROR(Table25[[#This Row],[Total Amount bought]]/Table25[[#This Row],[Total number bought]],"")</f>
        <v>21.246842105263156</v>
      </c>
      <c r="P775" s="4">
        <f>IFERROR((Table25[[#This Row],[Average sell price]]-Table25[[#This Row],[Average buy price]])*Table25[[#This Row],[Total Sold number of stocks]],0)</f>
        <v>171.45000000000013</v>
      </c>
      <c r="Q775" s="85">
        <f>SUMIF(Table25[[#All],[Assets]],Table25[[#This Row],[Assets]],Table25[[#All],[Number of stocks]])</f>
        <v>0</v>
      </c>
    </row>
    <row r="776" spans="1:17">
      <c r="A776" t="e" vm="123">
        <v>#VALUE!</v>
      </c>
      <c r="B776" s="2">
        <v>45684</v>
      </c>
      <c r="C776" t="str" cm="1">
        <f t="array" aca="1" ref="C776" ca="1">_FV(A776,"Ticker symbol",TRUE)</f>
        <v>GLW</v>
      </c>
      <c r="D776" s="4">
        <v>49.22</v>
      </c>
      <c r="E776" s="50">
        <v>-10</v>
      </c>
      <c r="F776" s="81">
        <f>IF(Table25[[#This Row],[Number of stocks]]&gt;0,Table25[[#This Row],[Number of stocks]],0)</f>
        <v>0</v>
      </c>
      <c r="G776" s="73">
        <f>Table25[[#This Row],[Bought]]*Table25[[#This Row],[Price]]</f>
        <v>0</v>
      </c>
      <c r="H776">
        <f>SUMIF(Table25[[#All],[Assets]],Table25[[#This Row],[Assets]],Table25[[#All],[Bought]])</f>
        <v>20</v>
      </c>
      <c r="I776">
        <f>SUMIF(Table25[[#All],[Assets]],Table25[[#This Row],[Assets]],Table25[[#All],[Bought Amount]])</f>
        <v>835.3</v>
      </c>
      <c r="J776" s="88">
        <f>IF(Table25[[#This Row],[Number of stocks]]&lt;0,Table25[[#This Row],[Number of stocks]],0)</f>
        <v>-10</v>
      </c>
      <c r="K776" s="5">
        <f>Table25[[#This Row],[Sold]]*Table25[[#This Row],[Price]]</f>
        <v>-492.2</v>
      </c>
      <c r="L776" s="8">
        <f>ABS(SUMIF(Table25[[#All],[Assets]],Table25[[#This Row],[Assets]],Table25[[#All],[Sold]]))</f>
        <v>20</v>
      </c>
      <c r="M776" s="5">
        <f>ABS(SUMIF(Table25[[#All],[Assets]],Table25[[#This Row],[Assets]],Table25[[#All],[Sold Amount]]))</f>
        <v>945.09999999999991</v>
      </c>
      <c r="N776" s="5">
        <f>IFERROR(Table25[[#This Row],[Total sold amount]]/Table25[[#This Row],[Total Sold number of stocks]],"")</f>
        <v>47.254999999999995</v>
      </c>
      <c r="O776" s="4">
        <f>IFERROR(Table25[[#This Row],[Total Amount bought]]/Table25[[#This Row],[Total number bought]],"")</f>
        <v>41.765000000000001</v>
      </c>
      <c r="P776" s="4">
        <f>IFERROR((Table25[[#This Row],[Average sell price]]-Table25[[#This Row],[Average buy price]])*Table25[[#This Row],[Total Sold number of stocks]],0)</f>
        <v>109.7999999999999</v>
      </c>
      <c r="Q776" s="85">
        <f>SUMIF(Table25[[#All],[Assets]],Table25[[#This Row],[Assets]],Table25[[#All],[Number of stocks]])</f>
        <v>0</v>
      </c>
    </row>
    <row r="777" spans="1:17">
      <c r="A777" t="e" vm="99">
        <v>#VALUE!</v>
      </c>
      <c r="B777" s="2">
        <v>45684</v>
      </c>
      <c r="C777" t="str" cm="1">
        <f t="array" aca="1" ref="C777" ca="1">_FV(A777,"Ticker symbol",TRUE)</f>
        <v>CSCO</v>
      </c>
      <c r="D777" s="4">
        <v>59.05</v>
      </c>
      <c r="E777" s="50">
        <v>-5</v>
      </c>
      <c r="F777" s="81">
        <f>IF(Table25[[#This Row],[Number of stocks]]&gt;0,Table25[[#This Row],[Number of stocks]],0)</f>
        <v>0</v>
      </c>
      <c r="G777" s="73">
        <f>Table25[[#This Row],[Bought]]*Table25[[#This Row],[Price]]</f>
        <v>0</v>
      </c>
      <c r="H777">
        <f>SUMIF(Table25[[#All],[Assets]],Table25[[#This Row],[Assets]],Table25[[#All],[Bought]])</f>
        <v>23</v>
      </c>
      <c r="I777">
        <f>SUMIF(Table25[[#All],[Assets]],Table25[[#This Row],[Assets]],Table25[[#All],[Bought Amount]])</f>
        <v>1173.48</v>
      </c>
      <c r="J777" s="88">
        <f>IF(Table25[[#This Row],[Number of stocks]]&lt;0,Table25[[#This Row],[Number of stocks]],0)</f>
        <v>-5</v>
      </c>
      <c r="K777" s="5">
        <f>Table25[[#This Row],[Sold]]*Table25[[#This Row],[Price]]</f>
        <v>-295.25</v>
      </c>
      <c r="L777" s="8">
        <f>ABS(SUMIF(Table25[[#All],[Assets]],Table25[[#This Row],[Assets]],Table25[[#All],[Sold]]))</f>
        <v>23</v>
      </c>
      <c r="M777" s="5">
        <f>ABS(SUMIF(Table25[[#All],[Assets]],Table25[[#This Row],[Assets]],Table25[[#All],[Sold Amount]]))</f>
        <v>1405.67</v>
      </c>
      <c r="N777" s="5">
        <f>IFERROR(Table25[[#This Row],[Total sold amount]]/Table25[[#This Row],[Total Sold number of stocks]],"")</f>
        <v>61.116086956521741</v>
      </c>
      <c r="O777" s="4">
        <f>IFERROR(Table25[[#This Row],[Total Amount bought]]/Table25[[#This Row],[Total number bought]],"")</f>
        <v>51.020869565217389</v>
      </c>
      <c r="P777" s="4">
        <f>IFERROR((Table25[[#This Row],[Average sell price]]-Table25[[#This Row],[Average buy price]])*Table25[[#This Row],[Total Sold number of stocks]],0)</f>
        <v>232.19000000000011</v>
      </c>
      <c r="Q777" s="85">
        <f>SUMIF(Table25[[#All],[Assets]],Table25[[#This Row],[Assets]],Table25[[#All],[Number of stocks]])</f>
        <v>0</v>
      </c>
    </row>
    <row r="778" spans="1:17">
      <c r="A778" t="e" vm="519">
        <v>#VALUE!</v>
      </c>
      <c r="B778" s="2">
        <v>45684</v>
      </c>
      <c r="C778" t="str" cm="1">
        <f t="array" aca="1" ref="C778" ca="1">_FV(A778,"Ticker symbol",TRUE)</f>
        <v>LWLG</v>
      </c>
      <c r="D778" s="4">
        <v>1.87</v>
      </c>
      <c r="E778" s="50">
        <v>-60</v>
      </c>
      <c r="F778" s="81">
        <f>IF(Table25[[#This Row],[Number of stocks]]&gt;0,Table25[[#This Row],[Number of stocks]],0)</f>
        <v>0</v>
      </c>
      <c r="G778" s="73">
        <f>Table25[[#This Row],[Bought]]*Table25[[#This Row],[Price]]</f>
        <v>0</v>
      </c>
      <c r="H778">
        <f>SUMIF(Table25[[#All],[Assets]],Table25[[#This Row],[Assets]],Table25[[#All],[Bought]])</f>
        <v>120</v>
      </c>
      <c r="I778">
        <f>SUMIF(Table25[[#All],[Assets]],Table25[[#This Row],[Assets]],Table25[[#All],[Bought Amount]])</f>
        <v>500.4</v>
      </c>
      <c r="J778" s="88">
        <f>IF(Table25[[#This Row],[Number of stocks]]&lt;0,Table25[[#This Row],[Number of stocks]],0)</f>
        <v>-60</v>
      </c>
      <c r="K778" s="5">
        <f>Table25[[#This Row],[Sold]]*Table25[[#This Row],[Price]]</f>
        <v>-112.2</v>
      </c>
      <c r="L778" s="8">
        <f>ABS(SUMIF(Table25[[#All],[Assets]],Table25[[#This Row],[Assets]],Table25[[#All],[Sold]]))</f>
        <v>120</v>
      </c>
      <c r="M778" s="5">
        <f>ABS(SUMIF(Table25[[#All],[Assets]],Table25[[#This Row],[Assets]],Table25[[#All],[Sold Amount]]))</f>
        <v>181.2</v>
      </c>
      <c r="N778" s="5">
        <f>IFERROR(Table25[[#This Row],[Total sold amount]]/Table25[[#This Row],[Total Sold number of stocks]],"")</f>
        <v>1.51</v>
      </c>
      <c r="O778" s="4">
        <f>IFERROR(Table25[[#This Row],[Total Amount bought]]/Table25[[#This Row],[Total number bought]],"")</f>
        <v>4.17</v>
      </c>
      <c r="P778" s="4">
        <f>IFERROR((Table25[[#This Row],[Average sell price]]-Table25[[#This Row],[Average buy price]])*Table25[[#This Row],[Total Sold number of stocks]],0)</f>
        <v>-319.20000000000005</v>
      </c>
      <c r="Q778" s="85">
        <f>SUMIF(Table25[[#All],[Assets]],Table25[[#This Row],[Assets]],Table25[[#All],[Number of stocks]])</f>
        <v>0</v>
      </c>
    </row>
    <row r="779" spans="1:17">
      <c r="A779" t="e" vm="275">
        <v>#VALUE!</v>
      </c>
      <c r="B779" s="2">
        <v>45684</v>
      </c>
      <c r="C779" t="str" cm="1">
        <f t="array" aca="1" ref="C779" ca="1">_FV(A779,"Ticker symbol",TRUE)</f>
        <v>RBBN</v>
      </c>
      <c r="D779" s="4">
        <v>3.81</v>
      </c>
      <c r="E779" s="50">
        <v>-60</v>
      </c>
      <c r="F779" s="81">
        <f>IF(Table25[[#This Row],[Number of stocks]]&gt;0,Table25[[#This Row],[Number of stocks]],0)</f>
        <v>0</v>
      </c>
      <c r="G779" s="73">
        <f>Table25[[#This Row],[Bought]]*Table25[[#This Row],[Price]]</f>
        <v>0</v>
      </c>
      <c r="H779">
        <f>SUMIF(Table25[[#All],[Assets]],Table25[[#This Row],[Assets]],Table25[[#All],[Bought]])</f>
        <v>120</v>
      </c>
      <c r="I779">
        <f>SUMIF(Table25[[#All],[Assets]],Table25[[#This Row],[Assets]],Table25[[#All],[Bought Amount]])</f>
        <v>379.20000000000005</v>
      </c>
      <c r="J779" s="88">
        <f>IF(Table25[[#This Row],[Number of stocks]]&lt;0,Table25[[#This Row],[Number of stocks]],0)</f>
        <v>-60</v>
      </c>
      <c r="K779" s="5">
        <f>Table25[[#This Row],[Sold]]*Table25[[#This Row],[Price]]</f>
        <v>-228.6</v>
      </c>
      <c r="L779" s="8">
        <f>ABS(SUMIF(Table25[[#All],[Assets]],Table25[[#This Row],[Assets]],Table25[[#All],[Sold]]))</f>
        <v>120</v>
      </c>
      <c r="M779" s="5">
        <f>ABS(SUMIF(Table25[[#All],[Assets]],Table25[[#This Row],[Assets]],Table25[[#All],[Sold Amount]]))</f>
        <v>459.6</v>
      </c>
      <c r="N779" s="5">
        <f>IFERROR(Table25[[#This Row],[Total sold amount]]/Table25[[#This Row],[Total Sold number of stocks]],"")</f>
        <v>3.83</v>
      </c>
      <c r="O779" s="4">
        <f>IFERROR(Table25[[#This Row],[Total Amount bought]]/Table25[[#This Row],[Total number bought]],"")</f>
        <v>3.1600000000000006</v>
      </c>
      <c r="P779" s="4">
        <f>IFERROR((Table25[[#This Row],[Average sell price]]-Table25[[#This Row],[Average buy price]])*Table25[[#This Row],[Total Sold number of stocks]],0)</f>
        <v>80.399999999999935</v>
      </c>
      <c r="Q779" s="85">
        <f>SUMIF(Table25[[#All],[Assets]],Table25[[#This Row],[Assets]],Table25[[#All],[Number of stocks]])</f>
        <v>0</v>
      </c>
    </row>
    <row r="780" spans="1:17">
      <c r="A780" t="e" vm="277">
        <v>#VALUE!</v>
      </c>
      <c r="B780" s="2">
        <v>45684</v>
      </c>
      <c r="C780" t="str" cm="1">
        <f t="array" aca="1" ref="C780" ca="1">_FV(A780,"Ticker symbol",TRUE)</f>
        <v>VIAV</v>
      </c>
      <c r="D780" s="4">
        <v>9.84</v>
      </c>
      <c r="E780" s="50">
        <v>-25</v>
      </c>
      <c r="F780" s="81">
        <f>IF(Table25[[#This Row],[Number of stocks]]&gt;0,Table25[[#This Row],[Number of stocks]],0)</f>
        <v>0</v>
      </c>
      <c r="G780" s="73">
        <f>Table25[[#This Row],[Bought]]*Table25[[#This Row],[Price]]</f>
        <v>0</v>
      </c>
      <c r="H780">
        <f>SUMIF(Table25[[#All],[Assets]],Table25[[#This Row],[Assets]],Table25[[#All],[Bought]])</f>
        <v>50</v>
      </c>
      <c r="I780">
        <f>SUMIF(Table25[[#All],[Assets]],Table25[[#This Row],[Assets]],Table25[[#All],[Bought Amount]])</f>
        <v>423.50000000000006</v>
      </c>
      <c r="J780" s="88">
        <f>IF(Table25[[#This Row],[Number of stocks]]&lt;0,Table25[[#This Row],[Number of stocks]],0)</f>
        <v>-25</v>
      </c>
      <c r="K780" s="5">
        <f>Table25[[#This Row],[Sold]]*Table25[[#This Row],[Price]]</f>
        <v>-246</v>
      </c>
      <c r="L780" s="8">
        <f>ABS(SUMIF(Table25[[#All],[Assets]],Table25[[#This Row],[Assets]],Table25[[#All],[Sold]]))</f>
        <v>50</v>
      </c>
      <c r="M780" s="5">
        <f>ABS(SUMIF(Table25[[#All],[Assets]],Table25[[#This Row],[Assets]],Table25[[#All],[Sold Amount]]))</f>
        <v>512.75</v>
      </c>
      <c r="N780" s="5">
        <f>IFERROR(Table25[[#This Row],[Total sold amount]]/Table25[[#This Row],[Total Sold number of stocks]],"")</f>
        <v>10.255000000000001</v>
      </c>
      <c r="O780" s="4">
        <f>IFERROR(Table25[[#This Row],[Total Amount bought]]/Table25[[#This Row],[Total number bought]],"")</f>
        <v>8.4700000000000006</v>
      </c>
      <c r="P780" s="4">
        <f>IFERROR((Table25[[#This Row],[Average sell price]]-Table25[[#This Row],[Average buy price]])*Table25[[#This Row],[Total Sold number of stocks]],0)</f>
        <v>89.25</v>
      </c>
      <c r="Q780" s="85">
        <f>SUMIF(Table25[[#All],[Assets]],Table25[[#This Row],[Assets]],Table25[[#All],[Number of stocks]])</f>
        <v>0</v>
      </c>
    </row>
    <row r="781" spans="1:17">
      <c r="A781" t="e" vm="281">
        <v>#VALUE!</v>
      </c>
      <c r="B781" s="2">
        <v>45684</v>
      </c>
      <c r="C781" t="str" cm="1">
        <f t="array" aca="1" ref="C781" ca="1">_FV(A781,"Ticker symbol",TRUE)</f>
        <v>ERIC</v>
      </c>
      <c r="D781" s="4">
        <v>7.85</v>
      </c>
      <c r="E781" s="50">
        <v>-30</v>
      </c>
      <c r="F781" s="81">
        <f>IF(Table25[[#This Row],[Number of stocks]]&gt;0,Table25[[#This Row],[Number of stocks]],0)</f>
        <v>0</v>
      </c>
      <c r="G781" s="73">
        <f>Table25[[#This Row],[Bought]]*Table25[[#This Row],[Price]]</f>
        <v>0</v>
      </c>
      <c r="H781">
        <f>SUMIF(Table25[[#All],[Assets]],Table25[[#This Row],[Assets]],Table25[[#All],[Bought]])</f>
        <v>60</v>
      </c>
      <c r="I781">
        <f>SUMIF(Table25[[#All],[Assets]],Table25[[#This Row],[Assets]],Table25[[#All],[Bought Amount]])</f>
        <v>444.6</v>
      </c>
      <c r="J781" s="88">
        <f>IF(Table25[[#This Row],[Number of stocks]]&lt;0,Table25[[#This Row],[Number of stocks]],0)</f>
        <v>-30</v>
      </c>
      <c r="K781" s="5">
        <f>Table25[[#This Row],[Sold]]*Table25[[#This Row],[Price]]</f>
        <v>-235.5</v>
      </c>
      <c r="L781" s="8">
        <f>ABS(SUMIF(Table25[[#All],[Assets]],Table25[[#This Row],[Assets]],Table25[[#All],[Sold]]))</f>
        <v>60</v>
      </c>
      <c r="M781" s="5">
        <f>ABS(SUMIF(Table25[[#All],[Assets]],Table25[[#This Row],[Assets]],Table25[[#All],[Sold Amount]]))</f>
        <v>492.3</v>
      </c>
      <c r="N781" s="5">
        <f>IFERROR(Table25[[#This Row],[Total sold amount]]/Table25[[#This Row],[Total Sold number of stocks]],"")</f>
        <v>8.2050000000000001</v>
      </c>
      <c r="O781" s="4">
        <f>IFERROR(Table25[[#This Row],[Total Amount bought]]/Table25[[#This Row],[Total number bought]],"")</f>
        <v>7.41</v>
      </c>
      <c r="P781" s="4">
        <f>IFERROR((Table25[[#This Row],[Average sell price]]-Table25[[#This Row],[Average buy price]])*Table25[[#This Row],[Total Sold number of stocks]],0)</f>
        <v>47.699999999999996</v>
      </c>
      <c r="Q781" s="85">
        <f>SUMIF(Table25[[#All],[Assets]],Table25[[#This Row],[Assets]],Table25[[#All],[Number of stocks]])</f>
        <v>0</v>
      </c>
    </row>
    <row r="782" spans="1:17">
      <c r="A782" t="e" vm="130">
        <v>#VALUE!</v>
      </c>
      <c r="B782" s="2">
        <v>45684</v>
      </c>
      <c r="C782" t="str" cm="1">
        <f t="array" aca="1" ref="C782" ca="1">_FV(A782,"Ticker symbol",TRUE)</f>
        <v>COHR</v>
      </c>
      <c r="D782" s="4">
        <v>79.02</v>
      </c>
      <c r="E782" s="50">
        <v>-2</v>
      </c>
      <c r="F782" s="81">
        <f>IF(Table25[[#This Row],[Number of stocks]]&gt;0,Table25[[#This Row],[Number of stocks]],0)</f>
        <v>0</v>
      </c>
      <c r="G782" s="73">
        <f>Table25[[#This Row],[Bought]]*Table25[[#This Row],[Price]]</f>
        <v>0</v>
      </c>
      <c r="H782">
        <f>SUMIF(Table25[[#All],[Assets]],Table25[[#This Row],[Assets]],Table25[[#All],[Bought]])</f>
        <v>5</v>
      </c>
      <c r="I782">
        <f>SUMIF(Table25[[#All],[Assets]],Table25[[#This Row],[Assets]],Table25[[#All],[Bought Amount]])</f>
        <v>381.75</v>
      </c>
      <c r="J782" s="88">
        <f>IF(Table25[[#This Row],[Number of stocks]]&lt;0,Table25[[#This Row],[Number of stocks]],0)</f>
        <v>-2</v>
      </c>
      <c r="K782" s="5">
        <f>Table25[[#This Row],[Sold]]*Table25[[#This Row],[Price]]</f>
        <v>-158.04</v>
      </c>
      <c r="L782" s="8">
        <f>ABS(SUMIF(Table25[[#All],[Assets]],Table25[[#This Row],[Assets]],Table25[[#All],[Sold]]))</f>
        <v>5</v>
      </c>
      <c r="M782" s="5">
        <f>ABS(SUMIF(Table25[[#All],[Assets]],Table25[[#This Row],[Assets]],Table25[[#All],[Sold Amount]]))</f>
        <v>396.57000000000005</v>
      </c>
      <c r="N782" s="5">
        <f>IFERROR(Table25[[#This Row],[Total sold amount]]/Table25[[#This Row],[Total Sold number of stocks]],"")</f>
        <v>79.314000000000007</v>
      </c>
      <c r="O782" s="4">
        <f>IFERROR(Table25[[#This Row],[Total Amount bought]]/Table25[[#This Row],[Total number bought]],"")</f>
        <v>76.349999999999994</v>
      </c>
      <c r="P782" s="4">
        <f>IFERROR((Table25[[#This Row],[Average sell price]]-Table25[[#This Row],[Average buy price]])*Table25[[#This Row],[Total Sold number of stocks]],0)</f>
        <v>14.820000000000064</v>
      </c>
      <c r="Q782" s="85">
        <f>SUMIF(Table25[[#All],[Assets]],Table25[[#This Row],[Assets]],Table25[[#All],[Number of stocks]])</f>
        <v>0</v>
      </c>
    </row>
    <row r="783" spans="1:17">
      <c r="A783" t="e" vm="283">
        <v>#VALUE!</v>
      </c>
      <c r="B783" s="2">
        <v>45684</v>
      </c>
      <c r="C783" t="str" cm="1">
        <f t="array" aca="1" ref="C783" ca="1">_FV(A783,"Ticker symbol",TRUE)</f>
        <v>APH</v>
      </c>
      <c r="D783" s="4">
        <v>67.989999999999995</v>
      </c>
      <c r="E783" s="50">
        <v>-1</v>
      </c>
      <c r="F783" s="81">
        <f>IF(Table25[[#This Row],[Number of stocks]]&gt;0,Table25[[#This Row],[Number of stocks]],0)</f>
        <v>0</v>
      </c>
      <c r="G783" s="73">
        <f>Table25[[#This Row],[Bought]]*Table25[[#This Row],[Price]]</f>
        <v>0</v>
      </c>
      <c r="H783">
        <f>SUMIF(Table25[[#All],[Assets]],Table25[[#This Row],[Assets]],Table25[[#All],[Bought]])</f>
        <v>3</v>
      </c>
      <c r="I783">
        <f>SUMIF(Table25[[#All],[Assets]],Table25[[#This Row],[Assets]],Table25[[#All],[Bought Amount]])</f>
        <v>188.82</v>
      </c>
      <c r="J783" s="88">
        <f>IF(Table25[[#This Row],[Number of stocks]]&lt;0,Table25[[#This Row],[Number of stocks]],0)</f>
        <v>-1</v>
      </c>
      <c r="K783" s="5">
        <f>Table25[[#This Row],[Sold]]*Table25[[#This Row],[Price]]</f>
        <v>-67.989999999999995</v>
      </c>
      <c r="L783" s="8">
        <f>ABS(SUMIF(Table25[[#All],[Assets]],Table25[[#This Row],[Assets]],Table25[[#All],[Sold]]))</f>
        <v>3</v>
      </c>
      <c r="M783" s="5">
        <f>ABS(SUMIF(Table25[[#All],[Assets]],Table25[[#This Row],[Assets]],Table25[[#All],[Sold Amount]]))</f>
        <v>191.37</v>
      </c>
      <c r="N783" s="5">
        <f>IFERROR(Table25[[#This Row],[Total sold amount]]/Table25[[#This Row],[Total Sold number of stocks]],"")</f>
        <v>63.79</v>
      </c>
      <c r="O783" s="4">
        <f>IFERROR(Table25[[#This Row],[Total Amount bought]]/Table25[[#This Row],[Total number bought]],"")</f>
        <v>62.94</v>
      </c>
      <c r="P783" s="4">
        <f>IFERROR((Table25[[#This Row],[Average sell price]]-Table25[[#This Row],[Average buy price]])*Table25[[#This Row],[Total Sold number of stocks]],0)</f>
        <v>2.5500000000000043</v>
      </c>
      <c r="Q783" s="85">
        <f>SUMIF(Table25[[#All],[Assets]],Table25[[#This Row],[Assets]],Table25[[#All],[Number of stocks]])</f>
        <v>0</v>
      </c>
    </row>
    <row r="784" spans="1:17">
      <c r="A784" t="e" vm="322">
        <v>#VALUE!</v>
      </c>
      <c r="B784" s="2">
        <v>45684</v>
      </c>
      <c r="C784" t="str" cm="1">
        <f t="array" aca="1" ref="C784" ca="1">_FV(A784,"Ticker symbol",TRUE)</f>
        <v>CLFD</v>
      </c>
      <c r="D784" s="4">
        <v>37.92</v>
      </c>
      <c r="E784" s="50">
        <v>-5</v>
      </c>
      <c r="F784" s="81">
        <f>IF(Table25[[#This Row],[Number of stocks]]&gt;0,Table25[[#This Row],[Number of stocks]],0)</f>
        <v>0</v>
      </c>
      <c r="G784" s="73">
        <f>Table25[[#This Row],[Bought]]*Table25[[#This Row],[Price]]</f>
        <v>0</v>
      </c>
      <c r="H784">
        <f>SUMIF(Table25[[#All],[Assets]],Table25[[#This Row],[Assets]],Table25[[#All],[Bought]])</f>
        <v>5</v>
      </c>
      <c r="I784">
        <f>SUMIF(Table25[[#All],[Assets]],Table25[[#This Row],[Assets]],Table25[[#All],[Bought Amount]])</f>
        <v>182.60000000000002</v>
      </c>
      <c r="J784" s="88">
        <f>IF(Table25[[#This Row],[Number of stocks]]&lt;0,Table25[[#This Row],[Number of stocks]],0)</f>
        <v>-5</v>
      </c>
      <c r="K784" s="5">
        <f>Table25[[#This Row],[Sold]]*Table25[[#This Row],[Price]]</f>
        <v>-189.60000000000002</v>
      </c>
      <c r="L784" s="8">
        <f>ABS(SUMIF(Table25[[#All],[Assets]],Table25[[#This Row],[Assets]],Table25[[#All],[Sold]]))</f>
        <v>5</v>
      </c>
      <c r="M784" s="5">
        <f>ABS(SUMIF(Table25[[#All],[Assets]],Table25[[#This Row],[Assets]],Table25[[#All],[Sold Amount]]))</f>
        <v>189.60000000000002</v>
      </c>
      <c r="N784" s="5">
        <f>IFERROR(Table25[[#This Row],[Total sold amount]]/Table25[[#This Row],[Total Sold number of stocks]],"")</f>
        <v>37.92</v>
      </c>
      <c r="O784" s="4">
        <f>IFERROR(Table25[[#This Row],[Total Amount bought]]/Table25[[#This Row],[Total number bought]],"")</f>
        <v>36.520000000000003</v>
      </c>
      <c r="P784" s="4">
        <f>IFERROR((Table25[[#This Row],[Average sell price]]-Table25[[#This Row],[Average buy price]])*Table25[[#This Row],[Total Sold number of stocks]],0)</f>
        <v>6.9999999999999929</v>
      </c>
      <c r="Q784" s="85">
        <f>SUMIF(Table25[[#All],[Assets]],Table25[[#This Row],[Assets]],Table25[[#All],[Number of stocks]])</f>
        <v>0</v>
      </c>
    </row>
    <row r="785" spans="1:17">
      <c r="A785" t="e" vm="274">
        <v>#VALUE!</v>
      </c>
      <c r="B785" s="2">
        <v>45684</v>
      </c>
      <c r="C785" t="str" cm="1">
        <f t="array" aca="1" ref="C785" ca="1">_FV(A785,"Ticker symbol",TRUE)</f>
        <v>AVTR</v>
      </c>
      <c r="D785" s="4">
        <v>22.33</v>
      </c>
      <c r="E785" s="50">
        <v>-50</v>
      </c>
      <c r="F785" s="81">
        <f>IF(Table25[[#This Row],[Number of stocks]]&gt;0,Table25[[#This Row],[Number of stocks]],0)</f>
        <v>0</v>
      </c>
      <c r="G785" s="73">
        <f>Table25[[#This Row],[Bought]]*Table25[[#This Row],[Price]]</f>
        <v>0</v>
      </c>
      <c r="H785">
        <f>SUMIF(Table25[[#All],[Assets]],Table25[[#This Row],[Assets]],Table25[[#All],[Bought]])</f>
        <v>140</v>
      </c>
      <c r="I785">
        <f>SUMIF(Table25[[#All],[Assets]],Table25[[#This Row],[Assets]],Table25[[#All],[Bought Amount]])</f>
        <v>2026.3</v>
      </c>
      <c r="J785" s="88">
        <f>IF(Table25[[#This Row],[Number of stocks]]&lt;0,Table25[[#This Row],[Number of stocks]],0)</f>
        <v>-50</v>
      </c>
      <c r="K785" s="5">
        <f>Table25[[#This Row],[Sold]]*Table25[[#This Row],[Price]]</f>
        <v>-1116.5</v>
      </c>
      <c r="L785" s="8">
        <f>ABS(SUMIF(Table25[[#All],[Assets]],Table25[[#This Row],[Assets]],Table25[[#All],[Sold]]))</f>
        <v>140</v>
      </c>
      <c r="M785" s="5">
        <f>ABS(SUMIF(Table25[[#All],[Assets]],Table25[[#This Row],[Assets]],Table25[[#All],[Sold Amount]]))</f>
        <v>2139.8000000000002</v>
      </c>
      <c r="N785" s="5">
        <f>IFERROR(Table25[[#This Row],[Total sold amount]]/Table25[[#This Row],[Total Sold number of stocks]],"")</f>
        <v>15.284285714285716</v>
      </c>
      <c r="O785" s="4">
        <f>IFERROR(Table25[[#This Row],[Total Amount bought]]/Table25[[#This Row],[Total number bought]],"")</f>
        <v>14.473571428571429</v>
      </c>
      <c r="P785" s="4">
        <f>IFERROR((Table25[[#This Row],[Average sell price]]-Table25[[#This Row],[Average buy price]])*Table25[[#This Row],[Total Sold number of stocks]],0)</f>
        <v>113.50000000000016</v>
      </c>
      <c r="Q785" s="85">
        <f>SUMIF(Table25[[#All],[Assets]],Table25[[#This Row],[Assets]],Table25[[#All],[Number of stocks]])</f>
        <v>0</v>
      </c>
    </row>
    <row r="786" spans="1:17">
      <c r="A786" t="e" vm="236">
        <v>#VALUE!</v>
      </c>
      <c r="B786" s="2">
        <v>45684</v>
      </c>
      <c r="C786" t="str" cm="1">
        <f t="array" aca="1" ref="C786" ca="1">_FV(A786,"Ticker symbol",TRUE)</f>
        <v>ESTC</v>
      </c>
      <c r="D786" s="4">
        <v>106.11</v>
      </c>
      <c r="E786" s="50">
        <v>10</v>
      </c>
      <c r="F786" s="81">
        <f>IF(Table25[[#This Row],[Number of stocks]]&gt;0,Table25[[#This Row],[Number of stocks]],0)</f>
        <v>10</v>
      </c>
      <c r="G786" s="73">
        <f>Table25[[#This Row],[Bought]]*Table25[[#This Row],[Price]]</f>
        <v>1061.0999999999999</v>
      </c>
      <c r="H786">
        <f>SUMIF(Table25[[#All],[Assets]],Table25[[#This Row],[Assets]],Table25[[#All],[Bought]])</f>
        <v>27</v>
      </c>
      <c r="I786">
        <f>SUMIF(Table25[[#All],[Assets]],Table25[[#This Row],[Assets]],Table25[[#All],[Bought Amount]])</f>
        <v>2776.75</v>
      </c>
      <c r="J786" s="88">
        <f>IF(Table25[[#This Row],[Number of stocks]]&lt;0,Table25[[#This Row],[Number of stocks]],0)</f>
        <v>0</v>
      </c>
      <c r="K786" s="5">
        <f>Table25[[#This Row],[Sold]]*Table25[[#This Row],[Price]]</f>
        <v>0</v>
      </c>
      <c r="L786" s="8">
        <f>ABS(SUMIF(Table25[[#All],[Assets]],Table25[[#This Row],[Assets]],Table25[[#All],[Sold]]))</f>
        <v>27</v>
      </c>
      <c r="M786" s="5">
        <f>ABS(SUMIF(Table25[[#All],[Assets]],Table25[[#This Row],[Assets]],Table25[[#All],[Sold Amount]]))</f>
        <v>2320.58</v>
      </c>
      <c r="N786" s="5">
        <f>IFERROR(Table25[[#This Row],[Total sold amount]]/Table25[[#This Row],[Total Sold number of stocks]],"")</f>
        <v>85.947407407407411</v>
      </c>
      <c r="O786" s="4">
        <f>IFERROR(Table25[[#This Row],[Total Amount bought]]/Table25[[#This Row],[Total number bought]],"")</f>
        <v>102.8425925925926</v>
      </c>
      <c r="P786" s="4">
        <f>IFERROR((Table25[[#This Row],[Average sell price]]-Table25[[#This Row],[Average buy price]])*Table25[[#This Row],[Total Sold number of stocks]],0)</f>
        <v>-456.16999999999996</v>
      </c>
      <c r="Q786" s="85">
        <f>SUMIF(Table25[[#All],[Assets]],Table25[[#This Row],[Assets]],Table25[[#All],[Number of stocks]])</f>
        <v>0</v>
      </c>
    </row>
    <row r="787" spans="1:17">
      <c r="A787" t="e" vm="535">
        <v>#VALUE!</v>
      </c>
      <c r="B787" s="2">
        <v>45684</v>
      </c>
      <c r="C787" t="str" cm="1">
        <f t="array" aca="1" ref="C787" ca="1">_FV(A787,"Ticker symbol",TRUE)</f>
        <v>ONTO</v>
      </c>
      <c r="D787" s="4">
        <v>184.33</v>
      </c>
      <c r="E787" s="50">
        <v>6</v>
      </c>
      <c r="F787" s="81">
        <f>IF(Table25[[#This Row],[Number of stocks]]&gt;0,Table25[[#This Row],[Number of stocks]],0)</f>
        <v>6</v>
      </c>
      <c r="G787" s="73">
        <f>Table25[[#This Row],[Bought]]*Table25[[#This Row],[Price]]</f>
        <v>1105.98</v>
      </c>
      <c r="H787">
        <f>SUMIF(Table25[[#All],[Assets]],Table25[[#This Row],[Assets]],Table25[[#All],[Bought]])</f>
        <v>6</v>
      </c>
      <c r="I787">
        <f>SUMIF(Table25[[#All],[Assets]],Table25[[#This Row],[Assets]],Table25[[#All],[Bought Amount]])</f>
        <v>1105.98</v>
      </c>
      <c r="J787" s="88">
        <f>IF(Table25[[#This Row],[Number of stocks]]&lt;0,Table25[[#This Row],[Number of stocks]],0)</f>
        <v>0</v>
      </c>
      <c r="K787" s="5">
        <f>Table25[[#This Row],[Sold]]*Table25[[#This Row],[Price]]</f>
        <v>0</v>
      </c>
      <c r="L787" s="8">
        <f>ABS(SUMIF(Table25[[#All],[Assets]],Table25[[#This Row],[Assets]],Table25[[#All],[Sold]]))</f>
        <v>6</v>
      </c>
      <c r="M787" s="5">
        <f>ABS(SUMIF(Table25[[#All],[Assets]],Table25[[#This Row],[Assets]],Table25[[#All],[Sold Amount]]))</f>
        <v>933.81</v>
      </c>
      <c r="N787" s="5">
        <f>IFERROR(Table25[[#This Row],[Total sold amount]]/Table25[[#This Row],[Total Sold number of stocks]],"")</f>
        <v>155.63499999999999</v>
      </c>
      <c r="O787" s="4">
        <f>IFERROR(Table25[[#This Row],[Total Amount bought]]/Table25[[#This Row],[Total number bought]],"")</f>
        <v>184.33</v>
      </c>
      <c r="P787" s="4">
        <f>IFERROR((Table25[[#This Row],[Average sell price]]-Table25[[#This Row],[Average buy price]])*Table25[[#This Row],[Total Sold number of stocks]],0)</f>
        <v>-172.17000000000013</v>
      </c>
      <c r="Q787" s="85">
        <f>SUMIF(Table25[[#All],[Assets]],Table25[[#This Row],[Assets]],Table25[[#All],[Number of stocks]])</f>
        <v>0</v>
      </c>
    </row>
    <row r="788" spans="1:17">
      <c r="A788" t="e" vm="536">
        <v>#VALUE!</v>
      </c>
      <c r="B788" s="2">
        <v>45684</v>
      </c>
      <c r="C788" t="str" cm="1">
        <f t="array" aca="1" ref="C788" ca="1">_FV(A788,"Ticker symbol",TRUE)</f>
        <v>PATH</v>
      </c>
      <c r="D788" s="4">
        <v>13.86</v>
      </c>
      <c r="E788" s="50">
        <v>50</v>
      </c>
      <c r="F788" s="81">
        <f>IF(Table25[[#This Row],[Number of stocks]]&gt;0,Table25[[#This Row],[Number of stocks]],0)</f>
        <v>50</v>
      </c>
      <c r="G788" s="73">
        <f>Table25[[#This Row],[Bought]]*Table25[[#This Row],[Price]]</f>
        <v>693</v>
      </c>
      <c r="H788">
        <f>SUMIF(Table25[[#All],[Assets]],Table25[[#This Row],[Assets]],Table25[[#All],[Bought]])</f>
        <v>157</v>
      </c>
      <c r="I788">
        <f>SUMIF(Table25[[#All],[Assets]],Table25[[#This Row],[Assets]],Table25[[#All],[Bought Amount]])</f>
        <v>2144.77</v>
      </c>
      <c r="J788" s="88">
        <f>IF(Table25[[#This Row],[Number of stocks]]&lt;0,Table25[[#This Row],[Number of stocks]],0)</f>
        <v>0</v>
      </c>
      <c r="K788" s="5">
        <f>Table25[[#This Row],[Sold]]*Table25[[#This Row],[Price]]</f>
        <v>0</v>
      </c>
      <c r="L788" s="8">
        <f>ABS(SUMIF(Table25[[#All],[Assets]],Table25[[#This Row],[Assets]],Table25[[#All],[Sold]]))</f>
        <v>157</v>
      </c>
      <c r="M788" s="5">
        <f>ABS(SUMIF(Table25[[#All],[Assets]],Table25[[#This Row],[Assets]],Table25[[#All],[Sold Amount]]))</f>
        <v>1989.9099999999999</v>
      </c>
      <c r="N788" s="5">
        <f>IFERROR(Table25[[#This Row],[Total sold amount]]/Table25[[#This Row],[Total Sold number of stocks]],"")</f>
        <v>12.674585987261146</v>
      </c>
      <c r="O788" s="4">
        <f>IFERROR(Table25[[#This Row],[Total Amount bought]]/Table25[[#This Row],[Total number bought]],"")</f>
        <v>13.660955414012738</v>
      </c>
      <c r="P788" s="4">
        <f>IFERROR((Table25[[#This Row],[Average sell price]]-Table25[[#This Row],[Average buy price]])*Table25[[#This Row],[Total Sold number of stocks]],0)</f>
        <v>-154.85999999999996</v>
      </c>
      <c r="Q788" s="85">
        <f>SUMIF(Table25[[#All],[Assets]],Table25[[#This Row],[Assets]],Table25[[#All],[Number of stocks]])</f>
        <v>0</v>
      </c>
    </row>
    <row r="789" spans="1:17">
      <c r="A789" t="e" vm="34">
        <v>#VALUE!</v>
      </c>
      <c r="B789" s="2">
        <v>45684</v>
      </c>
      <c r="C789" t="str" cm="1">
        <f t="array" aca="1" ref="C789" ca="1">_FV(A789,"Ticker symbol",TRUE)</f>
        <v>TSM</v>
      </c>
      <c r="D789" s="4">
        <v>189.37</v>
      </c>
      <c r="E789" s="50">
        <v>8</v>
      </c>
      <c r="F789" s="81">
        <f>IF(Table25[[#This Row],[Number of stocks]]&gt;0,Table25[[#This Row],[Number of stocks]],0)</f>
        <v>8</v>
      </c>
      <c r="G789" s="73">
        <f>Table25[[#This Row],[Bought]]*Table25[[#This Row],[Price]]</f>
        <v>1514.96</v>
      </c>
      <c r="H789">
        <f>SUMIF(Table25[[#All],[Assets]],Table25[[#This Row],[Assets]],Table25[[#All],[Bought]])</f>
        <v>45</v>
      </c>
      <c r="I789">
        <f>SUMIF(Table25[[#All],[Assets]],Table25[[#This Row],[Assets]],Table25[[#All],[Bought Amount]])</f>
        <v>7503.4800000000005</v>
      </c>
      <c r="J789" s="88">
        <f>IF(Table25[[#This Row],[Number of stocks]]&lt;0,Table25[[#This Row],[Number of stocks]],0)</f>
        <v>0</v>
      </c>
      <c r="K789" s="5">
        <f>Table25[[#This Row],[Sold]]*Table25[[#This Row],[Price]]</f>
        <v>0</v>
      </c>
      <c r="L789" s="8">
        <f>ABS(SUMIF(Table25[[#All],[Assets]],Table25[[#This Row],[Assets]],Table25[[#All],[Sold]]))</f>
        <v>44</v>
      </c>
      <c r="M789" s="5">
        <f>ABS(SUMIF(Table25[[#All],[Assets]],Table25[[#This Row],[Assets]],Table25[[#All],[Sold Amount]]))</f>
        <v>7951.28</v>
      </c>
      <c r="N789" s="5">
        <f>IFERROR(Table25[[#This Row],[Total sold amount]]/Table25[[#This Row],[Total Sold number of stocks]],"")</f>
        <v>180.7109090909091</v>
      </c>
      <c r="O789" s="4">
        <f>IFERROR(Table25[[#This Row],[Total Amount bought]]/Table25[[#This Row],[Total number bought]],"")</f>
        <v>166.744</v>
      </c>
      <c r="P789" s="4">
        <f>IFERROR((Table25[[#This Row],[Average sell price]]-Table25[[#This Row],[Average buy price]])*Table25[[#This Row],[Total Sold number of stocks]],0)</f>
        <v>614.54400000000032</v>
      </c>
      <c r="Q789" s="85">
        <f>SUMIF(Table25[[#All],[Assets]],Table25[[#This Row],[Assets]],Table25[[#All],[Number of stocks]])</f>
        <v>1</v>
      </c>
    </row>
    <row r="790" spans="1:17">
      <c r="A790" t="e" vm="37">
        <v>#VALUE!</v>
      </c>
      <c r="B790" s="2">
        <v>45685</v>
      </c>
      <c r="C790" t="str" cm="1">
        <f t="array" aca="1" ref="C790" ca="1">_FV(A790,"Ticker symbol",TRUE)</f>
        <v>AMD</v>
      </c>
      <c r="D790" s="4">
        <v>114.76</v>
      </c>
      <c r="E790" s="50">
        <v>13</v>
      </c>
      <c r="F790" s="81">
        <f>IF(Table25[[#This Row],[Number of stocks]]&gt;0,Table25[[#This Row],[Number of stocks]],0)</f>
        <v>13</v>
      </c>
      <c r="G790" s="73">
        <f>Table25[[#This Row],[Bought]]*Table25[[#This Row],[Price]]</f>
        <v>1491.88</v>
      </c>
      <c r="H790">
        <f>SUMIF(Table25[[#All],[Assets]],Table25[[#This Row],[Assets]],Table25[[#All],[Bought]])</f>
        <v>41</v>
      </c>
      <c r="I790">
        <f>SUMIF(Table25[[#All],[Assets]],Table25[[#This Row],[Assets]],Table25[[#All],[Bought Amount]])</f>
        <v>5552.8399999999992</v>
      </c>
      <c r="J790" s="88">
        <f>IF(Table25[[#This Row],[Number of stocks]]&lt;0,Table25[[#This Row],[Number of stocks]],0)</f>
        <v>0</v>
      </c>
      <c r="K790" s="5">
        <f>Table25[[#This Row],[Sold]]*Table25[[#This Row],[Price]]</f>
        <v>0</v>
      </c>
      <c r="L790" s="8">
        <f>ABS(SUMIF(Table25[[#All],[Assets]],Table25[[#This Row],[Assets]],Table25[[#All],[Sold]]))</f>
        <v>23</v>
      </c>
      <c r="M790" s="5">
        <f>ABS(SUMIF(Table25[[#All],[Assets]],Table25[[#This Row],[Assets]],Table25[[#All],[Sold Amount]]))</f>
        <v>3203.4199999999996</v>
      </c>
      <c r="N790" s="5">
        <f>IFERROR(Table25[[#This Row],[Total sold amount]]/Table25[[#This Row],[Total Sold number of stocks]],"")</f>
        <v>139.27913043478259</v>
      </c>
      <c r="O790" s="4">
        <f>IFERROR(Table25[[#This Row],[Total Amount bought]]/Table25[[#This Row],[Total number bought]],"")</f>
        <v>135.43512195121949</v>
      </c>
      <c r="P790" s="4">
        <f>IFERROR((Table25[[#This Row],[Average sell price]]-Table25[[#This Row],[Average buy price]])*Table25[[#This Row],[Total Sold number of stocks]],0)</f>
        <v>88.412195121951328</v>
      </c>
      <c r="Q790" s="85">
        <f>SUMIF(Table25[[#All],[Assets]],Table25[[#This Row],[Assets]],Table25[[#All],[Number of stocks]])</f>
        <v>18</v>
      </c>
    </row>
    <row r="791" spans="1:17">
      <c r="A791" t="e" vm="13">
        <v>#VALUE!</v>
      </c>
      <c r="B791" s="2">
        <v>45685</v>
      </c>
      <c r="C791" t="str" cm="1">
        <f t="array" aca="1" ref="C791" ca="1">_FV(A791,"Ticker symbol",TRUE)</f>
        <v>ON</v>
      </c>
      <c r="D791" s="4">
        <v>54.43</v>
      </c>
      <c r="E791" s="50">
        <v>30</v>
      </c>
      <c r="F791" s="81">
        <f>IF(Table25[[#This Row],[Number of stocks]]&gt;0,Table25[[#This Row],[Number of stocks]],0)</f>
        <v>30</v>
      </c>
      <c r="G791" s="73">
        <f>Table25[[#This Row],[Bought]]*Table25[[#This Row],[Price]]</f>
        <v>1632.9</v>
      </c>
      <c r="H791">
        <f>SUMIF(Table25[[#All],[Assets]],Table25[[#This Row],[Assets]],Table25[[#All],[Bought]])</f>
        <v>326</v>
      </c>
      <c r="I791">
        <f>SUMIF(Table25[[#All],[Assets]],Table25[[#This Row],[Assets]],Table25[[#All],[Bought Amount]])</f>
        <v>19172.809999999998</v>
      </c>
      <c r="J791" s="88">
        <f>IF(Table25[[#This Row],[Number of stocks]]&lt;0,Table25[[#This Row],[Number of stocks]],0)</f>
        <v>0</v>
      </c>
      <c r="K791" s="5">
        <f>Table25[[#This Row],[Sold]]*Table25[[#This Row],[Price]]</f>
        <v>0</v>
      </c>
      <c r="L791" s="8">
        <f>ABS(SUMIF(Table25[[#All],[Assets]],Table25[[#This Row],[Assets]],Table25[[#All],[Sold]]))</f>
        <v>283</v>
      </c>
      <c r="M791" s="5">
        <f>ABS(SUMIF(Table25[[#All],[Assets]],Table25[[#This Row],[Assets]],Table25[[#All],[Sold Amount]]))</f>
        <v>15700.74</v>
      </c>
      <c r="N791" s="5">
        <f>IFERROR(Table25[[#This Row],[Total sold amount]]/Table25[[#This Row],[Total Sold number of stocks]],"")</f>
        <v>55.47964664310954</v>
      </c>
      <c r="O791" s="4">
        <f>IFERROR(Table25[[#This Row],[Total Amount bought]]/Table25[[#This Row],[Total number bought]],"")</f>
        <v>58.812300613496923</v>
      </c>
      <c r="P791" s="4">
        <f>IFERROR((Table25[[#This Row],[Average sell price]]-Table25[[#This Row],[Average buy price]])*Table25[[#This Row],[Total Sold number of stocks]],0)</f>
        <v>-943.14107361962954</v>
      </c>
      <c r="Q791" s="85">
        <f>SUMIF(Table25[[#All],[Assets]],Table25[[#This Row],[Assets]],Table25[[#All],[Number of stocks]])</f>
        <v>43</v>
      </c>
    </row>
    <row r="792" spans="1:17">
      <c r="A792" t="e" vm="159">
        <v>#VALUE!</v>
      </c>
      <c r="B792" s="2">
        <v>45685</v>
      </c>
      <c r="C792" t="str" cm="1">
        <f t="array" aca="1" ref="C792" ca="1">_FV(A792,"Ticker symbol",TRUE)</f>
        <v>BABA</v>
      </c>
      <c r="D792" s="4">
        <v>95.63</v>
      </c>
      <c r="E792" s="50">
        <v>15</v>
      </c>
      <c r="F792" s="81">
        <f>IF(Table25[[#This Row],[Number of stocks]]&gt;0,Table25[[#This Row],[Number of stocks]],0)</f>
        <v>15</v>
      </c>
      <c r="G792" s="73">
        <f>Table25[[#This Row],[Bought]]*Table25[[#This Row],[Price]]</f>
        <v>1434.4499999999998</v>
      </c>
      <c r="H792">
        <f>SUMIF(Table25[[#All],[Assets]],Table25[[#This Row],[Assets]],Table25[[#All],[Bought]])</f>
        <v>128</v>
      </c>
      <c r="I792">
        <f>SUMIF(Table25[[#All],[Assets]],Table25[[#This Row],[Assets]],Table25[[#All],[Bought Amount]])</f>
        <v>12533.52</v>
      </c>
      <c r="J792" s="88">
        <f>IF(Table25[[#This Row],[Number of stocks]]&lt;0,Table25[[#This Row],[Number of stocks]],0)</f>
        <v>0</v>
      </c>
      <c r="K792" s="5">
        <f>Table25[[#This Row],[Sold]]*Table25[[#This Row],[Price]]</f>
        <v>0</v>
      </c>
      <c r="L792" s="8">
        <f>ABS(SUMIF(Table25[[#All],[Assets]],Table25[[#This Row],[Assets]],Table25[[#All],[Sold]]))</f>
        <v>128</v>
      </c>
      <c r="M792" s="5">
        <f>ABS(SUMIF(Table25[[#All],[Assets]],Table25[[#This Row],[Assets]],Table25[[#All],[Sold Amount]]))</f>
        <v>17148.419999999998</v>
      </c>
      <c r="N792" s="5">
        <f>IFERROR(Table25[[#This Row],[Total sold amount]]/Table25[[#This Row],[Total Sold number of stocks]],"")</f>
        <v>133.97203124999999</v>
      </c>
      <c r="O792" s="4">
        <f>IFERROR(Table25[[#This Row],[Total Amount bought]]/Table25[[#This Row],[Total number bought]],"")</f>
        <v>97.918125000000003</v>
      </c>
      <c r="P792" s="4">
        <f>IFERROR((Table25[[#This Row],[Average sell price]]-Table25[[#This Row],[Average buy price]])*Table25[[#This Row],[Total Sold number of stocks]],0)</f>
        <v>4614.8999999999978</v>
      </c>
      <c r="Q792" s="85">
        <f>SUMIF(Table25[[#All],[Assets]],Table25[[#This Row],[Assets]],Table25[[#All],[Number of stocks]])</f>
        <v>0</v>
      </c>
    </row>
    <row r="793" spans="1:17">
      <c r="A793" t="e" vm="203">
        <v>#VALUE!</v>
      </c>
      <c r="B793" s="2">
        <v>45685</v>
      </c>
      <c r="C793" t="str" cm="1">
        <f t="array" aca="1" ref="C793" ca="1">_FV(A793,"Ticker symbol",TRUE)</f>
        <v>TWLO</v>
      </c>
      <c r="D793" s="4">
        <v>146.66999999999999</v>
      </c>
      <c r="E793" s="50">
        <v>4</v>
      </c>
      <c r="F793" s="81">
        <f>IF(Table25[[#This Row],[Number of stocks]]&gt;0,Table25[[#This Row],[Number of stocks]],0)</f>
        <v>4</v>
      </c>
      <c r="G793" s="73">
        <f>Table25[[#This Row],[Bought]]*Table25[[#This Row],[Price]]</f>
        <v>586.67999999999995</v>
      </c>
      <c r="H793">
        <f>SUMIF(Table25[[#All],[Assets]],Table25[[#This Row],[Assets]],Table25[[#All],[Bought]])</f>
        <v>64</v>
      </c>
      <c r="I793">
        <f>SUMIF(Table25[[#All],[Assets]],Table25[[#This Row],[Assets]],Table25[[#All],[Bought Amount]])</f>
        <v>7733.8899999999994</v>
      </c>
      <c r="J793" s="88">
        <f>IF(Table25[[#This Row],[Number of stocks]]&lt;0,Table25[[#This Row],[Number of stocks]],0)</f>
        <v>0</v>
      </c>
      <c r="K793" s="5">
        <f>Table25[[#This Row],[Sold]]*Table25[[#This Row],[Price]]</f>
        <v>0</v>
      </c>
      <c r="L793" s="8">
        <f>ABS(SUMIF(Table25[[#All],[Assets]],Table25[[#This Row],[Assets]],Table25[[#All],[Sold]]))</f>
        <v>64</v>
      </c>
      <c r="M793" s="5">
        <f>ABS(SUMIF(Table25[[#All],[Assets]],Table25[[#This Row],[Assets]],Table25[[#All],[Sold Amount]]))</f>
        <v>7331.26</v>
      </c>
      <c r="N793" s="5">
        <f>IFERROR(Table25[[#This Row],[Total sold amount]]/Table25[[#This Row],[Total Sold number of stocks]],"")</f>
        <v>114.5509375</v>
      </c>
      <c r="O793" s="4">
        <f>IFERROR(Table25[[#This Row],[Total Amount bought]]/Table25[[#This Row],[Total number bought]],"")</f>
        <v>120.84203124999999</v>
      </c>
      <c r="P793" s="4">
        <f>IFERROR((Table25[[#This Row],[Average sell price]]-Table25[[#This Row],[Average buy price]])*Table25[[#This Row],[Total Sold number of stocks]],0)</f>
        <v>-402.6299999999992</v>
      </c>
      <c r="Q793" s="85">
        <f>SUMIF(Table25[[#All],[Assets]],Table25[[#This Row],[Assets]],Table25[[#All],[Number of stocks]])</f>
        <v>0</v>
      </c>
    </row>
    <row r="794" spans="1:17">
      <c r="A794" t="e" vm="236">
        <v>#VALUE!</v>
      </c>
      <c r="B794" s="2">
        <v>45685</v>
      </c>
      <c r="C794" t="str" cm="1">
        <f t="array" aca="1" ref="C794" ca="1">_FV(A794,"Ticker symbol",TRUE)</f>
        <v>ESTC</v>
      </c>
      <c r="D794" s="4">
        <v>116.87</v>
      </c>
      <c r="E794" s="50">
        <v>5</v>
      </c>
      <c r="F794" s="81">
        <f>IF(Table25[[#This Row],[Number of stocks]]&gt;0,Table25[[#This Row],[Number of stocks]],0)</f>
        <v>5</v>
      </c>
      <c r="G794" s="73">
        <f>Table25[[#This Row],[Bought]]*Table25[[#This Row],[Price]]</f>
        <v>584.35</v>
      </c>
      <c r="H794">
        <f>SUMIF(Table25[[#All],[Assets]],Table25[[#This Row],[Assets]],Table25[[#All],[Bought]])</f>
        <v>27</v>
      </c>
      <c r="I794">
        <f>SUMIF(Table25[[#All],[Assets]],Table25[[#This Row],[Assets]],Table25[[#All],[Bought Amount]])</f>
        <v>2776.75</v>
      </c>
      <c r="J794" s="88">
        <f>IF(Table25[[#This Row],[Number of stocks]]&lt;0,Table25[[#This Row],[Number of stocks]],0)</f>
        <v>0</v>
      </c>
      <c r="K794" s="5">
        <f>Table25[[#This Row],[Sold]]*Table25[[#This Row],[Price]]</f>
        <v>0</v>
      </c>
      <c r="L794" s="8">
        <f>ABS(SUMIF(Table25[[#All],[Assets]],Table25[[#This Row],[Assets]],Table25[[#All],[Sold]]))</f>
        <v>27</v>
      </c>
      <c r="M794" s="5">
        <f>ABS(SUMIF(Table25[[#All],[Assets]],Table25[[#This Row],[Assets]],Table25[[#All],[Sold Amount]]))</f>
        <v>2320.58</v>
      </c>
      <c r="N794" s="5">
        <f>IFERROR(Table25[[#This Row],[Total sold amount]]/Table25[[#This Row],[Total Sold number of stocks]],"")</f>
        <v>85.947407407407411</v>
      </c>
      <c r="O794" s="4">
        <f>IFERROR(Table25[[#This Row],[Total Amount bought]]/Table25[[#This Row],[Total number bought]],"")</f>
        <v>102.8425925925926</v>
      </c>
      <c r="P794" s="4">
        <f>IFERROR((Table25[[#This Row],[Average sell price]]-Table25[[#This Row],[Average buy price]])*Table25[[#This Row],[Total Sold number of stocks]],0)</f>
        <v>-456.16999999999996</v>
      </c>
      <c r="Q794" s="85">
        <f>SUMIF(Table25[[#All],[Assets]],Table25[[#This Row],[Assets]],Table25[[#All],[Number of stocks]])</f>
        <v>0</v>
      </c>
    </row>
    <row r="795" spans="1:17">
      <c r="A795" t="e" vm="71">
        <v>#VALUE!</v>
      </c>
      <c r="B795" s="2">
        <v>45685</v>
      </c>
      <c r="C795" t="str" cm="1">
        <f t="array" aca="1" ref="C795" ca="1">_FV(A795,"Ticker symbol",TRUE)</f>
        <v>TKNO</v>
      </c>
      <c r="D795" s="4">
        <v>9.52</v>
      </c>
      <c r="E795" s="50">
        <v>83.026798999999997</v>
      </c>
      <c r="F795" s="81">
        <f>IF(Table25[[#This Row],[Number of stocks]]&gt;0,Table25[[#This Row],[Number of stocks]],0)</f>
        <v>83.026798999999997</v>
      </c>
      <c r="G795" s="73">
        <f>Table25[[#This Row],[Bought]]*Table25[[#This Row],[Price]]</f>
        <v>790.41512647999991</v>
      </c>
      <c r="H795">
        <f>SUMIF(Table25[[#All],[Assets]],Table25[[#This Row],[Assets]],Table25[[#All],[Bought]])</f>
        <v>2166.0267990000002</v>
      </c>
      <c r="I795">
        <f>SUMIF(Table25[[#All],[Assets]],Table25[[#This Row],[Assets]],Table25[[#All],[Bought Amount]])</f>
        <v>13370.91512648</v>
      </c>
      <c r="J795" s="88">
        <f>IF(Table25[[#This Row],[Number of stocks]]&lt;0,Table25[[#This Row],[Number of stocks]],0)</f>
        <v>0</v>
      </c>
      <c r="K795" s="5">
        <f>Table25[[#This Row],[Sold]]*Table25[[#This Row],[Price]]</f>
        <v>0</v>
      </c>
      <c r="L795" s="8">
        <f>ABS(SUMIF(Table25[[#All],[Assets]],Table25[[#This Row],[Assets]],Table25[[#All],[Sold]]))</f>
        <v>2083</v>
      </c>
      <c r="M795" s="5">
        <f>ABS(SUMIF(Table25[[#All],[Assets]],Table25[[#This Row],[Assets]],Table25[[#All],[Sold Amount]]))</f>
        <v>11153.28</v>
      </c>
      <c r="N795" s="5">
        <f>IFERROR(Table25[[#This Row],[Total sold amount]]/Table25[[#This Row],[Total Sold number of stocks]],"")</f>
        <v>5.3544311089774368</v>
      </c>
      <c r="O795" s="4">
        <f>IFERROR(Table25[[#This Row],[Total Amount bought]]/Table25[[#This Row],[Total number bought]],"")</f>
        <v>6.1730146333614213</v>
      </c>
      <c r="P795" s="4">
        <f>IFERROR((Table25[[#This Row],[Average sell price]]-Table25[[#This Row],[Average buy price]])*Table25[[#This Row],[Total Sold number of stocks]],0)</f>
        <v>-1705.1094812918398</v>
      </c>
      <c r="Q795" s="85">
        <f>SUMIF(Table25[[#All],[Assets]],Table25[[#This Row],[Assets]],Table25[[#All],[Number of stocks]])</f>
        <v>83.026798999999983</v>
      </c>
    </row>
    <row r="796" spans="1:17">
      <c r="A796" t="e" vm="205">
        <v>#VALUE!</v>
      </c>
      <c r="B796" s="2">
        <v>45688</v>
      </c>
      <c r="C796" t="str" cm="1">
        <f t="array" aca="1" ref="C796" ca="1">_FV(A796,"Ticker symbol",TRUE)</f>
        <v>NOK</v>
      </c>
      <c r="D796" s="4">
        <v>4.66</v>
      </c>
      <c r="E796" s="50">
        <v>120</v>
      </c>
      <c r="F796" s="81">
        <f>IF(Table25[[#This Row],[Number of stocks]]&gt;0,Table25[[#This Row],[Number of stocks]],0)</f>
        <v>120</v>
      </c>
      <c r="G796" s="73">
        <f>Table25[[#This Row],[Bought]]*Table25[[#This Row],[Price]]</f>
        <v>559.20000000000005</v>
      </c>
      <c r="H796">
        <f>SUMIF(Table25[[#All],[Assets]],Table25[[#This Row],[Assets]],Table25[[#All],[Bought]])</f>
        <v>455</v>
      </c>
      <c r="I796">
        <f>SUMIF(Table25[[#All],[Assets]],Table25[[#This Row],[Assets]],Table25[[#All],[Bought Amount]])</f>
        <v>2449.6999999999998</v>
      </c>
      <c r="J796" s="88">
        <f>IF(Table25[[#This Row],[Number of stocks]]&lt;0,Table25[[#This Row],[Number of stocks]],0)</f>
        <v>0</v>
      </c>
      <c r="K796" s="5">
        <f>Table25[[#This Row],[Sold]]*Table25[[#This Row],[Price]]</f>
        <v>0</v>
      </c>
      <c r="L796" s="8">
        <f>ABS(SUMIF(Table25[[#All],[Assets]],Table25[[#This Row],[Assets]],Table25[[#All],[Sold]]))</f>
        <v>390</v>
      </c>
      <c r="M796" s="5">
        <f>ABS(SUMIF(Table25[[#All],[Assets]],Table25[[#This Row],[Assets]],Table25[[#All],[Sold Amount]]))</f>
        <v>2112.3000000000002</v>
      </c>
      <c r="N796" s="5">
        <f>IFERROR(Table25[[#This Row],[Total sold amount]]/Table25[[#This Row],[Total Sold number of stocks]],"")</f>
        <v>5.416153846153847</v>
      </c>
      <c r="O796" s="4">
        <f>IFERROR(Table25[[#This Row],[Total Amount bought]]/Table25[[#This Row],[Total number bought]],"")</f>
        <v>5.3839560439560437</v>
      </c>
      <c r="P796" s="4">
        <f>IFERROR((Table25[[#This Row],[Average sell price]]-Table25[[#This Row],[Average buy price]])*Table25[[#This Row],[Total Sold number of stocks]],0)</f>
        <v>12.557142857143297</v>
      </c>
      <c r="Q796" s="85">
        <f>SUMIF(Table25[[#All],[Assets]],Table25[[#This Row],[Assets]],Table25[[#All],[Number of stocks]])</f>
        <v>65</v>
      </c>
    </row>
    <row r="797" spans="1:17">
      <c r="A797" t="e" vm="39">
        <v>#VALUE!</v>
      </c>
      <c r="B797" s="2">
        <v>45688</v>
      </c>
      <c r="C797" t="str" cm="1">
        <f t="array" aca="1" ref="C797" ca="1">_FV(A797,"Ticker symbol",TRUE)</f>
        <v>AMSC</v>
      </c>
      <c r="D797" s="4">
        <v>27.84</v>
      </c>
      <c r="E797" s="50">
        <v>-70</v>
      </c>
      <c r="F797" s="81">
        <f>IF(Table25[[#This Row],[Number of stocks]]&gt;0,Table25[[#This Row],[Number of stocks]],0)</f>
        <v>0</v>
      </c>
      <c r="G797" s="73">
        <f>Table25[[#This Row],[Bought]]*Table25[[#This Row],[Price]]</f>
        <v>0</v>
      </c>
      <c r="H797">
        <f>SUMIF(Table25[[#All],[Assets]],Table25[[#This Row],[Assets]],Table25[[#All],[Bought]])</f>
        <v>812.4</v>
      </c>
      <c r="I797">
        <f>SUMIF(Table25[[#All],[Assets]],Table25[[#This Row],[Assets]],Table25[[#All],[Bought Amount]])</f>
        <v>24146.880000000001</v>
      </c>
      <c r="J797" s="88">
        <f>IF(Table25[[#This Row],[Number of stocks]]&lt;0,Table25[[#This Row],[Number of stocks]],0)</f>
        <v>-70</v>
      </c>
      <c r="K797" s="5">
        <f>Table25[[#This Row],[Sold]]*Table25[[#This Row],[Price]]</f>
        <v>-1948.8</v>
      </c>
      <c r="L797" s="8">
        <f>ABS(SUMIF(Table25[[#All],[Assets]],Table25[[#This Row],[Assets]],Table25[[#All],[Sold]]))</f>
        <v>535</v>
      </c>
      <c r="M797" s="5">
        <f>ABS(SUMIF(Table25[[#All],[Assets]],Table25[[#This Row],[Assets]],Table25[[#All],[Sold Amount]]))</f>
        <v>14777.289999999999</v>
      </c>
      <c r="N797" s="5">
        <f>IFERROR(Table25[[#This Row],[Total sold amount]]/Table25[[#This Row],[Total Sold number of stocks]],"")</f>
        <v>27.621102803738317</v>
      </c>
      <c r="O797" s="4">
        <f>IFERROR(Table25[[#This Row],[Total Amount bought]]/Table25[[#This Row],[Total number bought]],"")</f>
        <v>29.722895125553915</v>
      </c>
      <c r="P797" s="4">
        <f>IFERROR((Table25[[#This Row],[Average sell price]]-Table25[[#This Row],[Average buy price]])*Table25[[#This Row],[Total Sold number of stocks]],0)</f>
        <v>-1124.4588921713448</v>
      </c>
      <c r="Q797" s="85">
        <f>SUMIF(Table25[[#All],[Assets]],Table25[[#This Row],[Assets]],Table25[[#All],[Number of stocks]])</f>
        <v>277.39999999999998</v>
      </c>
    </row>
    <row r="798" spans="1:17">
      <c r="A798" t="e" vm="203">
        <v>#VALUE!</v>
      </c>
      <c r="B798" s="2">
        <v>45688</v>
      </c>
      <c r="C798" t="str" cm="1">
        <f t="array" aca="1" ref="C798" ca="1">_FV(A798,"Ticker symbol",TRUE)</f>
        <v>TWLO</v>
      </c>
      <c r="D798" s="4">
        <v>150.36000000000001</v>
      </c>
      <c r="E798" s="50">
        <v>3</v>
      </c>
      <c r="F798" s="81">
        <f>IF(Table25[[#This Row],[Number of stocks]]&gt;0,Table25[[#This Row],[Number of stocks]],0)</f>
        <v>3</v>
      </c>
      <c r="G798" s="73">
        <f>Table25[[#This Row],[Bought]]*Table25[[#This Row],[Price]]</f>
        <v>451.08000000000004</v>
      </c>
      <c r="H798">
        <f>SUMIF(Table25[[#All],[Assets]],Table25[[#This Row],[Assets]],Table25[[#All],[Bought]])</f>
        <v>64</v>
      </c>
      <c r="I798">
        <f>SUMIF(Table25[[#All],[Assets]],Table25[[#This Row],[Assets]],Table25[[#All],[Bought Amount]])</f>
        <v>7733.8899999999994</v>
      </c>
      <c r="J798" s="88">
        <f>IF(Table25[[#This Row],[Number of stocks]]&lt;0,Table25[[#This Row],[Number of stocks]],0)</f>
        <v>0</v>
      </c>
      <c r="K798" s="5">
        <f>Table25[[#This Row],[Sold]]*Table25[[#This Row],[Price]]</f>
        <v>0</v>
      </c>
      <c r="L798" s="8">
        <f>ABS(SUMIF(Table25[[#All],[Assets]],Table25[[#This Row],[Assets]],Table25[[#All],[Sold]]))</f>
        <v>64</v>
      </c>
      <c r="M798" s="5">
        <f>ABS(SUMIF(Table25[[#All],[Assets]],Table25[[#This Row],[Assets]],Table25[[#All],[Sold Amount]]))</f>
        <v>7331.26</v>
      </c>
      <c r="N798" s="5">
        <f>IFERROR(Table25[[#This Row],[Total sold amount]]/Table25[[#This Row],[Total Sold number of stocks]],"")</f>
        <v>114.5509375</v>
      </c>
      <c r="O798" s="4">
        <f>IFERROR(Table25[[#This Row],[Total Amount bought]]/Table25[[#This Row],[Total number bought]],"")</f>
        <v>120.84203124999999</v>
      </c>
      <c r="P798" s="4">
        <f>IFERROR((Table25[[#This Row],[Average sell price]]-Table25[[#This Row],[Average buy price]])*Table25[[#This Row],[Total Sold number of stocks]],0)</f>
        <v>-402.6299999999992</v>
      </c>
      <c r="Q798" s="85">
        <f>SUMIF(Table25[[#All],[Assets]],Table25[[#This Row],[Assets]],Table25[[#All],[Number of stocks]])</f>
        <v>0</v>
      </c>
    </row>
    <row r="799" spans="1:17">
      <c r="A799" t="e" vm="205">
        <v>#VALUE!</v>
      </c>
      <c r="B799" s="2">
        <v>45688</v>
      </c>
      <c r="C799" t="str" cm="1">
        <f t="array" aca="1" ref="C799" ca="1">_FV(A799,"Ticker symbol",TRUE)</f>
        <v>NOK</v>
      </c>
      <c r="D799" s="4">
        <v>4.68</v>
      </c>
      <c r="E799" s="50">
        <v>100</v>
      </c>
      <c r="F799" s="81">
        <f>IF(Table25[[#This Row],[Number of stocks]]&gt;0,Table25[[#This Row],[Number of stocks]],0)</f>
        <v>100</v>
      </c>
      <c r="G799" s="73">
        <f>Table25[[#This Row],[Bought]]*Table25[[#This Row],[Price]]</f>
        <v>468</v>
      </c>
      <c r="H799">
        <f>SUMIF(Table25[[#All],[Assets]],Table25[[#This Row],[Assets]],Table25[[#All],[Bought]])</f>
        <v>455</v>
      </c>
      <c r="I799">
        <f>SUMIF(Table25[[#All],[Assets]],Table25[[#This Row],[Assets]],Table25[[#All],[Bought Amount]])</f>
        <v>2449.6999999999998</v>
      </c>
      <c r="J799" s="88">
        <f>IF(Table25[[#This Row],[Number of stocks]]&lt;0,Table25[[#This Row],[Number of stocks]],0)</f>
        <v>0</v>
      </c>
      <c r="K799" s="5">
        <f>Table25[[#This Row],[Sold]]*Table25[[#This Row],[Price]]</f>
        <v>0</v>
      </c>
      <c r="L799" s="8">
        <f>ABS(SUMIF(Table25[[#All],[Assets]],Table25[[#This Row],[Assets]],Table25[[#All],[Sold]]))</f>
        <v>390</v>
      </c>
      <c r="M799" s="5">
        <f>ABS(SUMIF(Table25[[#All],[Assets]],Table25[[#This Row],[Assets]],Table25[[#All],[Sold Amount]]))</f>
        <v>2112.3000000000002</v>
      </c>
      <c r="N799" s="5">
        <f>IFERROR(Table25[[#This Row],[Total sold amount]]/Table25[[#This Row],[Total Sold number of stocks]],"")</f>
        <v>5.416153846153847</v>
      </c>
      <c r="O799" s="4">
        <f>IFERROR(Table25[[#This Row],[Total Amount bought]]/Table25[[#This Row],[Total number bought]],"")</f>
        <v>5.3839560439560437</v>
      </c>
      <c r="P799" s="4">
        <f>IFERROR((Table25[[#This Row],[Average sell price]]-Table25[[#This Row],[Average buy price]])*Table25[[#This Row],[Total Sold number of stocks]],0)</f>
        <v>12.557142857143297</v>
      </c>
      <c r="Q799" s="85">
        <f>SUMIF(Table25[[#All],[Assets]],Table25[[#This Row],[Assets]],Table25[[#All],[Number of stocks]])</f>
        <v>65</v>
      </c>
    </row>
    <row r="800" spans="1:17">
      <c r="A800" t="e" vm="65">
        <v>#VALUE!</v>
      </c>
      <c r="B800" s="2">
        <v>45688</v>
      </c>
      <c r="C800" t="str" cm="1">
        <f t="array" aca="1" ref="C800" ca="1">_FV(A800,"Ticker symbol",TRUE)</f>
        <v>GAP</v>
      </c>
      <c r="D800" s="4">
        <v>24.71</v>
      </c>
      <c r="E800" s="50">
        <v>10</v>
      </c>
      <c r="F800" s="81">
        <f>IF(Table25[[#This Row],[Number of stocks]]&gt;0,Table25[[#This Row],[Number of stocks]],0)</f>
        <v>10</v>
      </c>
      <c r="G800" s="73">
        <f>Table25[[#This Row],[Bought]]*Table25[[#This Row],[Price]]</f>
        <v>247.10000000000002</v>
      </c>
      <c r="H800">
        <f>SUMIF(Table25[[#All],[Assets]],Table25[[#This Row],[Assets]],Table25[[#All],[Bought]])</f>
        <v>166</v>
      </c>
      <c r="I800">
        <f>SUMIF(Table25[[#All],[Assets]],Table25[[#This Row],[Assets]],Table25[[#All],[Bought Amount]])</f>
        <v>3889.4200000000005</v>
      </c>
      <c r="J800" s="88">
        <f>IF(Table25[[#This Row],[Number of stocks]]&lt;0,Table25[[#This Row],[Number of stocks]],0)</f>
        <v>0</v>
      </c>
      <c r="K800" s="5">
        <f>Table25[[#This Row],[Sold]]*Table25[[#This Row],[Price]]</f>
        <v>0</v>
      </c>
      <c r="L800" s="8">
        <f>ABS(SUMIF(Table25[[#All],[Assets]],Table25[[#This Row],[Assets]],Table25[[#All],[Sold]]))</f>
        <v>166</v>
      </c>
      <c r="M800" s="5">
        <f>ABS(SUMIF(Table25[[#All],[Assets]],Table25[[#This Row],[Assets]],Table25[[#All],[Sold Amount]]))</f>
        <v>3423.32</v>
      </c>
      <c r="N800" s="5">
        <f>IFERROR(Table25[[#This Row],[Total sold amount]]/Table25[[#This Row],[Total Sold number of stocks]],"")</f>
        <v>20.622409638554217</v>
      </c>
      <c r="O800" s="4">
        <f>IFERROR(Table25[[#This Row],[Total Amount bought]]/Table25[[#This Row],[Total number bought]],"")</f>
        <v>23.430240963855425</v>
      </c>
      <c r="P800" s="4">
        <f>IFERROR((Table25[[#This Row],[Average sell price]]-Table25[[#This Row],[Average buy price]])*Table25[[#This Row],[Total Sold number of stocks]],0)</f>
        <v>-466.10000000000059</v>
      </c>
      <c r="Q800" s="85">
        <f>SUMIF(Table25[[#All],[Assets]],Table25[[#This Row],[Assets]],Table25[[#All],[Number of stocks]])</f>
        <v>0</v>
      </c>
    </row>
    <row r="801" spans="1:17">
      <c r="A801" t="e" vm="77">
        <v>#VALUE!</v>
      </c>
      <c r="B801" s="2">
        <v>45691</v>
      </c>
      <c r="C801" t="str" cm="1">
        <f t="array" aca="1" ref="C801" ca="1">_FV(A801,"Ticker symbol",TRUE)</f>
        <v>STIM</v>
      </c>
      <c r="D801" s="4">
        <v>3.18</v>
      </c>
      <c r="E801" s="50">
        <v>200</v>
      </c>
      <c r="F801" s="81">
        <f>IF(Table25[[#This Row],[Number of stocks]]&gt;0,Table25[[#This Row],[Number of stocks]],0)</f>
        <v>200</v>
      </c>
      <c r="G801" s="73">
        <f>Table25[[#This Row],[Bought]]*Table25[[#This Row],[Price]]</f>
        <v>636</v>
      </c>
      <c r="H801">
        <f>SUMIF(Table25[[#All],[Assets]],Table25[[#This Row],[Assets]],Table25[[#All],[Bought]])</f>
        <v>7036.45</v>
      </c>
      <c r="I801">
        <f>SUMIF(Table25[[#All],[Assets]],Table25[[#This Row],[Assets]],Table25[[#All],[Bought Amount]])</f>
        <v>19162.260000000002</v>
      </c>
      <c r="J801" s="88">
        <f>IF(Table25[[#This Row],[Number of stocks]]&lt;0,Table25[[#This Row],[Number of stocks]],0)</f>
        <v>0</v>
      </c>
      <c r="K801" s="5">
        <f>Table25[[#This Row],[Sold]]*Table25[[#This Row],[Price]]</f>
        <v>0</v>
      </c>
      <c r="L801" s="8">
        <f>ABS(SUMIF(Table25[[#All],[Assets]],Table25[[#This Row],[Assets]],Table25[[#All],[Sold]]))</f>
        <v>6686.45</v>
      </c>
      <c r="M801" s="5">
        <f>ABS(SUMIF(Table25[[#All],[Assets]],Table25[[#This Row],[Assets]],Table25[[#All],[Sold Amount]]))</f>
        <v>19226.484999999997</v>
      </c>
      <c r="N801" s="5">
        <f>IFERROR(Table25[[#This Row],[Total sold amount]]/Table25[[#This Row],[Total Sold number of stocks]],"")</f>
        <v>2.8754398821497205</v>
      </c>
      <c r="O801" s="4">
        <f>IFERROR(Table25[[#This Row],[Total Amount bought]]/Table25[[#This Row],[Total number bought]],"")</f>
        <v>2.7232851793162749</v>
      </c>
      <c r="P801" s="4">
        <f>IFERROR((Table25[[#This Row],[Average sell price]]-Table25[[#This Row],[Average buy price]])*Table25[[#This Row],[Total Sold number of stocks]],0)</f>
        <v>1017.3748127606921</v>
      </c>
      <c r="Q801" s="85">
        <f>SUMIF(Table25[[#All],[Assets]],Table25[[#This Row],[Assets]],Table25[[#All],[Number of stocks]])</f>
        <v>349.99999999999977</v>
      </c>
    </row>
    <row r="802" spans="1:17">
      <c r="A802" t="e" vm="34">
        <v>#VALUE!</v>
      </c>
      <c r="B802" s="2">
        <v>45685</v>
      </c>
      <c r="C802" t="str" cm="1">
        <f t="array" aca="1" ref="C802" ca="1">_FV(A802,"Ticker symbol",TRUE)</f>
        <v>TSM</v>
      </c>
      <c r="D802" s="4">
        <v>194.39</v>
      </c>
      <c r="E802" s="50">
        <v>-5</v>
      </c>
      <c r="F802" s="81">
        <f>IF(Table25[[#This Row],[Number of stocks]]&gt;0,Table25[[#This Row],[Number of stocks]],0)</f>
        <v>0</v>
      </c>
      <c r="G802" s="73">
        <f>Table25[[#This Row],[Bought]]*Table25[[#This Row],[Price]]</f>
        <v>0</v>
      </c>
      <c r="H802">
        <f>SUMIF(Table25[[#All],[Assets]],Table25[[#This Row],[Assets]],Table25[[#All],[Bought]])</f>
        <v>45</v>
      </c>
      <c r="I802">
        <f>SUMIF(Table25[[#All],[Assets]],Table25[[#This Row],[Assets]],Table25[[#All],[Bought Amount]])</f>
        <v>7503.4800000000005</v>
      </c>
      <c r="J802" s="88">
        <f>IF(Table25[[#This Row],[Number of stocks]]&lt;0,Table25[[#This Row],[Number of stocks]],0)</f>
        <v>-5</v>
      </c>
      <c r="K802" s="5">
        <f>Table25[[#This Row],[Sold]]*Table25[[#This Row],[Price]]</f>
        <v>-971.94999999999993</v>
      </c>
      <c r="L802" s="8">
        <f>ABS(SUMIF(Table25[[#All],[Assets]],Table25[[#This Row],[Assets]],Table25[[#All],[Sold]]))</f>
        <v>44</v>
      </c>
      <c r="M802" s="5">
        <f>ABS(SUMIF(Table25[[#All],[Assets]],Table25[[#This Row],[Assets]],Table25[[#All],[Sold Amount]]))</f>
        <v>7951.28</v>
      </c>
      <c r="N802" s="5">
        <f>IFERROR(Table25[[#This Row],[Total sold amount]]/Table25[[#This Row],[Total Sold number of stocks]],"")</f>
        <v>180.7109090909091</v>
      </c>
      <c r="O802" s="4">
        <f>IFERROR(Table25[[#This Row],[Total Amount bought]]/Table25[[#This Row],[Total number bought]],"")</f>
        <v>166.744</v>
      </c>
      <c r="P802" s="4">
        <f>IFERROR((Table25[[#This Row],[Average sell price]]-Table25[[#This Row],[Average buy price]])*Table25[[#This Row],[Total Sold number of stocks]],0)</f>
        <v>614.54400000000032</v>
      </c>
      <c r="Q802" s="85">
        <f>SUMIF(Table25[[#All],[Assets]],Table25[[#This Row],[Assets]],Table25[[#All],[Number of stocks]])</f>
        <v>1</v>
      </c>
    </row>
    <row r="803" spans="1:17">
      <c r="A803" t="e" vm="203">
        <v>#VALUE!</v>
      </c>
      <c r="B803" s="2">
        <v>45685</v>
      </c>
      <c r="C803" t="str" cm="1">
        <f t="array" aca="1" ref="C803" ca="1">_FV(A803,"Ticker symbol",TRUE)</f>
        <v>TWLO</v>
      </c>
      <c r="D803" s="4">
        <v>143.6</v>
      </c>
      <c r="E803" s="50">
        <v>7</v>
      </c>
      <c r="F803" s="81">
        <f>IF(Table25[[#This Row],[Number of stocks]]&gt;0,Table25[[#This Row],[Number of stocks]],0)</f>
        <v>7</v>
      </c>
      <c r="G803" s="73">
        <f>Table25[[#This Row],[Bought]]*Table25[[#This Row],[Price]]</f>
        <v>1005.1999999999999</v>
      </c>
      <c r="H803">
        <f>SUMIF(Table25[[#All],[Assets]],Table25[[#This Row],[Assets]],Table25[[#All],[Bought]])</f>
        <v>64</v>
      </c>
      <c r="I803">
        <f>SUMIF(Table25[[#All],[Assets]],Table25[[#This Row],[Assets]],Table25[[#All],[Bought Amount]])</f>
        <v>7733.8899999999994</v>
      </c>
      <c r="J803" s="88">
        <f>IF(Table25[[#This Row],[Number of stocks]]&lt;0,Table25[[#This Row],[Number of stocks]],0)</f>
        <v>0</v>
      </c>
      <c r="K803" s="5">
        <f>Table25[[#This Row],[Sold]]*Table25[[#This Row],[Price]]</f>
        <v>0</v>
      </c>
      <c r="L803" s="8">
        <f>ABS(SUMIF(Table25[[#All],[Assets]],Table25[[#This Row],[Assets]],Table25[[#All],[Sold]]))</f>
        <v>64</v>
      </c>
      <c r="M803" s="5">
        <f>ABS(SUMIF(Table25[[#All],[Assets]],Table25[[#This Row],[Assets]],Table25[[#All],[Sold Amount]]))</f>
        <v>7331.26</v>
      </c>
      <c r="N803" s="5">
        <f>IFERROR(Table25[[#This Row],[Total sold amount]]/Table25[[#This Row],[Total Sold number of stocks]],"")</f>
        <v>114.5509375</v>
      </c>
      <c r="O803" s="4">
        <f>IFERROR(Table25[[#This Row],[Total Amount bought]]/Table25[[#This Row],[Total number bought]],"")</f>
        <v>120.84203124999999</v>
      </c>
      <c r="P803" s="4">
        <f>IFERROR((Table25[[#This Row],[Average sell price]]-Table25[[#This Row],[Average buy price]])*Table25[[#This Row],[Total Sold number of stocks]],0)</f>
        <v>-402.6299999999992</v>
      </c>
      <c r="Q803" s="85">
        <f>SUMIF(Table25[[#All],[Assets]],Table25[[#This Row],[Assets]],Table25[[#All],[Number of stocks]])</f>
        <v>0</v>
      </c>
    </row>
    <row r="804" spans="1:17">
      <c r="A804" t="e" vm="176">
        <v>#VALUE!</v>
      </c>
      <c r="B804" s="2">
        <v>45685</v>
      </c>
      <c r="C804" t="str" cm="1">
        <f t="array" aca="1" ref="C804" ca="1">_FV(A804,"Ticker symbol",TRUE)</f>
        <v>HUT</v>
      </c>
      <c r="D804" s="4">
        <v>19.5</v>
      </c>
      <c r="E804" s="50">
        <v>-100</v>
      </c>
      <c r="F804" s="81">
        <f>IF(Table25[[#This Row],[Number of stocks]]&gt;0,Table25[[#This Row],[Number of stocks]],0)</f>
        <v>0</v>
      </c>
      <c r="G804" s="73">
        <f>Table25[[#This Row],[Bought]]*Table25[[#This Row],[Price]]</f>
        <v>0</v>
      </c>
      <c r="H804">
        <f>SUMIF(Table25[[#All],[Assets]],Table25[[#This Row],[Assets]],Table25[[#All],[Bought]])</f>
        <v>461</v>
      </c>
      <c r="I804">
        <f>SUMIF(Table25[[#All],[Assets]],Table25[[#This Row],[Assets]],Table25[[#All],[Bought Amount]])</f>
        <v>12551.63</v>
      </c>
      <c r="J804" s="88">
        <f>IF(Table25[[#This Row],[Number of stocks]]&lt;0,Table25[[#This Row],[Number of stocks]],0)</f>
        <v>-100</v>
      </c>
      <c r="K804" s="5">
        <f>Table25[[#This Row],[Sold]]*Table25[[#This Row],[Price]]</f>
        <v>-1950</v>
      </c>
      <c r="L804" s="8">
        <f>ABS(SUMIF(Table25[[#All],[Assets]],Table25[[#This Row],[Assets]],Table25[[#All],[Sold]]))</f>
        <v>350</v>
      </c>
      <c r="M804" s="5">
        <f>ABS(SUMIF(Table25[[#All],[Assets]],Table25[[#This Row],[Assets]],Table25[[#All],[Sold Amount]]))</f>
        <v>6704.5</v>
      </c>
      <c r="N804" s="5">
        <f>IFERROR(Table25[[#This Row],[Total sold amount]]/Table25[[#This Row],[Total Sold number of stocks]],"")</f>
        <v>19.155714285714286</v>
      </c>
      <c r="O804" s="4">
        <f>IFERROR(Table25[[#This Row],[Total Amount bought]]/Table25[[#This Row],[Total number bought]],"")</f>
        <v>27.22696312364425</v>
      </c>
      <c r="P804" s="4">
        <f>IFERROR((Table25[[#This Row],[Average sell price]]-Table25[[#This Row],[Average buy price]])*Table25[[#This Row],[Total Sold number of stocks]],0)</f>
        <v>-2824.9370932754873</v>
      </c>
      <c r="Q804" s="85">
        <f>SUMIF(Table25[[#All],[Assets]],Table25[[#This Row],[Assets]],Table25[[#All],[Number of stocks]])</f>
        <v>111</v>
      </c>
    </row>
    <row r="805" spans="1:17">
      <c r="A805" t="e" vm="71">
        <v>#VALUE!</v>
      </c>
      <c r="B805" s="2">
        <v>45685</v>
      </c>
      <c r="C805" t="str" cm="1">
        <f t="array" aca="1" ref="C805" ca="1">_FV(A805,"Ticker symbol",TRUE)</f>
        <v>TKNO</v>
      </c>
      <c r="D805" s="4">
        <v>9.69</v>
      </c>
      <c r="E805" s="50">
        <v>200</v>
      </c>
      <c r="F805" s="81">
        <f>IF(Table25[[#This Row],[Number of stocks]]&gt;0,Table25[[#This Row],[Number of stocks]],0)</f>
        <v>200</v>
      </c>
      <c r="G805" s="73">
        <f>Table25[[#This Row],[Bought]]*Table25[[#This Row],[Price]]</f>
        <v>1938</v>
      </c>
      <c r="H805">
        <f>SUMIF(Table25[[#All],[Assets]],Table25[[#This Row],[Assets]],Table25[[#All],[Bought]])</f>
        <v>2166.0267990000002</v>
      </c>
      <c r="I805">
        <f>SUMIF(Table25[[#All],[Assets]],Table25[[#This Row],[Assets]],Table25[[#All],[Bought Amount]])</f>
        <v>13370.91512648</v>
      </c>
      <c r="J805" s="88">
        <f>IF(Table25[[#This Row],[Number of stocks]]&lt;0,Table25[[#This Row],[Number of stocks]],0)</f>
        <v>0</v>
      </c>
      <c r="K805" s="5">
        <f>Table25[[#This Row],[Sold]]*Table25[[#This Row],[Price]]</f>
        <v>0</v>
      </c>
      <c r="L805" s="8">
        <f>ABS(SUMIF(Table25[[#All],[Assets]],Table25[[#This Row],[Assets]],Table25[[#All],[Sold]]))</f>
        <v>2083</v>
      </c>
      <c r="M805" s="5">
        <f>ABS(SUMIF(Table25[[#All],[Assets]],Table25[[#This Row],[Assets]],Table25[[#All],[Sold Amount]]))</f>
        <v>11153.28</v>
      </c>
      <c r="N805" s="5">
        <f>IFERROR(Table25[[#This Row],[Total sold amount]]/Table25[[#This Row],[Total Sold number of stocks]],"")</f>
        <v>5.3544311089774368</v>
      </c>
      <c r="O805" s="4">
        <f>IFERROR(Table25[[#This Row],[Total Amount bought]]/Table25[[#This Row],[Total number bought]],"")</f>
        <v>6.1730146333614213</v>
      </c>
      <c r="P805" s="4">
        <f>IFERROR((Table25[[#This Row],[Average sell price]]-Table25[[#This Row],[Average buy price]])*Table25[[#This Row],[Total Sold number of stocks]],0)</f>
        <v>-1705.1094812918398</v>
      </c>
      <c r="Q805" s="85">
        <f>SUMIF(Table25[[#All],[Assets]],Table25[[#This Row],[Assets]],Table25[[#All],[Number of stocks]])</f>
        <v>83.026798999999983</v>
      </c>
    </row>
    <row r="806" spans="1:17">
      <c r="A806" t="e" vm="36">
        <v>#VALUE!</v>
      </c>
      <c r="B806" s="2">
        <v>45685</v>
      </c>
      <c r="C806" t="str" cm="1">
        <f t="array" aca="1" ref="C806" ca="1">_FV(A806,"Ticker symbol",TRUE)</f>
        <v>CLS</v>
      </c>
      <c r="D806" s="4">
        <v>91.94</v>
      </c>
      <c r="E806" s="50">
        <v>-10</v>
      </c>
      <c r="F806" s="81">
        <f>IF(Table25[[#This Row],[Number of stocks]]&gt;0,Table25[[#This Row],[Number of stocks]],0)</f>
        <v>0</v>
      </c>
      <c r="G806" s="73">
        <f>Table25[[#This Row],[Bought]]*Table25[[#This Row],[Price]]</f>
        <v>0</v>
      </c>
      <c r="H806">
        <f>SUMIF(Table25[[#All],[Assets]],Table25[[#This Row],[Assets]],Table25[[#All],[Bought]])</f>
        <v>25</v>
      </c>
      <c r="I806">
        <f>SUMIF(Table25[[#All],[Assets]],Table25[[#This Row],[Assets]],Table25[[#All],[Bought Amount]])</f>
        <v>1806.25</v>
      </c>
      <c r="J806" s="88">
        <f>IF(Table25[[#This Row],[Number of stocks]]&lt;0,Table25[[#This Row],[Number of stocks]],0)</f>
        <v>-10</v>
      </c>
      <c r="K806" s="5">
        <f>Table25[[#This Row],[Sold]]*Table25[[#This Row],[Price]]</f>
        <v>-919.4</v>
      </c>
      <c r="L806" s="8">
        <f>ABS(SUMIF(Table25[[#All],[Assets]],Table25[[#This Row],[Assets]],Table25[[#All],[Sold]]))</f>
        <v>25</v>
      </c>
      <c r="M806" s="5">
        <f>ABS(SUMIF(Table25[[#All],[Assets]],Table25[[#This Row],[Assets]],Table25[[#All],[Sold Amount]]))</f>
        <v>2255.6000000000004</v>
      </c>
      <c r="N806" s="5">
        <f>IFERROR(Table25[[#This Row],[Total sold amount]]/Table25[[#This Row],[Total Sold number of stocks]],"")</f>
        <v>90.224000000000018</v>
      </c>
      <c r="O806" s="4">
        <f>IFERROR(Table25[[#This Row],[Total Amount bought]]/Table25[[#This Row],[Total number bought]],"")</f>
        <v>72.25</v>
      </c>
      <c r="P806" s="4">
        <f>IFERROR((Table25[[#This Row],[Average sell price]]-Table25[[#This Row],[Average buy price]])*Table25[[#This Row],[Total Sold number of stocks]],0)</f>
        <v>449.35000000000048</v>
      </c>
      <c r="Q806" s="85">
        <f>SUMIF(Table25[[#All],[Assets]],Table25[[#This Row],[Assets]],Table25[[#All],[Number of stocks]])</f>
        <v>0</v>
      </c>
    </row>
    <row r="807" spans="1:17">
      <c r="A807" t="e" vm="64">
        <v>#VALUE!</v>
      </c>
      <c r="B807" s="2">
        <v>45685</v>
      </c>
      <c r="C807" t="str" cm="1">
        <f t="array" aca="1" ref="C807" ca="1">_FV(A807,"Ticker symbol",TRUE)</f>
        <v>LULU</v>
      </c>
      <c r="D807" s="4">
        <v>412.25</v>
      </c>
      <c r="E807" s="50">
        <v>-4</v>
      </c>
      <c r="F807" s="81">
        <f>IF(Table25[[#This Row],[Number of stocks]]&gt;0,Table25[[#This Row],[Number of stocks]],0)</f>
        <v>0</v>
      </c>
      <c r="G807" s="73">
        <f>Table25[[#This Row],[Bought]]*Table25[[#This Row],[Price]]</f>
        <v>0</v>
      </c>
      <c r="H807">
        <f>SUMIF(Table25[[#All],[Assets]],Table25[[#This Row],[Assets]],Table25[[#All],[Bought]])</f>
        <v>26</v>
      </c>
      <c r="I807">
        <f>SUMIF(Table25[[#All],[Assets]],Table25[[#This Row],[Assets]],Table25[[#All],[Bought Amount]])</f>
        <v>6272.2400000000007</v>
      </c>
      <c r="J807" s="88">
        <f>IF(Table25[[#This Row],[Number of stocks]]&lt;0,Table25[[#This Row],[Number of stocks]],0)</f>
        <v>-4</v>
      </c>
      <c r="K807" s="5">
        <f>Table25[[#This Row],[Sold]]*Table25[[#This Row],[Price]]</f>
        <v>-1649</v>
      </c>
      <c r="L807" s="8">
        <f>ABS(SUMIF(Table25[[#All],[Assets]],Table25[[#This Row],[Assets]],Table25[[#All],[Sold]]))</f>
        <v>26</v>
      </c>
      <c r="M807" s="5">
        <f>ABS(SUMIF(Table25[[#All],[Assets]],Table25[[#This Row],[Assets]],Table25[[#All],[Sold Amount]]))</f>
        <v>6958.9199999999992</v>
      </c>
      <c r="N807" s="5">
        <f>IFERROR(Table25[[#This Row],[Total sold amount]]/Table25[[#This Row],[Total Sold number of stocks]],"")</f>
        <v>267.65076923076919</v>
      </c>
      <c r="O807" s="4">
        <f>IFERROR(Table25[[#This Row],[Total Amount bought]]/Table25[[#This Row],[Total number bought]],"")</f>
        <v>241.24000000000004</v>
      </c>
      <c r="P807" s="4">
        <f>IFERROR((Table25[[#This Row],[Average sell price]]-Table25[[#This Row],[Average buy price]])*Table25[[#This Row],[Total Sold number of stocks]],0)</f>
        <v>686.67999999999779</v>
      </c>
      <c r="Q807" s="85">
        <f>SUMIF(Table25[[#All],[Assets]],Table25[[#This Row],[Assets]],Table25[[#All],[Number of stocks]])</f>
        <v>0</v>
      </c>
    </row>
    <row r="808" spans="1:17">
      <c r="A808" t="e" vm="130">
        <v>#VALUE!</v>
      </c>
      <c r="B808" s="2">
        <v>45685</v>
      </c>
      <c r="C808" t="str" cm="1">
        <f t="array" aca="1" ref="C808" ca="1">_FV(A808,"Ticker symbol",TRUE)</f>
        <v>COHR</v>
      </c>
      <c r="D808" s="4">
        <v>79.510000000000005</v>
      </c>
      <c r="E808" s="50">
        <v>-3</v>
      </c>
      <c r="F808" s="81">
        <f>IF(Table25[[#This Row],[Number of stocks]]&gt;0,Table25[[#This Row],[Number of stocks]],0)</f>
        <v>0</v>
      </c>
      <c r="G808" s="73">
        <f>Table25[[#This Row],[Bought]]*Table25[[#This Row],[Price]]</f>
        <v>0</v>
      </c>
      <c r="H808">
        <f>SUMIF(Table25[[#All],[Assets]],Table25[[#This Row],[Assets]],Table25[[#All],[Bought]])</f>
        <v>5</v>
      </c>
      <c r="I808">
        <f>SUMIF(Table25[[#All],[Assets]],Table25[[#This Row],[Assets]],Table25[[#All],[Bought Amount]])</f>
        <v>381.75</v>
      </c>
      <c r="J808" s="88">
        <f>IF(Table25[[#This Row],[Number of stocks]]&lt;0,Table25[[#This Row],[Number of stocks]],0)</f>
        <v>-3</v>
      </c>
      <c r="K808" s="5">
        <f>Table25[[#This Row],[Sold]]*Table25[[#This Row],[Price]]</f>
        <v>-238.53000000000003</v>
      </c>
      <c r="L808" s="8">
        <f>ABS(SUMIF(Table25[[#All],[Assets]],Table25[[#This Row],[Assets]],Table25[[#All],[Sold]]))</f>
        <v>5</v>
      </c>
      <c r="M808" s="5">
        <f>ABS(SUMIF(Table25[[#All],[Assets]],Table25[[#This Row],[Assets]],Table25[[#All],[Sold Amount]]))</f>
        <v>396.57000000000005</v>
      </c>
      <c r="N808" s="5">
        <f>IFERROR(Table25[[#This Row],[Total sold amount]]/Table25[[#This Row],[Total Sold number of stocks]],"")</f>
        <v>79.314000000000007</v>
      </c>
      <c r="O808" s="4">
        <f>IFERROR(Table25[[#This Row],[Total Amount bought]]/Table25[[#This Row],[Total number bought]],"")</f>
        <v>76.349999999999994</v>
      </c>
      <c r="P808" s="4">
        <f>IFERROR((Table25[[#This Row],[Average sell price]]-Table25[[#This Row],[Average buy price]])*Table25[[#This Row],[Total Sold number of stocks]],0)</f>
        <v>14.820000000000064</v>
      </c>
      <c r="Q808" s="85">
        <f>SUMIF(Table25[[#All],[Assets]],Table25[[#This Row],[Assets]],Table25[[#All],[Number of stocks]])</f>
        <v>0</v>
      </c>
    </row>
    <row r="809" spans="1:17">
      <c r="A809" t="e" vm="150">
        <v>#VALUE!</v>
      </c>
      <c r="B809" s="2">
        <v>45685</v>
      </c>
      <c r="C809" t="str" cm="1">
        <f t="array" aca="1" ref="C809" ca="1">_FV(A809,"Ticker symbol",TRUE)</f>
        <v>CIEN</v>
      </c>
      <c r="D809" s="4">
        <v>79.849999999999994</v>
      </c>
      <c r="E809" s="50">
        <v>-6</v>
      </c>
      <c r="F809" s="81">
        <f>IF(Table25[[#This Row],[Number of stocks]]&gt;0,Table25[[#This Row],[Number of stocks]],0)</f>
        <v>0</v>
      </c>
      <c r="G809" s="73">
        <f>Table25[[#This Row],[Bought]]*Table25[[#This Row],[Price]]</f>
        <v>0</v>
      </c>
      <c r="H809">
        <f>SUMIF(Table25[[#All],[Assets]],Table25[[#This Row],[Assets]],Table25[[#All],[Bought]])</f>
        <v>12</v>
      </c>
      <c r="I809">
        <f>SUMIF(Table25[[#All],[Assets]],Table25[[#This Row],[Assets]],Table25[[#All],[Bought Amount]])</f>
        <v>727.5</v>
      </c>
      <c r="J809" s="88">
        <f>IF(Table25[[#This Row],[Number of stocks]]&lt;0,Table25[[#This Row],[Number of stocks]],0)</f>
        <v>-6</v>
      </c>
      <c r="K809" s="5">
        <f>Table25[[#This Row],[Sold]]*Table25[[#This Row],[Price]]</f>
        <v>-479.09999999999997</v>
      </c>
      <c r="L809" s="8">
        <f>ABS(SUMIF(Table25[[#All],[Assets]],Table25[[#This Row],[Assets]],Table25[[#All],[Sold]]))</f>
        <v>12</v>
      </c>
      <c r="M809" s="5">
        <f>ABS(SUMIF(Table25[[#All],[Assets]],Table25[[#This Row],[Assets]],Table25[[#All],[Sold Amount]]))</f>
        <v>1017.96</v>
      </c>
      <c r="N809" s="5">
        <f>IFERROR(Table25[[#This Row],[Total sold amount]]/Table25[[#This Row],[Total Sold number of stocks]],"")</f>
        <v>84.83</v>
      </c>
      <c r="O809" s="4">
        <f>IFERROR(Table25[[#This Row],[Total Amount bought]]/Table25[[#This Row],[Total number bought]],"")</f>
        <v>60.625</v>
      </c>
      <c r="P809" s="4">
        <f>IFERROR((Table25[[#This Row],[Average sell price]]-Table25[[#This Row],[Average buy price]])*Table25[[#This Row],[Total Sold number of stocks]],0)</f>
        <v>290.45999999999998</v>
      </c>
      <c r="Q809" s="85">
        <f>SUMIF(Table25[[#All],[Assets]],Table25[[#This Row],[Assets]],Table25[[#All],[Number of stocks]])</f>
        <v>0</v>
      </c>
    </row>
    <row r="810" spans="1:17">
      <c r="A810" t="e" vm="537">
        <v>#VALUE!</v>
      </c>
      <c r="B810" s="2">
        <v>45685</v>
      </c>
      <c r="C810" t="str" cm="1">
        <f t="array" aca="1" ref="C810" ca="1">_FV(A810,"Ticker symbol",TRUE)</f>
        <v>ADSK</v>
      </c>
      <c r="D810" s="4">
        <v>327.81</v>
      </c>
      <c r="E810" s="50">
        <v>1</v>
      </c>
      <c r="F810" s="81">
        <f>IF(Table25[[#This Row],[Number of stocks]]&gt;0,Table25[[#This Row],[Number of stocks]],0)</f>
        <v>1</v>
      </c>
      <c r="G810" s="73">
        <f>Table25[[#This Row],[Bought]]*Table25[[#This Row],[Price]]</f>
        <v>327.81</v>
      </c>
      <c r="H810">
        <f>SUMIF(Table25[[#All],[Assets]],Table25[[#This Row],[Assets]],Table25[[#All],[Bought]])</f>
        <v>1</v>
      </c>
      <c r="I810">
        <f>SUMIF(Table25[[#All],[Assets]],Table25[[#This Row],[Assets]],Table25[[#All],[Bought Amount]])</f>
        <v>327.81</v>
      </c>
      <c r="J810" s="88">
        <f>IF(Table25[[#This Row],[Number of stocks]]&lt;0,Table25[[#This Row],[Number of stocks]],0)</f>
        <v>0</v>
      </c>
      <c r="K810" s="5">
        <f>Table25[[#This Row],[Sold]]*Table25[[#This Row],[Price]]</f>
        <v>0</v>
      </c>
      <c r="L810" s="8">
        <f>ABS(SUMIF(Table25[[#All],[Assets]],Table25[[#This Row],[Assets]],Table25[[#All],[Sold]]))</f>
        <v>1</v>
      </c>
      <c r="M810" s="5">
        <f>ABS(SUMIF(Table25[[#All],[Assets]],Table25[[#This Row],[Assets]],Table25[[#All],[Sold Amount]]))</f>
        <v>254.02</v>
      </c>
      <c r="N810" s="5">
        <f>IFERROR(Table25[[#This Row],[Total sold amount]]/Table25[[#This Row],[Total Sold number of stocks]],"")</f>
        <v>254.02</v>
      </c>
      <c r="O810" s="4">
        <f>IFERROR(Table25[[#This Row],[Total Amount bought]]/Table25[[#This Row],[Total number bought]],"")</f>
        <v>327.81</v>
      </c>
      <c r="P810" s="4">
        <f>IFERROR((Table25[[#This Row],[Average sell price]]-Table25[[#This Row],[Average buy price]])*Table25[[#This Row],[Total Sold number of stocks]],0)</f>
        <v>-73.789999999999992</v>
      </c>
      <c r="Q810" s="85">
        <f>SUMIF(Table25[[#All],[Assets]],Table25[[#This Row],[Assets]],Table25[[#All],[Number of stocks]])</f>
        <v>0</v>
      </c>
    </row>
    <row r="811" spans="1:17">
      <c r="A811" t="e" vm="538">
        <v>#VALUE!</v>
      </c>
      <c r="B811" s="2">
        <v>45685</v>
      </c>
      <c r="C811" t="str" cm="1">
        <f t="array" aca="1" ref="C811" ca="1">_FV(A811,"Ticker symbol",TRUE)</f>
        <v>PHR</v>
      </c>
      <c r="D811" s="4">
        <v>28.28</v>
      </c>
      <c r="E811" s="50">
        <v>20</v>
      </c>
      <c r="F811" s="81">
        <f>IF(Table25[[#This Row],[Number of stocks]]&gt;0,Table25[[#This Row],[Number of stocks]],0)</f>
        <v>20</v>
      </c>
      <c r="G811" s="73">
        <f>Table25[[#This Row],[Bought]]*Table25[[#This Row],[Price]]</f>
        <v>565.6</v>
      </c>
      <c r="H811">
        <f>SUMIF(Table25[[#All],[Assets]],Table25[[#This Row],[Assets]],Table25[[#All],[Bought]])</f>
        <v>20</v>
      </c>
      <c r="I811">
        <f>SUMIF(Table25[[#All],[Assets]],Table25[[#This Row],[Assets]],Table25[[#All],[Bought Amount]])</f>
        <v>565.6</v>
      </c>
      <c r="J811" s="88">
        <f>IF(Table25[[#This Row],[Number of stocks]]&lt;0,Table25[[#This Row],[Number of stocks]],0)</f>
        <v>0</v>
      </c>
      <c r="K811" s="5">
        <f>Table25[[#This Row],[Sold]]*Table25[[#This Row],[Price]]</f>
        <v>0</v>
      </c>
      <c r="L811" s="8">
        <f>ABS(SUMIF(Table25[[#All],[Assets]],Table25[[#This Row],[Assets]],Table25[[#All],[Sold]]))</f>
        <v>20</v>
      </c>
      <c r="M811" s="5">
        <f>ABS(SUMIF(Table25[[#All],[Assets]],Table25[[#This Row],[Assets]],Table25[[#All],[Sold Amount]]))</f>
        <v>522</v>
      </c>
      <c r="N811" s="5">
        <f>IFERROR(Table25[[#This Row],[Total sold amount]]/Table25[[#This Row],[Total Sold number of stocks]],"")</f>
        <v>26.1</v>
      </c>
      <c r="O811" s="4">
        <f>IFERROR(Table25[[#This Row],[Total Amount bought]]/Table25[[#This Row],[Total number bought]],"")</f>
        <v>28.28</v>
      </c>
      <c r="P811" s="4">
        <f>IFERROR((Table25[[#This Row],[Average sell price]]-Table25[[#This Row],[Average buy price]])*Table25[[#This Row],[Total Sold number of stocks]],0)</f>
        <v>-43.599999999999994</v>
      </c>
      <c r="Q811" s="85">
        <f>SUMIF(Table25[[#All],[Assets]],Table25[[#This Row],[Assets]],Table25[[#All],[Number of stocks]])</f>
        <v>0</v>
      </c>
    </row>
    <row r="812" spans="1:17">
      <c r="A812" t="e" vm="539">
        <v>#VALUE!</v>
      </c>
      <c r="B812" s="2">
        <v>45685</v>
      </c>
      <c r="C812" t="str" cm="1">
        <f t="array" aca="1" ref="C812" ca="1">_FV(A812,"Ticker symbol",TRUE)</f>
        <v>VEEV</v>
      </c>
      <c r="D812" s="4">
        <v>232.58</v>
      </c>
      <c r="E812" s="50">
        <v>4</v>
      </c>
      <c r="F812" s="81">
        <f>IF(Table25[[#This Row],[Number of stocks]]&gt;0,Table25[[#This Row],[Number of stocks]],0)</f>
        <v>4</v>
      </c>
      <c r="G812" s="73">
        <f>Table25[[#This Row],[Bought]]*Table25[[#This Row],[Price]]</f>
        <v>930.32</v>
      </c>
      <c r="H812">
        <f>SUMIF(Table25[[#All],[Assets]],Table25[[#This Row],[Assets]],Table25[[#All],[Bought]])</f>
        <v>4</v>
      </c>
      <c r="I812">
        <f>SUMIF(Table25[[#All],[Assets]],Table25[[#This Row],[Assets]],Table25[[#All],[Bought Amount]])</f>
        <v>930.32</v>
      </c>
      <c r="J812" s="88">
        <f>IF(Table25[[#This Row],[Number of stocks]]&lt;0,Table25[[#This Row],[Number of stocks]],0)</f>
        <v>0</v>
      </c>
      <c r="K812" s="5">
        <f>Table25[[#This Row],[Sold]]*Table25[[#This Row],[Price]]</f>
        <v>0</v>
      </c>
      <c r="L812" s="8">
        <f>ABS(SUMIF(Table25[[#All],[Assets]],Table25[[#This Row],[Assets]],Table25[[#All],[Sold]]))</f>
        <v>4</v>
      </c>
      <c r="M812" s="5">
        <f>ABS(SUMIF(Table25[[#All],[Assets]],Table25[[#This Row],[Assets]],Table25[[#All],[Sold Amount]]))</f>
        <v>923.08</v>
      </c>
      <c r="N812" s="5">
        <f>IFERROR(Table25[[#This Row],[Total sold amount]]/Table25[[#This Row],[Total Sold number of stocks]],"")</f>
        <v>230.77</v>
      </c>
      <c r="O812" s="4">
        <f>IFERROR(Table25[[#This Row],[Total Amount bought]]/Table25[[#This Row],[Total number bought]],"")</f>
        <v>232.58</v>
      </c>
      <c r="P812" s="4">
        <f>IFERROR((Table25[[#This Row],[Average sell price]]-Table25[[#This Row],[Average buy price]])*Table25[[#This Row],[Total Sold number of stocks]],0)</f>
        <v>-7.2400000000000091</v>
      </c>
      <c r="Q812" s="85">
        <f>SUMIF(Table25[[#All],[Assets]],Table25[[#This Row],[Assets]],Table25[[#All],[Number of stocks]])</f>
        <v>0</v>
      </c>
    </row>
    <row r="813" spans="1:17">
      <c r="A813" t="e" vm="469">
        <v>#VALUE!</v>
      </c>
      <c r="B813" s="2">
        <v>45685</v>
      </c>
      <c r="C813" t="str" cm="1">
        <f t="array" aca="1" ref="C813" ca="1">_FV(A813,"Ticker symbol",TRUE)</f>
        <v>LNN</v>
      </c>
      <c r="D813" s="4">
        <v>138.87</v>
      </c>
      <c r="E813" s="50">
        <v>5</v>
      </c>
      <c r="F813" s="81">
        <f>IF(Table25[[#This Row],[Number of stocks]]&gt;0,Table25[[#This Row],[Number of stocks]],0)</f>
        <v>5</v>
      </c>
      <c r="G813" s="73">
        <f>Table25[[#This Row],[Bought]]*Table25[[#This Row],[Price]]</f>
        <v>694.35</v>
      </c>
      <c r="H813">
        <f>SUMIF(Table25[[#All],[Assets]],Table25[[#This Row],[Assets]],Table25[[#All],[Bought]])</f>
        <v>10</v>
      </c>
      <c r="I813">
        <f>SUMIF(Table25[[#All],[Assets]],Table25[[#This Row],[Assets]],Table25[[#All],[Bought Amount]])</f>
        <v>1343.3</v>
      </c>
      <c r="J813" s="88">
        <f>IF(Table25[[#This Row],[Number of stocks]]&lt;0,Table25[[#This Row],[Number of stocks]],0)</f>
        <v>0</v>
      </c>
      <c r="K813" s="5">
        <f>Table25[[#This Row],[Sold]]*Table25[[#This Row],[Price]]</f>
        <v>0</v>
      </c>
      <c r="L813" s="8">
        <f>ABS(SUMIF(Table25[[#All],[Assets]],Table25[[#This Row],[Assets]],Table25[[#All],[Sold]]))</f>
        <v>10</v>
      </c>
      <c r="M813" s="5">
        <f>ABS(SUMIF(Table25[[#All],[Assets]],Table25[[#This Row],[Assets]],Table25[[#All],[Sold Amount]]))</f>
        <v>1273.9000000000001</v>
      </c>
      <c r="N813" s="5">
        <f>IFERROR(Table25[[#This Row],[Total sold amount]]/Table25[[#This Row],[Total Sold number of stocks]],"")</f>
        <v>127.39000000000001</v>
      </c>
      <c r="O813" s="4">
        <f>IFERROR(Table25[[#This Row],[Total Amount bought]]/Table25[[#This Row],[Total number bought]],"")</f>
        <v>134.32999999999998</v>
      </c>
      <c r="P813" s="4">
        <f>IFERROR((Table25[[#This Row],[Average sell price]]-Table25[[#This Row],[Average buy price]])*Table25[[#This Row],[Total Sold number of stocks]],0)</f>
        <v>-69.399999999999693</v>
      </c>
      <c r="Q813" s="85">
        <f>SUMIF(Table25[[#All],[Assets]],Table25[[#This Row],[Assets]],Table25[[#All],[Number of stocks]])</f>
        <v>0</v>
      </c>
    </row>
    <row r="814" spans="1:17">
      <c r="A814" t="e" vm="540">
        <v>#VALUE!</v>
      </c>
      <c r="B814" s="2">
        <v>45685</v>
      </c>
      <c r="C814" t="str" cm="1">
        <f t="array" aca="1" ref="C814" ca="1">_FV(A814,"Ticker symbol",TRUE)</f>
        <v>TRMB</v>
      </c>
      <c r="D814" s="4">
        <v>74.81</v>
      </c>
      <c r="E814" s="50">
        <v>6</v>
      </c>
      <c r="F814" s="81">
        <f>IF(Table25[[#This Row],[Number of stocks]]&gt;0,Table25[[#This Row],[Number of stocks]],0)</f>
        <v>6</v>
      </c>
      <c r="G814" s="73">
        <f>Table25[[#This Row],[Bought]]*Table25[[#This Row],[Price]]</f>
        <v>448.86</v>
      </c>
      <c r="H814">
        <f>SUMIF(Table25[[#All],[Assets]],Table25[[#This Row],[Assets]],Table25[[#All],[Bought]])</f>
        <v>6</v>
      </c>
      <c r="I814">
        <f>SUMIF(Table25[[#All],[Assets]],Table25[[#This Row],[Assets]],Table25[[#All],[Bought Amount]])</f>
        <v>448.86</v>
      </c>
      <c r="J814" s="88">
        <f>IF(Table25[[#This Row],[Number of stocks]]&lt;0,Table25[[#This Row],[Number of stocks]],0)</f>
        <v>0</v>
      </c>
      <c r="K814" s="5">
        <f>Table25[[#This Row],[Sold]]*Table25[[#This Row],[Price]]</f>
        <v>0</v>
      </c>
      <c r="L814" s="8">
        <f>ABS(SUMIF(Table25[[#All],[Assets]],Table25[[#This Row],[Assets]],Table25[[#All],[Sold]]))</f>
        <v>6</v>
      </c>
      <c r="M814" s="5">
        <f>ABS(SUMIF(Table25[[#All],[Assets]],Table25[[#This Row],[Assets]],Table25[[#All],[Sold Amount]]))</f>
        <v>428.70000000000005</v>
      </c>
      <c r="N814" s="5">
        <f>IFERROR(Table25[[#This Row],[Total sold amount]]/Table25[[#This Row],[Total Sold number of stocks]],"")</f>
        <v>71.45</v>
      </c>
      <c r="O814" s="4">
        <f>IFERROR(Table25[[#This Row],[Total Amount bought]]/Table25[[#This Row],[Total number bought]],"")</f>
        <v>74.81</v>
      </c>
      <c r="P814" s="4">
        <f>IFERROR((Table25[[#This Row],[Average sell price]]-Table25[[#This Row],[Average buy price]])*Table25[[#This Row],[Total Sold number of stocks]],0)</f>
        <v>-20.159999999999997</v>
      </c>
      <c r="Q814" s="85">
        <f>SUMIF(Table25[[#All],[Assets]],Table25[[#This Row],[Assets]],Table25[[#All],[Number of stocks]])</f>
        <v>0</v>
      </c>
    </row>
    <row r="815" spans="1:17">
      <c r="A815" t="e" vm="541">
        <v>#VALUE!</v>
      </c>
      <c r="B815" s="2">
        <v>45685</v>
      </c>
      <c r="C815" t="str" cm="1">
        <f t="array" aca="1" ref="C815" ca="1">_FV(A815,"Ticker symbol",TRUE)</f>
        <v>CFLT</v>
      </c>
      <c r="D815" s="4">
        <v>31.69</v>
      </c>
      <c r="E815" s="50">
        <v>15</v>
      </c>
      <c r="F815" s="81">
        <f>IF(Table25[[#This Row],[Number of stocks]]&gt;0,Table25[[#This Row],[Number of stocks]],0)</f>
        <v>15</v>
      </c>
      <c r="G815" s="73">
        <f>Table25[[#This Row],[Bought]]*Table25[[#This Row],[Price]]</f>
        <v>475.35</v>
      </c>
      <c r="H815">
        <f>SUMIF(Table25[[#All],[Assets]],Table25[[#This Row],[Assets]],Table25[[#All],[Bought]])</f>
        <v>30</v>
      </c>
      <c r="I815">
        <f>SUMIF(Table25[[#All],[Assets]],Table25[[#This Row],[Assets]],Table25[[#All],[Bought Amount]])</f>
        <v>961.95</v>
      </c>
      <c r="J815" s="88">
        <f>IF(Table25[[#This Row],[Number of stocks]]&lt;0,Table25[[#This Row],[Number of stocks]],0)</f>
        <v>0</v>
      </c>
      <c r="K815" s="5">
        <f>Table25[[#This Row],[Sold]]*Table25[[#This Row],[Price]]</f>
        <v>0</v>
      </c>
      <c r="L815" s="8">
        <f>ABS(SUMIF(Table25[[#All],[Assets]],Table25[[#This Row],[Assets]],Table25[[#All],[Sold]]))</f>
        <v>30</v>
      </c>
      <c r="M815" s="5">
        <f>ABS(SUMIF(Table25[[#All],[Assets]],Table25[[#This Row],[Assets]],Table25[[#All],[Sold Amount]]))</f>
        <v>803.40000000000009</v>
      </c>
      <c r="N815" s="5">
        <f>IFERROR(Table25[[#This Row],[Total sold amount]]/Table25[[#This Row],[Total Sold number of stocks]],"")</f>
        <v>26.780000000000005</v>
      </c>
      <c r="O815" s="4">
        <f>IFERROR(Table25[[#This Row],[Total Amount bought]]/Table25[[#This Row],[Total number bought]],"")</f>
        <v>32.065000000000005</v>
      </c>
      <c r="P815" s="4">
        <f>IFERROR((Table25[[#This Row],[Average sell price]]-Table25[[#This Row],[Average buy price]])*Table25[[#This Row],[Total Sold number of stocks]],0)</f>
        <v>-158.55000000000001</v>
      </c>
      <c r="Q815" s="85">
        <f>SUMIF(Table25[[#All],[Assets]],Table25[[#This Row],[Assets]],Table25[[#All],[Number of stocks]])</f>
        <v>0</v>
      </c>
    </row>
    <row r="816" spans="1:17">
      <c r="A816" t="e" vm="85">
        <v>#VALUE!</v>
      </c>
      <c r="B816" s="2">
        <v>45685</v>
      </c>
      <c r="C816" t="str" cm="1">
        <f t="array" aca="1" ref="C816" ca="1">_FV(A816,"Ticker symbol",TRUE)</f>
        <v>HOOD</v>
      </c>
      <c r="D816" s="4">
        <v>49.56</v>
      </c>
      <c r="E816" s="50">
        <v>-2</v>
      </c>
      <c r="F816" s="81">
        <f>IF(Table25[[#This Row],[Number of stocks]]&gt;0,Table25[[#This Row],[Number of stocks]],0)</f>
        <v>0</v>
      </c>
      <c r="G816" s="73">
        <f>Table25[[#This Row],[Bought]]*Table25[[#This Row],[Price]]</f>
        <v>0</v>
      </c>
      <c r="H816">
        <f>SUMIF(Table25[[#All],[Assets]],Table25[[#This Row],[Assets]],Table25[[#All],[Bought]])</f>
        <v>105</v>
      </c>
      <c r="I816">
        <f>SUMIF(Table25[[#All],[Assets]],Table25[[#This Row],[Assets]],Table25[[#All],[Bought Amount]])</f>
        <v>4056.0900000000006</v>
      </c>
      <c r="J816" s="88">
        <f>IF(Table25[[#This Row],[Number of stocks]]&lt;0,Table25[[#This Row],[Number of stocks]],0)</f>
        <v>-2</v>
      </c>
      <c r="K816" s="5">
        <f>Table25[[#This Row],[Sold]]*Table25[[#This Row],[Price]]</f>
        <v>-99.12</v>
      </c>
      <c r="L816" s="8">
        <f>ABS(SUMIF(Table25[[#All],[Assets]],Table25[[#This Row],[Assets]],Table25[[#All],[Sold]]))</f>
        <v>80</v>
      </c>
      <c r="M816" s="5">
        <f>ABS(SUMIF(Table25[[#All],[Assets]],Table25[[#This Row],[Assets]],Table25[[#All],[Sold Amount]]))</f>
        <v>2255.4300000000003</v>
      </c>
      <c r="N816" s="5">
        <f>IFERROR(Table25[[#This Row],[Total sold amount]]/Table25[[#This Row],[Total Sold number of stocks]],"")</f>
        <v>28.192875000000004</v>
      </c>
      <c r="O816" s="4">
        <f>IFERROR(Table25[[#This Row],[Total Amount bought]]/Table25[[#This Row],[Total number bought]],"")</f>
        <v>38.629428571428576</v>
      </c>
      <c r="P816" s="4">
        <f>IFERROR((Table25[[#This Row],[Average sell price]]-Table25[[#This Row],[Average buy price]])*Table25[[#This Row],[Total Sold number of stocks]],0)</f>
        <v>-834.92428571428582</v>
      </c>
      <c r="Q816" s="85">
        <f>SUMIF(Table25[[#All],[Assets]],Table25[[#This Row],[Assets]],Table25[[#All],[Number of stocks]])</f>
        <v>25</v>
      </c>
    </row>
    <row r="817" spans="1:17">
      <c r="A817" t="e" vm="129">
        <v>#VALUE!</v>
      </c>
      <c r="B817" s="2">
        <v>45685</v>
      </c>
      <c r="C817" t="str" cm="1">
        <f t="array" aca="1" ref="C817" ca="1">_FV(A817,"Ticker symbol",TRUE)</f>
        <v>MRVL</v>
      </c>
      <c r="D817" s="4">
        <v>104.09</v>
      </c>
      <c r="E817" s="50">
        <v>-3</v>
      </c>
      <c r="F817" s="81">
        <f>IF(Table25[[#This Row],[Number of stocks]]&gt;0,Table25[[#This Row],[Number of stocks]],0)</f>
        <v>0</v>
      </c>
      <c r="G817" s="73">
        <f>Table25[[#This Row],[Bought]]*Table25[[#This Row],[Price]]</f>
        <v>0</v>
      </c>
      <c r="H817">
        <f>SUMIF(Table25[[#All],[Assets]],Table25[[#This Row],[Assets]],Table25[[#All],[Bought]])</f>
        <v>105</v>
      </c>
      <c r="I817">
        <f>SUMIF(Table25[[#All],[Assets]],Table25[[#This Row],[Assets]],Table25[[#All],[Bought Amount]])</f>
        <v>8175.6200000000008</v>
      </c>
      <c r="J817" s="88">
        <f>IF(Table25[[#This Row],[Number of stocks]]&lt;0,Table25[[#This Row],[Number of stocks]],0)</f>
        <v>-3</v>
      </c>
      <c r="K817" s="5">
        <f>Table25[[#This Row],[Sold]]*Table25[[#This Row],[Price]]</f>
        <v>-312.27</v>
      </c>
      <c r="L817" s="8">
        <f>ABS(SUMIF(Table25[[#All],[Assets]],Table25[[#This Row],[Assets]],Table25[[#All],[Sold]]))</f>
        <v>83</v>
      </c>
      <c r="M817" s="5">
        <f>ABS(SUMIF(Table25[[#All],[Assets]],Table25[[#This Row],[Assets]],Table25[[#All],[Sold Amount]]))</f>
        <v>6745.73</v>
      </c>
      <c r="N817" s="5">
        <f>IFERROR(Table25[[#This Row],[Total sold amount]]/Table25[[#This Row],[Total Sold number of stocks]],"")</f>
        <v>81.273855421686747</v>
      </c>
      <c r="O817" s="4">
        <f>IFERROR(Table25[[#This Row],[Total Amount bought]]/Table25[[#This Row],[Total number bought]],"")</f>
        <v>77.86304761904762</v>
      </c>
      <c r="P817" s="4">
        <f>IFERROR((Table25[[#This Row],[Average sell price]]-Table25[[#This Row],[Average buy price]])*Table25[[#This Row],[Total Sold number of stocks]],0)</f>
        <v>283.09704761904754</v>
      </c>
      <c r="Q817" s="85">
        <f>SUMIF(Table25[[#All],[Assets]],Table25[[#This Row],[Assets]],Table25[[#All],[Number of stocks]])</f>
        <v>22</v>
      </c>
    </row>
    <row r="818" spans="1:17">
      <c r="A818" t="e" vm="541">
        <v>#VALUE!</v>
      </c>
      <c r="B818" s="2">
        <v>45698</v>
      </c>
      <c r="C818" t="str" cm="1">
        <f t="array" aca="1" ref="C818" ca="1">_FV(A818,"Ticker symbol",TRUE)</f>
        <v>CFLT</v>
      </c>
      <c r="D818" s="4">
        <v>31.67</v>
      </c>
      <c r="E818" s="50">
        <v>-15</v>
      </c>
      <c r="F818" s="81">
        <f>IF(Table25[[#This Row],[Number of stocks]]&gt;0,Table25[[#This Row],[Number of stocks]],0)</f>
        <v>0</v>
      </c>
      <c r="G818" s="73">
        <f>Table25[[#This Row],[Bought]]*Table25[[#This Row],[Price]]</f>
        <v>0</v>
      </c>
      <c r="H818">
        <f>SUMIF(Table25[[#All],[Assets]],Table25[[#This Row],[Assets]],Table25[[#All],[Bought]])</f>
        <v>30</v>
      </c>
      <c r="I818">
        <f>SUMIF(Table25[[#All],[Assets]],Table25[[#This Row],[Assets]],Table25[[#All],[Bought Amount]])</f>
        <v>961.95</v>
      </c>
      <c r="J818" s="88">
        <f>IF(Table25[[#This Row],[Number of stocks]]&lt;0,Table25[[#This Row],[Number of stocks]],0)</f>
        <v>-15</v>
      </c>
      <c r="K818" s="5">
        <f>Table25[[#This Row],[Sold]]*Table25[[#This Row],[Price]]</f>
        <v>-475.05</v>
      </c>
      <c r="L818" s="8">
        <f>ABS(SUMIF(Table25[[#All],[Assets]],Table25[[#This Row],[Assets]],Table25[[#All],[Sold]]))</f>
        <v>30</v>
      </c>
      <c r="M818" s="5">
        <f>ABS(SUMIF(Table25[[#All],[Assets]],Table25[[#This Row],[Assets]],Table25[[#All],[Sold Amount]]))</f>
        <v>803.40000000000009</v>
      </c>
      <c r="N818" s="5">
        <f>IFERROR(Table25[[#This Row],[Total sold amount]]/Table25[[#This Row],[Total Sold number of stocks]],"")</f>
        <v>26.780000000000005</v>
      </c>
      <c r="O818" s="4">
        <f>IFERROR(Table25[[#This Row],[Total Amount bought]]/Table25[[#This Row],[Total number bought]],"")</f>
        <v>32.065000000000005</v>
      </c>
      <c r="P818" s="4">
        <f>IFERROR((Table25[[#This Row],[Average sell price]]-Table25[[#This Row],[Average buy price]])*Table25[[#This Row],[Total Sold number of stocks]],0)</f>
        <v>-158.55000000000001</v>
      </c>
      <c r="Q818" s="85">
        <f>SUMIF(Table25[[#All],[Assets]],Table25[[#This Row],[Assets]],Table25[[#All],[Number of stocks]])</f>
        <v>0</v>
      </c>
    </row>
    <row r="819" spans="1:17">
      <c r="A819" t="e" vm="295">
        <v>#VALUE!</v>
      </c>
      <c r="B819" s="2">
        <v>45686</v>
      </c>
      <c r="C819" t="str" cm="1">
        <f t="array" aca="1" ref="C819" ca="1">_FV(A819,"Ticker symbol",TRUE)</f>
        <v>MCHP</v>
      </c>
      <c r="D819" s="4">
        <v>56.04</v>
      </c>
      <c r="E819" s="50">
        <v>-9</v>
      </c>
      <c r="F819" s="81">
        <f>IF(Table25[[#This Row],[Number of stocks]]&gt;0,Table25[[#This Row],[Number of stocks]],0)</f>
        <v>0</v>
      </c>
      <c r="G819" s="73">
        <f>Table25[[#This Row],[Bought]]*Table25[[#This Row],[Price]]</f>
        <v>0</v>
      </c>
      <c r="H819">
        <f>SUMIF(Table25[[#All],[Assets]],Table25[[#This Row],[Assets]],Table25[[#All],[Bought]])</f>
        <v>19</v>
      </c>
      <c r="I819">
        <f>SUMIF(Table25[[#All],[Assets]],Table25[[#This Row],[Assets]],Table25[[#All],[Bought Amount]])</f>
        <v>1054.31</v>
      </c>
      <c r="J819" s="88">
        <f>IF(Table25[[#This Row],[Number of stocks]]&lt;0,Table25[[#This Row],[Number of stocks]],0)</f>
        <v>-9</v>
      </c>
      <c r="K819" s="5">
        <f>Table25[[#This Row],[Sold]]*Table25[[#This Row],[Price]]</f>
        <v>-504.36</v>
      </c>
      <c r="L819" s="8">
        <f>ABS(SUMIF(Table25[[#All],[Assets]],Table25[[#This Row],[Assets]],Table25[[#All],[Sold]]))</f>
        <v>19</v>
      </c>
      <c r="M819" s="5">
        <f>ABS(SUMIF(Table25[[#All],[Assets]],Table25[[#This Row],[Assets]],Table25[[#All],[Sold Amount]]))</f>
        <v>1061.46</v>
      </c>
      <c r="N819" s="5">
        <f>IFERROR(Table25[[#This Row],[Total sold amount]]/Table25[[#This Row],[Total Sold number of stocks]],"")</f>
        <v>55.866315789473688</v>
      </c>
      <c r="O819" s="4">
        <f>IFERROR(Table25[[#This Row],[Total Amount bought]]/Table25[[#This Row],[Total number bought]],"")</f>
        <v>55.489999999999995</v>
      </c>
      <c r="P819" s="4">
        <f>IFERROR((Table25[[#This Row],[Average sell price]]-Table25[[#This Row],[Average buy price]])*Table25[[#This Row],[Total Sold number of stocks]],0)</f>
        <v>7.1500000000001762</v>
      </c>
      <c r="Q819" s="85">
        <f>SUMIF(Table25[[#All],[Assets]],Table25[[#This Row],[Assets]],Table25[[#All],[Number of stocks]])</f>
        <v>0</v>
      </c>
    </row>
    <row r="820" spans="1:17">
      <c r="A820" t="e" vm="542">
        <v>#VALUE!</v>
      </c>
      <c r="B820" s="2">
        <v>45686</v>
      </c>
      <c r="C820" t="str" cm="1">
        <f t="array" aca="1" ref="C820" ca="1">_FV(A820,"Ticker symbol",TRUE)</f>
        <v>LPRO</v>
      </c>
      <c r="D820" s="4">
        <v>6.53</v>
      </c>
      <c r="E820" s="50">
        <v>150</v>
      </c>
      <c r="F820" s="81">
        <f>IF(Table25[[#This Row],[Number of stocks]]&gt;0,Table25[[#This Row],[Number of stocks]],0)</f>
        <v>150</v>
      </c>
      <c r="G820" s="73">
        <f>Table25[[#This Row],[Bought]]*Table25[[#This Row],[Price]]</f>
        <v>979.5</v>
      </c>
      <c r="H820">
        <f>SUMIF(Table25[[#All],[Assets]],Table25[[#This Row],[Assets]],Table25[[#All],[Bought]])</f>
        <v>150</v>
      </c>
      <c r="I820">
        <f>SUMIF(Table25[[#All],[Assets]],Table25[[#This Row],[Assets]],Table25[[#All],[Bought Amount]])</f>
        <v>979.5</v>
      </c>
      <c r="J820" s="88">
        <f>IF(Table25[[#This Row],[Number of stocks]]&lt;0,Table25[[#This Row],[Number of stocks]],0)</f>
        <v>0</v>
      </c>
      <c r="K820" s="5">
        <f>Table25[[#This Row],[Sold]]*Table25[[#This Row],[Price]]</f>
        <v>0</v>
      </c>
      <c r="L820" s="8">
        <f>ABS(SUMIF(Table25[[#All],[Assets]],Table25[[#This Row],[Assets]],Table25[[#All],[Sold]]))</f>
        <v>150</v>
      </c>
      <c r="M820" s="5">
        <f>ABS(SUMIF(Table25[[#All],[Assets]],Table25[[#This Row],[Assets]],Table25[[#All],[Sold Amount]]))</f>
        <v>706.5</v>
      </c>
      <c r="N820" s="5">
        <f>IFERROR(Table25[[#This Row],[Total sold amount]]/Table25[[#This Row],[Total Sold number of stocks]],"")</f>
        <v>4.71</v>
      </c>
      <c r="O820" s="4">
        <f>IFERROR(Table25[[#This Row],[Total Amount bought]]/Table25[[#This Row],[Total number bought]],"")</f>
        <v>6.53</v>
      </c>
      <c r="P820" s="4">
        <f>IFERROR((Table25[[#This Row],[Average sell price]]-Table25[[#This Row],[Average buy price]])*Table25[[#This Row],[Total Sold number of stocks]],0)</f>
        <v>-273.00000000000006</v>
      </c>
      <c r="Q820" s="85">
        <f>SUMIF(Table25[[#All],[Assets]],Table25[[#This Row],[Assets]],Table25[[#All],[Number of stocks]])</f>
        <v>0</v>
      </c>
    </row>
    <row r="821" spans="1:17">
      <c r="A821" t="e" vm="543">
        <v>#VALUE!</v>
      </c>
      <c r="B821" s="2">
        <v>45686</v>
      </c>
      <c r="C821" t="str" cm="1">
        <f t="array" aca="1" ref="C821" ca="1">_FV(A821,"Ticker symbol",TRUE)</f>
        <v>DKNG</v>
      </c>
      <c r="D821" s="4">
        <v>41.78</v>
      </c>
      <c r="E821" s="50">
        <v>8</v>
      </c>
      <c r="F821" s="81">
        <f>IF(Table25[[#This Row],[Number of stocks]]&gt;0,Table25[[#This Row],[Number of stocks]],0)</f>
        <v>8</v>
      </c>
      <c r="G821" s="73">
        <f>Table25[[#This Row],[Bought]]*Table25[[#This Row],[Price]]</f>
        <v>334.24</v>
      </c>
      <c r="H821">
        <f>SUMIF(Table25[[#All],[Assets]],Table25[[#This Row],[Assets]],Table25[[#All],[Bought]])</f>
        <v>8</v>
      </c>
      <c r="I821">
        <f>SUMIF(Table25[[#All],[Assets]],Table25[[#This Row],[Assets]],Table25[[#All],[Bought Amount]])</f>
        <v>334.24</v>
      </c>
      <c r="J821" s="88">
        <f>IF(Table25[[#This Row],[Number of stocks]]&lt;0,Table25[[#This Row],[Number of stocks]],0)</f>
        <v>0</v>
      </c>
      <c r="K821" s="5">
        <f>Table25[[#This Row],[Sold]]*Table25[[#This Row],[Price]]</f>
        <v>0</v>
      </c>
      <c r="L821" s="8">
        <f>ABS(SUMIF(Table25[[#All],[Assets]],Table25[[#This Row],[Assets]],Table25[[#All],[Sold]]))</f>
        <v>8</v>
      </c>
      <c r="M821" s="5">
        <f>ABS(SUMIF(Table25[[#All],[Assets]],Table25[[#This Row],[Assets]],Table25[[#All],[Sold Amount]]))</f>
        <v>343.04</v>
      </c>
      <c r="N821" s="5">
        <f>IFERROR(Table25[[#This Row],[Total sold amount]]/Table25[[#This Row],[Total Sold number of stocks]],"")</f>
        <v>42.88</v>
      </c>
      <c r="O821" s="4">
        <f>IFERROR(Table25[[#This Row],[Total Amount bought]]/Table25[[#This Row],[Total number bought]],"")</f>
        <v>41.78</v>
      </c>
      <c r="P821" s="4">
        <f>IFERROR((Table25[[#This Row],[Average sell price]]-Table25[[#This Row],[Average buy price]])*Table25[[#This Row],[Total Sold number of stocks]],0)</f>
        <v>8.8000000000000114</v>
      </c>
      <c r="Q821" s="85">
        <f>SUMIF(Table25[[#All],[Assets]],Table25[[#This Row],[Assets]],Table25[[#All],[Number of stocks]])</f>
        <v>0</v>
      </c>
    </row>
    <row r="822" spans="1:17">
      <c r="A822" t="e" vm="65">
        <v>#VALUE!</v>
      </c>
      <c r="B822" s="2">
        <v>45686</v>
      </c>
      <c r="C822" t="str" cm="1">
        <f t="array" aca="1" ref="C822" ca="1">_FV(A822,"Ticker symbol",TRUE)</f>
        <v>GAP</v>
      </c>
      <c r="D822" s="4">
        <v>24.46</v>
      </c>
      <c r="E822" s="50">
        <v>40</v>
      </c>
      <c r="F822" s="81">
        <f>IF(Table25[[#This Row],[Number of stocks]]&gt;0,Table25[[#This Row],[Number of stocks]],0)</f>
        <v>40</v>
      </c>
      <c r="G822" s="73">
        <f>Table25[[#This Row],[Bought]]*Table25[[#This Row],[Price]]</f>
        <v>978.40000000000009</v>
      </c>
      <c r="H822">
        <f>SUMIF(Table25[[#All],[Assets]],Table25[[#This Row],[Assets]],Table25[[#All],[Bought]])</f>
        <v>166</v>
      </c>
      <c r="I822">
        <f>SUMIF(Table25[[#All],[Assets]],Table25[[#This Row],[Assets]],Table25[[#All],[Bought Amount]])</f>
        <v>3889.4200000000005</v>
      </c>
      <c r="J822" s="88">
        <f>IF(Table25[[#This Row],[Number of stocks]]&lt;0,Table25[[#This Row],[Number of stocks]],0)</f>
        <v>0</v>
      </c>
      <c r="K822" s="5">
        <f>Table25[[#This Row],[Sold]]*Table25[[#This Row],[Price]]</f>
        <v>0</v>
      </c>
      <c r="L822" s="8">
        <f>ABS(SUMIF(Table25[[#All],[Assets]],Table25[[#This Row],[Assets]],Table25[[#All],[Sold]]))</f>
        <v>166</v>
      </c>
      <c r="M822" s="5">
        <f>ABS(SUMIF(Table25[[#All],[Assets]],Table25[[#This Row],[Assets]],Table25[[#All],[Sold Amount]]))</f>
        <v>3423.32</v>
      </c>
      <c r="N822" s="5">
        <f>IFERROR(Table25[[#This Row],[Total sold amount]]/Table25[[#This Row],[Total Sold number of stocks]],"")</f>
        <v>20.622409638554217</v>
      </c>
      <c r="O822" s="4">
        <f>IFERROR(Table25[[#This Row],[Total Amount bought]]/Table25[[#This Row],[Total number bought]],"")</f>
        <v>23.430240963855425</v>
      </c>
      <c r="P822" s="4">
        <f>IFERROR((Table25[[#This Row],[Average sell price]]-Table25[[#This Row],[Average buy price]])*Table25[[#This Row],[Total Sold number of stocks]],0)</f>
        <v>-466.10000000000059</v>
      </c>
      <c r="Q822" s="85">
        <f>SUMIF(Table25[[#All],[Assets]],Table25[[#This Row],[Assets]],Table25[[#All],[Number of stocks]])</f>
        <v>0</v>
      </c>
    </row>
    <row r="823" spans="1:17">
      <c r="A823" t="e" vm="41">
        <v>#VALUE!</v>
      </c>
      <c r="B823" s="2">
        <v>45688</v>
      </c>
      <c r="C823" t="str" cm="1">
        <f t="array" aca="1" ref="C823" ca="1">_FV(A823,"Ticker symbol",TRUE)</f>
        <v>AGX</v>
      </c>
      <c r="D823" s="4">
        <v>134.16999999999999</v>
      </c>
      <c r="E823" s="50">
        <v>2</v>
      </c>
      <c r="F823" s="81">
        <f>IF(Table25[[#This Row],[Number of stocks]]&gt;0,Table25[[#This Row],[Number of stocks]],0)</f>
        <v>2</v>
      </c>
      <c r="G823" s="73">
        <f>Table25[[#This Row],[Bought]]*Table25[[#This Row],[Price]]</f>
        <v>268.33999999999997</v>
      </c>
      <c r="H823">
        <f>SUMIF(Table25[[#All],[Assets]],Table25[[#This Row],[Assets]],Table25[[#All],[Bought]])</f>
        <v>18</v>
      </c>
      <c r="I823">
        <f>SUMIF(Table25[[#All],[Assets]],Table25[[#This Row],[Assets]],Table25[[#All],[Bought Amount]])</f>
        <v>2470.9900000000002</v>
      </c>
      <c r="J823" s="88">
        <f>IF(Table25[[#This Row],[Number of stocks]]&lt;0,Table25[[#This Row],[Number of stocks]],0)</f>
        <v>0</v>
      </c>
      <c r="K823" s="5">
        <f>Table25[[#This Row],[Sold]]*Table25[[#This Row],[Price]]</f>
        <v>0</v>
      </c>
      <c r="L823" s="8">
        <f>ABS(SUMIF(Table25[[#All],[Assets]],Table25[[#This Row],[Assets]],Table25[[#All],[Sold]]))</f>
        <v>18</v>
      </c>
      <c r="M823" s="5">
        <f>ABS(SUMIF(Table25[[#All],[Assets]],Table25[[#This Row],[Assets]],Table25[[#All],[Sold Amount]]))</f>
        <v>3587.9800000000005</v>
      </c>
      <c r="N823" s="5">
        <f>IFERROR(Table25[[#This Row],[Total sold amount]]/Table25[[#This Row],[Total Sold number of stocks]],"")</f>
        <v>199.33222222222224</v>
      </c>
      <c r="O823" s="4">
        <f>IFERROR(Table25[[#This Row],[Total Amount bought]]/Table25[[#This Row],[Total number bought]],"")</f>
        <v>137.27722222222224</v>
      </c>
      <c r="P823" s="4">
        <f>IFERROR((Table25[[#This Row],[Average sell price]]-Table25[[#This Row],[Average buy price]])*Table25[[#This Row],[Total Sold number of stocks]],0)</f>
        <v>1116.9900000000002</v>
      </c>
      <c r="Q823" s="85">
        <f>SUMIF(Table25[[#All],[Assets]],Table25[[#This Row],[Assets]],Table25[[#All],[Number of stocks]])</f>
        <v>0</v>
      </c>
    </row>
    <row r="824" spans="1:17">
      <c r="A824" t="e" vm="236">
        <v>#VALUE!</v>
      </c>
      <c r="B824" s="2">
        <v>45688</v>
      </c>
      <c r="C824" t="str" cm="1">
        <f t="array" aca="1" ref="C824" ca="1">_FV(A824,"Ticker symbol",TRUE)</f>
        <v>ESTC</v>
      </c>
      <c r="D824" s="4">
        <v>113.94</v>
      </c>
      <c r="E824" s="50">
        <v>3</v>
      </c>
      <c r="F824" s="81">
        <f>IF(Table25[[#This Row],[Number of stocks]]&gt;0,Table25[[#This Row],[Number of stocks]],0)</f>
        <v>3</v>
      </c>
      <c r="G824" s="73">
        <f>Table25[[#This Row],[Bought]]*Table25[[#This Row],[Price]]</f>
        <v>341.82</v>
      </c>
      <c r="H824">
        <f>SUMIF(Table25[[#All],[Assets]],Table25[[#This Row],[Assets]],Table25[[#All],[Bought]])</f>
        <v>27</v>
      </c>
      <c r="I824">
        <f>SUMIF(Table25[[#All],[Assets]],Table25[[#This Row],[Assets]],Table25[[#All],[Bought Amount]])</f>
        <v>2776.75</v>
      </c>
      <c r="J824" s="88">
        <f>IF(Table25[[#This Row],[Number of stocks]]&lt;0,Table25[[#This Row],[Number of stocks]],0)</f>
        <v>0</v>
      </c>
      <c r="K824" s="5">
        <f>Table25[[#This Row],[Sold]]*Table25[[#This Row],[Price]]</f>
        <v>0</v>
      </c>
      <c r="L824" s="8">
        <f>ABS(SUMIF(Table25[[#All],[Assets]],Table25[[#This Row],[Assets]],Table25[[#All],[Sold]]))</f>
        <v>27</v>
      </c>
      <c r="M824" s="5">
        <f>ABS(SUMIF(Table25[[#All],[Assets]],Table25[[#This Row],[Assets]],Table25[[#All],[Sold Amount]]))</f>
        <v>2320.58</v>
      </c>
      <c r="N824" s="5">
        <f>IFERROR(Table25[[#This Row],[Total sold amount]]/Table25[[#This Row],[Total Sold number of stocks]],"")</f>
        <v>85.947407407407411</v>
      </c>
      <c r="O824" s="4">
        <f>IFERROR(Table25[[#This Row],[Total Amount bought]]/Table25[[#This Row],[Total number bought]],"")</f>
        <v>102.8425925925926</v>
      </c>
      <c r="P824" s="4">
        <f>IFERROR((Table25[[#This Row],[Average sell price]]-Table25[[#This Row],[Average buy price]])*Table25[[#This Row],[Total Sold number of stocks]],0)</f>
        <v>-456.16999999999996</v>
      </c>
      <c r="Q824" s="85">
        <f>SUMIF(Table25[[#All],[Assets]],Table25[[#This Row],[Assets]],Table25[[#All],[Number of stocks]])</f>
        <v>0</v>
      </c>
    </row>
    <row r="825" spans="1:17">
      <c r="A825" t="e" vm="271">
        <v>#VALUE!</v>
      </c>
      <c r="B825" s="2">
        <v>45688</v>
      </c>
      <c r="C825" t="str" cm="1">
        <f t="array" aca="1" ref="C825" ca="1">_FV(A825,"Ticker symbol",TRUE)</f>
        <v>POET</v>
      </c>
      <c r="D825" s="4">
        <v>4.79</v>
      </c>
      <c r="E825" s="50">
        <v>-65</v>
      </c>
      <c r="F825" s="81">
        <f>IF(Table25[[#This Row],[Number of stocks]]&gt;0,Table25[[#This Row],[Number of stocks]],0)</f>
        <v>0</v>
      </c>
      <c r="G825" s="73">
        <f>Table25[[#This Row],[Bought]]*Table25[[#This Row],[Price]]</f>
        <v>0</v>
      </c>
      <c r="H825">
        <f>SUMIF(Table25[[#All],[Assets]],Table25[[#This Row],[Assets]],Table25[[#All],[Bought]])</f>
        <v>150</v>
      </c>
      <c r="I825">
        <f>SUMIF(Table25[[#All],[Assets]],Table25[[#This Row],[Assets]],Table25[[#All],[Bought Amount]])</f>
        <v>673</v>
      </c>
      <c r="J825" s="88">
        <f>IF(Table25[[#This Row],[Number of stocks]]&lt;0,Table25[[#This Row],[Number of stocks]],0)</f>
        <v>-65</v>
      </c>
      <c r="K825" s="5">
        <f>Table25[[#This Row],[Sold]]*Table25[[#This Row],[Price]]</f>
        <v>-311.35000000000002</v>
      </c>
      <c r="L825" s="8">
        <f>ABS(SUMIF(Table25[[#All],[Assets]],Table25[[#This Row],[Assets]],Table25[[#All],[Sold]]))</f>
        <v>130</v>
      </c>
      <c r="M825" s="5">
        <f>ABS(SUMIF(Table25[[#All],[Assets]],Table25[[#This Row],[Assets]],Table25[[#All],[Sold Amount]]))</f>
        <v>650</v>
      </c>
      <c r="N825" s="5">
        <f>IFERROR(Table25[[#This Row],[Total sold amount]]/Table25[[#This Row],[Total Sold number of stocks]],"")</f>
        <v>5</v>
      </c>
      <c r="O825" s="4">
        <f>IFERROR(Table25[[#This Row],[Total Amount bought]]/Table25[[#This Row],[Total number bought]],"")</f>
        <v>4.4866666666666664</v>
      </c>
      <c r="P825" s="4">
        <f>IFERROR((Table25[[#This Row],[Average sell price]]-Table25[[#This Row],[Average buy price]])*Table25[[#This Row],[Total Sold number of stocks]],0)</f>
        <v>66.733333333333377</v>
      </c>
      <c r="Q825" s="85">
        <f>SUMIF(Table25[[#All],[Assets]],Table25[[#This Row],[Assets]],Table25[[#All],[Number of stocks]])</f>
        <v>20</v>
      </c>
    </row>
    <row r="826" spans="1:17">
      <c r="A826" t="e" vm="536">
        <v>#VALUE!</v>
      </c>
      <c r="B826" s="2">
        <v>45691</v>
      </c>
      <c r="C826" t="str" cm="1">
        <f t="array" aca="1" ref="C826" ca="1">_FV(A826,"Ticker symbol",TRUE)</f>
        <v>PATH</v>
      </c>
      <c r="D826" s="4">
        <v>14.32</v>
      </c>
      <c r="E826" s="50">
        <v>20</v>
      </c>
      <c r="F826" s="81">
        <f>IF(Table25[[#This Row],[Number of stocks]]&gt;0,Table25[[#This Row],[Number of stocks]],0)</f>
        <v>20</v>
      </c>
      <c r="G826" s="73">
        <f>Table25[[#This Row],[Bought]]*Table25[[#This Row],[Price]]</f>
        <v>286.39999999999998</v>
      </c>
      <c r="H826">
        <f>SUMIF(Table25[[#All],[Assets]],Table25[[#This Row],[Assets]],Table25[[#All],[Bought]])</f>
        <v>157</v>
      </c>
      <c r="I826">
        <f>SUMIF(Table25[[#All],[Assets]],Table25[[#This Row],[Assets]],Table25[[#All],[Bought Amount]])</f>
        <v>2144.77</v>
      </c>
      <c r="J826" s="88">
        <f>IF(Table25[[#This Row],[Number of stocks]]&lt;0,Table25[[#This Row],[Number of stocks]],0)</f>
        <v>0</v>
      </c>
      <c r="K826" s="5">
        <f>Table25[[#This Row],[Sold]]*Table25[[#This Row],[Price]]</f>
        <v>0</v>
      </c>
      <c r="L826" s="8">
        <f>ABS(SUMIF(Table25[[#All],[Assets]],Table25[[#This Row],[Assets]],Table25[[#All],[Sold]]))</f>
        <v>157</v>
      </c>
      <c r="M826" s="5">
        <f>ABS(SUMIF(Table25[[#All],[Assets]],Table25[[#This Row],[Assets]],Table25[[#All],[Sold Amount]]))</f>
        <v>1989.9099999999999</v>
      </c>
      <c r="N826" s="5">
        <f>IFERROR(Table25[[#This Row],[Total sold amount]]/Table25[[#This Row],[Total Sold number of stocks]],"")</f>
        <v>12.674585987261146</v>
      </c>
      <c r="O826" s="4">
        <f>IFERROR(Table25[[#This Row],[Total Amount bought]]/Table25[[#This Row],[Total number bought]],"")</f>
        <v>13.660955414012738</v>
      </c>
      <c r="P826" s="4">
        <f>IFERROR((Table25[[#This Row],[Average sell price]]-Table25[[#This Row],[Average buy price]])*Table25[[#This Row],[Total Sold number of stocks]],0)</f>
        <v>-154.85999999999996</v>
      </c>
      <c r="Q826" s="85">
        <f>SUMIF(Table25[[#All],[Assets]],Table25[[#This Row],[Assets]],Table25[[#All],[Number of stocks]])</f>
        <v>0</v>
      </c>
    </row>
    <row r="827" spans="1:17">
      <c r="A827" t="e" vm="77">
        <v>#VALUE!</v>
      </c>
      <c r="B827" s="2">
        <v>45691</v>
      </c>
      <c r="C827" t="str" cm="1">
        <f t="array" aca="1" ref="C827" ca="1">_FV(A827,"Ticker symbol",TRUE)</f>
        <v>STIM</v>
      </c>
      <c r="D827" s="4">
        <v>3.26</v>
      </c>
      <c r="E827" s="50">
        <v>100</v>
      </c>
      <c r="F827" s="81">
        <f>IF(Table25[[#This Row],[Number of stocks]]&gt;0,Table25[[#This Row],[Number of stocks]],0)</f>
        <v>100</v>
      </c>
      <c r="G827" s="73">
        <f>Table25[[#This Row],[Bought]]*Table25[[#This Row],[Price]]</f>
        <v>326</v>
      </c>
      <c r="H827">
        <f>SUMIF(Table25[[#All],[Assets]],Table25[[#This Row],[Assets]],Table25[[#All],[Bought]])</f>
        <v>7036.45</v>
      </c>
      <c r="I827">
        <f>SUMIF(Table25[[#All],[Assets]],Table25[[#This Row],[Assets]],Table25[[#All],[Bought Amount]])</f>
        <v>19162.260000000002</v>
      </c>
      <c r="J827" s="88">
        <f>IF(Table25[[#This Row],[Number of stocks]]&lt;0,Table25[[#This Row],[Number of stocks]],0)</f>
        <v>0</v>
      </c>
      <c r="K827" s="5">
        <f>Table25[[#This Row],[Sold]]*Table25[[#This Row],[Price]]</f>
        <v>0</v>
      </c>
      <c r="L827" s="8">
        <f>ABS(SUMIF(Table25[[#All],[Assets]],Table25[[#This Row],[Assets]],Table25[[#All],[Sold]]))</f>
        <v>6686.45</v>
      </c>
      <c r="M827" s="5">
        <f>ABS(SUMIF(Table25[[#All],[Assets]],Table25[[#This Row],[Assets]],Table25[[#All],[Sold Amount]]))</f>
        <v>19226.484999999997</v>
      </c>
      <c r="N827" s="5">
        <f>IFERROR(Table25[[#This Row],[Total sold amount]]/Table25[[#This Row],[Total Sold number of stocks]],"")</f>
        <v>2.8754398821497205</v>
      </c>
      <c r="O827" s="4">
        <f>IFERROR(Table25[[#This Row],[Total Amount bought]]/Table25[[#This Row],[Total number bought]],"")</f>
        <v>2.7232851793162749</v>
      </c>
      <c r="P827" s="4">
        <f>IFERROR((Table25[[#This Row],[Average sell price]]-Table25[[#This Row],[Average buy price]])*Table25[[#This Row],[Total Sold number of stocks]],0)</f>
        <v>1017.3748127606921</v>
      </c>
      <c r="Q827" s="85">
        <f>SUMIF(Table25[[#All],[Assets]],Table25[[#This Row],[Assets]],Table25[[#All],[Number of stocks]])</f>
        <v>349.99999999999977</v>
      </c>
    </row>
    <row r="828" spans="1:17">
      <c r="A828" t="e" vm="536">
        <v>#VALUE!</v>
      </c>
      <c r="B828" s="2">
        <v>45691</v>
      </c>
      <c r="C828" t="str" cm="1">
        <f t="array" aca="1" ref="C828" ca="1">_FV(A828,"Ticker symbol",TRUE)</f>
        <v>PATH</v>
      </c>
      <c r="D828" s="4">
        <v>14.35</v>
      </c>
      <c r="E828" s="50">
        <v>20</v>
      </c>
      <c r="F828" s="81">
        <f>IF(Table25[[#This Row],[Number of stocks]]&gt;0,Table25[[#This Row],[Number of stocks]],0)</f>
        <v>20</v>
      </c>
      <c r="G828" s="73">
        <f>Table25[[#This Row],[Bought]]*Table25[[#This Row],[Price]]</f>
        <v>287</v>
      </c>
      <c r="H828">
        <f>SUMIF(Table25[[#All],[Assets]],Table25[[#This Row],[Assets]],Table25[[#All],[Bought]])</f>
        <v>157</v>
      </c>
      <c r="I828">
        <f>SUMIF(Table25[[#All],[Assets]],Table25[[#This Row],[Assets]],Table25[[#All],[Bought Amount]])</f>
        <v>2144.77</v>
      </c>
      <c r="J828" s="88">
        <f>IF(Table25[[#This Row],[Number of stocks]]&lt;0,Table25[[#This Row],[Number of stocks]],0)</f>
        <v>0</v>
      </c>
      <c r="K828" s="5">
        <f>Table25[[#This Row],[Sold]]*Table25[[#This Row],[Price]]</f>
        <v>0</v>
      </c>
      <c r="L828" s="8">
        <f>ABS(SUMIF(Table25[[#All],[Assets]],Table25[[#This Row],[Assets]],Table25[[#All],[Sold]]))</f>
        <v>157</v>
      </c>
      <c r="M828" s="5">
        <f>ABS(SUMIF(Table25[[#All],[Assets]],Table25[[#This Row],[Assets]],Table25[[#All],[Sold Amount]]))</f>
        <v>1989.9099999999999</v>
      </c>
      <c r="N828" s="5">
        <f>IFERROR(Table25[[#This Row],[Total sold amount]]/Table25[[#This Row],[Total Sold number of stocks]],"")</f>
        <v>12.674585987261146</v>
      </c>
      <c r="O828" s="4">
        <f>IFERROR(Table25[[#This Row],[Total Amount bought]]/Table25[[#This Row],[Total number bought]],"")</f>
        <v>13.660955414012738</v>
      </c>
      <c r="P828" s="4">
        <f>IFERROR((Table25[[#This Row],[Average sell price]]-Table25[[#This Row],[Average buy price]])*Table25[[#This Row],[Total Sold number of stocks]],0)</f>
        <v>-154.85999999999996</v>
      </c>
      <c r="Q828" s="85">
        <f>SUMIF(Table25[[#All],[Assets]],Table25[[#This Row],[Assets]],Table25[[#All],[Number of stocks]])</f>
        <v>0</v>
      </c>
    </row>
    <row r="829" spans="1:17">
      <c r="A829" t="e" vm="41">
        <v>#VALUE!</v>
      </c>
      <c r="B829" s="2">
        <v>45693</v>
      </c>
      <c r="C829" t="str" cm="1">
        <f t="array" aca="1" ref="C829" ca="1">_FV(A829,"Ticker symbol",TRUE)</f>
        <v>AGX</v>
      </c>
      <c r="D829" s="4">
        <v>139.35</v>
      </c>
      <c r="E829" s="50">
        <v>2</v>
      </c>
      <c r="F829" s="81">
        <f>IF(Table25[[#This Row],[Number of stocks]]&gt;0,Table25[[#This Row],[Number of stocks]],0)</f>
        <v>2</v>
      </c>
      <c r="G829" s="73">
        <f>Table25[[#This Row],[Bought]]*Table25[[#This Row],[Price]]</f>
        <v>278.7</v>
      </c>
      <c r="H829">
        <f>SUMIF(Table25[[#All],[Assets]],Table25[[#This Row],[Assets]],Table25[[#All],[Bought]])</f>
        <v>18</v>
      </c>
      <c r="I829">
        <f>SUMIF(Table25[[#All],[Assets]],Table25[[#This Row],[Assets]],Table25[[#All],[Bought Amount]])</f>
        <v>2470.9900000000002</v>
      </c>
      <c r="J829" s="88">
        <f>IF(Table25[[#This Row],[Number of stocks]]&lt;0,Table25[[#This Row],[Number of stocks]],0)</f>
        <v>0</v>
      </c>
      <c r="K829" s="5">
        <f>Table25[[#This Row],[Sold]]*Table25[[#This Row],[Price]]</f>
        <v>0</v>
      </c>
      <c r="L829" s="8">
        <f>ABS(SUMIF(Table25[[#All],[Assets]],Table25[[#This Row],[Assets]],Table25[[#All],[Sold]]))</f>
        <v>18</v>
      </c>
      <c r="M829" s="5">
        <f>ABS(SUMIF(Table25[[#All],[Assets]],Table25[[#This Row],[Assets]],Table25[[#All],[Sold Amount]]))</f>
        <v>3587.9800000000005</v>
      </c>
      <c r="N829" s="5">
        <f>IFERROR(Table25[[#This Row],[Total sold amount]]/Table25[[#This Row],[Total Sold number of stocks]],"")</f>
        <v>199.33222222222224</v>
      </c>
      <c r="O829" s="4">
        <f>IFERROR(Table25[[#This Row],[Total Amount bought]]/Table25[[#This Row],[Total number bought]],"")</f>
        <v>137.27722222222224</v>
      </c>
      <c r="P829" s="4">
        <f>IFERROR((Table25[[#This Row],[Average sell price]]-Table25[[#This Row],[Average buy price]])*Table25[[#This Row],[Total Sold number of stocks]],0)</f>
        <v>1116.9900000000002</v>
      </c>
      <c r="Q829" s="85">
        <f>SUMIF(Table25[[#All],[Assets]],Table25[[#This Row],[Assets]],Table25[[#All],[Number of stocks]])</f>
        <v>0</v>
      </c>
    </row>
    <row r="830" spans="1:17">
      <c r="A830" t="e" vm="195">
        <v>#VALUE!</v>
      </c>
      <c r="B830" s="2">
        <v>45693</v>
      </c>
      <c r="C830" t="str" cm="1">
        <f t="array" aca="1" ref="C830" ca="1">_FV(A830,"Ticker symbol",TRUE)</f>
        <v>LBRT</v>
      </c>
      <c r="D830" s="4">
        <v>18.05</v>
      </c>
      <c r="E830" s="50">
        <v>20</v>
      </c>
      <c r="F830" s="81">
        <f>IF(Table25[[#This Row],[Number of stocks]]&gt;0,Table25[[#This Row],[Number of stocks]],0)</f>
        <v>20</v>
      </c>
      <c r="G830" s="73">
        <f>Table25[[#This Row],[Bought]]*Table25[[#This Row],[Price]]</f>
        <v>361</v>
      </c>
      <c r="H830">
        <f>SUMIF(Table25[[#All],[Assets]],Table25[[#This Row],[Assets]],Table25[[#All],[Bought]])</f>
        <v>130</v>
      </c>
      <c r="I830">
        <f>SUMIF(Table25[[#All],[Assets]],Table25[[#This Row],[Assets]],Table25[[#All],[Bought Amount]])</f>
        <v>2190.91</v>
      </c>
      <c r="J830" s="88">
        <f>IF(Table25[[#This Row],[Number of stocks]]&lt;0,Table25[[#This Row],[Number of stocks]],0)</f>
        <v>0</v>
      </c>
      <c r="K830" s="5">
        <f>Table25[[#This Row],[Sold]]*Table25[[#This Row],[Price]]</f>
        <v>0</v>
      </c>
      <c r="L830" s="8">
        <f>ABS(SUMIF(Table25[[#All],[Assets]],Table25[[#This Row],[Assets]],Table25[[#All],[Sold]]))</f>
        <v>60</v>
      </c>
      <c r="M830" s="5">
        <f>ABS(SUMIF(Table25[[#All],[Assets]],Table25[[#This Row],[Assets]],Table25[[#All],[Sold Amount]]))</f>
        <v>982.86</v>
      </c>
      <c r="N830" s="5">
        <f>IFERROR(Table25[[#This Row],[Total sold amount]]/Table25[[#This Row],[Total Sold number of stocks]],"")</f>
        <v>16.381</v>
      </c>
      <c r="O830" s="4">
        <f>IFERROR(Table25[[#This Row],[Total Amount bought]]/Table25[[#This Row],[Total number bought]],"")</f>
        <v>16.853153846153845</v>
      </c>
      <c r="P830" s="4">
        <f>IFERROR((Table25[[#This Row],[Average sell price]]-Table25[[#This Row],[Average buy price]])*Table25[[#This Row],[Total Sold number of stocks]],0)</f>
        <v>-28.329230769230662</v>
      </c>
      <c r="Q830" s="85">
        <f>SUMIF(Table25[[#All],[Assets]],Table25[[#This Row],[Assets]],Table25[[#All],[Number of stocks]])</f>
        <v>70</v>
      </c>
    </row>
    <row r="831" spans="1:17">
      <c r="A831" t="e" vm="182">
        <v>#VALUE!</v>
      </c>
      <c r="B831" s="2">
        <v>45693</v>
      </c>
      <c r="C831" t="str" cm="1">
        <f t="array" aca="1" ref="C831" ca="1">_FV(A831,"Ticker symbol",TRUE)</f>
        <v>PUMP</v>
      </c>
      <c r="D831" s="4">
        <v>9.1300000000000008</v>
      </c>
      <c r="E831" s="50">
        <v>50</v>
      </c>
      <c r="F831" s="81">
        <f>IF(Table25[[#This Row],[Number of stocks]]&gt;0,Table25[[#This Row],[Number of stocks]],0)</f>
        <v>50</v>
      </c>
      <c r="G831" s="73">
        <f>Table25[[#This Row],[Bought]]*Table25[[#This Row],[Price]]</f>
        <v>456.50000000000006</v>
      </c>
      <c r="H831">
        <f>SUMIF(Table25[[#All],[Assets]],Table25[[#This Row],[Assets]],Table25[[#All],[Bought]])</f>
        <v>425</v>
      </c>
      <c r="I831">
        <f>SUMIF(Table25[[#All],[Assets]],Table25[[#This Row],[Assets]],Table25[[#All],[Bought Amount]])</f>
        <v>2988.75</v>
      </c>
      <c r="J831" s="88">
        <f>IF(Table25[[#This Row],[Number of stocks]]&lt;0,Table25[[#This Row],[Number of stocks]],0)</f>
        <v>0</v>
      </c>
      <c r="K831" s="5">
        <f>Table25[[#This Row],[Sold]]*Table25[[#This Row],[Price]]</f>
        <v>0</v>
      </c>
      <c r="L831" s="8">
        <f>ABS(SUMIF(Table25[[#All],[Assets]],Table25[[#This Row],[Assets]],Table25[[#All],[Sold]]))</f>
        <v>100</v>
      </c>
      <c r="M831" s="5">
        <f>ABS(SUMIF(Table25[[#All],[Assets]],Table25[[#This Row],[Assets]],Table25[[#All],[Sold Amount]]))</f>
        <v>831</v>
      </c>
      <c r="N831" s="5">
        <f>IFERROR(Table25[[#This Row],[Total sold amount]]/Table25[[#This Row],[Total Sold number of stocks]],"")</f>
        <v>8.31</v>
      </c>
      <c r="O831" s="4">
        <f>IFERROR(Table25[[#This Row],[Total Amount bought]]/Table25[[#This Row],[Total number bought]],"")</f>
        <v>7.0323529411764705</v>
      </c>
      <c r="P831" s="4">
        <f>IFERROR((Table25[[#This Row],[Average sell price]]-Table25[[#This Row],[Average buy price]])*Table25[[#This Row],[Total Sold number of stocks]],0)</f>
        <v>127.764705882353</v>
      </c>
      <c r="Q831" s="85">
        <f>SUMIF(Table25[[#All],[Assets]],Table25[[#This Row],[Assets]],Table25[[#All],[Number of stocks]])</f>
        <v>325</v>
      </c>
    </row>
    <row r="832" spans="1:17">
      <c r="A832" t="e" vm="77">
        <v>#VALUE!</v>
      </c>
      <c r="B832" s="2">
        <v>45693</v>
      </c>
      <c r="C832" t="str" cm="1">
        <f t="array" aca="1" ref="C832" ca="1">_FV(A832,"Ticker symbol",TRUE)</f>
        <v>STIM</v>
      </c>
      <c r="D832" s="4">
        <v>3.38</v>
      </c>
      <c r="E832" s="50">
        <v>100</v>
      </c>
      <c r="F832" s="81">
        <f>IF(Table25[[#This Row],[Number of stocks]]&gt;0,Table25[[#This Row],[Number of stocks]],0)</f>
        <v>100</v>
      </c>
      <c r="G832" s="73">
        <f>Table25[[#This Row],[Bought]]*Table25[[#This Row],[Price]]</f>
        <v>338</v>
      </c>
      <c r="H832">
        <f>SUMIF(Table25[[#All],[Assets]],Table25[[#This Row],[Assets]],Table25[[#All],[Bought]])</f>
        <v>7036.45</v>
      </c>
      <c r="I832">
        <f>SUMIF(Table25[[#All],[Assets]],Table25[[#This Row],[Assets]],Table25[[#All],[Bought Amount]])</f>
        <v>19162.260000000002</v>
      </c>
      <c r="J832" s="88">
        <f>IF(Table25[[#This Row],[Number of stocks]]&lt;0,Table25[[#This Row],[Number of stocks]],0)</f>
        <v>0</v>
      </c>
      <c r="K832" s="5">
        <f>Table25[[#This Row],[Sold]]*Table25[[#This Row],[Price]]</f>
        <v>0</v>
      </c>
      <c r="L832" s="8">
        <f>ABS(SUMIF(Table25[[#All],[Assets]],Table25[[#This Row],[Assets]],Table25[[#All],[Sold]]))</f>
        <v>6686.45</v>
      </c>
      <c r="M832" s="5">
        <f>ABS(SUMIF(Table25[[#All],[Assets]],Table25[[#This Row],[Assets]],Table25[[#All],[Sold Amount]]))</f>
        <v>19226.484999999997</v>
      </c>
      <c r="N832" s="5">
        <f>IFERROR(Table25[[#This Row],[Total sold amount]]/Table25[[#This Row],[Total Sold number of stocks]],"")</f>
        <v>2.8754398821497205</v>
      </c>
      <c r="O832" s="4">
        <f>IFERROR(Table25[[#This Row],[Total Amount bought]]/Table25[[#This Row],[Total number bought]],"")</f>
        <v>2.7232851793162749</v>
      </c>
      <c r="P832" s="4">
        <f>IFERROR((Table25[[#This Row],[Average sell price]]-Table25[[#This Row],[Average buy price]])*Table25[[#This Row],[Total Sold number of stocks]],0)</f>
        <v>1017.3748127606921</v>
      </c>
      <c r="Q832" s="85">
        <f>SUMIF(Table25[[#All],[Assets]],Table25[[#This Row],[Assets]],Table25[[#All],[Number of stocks]])</f>
        <v>349.99999999999977</v>
      </c>
    </row>
    <row r="833" spans="1:17">
      <c r="A833" t="e" vm="73">
        <v>#VALUE!</v>
      </c>
      <c r="B833" s="2">
        <v>45694</v>
      </c>
      <c r="C833" t="str" cm="1">
        <f t="array" aca="1" ref="C833" ca="1">_FV(A833,"Ticker symbol",TRUE)</f>
        <v>NOTV</v>
      </c>
      <c r="D833" s="4">
        <v>4.0599999999999996</v>
      </c>
      <c r="E833" s="50">
        <v>500</v>
      </c>
      <c r="F833" s="81">
        <f>IF(Table25[[#This Row],[Number of stocks]]&gt;0,Table25[[#This Row],[Number of stocks]],0)</f>
        <v>500</v>
      </c>
      <c r="G833" s="73">
        <f>Table25[[#This Row],[Bought]]*Table25[[#This Row],[Price]]</f>
        <v>2029.9999999999998</v>
      </c>
      <c r="H833">
        <f>SUMIF(Table25[[#All],[Assets]],Table25[[#This Row],[Assets]],Table25[[#All],[Bought]])</f>
        <v>3556</v>
      </c>
      <c r="I833">
        <f>SUMIF(Table25[[#All],[Assets]],Table25[[#This Row],[Assets]],Table25[[#All],[Bought Amount]])</f>
        <v>10249.890000000001</v>
      </c>
      <c r="J833" s="88">
        <f>IF(Table25[[#This Row],[Number of stocks]]&lt;0,Table25[[#This Row],[Number of stocks]],0)</f>
        <v>0</v>
      </c>
      <c r="K833" s="5">
        <f>Table25[[#This Row],[Sold]]*Table25[[#This Row],[Price]]</f>
        <v>0</v>
      </c>
      <c r="L833" s="8">
        <f>ABS(SUMIF(Table25[[#All],[Assets]],Table25[[#This Row],[Assets]],Table25[[#All],[Sold]]))</f>
        <v>2741</v>
      </c>
      <c r="M833" s="5">
        <f>ABS(SUMIF(Table25[[#All],[Assets]],Table25[[#This Row],[Assets]],Table25[[#All],[Sold Amount]]))</f>
        <v>6559.66</v>
      </c>
      <c r="N833" s="5">
        <f>IFERROR(Table25[[#This Row],[Total sold amount]]/Table25[[#This Row],[Total Sold number of stocks]],"")</f>
        <v>2.3931630791681866</v>
      </c>
      <c r="O833" s="4">
        <f>IFERROR(Table25[[#This Row],[Total Amount bought]]/Table25[[#This Row],[Total number bought]],"")</f>
        <v>2.8824212598425198</v>
      </c>
      <c r="P833" s="4">
        <f>IFERROR((Table25[[#This Row],[Average sell price]]-Table25[[#This Row],[Average buy price]])*Table25[[#This Row],[Total Sold number of stocks]],0)</f>
        <v>-1341.0566732283473</v>
      </c>
      <c r="Q833" s="85">
        <f>SUMIF(Table25[[#All],[Assets]],Table25[[#This Row],[Assets]],Table25[[#All],[Number of stocks]])</f>
        <v>815</v>
      </c>
    </row>
    <row r="834" spans="1:17">
      <c r="A834" t="e" vm="544">
        <v>#VALUE!</v>
      </c>
      <c r="B834" s="2">
        <v>45694</v>
      </c>
      <c r="C834" t="str" cm="1">
        <f t="array" aca="1" ref="C834" ca="1">_FV(A834,"Ticker symbol",TRUE)</f>
        <v>CERT</v>
      </c>
      <c r="D834" s="4">
        <v>13.75</v>
      </c>
      <c r="E834" s="50">
        <v>50</v>
      </c>
      <c r="F834" s="81">
        <f>IF(Table25[[#This Row],[Number of stocks]]&gt;0,Table25[[#This Row],[Number of stocks]],0)</f>
        <v>50</v>
      </c>
      <c r="G834" s="73">
        <f>Table25[[#This Row],[Bought]]*Table25[[#This Row],[Price]]</f>
        <v>687.5</v>
      </c>
      <c r="H834">
        <f>SUMIF(Table25[[#All],[Assets]],Table25[[#This Row],[Assets]],Table25[[#All],[Bought]])</f>
        <v>70</v>
      </c>
      <c r="I834">
        <f>SUMIF(Table25[[#All],[Assets]],Table25[[#This Row],[Assets]],Table25[[#All],[Bought Amount]])</f>
        <v>969.7</v>
      </c>
      <c r="J834" s="88">
        <f>IF(Table25[[#This Row],[Number of stocks]]&lt;0,Table25[[#This Row],[Number of stocks]],0)</f>
        <v>0</v>
      </c>
      <c r="K834" s="5">
        <f>Table25[[#This Row],[Sold]]*Table25[[#This Row],[Price]]</f>
        <v>0</v>
      </c>
      <c r="L834" s="8">
        <f>ABS(SUMIF(Table25[[#All],[Assets]],Table25[[#This Row],[Assets]],Table25[[#All],[Sold]]))</f>
        <v>70</v>
      </c>
      <c r="M834" s="5">
        <f>ABS(SUMIF(Table25[[#All],[Assets]],Table25[[#This Row],[Assets]],Table25[[#All],[Sold Amount]]))</f>
        <v>825.3</v>
      </c>
      <c r="N834" s="5">
        <f>IFERROR(Table25[[#This Row],[Total sold amount]]/Table25[[#This Row],[Total Sold number of stocks]],"")</f>
        <v>11.79</v>
      </c>
      <c r="O834" s="4">
        <f>IFERROR(Table25[[#This Row],[Total Amount bought]]/Table25[[#This Row],[Total number bought]],"")</f>
        <v>13.852857142857143</v>
      </c>
      <c r="P834" s="4">
        <f>IFERROR((Table25[[#This Row],[Average sell price]]-Table25[[#This Row],[Average buy price]])*Table25[[#This Row],[Total Sold number of stocks]],0)</f>
        <v>-144.40000000000009</v>
      </c>
      <c r="Q834" s="85">
        <f>SUMIF(Table25[[#All],[Assets]],Table25[[#This Row],[Assets]],Table25[[#All],[Number of stocks]])</f>
        <v>0</v>
      </c>
    </row>
    <row r="835" spans="1:17">
      <c r="A835" t="e" vm="65">
        <v>#VALUE!</v>
      </c>
      <c r="B835" s="2">
        <v>45694</v>
      </c>
      <c r="C835" t="str" cm="1">
        <f t="array" aca="1" ref="C835" ca="1">_FV(A835,"Ticker symbol",TRUE)</f>
        <v>GAP</v>
      </c>
      <c r="D835" s="4">
        <v>23.17</v>
      </c>
      <c r="E835" s="50">
        <v>80</v>
      </c>
      <c r="F835" s="81">
        <f>IF(Table25[[#This Row],[Number of stocks]]&gt;0,Table25[[#This Row],[Number of stocks]],0)</f>
        <v>80</v>
      </c>
      <c r="G835" s="73">
        <f>Table25[[#This Row],[Bought]]*Table25[[#This Row],[Price]]</f>
        <v>1853.6000000000001</v>
      </c>
      <c r="H835">
        <f>SUMIF(Table25[[#All],[Assets]],Table25[[#This Row],[Assets]],Table25[[#All],[Bought]])</f>
        <v>166</v>
      </c>
      <c r="I835">
        <f>SUMIF(Table25[[#All],[Assets]],Table25[[#This Row],[Assets]],Table25[[#All],[Bought Amount]])</f>
        <v>3889.4200000000005</v>
      </c>
      <c r="J835" s="88">
        <f>IF(Table25[[#This Row],[Number of stocks]]&lt;0,Table25[[#This Row],[Number of stocks]],0)</f>
        <v>0</v>
      </c>
      <c r="K835" s="5">
        <f>Table25[[#This Row],[Sold]]*Table25[[#This Row],[Price]]</f>
        <v>0</v>
      </c>
      <c r="L835" s="8">
        <f>ABS(SUMIF(Table25[[#All],[Assets]],Table25[[#This Row],[Assets]],Table25[[#All],[Sold]]))</f>
        <v>166</v>
      </c>
      <c r="M835" s="5">
        <f>ABS(SUMIF(Table25[[#All],[Assets]],Table25[[#This Row],[Assets]],Table25[[#All],[Sold Amount]]))</f>
        <v>3423.32</v>
      </c>
      <c r="N835" s="5">
        <f>IFERROR(Table25[[#This Row],[Total sold amount]]/Table25[[#This Row],[Total Sold number of stocks]],"")</f>
        <v>20.622409638554217</v>
      </c>
      <c r="O835" s="4">
        <f>IFERROR(Table25[[#This Row],[Total Amount bought]]/Table25[[#This Row],[Total number bought]],"")</f>
        <v>23.430240963855425</v>
      </c>
      <c r="P835" s="4">
        <f>IFERROR((Table25[[#This Row],[Average sell price]]-Table25[[#This Row],[Average buy price]])*Table25[[#This Row],[Total Sold number of stocks]],0)</f>
        <v>-466.10000000000059</v>
      </c>
      <c r="Q835" s="85">
        <f>SUMIF(Table25[[#All],[Assets]],Table25[[#This Row],[Assets]],Table25[[#All],[Number of stocks]])</f>
        <v>0</v>
      </c>
    </row>
    <row r="836" spans="1:17">
      <c r="A836" t="e" vm="312">
        <v>#VALUE!</v>
      </c>
      <c r="B836" s="2">
        <v>45700</v>
      </c>
      <c r="C836" t="str" cm="1">
        <f t="array" aca="1" ref="C836" ca="1">_FV(A836,"Ticker symbol",TRUE)</f>
        <v>ATEC</v>
      </c>
      <c r="D836" s="4">
        <v>10.63</v>
      </c>
      <c r="E836" s="50">
        <v>-30</v>
      </c>
      <c r="F836" s="81">
        <f>IF(Table25[[#This Row],[Number of stocks]]&gt;0,Table25[[#This Row],[Number of stocks]],0)</f>
        <v>0</v>
      </c>
      <c r="G836" s="73">
        <f>Table25[[#This Row],[Bought]]*Table25[[#This Row],[Price]]</f>
        <v>0</v>
      </c>
      <c r="H836">
        <f>SUMIF(Table25[[#All],[Assets]],Table25[[#This Row],[Assets]],Table25[[#All],[Bought]])</f>
        <v>108</v>
      </c>
      <c r="I836">
        <f>SUMIF(Table25[[#All],[Assets]],Table25[[#This Row],[Assets]],Table25[[#All],[Bought Amount]])</f>
        <v>893.16</v>
      </c>
      <c r="J836" s="88">
        <f>IF(Table25[[#This Row],[Number of stocks]]&lt;0,Table25[[#This Row],[Number of stocks]],0)</f>
        <v>-30</v>
      </c>
      <c r="K836" s="5">
        <f>Table25[[#This Row],[Sold]]*Table25[[#This Row],[Price]]</f>
        <v>-318.90000000000003</v>
      </c>
      <c r="L836" s="8">
        <f>ABS(SUMIF(Table25[[#All],[Assets]],Table25[[#This Row],[Assets]],Table25[[#All],[Sold]]))</f>
        <v>108</v>
      </c>
      <c r="M836" s="5">
        <f>ABS(SUMIF(Table25[[#All],[Assets]],Table25[[#This Row],[Assets]],Table25[[#All],[Sold Amount]]))</f>
        <v>737.76</v>
      </c>
      <c r="N836" s="5">
        <f>IFERROR(Table25[[#This Row],[Total sold amount]]/Table25[[#This Row],[Total Sold number of stocks]],"")</f>
        <v>6.8311111111111114</v>
      </c>
      <c r="O836" s="4">
        <f>IFERROR(Table25[[#This Row],[Total Amount bought]]/Table25[[#This Row],[Total number bought]],"")</f>
        <v>8.27</v>
      </c>
      <c r="P836" s="4">
        <f>IFERROR((Table25[[#This Row],[Average sell price]]-Table25[[#This Row],[Average buy price]])*Table25[[#This Row],[Total Sold number of stocks]],0)</f>
        <v>-155.39999999999992</v>
      </c>
      <c r="Q836" s="85">
        <f>SUMIF(Table25[[#All],[Assets]],Table25[[#This Row],[Assets]],Table25[[#All],[Number of stocks]])</f>
        <v>0</v>
      </c>
    </row>
    <row r="837" spans="1:17">
      <c r="A837" t="e" vm="527">
        <v>#VALUE!</v>
      </c>
      <c r="B837" s="2">
        <v>45700</v>
      </c>
      <c r="C837" t="str" cm="1">
        <f t="array" aca="1" ref="C837" ca="1">_FV(A837,"Ticker symbol",TRUE)</f>
        <v>NPCE</v>
      </c>
      <c r="D837" s="4">
        <v>11.75</v>
      </c>
      <c r="E837" s="50">
        <v>-50</v>
      </c>
      <c r="F837" s="81">
        <f>IF(Table25[[#This Row],[Number of stocks]]&gt;0,Table25[[#This Row],[Number of stocks]],0)</f>
        <v>0</v>
      </c>
      <c r="G837" s="73">
        <f>Table25[[#This Row],[Bought]]*Table25[[#This Row],[Price]]</f>
        <v>0</v>
      </c>
      <c r="H837">
        <f>SUMIF(Table25[[#All],[Assets]],Table25[[#This Row],[Assets]],Table25[[#All],[Bought]])</f>
        <v>115</v>
      </c>
      <c r="I837">
        <f>SUMIF(Table25[[#All],[Assets]],Table25[[#This Row],[Assets]],Table25[[#All],[Bought Amount]])</f>
        <v>1524.3000000000002</v>
      </c>
      <c r="J837" s="88">
        <f>IF(Table25[[#This Row],[Number of stocks]]&lt;0,Table25[[#This Row],[Number of stocks]],0)</f>
        <v>-50</v>
      </c>
      <c r="K837" s="5">
        <f>Table25[[#This Row],[Sold]]*Table25[[#This Row],[Price]]</f>
        <v>-587.5</v>
      </c>
      <c r="L837" s="8">
        <f>ABS(SUMIF(Table25[[#All],[Assets]],Table25[[#This Row],[Assets]],Table25[[#All],[Sold]]))</f>
        <v>115</v>
      </c>
      <c r="M837" s="5">
        <f>ABS(SUMIF(Table25[[#All],[Assets]],Table25[[#This Row],[Assets]],Table25[[#All],[Sold Amount]]))</f>
        <v>1473.35</v>
      </c>
      <c r="N837" s="5">
        <f>IFERROR(Table25[[#This Row],[Total sold amount]]/Table25[[#This Row],[Total Sold number of stocks]],"")</f>
        <v>12.811739130434782</v>
      </c>
      <c r="O837" s="4">
        <f>IFERROR(Table25[[#This Row],[Total Amount bought]]/Table25[[#This Row],[Total number bought]],"")</f>
        <v>13.254782608695654</v>
      </c>
      <c r="P837" s="4">
        <f>IFERROR((Table25[[#This Row],[Average sell price]]-Table25[[#This Row],[Average buy price]])*Table25[[#This Row],[Total Sold number of stocks]],0)</f>
        <v>-50.950000000000287</v>
      </c>
      <c r="Q837" s="85">
        <f>SUMIF(Table25[[#All],[Assets]],Table25[[#This Row],[Assets]],Table25[[#All],[Number of stocks]])</f>
        <v>0</v>
      </c>
    </row>
    <row r="838" spans="1:17">
      <c r="A838" t="e" vm="316">
        <v>#VALUE!</v>
      </c>
      <c r="B838" s="2">
        <v>45700</v>
      </c>
      <c r="C838" t="str" cm="1">
        <f t="array" aca="1" ref="C838" ca="1">_FV(A838,"Ticker symbol",TRUE)</f>
        <v>IRTC</v>
      </c>
      <c r="D838" s="4">
        <v>107.58</v>
      </c>
      <c r="E838" s="50">
        <v>-3</v>
      </c>
      <c r="F838" s="81">
        <f>IF(Table25[[#This Row],[Number of stocks]]&gt;0,Table25[[#This Row],[Number of stocks]],0)</f>
        <v>0</v>
      </c>
      <c r="G838" s="73">
        <f>Table25[[#This Row],[Bought]]*Table25[[#This Row],[Price]]</f>
        <v>0</v>
      </c>
      <c r="H838">
        <f>SUMIF(Table25[[#All],[Assets]],Table25[[#This Row],[Assets]],Table25[[#All],[Bought]])</f>
        <v>22</v>
      </c>
      <c r="I838">
        <f>SUMIF(Table25[[#All],[Assets]],Table25[[#This Row],[Assets]],Table25[[#All],[Bought Amount]])</f>
        <v>1721.73</v>
      </c>
      <c r="J838" s="88">
        <f>IF(Table25[[#This Row],[Number of stocks]]&lt;0,Table25[[#This Row],[Number of stocks]],0)</f>
        <v>-3</v>
      </c>
      <c r="K838" s="5">
        <f>Table25[[#This Row],[Sold]]*Table25[[#This Row],[Price]]</f>
        <v>-322.74</v>
      </c>
      <c r="L838" s="8">
        <f>ABS(SUMIF(Table25[[#All],[Assets]],Table25[[#This Row],[Assets]],Table25[[#All],[Sold]]))</f>
        <v>22</v>
      </c>
      <c r="M838" s="5">
        <f>ABS(SUMIF(Table25[[#All],[Assets]],Table25[[#This Row],[Assets]],Table25[[#All],[Sold Amount]]))</f>
        <v>1870.17</v>
      </c>
      <c r="N838" s="5">
        <f>IFERROR(Table25[[#This Row],[Total sold amount]]/Table25[[#This Row],[Total Sold number of stocks]],"")</f>
        <v>85.00772727272728</v>
      </c>
      <c r="O838" s="4">
        <f>IFERROR(Table25[[#This Row],[Total Amount bought]]/Table25[[#This Row],[Total number bought]],"")</f>
        <v>78.26045454545455</v>
      </c>
      <c r="P838" s="4">
        <f>IFERROR((Table25[[#This Row],[Average sell price]]-Table25[[#This Row],[Average buy price]])*Table25[[#This Row],[Total Sold number of stocks]],0)</f>
        <v>148.44000000000005</v>
      </c>
      <c r="Q838" s="85">
        <f>SUMIF(Table25[[#All],[Assets]],Table25[[#This Row],[Assets]],Table25[[#All],[Number of stocks]])</f>
        <v>0</v>
      </c>
    </row>
    <row r="839" spans="1:17">
      <c r="A839" t="e" vm="523">
        <v>#VALUE!</v>
      </c>
      <c r="B839" s="2">
        <v>45700</v>
      </c>
      <c r="C839" t="str" cm="1">
        <f t="array" aca="1" ref="C839" ca="1">_FV(A839,"Ticker symbol",TRUE)</f>
        <v>RXST</v>
      </c>
      <c r="D839" s="4">
        <v>30.86</v>
      </c>
      <c r="E839" s="50">
        <v>-10</v>
      </c>
      <c r="F839" s="81">
        <f>IF(Table25[[#This Row],[Number of stocks]]&gt;0,Table25[[#This Row],[Number of stocks]],0)</f>
        <v>0</v>
      </c>
      <c r="G839" s="73">
        <f>Table25[[#This Row],[Bought]]*Table25[[#This Row],[Price]]</f>
        <v>0</v>
      </c>
      <c r="H839">
        <f>SUMIF(Table25[[#All],[Assets]],Table25[[#This Row],[Assets]],Table25[[#All],[Bought]])</f>
        <v>10</v>
      </c>
      <c r="I839">
        <f>SUMIF(Table25[[#All],[Assets]],Table25[[#This Row],[Assets]],Table25[[#All],[Bought Amount]])</f>
        <v>284.89999999999998</v>
      </c>
      <c r="J839" s="88">
        <f>IF(Table25[[#This Row],[Number of stocks]]&lt;0,Table25[[#This Row],[Number of stocks]],0)</f>
        <v>-10</v>
      </c>
      <c r="K839" s="5">
        <f>Table25[[#This Row],[Sold]]*Table25[[#This Row],[Price]]</f>
        <v>-308.60000000000002</v>
      </c>
      <c r="L839" s="8">
        <f>ABS(SUMIF(Table25[[#All],[Assets]],Table25[[#This Row],[Assets]],Table25[[#All],[Sold]]))</f>
        <v>10</v>
      </c>
      <c r="M839" s="5">
        <f>ABS(SUMIF(Table25[[#All],[Assets]],Table25[[#This Row],[Assets]],Table25[[#All],[Sold Amount]]))</f>
        <v>308.60000000000002</v>
      </c>
      <c r="N839" s="5">
        <f>IFERROR(Table25[[#This Row],[Total sold amount]]/Table25[[#This Row],[Total Sold number of stocks]],"")</f>
        <v>30.860000000000003</v>
      </c>
      <c r="O839" s="4">
        <f>IFERROR(Table25[[#This Row],[Total Amount bought]]/Table25[[#This Row],[Total number bought]],"")</f>
        <v>28.49</v>
      </c>
      <c r="P839" s="4">
        <f>IFERROR((Table25[[#This Row],[Average sell price]]-Table25[[#This Row],[Average buy price]])*Table25[[#This Row],[Total Sold number of stocks]],0)</f>
        <v>23.700000000000045</v>
      </c>
      <c r="Q839" s="85">
        <f>SUMIF(Table25[[#All],[Assets]],Table25[[#This Row],[Assets]],Table25[[#All],[Number of stocks]])</f>
        <v>0</v>
      </c>
    </row>
    <row r="840" spans="1:17">
      <c r="A840" t="e" vm="259">
        <v>#VALUE!</v>
      </c>
      <c r="B840" s="2">
        <v>45700</v>
      </c>
      <c r="C840" t="str" cm="1">
        <f t="array" aca="1" ref="C840" ca="1">_FV(A840,"Ticker symbol",TRUE)</f>
        <v>GRAL</v>
      </c>
      <c r="D840" s="4">
        <v>38.1</v>
      </c>
      <c r="E840" s="50">
        <v>-25</v>
      </c>
      <c r="F840" s="81">
        <f>IF(Table25[[#This Row],[Number of stocks]]&gt;0,Table25[[#This Row],[Number of stocks]],0)</f>
        <v>0</v>
      </c>
      <c r="G840" s="73">
        <f>Table25[[#This Row],[Bought]]*Table25[[#This Row],[Price]]</f>
        <v>0</v>
      </c>
      <c r="H840">
        <f>SUMIF(Table25[[#All],[Assets]],Table25[[#This Row],[Assets]],Table25[[#All],[Bought]])</f>
        <v>100</v>
      </c>
      <c r="I840">
        <f>SUMIF(Table25[[#All],[Assets]],Table25[[#This Row],[Assets]],Table25[[#All],[Bought Amount]])</f>
        <v>1720.3</v>
      </c>
      <c r="J840" s="88">
        <f>IF(Table25[[#This Row],[Number of stocks]]&lt;0,Table25[[#This Row],[Number of stocks]],0)</f>
        <v>-25</v>
      </c>
      <c r="K840" s="5">
        <f>Table25[[#This Row],[Sold]]*Table25[[#This Row],[Price]]</f>
        <v>-952.5</v>
      </c>
      <c r="L840" s="8">
        <f>ABS(SUMIF(Table25[[#All],[Assets]],Table25[[#This Row],[Assets]],Table25[[#All],[Sold]]))</f>
        <v>100</v>
      </c>
      <c r="M840" s="5">
        <f>ABS(SUMIF(Table25[[#All],[Assets]],Table25[[#This Row],[Assets]],Table25[[#All],[Sold Amount]]))</f>
        <v>2684.8</v>
      </c>
      <c r="N840" s="5">
        <f>IFERROR(Table25[[#This Row],[Total sold amount]]/Table25[[#This Row],[Total Sold number of stocks]],"")</f>
        <v>26.848000000000003</v>
      </c>
      <c r="O840" s="4">
        <f>IFERROR(Table25[[#This Row],[Total Amount bought]]/Table25[[#This Row],[Total number bought]],"")</f>
        <v>17.202999999999999</v>
      </c>
      <c r="P840" s="4">
        <f>IFERROR((Table25[[#This Row],[Average sell price]]-Table25[[#This Row],[Average buy price]])*Table25[[#This Row],[Total Sold number of stocks]],0)</f>
        <v>964.50000000000034</v>
      </c>
      <c r="Q840" s="85">
        <f>SUMIF(Table25[[#All],[Assets]],Table25[[#This Row],[Assets]],Table25[[#All],[Number of stocks]])</f>
        <v>0</v>
      </c>
    </row>
    <row r="841" spans="1:17">
      <c r="A841" t="e" vm="344">
        <v>#VALUE!</v>
      </c>
      <c r="B841" s="2">
        <v>45702</v>
      </c>
      <c r="C841" t="str" cm="1">
        <f t="array" aca="1" ref="C841" ca="1">_FV(A841,"Ticker symbol",TRUE)</f>
        <v>QDEL</v>
      </c>
      <c r="D841" s="4">
        <v>40.25</v>
      </c>
      <c r="E841" s="50">
        <v>-20</v>
      </c>
      <c r="F841" s="81">
        <f>IF(Table25[[#This Row],[Number of stocks]]&gt;0,Table25[[#This Row],[Number of stocks]],0)</f>
        <v>0</v>
      </c>
      <c r="G841" s="73">
        <f>Table25[[#This Row],[Bought]]*Table25[[#This Row],[Price]]</f>
        <v>0</v>
      </c>
      <c r="H841">
        <f>SUMIF(Table25[[#All],[Assets]],Table25[[#This Row],[Assets]],Table25[[#All],[Bought]])</f>
        <v>26</v>
      </c>
      <c r="I841">
        <f>SUMIF(Table25[[#All],[Assets]],Table25[[#This Row],[Assets]],Table25[[#All],[Bought Amount]])</f>
        <v>1148.52</v>
      </c>
      <c r="J841" s="88">
        <f>IF(Table25[[#This Row],[Number of stocks]]&lt;0,Table25[[#This Row],[Number of stocks]],0)</f>
        <v>-20</v>
      </c>
      <c r="K841" s="5">
        <f>Table25[[#This Row],[Sold]]*Table25[[#This Row],[Price]]</f>
        <v>-805</v>
      </c>
      <c r="L841" s="8">
        <f>ABS(SUMIF(Table25[[#All],[Assets]],Table25[[#This Row],[Assets]],Table25[[#All],[Sold]]))</f>
        <v>26</v>
      </c>
      <c r="M841" s="5">
        <f>ABS(SUMIF(Table25[[#All],[Assets]],Table25[[#This Row],[Assets]],Table25[[#All],[Sold Amount]]))</f>
        <v>1034.74</v>
      </c>
      <c r="N841" s="5">
        <f>IFERROR(Table25[[#This Row],[Total sold amount]]/Table25[[#This Row],[Total Sold number of stocks]],"")</f>
        <v>39.797692307692309</v>
      </c>
      <c r="O841" s="4">
        <f>IFERROR(Table25[[#This Row],[Total Amount bought]]/Table25[[#This Row],[Total number bought]],"")</f>
        <v>44.173846153846156</v>
      </c>
      <c r="P841" s="4">
        <f>IFERROR((Table25[[#This Row],[Average sell price]]-Table25[[#This Row],[Average buy price]])*Table25[[#This Row],[Total Sold number of stocks]],0)</f>
        <v>-113.78000000000004</v>
      </c>
      <c r="Q841" s="85">
        <f>SUMIF(Table25[[#All],[Assets]],Table25[[#This Row],[Assets]],Table25[[#All],[Number of stocks]])</f>
        <v>0</v>
      </c>
    </row>
    <row r="842" spans="1:17">
      <c r="A842" t="e" vm="527">
        <v>#VALUE!</v>
      </c>
      <c r="B842" s="2">
        <v>45702</v>
      </c>
      <c r="C842" t="str" cm="1">
        <f t="array" aca="1" ref="C842" ca="1">_FV(A842,"Ticker symbol",TRUE)</f>
        <v>NPCE</v>
      </c>
      <c r="D842" s="4">
        <v>13.22</v>
      </c>
      <c r="E842" s="50">
        <v>65</v>
      </c>
      <c r="F842" s="81">
        <f>IF(Table25[[#This Row],[Number of stocks]]&gt;0,Table25[[#This Row],[Number of stocks]],0)</f>
        <v>65</v>
      </c>
      <c r="G842" s="73">
        <f>Table25[[#This Row],[Bought]]*Table25[[#This Row],[Price]]</f>
        <v>859.30000000000007</v>
      </c>
      <c r="H842">
        <f>SUMIF(Table25[[#All],[Assets]],Table25[[#This Row],[Assets]],Table25[[#All],[Bought]])</f>
        <v>115</v>
      </c>
      <c r="I842">
        <f>SUMIF(Table25[[#All],[Assets]],Table25[[#This Row],[Assets]],Table25[[#All],[Bought Amount]])</f>
        <v>1524.3000000000002</v>
      </c>
      <c r="J842" s="88">
        <f>IF(Table25[[#This Row],[Number of stocks]]&lt;0,Table25[[#This Row],[Number of stocks]],0)</f>
        <v>0</v>
      </c>
      <c r="K842" s="5">
        <f>Table25[[#This Row],[Sold]]*Table25[[#This Row],[Price]]</f>
        <v>0</v>
      </c>
      <c r="L842" s="8">
        <f>ABS(SUMIF(Table25[[#All],[Assets]],Table25[[#This Row],[Assets]],Table25[[#All],[Sold]]))</f>
        <v>115</v>
      </c>
      <c r="M842" s="5">
        <f>ABS(SUMIF(Table25[[#All],[Assets]],Table25[[#This Row],[Assets]],Table25[[#All],[Sold Amount]]))</f>
        <v>1473.35</v>
      </c>
      <c r="N842" s="5">
        <f>IFERROR(Table25[[#This Row],[Total sold amount]]/Table25[[#This Row],[Total Sold number of stocks]],"")</f>
        <v>12.811739130434782</v>
      </c>
      <c r="O842" s="4">
        <f>IFERROR(Table25[[#This Row],[Total Amount bought]]/Table25[[#This Row],[Total number bought]],"")</f>
        <v>13.254782608695654</v>
      </c>
      <c r="P842" s="4">
        <f>IFERROR((Table25[[#This Row],[Average sell price]]-Table25[[#This Row],[Average buy price]])*Table25[[#This Row],[Total Sold number of stocks]],0)</f>
        <v>-50.950000000000287</v>
      </c>
      <c r="Q842" s="85">
        <f>SUMIF(Table25[[#All],[Assets]],Table25[[#This Row],[Assets]],Table25[[#All],[Number of stocks]])</f>
        <v>0</v>
      </c>
    </row>
    <row r="843" spans="1:17">
      <c r="A843" t="e" vm="39">
        <v>#VALUE!</v>
      </c>
      <c r="B843" s="2">
        <v>45694</v>
      </c>
      <c r="C843" t="str" cm="1">
        <f t="array" aca="1" ref="C843" ca="1">_FV(A843,"Ticker symbol",TRUE)</f>
        <v>AMSC</v>
      </c>
      <c r="D843" s="4">
        <v>31.54</v>
      </c>
      <c r="E843" s="50">
        <v>-12</v>
      </c>
      <c r="F843" s="81">
        <f>IF(Table25[[#This Row],[Number of stocks]]&gt;0,Table25[[#This Row],[Number of stocks]],0)</f>
        <v>0</v>
      </c>
      <c r="G843" s="73">
        <f>Table25[[#This Row],[Bought]]*Table25[[#This Row],[Price]]</f>
        <v>0</v>
      </c>
      <c r="H843">
        <f>SUMIF(Table25[[#All],[Assets]],Table25[[#This Row],[Assets]],Table25[[#All],[Bought]])</f>
        <v>812.4</v>
      </c>
      <c r="I843">
        <f>SUMIF(Table25[[#All],[Assets]],Table25[[#This Row],[Assets]],Table25[[#All],[Bought Amount]])</f>
        <v>24146.880000000001</v>
      </c>
      <c r="J843" s="88">
        <f>IF(Table25[[#This Row],[Number of stocks]]&lt;0,Table25[[#This Row],[Number of stocks]],0)</f>
        <v>-12</v>
      </c>
      <c r="K843" s="5">
        <f>Table25[[#This Row],[Sold]]*Table25[[#This Row],[Price]]</f>
        <v>-378.48</v>
      </c>
      <c r="L843" s="8">
        <f>ABS(SUMIF(Table25[[#All],[Assets]],Table25[[#This Row],[Assets]],Table25[[#All],[Sold]]))</f>
        <v>535</v>
      </c>
      <c r="M843" s="5">
        <f>ABS(SUMIF(Table25[[#All],[Assets]],Table25[[#This Row],[Assets]],Table25[[#All],[Sold Amount]]))</f>
        <v>14777.289999999999</v>
      </c>
      <c r="N843" s="5">
        <f>IFERROR(Table25[[#This Row],[Total sold amount]]/Table25[[#This Row],[Total Sold number of stocks]],"")</f>
        <v>27.621102803738317</v>
      </c>
      <c r="O843" s="4">
        <f>IFERROR(Table25[[#This Row],[Total Amount bought]]/Table25[[#This Row],[Total number bought]],"")</f>
        <v>29.722895125553915</v>
      </c>
      <c r="P843" s="4">
        <f>IFERROR((Table25[[#This Row],[Average sell price]]-Table25[[#This Row],[Average buy price]])*Table25[[#This Row],[Total Sold number of stocks]],0)</f>
        <v>-1124.4588921713448</v>
      </c>
      <c r="Q843" s="85">
        <f>SUMIF(Table25[[#All],[Assets]],Table25[[#This Row],[Assets]],Table25[[#All],[Number of stocks]])</f>
        <v>277.39999999999998</v>
      </c>
    </row>
    <row r="844" spans="1:17">
      <c r="A844" t="e" vm="39">
        <v>#VALUE!</v>
      </c>
      <c r="B844" s="2">
        <v>45694</v>
      </c>
      <c r="C844" t="str" cm="1">
        <f t="array" aca="1" ref="C844" ca="1">_FV(A844,"Ticker symbol",TRUE)</f>
        <v>AMSC</v>
      </c>
      <c r="D844" s="4">
        <v>31.54</v>
      </c>
      <c r="E844" s="50">
        <v>-34</v>
      </c>
      <c r="F844" s="81">
        <f>IF(Table25[[#This Row],[Number of stocks]]&gt;0,Table25[[#This Row],[Number of stocks]],0)</f>
        <v>0</v>
      </c>
      <c r="G844" s="73">
        <f>Table25[[#This Row],[Bought]]*Table25[[#This Row],[Price]]</f>
        <v>0</v>
      </c>
      <c r="H844">
        <f>SUMIF(Table25[[#All],[Assets]],Table25[[#This Row],[Assets]],Table25[[#All],[Bought]])</f>
        <v>812.4</v>
      </c>
      <c r="I844">
        <f>SUMIF(Table25[[#All],[Assets]],Table25[[#This Row],[Assets]],Table25[[#All],[Bought Amount]])</f>
        <v>24146.880000000001</v>
      </c>
      <c r="J844" s="88">
        <f>IF(Table25[[#This Row],[Number of stocks]]&lt;0,Table25[[#This Row],[Number of stocks]],0)</f>
        <v>-34</v>
      </c>
      <c r="K844" s="5">
        <f>Table25[[#This Row],[Sold]]*Table25[[#This Row],[Price]]</f>
        <v>-1072.3599999999999</v>
      </c>
      <c r="L844" s="8">
        <f>ABS(SUMIF(Table25[[#All],[Assets]],Table25[[#This Row],[Assets]],Table25[[#All],[Sold]]))</f>
        <v>535</v>
      </c>
      <c r="M844" s="5">
        <f>ABS(SUMIF(Table25[[#All],[Assets]],Table25[[#This Row],[Assets]],Table25[[#All],[Sold Amount]]))</f>
        <v>14777.289999999999</v>
      </c>
      <c r="N844" s="5">
        <f>IFERROR(Table25[[#This Row],[Total sold amount]]/Table25[[#This Row],[Total Sold number of stocks]],"")</f>
        <v>27.621102803738317</v>
      </c>
      <c r="O844" s="4">
        <f>IFERROR(Table25[[#This Row],[Total Amount bought]]/Table25[[#This Row],[Total number bought]],"")</f>
        <v>29.722895125553915</v>
      </c>
      <c r="P844" s="4">
        <f>IFERROR((Table25[[#This Row],[Average sell price]]-Table25[[#This Row],[Average buy price]])*Table25[[#This Row],[Total Sold number of stocks]],0)</f>
        <v>-1124.4588921713448</v>
      </c>
      <c r="Q844" s="85">
        <f>SUMIF(Table25[[#All],[Assets]],Table25[[#This Row],[Assets]],Table25[[#All],[Number of stocks]])</f>
        <v>277.39999999999998</v>
      </c>
    </row>
    <row r="845" spans="1:17">
      <c r="A845" t="e" vm="77">
        <v>#VALUE!</v>
      </c>
      <c r="B845" s="2">
        <v>45695</v>
      </c>
      <c r="C845" t="str" cm="1">
        <f t="array" aca="1" ref="C845" ca="1">_FV(A845,"Ticker symbol",TRUE)</f>
        <v>STIM</v>
      </c>
      <c r="D845" s="4">
        <v>2.9</v>
      </c>
      <c r="E845" s="50">
        <v>380</v>
      </c>
      <c r="F845" s="81">
        <f>IF(Table25[[#This Row],[Number of stocks]]&gt;0,Table25[[#This Row],[Number of stocks]],0)</f>
        <v>380</v>
      </c>
      <c r="G845" s="73">
        <f>Table25[[#This Row],[Bought]]*Table25[[#This Row],[Price]]</f>
        <v>1102</v>
      </c>
      <c r="H845">
        <f>SUMIF(Table25[[#All],[Assets]],Table25[[#This Row],[Assets]],Table25[[#All],[Bought]])</f>
        <v>7036.45</v>
      </c>
      <c r="I845">
        <f>SUMIF(Table25[[#All],[Assets]],Table25[[#This Row],[Assets]],Table25[[#All],[Bought Amount]])</f>
        <v>19162.260000000002</v>
      </c>
      <c r="J845" s="88">
        <f>IF(Table25[[#This Row],[Number of stocks]]&lt;0,Table25[[#This Row],[Number of stocks]],0)</f>
        <v>0</v>
      </c>
      <c r="K845" s="5">
        <f>Table25[[#This Row],[Sold]]*Table25[[#This Row],[Price]]</f>
        <v>0</v>
      </c>
      <c r="L845" s="8">
        <f>ABS(SUMIF(Table25[[#All],[Assets]],Table25[[#This Row],[Assets]],Table25[[#All],[Sold]]))</f>
        <v>6686.45</v>
      </c>
      <c r="M845" s="5">
        <f>ABS(SUMIF(Table25[[#All],[Assets]],Table25[[#This Row],[Assets]],Table25[[#All],[Sold Amount]]))</f>
        <v>19226.484999999997</v>
      </c>
      <c r="N845" s="5">
        <f>IFERROR(Table25[[#This Row],[Total sold amount]]/Table25[[#This Row],[Total Sold number of stocks]],"")</f>
        <v>2.8754398821497205</v>
      </c>
      <c r="O845" s="4">
        <f>IFERROR(Table25[[#This Row],[Total Amount bought]]/Table25[[#This Row],[Total number bought]],"")</f>
        <v>2.7232851793162749</v>
      </c>
      <c r="P845" s="4">
        <f>IFERROR((Table25[[#This Row],[Average sell price]]-Table25[[#This Row],[Average buy price]])*Table25[[#This Row],[Total Sold number of stocks]],0)</f>
        <v>1017.3748127606921</v>
      </c>
      <c r="Q845" s="85">
        <f>SUMIF(Table25[[#All],[Assets]],Table25[[#This Row],[Assets]],Table25[[#All],[Number of stocks]])</f>
        <v>349.99999999999977</v>
      </c>
    </row>
    <row r="846" spans="1:17">
      <c r="A846" t="e" vm="514">
        <v>#VALUE!</v>
      </c>
      <c r="B846" s="2">
        <v>45695</v>
      </c>
      <c r="C846" t="str" cm="1">
        <f t="array" aca="1" ref="C846" ca="1">_FV(A846,"Ticker symbol",TRUE)</f>
        <v>PTLO</v>
      </c>
      <c r="D846" s="4">
        <v>14.63</v>
      </c>
      <c r="E846" s="50">
        <v>-100</v>
      </c>
      <c r="F846" s="81">
        <f>IF(Table25[[#This Row],[Number of stocks]]&gt;0,Table25[[#This Row],[Number of stocks]],0)</f>
        <v>0</v>
      </c>
      <c r="G846" s="73">
        <f>Table25[[#This Row],[Bought]]*Table25[[#This Row],[Price]]</f>
        <v>0</v>
      </c>
      <c r="H846">
        <f>SUMIF(Table25[[#All],[Assets]],Table25[[#This Row],[Assets]],Table25[[#All],[Bought]])</f>
        <v>200</v>
      </c>
      <c r="I846">
        <f>SUMIF(Table25[[#All],[Assets]],Table25[[#This Row],[Assets]],Table25[[#All],[Bought Amount]])</f>
        <v>1914</v>
      </c>
      <c r="J846" s="88">
        <f>IF(Table25[[#This Row],[Number of stocks]]&lt;0,Table25[[#This Row],[Number of stocks]],0)</f>
        <v>-100</v>
      </c>
      <c r="K846" s="5">
        <f>Table25[[#This Row],[Sold]]*Table25[[#This Row],[Price]]</f>
        <v>-1463</v>
      </c>
      <c r="L846" s="8">
        <f>ABS(SUMIF(Table25[[#All],[Assets]],Table25[[#This Row],[Assets]],Table25[[#All],[Sold]]))</f>
        <v>200</v>
      </c>
      <c r="M846" s="5">
        <f>ABS(SUMIF(Table25[[#All],[Assets]],Table25[[#This Row],[Assets]],Table25[[#All],[Sold Amount]]))</f>
        <v>2685.5</v>
      </c>
      <c r="N846" s="5">
        <f>IFERROR(Table25[[#This Row],[Total sold amount]]/Table25[[#This Row],[Total Sold number of stocks]],"")</f>
        <v>13.4275</v>
      </c>
      <c r="O846" s="4">
        <f>IFERROR(Table25[[#This Row],[Total Amount bought]]/Table25[[#This Row],[Total number bought]],"")</f>
        <v>9.57</v>
      </c>
      <c r="P846" s="4">
        <f>IFERROR((Table25[[#This Row],[Average sell price]]-Table25[[#This Row],[Average buy price]])*Table25[[#This Row],[Total Sold number of stocks]],0)</f>
        <v>771.5</v>
      </c>
      <c r="Q846" s="85">
        <f>SUMIF(Table25[[#All],[Assets]],Table25[[#This Row],[Assets]],Table25[[#All],[Number of stocks]])</f>
        <v>0</v>
      </c>
    </row>
    <row r="847" spans="1:17">
      <c r="A847" t="e" vm="77">
        <v>#VALUE!</v>
      </c>
      <c r="B847" s="2">
        <v>45695</v>
      </c>
      <c r="C847" t="str" cm="1">
        <f t="array" aca="1" ref="C847" ca="1">_FV(A847,"Ticker symbol",TRUE)</f>
        <v>STIM</v>
      </c>
      <c r="D847" s="4">
        <v>2.95</v>
      </c>
      <c r="E847" s="50">
        <v>680</v>
      </c>
      <c r="F847" s="81">
        <f>IF(Table25[[#This Row],[Number of stocks]]&gt;0,Table25[[#This Row],[Number of stocks]],0)</f>
        <v>680</v>
      </c>
      <c r="G847" s="73">
        <f>Table25[[#This Row],[Bought]]*Table25[[#This Row],[Price]]</f>
        <v>2006.0000000000002</v>
      </c>
      <c r="H847">
        <f>SUMIF(Table25[[#All],[Assets]],Table25[[#This Row],[Assets]],Table25[[#All],[Bought]])</f>
        <v>7036.45</v>
      </c>
      <c r="I847">
        <f>SUMIF(Table25[[#All],[Assets]],Table25[[#This Row],[Assets]],Table25[[#All],[Bought Amount]])</f>
        <v>19162.260000000002</v>
      </c>
      <c r="J847" s="88">
        <f>IF(Table25[[#This Row],[Number of stocks]]&lt;0,Table25[[#This Row],[Number of stocks]],0)</f>
        <v>0</v>
      </c>
      <c r="K847" s="5">
        <f>Table25[[#This Row],[Sold]]*Table25[[#This Row],[Price]]</f>
        <v>0</v>
      </c>
      <c r="L847" s="8">
        <f>ABS(SUMIF(Table25[[#All],[Assets]],Table25[[#This Row],[Assets]],Table25[[#All],[Sold]]))</f>
        <v>6686.45</v>
      </c>
      <c r="M847" s="5">
        <f>ABS(SUMIF(Table25[[#All],[Assets]],Table25[[#This Row],[Assets]],Table25[[#All],[Sold Amount]]))</f>
        <v>19226.484999999997</v>
      </c>
      <c r="N847" s="5">
        <f>IFERROR(Table25[[#This Row],[Total sold amount]]/Table25[[#This Row],[Total Sold number of stocks]],"")</f>
        <v>2.8754398821497205</v>
      </c>
      <c r="O847" s="4">
        <f>IFERROR(Table25[[#This Row],[Total Amount bought]]/Table25[[#This Row],[Total number bought]],"")</f>
        <v>2.7232851793162749</v>
      </c>
      <c r="P847" s="4">
        <f>IFERROR((Table25[[#This Row],[Average sell price]]-Table25[[#This Row],[Average buy price]])*Table25[[#This Row],[Total Sold number of stocks]],0)</f>
        <v>1017.3748127606921</v>
      </c>
      <c r="Q847" s="85">
        <f>SUMIF(Table25[[#All],[Assets]],Table25[[#This Row],[Assets]],Table25[[#All],[Number of stocks]])</f>
        <v>349.99999999999977</v>
      </c>
    </row>
    <row r="848" spans="1:17">
      <c r="A848" t="e" vm="77">
        <v>#VALUE!</v>
      </c>
      <c r="B848" s="2">
        <v>45695</v>
      </c>
      <c r="C848" t="str" cm="1">
        <f t="array" aca="1" ref="C848" ca="1">_FV(A848,"Ticker symbol",TRUE)</f>
        <v>STIM</v>
      </c>
      <c r="D848" s="4">
        <v>3.02</v>
      </c>
      <c r="E848" s="50">
        <v>600</v>
      </c>
      <c r="F848" s="81">
        <f>IF(Table25[[#This Row],[Number of stocks]]&gt;0,Table25[[#This Row],[Number of stocks]],0)</f>
        <v>600</v>
      </c>
      <c r="G848" s="73">
        <f>Table25[[#This Row],[Bought]]*Table25[[#This Row],[Price]]</f>
        <v>1812</v>
      </c>
      <c r="H848">
        <f>SUMIF(Table25[[#All],[Assets]],Table25[[#This Row],[Assets]],Table25[[#All],[Bought]])</f>
        <v>7036.45</v>
      </c>
      <c r="I848">
        <f>SUMIF(Table25[[#All],[Assets]],Table25[[#This Row],[Assets]],Table25[[#All],[Bought Amount]])</f>
        <v>19162.260000000002</v>
      </c>
      <c r="J848" s="88">
        <f>IF(Table25[[#This Row],[Number of stocks]]&lt;0,Table25[[#This Row],[Number of stocks]],0)</f>
        <v>0</v>
      </c>
      <c r="K848" s="5">
        <f>Table25[[#This Row],[Sold]]*Table25[[#This Row],[Price]]</f>
        <v>0</v>
      </c>
      <c r="L848" s="8">
        <f>ABS(SUMIF(Table25[[#All],[Assets]],Table25[[#This Row],[Assets]],Table25[[#All],[Sold]]))</f>
        <v>6686.45</v>
      </c>
      <c r="M848" s="5">
        <f>ABS(SUMIF(Table25[[#All],[Assets]],Table25[[#This Row],[Assets]],Table25[[#All],[Sold Amount]]))</f>
        <v>19226.484999999997</v>
      </c>
      <c r="N848" s="5">
        <f>IFERROR(Table25[[#This Row],[Total sold amount]]/Table25[[#This Row],[Total Sold number of stocks]],"")</f>
        <v>2.8754398821497205</v>
      </c>
      <c r="O848" s="4">
        <f>IFERROR(Table25[[#This Row],[Total Amount bought]]/Table25[[#This Row],[Total number bought]],"")</f>
        <v>2.7232851793162749</v>
      </c>
      <c r="P848" s="4">
        <f>IFERROR((Table25[[#This Row],[Average sell price]]-Table25[[#This Row],[Average buy price]])*Table25[[#This Row],[Total Sold number of stocks]],0)</f>
        <v>1017.3748127606921</v>
      </c>
      <c r="Q848" s="85">
        <f>SUMIF(Table25[[#All],[Assets]],Table25[[#This Row],[Assets]],Table25[[#All],[Number of stocks]])</f>
        <v>349.99999999999977</v>
      </c>
    </row>
    <row r="849" spans="1:17">
      <c r="A849" t="e" vm="77">
        <v>#VALUE!</v>
      </c>
      <c r="B849" s="2">
        <v>45698</v>
      </c>
      <c r="C849" t="str" cm="1">
        <f t="array" aca="1" ref="C849" ca="1">_FV(A849,"Ticker symbol",TRUE)</f>
        <v>STIM</v>
      </c>
      <c r="D849" s="4">
        <v>3.49</v>
      </c>
      <c r="E849" s="50">
        <v>-200</v>
      </c>
      <c r="F849" s="81">
        <f>IF(Table25[[#This Row],[Number of stocks]]&gt;0,Table25[[#This Row],[Number of stocks]],0)</f>
        <v>0</v>
      </c>
      <c r="G849" s="73">
        <f>Table25[[#This Row],[Bought]]*Table25[[#This Row],[Price]]</f>
        <v>0</v>
      </c>
      <c r="H849">
        <f>SUMIF(Table25[[#All],[Assets]],Table25[[#This Row],[Assets]],Table25[[#All],[Bought]])</f>
        <v>7036.45</v>
      </c>
      <c r="I849">
        <f>SUMIF(Table25[[#All],[Assets]],Table25[[#This Row],[Assets]],Table25[[#All],[Bought Amount]])</f>
        <v>19162.260000000002</v>
      </c>
      <c r="J849" s="88">
        <f>IF(Table25[[#This Row],[Number of stocks]]&lt;0,Table25[[#This Row],[Number of stocks]],0)</f>
        <v>-200</v>
      </c>
      <c r="K849" s="5">
        <f>Table25[[#This Row],[Sold]]*Table25[[#This Row],[Price]]</f>
        <v>-698</v>
      </c>
      <c r="L849" s="8">
        <f>ABS(SUMIF(Table25[[#All],[Assets]],Table25[[#This Row],[Assets]],Table25[[#All],[Sold]]))</f>
        <v>6686.45</v>
      </c>
      <c r="M849" s="5">
        <f>ABS(SUMIF(Table25[[#All],[Assets]],Table25[[#This Row],[Assets]],Table25[[#All],[Sold Amount]]))</f>
        <v>19226.484999999997</v>
      </c>
      <c r="N849" s="5">
        <f>IFERROR(Table25[[#This Row],[Total sold amount]]/Table25[[#This Row],[Total Sold number of stocks]],"")</f>
        <v>2.8754398821497205</v>
      </c>
      <c r="O849" s="4">
        <f>IFERROR(Table25[[#This Row],[Total Amount bought]]/Table25[[#This Row],[Total number bought]],"")</f>
        <v>2.7232851793162749</v>
      </c>
      <c r="P849" s="4">
        <f>IFERROR((Table25[[#This Row],[Average sell price]]-Table25[[#This Row],[Average buy price]])*Table25[[#This Row],[Total Sold number of stocks]],0)</f>
        <v>1017.3748127606921</v>
      </c>
      <c r="Q849" s="85">
        <f>SUMIF(Table25[[#All],[Assets]],Table25[[#This Row],[Assets]],Table25[[#All],[Number of stocks]])</f>
        <v>349.99999999999977</v>
      </c>
    </row>
    <row r="850" spans="1:17">
      <c r="A850" t="e" vm="388">
        <v>#VALUE!</v>
      </c>
      <c r="B850" s="2">
        <v>45698</v>
      </c>
      <c r="C850" t="str" cm="1">
        <f t="array" aca="1" ref="C850" ca="1">_FV(A850,"Ticker symbol",TRUE)</f>
        <v>TMUS</v>
      </c>
      <c r="D850" s="4">
        <v>253.14</v>
      </c>
      <c r="E850" s="50">
        <v>1</v>
      </c>
      <c r="F850" s="81">
        <f>IF(Table25[[#This Row],[Number of stocks]]&gt;0,Table25[[#This Row],[Number of stocks]],0)</f>
        <v>1</v>
      </c>
      <c r="G850" s="73">
        <f>Table25[[#This Row],[Bought]]*Table25[[#This Row],[Price]]</f>
        <v>253.14</v>
      </c>
      <c r="H850">
        <f>SUMIF(Table25[[#All],[Assets]],Table25[[#This Row],[Assets]],Table25[[#All],[Bought]])</f>
        <v>1</v>
      </c>
      <c r="I850">
        <f>SUMIF(Table25[[#All],[Assets]],Table25[[#This Row],[Assets]],Table25[[#All],[Bought Amount]])</f>
        <v>253.14</v>
      </c>
      <c r="J850" s="88">
        <f>IF(Table25[[#This Row],[Number of stocks]]&lt;0,Table25[[#This Row],[Number of stocks]],0)</f>
        <v>0</v>
      </c>
      <c r="K850" s="5">
        <f>Table25[[#This Row],[Sold]]*Table25[[#This Row],[Price]]</f>
        <v>0</v>
      </c>
      <c r="L850" s="8">
        <f>ABS(SUMIF(Table25[[#All],[Assets]],Table25[[#This Row],[Assets]],Table25[[#All],[Sold]]))</f>
        <v>1</v>
      </c>
      <c r="M850" s="5">
        <f>ABS(SUMIF(Table25[[#All],[Assets]],Table25[[#This Row],[Assets]],Table25[[#All],[Sold Amount]]))</f>
        <v>247.39</v>
      </c>
      <c r="N850" s="5">
        <f>IFERROR(Table25[[#This Row],[Total sold amount]]/Table25[[#This Row],[Total Sold number of stocks]],"")</f>
        <v>247.39</v>
      </c>
      <c r="O850" s="4">
        <f>IFERROR(Table25[[#This Row],[Total Amount bought]]/Table25[[#This Row],[Total number bought]],"")</f>
        <v>253.14</v>
      </c>
      <c r="P850" s="4">
        <f>IFERROR((Table25[[#This Row],[Average sell price]]-Table25[[#This Row],[Average buy price]])*Table25[[#This Row],[Total Sold number of stocks]],0)</f>
        <v>-5.75</v>
      </c>
      <c r="Q850" s="85">
        <f>SUMIF(Table25[[#All],[Assets]],Table25[[#This Row],[Assets]],Table25[[#All],[Number of stocks]])</f>
        <v>0</v>
      </c>
    </row>
    <row r="851" spans="1:17">
      <c r="A851" t="e" vm="72">
        <v>#VALUE!</v>
      </c>
      <c r="B851" s="2">
        <v>45698</v>
      </c>
      <c r="C851" t="str" cm="1">
        <f t="array" aca="1" ref="C851" ca="1">_FV(A851,"Ticker symbol",TRUE)</f>
        <v>AIRS</v>
      </c>
      <c r="D851" s="4">
        <v>5.53</v>
      </c>
      <c r="E851" s="50">
        <v>100</v>
      </c>
      <c r="F851" s="81">
        <f>IF(Table25[[#This Row],[Number of stocks]]&gt;0,Table25[[#This Row],[Number of stocks]],0)</f>
        <v>100</v>
      </c>
      <c r="G851" s="73">
        <f>Table25[[#This Row],[Bought]]*Table25[[#This Row],[Price]]</f>
        <v>553</v>
      </c>
      <c r="H851">
        <f>SUMIF(Table25[[#All],[Assets]],Table25[[#This Row],[Assets]],Table25[[#All],[Bought]])</f>
        <v>2980</v>
      </c>
      <c r="I851">
        <f>SUMIF(Table25[[#All],[Assets]],Table25[[#This Row],[Assets]],Table25[[#All],[Bought Amount]])</f>
        <v>14267.900000000001</v>
      </c>
      <c r="J851" s="88">
        <f>IF(Table25[[#This Row],[Number of stocks]]&lt;0,Table25[[#This Row],[Number of stocks]],0)</f>
        <v>0</v>
      </c>
      <c r="K851" s="5">
        <f>Table25[[#This Row],[Sold]]*Table25[[#This Row],[Price]]</f>
        <v>0</v>
      </c>
      <c r="L851" s="8">
        <f>ABS(SUMIF(Table25[[#All],[Assets]],Table25[[#This Row],[Assets]],Table25[[#All],[Sold]]))</f>
        <v>2360</v>
      </c>
      <c r="M851" s="5">
        <f>ABS(SUMIF(Table25[[#All],[Assets]],Table25[[#This Row],[Assets]],Table25[[#All],[Sold Amount]]))</f>
        <v>7796.6</v>
      </c>
      <c r="N851" s="5">
        <f>IFERROR(Table25[[#This Row],[Total sold amount]]/Table25[[#This Row],[Total Sold number of stocks]],"")</f>
        <v>3.3036440677966104</v>
      </c>
      <c r="O851" s="4">
        <f>IFERROR(Table25[[#This Row],[Total Amount bought]]/Table25[[#This Row],[Total number bought]],"")</f>
        <v>4.7878859060402688</v>
      </c>
      <c r="P851" s="4">
        <f>IFERROR((Table25[[#This Row],[Average sell price]]-Table25[[#This Row],[Average buy price]])*Table25[[#This Row],[Total Sold number of stocks]],0)</f>
        <v>-3502.8107382550338</v>
      </c>
      <c r="Q851" s="85">
        <f>SUMIF(Table25[[#All],[Assets]],Table25[[#This Row],[Assets]],Table25[[#All],[Number of stocks]])</f>
        <v>620</v>
      </c>
    </row>
    <row r="852" spans="1:17">
      <c r="A852" t="e" vm="65">
        <v>#VALUE!</v>
      </c>
      <c r="B852" s="2">
        <v>45698</v>
      </c>
      <c r="C852" t="str" cm="1">
        <f t="array" aca="1" ref="C852" ca="1">_FV(A852,"Ticker symbol",TRUE)</f>
        <v>GAP</v>
      </c>
      <c r="D852" s="4">
        <v>22.53</v>
      </c>
      <c r="E852" s="50">
        <v>5</v>
      </c>
      <c r="F852" s="81">
        <f>IF(Table25[[#This Row],[Number of stocks]]&gt;0,Table25[[#This Row],[Number of stocks]],0)</f>
        <v>5</v>
      </c>
      <c r="G852" s="73">
        <f>Table25[[#This Row],[Bought]]*Table25[[#This Row],[Price]]</f>
        <v>112.65</v>
      </c>
      <c r="H852">
        <f>SUMIF(Table25[[#All],[Assets]],Table25[[#This Row],[Assets]],Table25[[#All],[Bought]])</f>
        <v>166</v>
      </c>
      <c r="I852">
        <f>SUMIF(Table25[[#All],[Assets]],Table25[[#This Row],[Assets]],Table25[[#All],[Bought Amount]])</f>
        <v>3889.4200000000005</v>
      </c>
      <c r="J852" s="88">
        <f>IF(Table25[[#This Row],[Number of stocks]]&lt;0,Table25[[#This Row],[Number of stocks]],0)</f>
        <v>0</v>
      </c>
      <c r="K852" s="5">
        <f>Table25[[#This Row],[Sold]]*Table25[[#This Row],[Price]]</f>
        <v>0</v>
      </c>
      <c r="L852" s="8">
        <f>ABS(SUMIF(Table25[[#All],[Assets]],Table25[[#This Row],[Assets]],Table25[[#All],[Sold]]))</f>
        <v>166</v>
      </c>
      <c r="M852" s="5">
        <f>ABS(SUMIF(Table25[[#All],[Assets]],Table25[[#This Row],[Assets]],Table25[[#All],[Sold Amount]]))</f>
        <v>3423.32</v>
      </c>
      <c r="N852" s="5">
        <f>IFERROR(Table25[[#This Row],[Total sold amount]]/Table25[[#This Row],[Total Sold number of stocks]],"")</f>
        <v>20.622409638554217</v>
      </c>
      <c r="O852" s="4">
        <f>IFERROR(Table25[[#This Row],[Total Amount bought]]/Table25[[#This Row],[Total number bought]],"")</f>
        <v>23.430240963855425</v>
      </c>
      <c r="P852" s="4">
        <f>IFERROR((Table25[[#This Row],[Average sell price]]-Table25[[#This Row],[Average buy price]])*Table25[[#This Row],[Total Sold number of stocks]],0)</f>
        <v>-466.10000000000059</v>
      </c>
      <c r="Q852" s="85">
        <f>SUMIF(Table25[[#All],[Assets]],Table25[[#This Row],[Assets]],Table25[[#All],[Number of stocks]])</f>
        <v>0</v>
      </c>
    </row>
    <row r="853" spans="1:17">
      <c r="A853" t="e" vm="49">
        <v>#VALUE!</v>
      </c>
      <c r="B853" s="2">
        <v>45698</v>
      </c>
      <c r="C853" t="str" cm="1">
        <f t="array" aca="1" ref="C853" ca="1">_FV(A853,"Ticker symbol",TRUE)</f>
        <v>LEU</v>
      </c>
      <c r="D853" s="4">
        <v>115.74</v>
      </c>
      <c r="E853" s="50">
        <v>-5</v>
      </c>
      <c r="F853" s="81">
        <f>IF(Table25[[#This Row],[Number of stocks]]&gt;0,Table25[[#This Row],[Number of stocks]],0)</f>
        <v>0</v>
      </c>
      <c r="G853" s="73">
        <f>Table25[[#This Row],[Bought]]*Table25[[#This Row],[Price]]</f>
        <v>0</v>
      </c>
      <c r="H853">
        <f>SUMIF(Table25[[#All],[Assets]],Table25[[#This Row],[Assets]],Table25[[#All],[Bought]])</f>
        <v>20</v>
      </c>
      <c r="I853">
        <f>SUMIF(Table25[[#All],[Assets]],Table25[[#This Row],[Assets]],Table25[[#All],[Bought Amount]])</f>
        <v>1555.5</v>
      </c>
      <c r="J853" s="88">
        <f>IF(Table25[[#This Row],[Number of stocks]]&lt;0,Table25[[#This Row],[Number of stocks]],0)</f>
        <v>-5</v>
      </c>
      <c r="K853" s="5">
        <f>Table25[[#This Row],[Sold]]*Table25[[#This Row],[Price]]</f>
        <v>-578.69999999999993</v>
      </c>
      <c r="L853" s="8">
        <f>ABS(SUMIF(Table25[[#All],[Assets]],Table25[[#This Row],[Assets]],Table25[[#All],[Sold]]))</f>
        <v>20</v>
      </c>
      <c r="M853" s="5">
        <f>ABS(SUMIF(Table25[[#All],[Assets]],Table25[[#This Row],[Assets]],Table25[[#All],[Sold Amount]]))</f>
        <v>1711.1999999999998</v>
      </c>
      <c r="N853" s="5">
        <f>IFERROR(Table25[[#This Row],[Total sold amount]]/Table25[[#This Row],[Total Sold number of stocks]],"")</f>
        <v>85.559999999999988</v>
      </c>
      <c r="O853" s="4">
        <f>IFERROR(Table25[[#This Row],[Total Amount bought]]/Table25[[#This Row],[Total number bought]],"")</f>
        <v>77.775000000000006</v>
      </c>
      <c r="P853" s="4">
        <f>IFERROR((Table25[[#This Row],[Average sell price]]-Table25[[#This Row],[Average buy price]])*Table25[[#This Row],[Total Sold number of stocks]],0)</f>
        <v>155.69999999999965</v>
      </c>
      <c r="Q853" s="85">
        <f>SUMIF(Table25[[#All],[Assets]],Table25[[#This Row],[Assets]],Table25[[#All],[Number of stocks]])</f>
        <v>0</v>
      </c>
    </row>
    <row r="854" spans="1:17">
      <c r="A854" t="e" vm="63">
        <v>#VALUE!</v>
      </c>
      <c r="B854" s="2">
        <v>45698</v>
      </c>
      <c r="C854" t="str" cm="1">
        <f t="array" aca="1" ref="C854" ca="1">_FV(A854,"Ticker symbol",TRUE)</f>
        <v>TSLA</v>
      </c>
      <c r="D854" s="4">
        <v>361.16</v>
      </c>
      <c r="E854" s="50">
        <v>1</v>
      </c>
      <c r="F854" s="81">
        <f>IF(Table25[[#This Row],[Number of stocks]]&gt;0,Table25[[#This Row],[Number of stocks]],0)</f>
        <v>1</v>
      </c>
      <c r="G854" s="73">
        <f>Table25[[#This Row],[Bought]]*Table25[[#This Row],[Price]]</f>
        <v>361.16</v>
      </c>
      <c r="H854">
        <f>SUMIF(Table25[[#All],[Assets]],Table25[[#This Row],[Assets]],Table25[[#All],[Bought]])</f>
        <v>13</v>
      </c>
      <c r="I854">
        <f>SUMIF(Table25[[#All],[Assets]],Table25[[#This Row],[Assets]],Table25[[#All],[Bought Amount]])</f>
        <v>3484.85</v>
      </c>
      <c r="J854" s="88">
        <f>IF(Table25[[#This Row],[Number of stocks]]&lt;0,Table25[[#This Row],[Number of stocks]],0)</f>
        <v>0</v>
      </c>
      <c r="K854" s="5">
        <f>Table25[[#This Row],[Sold]]*Table25[[#This Row],[Price]]</f>
        <v>0</v>
      </c>
      <c r="L854" s="8">
        <f>ABS(SUMIF(Table25[[#All],[Assets]],Table25[[#This Row],[Assets]],Table25[[#All],[Sold]]))</f>
        <v>13</v>
      </c>
      <c r="M854" s="5">
        <f>ABS(SUMIF(Table25[[#All],[Assets]],Table25[[#This Row],[Assets]],Table25[[#All],[Sold Amount]]))</f>
        <v>4240.6299999999992</v>
      </c>
      <c r="N854" s="5">
        <f>IFERROR(Table25[[#This Row],[Total sold amount]]/Table25[[#This Row],[Total Sold number of stocks]],"")</f>
        <v>326.20230769230761</v>
      </c>
      <c r="O854" s="4">
        <f>IFERROR(Table25[[#This Row],[Total Amount bought]]/Table25[[#This Row],[Total number bought]],"")</f>
        <v>268.06538461538463</v>
      </c>
      <c r="P854" s="4">
        <f>IFERROR((Table25[[#This Row],[Average sell price]]-Table25[[#This Row],[Average buy price]])*Table25[[#This Row],[Total Sold number of stocks]],0)</f>
        <v>755.77999999999884</v>
      </c>
      <c r="Q854" s="85">
        <f>SUMIF(Table25[[#All],[Assets]],Table25[[#This Row],[Assets]],Table25[[#All],[Number of stocks]])</f>
        <v>0</v>
      </c>
    </row>
    <row r="855" spans="1:17">
      <c r="A855" t="e" vm="535">
        <v>#VALUE!</v>
      </c>
      <c r="B855" s="2">
        <v>45698</v>
      </c>
      <c r="C855" t="str" cm="1">
        <f t="array" aca="1" ref="C855" ca="1">_FV(A855,"Ticker symbol",TRUE)</f>
        <v>ONTO</v>
      </c>
      <c r="D855" s="4">
        <v>184.34</v>
      </c>
      <c r="E855" s="50">
        <v>-3</v>
      </c>
      <c r="F855" s="81">
        <f>IF(Table25[[#This Row],[Number of stocks]]&gt;0,Table25[[#This Row],[Number of stocks]],0)</f>
        <v>0</v>
      </c>
      <c r="G855" s="73">
        <f>Table25[[#This Row],[Bought]]*Table25[[#This Row],[Price]]</f>
        <v>0</v>
      </c>
      <c r="H855">
        <f>SUMIF(Table25[[#All],[Assets]],Table25[[#This Row],[Assets]],Table25[[#All],[Bought]])</f>
        <v>6</v>
      </c>
      <c r="I855">
        <f>SUMIF(Table25[[#All],[Assets]],Table25[[#This Row],[Assets]],Table25[[#All],[Bought Amount]])</f>
        <v>1105.98</v>
      </c>
      <c r="J855" s="88">
        <f>IF(Table25[[#This Row],[Number of stocks]]&lt;0,Table25[[#This Row],[Number of stocks]],0)</f>
        <v>-3</v>
      </c>
      <c r="K855" s="5">
        <f>Table25[[#This Row],[Sold]]*Table25[[#This Row],[Price]]</f>
        <v>-553.02</v>
      </c>
      <c r="L855" s="8">
        <f>ABS(SUMIF(Table25[[#All],[Assets]],Table25[[#This Row],[Assets]],Table25[[#All],[Sold]]))</f>
        <v>6</v>
      </c>
      <c r="M855" s="5">
        <f>ABS(SUMIF(Table25[[#All],[Assets]],Table25[[#This Row],[Assets]],Table25[[#All],[Sold Amount]]))</f>
        <v>933.81</v>
      </c>
      <c r="N855" s="5">
        <f>IFERROR(Table25[[#This Row],[Total sold amount]]/Table25[[#This Row],[Total Sold number of stocks]],"")</f>
        <v>155.63499999999999</v>
      </c>
      <c r="O855" s="4">
        <f>IFERROR(Table25[[#This Row],[Total Amount bought]]/Table25[[#This Row],[Total number bought]],"")</f>
        <v>184.33</v>
      </c>
      <c r="P855" s="4">
        <f>IFERROR((Table25[[#This Row],[Average sell price]]-Table25[[#This Row],[Average buy price]])*Table25[[#This Row],[Total Sold number of stocks]],0)</f>
        <v>-172.17000000000013</v>
      </c>
      <c r="Q855" s="85">
        <f>SUMIF(Table25[[#All],[Assets]],Table25[[#This Row],[Assets]],Table25[[#All],[Number of stocks]])</f>
        <v>0</v>
      </c>
    </row>
    <row r="856" spans="1:17">
      <c r="A856" t="e" vm="63">
        <v>#VALUE!</v>
      </c>
      <c r="B856" s="2">
        <v>45698</v>
      </c>
      <c r="C856" t="str" cm="1">
        <f t="array" aca="1" ref="C856" ca="1">_FV(A856,"Ticker symbol",TRUE)</f>
        <v>TSLA</v>
      </c>
      <c r="D856" s="4">
        <v>359.39</v>
      </c>
      <c r="E856" s="50">
        <v>2</v>
      </c>
      <c r="F856" s="81">
        <f>IF(Table25[[#This Row],[Number of stocks]]&gt;0,Table25[[#This Row],[Number of stocks]],0)</f>
        <v>2</v>
      </c>
      <c r="G856" s="73">
        <f>Table25[[#This Row],[Bought]]*Table25[[#This Row],[Price]]</f>
        <v>718.78</v>
      </c>
      <c r="H856">
        <f>SUMIF(Table25[[#All],[Assets]],Table25[[#This Row],[Assets]],Table25[[#All],[Bought]])</f>
        <v>13</v>
      </c>
      <c r="I856">
        <f>SUMIF(Table25[[#All],[Assets]],Table25[[#This Row],[Assets]],Table25[[#All],[Bought Amount]])</f>
        <v>3484.85</v>
      </c>
      <c r="J856" s="88">
        <f>IF(Table25[[#This Row],[Number of stocks]]&lt;0,Table25[[#This Row],[Number of stocks]],0)</f>
        <v>0</v>
      </c>
      <c r="K856" s="5">
        <f>Table25[[#This Row],[Sold]]*Table25[[#This Row],[Price]]</f>
        <v>0</v>
      </c>
      <c r="L856" s="8">
        <f>ABS(SUMIF(Table25[[#All],[Assets]],Table25[[#This Row],[Assets]],Table25[[#All],[Sold]]))</f>
        <v>13</v>
      </c>
      <c r="M856" s="5">
        <f>ABS(SUMIF(Table25[[#All],[Assets]],Table25[[#This Row],[Assets]],Table25[[#All],[Sold Amount]]))</f>
        <v>4240.6299999999992</v>
      </c>
      <c r="N856" s="5">
        <f>IFERROR(Table25[[#This Row],[Total sold amount]]/Table25[[#This Row],[Total Sold number of stocks]],"")</f>
        <v>326.20230769230761</v>
      </c>
      <c r="O856" s="4">
        <f>IFERROR(Table25[[#This Row],[Total Amount bought]]/Table25[[#This Row],[Total number bought]],"")</f>
        <v>268.06538461538463</v>
      </c>
      <c r="P856" s="4">
        <f>IFERROR((Table25[[#This Row],[Average sell price]]-Table25[[#This Row],[Average buy price]])*Table25[[#This Row],[Total Sold number of stocks]],0)</f>
        <v>755.77999999999884</v>
      </c>
      <c r="Q856" s="85">
        <f>SUMIF(Table25[[#All],[Assets]],Table25[[#This Row],[Assets]],Table25[[#All],[Number of stocks]])</f>
        <v>0</v>
      </c>
    </row>
    <row r="857" spans="1:17">
      <c r="A857" t="e" vm="13">
        <v>#VALUE!</v>
      </c>
      <c r="B857" s="2">
        <v>45698</v>
      </c>
      <c r="C857" t="str" cm="1">
        <f t="array" aca="1" ref="C857" ca="1">_FV(A857,"Ticker symbol",TRUE)</f>
        <v>ON</v>
      </c>
      <c r="D857" s="4">
        <v>47.24</v>
      </c>
      <c r="E857" s="50">
        <v>-28</v>
      </c>
      <c r="F857" s="81">
        <f>IF(Table25[[#This Row],[Number of stocks]]&gt;0,Table25[[#This Row],[Number of stocks]],0)</f>
        <v>0</v>
      </c>
      <c r="G857" s="73">
        <f>Table25[[#This Row],[Bought]]*Table25[[#This Row],[Price]]</f>
        <v>0</v>
      </c>
      <c r="H857">
        <f>SUMIF(Table25[[#All],[Assets]],Table25[[#This Row],[Assets]],Table25[[#All],[Bought]])</f>
        <v>326</v>
      </c>
      <c r="I857">
        <f>SUMIF(Table25[[#All],[Assets]],Table25[[#This Row],[Assets]],Table25[[#All],[Bought Amount]])</f>
        <v>19172.809999999998</v>
      </c>
      <c r="J857" s="88">
        <f>IF(Table25[[#This Row],[Number of stocks]]&lt;0,Table25[[#This Row],[Number of stocks]],0)</f>
        <v>-28</v>
      </c>
      <c r="K857" s="5">
        <f>Table25[[#This Row],[Sold]]*Table25[[#This Row],[Price]]</f>
        <v>-1322.72</v>
      </c>
      <c r="L857" s="8">
        <f>ABS(SUMIF(Table25[[#All],[Assets]],Table25[[#This Row],[Assets]],Table25[[#All],[Sold]]))</f>
        <v>283</v>
      </c>
      <c r="M857" s="5">
        <f>ABS(SUMIF(Table25[[#All],[Assets]],Table25[[#This Row],[Assets]],Table25[[#All],[Sold Amount]]))</f>
        <v>15700.74</v>
      </c>
      <c r="N857" s="5">
        <f>IFERROR(Table25[[#This Row],[Total sold amount]]/Table25[[#This Row],[Total Sold number of stocks]],"")</f>
        <v>55.47964664310954</v>
      </c>
      <c r="O857" s="4">
        <f>IFERROR(Table25[[#This Row],[Total Amount bought]]/Table25[[#This Row],[Total number bought]],"")</f>
        <v>58.812300613496923</v>
      </c>
      <c r="P857" s="4">
        <f>IFERROR((Table25[[#This Row],[Average sell price]]-Table25[[#This Row],[Average buy price]])*Table25[[#This Row],[Total Sold number of stocks]],0)</f>
        <v>-943.14107361962954</v>
      </c>
      <c r="Q857" s="85">
        <f>SUMIF(Table25[[#All],[Assets]],Table25[[#This Row],[Assets]],Table25[[#All],[Number of stocks]])</f>
        <v>43</v>
      </c>
    </row>
    <row r="858" spans="1:17">
      <c r="A858" t="e" vm="72">
        <v>#VALUE!</v>
      </c>
      <c r="B858" s="2">
        <v>45698</v>
      </c>
      <c r="C858" t="str" cm="1">
        <f t="array" aca="1" ref="C858" ca="1">_FV(A858,"Ticker symbol",TRUE)</f>
        <v>AIRS</v>
      </c>
      <c r="D858" s="4">
        <v>5.6</v>
      </c>
      <c r="E858" s="50">
        <v>200</v>
      </c>
      <c r="F858" s="81">
        <f>IF(Table25[[#This Row],[Number of stocks]]&gt;0,Table25[[#This Row],[Number of stocks]],0)</f>
        <v>200</v>
      </c>
      <c r="G858" s="73">
        <f>Table25[[#This Row],[Bought]]*Table25[[#This Row],[Price]]</f>
        <v>1120</v>
      </c>
      <c r="H858">
        <f>SUMIF(Table25[[#All],[Assets]],Table25[[#This Row],[Assets]],Table25[[#All],[Bought]])</f>
        <v>2980</v>
      </c>
      <c r="I858">
        <f>SUMIF(Table25[[#All],[Assets]],Table25[[#This Row],[Assets]],Table25[[#All],[Bought Amount]])</f>
        <v>14267.900000000001</v>
      </c>
      <c r="J858" s="88">
        <f>IF(Table25[[#This Row],[Number of stocks]]&lt;0,Table25[[#This Row],[Number of stocks]],0)</f>
        <v>0</v>
      </c>
      <c r="K858" s="5">
        <f>Table25[[#This Row],[Sold]]*Table25[[#This Row],[Price]]</f>
        <v>0</v>
      </c>
      <c r="L858" s="8">
        <f>ABS(SUMIF(Table25[[#All],[Assets]],Table25[[#This Row],[Assets]],Table25[[#All],[Sold]]))</f>
        <v>2360</v>
      </c>
      <c r="M858" s="5">
        <f>ABS(SUMIF(Table25[[#All],[Assets]],Table25[[#This Row],[Assets]],Table25[[#All],[Sold Amount]]))</f>
        <v>7796.6</v>
      </c>
      <c r="N858" s="5">
        <f>IFERROR(Table25[[#This Row],[Total sold amount]]/Table25[[#This Row],[Total Sold number of stocks]],"")</f>
        <v>3.3036440677966104</v>
      </c>
      <c r="O858" s="4">
        <f>IFERROR(Table25[[#This Row],[Total Amount bought]]/Table25[[#This Row],[Total number bought]],"")</f>
        <v>4.7878859060402688</v>
      </c>
      <c r="P858" s="4">
        <f>IFERROR((Table25[[#This Row],[Average sell price]]-Table25[[#This Row],[Average buy price]])*Table25[[#This Row],[Total Sold number of stocks]],0)</f>
        <v>-3502.8107382550338</v>
      </c>
      <c r="Q858" s="85">
        <f>SUMIF(Table25[[#All],[Assets]],Table25[[#This Row],[Assets]],Table25[[#All],[Number of stocks]])</f>
        <v>620</v>
      </c>
    </row>
    <row r="859" spans="1:17">
      <c r="A859" t="e" vm="24">
        <v>#VALUE!</v>
      </c>
      <c r="B859" s="2">
        <v>45698</v>
      </c>
      <c r="C859" t="str" cm="1">
        <f t="array" aca="1" ref="C859" ca="1">_FV(A859,"Ticker symbol",TRUE)</f>
        <v>QCOM</v>
      </c>
      <c r="D859" s="4">
        <v>170.28</v>
      </c>
      <c r="E859" s="50">
        <v>2</v>
      </c>
      <c r="F859" s="81">
        <f>IF(Table25[[#This Row],[Number of stocks]]&gt;0,Table25[[#This Row],[Number of stocks]],0)</f>
        <v>2</v>
      </c>
      <c r="G859" s="73">
        <f>Table25[[#This Row],[Bought]]*Table25[[#This Row],[Price]]</f>
        <v>340.56</v>
      </c>
      <c r="H859">
        <f>SUMIF(Table25[[#All],[Assets]],Table25[[#This Row],[Assets]],Table25[[#All],[Bought]])</f>
        <v>58</v>
      </c>
      <c r="I859">
        <f>SUMIF(Table25[[#All],[Assets]],Table25[[#This Row],[Assets]],Table25[[#All],[Bought Amount]])</f>
        <v>9670.27</v>
      </c>
      <c r="J859" s="88">
        <f>IF(Table25[[#This Row],[Number of stocks]]&lt;0,Table25[[#This Row],[Number of stocks]],0)</f>
        <v>0</v>
      </c>
      <c r="K859" s="5">
        <f>Table25[[#This Row],[Sold]]*Table25[[#This Row],[Price]]</f>
        <v>0</v>
      </c>
      <c r="L859" s="8">
        <f>ABS(SUMIF(Table25[[#All],[Assets]],Table25[[#This Row],[Assets]],Table25[[#All],[Sold]]))</f>
        <v>57</v>
      </c>
      <c r="M859" s="5">
        <f>ABS(SUMIF(Table25[[#All],[Assets]],Table25[[#This Row],[Assets]],Table25[[#All],[Sold Amount]]))</f>
        <v>8530.1</v>
      </c>
      <c r="N859" s="5">
        <f>IFERROR(Table25[[#This Row],[Total sold amount]]/Table25[[#This Row],[Total Sold number of stocks]],"")</f>
        <v>149.65087719298245</v>
      </c>
      <c r="O859" s="4">
        <f>IFERROR(Table25[[#This Row],[Total Amount bought]]/Table25[[#This Row],[Total number bought]],"")</f>
        <v>166.72879310344828</v>
      </c>
      <c r="P859" s="4">
        <f>IFERROR((Table25[[#This Row],[Average sell price]]-Table25[[#This Row],[Average buy price]])*Table25[[#This Row],[Total Sold number of stocks]],0)</f>
        <v>-973.44120689655256</v>
      </c>
      <c r="Q859" s="85">
        <f>SUMIF(Table25[[#All],[Assets]],Table25[[#This Row],[Assets]],Table25[[#All],[Number of stocks]])</f>
        <v>1</v>
      </c>
    </row>
    <row r="860" spans="1:17">
      <c r="A860" t="e" vm="65">
        <v>#VALUE!</v>
      </c>
      <c r="B860" s="2">
        <v>45698</v>
      </c>
      <c r="C860" t="str" cm="1">
        <f t="array" aca="1" ref="C860" ca="1">_FV(A860,"Ticker symbol",TRUE)</f>
        <v>GAP</v>
      </c>
      <c r="D860" s="4">
        <v>22.69</v>
      </c>
      <c r="E860" s="50">
        <v>9</v>
      </c>
      <c r="F860" s="81">
        <f>IF(Table25[[#This Row],[Number of stocks]]&gt;0,Table25[[#This Row],[Number of stocks]],0)</f>
        <v>9</v>
      </c>
      <c r="G860" s="73">
        <f>Table25[[#This Row],[Bought]]*Table25[[#This Row],[Price]]</f>
        <v>204.21</v>
      </c>
      <c r="H860">
        <f>SUMIF(Table25[[#All],[Assets]],Table25[[#This Row],[Assets]],Table25[[#All],[Bought]])</f>
        <v>166</v>
      </c>
      <c r="I860">
        <f>SUMIF(Table25[[#All],[Assets]],Table25[[#This Row],[Assets]],Table25[[#All],[Bought Amount]])</f>
        <v>3889.4200000000005</v>
      </c>
      <c r="J860" s="88">
        <f>IF(Table25[[#This Row],[Number of stocks]]&lt;0,Table25[[#This Row],[Number of stocks]],0)</f>
        <v>0</v>
      </c>
      <c r="K860" s="5">
        <f>Table25[[#This Row],[Sold]]*Table25[[#This Row],[Price]]</f>
        <v>0</v>
      </c>
      <c r="L860" s="8">
        <f>ABS(SUMIF(Table25[[#All],[Assets]],Table25[[#This Row],[Assets]],Table25[[#All],[Sold]]))</f>
        <v>166</v>
      </c>
      <c r="M860" s="5">
        <f>ABS(SUMIF(Table25[[#All],[Assets]],Table25[[#This Row],[Assets]],Table25[[#All],[Sold Amount]]))</f>
        <v>3423.32</v>
      </c>
      <c r="N860" s="5">
        <f>IFERROR(Table25[[#This Row],[Total sold amount]]/Table25[[#This Row],[Total Sold number of stocks]],"")</f>
        <v>20.622409638554217</v>
      </c>
      <c r="O860" s="4">
        <f>IFERROR(Table25[[#This Row],[Total Amount bought]]/Table25[[#This Row],[Total number bought]],"")</f>
        <v>23.430240963855425</v>
      </c>
      <c r="P860" s="4">
        <f>IFERROR((Table25[[#This Row],[Average sell price]]-Table25[[#This Row],[Average buy price]])*Table25[[#This Row],[Total Sold number of stocks]],0)</f>
        <v>-466.10000000000059</v>
      </c>
      <c r="Q860" s="85">
        <f>SUMIF(Table25[[#All],[Assets]],Table25[[#This Row],[Assets]],Table25[[#All],[Number of stocks]])</f>
        <v>0</v>
      </c>
    </row>
    <row r="861" spans="1:17">
      <c r="A861" t="e" vm="13">
        <v>#VALUE!</v>
      </c>
      <c r="B861" s="2">
        <v>45698</v>
      </c>
      <c r="C861" t="str" cm="1">
        <f t="array" aca="1" ref="C861" ca="1">_FV(A861,"Ticker symbol",TRUE)</f>
        <v>ON</v>
      </c>
      <c r="D861" s="4">
        <v>47.11</v>
      </c>
      <c r="E861" s="50">
        <v>-30</v>
      </c>
      <c r="F861" s="81">
        <f>IF(Table25[[#This Row],[Number of stocks]]&gt;0,Table25[[#This Row],[Number of stocks]],0)</f>
        <v>0</v>
      </c>
      <c r="G861" s="73">
        <f>Table25[[#This Row],[Bought]]*Table25[[#This Row],[Price]]</f>
        <v>0</v>
      </c>
      <c r="H861">
        <f>SUMIF(Table25[[#All],[Assets]],Table25[[#This Row],[Assets]],Table25[[#All],[Bought]])</f>
        <v>326</v>
      </c>
      <c r="I861">
        <f>SUMIF(Table25[[#All],[Assets]],Table25[[#This Row],[Assets]],Table25[[#All],[Bought Amount]])</f>
        <v>19172.809999999998</v>
      </c>
      <c r="J861" s="88">
        <f>IF(Table25[[#This Row],[Number of stocks]]&lt;0,Table25[[#This Row],[Number of stocks]],0)</f>
        <v>-30</v>
      </c>
      <c r="K861" s="5">
        <f>Table25[[#This Row],[Sold]]*Table25[[#This Row],[Price]]</f>
        <v>-1413.3</v>
      </c>
      <c r="L861" s="8">
        <f>ABS(SUMIF(Table25[[#All],[Assets]],Table25[[#This Row],[Assets]],Table25[[#All],[Sold]]))</f>
        <v>283</v>
      </c>
      <c r="M861" s="5">
        <f>ABS(SUMIF(Table25[[#All],[Assets]],Table25[[#This Row],[Assets]],Table25[[#All],[Sold Amount]]))</f>
        <v>15700.74</v>
      </c>
      <c r="N861" s="5">
        <f>IFERROR(Table25[[#This Row],[Total sold amount]]/Table25[[#This Row],[Total Sold number of stocks]],"")</f>
        <v>55.47964664310954</v>
      </c>
      <c r="O861" s="4">
        <f>IFERROR(Table25[[#This Row],[Total Amount bought]]/Table25[[#This Row],[Total number bought]],"")</f>
        <v>58.812300613496923</v>
      </c>
      <c r="P861" s="4">
        <f>IFERROR((Table25[[#This Row],[Average sell price]]-Table25[[#This Row],[Average buy price]])*Table25[[#This Row],[Total Sold number of stocks]],0)</f>
        <v>-943.14107361962954</v>
      </c>
      <c r="Q861" s="85">
        <f>SUMIF(Table25[[#All],[Assets]],Table25[[#This Row],[Assets]],Table25[[#All],[Number of stocks]])</f>
        <v>43</v>
      </c>
    </row>
    <row r="862" spans="1:17">
      <c r="A862" t="e" vm="24">
        <v>#VALUE!</v>
      </c>
      <c r="B862" s="2">
        <v>45698</v>
      </c>
      <c r="C862" t="str" cm="1">
        <f t="array" aca="1" ref="C862" ca="1">_FV(A862,"Ticker symbol",TRUE)</f>
        <v>QCOM</v>
      </c>
      <c r="D862" s="4">
        <v>169.93</v>
      </c>
      <c r="E862" s="50">
        <v>8</v>
      </c>
      <c r="F862" s="81">
        <f>IF(Table25[[#This Row],[Number of stocks]]&gt;0,Table25[[#This Row],[Number of stocks]],0)</f>
        <v>8</v>
      </c>
      <c r="G862" s="73">
        <f>Table25[[#This Row],[Bought]]*Table25[[#This Row],[Price]]</f>
        <v>1359.44</v>
      </c>
      <c r="H862">
        <f>SUMIF(Table25[[#All],[Assets]],Table25[[#This Row],[Assets]],Table25[[#All],[Bought]])</f>
        <v>58</v>
      </c>
      <c r="I862">
        <f>SUMIF(Table25[[#All],[Assets]],Table25[[#This Row],[Assets]],Table25[[#All],[Bought Amount]])</f>
        <v>9670.27</v>
      </c>
      <c r="J862" s="88">
        <f>IF(Table25[[#This Row],[Number of stocks]]&lt;0,Table25[[#This Row],[Number of stocks]],0)</f>
        <v>0</v>
      </c>
      <c r="K862" s="5">
        <f>Table25[[#This Row],[Sold]]*Table25[[#This Row],[Price]]</f>
        <v>0</v>
      </c>
      <c r="L862" s="8">
        <f>ABS(SUMIF(Table25[[#All],[Assets]],Table25[[#This Row],[Assets]],Table25[[#All],[Sold]]))</f>
        <v>57</v>
      </c>
      <c r="M862" s="5">
        <f>ABS(SUMIF(Table25[[#All],[Assets]],Table25[[#This Row],[Assets]],Table25[[#All],[Sold Amount]]))</f>
        <v>8530.1</v>
      </c>
      <c r="N862" s="5">
        <f>IFERROR(Table25[[#This Row],[Total sold amount]]/Table25[[#This Row],[Total Sold number of stocks]],"")</f>
        <v>149.65087719298245</v>
      </c>
      <c r="O862" s="4">
        <f>IFERROR(Table25[[#This Row],[Total Amount bought]]/Table25[[#This Row],[Total number bought]],"")</f>
        <v>166.72879310344828</v>
      </c>
      <c r="P862" s="4">
        <f>IFERROR((Table25[[#This Row],[Average sell price]]-Table25[[#This Row],[Average buy price]])*Table25[[#This Row],[Total Sold number of stocks]],0)</f>
        <v>-973.44120689655256</v>
      </c>
      <c r="Q862" s="85">
        <f>SUMIF(Table25[[#All],[Assets]],Table25[[#This Row],[Assets]],Table25[[#All],[Number of stocks]])</f>
        <v>1</v>
      </c>
    </row>
    <row r="863" spans="1:17">
      <c r="A863" t="e" vm="77">
        <v>#VALUE!</v>
      </c>
      <c r="B863" s="2">
        <v>45698</v>
      </c>
      <c r="C863" t="str" cm="1">
        <f t="array" aca="1" ref="C863" ca="1">_FV(A863,"Ticker symbol",TRUE)</f>
        <v>STIM</v>
      </c>
      <c r="D863" s="4">
        <v>3.68</v>
      </c>
      <c r="E863" s="50">
        <v>600</v>
      </c>
      <c r="F863" s="81">
        <f>IF(Table25[[#This Row],[Number of stocks]]&gt;0,Table25[[#This Row],[Number of stocks]],0)</f>
        <v>600</v>
      </c>
      <c r="G863" s="73">
        <f>Table25[[#This Row],[Bought]]*Table25[[#This Row],[Price]]</f>
        <v>2208</v>
      </c>
      <c r="H863">
        <f>SUMIF(Table25[[#All],[Assets]],Table25[[#This Row],[Assets]],Table25[[#All],[Bought]])</f>
        <v>7036.45</v>
      </c>
      <c r="I863">
        <f>SUMIF(Table25[[#All],[Assets]],Table25[[#This Row],[Assets]],Table25[[#All],[Bought Amount]])</f>
        <v>19162.260000000002</v>
      </c>
      <c r="J863" s="88">
        <f>IF(Table25[[#This Row],[Number of stocks]]&lt;0,Table25[[#This Row],[Number of stocks]],0)</f>
        <v>0</v>
      </c>
      <c r="K863" s="5">
        <f>Table25[[#This Row],[Sold]]*Table25[[#This Row],[Price]]</f>
        <v>0</v>
      </c>
      <c r="L863" s="8">
        <f>ABS(SUMIF(Table25[[#All],[Assets]],Table25[[#This Row],[Assets]],Table25[[#All],[Sold]]))</f>
        <v>6686.45</v>
      </c>
      <c r="M863" s="5">
        <f>ABS(SUMIF(Table25[[#All],[Assets]],Table25[[#This Row],[Assets]],Table25[[#All],[Sold Amount]]))</f>
        <v>19226.484999999997</v>
      </c>
      <c r="N863" s="5">
        <f>IFERROR(Table25[[#This Row],[Total sold amount]]/Table25[[#This Row],[Total Sold number of stocks]],"")</f>
        <v>2.8754398821497205</v>
      </c>
      <c r="O863" s="4">
        <f>IFERROR(Table25[[#This Row],[Total Amount bought]]/Table25[[#This Row],[Total number bought]],"")</f>
        <v>2.7232851793162749</v>
      </c>
      <c r="P863" s="4">
        <f>IFERROR((Table25[[#This Row],[Average sell price]]-Table25[[#This Row],[Average buy price]])*Table25[[#This Row],[Total Sold number of stocks]],0)</f>
        <v>1017.3748127606921</v>
      </c>
      <c r="Q863" s="85">
        <f>SUMIF(Table25[[#All],[Assets]],Table25[[#This Row],[Assets]],Table25[[#All],[Number of stocks]])</f>
        <v>349.99999999999977</v>
      </c>
    </row>
    <row r="864" spans="1:17">
      <c r="A864" t="e" vm="183">
        <v>#VALUE!</v>
      </c>
      <c r="B864" s="2">
        <v>45698</v>
      </c>
      <c r="C864" t="str" cm="1">
        <f t="array" aca="1" ref="C864" ca="1">_FV(A864,"Ticker symbol",TRUE)</f>
        <v>ESOA</v>
      </c>
      <c r="D864" s="4">
        <v>10.56</v>
      </c>
      <c r="E864" s="50">
        <v>200</v>
      </c>
      <c r="F864" s="81">
        <f>IF(Table25[[#This Row],[Number of stocks]]&gt;0,Table25[[#This Row],[Number of stocks]],0)</f>
        <v>200</v>
      </c>
      <c r="G864" s="73">
        <f>Table25[[#This Row],[Bought]]*Table25[[#This Row],[Price]]</f>
        <v>2112</v>
      </c>
      <c r="H864">
        <f>SUMIF(Table25[[#All],[Assets]],Table25[[#This Row],[Assets]],Table25[[#All],[Bought]])</f>
        <v>1832</v>
      </c>
      <c r="I864">
        <f>SUMIF(Table25[[#All],[Assets]],Table25[[#This Row],[Assets]],Table25[[#All],[Bought Amount]])</f>
        <v>18152.78</v>
      </c>
      <c r="J864" s="88">
        <f>IF(Table25[[#This Row],[Number of stocks]]&lt;0,Table25[[#This Row],[Number of stocks]],0)</f>
        <v>0</v>
      </c>
      <c r="K864" s="5">
        <f>Table25[[#This Row],[Sold]]*Table25[[#This Row],[Price]]</f>
        <v>0</v>
      </c>
      <c r="L864" s="8">
        <f>ABS(SUMIF(Table25[[#All],[Assets]],Table25[[#This Row],[Assets]],Table25[[#All],[Sold]]))</f>
        <v>1568</v>
      </c>
      <c r="M864" s="5">
        <f>ABS(SUMIF(Table25[[#All],[Assets]],Table25[[#This Row],[Assets]],Table25[[#All],[Sold Amount]]))</f>
        <v>14668</v>
      </c>
      <c r="N864" s="5">
        <f>IFERROR(Table25[[#This Row],[Total sold amount]]/Table25[[#This Row],[Total Sold number of stocks]],"")</f>
        <v>9.3545918367346932</v>
      </c>
      <c r="O864" s="4">
        <f>IFERROR(Table25[[#This Row],[Total Amount bought]]/Table25[[#This Row],[Total number bought]],"")</f>
        <v>9.9087227074235802</v>
      </c>
      <c r="P864" s="4">
        <f>IFERROR((Table25[[#This Row],[Average sell price]]-Table25[[#This Row],[Average buy price]])*Table25[[#This Row],[Total Sold number of stocks]],0)</f>
        <v>-868.87720524017482</v>
      </c>
      <c r="Q864" s="85">
        <f>SUMIF(Table25[[#All],[Assets]],Table25[[#This Row],[Assets]],Table25[[#All],[Number of stocks]])</f>
        <v>264</v>
      </c>
    </row>
    <row r="865" spans="1:17">
      <c r="A865" t="e" vm="46">
        <v>#VALUE!</v>
      </c>
      <c r="B865" s="2">
        <v>45698</v>
      </c>
      <c r="C865" t="str" cm="1">
        <f t="array" aca="1" ref="C865" ca="1">_FV(A865,"Ticker symbol",TRUE)</f>
        <v>ASPI</v>
      </c>
      <c r="D865" s="4">
        <v>6.44</v>
      </c>
      <c r="E865" s="50">
        <v>-220</v>
      </c>
      <c r="F865" s="81">
        <f>IF(Table25[[#This Row],[Number of stocks]]&gt;0,Table25[[#This Row],[Number of stocks]],0)</f>
        <v>0</v>
      </c>
      <c r="G865" s="73">
        <f>Table25[[#This Row],[Bought]]*Table25[[#This Row],[Price]]</f>
        <v>0</v>
      </c>
      <c r="H865">
        <f>SUMIF(Table25[[#All],[Assets]],Table25[[#This Row],[Assets]],Table25[[#All],[Bought]])</f>
        <v>1899</v>
      </c>
      <c r="I865">
        <f>SUMIF(Table25[[#All],[Assets]],Table25[[#This Row],[Assets]],Table25[[#All],[Bought Amount]])</f>
        <v>8555.869999999999</v>
      </c>
      <c r="J865" s="88">
        <f>IF(Table25[[#This Row],[Number of stocks]]&lt;0,Table25[[#This Row],[Number of stocks]],0)</f>
        <v>-220</v>
      </c>
      <c r="K865" s="5">
        <f>Table25[[#This Row],[Sold]]*Table25[[#This Row],[Price]]</f>
        <v>-1416.8000000000002</v>
      </c>
      <c r="L865" s="8">
        <f>ABS(SUMIF(Table25[[#All],[Assets]],Table25[[#This Row],[Assets]],Table25[[#All],[Sold]]))</f>
        <v>1599</v>
      </c>
      <c r="M865" s="5">
        <f>ABS(SUMIF(Table25[[#All],[Assets]],Table25[[#This Row],[Assets]],Table25[[#All],[Sold Amount]]))</f>
        <v>8799.17</v>
      </c>
      <c r="N865" s="5">
        <f>IFERROR(Table25[[#This Row],[Total sold amount]]/Table25[[#This Row],[Total Sold number of stocks]],"")</f>
        <v>5.5029205753595996</v>
      </c>
      <c r="O865" s="4">
        <f>IFERROR(Table25[[#This Row],[Total Amount bought]]/Table25[[#This Row],[Total number bought]],"")</f>
        <v>4.5054607688256976</v>
      </c>
      <c r="P865" s="4">
        <f>IFERROR((Table25[[#This Row],[Average sell price]]-Table25[[#This Row],[Average buy price]])*Table25[[#This Row],[Total Sold number of stocks]],0)</f>
        <v>1594.9382306477094</v>
      </c>
      <c r="Q865" s="85">
        <f>SUMIF(Table25[[#All],[Assets]],Table25[[#This Row],[Assets]],Table25[[#All],[Number of stocks]])</f>
        <v>300</v>
      </c>
    </row>
    <row r="866" spans="1:17">
      <c r="A866" t="e" vm="183">
        <v>#VALUE!</v>
      </c>
      <c r="B866" s="2">
        <v>45698</v>
      </c>
      <c r="C866" t="str" cm="1">
        <f t="array" aca="1" ref="C866" ca="1">_FV(A866,"Ticker symbol",TRUE)</f>
        <v>ESOA</v>
      </c>
      <c r="D866" s="4">
        <v>10.59</v>
      </c>
      <c r="E866" s="50">
        <v>130</v>
      </c>
      <c r="F866" s="81">
        <f>IF(Table25[[#This Row],[Number of stocks]]&gt;0,Table25[[#This Row],[Number of stocks]],0)</f>
        <v>130</v>
      </c>
      <c r="G866" s="73">
        <f>Table25[[#This Row],[Bought]]*Table25[[#This Row],[Price]]</f>
        <v>1376.7</v>
      </c>
      <c r="H866">
        <f>SUMIF(Table25[[#All],[Assets]],Table25[[#This Row],[Assets]],Table25[[#All],[Bought]])</f>
        <v>1832</v>
      </c>
      <c r="I866">
        <f>SUMIF(Table25[[#All],[Assets]],Table25[[#This Row],[Assets]],Table25[[#All],[Bought Amount]])</f>
        <v>18152.78</v>
      </c>
      <c r="J866" s="88">
        <f>IF(Table25[[#This Row],[Number of stocks]]&lt;0,Table25[[#This Row],[Number of stocks]],0)</f>
        <v>0</v>
      </c>
      <c r="K866" s="5">
        <f>Table25[[#This Row],[Sold]]*Table25[[#This Row],[Price]]</f>
        <v>0</v>
      </c>
      <c r="L866" s="8">
        <f>ABS(SUMIF(Table25[[#All],[Assets]],Table25[[#This Row],[Assets]],Table25[[#All],[Sold]]))</f>
        <v>1568</v>
      </c>
      <c r="M866" s="5">
        <f>ABS(SUMIF(Table25[[#All],[Assets]],Table25[[#This Row],[Assets]],Table25[[#All],[Sold Amount]]))</f>
        <v>14668</v>
      </c>
      <c r="N866" s="5">
        <f>IFERROR(Table25[[#This Row],[Total sold amount]]/Table25[[#This Row],[Total Sold number of stocks]],"")</f>
        <v>9.3545918367346932</v>
      </c>
      <c r="O866" s="4">
        <f>IFERROR(Table25[[#This Row],[Total Amount bought]]/Table25[[#This Row],[Total number bought]],"")</f>
        <v>9.9087227074235802</v>
      </c>
      <c r="P866" s="4">
        <f>IFERROR((Table25[[#This Row],[Average sell price]]-Table25[[#This Row],[Average buy price]])*Table25[[#This Row],[Total Sold number of stocks]],0)</f>
        <v>-868.87720524017482</v>
      </c>
      <c r="Q866" s="85">
        <f>SUMIF(Table25[[#All],[Assets]],Table25[[#This Row],[Assets]],Table25[[#All],[Number of stocks]])</f>
        <v>264</v>
      </c>
    </row>
    <row r="867" spans="1:17">
      <c r="A867" t="e" vm="326">
        <v>#VALUE!</v>
      </c>
      <c r="B867" s="2">
        <v>45698</v>
      </c>
      <c r="C867" t="str" cm="1">
        <f t="array" aca="1" ref="C867" ca="1">_FV(A867,"Ticker symbol",TRUE)</f>
        <v>SMTC</v>
      </c>
      <c r="D867" s="4">
        <v>38.24</v>
      </c>
      <c r="E867" s="50">
        <v>15</v>
      </c>
      <c r="F867" s="81">
        <f>IF(Table25[[#This Row],[Number of stocks]]&gt;0,Table25[[#This Row],[Number of stocks]],0)</f>
        <v>15</v>
      </c>
      <c r="G867" s="73">
        <f>Table25[[#This Row],[Bought]]*Table25[[#This Row],[Price]]</f>
        <v>573.6</v>
      </c>
      <c r="H867">
        <f>SUMIF(Table25[[#All],[Assets]],Table25[[#This Row],[Assets]],Table25[[#All],[Bought]])</f>
        <v>22</v>
      </c>
      <c r="I867">
        <f>SUMIF(Table25[[#All],[Assets]],Table25[[#This Row],[Assets]],Table25[[#All],[Bought Amount]])</f>
        <v>1101.26</v>
      </c>
      <c r="J867" s="88">
        <f>IF(Table25[[#This Row],[Number of stocks]]&lt;0,Table25[[#This Row],[Number of stocks]],0)</f>
        <v>0</v>
      </c>
      <c r="K867" s="5">
        <f>Table25[[#This Row],[Sold]]*Table25[[#This Row],[Price]]</f>
        <v>0</v>
      </c>
      <c r="L867" s="8">
        <f>ABS(SUMIF(Table25[[#All],[Assets]],Table25[[#This Row],[Assets]],Table25[[#All],[Sold]]))</f>
        <v>15</v>
      </c>
      <c r="M867" s="5">
        <f>ABS(SUMIF(Table25[[#All],[Assets]],Table25[[#This Row],[Assets]],Table25[[#All],[Sold Amount]]))</f>
        <v>481.95000000000005</v>
      </c>
      <c r="N867" s="5">
        <f>IFERROR(Table25[[#This Row],[Total sold amount]]/Table25[[#This Row],[Total Sold number of stocks]],"")</f>
        <v>32.130000000000003</v>
      </c>
      <c r="O867" s="4">
        <f>IFERROR(Table25[[#This Row],[Total Amount bought]]/Table25[[#This Row],[Total number bought]],"")</f>
        <v>50.057272727272725</v>
      </c>
      <c r="P867" s="4">
        <f>IFERROR((Table25[[#This Row],[Average sell price]]-Table25[[#This Row],[Average buy price]])*Table25[[#This Row],[Total Sold number of stocks]],0)</f>
        <v>-268.90909090909082</v>
      </c>
      <c r="Q867" s="85">
        <f>SUMIF(Table25[[#All],[Assets]],Table25[[#This Row],[Assets]],Table25[[#All],[Number of stocks]])</f>
        <v>7</v>
      </c>
    </row>
    <row r="868" spans="1:17">
      <c r="A868" t="e" vm="73">
        <v>#VALUE!</v>
      </c>
      <c r="B868" s="2">
        <v>45698</v>
      </c>
      <c r="C868" t="str" cm="1">
        <f t="array" aca="1" ref="C868" ca="1">_FV(A868,"Ticker symbol",TRUE)</f>
        <v>NOTV</v>
      </c>
      <c r="D868" s="4">
        <v>4.0999999999999996</v>
      </c>
      <c r="E868" s="50">
        <v>-100</v>
      </c>
      <c r="F868" s="81">
        <f>IF(Table25[[#This Row],[Number of stocks]]&gt;0,Table25[[#This Row],[Number of stocks]],0)</f>
        <v>0</v>
      </c>
      <c r="G868" s="73">
        <f>Table25[[#This Row],[Bought]]*Table25[[#This Row],[Price]]</f>
        <v>0</v>
      </c>
      <c r="H868">
        <f>SUMIF(Table25[[#All],[Assets]],Table25[[#This Row],[Assets]],Table25[[#All],[Bought]])</f>
        <v>3556</v>
      </c>
      <c r="I868">
        <f>SUMIF(Table25[[#All],[Assets]],Table25[[#This Row],[Assets]],Table25[[#All],[Bought Amount]])</f>
        <v>10249.890000000001</v>
      </c>
      <c r="J868" s="88">
        <f>IF(Table25[[#This Row],[Number of stocks]]&lt;0,Table25[[#This Row],[Number of stocks]],0)</f>
        <v>-100</v>
      </c>
      <c r="K868" s="5">
        <f>Table25[[#This Row],[Sold]]*Table25[[#This Row],[Price]]</f>
        <v>-409.99999999999994</v>
      </c>
      <c r="L868" s="8">
        <f>ABS(SUMIF(Table25[[#All],[Assets]],Table25[[#This Row],[Assets]],Table25[[#All],[Sold]]))</f>
        <v>2741</v>
      </c>
      <c r="M868" s="5">
        <f>ABS(SUMIF(Table25[[#All],[Assets]],Table25[[#This Row],[Assets]],Table25[[#All],[Sold Amount]]))</f>
        <v>6559.66</v>
      </c>
      <c r="N868" s="5">
        <f>IFERROR(Table25[[#This Row],[Total sold amount]]/Table25[[#This Row],[Total Sold number of stocks]],"")</f>
        <v>2.3931630791681866</v>
      </c>
      <c r="O868" s="4">
        <f>IFERROR(Table25[[#This Row],[Total Amount bought]]/Table25[[#This Row],[Total number bought]],"")</f>
        <v>2.8824212598425198</v>
      </c>
      <c r="P868" s="4">
        <f>IFERROR((Table25[[#This Row],[Average sell price]]-Table25[[#This Row],[Average buy price]])*Table25[[#This Row],[Total Sold number of stocks]],0)</f>
        <v>-1341.0566732283473</v>
      </c>
      <c r="Q868" s="85">
        <f>SUMIF(Table25[[#All],[Assets]],Table25[[#This Row],[Assets]],Table25[[#All],[Number of stocks]])</f>
        <v>815</v>
      </c>
    </row>
    <row r="869" spans="1:17">
      <c r="A869" t="e" vm="271">
        <v>#VALUE!</v>
      </c>
      <c r="B869" s="2">
        <v>45698</v>
      </c>
      <c r="C869" t="str" cm="1">
        <f t="array" aca="1" ref="C869" ca="1">_FV(A869,"Ticker symbol",TRUE)</f>
        <v>POET</v>
      </c>
      <c r="D869" s="4">
        <v>5.21</v>
      </c>
      <c r="E869" s="50">
        <v>-65</v>
      </c>
      <c r="F869" s="81">
        <f>IF(Table25[[#This Row],[Number of stocks]]&gt;0,Table25[[#This Row],[Number of stocks]],0)</f>
        <v>0</v>
      </c>
      <c r="G869" s="73">
        <f>Table25[[#This Row],[Bought]]*Table25[[#This Row],[Price]]</f>
        <v>0</v>
      </c>
      <c r="H869">
        <f>SUMIF(Table25[[#All],[Assets]],Table25[[#This Row],[Assets]],Table25[[#All],[Bought]])</f>
        <v>150</v>
      </c>
      <c r="I869">
        <f>SUMIF(Table25[[#All],[Assets]],Table25[[#This Row],[Assets]],Table25[[#All],[Bought Amount]])</f>
        <v>673</v>
      </c>
      <c r="J869" s="88">
        <f>IF(Table25[[#This Row],[Number of stocks]]&lt;0,Table25[[#This Row],[Number of stocks]],0)</f>
        <v>-65</v>
      </c>
      <c r="K869" s="5">
        <f>Table25[[#This Row],[Sold]]*Table25[[#This Row],[Price]]</f>
        <v>-338.65</v>
      </c>
      <c r="L869" s="8">
        <f>ABS(SUMIF(Table25[[#All],[Assets]],Table25[[#This Row],[Assets]],Table25[[#All],[Sold]]))</f>
        <v>130</v>
      </c>
      <c r="M869" s="5">
        <f>ABS(SUMIF(Table25[[#All],[Assets]],Table25[[#This Row],[Assets]],Table25[[#All],[Sold Amount]]))</f>
        <v>650</v>
      </c>
      <c r="N869" s="5">
        <f>IFERROR(Table25[[#This Row],[Total sold amount]]/Table25[[#This Row],[Total Sold number of stocks]],"")</f>
        <v>5</v>
      </c>
      <c r="O869" s="4">
        <f>IFERROR(Table25[[#This Row],[Total Amount bought]]/Table25[[#This Row],[Total number bought]],"")</f>
        <v>4.4866666666666664</v>
      </c>
      <c r="P869" s="4">
        <f>IFERROR((Table25[[#This Row],[Average sell price]]-Table25[[#This Row],[Average buy price]])*Table25[[#This Row],[Total Sold number of stocks]],0)</f>
        <v>66.733333333333377</v>
      </c>
      <c r="Q869" s="85">
        <f>SUMIF(Table25[[#All],[Assets]],Table25[[#This Row],[Assets]],Table25[[#All],[Number of stocks]])</f>
        <v>20</v>
      </c>
    </row>
    <row r="870" spans="1:17">
      <c r="A870" t="e" vm="543">
        <v>#VALUE!</v>
      </c>
      <c r="B870" s="2">
        <v>45698</v>
      </c>
      <c r="C870" t="str" cm="1">
        <f t="array" aca="1" ref="C870" ca="1">_FV(A870,"Ticker symbol",TRUE)</f>
        <v>DKNG</v>
      </c>
      <c r="D870" s="4">
        <v>42.88</v>
      </c>
      <c r="E870" s="50">
        <v>-8</v>
      </c>
      <c r="F870" s="81">
        <f>IF(Table25[[#This Row],[Number of stocks]]&gt;0,Table25[[#This Row],[Number of stocks]],0)</f>
        <v>0</v>
      </c>
      <c r="G870" s="73">
        <f>Table25[[#This Row],[Bought]]*Table25[[#This Row],[Price]]</f>
        <v>0</v>
      </c>
      <c r="H870">
        <f>SUMIF(Table25[[#All],[Assets]],Table25[[#This Row],[Assets]],Table25[[#All],[Bought]])</f>
        <v>8</v>
      </c>
      <c r="I870">
        <f>SUMIF(Table25[[#All],[Assets]],Table25[[#This Row],[Assets]],Table25[[#All],[Bought Amount]])</f>
        <v>334.24</v>
      </c>
      <c r="J870" s="88">
        <f>IF(Table25[[#This Row],[Number of stocks]]&lt;0,Table25[[#This Row],[Number of stocks]],0)</f>
        <v>-8</v>
      </c>
      <c r="K870" s="5">
        <f>Table25[[#This Row],[Sold]]*Table25[[#This Row],[Price]]</f>
        <v>-343.04</v>
      </c>
      <c r="L870" s="8">
        <f>ABS(SUMIF(Table25[[#All],[Assets]],Table25[[#This Row],[Assets]],Table25[[#All],[Sold]]))</f>
        <v>8</v>
      </c>
      <c r="M870" s="5">
        <f>ABS(SUMIF(Table25[[#All],[Assets]],Table25[[#This Row],[Assets]],Table25[[#All],[Sold Amount]]))</f>
        <v>343.04</v>
      </c>
      <c r="N870" s="5">
        <f>IFERROR(Table25[[#This Row],[Total sold amount]]/Table25[[#This Row],[Total Sold number of stocks]],"")</f>
        <v>42.88</v>
      </c>
      <c r="O870" s="4">
        <f>IFERROR(Table25[[#This Row],[Total Amount bought]]/Table25[[#This Row],[Total number bought]],"")</f>
        <v>41.78</v>
      </c>
      <c r="P870" s="4">
        <f>IFERROR((Table25[[#This Row],[Average sell price]]-Table25[[#This Row],[Average buy price]])*Table25[[#This Row],[Total Sold number of stocks]],0)</f>
        <v>8.8000000000000114</v>
      </c>
      <c r="Q870" s="85">
        <f>SUMIF(Table25[[#All],[Assets]],Table25[[#This Row],[Assets]],Table25[[#All],[Number of stocks]])</f>
        <v>0</v>
      </c>
    </row>
    <row r="871" spans="1:17">
      <c r="A871" t="e" vm="9">
        <v>#VALUE!</v>
      </c>
      <c r="B871" s="2">
        <v>45699</v>
      </c>
      <c r="C871" t="str" cm="1">
        <f t="array" aca="1" ref="C871" ca="1">_FV(A871,"Ticker symbol",TRUE)</f>
        <v>TDY</v>
      </c>
      <c r="D871" s="4">
        <v>508.58</v>
      </c>
      <c r="E871" s="50">
        <v>1</v>
      </c>
      <c r="F871" s="81">
        <f>IF(Table25[[#This Row],[Number of stocks]]&gt;0,Table25[[#This Row],[Number of stocks]],0)</f>
        <v>1</v>
      </c>
      <c r="G871" s="73">
        <f>Table25[[#This Row],[Bought]]*Table25[[#This Row],[Price]]</f>
        <v>508.58</v>
      </c>
      <c r="H871">
        <f>SUMIF(Table25[[#All],[Assets]],Table25[[#This Row],[Assets]],Table25[[#All],[Bought]])</f>
        <v>1</v>
      </c>
      <c r="I871">
        <f>SUMIF(Table25[[#All],[Assets]],Table25[[#This Row],[Assets]],Table25[[#All],[Bought Amount]])</f>
        <v>508.58</v>
      </c>
      <c r="J871" s="88">
        <f>IF(Table25[[#This Row],[Number of stocks]]&lt;0,Table25[[#This Row],[Number of stocks]],0)</f>
        <v>0</v>
      </c>
      <c r="K871" s="5">
        <f>Table25[[#This Row],[Sold]]*Table25[[#This Row],[Price]]</f>
        <v>0</v>
      </c>
      <c r="L871" s="8">
        <f>ABS(SUMIF(Table25[[#All],[Assets]],Table25[[#This Row],[Assets]],Table25[[#All],[Sold]]))</f>
        <v>1</v>
      </c>
      <c r="M871" s="5">
        <f>ABS(SUMIF(Table25[[#All],[Assets]],Table25[[#This Row],[Assets]],Table25[[#All],[Sold Amount]]))</f>
        <v>479.12</v>
      </c>
      <c r="N871" s="5">
        <f>IFERROR(Table25[[#This Row],[Total sold amount]]/Table25[[#This Row],[Total Sold number of stocks]],"")</f>
        <v>479.12</v>
      </c>
      <c r="O871" s="4">
        <f>IFERROR(Table25[[#This Row],[Total Amount bought]]/Table25[[#This Row],[Total number bought]],"")</f>
        <v>508.58</v>
      </c>
      <c r="P871" s="4">
        <f>IFERROR((Table25[[#This Row],[Average sell price]]-Table25[[#This Row],[Average buy price]])*Table25[[#This Row],[Total Sold number of stocks]],0)</f>
        <v>-29.45999999999998</v>
      </c>
      <c r="Q871" s="85">
        <f>SUMIF(Table25[[#All],[Assets]],Table25[[#This Row],[Assets]],Table25[[#All],[Number of stocks]])</f>
        <v>0</v>
      </c>
    </row>
    <row r="872" spans="1:17">
      <c r="A872" t="e" vm="6">
        <v>#VALUE!</v>
      </c>
      <c r="B872" s="2">
        <v>45699</v>
      </c>
      <c r="C872" t="str" cm="1">
        <f t="array" aca="1" ref="C872" ca="1">_FV(A872,"Ticker symbol",TRUE)</f>
        <v>KTOS</v>
      </c>
      <c r="D872" s="4">
        <v>32.68</v>
      </c>
      <c r="E872" s="50">
        <v>4</v>
      </c>
      <c r="F872" s="81">
        <f>IF(Table25[[#This Row],[Number of stocks]]&gt;0,Table25[[#This Row],[Number of stocks]],0)</f>
        <v>4</v>
      </c>
      <c r="G872" s="73">
        <f>Table25[[#This Row],[Bought]]*Table25[[#This Row],[Price]]</f>
        <v>130.72</v>
      </c>
      <c r="H872">
        <f>SUMIF(Table25[[#All],[Assets]],Table25[[#This Row],[Assets]],Table25[[#All],[Bought]])</f>
        <v>121</v>
      </c>
      <c r="I872">
        <f>SUMIF(Table25[[#All],[Assets]],Table25[[#This Row],[Assets]],Table25[[#All],[Bought Amount]])</f>
        <v>3826.76</v>
      </c>
      <c r="J872" s="88">
        <f>IF(Table25[[#This Row],[Number of stocks]]&lt;0,Table25[[#This Row],[Number of stocks]],0)</f>
        <v>0</v>
      </c>
      <c r="K872" s="5">
        <f>Table25[[#This Row],[Sold]]*Table25[[#This Row],[Price]]</f>
        <v>0</v>
      </c>
      <c r="L872" s="8">
        <f>ABS(SUMIF(Table25[[#All],[Assets]],Table25[[#This Row],[Assets]],Table25[[#All],[Sold]]))</f>
        <v>121</v>
      </c>
      <c r="M872" s="5">
        <f>ABS(SUMIF(Table25[[#All],[Assets]],Table25[[#This Row],[Assets]],Table25[[#All],[Sold Amount]]))</f>
        <v>8971.93</v>
      </c>
      <c r="N872" s="5">
        <f>IFERROR(Table25[[#This Row],[Total sold amount]]/Table25[[#This Row],[Total Sold number of stocks]],"")</f>
        <v>74.148181818181826</v>
      </c>
      <c r="O872" s="4">
        <f>IFERROR(Table25[[#This Row],[Total Amount bought]]/Table25[[#This Row],[Total number bought]],"")</f>
        <v>31.626115702479339</v>
      </c>
      <c r="P872" s="4">
        <f>IFERROR((Table25[[#This Row],[Average sell price]]-Table25[[#This Row],[Average buy price]])*Table25[[#This Row],[Total Sold number of stocks]],0)</f>
        <v>5145.170000000001</v>
      </c>
      <c r="Q872" s="85">
        <f>SUMIF(Table25[[#All],[Assets]],Table25[[#This Row],[Assets]],Table25[[#All],[Number of stocks]])</f>
        <v>0</v>
      </c>
    </row>
    <row r="873" spans="1:17">
      <c r="A873" t="e" vm="183">
        <v>#VALUE!</v>
      </c>
      <c r="B873" s="2">
        <v>45700</v>
      </c>
      <c r="C873" t="str" cm="1">
        <f t="array" aca="1" ref="C873" ca="1">_FV(A873,"Ticker symbol",TRUE)</f>
        <v>ESOA</v>
      </c>
      <c r="D873" s="4">
        <v>10.48</v>
      </c>
      <c r="E873" s="50">
        <v>-30</v>
      </c>
      <c r="F873" s="81">
        <f>IF(Table25[[#This Row],[Number of stocks]]&gt;0,Table25[[#This Row],[Number of stocks]],0)</f>
        <v>0</v>
      </c>
      <c r="G873" s="73">
        <f>Table25[[#This Row],[Bought]]*Table25[[#This Row],[Price]]</f>
        <v>0</v>
      </c>
      <c r="H873">
        <f>SUMIF(Table25[[#All],[Assets]],Table25[[#This Row],[Assets]],Table25[[#All],[Bought]])</f>
        <v>1832</v>
      </c>
      <c r="I873">
        <f>SUMIF(Table25[[#All],[Assets]],Table25[[#This Row],[Assets]],Table25[[#All],[Bought Amount]])</f>
        <v>18152.78</v>
      </c>
      <c r="J873" s="88">
        <f>IF(Table25[[#This Row],[Number of stocks]]&lt;0,Table25[[#This Row],[Number of stocks]],0)</f>
        <v>-30</v>
      </c>
      <c r="K873" s="5">
        <f>Table25[[#This Row],[Sold]]*Table25[[#This Row],[Price]]</f>
        <v>-314.40000000000003</v>
      </c>
      <c r="L873" s="8">
        <f>ABS(SUMIF(Table25[[#All],[Assets]],Table25[[#This Row],[Assets]],Table25[[#All],[Sold]]))</f>
        <v>1568</v>
      </c>
      <c r="M873" s="5">
        <f>ABS(SUMIF(Table25[[#All],[Assets]],Table25[[#This Row],[Assets]],Table25[[#All],[Sold Amount]]))</f>
        <v>14668</v>
      </c>
      <c r="N873" s="5">
        <f>IFERROR(Table25[[#This Row],[Total sold amount]]/Table25[[#This Row],[Total Sold number of stocks]],"")</f>
        <v>9.3545918367346932</v>
      </c>
      <c r="O873" s="4">
        <f>IFERROR(Table25[[#This Row],[Total Amount bought]]/Table25[[#This Row],[Total number bought]],"")</f>
        <v>9.9087227074235802</v>
      </c>
      <c r="P873" s="4">
        <f>IFERROR((Table25[[#This Row],[Average sell price]]-Table25[[#This Row],[Average buy price]])*Table25[[#This Row],[Total Sold number of stocks]],0)</f>
        <v>-868.87720524017482</v>
      </c>
      <c r="Q873" s="85">
        <f>SUMIF(Table25[[#All],[Assets]],Table25[[#This Row],[Assets]],Table25[[#All],[Number of stocks]])</f>
        <v>264</v>
      </c>
    </row>
    <row r="874" spans="1:17">
      <c r="A874" t="e" vm="545">
        <v>#VALUE!</v>
      </c>
      <c r="B874" s="2">
        <v>45701</v>
      </c>
      <c r="C874" t="str" cm="1">
        <f t="array" aca="1" ref="C874" ca="1">_FV(A874,"Ticker symbol",TRUE)</f>
        <v>TDOC</v>
      </c>
      <c r="D874" s="4">
        <v>12.89</v>
      </c>
      <c r="E874" s="50">
        <v>50</v>
      </c>
      <c r="F874" s="81">
        <f>IF(Table25[[#This Row],[Number of stocks]]&gt;0,Table25[[#This Row],[Number of stocks]],0)</f>
        <v>50</v>
      </c>
      <c r="G874" s="73">
        <f>Table25[[#This Row],[Bought]]*Table25[[#This Row],[Price]]</f>
        <v>644.5</v>
      </c>
      <c r="H874">
        <f>SUMIF(Table25[[#All],[Assets]],Table25[[#This Row],[Assets]],Table25[[#All],[Bought]])</f>
        <v>158</v>
      </c>
      <c r="I874">
        <f>SUMIF(Table25[[#All],[Assets]],Table25[[#This Row],[Assets]],Table25[[#All],[Bought Amount]])</f>
        <v>1953.64</v>
      </c>
      <c r="J874" s="88">
        <f>IF(Table25[[#This Row],[Number of stocks]]&lt;0,Table25[[#This Row],[Number of stocks]],0)</f>
        <v>0</v>
      </c>
      <c r="K874" s="5">
        <f>Table25[[#This Row],[Sold]]*Table25[[#This Row],[Price]]</f>
        <v>0</v>
      </c>
      <c r="L874" s="8">
        <f>ABS(SUMIF(Table25[[#All],[Assets]],Table25[[#This Row],[Assets]],Table25[[#All],[Sold]]))</f>
        <v>158</v>
      </c>
      <c r="M874" s="5">
        <f>ABS(SUMIF(Table25[[#All],[Assets]],Table25[[#This Row],[Assets]],Table25[[#All],[Sold Amount]]))</f>
        <v>1193.4000000000001</v>
      </c>
      <c r="N874" s="5">
        <f>IFERROR(Table25[[#This Row],[Total sold amount]]/Table25[[#This Row],[Total Sold number of stocks]],"")</f>
        <v>7.5531645569620256</v>
      </c>
      <c r="O874" s="4">
        <f>IFERROR(Table25[[#This Row],[Total Amount bought]]/Table25[[#This Row],[Total number bought]],"")</f>
        <v>12.364810126582279</v>
      </c>
      <c r="P874" s="4">
        <f>IFERROR((Table25[[#This Row],[Average sell price]]-Table25[[#This Row],[Average buy price]])*Table25[[#This Row],[Total Sold number of stocks]],0)</f>
        <v>-760.24</v>
      </c>
      <c r="Q874" s="85">
        <f>SUMIF(Table25[[#All],[Assets]],Table25[[#This Row],[Assets]],Table25[[#All],[Number of stocks]])</f>
        <v>0</v>
      </c>
    </row>
    <row r="875" spans="1:17">
      <c r="A875" t="e" vm="545">
        <v>#VALUE!</v>
      </c>
      <c r="B875" s="2">
        <v>45701</v>
      </c>
      <c r="C875" t="str" cm="1">
        <f t="array" aca="1" ref="C875" ca="1">_FV(A875,"Ticker symbol",TRUE)</f>
        <v>TDOC</v>
      </c>
      <c r="D875" s="4">
        <v>13.03</v>
      </c>
      <c r="E875" s="50">
        <v>18</v>
      </c>
      <c r="F875" s="81">
        <f>IF(Table25[[#This Row],[Number of stocks]]&gt;0,Table25[[#This Row],[Number of stocks]],0)</f>
        <v>18</v>
      </c>
      <c r="G875" s="73">
        <f>Table25[[#This Row],[Bought]]*Table25[[#This Row],[Price]]</f>
        <v>234.54</v>
      </c>
      <c r="H875">
        <f>SUMIF(Table25[[#All],[Assets]],Table25[[#This Row],[Assets]],Table25[[#All],[Bought]])</f>
        <v>158</v>
      </c>
      <c r="I875">
        <f>SUMIF(Table25[[#All],[Assets]],Table25[[#This Row],[Assets]],Table25[[#All],[Bought Amount]])</f>
        <v>1953.64</v>
      </c>
      <c r="J875" s="88">
        <f>IF(Table25[[#This Row],[Number of stocks]]&lt;0,Table25[[#This Row],[Number of stocks]],0)</f>
        <v>0</v>
      </c>
      <c r="K875" s="5">
        <f>Table25[[#This Row],[Sold]]*Table25[[#This Row],[Price]]</f>
        <v>0</v>
      </c>
      <c r="L875" s="8">
        <f>ABS(SUMIF(Table25[[#All],[Assets]],Table25[[#This Row],[Assets]],Table25[[#All],[Sold]]))</f>
        <v>158</v>
      </c>
      <c r="M875" s="5">
        <f>ABS(SUMIF(Table25[[#All],[Assets]],Table25[[#This Row],[Assets]],Table25[[#All],[Sold Amount]]))</f>
        <v>1193.4000000000001</v>
      </c>
      <c r="N875" s="5">
        <f>IFERROR(Table25[[#This Row],[Total sold amount]]/Table25[[#This Row],[Total Sold number of stocks]],"")</f>
        <v>7.5531645569620256</v>
      </c>
      <c r="O875" s="4">
        <f>IFERROR(Table25[[#This Row],[Total Amount bought]]/Table25[[#This Row],[Total number bought]],"")</f>
        <v>12.364810126582279</v>
      </c>
      <c r="P875" s="4">
        <f>IFERROR((Table25[[#This Row],[Average sell price]]-Table25[[#This Row],[Average buy price]])*Table25[[#This Row],[Total Sold number of stocks]],0)</f>
        <v>-760.24</v>
      </c>
      <c r="Q875" s="85">
        <f>SUMIF(Table25[[#All],[Assets]],Table25[[#This Row],[Assets]],Table25[[#All],[Number of stocks]])</f>
        <v>0</v>
      </c>
    </row>
    <row r="876" spans="1:17">
      <c r="A876" t="e" vm="544">
        <v>#VALUE!</v>
      </c>
      <c r="B876" s="2">
        <v>45701</v>
      </c>
      <c r="C876" t="str" cm="1">
        <f t="array" aca="1" ref="C876" ca="1">_FV(A876,"Ticker symbol",TRUE)</f>
        <v>CERT</v>
      </c>
      <c r="D876" s="4">
        <v>14.11</v>
      </c>
      <c r="E876" s="50">
        <v>20</v>
      </c>
      <c r="F876" s="81">
        <f>IF(Table25[[#This Row],[Number of stocks]]&gt;0,Table25[[#This Row],[Number of stocks]],0)</f>
        <v>20</v>
      </c>
      <c r="G876" s="73">
        <f>Table25[[#This Row],[Bought]]*Table25[[#This Row],[Price]]</f>
        <v>282.2</v>
      </c>
      <c r="H876">
        <f>SUMIF(Table25[[#All],[Assets]],Table25[[#This Row],[Assets]],Table25[[#All],[Bought]])</f>
        <v>70</v>
      </c>
      <c r="I876">
        <f>SUMIF(Table25[[#All],[Assets]],Table25[[#This Row],[Assets]],Table25[[#All],[Bought Amount]])</f>
        <v>969.7</v>
      </c>
      <c r="J876" s="88">
        <f>IF(Table25[[#This Row],[Number of stocks]]&lt;0,Table25[[#This Row],[Number of stocks]],0)</f>
        <v>0</v>
      </c>
      <c r="K876" s="5">
        <f>Table25[[#This Row],[Sold]]*Table25[[#This Row],[Price]]</f>
        <v>0</v>
      </c>
      <c r="L876" s="8">
        <f>ABS(SUMIF(Table25[[#All],[Assets]],Table25[[#This Row],[Assets]],Table25[[#All],[Sold]]))</f>
        <v>70</v>
      </c>
      <c r="M876" s="5">
        <f>ABS(SUMIF(Table25[[#All],[Assets]],Table25[[#This Row],[Assets]],Table25[[#All],[Sold Amount]]))</f>
        <v>825.3</v>
      </c>
      <c r="N876" s="5">
        <f>IFERROR(Table25[[#This Row],[Total sold amount]]/Table25[[#This Row],[Total Sold number of stocks]],"")</f>
        <v>11.79</v>
      </c>
      <c r="O876" s="4">
        <f>IFERROR(Table25[[#This Row],[Total Amount bought]]/Table25[[#This Row],[Total number bought]],"")</f>
        <v>13.852857142857143</v>
      </c>
      <c r="P876" s="4">
        <f>IFERROR((Table25[[#This Row],[Average sell price]]-Table25[[#This Row],[Average buy price]])*Table25[[#This Row],[Total Sold number of stocks]],0)</f>
        <v>-144.40000000000009</v>
      </c>
      <c r="Q876" s="85">
        <f>SUMIF(Table25[[#All],[Assets]],Table25[[#This Row],[Assets]],Table25[[#All],[Number of stocks]])</f>
        <v>0</v>
      </c>
    </row>
    <row r="877" spans="1:17">
      <c r="A877" t="e" vm="539">
        <v>#VALUE!</v>
      </c>
      <c r="B877" s="2">
        <v>45701</v>
      </c>
      <c r="C877" t="str" cm="1">
        <f t="array" aca="1" ref="C877" ca="1">_FV(A877,"Ticker symbol",TRUE)</f>
        <v>VEEV</v>
      </c>
      <c r="D877" s="4">
        <v>233.83</v>
      </c>
      <c r="E877" s="50">
        <v>-2</v>
      </c>
      <c r="F877" s="81">
        <f>IF(Table25[[#This Row],[Number of stocks]]&gt;0,Table25[[#This Row],[Number of stocks]],0)</f>
        <v>0</v>
      </c>
      <c r="G877" s="73">
        <f>Table25[[#This Row],[Bought]]*Table25[[#This Row],[Price]]</f>
        <v>0</v>
      </c>
      <c r="H877">
        <f>SUMIF(Table25[[#All],[Assets]],Table25[[#This Row],[Assets]],Table25[[#All],[Bought]])</f>
        <v>4</v>
      </c>
      <c r="I877">
        <f>SUMIF(Table25[[#All],[Assets]],Table25[[#This Row],[Assets]],Table25[[#All],[Bought Amount]])</f>
        <v>930.32</v>
      </c>
      <c r="J877" s="88">
        <f>IF(Table25[[#This Row],[Number of stocks]]&lt;0,Table25[[#This Row],[Number of stocks]],0)</f>
        <v>-2</v>
      </c>
      <c r="K877" s="5">
        <f>Table25[[#This Row],[Sold]]*Table25[[#This Row],[Price]]</f>
        <v>-467.66</v>
      </c>
      <c r="L877" s="8">
        <f>ABS(SUMIF(Table25[[#All],[Assets]],Table25[[#This Row],[Assets]],Table25[[#All],[Sold]]))</f>
        <v>4</v>
      </c>
      <c r="M877" s="5">
        <f>ABS(SUMIF(Table25[[#All],[Assets]],Table25[[#This Row],[Assets]],Table25[[#All],[Sold Amount]]))</f>
        <v>923.08</v>
      </c>
      <c r="N877" s="5">
        <f>IFERROR(Table25[[#This Row],[Total sold amount]]/Table25[[#This Row],[Total Sold number of stocks]],"")</f>
        <v>230.77</v>
      </c>
      <c r="O877" s="4">
        <f>IFERROR(Table25[[#This Row],[Total Amount bought]]/Table25[[#This Row],[Total number bought]],"")</f>
        <v>232.58</v>
      </c>
      <c r="P877" s="4">
        <f>IFERROR((Table25[[#This Row],[Average sell price]]-Table25[[#This Row],[Average buy price]])*Table25[[#This Row],[Total Sold number of stocks]],0)</f>
        <v>-7.2400000000000091</v>
      </c>
      <c r="Q877" s="85">
        <f>SUMIF(Table25[[#All],[Assets]],Table25[[#This Row],[Assets]],Table25[[#All],[Number of stocks]])</f>
        <v>0</v>
      </c>
    </row>
    <row r="878" spans="1:17">
      <c r="A878" t="e" vm="80">
        <v>#VALUE!</v>
      </c>
      <c r="B878" s="2">
        <v>45701</v>
      </c>
      <c r="C878" t="str" cm="1">
        <f t="array" aca="1" ref="C878" ca="1">_FV(A878,"Ticker symbol",TRUE)</f>
        <v>PYPL</v>
      </c>
      <c r="D878" s="4">
        <v>76.17</v>
      </c>
      <c r="E878" s="50">
        <v>5</v>
      </c>
      <c r="F878" s="81">
        <f>IF(Table25[[#This Row],[Number of stocks]]&gt;0,Table25[[#This Row],[Number of stocks]],0)</f>
        <v>5</v>
      </c>
      <c r="G878" s="73">
        <f>Table25[[#This Row],[Bought]]*Table25[[#This Row],[Price]]</f>
        <v>380.85</v>
      </c>
      <c r="H878">
        <f>SUMIF(Table25[[#All],[Assets]],Table25[[#This Row],[Assets]],Table25[[#All],[Bought]])</f>
        <v>223</v>
      </c>
      <c r="I878">
        <f>SUMIF(Table25[[#All],[Assets]],Table25[[#This Row],[Assets]],Table25[[#All],[Bought Amount]])</f>
        <v>14862.050000000003</v>
      </c>
      <c r="J878" s="88">
        <f>IF(Table25[[#This Row],[Number of stocks]]&lt;0,Table25[[#This Row],[Number of stocks]],0)</f>
        <v>0</v>
      </c>
      <c r="K878" s="5">
        <f>Table25[[#This Row],[Sold]]*Table25[[#This Row],[Price]]</f>
        <v>0</v>
      </c>
      <c r="L878" s="8">
        <f>ABS(SUMIF(Table25[[#All],[Assets]],Table25[[#This Row],[Assets]],Table25[[#All],[Sold]]))</f>
        <v>222</v>
      </c>
      <c r="M878" s="5">
        <f>ABS(SUMIF(Table25[[#All],[Assets]],Table25[[#This Row],[Assets]],Table25[[#All],[Sold Amount]]))</f>
        <v>15255.44</v>
      </c>
      <c r="N878" s="5">
        <f>IFERROR(Table25[[#This Row],[Total sold amount]]/Table25[[#This Row],[Total Sold number of stocks]],"")</f>
        <v>68.718198198198195</v>
      </c>
      <c r="O878" s="4">
        <f>IFERROR(Table25[[#This Row],[Total Amount bought]]/Table25[[#This Row],[Total number bought]],"")</f>
        <v>66.645964125560553</v>
      </c>
      <c r="P878" s="4">
        <f>IFERROR((Table25[[#This Row],[Average sell price]]-Table25[[#This Row],[Average buy price]])*Table25[[#This Row],[Total Sold number of stocks]],0)</f>
        <v>460.03596412555646</v>
      </c>
      <c r="Q878" s="85">
        <f>SUMIF(Table25[[#All],[Assets]],Table25[[#This Row],[Assets]],Table25[[#All],[Number of stocks]])</f>
        <v>1</v>
      </c>
    </row>
    <row r="879" spans="1:17">
      <c r="A879" t="e" vm="428">
        <v>#VALUE!</v>
      </c>
      <c r="B879" s="2">
        <v>45702</v>
      </c>
      <c r="C879" t="str" cm="1">
        <f t="array" aca="1" ref="C879" ca="1">_FV(A879,"Ticker symbol",TRUE)</f>
        <v>PCRX</v>
      </c>
      <c r="D879" s="4">
        <v>26.81</v>
      </c>
      <c r="E879" s="50">
        <v>10</v>
      </c>
      <c r="F879" s="81">
        <f>IF(Table25[[#This Row],[Number of stocks]]&gt;0,Table25[[#This Row],[Number of stocks]],0)</f>
        <v>10</v>
      </c>
      <c r="G879" s="73">
        <f>Table25[[#This Row],[Bought]]*Table25[[#This Row],[Price]]</f>
        <v>268.09999999999997</v>
      </c>
      <c r="H879">
        <f>SUMIF(Table25[[#All],[Assets]],Table25[[#This Row],[Assets]],Table25[[#All],[Bought]])</f>
        <v>10</v>
      </c>
      <c r="I879">
        <f>SUMIF(Table25[[#All],[Assets]],Table25[[#This Row],[Assets]],Table25[[#All],[Bought Amount]])</f>
        <v>268.09999999999997</v>
      </c>
      <c r="J879" s="88">
        <f>IF(Table25[[#This Row],[Number of stocks]]&lt;0,Table25[[#This Row],[Number of stocks]],0)</f>
        <v>0</v>
      </c>
      <c r="K879" s="5">
        <f>Table25[[#This Row],[Sold]]*Table25[[#This Row],[Price]]</f>
        <v>0</v>
      </c>
      <c r="L879" s="8">
        <f>ABS(SUMIF(Table25[[#All],[Assets]],Table25[[#This Row],[Assets]],Table25[[#All],[Sold]]))</f>
        <v>10</v>
      </c>
      <c r="M879" s="5">
        <f>ABS(SUMIF(Table25[[#All],[Assets]],Table25[[#This Row],[Assets]],Table25[[#All],[Sold Amount]]))</f>
        <v>240.6</v>
      </c>
      <c r="N879" s="5">
        <f>IFERROR(Table25[[#This Row],[Total sold amount]]/Table25[[#This Row],[Total Sold number of stocks]],"")</f>
        <v>24.06</v>
      </c>
      <c r="O879" s="4">
        <f>IFERROR(Table25[[#This Row],[Total Amount bought]]/Table25[[#This Row],[Total number bought]],"")</f>
        <v>26.809999999999995</v>
      </c>
      <c r="P879" s="4">
        <f>IFERROR((Table25[[#This Row],[Average sell price]]-Table25[[#This Row],[Average buy price]])*Table25[[#This Row],[Total Sold number of stocks]],0)</f>
        <v>-27.499999999999964</v>
      </c>
      <c r="Q879" s="85">
        <f>SUMIF(Table25[[#All],[Assets]],Table25[[#This Row],[Assets]],Table25[[#All],[Number of stocks]])</f>
        <v>0</v>
      </c>
    </row>
    <row r="880" spans="1:17">
      <c r="A880" t="e" vm="546">
        <v>#VALUE!</v>
      </c>
      <c r="B880" s="2">
        <v>45702</v>
      </c>
      <c r="C880" t="str" cm="1">
        <f t="array" aca="1" ref="C880" ca="1">_FV(A880,"Ticker symbol",TRUE)</f>
        <v>RCEL</v>
      </c>
      <c r="D880" s="4">
        <v>10.66</v>
      </c>
      <c r="E880" s="50">
        <v>28</v>
      </c>
      <c r="F880" s="81">
        <f>IF(Table25[[#This Row],[Number of stocks]]&gt;0,Table25[[#This Row],[Number of stocks]],0)</f>
        <v>28</v>
      </c>
      <c r="G880" s="73">
        <f>Table25[[#This Row],[Bought]]*Table25[[#This Row],[Price]]</f>
        <v>298.48</v>
      </c>
      <c r="H880">
        <f>SUMIF(Table25[[#All],[Assets]],Table25[[#This Row],[Assets]],Table25[[#All],[Bought]])</f>
        <v>68</v>
      </c>
      <c r="I880">
        <f>SUMIF(Table25[[#All],[Assets]],Table25[[#This Row],[Assets]],Table25[[#All],[Bought Amount]])</f>
        <v>726.48</v>
      </c>
      <c r="J880" s="88">
        <f>IF(Table25[[#This Row],[Number of stocks]]&lt;0,Table25[[#This Row],[Number of stocks]],0)</f>
        <v>0</v>
      </c>
      <c r="K880" s="5">
        <f>Table25[[#This Row],[Sold]]*Table25[[#This Row],[Price]]</f>
        <v>0</v>
      </c>
      <c r="L880" s="8">
        <f>ABS(SUMIF(Table25[[#All],[Assets]],Table25[[#This Row],[Assets]],Table25[[#All],[Sold]]))</f>
        <v>68</v>
      </c>
      <c r="M880" s="5">
        <f>ABS(SUMIF(Table25[[#All],[Assets]],Table25[[#This Row],[Assets]],Table25[[#All],[Sold Amount]]))</f>
        <v>554.20000000000005</v>
      </c>
      <c r="N880" s="5">
        <f>IFERROR(Table25[[#This Row],[Total sold amount]]/Table25[[#This Row],[Total Sold number of stocks]],"")</f>
        <v>8.15</v>
      </c>
      <c r="O880" s="4">
        <f>IFERROR(Table25[[#This Row],[Total Amount bought]]/Table25[[#This Row],[Total number bought]],"")</f>
        <v>10.683529411764706</v>
      </c>
      <c r="P880" s="4">
        <f>IFERROR((Table25[[#This Row],[Average sell price]]-Table25[[#This Row],[Average buy price]])*Table25[[#This Row],[Total Sold number of stocks]],0)</f>
        <v>-172.27999999999997</v>
      </c>
      <c r="Q880" s="85">
        <f>SUMIF(Table25[[#All],[Assets]],Table25[[#This Row],[Assets]],Table25[[#All],[Number of stocks]])</f>
        <v>0</v>
      </c>
    </row>
    <row r="881" spans="1:17">
      <c r="A881" t="e" vm="183">
        <v>#VALUE!</v>
      </c>
      <c r="B881" s="2">
        <v>45702</v>
      </c>
      <c r="C881" t="str" cm="1">
        <f t="array" aca="1" ref="C881" ca="1">_FV(A881,"Ticker symbol",TRUE)</f>
        <v>ESOA</v>
      </c>
      <c r="D881" s="4">
        <v>9.76</v>
      </c>
      <c r="E881" s="50">
        <v>-200</v>
      </c>
      <c r="F881" s="81">
        <f>IF(Table25[[#This Row],[Number of stocks]]&gt;0,Table25[[#This Row],[Number of stocks]],0)</f>
        <v>0</v>
      </c>
      <c r="G881" s="73">
        <f>Table25[[#This Row],[Bought]]*Table25[[#This Row],[Price]]</f>
        <v>0</v>
      </c>
      <c r="H881">
        <f>SUMIF(Table25[[#All],[Assets]],Table25[[#This Row],[Assets]],Table25[[#All],[Bought]])</f>
        <v>1832</v>
      </c>
      <c r="I881">
        <f>SUMIF(Table25[[#All],[Assets]],Table25[[#This Row],[Assets]],Table25[[#All],[Bought Amount]])</f>
        <v>18152.78</v>
      </c>
      <c r="J881" s="88">
        <f>IF(Table25[[#This Row],[Number of stocks]]&lt;0,Table25[[#This Row],[Number of stocks]],0)</f>
        <v>-200</v>
      </c>
      <c r="K881" s="5">
        <f>Table25[[#This Row],[Sold]]*Table25[[#This Row],[Price]]</f>
        <v>-1952</v>
      </c>
      <c r="L881" s="8">
        <f>ABS(SUMIF(Table25[[#All],[Assets]],Table25[[#This Row],[Assets]],Table25[[#All],[Sold]]))</f>
        <v>1568</v>
      </c>
      <c r="M881" s="5">
        <f>ABS(SUMIF(Table25[[#All],[Assets]],Table25[[#This Row],[Assets]],Table25[[#All],[Sold Amount]]))</f>
        <v>14668</v>
      </c>
      <c r="N881" s="5">
        <f>IFERROR(Table25[[#This Row],[Total sold amount]]/Table25[[#This Row],[Total Sold number of stocks]],"")</f>
        <v>9.3545918367346932</v>
      </c>
      <c r="O881" s="4">
        <f>IFERROR(Table25[[#This Row],[Total Amount bought]]/Table25[[#This Row],[Total number bought]],"")</f>
        <v>9.9087227074235802</v>
      </c>
      <c r="P881" s="4">
        <f>IFERROR((Table25[[#This Row],[Average sell price]]-Table25[[#This Row],[Average buy price]])*Table25[[#This Row],[Total Sold number of stocks]],0)</f>
        <v>-868.87720524017482</v>
      </c>
      <c r="Q881" s="85">
        <f>SUMIF(Table25[[#All],[Assets]],Table25[[#This Row],[Assets]],Table25[[#All],[Number of stocks]])</f>
        <v>264</v>
      </c>
    </row>
    <row r="882" spans="1:17">
      <c r="A882" t="e" vm="546">
        <v>#VALUE!</v>
      </c>
      <c r="B882" s="2">
        <v>45702</v>
      </c>
      <c r="C882" t="str" cm="1">
        <f t="array" aca="1" ref="C882" ca="1">_FV(A882,"Ticker symbol",TRUE)</f>
        <v>RCEL</v>
      </c>
      <c r="D882" s="4">
        <v>10.7</v>
      </c>
      <c r="E882" s="50">
        <v>40</v>
      </c>
      <c r="F882" s="81">
        <f>IF(Table25[[#This Row],[Number of stocks]]&gt;0,Table25[[#This Row],[Number of stocks]],0)</f>
        <v>40</v>
      </c>
      <c r="G882" s="73">
        <f>Table25[[#This Row],[Bought]]*Table25[[#This Row],[Price]]</f>
        <v>428</v>
      </c>
      <c r="H882">
        <f>SUMIF(Table25[[#All],[Assets]],Table25[[#This Row],[Assets]],Table25[[#All],[Bought]])</f>
        <v>68</v>
      </c>
      <c r="I882">
        <f>SUMIF(Table25[[#All],[Assets]],Table25[[#This Row],[Assets]],Table25[[#All],[Bought Amount]])</f>
        <v>726.48</v>
      </c>
      <c r="J882" s="88">
        <f>IF(Table25[[#This Row],[Number of stocks]]&lt;0,Table25[[#This Row],[Number of stocks]],0)</f>
        <v>0</v>
      </c>
      <c r="K882" s="5">
        <f>Table25[[#This Row],[Sold]]*Table25[[#This Row],[Price]]</f>
        <v>0</v>
      </c>
      <c r="L882" s="8">
        <f>ABS(SUMIF(Table25[[#All],[Assets]],Table25[[#This Row],[Assets]],Table25[[#All],[Sold]]))</f>
        <v>68</v>
      </c>
      <c r="M882" s="5">
        <f>ABS(SUMIF(Table25[[#All],[Assets]],Table25[[#This Row],[Assets]],Table25[[#All],[Sold Amount]]))</f>
        <v>554.20000000000005</v>
      </c>
      <c r="N882" s="5">
        <f>IFERROR(Table25[[#This Row],[Total sold amount]]/Table25[[#This Row],[Total Sold number of stocks]],"")</f>
        <v>8.15</v>
      </c>
      <c r="O882" s="4">
        <f>IFERROR(Table25[[#This Row],[Total Amount bought]]/Table25[[#This Row],[Total number bought]],"")</f>
        <v>10.683529411764706</v>
      </c>
      <c r="P882" s="4">
        <f>IFERROR((Table25[[#This Row],[Average sell price]]-Table25[[#This Row],[Average buy price]])*Table25[[#This Row],[Total Sold number of stocks]],0)</f>
        <v>-172.27999999999997</v>
      </c>
      <c r="Q882" s="85">
        <f>SUMIF(Table25[[#All],[Assets]],Table25[[#This Row],[Assets]],Table25[[#All],[Number of stocks]])</f>
        <v>0</v>
      </c>
    </row>
    <row r="883" spans="1:17">
      <c r="A883" t="e" vm="80">
        <v>#VALUE!</v>
      </c>
      <c r="B883" s="2">
        <v>45702</v>
      </c>
      <c r="C883" t="str" cm="1">
        <f t="array" aca="1" ref="C883" ca="1">_FV(A883,"Ticker symbol",TRUE)</f>
        <v>PYPL</v>
      </c>
      <c r="D883" s="4">
        <v>78.069999999999993</v>
      </c>
      <c r="E883" s="50">
        <v>10</v>
      </c>
      <c r="F883" s="81">
        <f>IF(Table25[[#This Row],[Number of stocks]]&gt;0,Table25[[#This Row],[Number of stocks]],0)</f>
        <v>10</v>
      </c>
      <c r="G883" s="73">
        <f>Table25[[#This Row],[Bought]]*Table25[[#This Row],[Price]]</f>
        <v>780.69999999999993</v>
      </c>
      <c r="H883">
        <f>SUMIF(Table25[[#All],[Assets]],Table25[[#This Row],[Assets]],Table25[[#All],[Bought]])</f>
        <v>223</v>
      </c>
      <c r="I883">
        <f>SUMIF(Table25[[#All],[Assets]],Table25[[#This Row],[Assets]],Table25[[#All],[Bought Amount]])</f>
        <v>14862.050000000003</v>
      </c>
      <c r="J883" s="88">
        <f>IF(Table25[[#This Row],[Number of stocks]]&lt;0,Table25[[#This Row],[Number of stocks]],0)</f>
        <v>0</v>
      </c>
      <c r="K883" s="5">
        <f>Table25[[#This Row],[Sold]]*Table25[[#This Row],[Price]]</f>
        <v>0</v>
      </c>
      <c r="L883" s="8">
        <f>ABS(SUMIF(Table25[[#All],[Assets]],Table25[[#This Row],[Assets]],Table25[[#All],[Sold]]))</f>
        <v>222</v>
      </c>
      <c r="M883" s="5">
        <f>ABS(SUMIF(Table25[[#All],[Assets]],Table25[[#This Row],[Assets]],Table25[[#All],[Sold Amount]]))</f>
        <v>15255.44</v>
      </c>
      <c r="N883" s="5">
        <f>IFERROR(Table25[[#This Row],[Total sold amount]]/Table25[[#This Row],[Total Sold number of stocks]],"")</f>
        <v>68.718198198198195</v>
      </c>
      <c r="O883" s="4">
        <f>IFERROR(Table25[[#This Row],[Total Amount bought]]/Table25[[#This Row],[Total number bought]],"")</f>
        <v>66.645964125560553</v>
      </c>
      <c r="P883" s="4">
        <f>IFERROR((Table25[[#This Row],[Average sell price]]-Table25[[#This Row],[Average buy price]])*Table25[[#This Row],[Total Sold number of stocks]],0)</f>
        <v>460.03596412555646</v>
      </c>
      <c r="Q883" s="85">
        <f>SUMIF(Table25[[#All],[Assets]],Table25[[#This Row],[Assets]],Table25[[#All],[Number of stocks]])</f>
        <v>1</v>
      </c>
    </row>
    <row r="884" spans="1:17">
      <c r="A884" t="e" vm="203">
        <v>#VALUE!</v>
      </c>
      <c r="B884" s="2">
        <v>45702</v>
      </c>
      <c r="C884" t="str" cm="1">
        <f t="array" aca="1" ref="C884" ca="1">_FV(A884,"Ticker symbol",TRUE)</f>
        <v>TWLO</v>
      </c>
      <c r="D884" s="4">
        <v>127.75</v>
      </c>
      <c r="E884" s="50">
        <v>5</v>
      </c>
      <c r="F884" s="81">
        <f>IF(Table25[[#This Row],[Number of stocks]]&gt;0,Table25[[#This Row],[Number of stocks]],0)</f>
        <v>5</v>
      </c>
      <c r="G884" s="73">
        <f>Table25[[#This Row],[Bought]]*Table25[[#This Row],[Price]]</f>
        <v>638.75</v>
      </c>
      <c r="H884">
        <f>SUMIF(Table25[[#All],[Assets]],Table25[[#This Row],[Assets]],Table25[[#All],[Bought]])</f>
        <v>64</v>
      </c>
      <c r="I884">
        <f>SUMIF(Table25[[#All],[Assets]],Table25[[#This Row],[Assets]],Table25[[#All],[Bought Amount]])</f>
        <v>7733.8899999999994</v>
      </c>
      <c r="J884" s="88">
        <f>IF(Table25[[#This Row],[Number of stocks]]&lt;0,Table25[[#This Row],[Number of stocks]],0)</f>
        <v>0</v>
      </c>
      <c r="K884" s="5">
        <f>Table25[[#This Row],[Sold]]*Table25[[#This Row],[Price]]</f>
        <v>0</v>
      </c>
      <c r="L884" s="8">
        <f>ABS(SUMIF(Table25[[#All],[Assets]],Table25[[#This Row],[Assets]],Table25[[#All],[Sold]]))</f>
        <v>64</v>
      </c>
      <c r="M884" s="5">
        <f>ABS(SUMIF(Table25[[#All],[Assets]],Table25[[#This Row],[Assets]],Table25[[#All],[Sold Amount]]))</f>
        <v>7331.26</v>
      </c>
      <c r="N884" s="5">
        <f>IFERROR(Table25[[#This Row],[Total sold amount]]/Table25[[#This Row],[Total Sold number of stocks]],"")</f>
        <v>114.5509375</v>
      </c>
      <c r="O884" s="4">
        <f>IFERROR(Table25[[#This Row],[Total Amount bought]]/Table25[[#This Row],[Total number bought]],"")</f>
        <v>120.84203124999999</v>
      </c>
      <c r="P884" s="4">
        <f>IFERROR((Table25[[#This Row],[Average sell price]]-Table25[[#This Row],[Average buy price]])*Table25[[#This Row],[Total Sold number of stocks]],0)</f>
        <v>-402.6299999999992</v>
      </c>
      <c r="Q884" s="85">
        <f>SUMIF(Table25[[#All],[Assets]],Table25[[#This Row],[Assets]],Table25[[#All],[Number of stocks]])</f>
        <v>0</v>
      </c>
    </row>
    <row r="885" spans="1:17">
      <c r="A885" t="e" vm="77">
        <v>#VALUE!</v>
      </c>
      <c r="B885" s="2">
        <v>45702</v>
      </c>
      <c r="C885" t="str" cm="1">
        <f t="array" aca="1" ref="C885" ca="1">_FV(A885,"Ticker symbol",TRUE)</f>
        <v>STIM</v>
      </c>
      <c r="D885" s="4">
        <v>4.2300000000000004</v>
      </c>
      <c r="E885" s="50">
        <v>-180</v>
      </c>
      <c r="F885" s="81">
        <f>IF(Table25[[#This Row],[Number of stocks]]&gt;0,Table25[[#This Row],[Number of stocks]],0)</f>
        <v>0</v>
      </c>
      <c r="G885" s="73">
        <f>Table25[[#This Row],[Bought]]*Table25[[#This Row],[Price]]</f>
        <v>0</v>
      </c>
      <c r="H885">
        <f>SUMIF(Table25[[#All],[Assets]],Table25[[#This Row],[Assets]],Table25[[#All],[Bought]])</f>
        <v>7036.45</v>
      </c>
      <c r="I885">
        <f>SUMIF(Table25[[#All],[Assets]],Table25[[#This Row],[Assets]],Table25[[#All],[Bought Amount]])</f>
        <v>19162.260000000002</v>
      </c>
      <c r="J885" s="88">
        <f>IF(Table25[[#This Row],[Number of stocks]]&lt;0,Table25[[#This Row],[Number of stocks]],0)</f>
        <v>-180</v>
      </c>
      <c r="K885" s="5">
        <f>Table25[[#This Row],[Sold]]*Table25[[#This Row],[Price]]</f>
        <v>-761.40000000000009</v>
      </c>
      <c r="L885" s="8">
        <f>ABS(SUMIF(Table25[[#All],[Assets]],Table25[[#This Row],[Assets]],Table25[[#All],[Sold]]))</f>
        <v>6686.45</v>
      </c>
      <c r="M885" s="5">
        <f>ABS(SUMIF(Table25[[#All],[Assets]],Table25[[#This Row],[Assets]],Table25[[#All],[Sold Amount]]))</f>
        <v>19226.484999999997</v>
      </c>
      <c r="N885" s="5">
        <f>IFERROR(Table25[[#This Row],[Total sold amount]]/Table25[[#This Row],[Total Sold number of stocks]],"")</f>
        <v>2.8754398821497205</v>
      </c>
      <c r="O885" s="4">
        <f>IFERROR(Table25[[#This Row],[Total Amount bought]]/Table25[[#This Row],[Total number bought]],"")</f>
        <v>2.7232851793162749</v>
      </c>
      <c r="P885" s="4">
        <f>IFERROR((Table25[[#This Row],[Average sell price]]-Table25[[#This Row],[Average buy price]])*Table25[[#This Row],[Total Sold number of stocks]],0)</f>
        <v>1017.3748127606921</v>
      </c>
      <c r="Q885" s="85">
        <f>SUMIF(Table25[[#All],[Assets]],Table25[[#This Row],[Assets]],Table25[[#All],[Number of stocks]])</f>
        <v>349.99999999999977</v>
      </c>
    </row>
    <row r="886" spans="1:17">
      <c r="A886" t="e" vm="249">
        <v>#VALUE!</v>
      </c>
      <c r="B886" s="2">
        <v>45706</v>
      </c>
      <c r="C886" t="str" cm="1">
        <f t="array" aca="1" ref="C886" ca="1">_FV(A886,"Ticker symbol",TRUE)</f>
        <v>OSCR</v>
      </c>
      <c r="D886" s="4">
        <v>15.83</v>
      </c>
      <c r="E886" s="50">
        <v>40</v>
      </c>
      <c r="F886" s="81">
        <f>IF(Table25[[#This Row],[Number of stocks]]&gt;0,Table25[[#This Row],[Number of stocks]],0)</f>
        <v>40</v>
      </c>
      <c r="G886" s="73">
        <f>Table25[[#This Row],[Bought]]*Table25[[#This Row],[Price]]</f>
        <v>633.20000000000005</v>
      </c>
      <c r="H886">
        <f>SUMIF(Table25[[#All],[Assets]],Table25[[#This Row],[Assets]],Table25[[#All],[Bought]])</f>
        <v>195</v>
      </c>
      <c r="I886">
        <f>SUMIF(Table25[[#All],[Assets]],Table25[[#This Row],[Assets]],Table25[[#All],[Bought Amount]])</f>
        <v>3156.6</v>
      </c>
      <c r="J886" s="88">
        <f>IF(Table25[[#This Row],[Number of stocks]]&lt;0,Table25[[#This Row],[Number of stocks]],0)</f>
        <v>0</v>
      </c>
      <c r="K886" s="5">
        <f>Table25[[#This Row],[Sold]]*Table25[[#This Row],[Price]]</f>
        <v>0</v>
      </c>
      <c r="L886" s="8">
        <f>ABS(SUMIF(Table25[[#All],[Assets]],Table25[[#This Row],[Assets]],Table25[[#All],[Sold]]))</f>
        <v>195</v>
      </c>
      <c r="M886" s="5">
        <f>ABS(SUMIF(Table25[[#All],[Assets]],Table25[[#This Row],[Assets]],Table25[[#All],[Sold Amount]]))</f>
        <v>2927.3999999999996</v>
      </c>
      <c r="N886" s="5">
        <f>IFERROR(Table25[[#This Row],[Total sold amount]]/Table25[[#This Row],[Total Sold number of stocks]],"")</f>
        <v>15.01230769230769</v>
      </c>
      <c r="O886" s="4">
        <f>IFERROR(Table25[[#This Row],[Total Amount bought]]/Table25[[#This Row],[Total number bought]],"")</f>
        <v>16.187692307692306</v>
      </c>
      <c r="P886" s="4">
        <f>IFERROR((Table25[[#This Row],[Average sell price]]-Table25[[#This Row],[Average buy price]])*Table25[[#This Row],[Total Sold number of stocks]],0)</f>
        <v>-229.20000000000002</v>
      </c>
      <c r="Q886" s="85">
        <f>SUMIF(Table25[[#All],[Assets]],Table25[[#This Row],[Assets]],Table25[[#All],[Number of stocks]])</f>
        <v>0</v>
      </c>
    </row>
    <row r="887" spans="1:17">
      <c r="A887" t="e" vm="249">
        <v>#VALUE!</v>
      </c>
      <c r="B887" s="2">
        <v>45706</v>
      </c>
      <c r="C887" t="str" cm="1">
        <f t="array" aca="1" ref="C887" ca="1">_FV(A887,"Ticker symbol",TRUE)</f>
        <v>OSCR</v>
      </c>
      <c r="D887" s="4">
        <v>15.54</v>
      </c>
      <c r="E887" s="50">
        <v>15</v>
      </c>
      <c r="F887" s="81">
        <f>IF(Table25[[#This Row],[Number of stocks]]&gt;0,Table25[[#This Row],[Number of stocks]],0)</f>
        <v>15</v>
      </c>
      <c r="G887" s="73">
        <f>Table25[[#This Row],[Bought]]*Table25[[#This Row],[Price]]</f>
        <v>233.1</v>
      </c>
      <c r="H887">
        <f>SUMIF(Table25[[#All],[Assets]],Table25[[#This Row],[Assets]],Table25[[#All],[Bought]])</f>
        <v>195</v>
      </c>
      <c r="I887">
        <f>SUMIF(Table25[[#All],[Assets]],Table25[[#This Row],[Assets]],Table25[[#All],[Bought Amount]])</f>
        <v>3156.6</v>
      </c>
      <c r="J887" s="88">
        <f>IF(Table25[[#This Row],[Number of stocks]]&lt;0,Table25[[#This Row],[Number of stocks]],0)</f>
        <v>0</v>
      </c>
      <c r="K887" s="5">
        <f>Table25[[#This Row],[Sold]]*Table25[[#This Row],[Price]]</f>
        <v>0</v>
      </c>
      <c r="L887" s="8">
        <f>ABS(SUMIF(Table25[[#All],[Assets]],Table25[[#This Row],[Assets]],Table25[[#All],[Sold]]))</f>
        <v>195</v>
      </c>
      <c r="M887" s="5">
        <f>ABS(SUMIF(Table25[[#All],[Assets]],Table25[[#This Row],[Assets]],Table25[[#All],[Sold Amount]]))</f>
        <v>2927.3999999999996</v>
      </c>
      <c r="N887" s="5">
        <f>IFERROR(Table25[[#This Row],[Total sold amount]]/Table25[[#This Row],[Total Sold number of stocks]],"")</f>
        <v>15.01230769230769</v>
      </c>
      <c r="O887" s="4">
        <f>IFERROR(Table25[[#This Row],[Total Amount bought]]/Table25[[#This Row],[Total number bought]],"")</f>
        <v>16.187692307692306</v>
      </c>
      <c r="P887" s="4">
        <f>IFERROR((Table25[[#This Row],[Average sell price]]-Table25[[#This Row],[Average buy price]])*Table25[[#This Row],[Total Sold number of stocks]],0)</f>
        <v>-229.20000000000002</v>
      </c>
      <c r="Q887" s="85">
        <f>SUMIF(Table25[[#All],[Assets]],Table25[[#This Row],[Assets]],Table25[[#All],[Number of stocks]])</f>
        <v>0</v>
      </c>
    </row>
    <row r="888" spans="1:17">
      <c r="A888" t="e" vm="287">
        <v>#VALUE!</v>
      </c>
      <c r="B888" s="2">
        <v>45708</v>
      </c>
      <c r="C888" t="str" cm="1">
        <f t="array" aca="1" ref="C888" ca="1">_FV(A888,"Ticker symbol",TRUE)</f>
        <v>EXAS</v>
      </c>
      <c r="D888" s="4">
        <v>49.45</v>
      </c>
      <c r="E888" s="50">
        <v>-30</v>
      </c>
      <c r="F888" s="81">
        <f>IF(Table25[[#This Row],[Number of stocks]]&gt;0,Table25[[#This Row],[Number of stocks]],0)</f>
        <v>0</v>
      </c>
      <c r="G888" s="73">
        <f>Table25[[#This Row],[Bought]]*Table25[[#This Row],[Price]]</f>
        <v>0</v>
      </c>
      <c r="H888">
        <f>SUMIF(Table25[[#All],[Assets]],Table25[[#This Row],[Assets]],Table25[[#All],[Bought]])</f>
        <v>30</v>
      </c>
      <c r="I888">
        <f>SUMIF(Table25[[#All],[Assets]],Table25[[#This Row],[Assets]],Table25[[#All],[Bought Amount]])</f>
        <v>1661.7</v>
      </c>
      <c r="J888" s="88">
        <f>IF(Table25[[#This Row],[Number of stocks]]&lt;0,Table25[[#This Row],[Number of stocks]],0)</f>
        <v>-30</v>
      </c>
      <c r="K888" s="5">
        <f>Table25[[#This Row],[Sold]]*Table25[[#This Row],[Price]]</f>
        <v>-1483.5</v>
      </c>
      <c r="L888" s="8">
        <f>ABS(SUMIF(Table25[[#All],[Assets]],Table25[[#This Row],[Assets]],Table25[[#All],[Sold]]))</f>
        <v>30</v>
      </c>
      <c r="M888" s="5">
        <f>ABS(SUMIF(Table25[[#All],[Assets]],Table25[[#This Row],[Assets]],Table25[[#All],[Sold Amount]]))</f>
        <v>1483.5</v>
      </c>
      <c r="N888" s="5">
        <f>IFERROR(Table25[[#This Row],[Total sold amount]]/Table25[[#This Row],[Total Sold number of stocks]],"")</f>
        <v>49.45</v>
      </c>
      <c r="O888" s="4">
        <f>IFERROR(Table25[[#This Row],[Total Amount bought]]/Table25[[#This Row],[Total number bought]],"")</f>
        <v>55.39</v>
      </c>
      <c r="P888" s="4">
        <f>IFERROR((Table25[[#This Row],[Average sell price]]-Table25[[#This Row],[Average buy price]])*Table25[[#This Row],[Total Sold number of stocks]],0)</f>
        <v>-178.19999999999993</v>
      </c>
      <c r="Q888" s="85">
        <f>SUMIF(Table25[[#All],[Assets]],Table25[[#This Row],[Assets]],Table25[[#All],[Number of stocks]])</f>
        <v>0</v>
      </c>
    </row>
    <row r="889" spans="1:17">
      <c r="A889" t="e" vm="159">
        <v>#VALUE!</v>
      </c>
      <c r="B889" s="2">
        <v>45708</v>
      </c>
      <c r="C889" t="str" cm="1">
        <f t="array" aca="1" ref="C889" ca="1">_FV(A889,"Ticker symbol",TRUE)</f>
        <v>BABA</v>
      </c>
      <c r="D889" s="4">
        <v>136.99</v>
      </c>
      <c r="E889" s="50">
        <v>-13</v>
      </c>
      <c r="F889" s="81">
        <f>IF(Table25[[#This Row],[Number of stocks]]&gt;0,Table25[[#This Row],[Number of stocks]],0)</f>
        <v>0</v>
      </c>
      <c r="G889" s="73">
        <f>Table25[[#This Row],[Bought]]*Table25[[#This Row],[Price]]</f>
        <v>0</v>
      </c>
      <c r="H889">
        <f>SUMIF(Table25[[#All],[Assets]],Table25[[#This Row],[Assets]],Table25[[#All],[Bought]])</f>
        <v>128</v>
      </c>
      <c r="I889">
        <f>SUMIF(Table25[[#All],[Assets]],Table25[[#This Row],[Assets]],Table25[[#All],[Bought Amount]])</f>
        <v>12533.52</v>
      </c>
      <c r="J889" s="88">
        <f>IF(Table25[[#This Row],[Number of stocks]]&lt;0,Table25[[#This Row],[Number of stocks]],0)</f>
        <v>-13</v>
      </c>
      <c r="K889" s="5">
        <f>Table25[[#This Row],[Sold]]*Table25[[#This Row],[Price]]</f>
        <v>-1780.8700000000001</v>
      </c>
      <c r="L889" s="8">
        <f>ABS(SUMIF(Table25[[#All],[Assets]],Table25[[#This Row],[Assets]],Table25[[#All],[Sold]]))</f>
        <v>128</v>
      </c>
      <c r="M889" s="5">
        <f>ABS(SUMIF(Table25[[#All],[Assets]],Table25[[#This Row],[Assets]],Table25[[#All],[Sold Amount]]))</f>
        <v>17148.419999999998</v>
      </c>
      <c r="N889" s="5">
        <f>IFERROR(Table25[[#This Row],[Total sold amount]]/Table25[[#This Row],[Total Sold number of stocks]],"")</f>
        <v>133.97203124999999</v>
      </c>
      <c r="O889" s="4">
        <f>IFERROR(Table25[[#This Row],[Total Amount bought]]/Table25[[#This Row],[Total number bought]],"")</f>
        <v>97.918125000000003</v>
      </c>
      <c r="P889" s="4">
        <f>IFERROR((Table25[[#This Row],[Average sell price]]-Table25[[#This Row],[Average buy price]])*Table25[[#This Row],[Total Sold number of stocks]],0)</f>
        <v>4614.8999999999978</v>
      </c>
      <c r="Q889" s="85">
        <f>SUMIF(Table25[[#All],[Assets]],Table25[[#This Row],[Assets]],Table25[[#All],[Number of stocks]])</f>
        <v>0</v>
      </c>
    </row>
    <row r="890" spans="1:17">
      <c r="A890" t="e" vm="254">
        <v>#VALUE!</v>
      </c>
      <c r="B890" s="2">
        <v>45708</v>
      </c>
      <c r="C890" t="str" cm="1">
        <f t="array" aca="1" ref="C890" ca="1">_FV(A890,"Ticker symbol",TRUE)</f>
        <v>TALK</v>
      </c>
      <c r="D890" s="4">
        <v>3.27</v>
      </c>
      <c r="E890" s="50">
        <v>300</v>
      </c>
      <c r="F890" s="81">
        <f>IF(Table25[[#This Row],[Number of stocks]]&gt;0,Table25[[#This Row],[Number of stocks]],0)</f>
        <v>300</v>
      </c>
      <c r="G890" s="73">
        <f>Table25[[#This Row],[Bought]]*Table25[[#This Row],[Price]]</f>
        <v>981</v>
      </c>
      <c r="H890">
        <f>SUMIF(Table25[[#All],[Assets]],Table25[[#This Row],[Assets]],Table25[[#All],[Bought]])</f>
        <v>885</v>
      </c>
      <c r="I890">
        <f>SUMIF(Table25[[#All],[Assets]],Table25[[#This Row],[Assets]],Table25[[#All],[Bought Amount]])</f>
        <v>2664.7</v>
      </c>
      <c r="J890" s="88">
        <f>IF(Table25[[#This Row],[Number of stocks]]&lt;0,Table25[[#This Row],[Number of stocks]],0)</f>
        <v>0</v>
      </c>
      <c r="K890" s="5">
        <f>Table25[[#This Row],[Sold]]*Table25[[#This Row],[Price]]</f>
        <v>0</v>
      </c>
      <c r="L890" s="8">
        <f>ABS(SUMIF(Table25[[#All],[Assets]],Table25[[#This Row],[Assets]],Table25[[#All],[Sold]]))</f>
        <v>885</v>
      </c>
      <c r="M890" s="5">
        <f>ABS(SUMIF(Table25[[#All],[Assets]],Table25[[#This Row],[Assets]],Table25[[#All],[Sold Amount]]))</f>
        <v>2591</v>
      </c>
      <c r="N890" s="5">
        <f>IFERROR(Table25[[#This Row],[Total sold amount]]/Table25[[#This Row],[Total Sold number of stocks]],"")</f>
        <v>2.927683615819209</v>
      </c>
      <c r="O890" s="4">
        <f>IFERROR(Table25[[#This Row],[Total Amount bought]]/Table25[[#This Row],[Total number bought]],"")</f>
        <v>3.0109604519774011</v>
      </c>
      <c r="P890" s="4">
        <f>IFERROR((Table25[[#This Row],[Average sell price]]-Table25[[#This Row],[Average buy price]])*Table25[[#This Row],[Total Sold number of stocks]],0)</f>
        <v>-73.700000000000045</v>
      </c>
      <c r="Q890" s="85">
        <f>SUMIF(Table25[[#All],[Assets]],Table25[[#This Row],[Assets]],Table25[[#All],[Number of stocks]])</f>
        <v>0</v>
      </c>
    </row>
    <row r="891" spans="1:17">
      <c r="A891" t="e" vm="545">
        <v>#VALUE!</v>
      </c>
      <c r="B891" s="2">
        <v>45708</v>
      </c>
      <c r="C891" t="str" cm="1">
        <f t="array" aca="1" ref="C891" ca="1">_FV(A891,"Ticker symbol",TRUE)</f>
        <v>TDOC</v>
      </c>
      <c r="D891" s="4">
        <v>12.66</v>
      </c>
      <c r="E891" s="50">
        <v>70</v>
      </c>
      <c r="F891" s="81">
        <f>IF(Table25[[#This Row],[Number of stocks]]&gt;0,Table25[[#This Row],[Number of stocks]],0)</f>
        <v>70</v>
      </c>
      <c r="G891" s="73">
        <f>Table25[[#This Row],[Bought]]*Table25[[#This Row],[Price]]</f>
        <v>886.2</v>
      </c>
      <c r="H891">
        <f>SUMIF(Table25[[#All],[Assets]],Table25[[#This Row],[Assets]],Table25[[#All],[Bought]])</f>
        <v>158</v>
      </c>
      <c r="I891">
        <f>SUMIF(Table25[[#All],[Assets]],Table25[[#This Row],[Assets]],Table25[[#All],[Bought Amount]])</f>
        <v>1953.64</v>
      </c>
      <c r="J891" s="88">
        <f>IF(Table25[[#This Row],[Number of stocks]]&lt;0,Table25[[#This Row],[Number of stocks]],0)</f>
        <v>0</v>
      </c>
      <c r="K891" s="5">
        <f>Table25[[#This Row],[Sold]]*Table25[[#This Row],[Price]]</f>
        <v>0</v>
      </c>
      <c r="L891" s="8">
        <f>ABS(SUMIF(Table25[[#All],[Assets]],Table25[[#This Row],[Assets]],Table25[[#All],[Sold]]))</f>
        <v>158</v>
      </c>
      <c r="M891" s="5">
        <f>ABS(SUMIF(Table25[[#All],[Assets]],Table25[[#This Row],[Assets]],Table25[[#All],[Sold Amount]]))</f>
        <v>1193.4000000000001</v>
      </c>
      <c r="N891" s="5">
        <f>IFERROR(Table25[[#This Row],[Total sold amount]]/Table25[[#This Row],[Total Sold number of stocks]],"")</f>
        <v>7.5531645569620256</v>
      </c>
      <c r="O891" s="4">
        <f>IFERROR(Table25[[#This Row],[Total Amount bought]]/Table25[[#This Row],[Total number bought]],"")</f>
        <v>12.364810126582279</v>
      </c>
      <c r="P891" s="4">
        <f>IFERROR((Table25[[#This Row],[Average sell price]]-Table25[[#This Row],[Average buy price]])*Table25[[#This Row],[Total Sold number of stocks]],0)</f>
        <v>-760.24</v>
      </c>
      <c r="Q891" s="85">
        <f>SUMIF(Table25[[#All],[Assets]],Table25[[#This Row],[Assets]],Table25[[#All],[Number of stocks]])</f>
        <v>0</v>
      </c>
    </row>
    <row r="892" spans="1:17">
      <c r="A892" t="e" vm="216">
        <v>#VALUE!</v>
      </c>
      <c r="B892" s="2">
        <v>45708</v>
      </c>
      <c r="C892" t="str" cm="1">
        <f t="array" aca="1" ref="C892" ca="1">_FV(A892,"Ticker symbol",TRUE)</f>
        <v>INSG</v>
      </c>
      <c r="D892" s="4">
        <v>12.38</v>
      </c>
      <c r="E892" s="50">
        <v>100</v>
      </c>
      <c r="F892" s="81">
        <f>IF(Table25[[#This Row],[Number of stocks]]&gt;0,Table25[[#This Row],[Number of stocks]],0)</f>
        <v>100</v>
      </c>
      <c r="G892" s="73">
        <f>Table25[[#This Row],[Bought]]*Table25[[#This Row],[Price]]</f>
        <v>1238</v>
      </c>
      <c r="H892">
        <f>SUMIF(Table25[[#All],[Assets]],Table25[[#This Row],[Assets]],Table25[[#All],[Bought]])</f>
        <v>310</v>
      </c>
      <c r="I892">
        <f>SUMIF(Table25[[#All],[Assets]],Table25[[#This Row],[Assets]],Table25[[#All],[Bought Amount]])</f>
        <v>3450.2</v>
      </c>
      <c r="J892" s="88">
        <f>IF(Table25[[#This Row],[Number of stocks]]&lt;0,Table25[[#This Row],[Number of stocks]],0)</f>
        <v>0</v>
      </c>
      <c r="K892" s="5">
        <f>Table25[[#This Row],[Sold]]*Table25[[#This Row],[Price]]</f>
        <v>0</v>
      </c>
      <c r="L892" s="8">
        <f>ABS(SUMIF(Table25[[#All],[Assets]],Table25[[#This Row],[Assets]],Table25[[#All],[Sold]]))</f>
        <v>310</v>
      </c>
      <c r="M892" s="5">
        <f>ABS(SUMIF(Table25[[#All],[Assets]],Table25[[#This Row],[Assets]],Table25[[#All],[Sold Amount]]))</f>
        <v>3081.5</v>
      </c>
      <c r="N892" s="5">
        <f>IFERROR(Table25[[#This Row],[Total sold amount]]/Table25[[#This Row],[Total Sold number of stocks]],"")</f>
        <v>9.9403225806451605</v>
      </c>
      <c r="O892" s="4">
        <f>IFERROR(Table25[[#This Row],[Total Amount bought]]/Table25[[#This Row],[Total number bought]],"")</f>
        <v>11.129677419354838</v>
      </c>
      <c r="P892" s="4">
        <f>IFERROR((Table25[[#This Row],[Average sell price]]-Table25[[#This Row],[Average buy price]])*Table25[[#This Row],[Total Sold number of stocks]],0)</f>
        <v>-368.70000000000005</v>
      </c>
      <c r="Q892" s="85">
        <f>SUMIF(Table25[[#All],[Assets]],Table25[[#This Row],[Assets]],Table25[[#All],[Number of stocks]])</f>
        <v>0</v>
      </c>
    </row>
    <row r="893" spans="1:17">
      <c r="A893" t="e" vm="159">
        <v>#VALUE!</v>
      </c>
      <c r="B893" s="2">
        <v>45708</v>
      </c>
      <c r="C893" t="str" cm="1">
        <f t="array" aca="1" ref="C893" ca="1">_FV(A893,"Ticker symbol",TRUE)</f>
        <v>BABA</v>
      </c>
      <c r="D893" s="4">
        <v>136.56</v>
      </c>
      <c r="E893" s="50">
        <v>-1</v>
      </c>
      <c r="F893" s="81">
        <f>IF(Table25[[#This Row],[Number of stocks]]&gt;0,Table25[[#This Row],[Number of stocks]],0)</f>
        <v>0</v>
      </c>
      <c r="G893" s="73">
        <f>Table25[[#This Row],[Bought]]*Table25[[#This Row],[Price]]</f>
        <v>0</v>
      </c>
      <c r="H893">
        <f>SUMIF(Table25[[#All],[Assets]],Table25[[#This Row],[Assets]],Table25[[#All],[Bought]])</f>
        <v>128</v>
      </c>
      <c r="I893">
        <f>SUMIF(Table25[[#All],[Assets]],Table25[[#This Row],[Assets]],Table25[[#All],[Bought Amount]])</f>
        <v>12533.52</v>
      </c>
      <c r="J893" s="88">
        <f>IF(Table25[[#This Row],[Number of stocks]]&lt;0,Table25[[#This Row],[Number of stocks]],0)</f>
        <v>-1</v>
      </c>
      <c r="K893" s="5">
        <f>Table25[[#This Row],[Sold]]*Table25[[#This Row],[Price]]</f>
        <v>-136.56</v>
      </c>
      <c r="L893" s="8">
        <f>ABS(SUMIF(Table25[[#All],[Assets]],Table25[[#This Row],[Assets]],Table25[[#All],[Sold]]))</f>
        <v>128</v>
      </c>
      <c r="M893" s="5">
        <f>ABS(SUMIF(Table25[[#All],[Assets]],Table25[[#This Row],[Assets]],Table25[[#All],[Sold Amount]]))</f>
        <v>17148.419999999998</v>
      </c>
      <c r="N893" s="5">
        <f>IFERROR(Table25[[#This Row],[Total sold amount]]/Table25[[#This Row],[Total Sold number of stocks]],"")</f>
        <v>133.97203124999999</v>
      </c>
      <c r="O893" s="4">
        <f>IFERROR(Table25[[#This Row],[Total Amount bought]]/Table25[[#This Row],[Total number bought]],"")</f>
        <v>97.918125000000003</v>
      </c>
      <c r="P893" s="4">
        <f>IFERROR((Table25[[#This Row],[Average sell price]]-Table25[[#This Row],[Average buy price]])*Table25[[#This Row],[Total Sold number of stocks]],0)</f>
        <v>4614.8999999999978</v>
      </c>
      <c r="Q893" s="85">
        <f>SUMIF(Table25[[#All],[Assets]],Table25[[#This Row],[Assets]],Table25[[#All],[Number of stocks]])</f>
        <v>0</v>
      </c>
    </row>
    <row r="894" spans="1:17">
      <c r="A894" t="e" vm="165">
        <v>#VALUE!</v>
      </c>
      <c r="B894" s="2">
        <v>45708</v>
      </c>
      <c r="C894" t="str" cm="1">
        <f t="array" aca="1" ref="C894" ca="1">_FV(A894,"Ticker symbol",TRUE)</f>
        <v>NET</v>
      </c>
      <c r="D894" s="4">
        <v>155.76</v>
      </c>
      <c r="E894" s="50">
        <v>2</v>
      </c>
      <c r="F894" s="81">
        <f>IF(Table25[[#This Row],[Number of stocks]]&gt;0,Table25[[#This Row],[Number of stocks]],0)</f>
        <v>2</v>
      </c>
      <c r="G894" s="73">
        <f>Table25[[#This Row],[Bought]]*Table25[[#This Row],[Price]]</f>
        <v>311.52</v>
      </c>
      <c r="H894">
        <f>SUMIF(Table25[[#All],[Assets]],Table25[[#This Row],[Assets]],Table25[[#All],[Bought]])</f>
        <v>2</v>
      </c>
      <c r="I894">
        <f>SUMIF(Table25[[#All],[Assets]],Table25[[#This Row],[Assets]],Table25[[#All],[Bought Amount]])</f>
        <v>311.52</v>
      </c>
      <c r="J894" s="88">
        <f>IF(Table25[[#This Row],[Number of stocks]]&lt;0,Table25[[#This Row],[Number of stocks]],0)</f>
        <v>0</v>
      </c>
      <c r="K894" s="5">
        <f>Table25[[#This Row],[Sold]]*Table25[[#This Row],[Price]]</f>
        <v>0</v>
      </c>
      <c r="L894" s="8">
        <f>ABS(SUMIF(Table25[[#All],[Assets]],Table25[[#This Row],[Assets]],Table25[[#All],[Sold]]))</f>
        <v>2</v>
      </c>
      <c r="M894" s="5">
        <f>ABS(SUMIF(Table25[[#All],[Assets]],Table25[[#This Row],[Assets]],Table25[[#All],[Sold Amount]]))</f>
        <v>241.76</v>
      </c>
      <c r="N894" s="5">
        <f>IFERROR(Table25[[#This Row],[Total sold amount]]/Table25[[#This Row],[Total Sold number of stocks]],"")</f>
        <v>120.88</v>
      </c>
      <c r="O894" s="4">
        <f>IFERROR(Table25[[#This Row],[Total Amount bought]]/Table25[[#This Row],[Total number bought]],"")</f>
        <v>155.76</v>
      </c>
      <c r="P894" s="4">
        <f>IFERROR((Table25[[#This Row],[Average sell price]]-Table25[[#This Row],[Average buy price]])*Table25[[#This Row],[Total Sold number of stocks]],0)</f>
        <v>-69.759999999999991</v>
      </c>
      <c r="Q894" s="85">
        <f>SUMIF(Table25[[#All],[Assets]],Table25[[#This Row],[Assets]],Table25[[#All],[Number of stocks]])</f>
        <v>0</v>
      </c>
    </row>
    <row r="895" spans="1:17">
      <c r="A895" t="e" vm="81">
        <v>#VALUE!</v>
      </c>
      <c r="B895" s="2">
        <v>45709</v>
      </c>
      <c r="C895" t="str" cm="1">
        <f t="array" aca="1" ref="C895" ca="1">_FV(A895,"Ticker symbol",TRUE)</f>
        <v>DLO</v>
      </c>
      <c r="D895" s="4">
        <v>12.6</v>
      </c>
      <c r="E895" s="50">
        <v>-48</v>
      </c>
      <c r="F895" s="81">
        <f>IF(Table25[[#This Row],[Number of stocks]]&gt;0,Table25[[#This Row],[Number of stocks]],0)</f>
        <v>0</v>
      </c>
      <c r="G895" s="73">
        <f>Table25[[#This Row],[Bought]]*Table25[[#This Row],[Price]]</f>
        <v>0</v>
      </c>
      <c r="H895">
        <f>SUMIF(Table25[[#All],[Assets]],Table25[[#This Row],[Assets]],Table25[[#All],[Bought]])</f>
        <v>436</v>
      </c>
      <c r="I895">
        <f>SUMIF(Table25[[#All],[Assets]],Table25[[#This Row],[Assets]],Table25[[#All],[Bought Amount]])</f>
        <v>5840.9900000000007</v>
      </c>
      <c r="J895" s="88">
        <f>IF(Table25[[#This Row],[Number of stocks]]&lt;0,Table25[[#This Row],[Number of stocks]],0)</f>
        <v>-48</v>
      </c>
      <c r="K895" s="5">
        <f>Table25[[#This Row],[Sold]]*Table25[[#This Row],[Price]]</f>
        <v>-604.79999999999995</v>
      </c>
      <c r="L895" s="8">
        <f>ABS(SUMIF(Table25[[#All],[Assets]],Table25[[#This Row],[Assets]],Table25[[#All],[Sold]]))</f>
        <v>436</v>
      </c>
      <c r="M895" s="5">
        <f>ABS(SUMIF(Table25[[#All],[Assets]],Table25[[#This Row],[Assets]],Table25[[#All],[Sold Amount]]))</f>
        <v>5546.6</v>
      </c>
      <c r="N895" s="5">
        <f>IFERROR(Table25[[#This Row],[Total sold amount]]/Table25[[#This Row],[Total Sold number of stocks]],"")</f>
        <v>12.721559633027523</v>
      </c>
      <c r="O895" s="4">
        <f>IFERROR(Table25[[#This Row],[Total Amount bought]]/Table25[[#This Row],[Total number bought]],"")</f>
        <v>13.396766055045873</v>
      </c>
      <c r="P895" s="4">
        <f>IFERROR((Table25[[#This Row],[Average sell price]]-Table25[[#This Row],[Average buy price]])*Table25[[#This Row],[Total Sold number of stocks]],0)</f>
        <v>-294.39000000000073</v>
      </c>
      <c r="Q895" s="85">
        <f>SUMIF(Table25[[#All],[Assets]],Table25[[#This Row],[Assets]],Table25[[#All],[Number of stocks]])</f>
        <v>0</v>
      </c>
    </row>
    <row r="896" spans="1:17">
      <c r="A896" t="e" vm="80">
        <v>#VALUE!</v>
      </c>
      <c r="B896" s="2">
        <v>45709</v>
      </c>
      <c r="C896" t="str" cm="1">
        <f t="array" aca="1" ref="C896" ca="1">_FV(A896,"Ticker symbol",TRUE)</f>
        <v>PYPL</v>
      </c>
      <c r="D896" s="4">
        <v>75.760000000000005</v>
      </c>
      <c r="E896" s="50">
        <v>-8</v>
      </c>
      <c r="F896" s="81">
        <f>IF(Table25[[#This Row],[Number of stocks]]&gt;0,Table25[[#This Row],[Number of stocks]],0)</f>
        <v>0</v>
      </c>
      <c r="G896" s="73">
        <f>Table25[[#This Row],[Bought]]*Table25[[#This Row],[Price]]</f>
        <v>0</v>
      </c>
      <c r="H896">
        <f>SUMIF(Table25[[#All],[Assets]],Table25[[#This Row],[Assets]],Table25[[#All],[Bought]])</f>
        <v>223</v>
      </c>
      <c r="I896">
        <f>SUMIF(Table25[[#All],[Assets]],Table25[[#This Row],[Assets]],Table25[[#All],[Bought Amount]])</f>
        <v>14862.050000000003</v>
      </c>
      <c r="J896" s="88">
        <f>IF(Table25[[#This Row],[Number of stocks]]&lt;0,Table25[[#This Row],[Number of stocks]],0)</f>
        <v>-8</v>
      </c>
      <c r="K896" s="5">
        <f>Table25[[#This Row],[Sold]]*Table25[[#This Row],[Price]]</f>
        <v>-606.08000000000004</v>
      </c>
      <c r="L896" s="8">
        <f>ABS(SUMIF(Table25[[#All],[Assets]],Table25[[#This Row],[Assets]],Table25[[#All],[Sold]]))</f>
        <v>222</v>
      </c>
      <c r="M896" s="5">
        <f>ABS(SUMIF(Table25[[#All],[Assets]],Table25[[#This Row],[Assets]],Table25[[#All],[Sold Amount]]))</f>
        <v>15255.44</v>
      </c>
      <c r="N896" s="5">
        <f>IFERROR(Table25[[#This Row],[Total sold amount]]/Table25[[#This Row],[Total Sold number of stocks]],"")</f>
        <v>68.718198198198195</v>
      </c>
      <c r="O896" s="4">
        <f>IFERROR(Table25[[#This Row],[Total Amount bought]]/Table25[[#This Row],[Total number bought]],"")</f>
        <v>66.645964125560553</v>
      </c>
      <c r="P896" s="4">
        <f>IFERROR((Table25[[#This Row],[Average sell price]]-Table25[[#This Row],[Average buy price]])*Table25[[#This Row],[Total Sold number of stocks]],0)</f>
        <v>460.03596412555646</v>
      </c>
      <c r="Q896" s="85">
        <f>SUMIF(Table25[[#All],[Assets]],Table25[[#This Row],[Assets]],Table25[[#All],[Number of stocks]])</f>
        <v>1</v>
      </c>
    </row>
    <row r="897" spans="1:17">
      <c r="A897" t="e" vm="82">
        <v>#VALUE!</v>
      </c>
      <c r="B897" s="2">
        <v>45709</v>
      </c>
      <c r="C897" t="str" cm="1">
        <f t="array" aca="1" ref="C897" ca="1">_FV(A897,"Ticker symbol",TRUE)</f>
        <v>XYZ</v>
      </c>
      <c r="D897" s="4">
        <v>70.709999999999994</v>
      </c>
      <c r="E897" s="50">
        <v>-1</v>
      </c>
      <c r="F897" s="81">
        <f>IF(Table25[[#This Row],[Number of stocks]]&gt;0,Table25[[#This Row],[Number of stocks]],0)</f>
        <v>0</v>
      </c>
      <c r="G897" s="73">
        <f>Table25[[#This Row],[Bought]]*Table25[[#This Row],[Price]]</f>
        <v>0</v>
      </c>
      <c r="H897">
        <f>SUMIF(Table25[[#All],[Assets]],Table25[[#This Row],[Assets]],Table25[[#All],[Bought]])</f>
        <v>35</v>
      </c>
      <c r="I897">
        <f>SUMIF(Table25[[#All],[Assets]],Table25[[#This Row],[Assets]],Table25[[#All],[Bought Amount]])</f>
        <v>2551.4399999999996</v>
      </c>
      <c r="J897" s="88">
        <f>IF(Table25[[#This Row],[Number of stocks]]&lt;0,Table25[[#This Row],[Number of stocks]],0)</f>
        <v>-1</v>
      </c>
      <c r="K897" s="5">
        <f>Table25[[#This Row],[Sold]]*Table25[[#This Row],[Price]]</f>
        <v>-70.709999999999994</v>
      </c>
      <c r="L897" s="8">
        <f>ABS(SUMIF(Table25[[#All],[Assets]],Table25[[#This Row],[Assets]],Table25[[#All],[Sold]]))</f>
        <v>35</v>
      </c>
      <c r="M897" s="5">
        <f>ABS(SUMIF(Table25[[#All],[Assets]],Table25[[#This Row],[Assets]],Table25[[#All],[Sold Amount]]))</f>
        <v>2639.0700000000006</v>
      </c>
      <c r="N897" s="5">
        <f>IFERROR(Table25[[#This Row],[Total sold amount]]/Table25[[#This Row],[Total Sold number of stocks]],"")</f>
        <v>75.402000000000015</v>
      </c>
      <c r="O897" s="4">
        <f>IFERROR(Table25[[#This Row],[Total Amount bought]]/Table25[[#This Row],[Total number bought]],"")</f>
        <v>72.898285714285706</v>
      </c>
      <c r="P897" s="4">
        <f>IFERROR((Table25[[#This Row],[Average sell price]]-Table25[[#This Row],[Average buy price]])*Table25[[#This Row],[Total Sold number of stocks]],0)</f>
        <v>87.630000000000834</v>
      </c>
      <c r="Q897" s="85">
        <f>SUMIF(Table25[[#All],[Assets]],Table25[[#This Row],[Assets]],Table25[[#All],[Number of stocks]])</f>
        <v>0</v>
      </c>
    </row>
    <row r="898" spans="1:17">
      <c r="A898" t="e" vm="82">
        <v>#VALUE!</v>
      </c>
      <c r="B898" s="2">
        <v>45709</v>
      </c>
      <c r="C898" t="str" cm="1">
        <f t="array" aca="1" ref="C898" ca="1">_FV(A898,"Ticker symbol",TRUE)</f>
        <v>XYZ</v>
      </c>
      <c r="D898" s="4">
        <v>70.67</v>
      </c>
      <c r="E898" s="50">
        <v>-10</v>
      </c>
      <c r="F898" s="81">
        <f>IF(Table25[[#This Row],[Number of stocks]]&gt;0,Table25[[#This Row],[Number of stocks]],0)</f>
        <v>0</v>
      </c>
      <c r="G898" s="73">
        <f>Table25[[#This Row],[Bought]]*Table25[[#This Row],[Price]]</f>
        <v>0</v>
      </c>
      <c r="H898">
        <f>SUMIF(Table25[[#All],[Assets]],Table25[[#This Row],[Assets]],Table25[[#All],[Bought]])</f>
        <v>35</v>
      </c>
      <c r="I898">
        <f>SUMIF(Table25[[#All],[Assets]],Table25[[#This Row],[Assets]],Table25[[#All],[Bought Amount]])</f>
        <v>2551.4399999999996</v>
      </c>
      <c r="J898" s="88">
        <f>IF(Table25[[#This Row],[Number of stocks]]&lt;0,Table25[[#This Row],[Number of stocks]],0)</f>
        <v>-10</v>
      </c>
      <c r="K898" s="5">
        <f>Table25[[#This Row],[Sold]]*Table25[[#This Row],[Price]]</f>
        <v>-706.7</v>
      </c>
      <c r="L898" s="8">
        <f>ABS(SUMIF(Table25[[#All],[Assets]],Table25[[#This Row],[Assets]],Table25[[#All],[Sold]]))</f>
        <v>35</v>
      </c>
      <c r="M898" s="5">
        <f>ABS(SUMIF(Table25[[#All],[Assets]],Table25[[#This Row],[Assets]],Table25[[#All],[Sold Amount]]))</f>
        <v>2639.0700000000006</v>
      </c>
      <c r="N898" s="5">
        <f>IFERROR(Table25[[#This Row],[Total sold amount]]/Table25[[#This Row],[Total Sold number of stocks]],"")</f>
        <v>75.402000000000015</v>
      </c>
      <c r="O898" s="4">
        <f>IFERROR(Table25[[#This Row],[Total Amount bought]]/Table25[[#This Row],[Total number bought]],"")</f>
        <v>72.898285714285706</v>
      </c>
      <c r="P898" s="4">
        <f>IFERROR((Table25[[#This Row],[Average sell price]]-Table25[[#This Row],[Average buy price]])*Table25[[#This Row],[Total Sold number of stocks]],0)</f>
        <v>87.630000000000834</v>
      </c>
      <c r="Q898" s="85">
        <f>SUMIF(Table25[[#All],[Assets]],Table25[[#This Row],[Assets]],Table25[[#All],[Number of stocks]])</f>
        <v>0</v>
      </c>
    </row>
    <row r="899" spans="1:17">
      <c r="A899" t="e" vm="131">
        <v>#VALUE!</v>
      </c>
      <c r="B899" s="2">
        <v>45709</v>
      </c>
      <c r="C899" t="str" cm="1">
        <f t="array" aca="1" ref="C899" ca="1">_FV(A899,"Ticker symbol",TRUE)</f>
        <v>INTU</v>
      </c>
      <c r="D899" s="4">
        <v>576.73</v>
      </c>
      <c r="E899" s="50">
        <v>-1</v>
      </c>
      <c r="F899" s="81">
        <f>IF(Table25[[#This Row],[Number of stocks]]&gt;0,Table25[[#This Row],[Number of stocks]],0)</f>
        <v>0</v>
      </c>
      <c r="G899" s="73">
        <f>Table25[[#This Row],[Bought]]*Table25[[#This Row],[Price]]</f>
        <v>0</v>
      </c>
      <c r="H899">
        <f>SUMIF(Table25[[#All],[Assets]],Table25[[#This Row],[Assets]],Table25[[#All],[Bought]])</f>
        <v>2</v>
      </c>
      <c r="I899">
        <f>SUMIF(Table25[[#All],[Assets]],Table25[[#This Row],[Assets]],Table25[[#All],[Bought Amount]])</f>
        <v>1225.6600000000001</v>
      </c>
      <c r="J899" s="88">
        <f>IF(Table25[[#This Row],[Number of stocks]]&lt;0,Table25[[#This Row],[Number of stocks]],0)</f>
        <v>-1</v>
      </c>
      <c r="K899" s="5">
        <f>Table25[[#This Row],[Sold]]*Table25[[#This Row],[Price]]</f>
        <v>-576.73</v>
      </c>
      <c r="L899" s="8">
        <f>ABS(SUMIF(Table25[[#All],[Assets]],Table25[[#This Row],[Assets]],Table25[[#All],[Sold]]))</f>
        <v>2</v>
      </c>
      <c r="M899" s="5">
        <f>ABS(SUMIF(Table25[[#All],[Assets]],Table25[[#This Row],[Assets]],Table25[[#All],[Sold Amount]]))</f>
        <v>1194.33</v>
      </c>
      <c r="N899" s="5">
        <f>IFERROR(Table25[[#This Row],[Total sold amount]]/Table25[[#This Row],[Total Sold number of stocks]],"")</f>
        <v>597.16499999999996</v>
      </c>
      <c r="O899" s="4">
        <f>IFERROR(Table25[[#This Row],[Total Amount bought]]/Table25[[#This Row],[Total number bought]],"")</f>
        <v>612.83000000000004</v>
      </c>
      <c r="P899" s="4">
        <f>IFERROR((Table25[[#This Row],[Average sell price]]-Table25[[#This Row],[Average buy price]])*Table25[[#This Row],[Total Sold number of stocks]],0)</f>
        <v>-31.330000000000155</v>
      </c>
      <c r="Q899" s="85">
        <f>SUMIF(Table25[[#All],[Assets]],Table25[[#This Row],[Assets]],Table25[[#All],[Number of stocks]])</f>
        <v>0</v>
      </c>
    </row>
    <row r="900" spans="1:17">
      <c r="A900" t="e" vm="102">
        <v>#VALUE!</v>
      </c>
      <c r="B900" s="2">
        <v>45709</v>
      </c>
      <c r="C900" t="str" cm="1">
        <f t="array" aca="1" ref="C900" ca="1">_FV(A900,"Ticker symbol",TRUE)</f>
        <v>GM</v>
      </c>
      <c r="D900" s="4">
        <v>46.95</v>
      </c>
      <c r="E900" s="50">
        <v>-10</v>
      </c>
      <c r="F900" s="81">
        <f>IF(Table25[[#This Row],[Number of stocks]]&gt;0,Table25[[#This Row],[Number of stocks]],0)</f>
        <v>0</v>
      </c>
      <c r="G900" s="73">
        <f>Table25[[#This Row],[Bought]]*Table25[[#This Row],[Price]]</f>
        <v>0</v>
      </c>
      <c r="H900">
        <f>SUMIF(Table25[[#All],[Assets]],Table25[[#This Row],[Assets]],Table25[[#All],[Bought]])</f>
        <v>20</v>
      </c>
      <c r="I900">
        <f>SUMIF(Table25[[#All],[Assets]],Table25[[#This Row],[Assets]],Table25[[#All],[Bought Amount]])</f>
        <v>1050.3000000000002</v>
      </c>
      <c r="J900" s="88">
        <f>IF(Table25[[#This Row],[Number of stocks]]&lt;0,Table25[[#This Row],[Number of stocks]],0)</f>
        <v>-10</v>
      </c>
      <c r="K900" s="5">
        <f>Table25[[#This Row],[Sold]]*Table25[[#This Row],[Price]]</f>
        <v>-469.5</v>
      </c>
      <c r="L900" s="8">
        <f>ABS(SUMIF(Table25[[#All],[Assets]],Table25[[#This Row],[Assets]],Table25[[#All],[Sold]]))</f>
        <v>20</v>
      </c>
      <c r="M900" s="5">
        <f>ABS(SUMIF(Table25[[#All],[Assets]],Table25[[#This Row],[Assets]],Table25[[#All],[Sold Amount]]))</f>
        <v>963.4</v>
      </c>
      <c r="N900" s="5">
        <f>IFERROR(Table25[[#This Row],[Total sold amount]]/Table25[[#This Row],[Total Sold number of stocks]],"")</f>
        <v>48.17</v>
      </c>
      <c r="O900" s="4">
        <f>IFERROR(Table25[[#This Row],[Total Amount bought]]/Table25[[#This Row],[Total number bought]],"")</f>
        <v>52.515000000000008</v>
      </c>
      <c r="P900" s="4">
        <f>IFERROR((Table25[[#This Row],[Average sell price]]-Table25[[#This Row],[Average buy price]])*Table25[[#This Row],[Total Sold number of stocks]],0)</f>
        <v>-86.900000000000119</v>
      </c>
      <c r="Q900" s="85">
        <f>SUMIF(Table25[[#All],[Assets]],Table25[[#This Row],[Assets]],Table25[[#All],[Number of stocks]])</f>
        <v>0</v>
      </c>
    </row>
    <row r="901" spans="1:17">
      <c r="A901" t="e" vm="603">
        <v>#VALUE!</v>
      </c>
      <c r="B901" s="2">
        <v>45719</v>
      </c>
      <c r="C901" t="str" cm="1">
        <f t="array" aca="1" ref="C901" ca="1">_FV(A901,"Ticker symbol",TRUE)</f>
        <v>INDV</v>
      </c>
      <c r="D901" s="4">
        <v>9.69</v>
      </c>
      <c r="E901" s="50">
        <v>28</v>
      </c>
      <c r="F901" s="81">
        <f>IF(Table25[[#This Row],[Number of stocks]]&gt;0,Table25[[#This Row],[Number of stocks]],0)</f>
        <v>28</v>
      </c>
      <c r="G901" s="73">
        <f>Table25[[#This Row],[Bought]]*Table25[[#This Row],[Price]]</f>
        <v>271.32</v>
      </c>
      <c r="H901">
        <f>SUMIF(Table25[[#All],[Assets]],Table25[[#This Row],[Assets]],Table25[[#All],[Bought]])</f>
        <v>98</v>
      </c>
      <c r="I901">
        <f>SUMIF(Table25[[#All],[Assets]],Table25[[#This Row],[Assets]],Table25[[#All],[Bought Amount]])</f>
        <v>1029.82</v>
      </c>
      <c r="J901" s="88">
        <f>IF(Table25[[#This Row],[Number of stocks]]&lt;0,Table25[[#This Row],[Number of stocks]],0)</f>
        <v>0</v>
      </c>
      <c r="K901" s="5">
        <f>Table25[[#This Row],[Sold]]*Table25[[#This Row],[Price]]</f>
        <v>0</v>
      </c>
      <c r="L901" s="8">
        <f>ABS(SUMIF(Table25[[#All],[Assets]],Table25[[#This Row],[Assets]],Table25[[#All],[Sold]]))</f>
        <v>98</v>
      </c>
      <c r="M901" s="5">
        <f>ABS(SUMIF(Table25[[#All],[Assets]],Table25[[#This Row],[Assets]],Table25[[#All],[Sold Amount]]))</f>
        <v>1330.14</v>
      </c>
      <c r="N901" s="5">
        <f>IFERROR(Table25[[#This Row],[Total sold amount]]/Table25[[#This Row],[Total Sold number of stocks]],"")</f>
        <v>13.572857142857144</v>
      </c>
      <c r="O901" s="4">
        <f>IFERROR(Table25[[#This Row],[Total Amount bought]]/Table25[[#This Row],[Total number bought]],"")</f>
        <v>10.508367346938774</v>
      </c>
      <c r="P901" s="4">
        <f>IFERROR((Table25[[#This Row],[Average sell price]]-Table25[[#This Row],[Average buy price]])*Table25[[#This Row],[Total Sold number of stocks]],0)</f>
        <v>300.32000000000022</v>
      </c>
      <c r="Q901" s="85">
        <f>SUMIF(Table25[[#All],[Assets]],Table25[[#This Row],[Assets]],Table25[[#All],[Number of stocks]])</f>
        <v>0</v>
      </c>
    </row>
    <row r="902" spans="1:17">
      <c r="A902" t="e" vm="159">
        <v>#VALUE!</v>
      </c>
      <c r="B902" s="2">
        <v>45719</v>
      </c>
      <c r="C902" t="str" cm="1">
        <f t="array" aca="1" ref="C902" ca="1">_FV(A902,"Ticker symbol",TRUE)</f>
        <v>BABA</v>
      </c>
      <c r="D902" s="4">
        <v>132.71</v>
      </c>
      <c r="E902" s="50">
        <v>-10</v>
      </c>
      <c r="F902" s="81">
        <f>IF(Table25[[#This Row],[Number of stocks]]&gt;0,Table25[[#This Row],[Number of stocks]],0)</f>
        <v>0</v>
      </c>
      <c r="G902" s="73">
        <f>Table25[[#This Row],[Bought]]*Table25[[#This Row],[Price]]</f>
        <v>0</v>
      </c>
      <c r="H902">
        <f>SUMIF(Table25[[#All],[Assets]],Table25[[#This Row],[Assets]],Table25[[#All],[Bought]])</f>
        <v>128</v>
      </c>
      <c r="I902">
        <f>SUMIF(Table25[[#All],[Assets]],Table25[[#This Row],[Assets]],Table25[[#All],[Bought Amount]])</f>
        <v>12533.52</v>
      </c>
      <c r="J902" s="88">
        <f>IF(Table25[[#This Row],[Number of stocks]]&lt;0,Table25[[#This Row],[Number of stocks]],0)</f>
        <v>-10</v>
      </c>
      <c r="K902" s="5">
        <f>Table25[[#This Row],[Sold]]*Table25[[#This Row],[Price]]</f>
        <v>-1327.1000000000001</v>
      </c>
      <c r="L902" s="8">
        <f>ABS(SUMIF(Table25[[#All],[Assets]],Table25[[#This Row],[Assets]],Table25[[#All],[Sold]]))</f>
        <v>128</v>
      </c>
      <c r="M902" s="5">
        <f>ABS(SUMIF(Table25[[#All],[Assets]],Table25[[#This Row],[Assets]],Table25[[#All],[Sold Amount]]))</f>
        <v>17148.419999999998</v>
      </c>
      <c r="N902" s="5">
        <f>IFERROR(Table25[[#This Row],[Total sold amount]]/Table25[[#This Row],[Total Sold number of stocks]],"")</f>
        <v>133.97203124999999</v>
      </c>
      <c r="O902" s="4">
        <f>IFERROR(Table25[[#This Row],[Total Amount bought]]/Table25[[#This Row],[Total number bought]],"")</f>
        <v>97.918125000000003</v>
      </c>
      <c r="P902" s="4">
        <f>IFERROR((Table25[[#This Row],[Average sell price]]-Table25[[#This Row],[Average buy price]])*Table25[[#This Row],[Total Sold number of stocks]],0)</f>
        <v>4614.8999999999978</v>
      </c>
      <c r="Q902" s="85">
        <f>SUMIF(Table25[[#All],[Assets]],Table25[[#This Row],[Assets]],Table25[[#All],[Number of stocks]])</f>
        <v>0</v>
      </c>
    </row>
    <row r="903" spans="1:17">
      <c r="A903" t="e" vm="144">
        <v>#VALUE!</v>
      </c>
      <c r="B903" s="2">
        <v>45722</v>
      </c>
      <c r="C903" t="str" cm="1">
        <f t="array" aca="1" ref="C903" ca="1">_FV(A903,"Ticker symbol",TRUE)</f>
        <v>AAPL</v>
      </c>
      <c r="D903" s="4">
        <v>236.68</v>
      </c>
      <c r="E903" s="50">
        <v>-2</v>
      </c>
      <c r="F903" s="81">
        <f>IF(Table25[[#This Row],[Number of stocks]]&gt;0,Table25[[#This Row],[Number of stocks]],0)</f>
        <v>0</v>
      </c>
      <c r="G903" s="73">
        <f>Table25[[#This Row],[Bought]]*Table25[[#This Row],[Price]]</f>
        <v>0</v>
      </c>
      <c r="H903">
        <f>SUMIF(Table25[[#All],[Assets]],Table25[[#This Row],[Assets]],Table25[[#All],[Bought]])</f>
        <v>4</v>
      </c>
      <c r="I903">
        <f>SUMIF(Table25[[#All],[Assets]],Table25[[#This Row],[Assets]],Table25[[#All],[Bought Amount]])</f>
        <v>929.04</v>
      </c>
      <c r="J903" s="88">
        <f>IF(Table25[[#This Row],[Number of stocks]]&lt;0,Table25[[#This Row],[Number of stocks]],0)</f>
        <v>-2</v>
      </c>
      <c r="K903" s="5">
        <f>Table25[[#This Row],[Sold]]*Table25[[#This Row],[Price]]</f>
        <v>-473.36</v>
      </c>
      <c r="L903" s="8">
        <f>ABS(SUMIF(Table25[[#All],[Assets]],Table25[[#This Row],[Assets]],Table25[[#All],[Sold]]))</f>
        <v>4</v>
      </c>
      <c r="M903" s="5">
        <f>ABS(SUMIF(Table25[[#All],[Assets]],Table25[[#This Row],[Assets]],Table25[[#All],[Sold Amount]]))</f>
        <v>936.28</v>
      </c>
      <c r="N903" s="5">
        <f>IFERROR(Table25[[#This Row],[Total sold amount]]/Table25[[#This Row],[Total Sold number of stocks]],"")</f>
        <v>234.07</v>
      </c>
      <c r="O903" s="4">
        <f>IFERROR(Table25[[#This Row],[Total Amount bought]]/Table25[[#This Row],[Total number bought]],"")</f>
        <v>232.26</v>
      </c>
      <c r="P903" s="4">
        <f>IFERROR((Table25[[#This Row],[Average sell price]]-Table25[[#This Row],[Average buy price]])*Table25[[#This Row],[Total Sold number of stocks]],0)</f>
        <v>7.2400000000000091</v>
      </c>
      <c r="Q903" s="85">
        <f>SUMIF(Table25[[#All],[Assets]],Table25[[#This Row],[Assets]],Table25[[#All],[Number of stocks]])</f>
        <v>0</v>
      </c>
    </row>
    <row r="904" spans="1:17">
      <c r="A904" t="e" vm="545">
        <v>#VALUE!</v>
      </c>
      <c r="B904" s="2">
        <v>45722</v>
      </c>
      <c r="C904" t="str" cm="1">
        <f t="array" aca="1" ref="C904" ca="1">_FV(A904,"Ticker symbol",TRUE)</f>
        <v>TDOC</v>
      </c>
      <c r="D904" s="4">
        <v>9.42</v>
      </c>
      <c r="E904" s="50">
        <v>20</v>
      </c>
      <c r="F904" s="81">
        <f>IF(Table25[[#This Row],[Number of stocks]]&gt;0,Table25[[#This Row],[Number of stocks]],0)</f>
        <v>20</v>
      </c>
      <c r="G904" s="73">
        <f>Table25[[#This Row],[Bought]]*Table25[[#This Row],[Price]]</f>
        <v>188.4</v>
      </c>
      <c r="H904">
        <f>SUMIF(Table25[[#All],[Assets]],Table25[[#This Row],[Assets]],Table25[[#All],[Bought]])</f>
        <v>158</v>
      </c>
      <c r="I904">
        <f>SUMIF(Table25[[#All],[Assets]],Table25[[#This Row],[Assets]],Table25[[#All],[Bought Amount]])</f>
        <v>1953.64</v>
      </c>
      <c r="J904" s="88">
        <f>IF(Table25[[#This Row],[Number of stocks]]&lt;0,Table25[[#This Row],[Number of stocks]],0)</f>
        <v>0</v>
      </c>
      <c r="K904" s="5">
        <f>Table25[[#This Row],[Sold]]*Table25[[#This Row],[Price]]</f>
        <v>0</v>
      </c>
      <c r="L904" s="8">
        <f>ABS(SUMIF(Table25[[#All],[Assets]],Table25[[#This Row],[Assets]],Table25[[#All],[Sold]]))</f>
        <v>158</v>
      </c>
      <c r="M904" s="5">
        <f>ABS(SUMIF(Table25[[#All],[Assets]],Table25[[#This Row],[Assets]],Table25[[#All],[Sold Amount]]))</f>
        <v>1193.4000000000001</v>
      </c>
      <c r="N904" s="5">
        <f>IFERROR(Table25[[#This Row],[Total sold amount]]/Table25[[#This Row],[Total Sold number of stocks]],"")</f>
        <v>7.5531645569620256</v>
      </c>
      <c r="O904" s="4">
        <f>IFERROR(Table25[[#This Row],[Total Amount bought]]/Table25[[#This Row],[Total number bought]],"")</f>
        <v>12.364810126582279</v>
      </c>
      <c r="P904" s="4">
        <f>IFERROR((Table25[[#This Row],[Average sell price]]-Table25[[#This Row],[Average buy price]])*Table25[[#This Row],[Total Sold number of stocks]],0)</f>
        <v>-760.24</v>
      </c>
      <c r="Q904" s="85">
        <f>SUMIF(Table25[[#All],[Assets]],Table25[[#This Row],[Assets]],Table25[[#All],[Number of stocks]])</f>
        <v>0</v>
      </c>
    </row>
    <row r="905" spans="1:17">
      <c r="A905" t="e" vm="159">
        <v>#VALUE!</v>
      </c>
      <c r="B905" s="2">
        <v>45726</v>
      </c>
      <c r="C905" t="str" cm="1">
        <f t="array" aca="1" ref="C905" ca="1">_FV(A905,"Ticker symbol",TRUE)</f>
        <v>BABA</v>
      </c>
      <c r="D905" s="4">
        <v>137.55000000000001</v>
      </c>
      <c r="E905" s="50">
        <v>-20</v>
      </c>
      <c r="F905" s="81">
        <f>IF(Table25[[#This Row],[Number of stocks]]&gt;0,Table25[[#This Row],[Number of stocks]],0)</f>
        <v>0</v>
      </c>
      <c r="G905" s="73">
        <f>Table25[[#This Row],[Bought]]*Table25[[#This Row],[Price]]</f>
        <v>0</v>
      </c>
      <c r="H905">
        <f>SUMIF(Table25[[#All],[Assets]],Table25[[#This Row],[Assets]],Table25[[#All],[Bought]])</f>
        <v>128</v>
      </c>
      <c r="I905">
        <f>SUMIF(Table25[[#All],[Assets]],Table25[[#This Row],[Assets]],Table25[[#All],[Bought Amount]])</f>
        <v>12533.52</v>
      </c>
      <c r="J905" s="88">
        <f>IF(Table25[[#This Row],[Number of stocks]]&lt;0,Table25[[#This Row],[Number of stocks]],0)</f>
        <v>-20</v>
      </c>
      <c r="K905" s="5">
        <f>Table25[[#This Row],[Sold]]*Table25[[#This Row],[Price]]</f>
        <v>-2751</v>
      </c>
      <c r="L905" s="8">
        <f>ABS(SUMIF(Table25[[#All],[Assets]],Table25[[#This Row],[Assets]],Table25[[#All],[Sold]]))</f>
        <v>128</v>
      </c>
      <c r="M905" s="5">
        <f>ABS(SUMIF(Table25[[#All],[Assets]],Table25[[#This Row],[Assets]],Table25[[#All],[Sold Amount]]))</f>
        <v>17148.419999999998</v>
      </c>
      <c r="N905" s="5">
        <f>IFERROR(Table25[[#This Row],[Total sold amount]]/Table25[[#This Row],[Total Sold number of stocks]],"")</f>
        <v>133.97203124999999</v>
      </c>
      <c r="O905" s="4">
        <f>IFERROR(Table25[[#This Row],[Total Amount bought]]/Table25[[#This Row],[Total number bought]],"")</f>
        <v>97.918125000000003</v>
      </c>
      <c r="P905" s="4">
        <f>IFERROR((Table25[[#This Row],[Average sell price]]-Table25[[#This Row],[Average buy price]])*Table25[[#This Row],[Total Sold number of stocks]],0)</f>
        <v>4614.8999999999978</v>
      </c>
      <c r="Q905" s="85">
        <f>SUMIF(Table25[[#All],[Assets]],Table25[[#This Row],[Assets]],Table25[[#All],[Number of stocks]])</f>
        <v>0</v>
      </c>
    </row>
    <row r="906" spans="1:17">
      <c r="A906" t="e" vm="32">
        <v>#VALUE!</v>
      </c>
      <c r="B906" s="2">
        <v>45726</v>
      </c>
      <c r="C906" t="str" cm="1">
        <f t="array" aca="1" ref="C906" ca="1">_FV(A906,"Ticker symbol",TRUE)</f>
        <v>MU</v>
      </c>
      <c r="D906" s="4">
        <v>90.27</v>
      </c>
      <c r="E906" s="50">
        <v>-30</v>
      </c>
      <c r="F906" s="81">
        <f>IF(Table25[[#This Row],[Number of stocks]]&gt;0,Table25[[#This Row],[Number of stocks]],0)</f>
        <v>0</v>
      </c>
      <c r="G906" s="73">
        <f>Table25[[#This Row],[Bought]]*Table25[[#This Row],[Price]]</f>
        <v>0</v>
      </c>
      <c r="H906">
        <f>SUMIF(Table25[[#All],[Assets]],Table25[[#This Row],[Assets]],Table25[[#All],[Bought]])</f>
        <v>59</v>
      </c>
      <c r="I906">
        <f>SUMIF(Table25[[#All],[Assets]],Table25[[#This Row],[Assets]],Table25[[#All],[Bought Amount]])</f>
        <v>6964.04</v>
      </c>
      <c r="J906" s="88">
        <f>IF(Table25[[#This Row],[Number of stocks]]&lt;0,Table25[[#This Row],[Number of stocks]],0)</f>
        <v>-30</v>
      </c>
      <c r="K906" s="5">
        <f>Table25[[#This Row],[Sold]]*Table25[[#This Row],[Price]]</f>
        <v>-2708.1</v>
      </c>
      <c r="L906" s="8">
        <f>ABS(SUMIF(Table25[[#All],[Assets]],Table25[[#This Row],[Assets]],Table25[[#All],[Sold]]))</f>
        <v>58</v>
      </c>
      <c r="M906" s="5">
        <f>ABS(SUMIF(Table25[[#All],[Assets]],Table25[[#This Row],[Assets]],Table25[[#All],[Sold Amount]]))</f>
        <v>6974.51</v>
      </c>
      <c r="N906" s="5">
        <f>IFERROR(Table25[[#This Row],[Total sold amount]]/Table25[[#This Row],[Total Sold number of stocks]],"")</f>
        <v>120.25017241379311</v>
      </c>
      <c r="O906" s="4">
        <f>IFERROR(Table25[[#This Row],[Total Amount bought]]/Table25[[#This Row],[Total number bought]],"")</f>
        <v>118.03457627118644</v>
      </c>
      <c r="P906" s="4">
        <f>IFERROR((Table25[[#This Row],[Average sell price]]-Table25[[#This Row],[Average buy price]])*Table25[[#This Row],[Total Sold number of stocks]],0)</f>
        <v>128.50457627118692</v>
      </c>
      <c r="Q906" s="85">
        <f>SUMIF(Table25[[#All],[Assets]],Table25[[#This Row],[Assets]],Table25[[#All],[Number of stocks]])</f>
        <v>1</v>
      </c>
    </row>
    <row r="907" spans="1:17">
      <c r="A907" t="e" vm="144">
        <v>#VALUE!</v>
      </c>
      <c r="B907" s="2">
        <v>45726</v>
      </c>
      <c r="C907" t="str" cm="1">
        <f t="array" aca="1" ref="C907" ca="1">_FV(A907,"Ticker symbol",TRUE)</f>
        <v>AAPL</v>
      </c>
      <c r="D907" s="4">
        <v>231.46</v>
      </c>
      <c r="E907" s="50">
        <v>-2</v>
      </c>
      <c r="F907" s="81">
        <f>IF(Table25[[#This Row],[Number of stocks]]&gt;0,Table25[[#This Row],[Number of stocks]],0)</f>
        <v>0</v>
      </c>
      <c r="G907" s="73">
        <f>Table25[[#This Row],[Bought]]*Table25[[#This Row],[Price]]</f>
        <v>0</v>
      </c>
      <c r="H907">
        <f>SUMIF(Table25[[#All],[Assets]],Table25[[#This Row],[Assets]],Table25[[#All],[Bought]])</f>
        <v>4</v>
      </c>
      <c r="I907">
        <f>SUMIF(Table25[[#All],[Assets]],Table25[[#This Row],[Assets]],Table25[[#All],[Bought Amount]])</f>
        <v>929.04</v>
      </c>
      <c r="J907" s="88">
        <f>IF(Table25[[#This Row],[Number of stocks]]&lt;0,Table25[[#This Row],[Number of stocks]],0)</f>
        <v>-2</v>
      </c>
      <c r="K907" s="5">
        <f>Table25[[#This Row],[Sold]]*Table25[[#This Row],[Price]]</f>
        <v>-462.92</v>
      </c>
      <c r="L907" s="8">
        <f>ABS(SUMIF(Table25[[#All],[Assets]],Table25[[#This Row],[Assets]],Table25[[#All],[Sold]]))</f>
        <v>4</v>
      </c>
      <c r="M907" s="5">
        <f>ABS(SUMIF(Table25[[#All],[Assets]],Table25[[#This Row],[Assets]],Table25[[#All],[Sold Amount]]))</f>
        <v>936.28</v>
      </c>
      <c r="N907" s="5">
        <f>IFERROR(Table25[[#This Row],[Total sold amount]]/Table25[[#This Row],[Total Sold number of stocks]],"")</f>
        <v>234.07</v>
      </c>
      <c r="O907" s="4">
        <f>IFERROR(Table25[[#This Row],[Total Amount bought]]/Table25[[#This Row],[Total number bought]],"")</f>
        <v>232.26</v>
      </c>
      <c r="P907" s="4">
        <f>IFERROR((Table25[[#This Row],[Average sell price]]-Table25[[#This Row],[Average buy price]])*Table25[[#This Row],[Total Sold number of stocks]],0)</f>
        <v>7.2400000000000091</v>
      </c>
      <c r="Q907" s="85">
        <f>SUMIF(Table25[[#All],[Assets]],Table25[[#This Row],[Assets]],Table25[[#All],[Number of stocks]])</f>
        <v>0</v>
      </c>
    </row>
    <row r="908" spans="1:17">
      <c r="A908" t="e" vm="37">
        <v>#VALUE!</v>
      </c>
      <c r="B908" s="2">
        <v>45726</v>
      </c>
      <c r="C908" t="str" cm="1">
        <f t="array" aca="1" ref="C908" ca="1">_FV(A908,"Ticker symbol",TRUE)</f>
        <v>AMD</v>
      </c>
      <c r="D908" s="4">
        <v>99.86</v>
      </c>
      <c r="E908" s="50">
        <v>-8</v>
      </c>
      <c r="F908" s="81">
        <f>IF(Table25[[#This Row],[Number of stocks]]&gt;0,Table25[[#This Row],[Number of stocks]],0)</f>
        <v>0</v>
      </c>
      <c r="G908" s="73">
        <f>Table25[[#This Row],[Bought]]*Table25[[#This Row],[Price]]</f>
        <v>0</v>
      </c>
      <c r="H908">
        <f>SUMIF(Table25[[#All],[Assets]],Table25[[#This Row],[Assets]],Table25[[#All],[Bought]])</f>
        <v>41</v>
      </c>
      <c r="I908">
        <f>SUMIF(Table25[[#All],[Assets]],Table25[[#This Row],[Assets]],Table25[[#All],[Bought Amount]])</f>
        <v>5552.8399999999992</v>
      </c>
      <c r="J908" s="88">
        <f>IF(Table25[[#This Row],[Number of stocks]]&lt;0,Table25[[#This Row],[Number of stocks]],0)</f>
        <v>-8</v>
      </c>
      <c r="K908" s="5">
        <f>Table25[[#This Row],[Sold]]*Table25[[#This Row],[Price]]</f>
        <v>-798.88</v>
      </c>
      <c r="L908" s="8">
        <f>ABS(SUMIF(Table25[[#All],[Assets]],Table25[[#This Row],[Assets]],Table25[[#All],[Sold]]))</f>
        <v>23</v>
      </c>
      <c r="M908" s="5">
        <f>ABS(SUMIF(Table25[[#All],[Assets]],Table25[[#This Row],[Assets]],Table25[[#All],[Sold Amount]]))</f>
        <v>3203.4199999999996</v>
      </c>
      <c r="N908" s="5">
        <f>IFERROR(Table25[[#This Row],[Total sold amount]]/Table25[[#This Row],[Total Sold number of stocks]],"")</f>
        <v>139.27913043478259</v>
      </c>
      <c r="O908" s="4">
        <f>IFERROR(Table25[[#This Row],[Total Amount bought]]/Table25[[#This Row],[Total number bought]],"")</f>
        <v>135.43512195121949</v>
      </c>
      <c r="P908" s="4">
        <f>IFERROR((Table25[[#This Row],[Average sell price]]-Table25[[#This Row],[Average buy price]])*Table25[[#This Row],[Total Sold number of stocks]],0)</f>
        <v>88.412195121951328</v>
      </c>
      <c r="Q908" s="85">
        <f>SUMIF(Table25[[#All],[Assets]],Table25[[#This Row],[Assets]],Table25[[#All],[Number of stocks]])</f>
        <v>18</v>
      </c>
    </row>
    <row r="909" spans="1:17">
      <c r="A909" t="e" vm="46">
        <v>#VALUE!</v>
      </c>
      <c r="B909" s="2">
        <v>45726</v>
      </c>
      <c r="C909" t="str" cm="1">
        <f t="array" aca="1" ref="C909" ca="1">_FV(A909,"Ticker symbol",TRUE)</f>
        <v>ASPI</v>
      </c>
      <c r="D909" s="4">
        <v>4.33</v>
      </c>
      <c r="E909" s="50">
        <v>-200</v>
      </c>
      <c r="F909" s="81">
        <f>IF(Table25[[#This Row],[Number of stocks]]&gt;0,Table25[[#This Row],[Number of stocks]],0)</f>
        <v>0</v>
      </c>
      <c r="G909" s="73">
        <f>Table25[[#This Row],[Bought]]*Table25[[#This Row],[Price]]</f>
        <v>0</v>
      </c>
      <c r="H909">
        <f>SUMIF(Table25[[#All],[Assets]],Table25[[#This Row],[Assets]],Table25[[#All],[Bought]])</f>
        <v>1899</v>
      </c>
      <c r="I909">
        <f>SUMIF(Table25[[#All],[Assets]],Table25[[#This Row],[Assets]],Table25[[#All],[Bought Amount]])</f>
        <v>8555.869999999999</v>
      </c>
      <c r="J909" s="88">
        <f>IF(Table25[[#This Row],[Number of stocks]]&lt;0,Table25[[#This Row],[Number of stocks]],0)</f>
        <v>-200</v>
      </c>
      <c r="K909" s="5">
        <f>Table25[[#This Row],[Sold]]*Table25[[#This Row],[Price]]</f>
        <v>-866</v>
      </c>
      <c r="L909" s="8">
        <f>ABS(SUMIF(Table25[[#All],[Assets]],Table25[[#This Row],[Assets]],Table25[[#All],[Sold]]))</f>
        <v>1599</v>
      </c>
      <c r="M909" s="5">
        <f>ABS(SUMIF(Table25[[#All],[Assets]],Table25[[#This Row],[Assets]],Table25[[#All],[Sold Amount]]))</f>
        <v>8799.17</v>
      </c>
      <c r="N909" s="5">
        <f>IFERROR(Table25[[#This Row],[Total sold amount]]/Table25[[#This Row],[Total Sold number of stocks]],"")</f>
        <v>5.5029205753595996</v>
      </c>
      <c r="O909" s="4">
        <f>IFERROR(Table25[[#This Row],[Total Amount bought]]/Table25[[#This Row],[Total number bought]],"")</f>
        <v>4.5054607688256976</v>
      </c>
      <c r="P909" s="4">
        <f>IFERROR((Table25[[#This Row],[Average sell price]]-Table25[[#This Row],[Average buy price]])*Table25[[#This Row],[Total Sold number of stocks]],0)</f>
        <v>1594.9382306477094</v>
      </c>
      <c r="Q909" s="85">
        <f>SUMIF(Table25[[#All],[Assets]],Table25[[#This Row],[Assets]],Table25[[#All],[Number of stocks]])</f>
        <v>300</v>
      </c>
    </row>
    <row r="910" spans="1:17">
      <c r="A910" t="e" vm="418">
        <v>#VALUE!</v>
      </c>
      <c r="B910" s="2">
        <v>45726</v>
      </c>
      <c r="C910" t="str" cm="1">
        <f t="array" aca="1" ref="C910" ca="1">_FV(A910,"Ticker symbol",TRUE)</f>
        <v>WTRG</v>
      </c>
      <c r="D910" s="4">
        <v>40.53</v>
      </c>
      <c r="E910" s="50">
        <v>-5</v>
      </c>
      <c r="F910" s="81">
        <f>IF(Table25[[#This Row],[Number of stocks]]&gt;0,Table25[[#This Row],[Number of stocks]],0)</f>
        <v>0</v>
      </c>
      <c r="G910" s="73">
        <f>Table25[[#This Row],[Bought]]*Table25[[#This Row],[Price]]</f>
        <v>0</v>
      </c>
      <c r="H910">
        <f>SUMIF(Table25[[#All],[Assets]],Table25[[#This Row],[Assets]],Table25[[#All],[Bought]])</f>
        <v>5</v>
      </c>
      <c r="I910">
        <f>SUMIF(Table25[[#All],[Assets]],Table25[[#This Row],[Assets]],Table25[[#All],[Bought Amount]])</f>
        <v>186.29999999999998</v>
      </c>
      <c r="J910" s="88">
        <f>IF(Table25[[#This Row],[Number of stocks]]&lt;0,Table25[[#This Row],[Number of stocks]],0)</f>
        <v>-5</v>
      </c>
      <c r="K910" s="5">
        <f>Table25[[#This Row],[Sold]]*Table25[[#This Row],[Price]]</f>
        <v>-202.65</v>
      </c>
      <c r="L910" s="8">
        <f>ABS(SUMIF(Table25[[#All],[Assets]],Table25[[#This Row],[Assets]],Table25[[#All],[Sold]]))</f>
        <v>5</v>
      </c>
      <c r="M910" s="5">
        <f>ABS(SUMIF(Table25[[#All],[Assets]],Table25[[#This Row],[Assets]],Table25[[#All],[Sold Amount]]))</f>
        <v>202.65</v>
      </c>
      <c r="N910" s="5">
        <f>IFERROR(Table25[[#This Row],[Total sold amount]]/Table25[[#This Row],[Total Sold number of stocks]],"")</f>
        <v>40.53</v>
      </c>
      <c r="O910" s="4">
        <f>IFERROR(Table25[[#This Row],[Total Amount bought]]/Table25[[#This Row],[Total number bought]],"")</f>
        <v>37.26</v>
      </c>
      <c r="P910" s="4">
        <f>IFERROR((Table25[[#This Row],[Average sell price]]-Table25[[#This Row],[Average buy price]])*Table25[[#This Row],[Total Sold number of stocks]],0)</f>
        <v>16.350000000000016</v>
      </c>
      <c r="Q910" s="85">
        <f>SUMIF(Table25[[#All],[Assets]],Table25[[#This Row],[Assets]],Table25[[#All],[Number of stocks]])</f>
        <v>0</v>
      </c>
    </row>
    <row r="911" spans="1:17">
      <c r="A911" t="e" vm="372">
        <v>#VALUE!</v>
      </c>
      <c r="B911" s="2">
        <v>45726</v>
      </c>
      <c r="C911" t="str" cm="1">
        <f t="array" aca="1" ref="C911" ca="1">_FV(A911,"Ticker symbol",TRUE)</f>
        <v>AMKR</v>
      </c>
      <c r="D911" s="4">
        <v>20.399999999999999</v>
      </c>
      <c r="E911" s="50">
        <v>-5</v>
      </c>
      <c r="F911" s="81">
        <f>IF(Table25[[#This Row],[Number of stocks]]&gt;0,Table25[[#This Row],[Number of stocks]],0)</f>
        <v>0</v>
      </c>
      <c r="G911" s="73">
        <f>Table25[[#This Row],[Bought]]*Table25[[#This Row],[Price]]</f>
        <v>0</v>
      </c>
      <c r="H911">
        <f>SUMIF(Table25[[#All],[Assets]],Table25[[#This Row],[Assets]],Table25[[#All],[Bought]])</f>
        <v>20</v>
      </c>
      <c r="I911">
        <f>SUMIF(Table25[[#All],[Assets]],Table25[[#This Row],[Assets]],Table25[[#All],[Bought Amount]])</f>
        <v>961.45</v>
      </c>
      <c r="J911" s="88">
        <f>IF(Table25[[#This Row],[Number of stocks]]&lt;0,Table25[[#This Row],[Number of stocks]],0)</f>
        <v>-5</v>
      </c>
      <c r="K911" s="5">
        <f>Table25[[#This Row],[Sold]]*Table25[[#This Row],[Price]]</f>
        <v>-102</v>
      </c>
      <c r="L911" s="8">
        <f>ABS(SUMIF(Table25[[#All],[Assets]],Table25[[#This Row],[Assets]],Table25[[#All],[Sold]]))</f>
        <v>5</v>
      </c>
      <c r="M911" s="5">
        <f>ABS(SUMIF(Table25[[#All],[Assets]],Table25[[#This Row],[Assets]],Table25[[#All],[Sold Amount]]))</f>
        <v>102</v>
      </c>
      <c r="N911" s="5">
        <f>IFERROR(Table25[[#This Row],[Total sold amount]]/Table25[[#This Row],[Total Sold number of stocks]],"")</f>
        <v>20.399999999999999</v>
      </c>
      <c r="O911" s="4">
        <f>IFERROR(Table25[[#This Row],[Total Amount bought]]/Table25[[#This Row],[Total number bought]],"")</f>
        <v>48.072500000000005</v>
      </c>
      <c r="P911" s="4">
        <f>IFERROR((Table25[[#This Row],[Average sell price]]-Table25[[#This Row],[Average buy price]])*Table25[[#This Row],[Total Sold number of stocks]],0)</f>
        <v>-138.36250000000004</v>
      </c>
      <c r="Q911" s="85">
        <f>SUMIF(Table25[[#All],[Assets]],Table25[[#This Row],[Assets]],Table25[[#All],[Number of stocks]])</f>
        <v>15</v>
      </c>
    </row>
    <row r="912" spans="1:17">
      <c r="A912" t="e" vm="288">
        <v>#VALUE!</v>
      </c>
      <c r="B912" s="2">
        <v>45726</v>
      </c>
      <c r="C912" t="str" cm="1">
        <f t="array" aca="1" ref="C912" ca="1">_FV(A912,"Ticker symbol",TRUE)</f>
        <v>JXN</v>
      </c>
      <c r="D912" s="4">
        <v>82.4</v>
      </c>
      <c r="E912" s="50">
        <v>-1</v>
      </c>
      <c r="F912" s="81">
        <f>IF(Table25[[#This Row],[Number of stocks]]&gt;0,Table25[[#This Row],[Number of stocks]],0)</f>
        <v>0</v>
      </c>
      <c r="G912" s="73">
        <f>Table25[[#This Row],[Bought]]*Table25[[#This Row],[Price]]</f>
        <v>0</v>
      </c>
      <c r="H912">
        <f>SUMIF(Table25[[#All],[Assets]],Table25[[#This Row],[Assets]],Table25[[#All],[Bought]])</f>
        <v>1</v>
      </c>
      <c r="I912">
        <f>SUMIF(Table25[[#All],[Assets]],Table25[[#This Row],[Assets]],Table25[[#All],[Bought Amount]])</f>
        <v>82.96</v>
      </c>
      <c r="J912" s="88">
        <f>IF(Table25[[#This Row],[Number of stocks]]&lt;0,Table25[[#This Row],[Number of stocks]],0)</f>
        <v>-1</v>
      </c>
      <c r="K912" s="5">
        <f>Table25[[#This Row],[Sold]]*Table25[[#This Row],[Price]]</f>
        <v>-82.4</v>
      </c>
      <c r="L912" s="8">
        <f>ABS(SUMIF(Table25[[#All],[Assets]],Table25[[#This Row],[Assets]],Table25[[#All],[Sold]]))</f>
        <v>1</v>
      </c>
      <c r="M912" s="5">
        <f>ABS(SUMIF(Table25[[#All],[Assets]],Table25[[#This Row],[Assets]],Table25[[#All],[Sold Amount]]))</f>
        <v>82.4</v>
      </c>
      <c r="N912" s="5">
        <f>IFERROR(Table25[[#This Row],[Total sold amount]]/Table25[[#This Row],[Total Sold number of stocks]],"")</f>
        <v>82.4</v>
      </c>
      <c r="O912" s="4">
        <f>IFERROR(Table25[[#This Row],[Total Amount bought]]/Table25[[#This Row],[Total number bought]],"")</f>
        <v>82.96</v>
      </c>
      <c r="P912" s="4">
        <f>IFERROR((Table25[[#This Row],[Average sell price]]-Table25[[#This Row],[Average buy price]])*Table25[[#This Row],[Total Sold number of stocks]],0)</f>
        <v>-0.55999999999998806</v>
      </c>
      <c r="Q912" s="85">
        <f>SUMIF(Table25[[#All],[Assets]],Table25[[#This Row],[Assets]],Table25[[#All],[Number of stocks]])</f>
        <v>0</v>
      </c>
    </row>
    <row r="913" spans="1:17">
      <c r="A913" t="e" vm="47">
        <v>#VALUE!</v>
      </c>
      <c r="B913" s="2">
        <v>45726</v>
      </c>
      <c r="C913" t="str" cm="1">
        <f t="array" aca="1" ref="C913" ca="1">_FV(A913,"Ticker symbol",TRUE)</f>
        <v>CCJ</v>
      </c>
      <c r="D913" s="4">
        <v>41.29</v>
      </c>
      <c r="E913" s="50">
        <v>-10</v>
      </c>
      <c r="F913" s="81">
        <f>IF(Table25[[#This Row],[Number of stocks]]&gt;0,Table25[[#This Row],[Number of stocks]],0)</f>
        <v>0</v>
      </c>
      <c r="G913" s="73">
        <f>Table25[[#This Row],[Bought]]*Table25[[#This Row],[Price]]</f>
        <v>0</v>
      </c>
      <c r="H913">
        <f>SUMIF(Table25[[#All],[Assets]],Table25[[#This Row],[Assets]],Table25[[#All],[Bought]])</f>
        <v>10</v>
      </c>
      <c r="I913">
        <f>SUMIF(Table25[[#All],[Assets]],Table25[[#This Row],[Assets]],Table25[[#All],[Bought Amount]])</f>
        <v>446.3</v>
      </c>
      <c r="J913" s="88">
        <f>IF(Table25[[#This Row],[Number of stocks]]&lt;0,Table25[[#This Row],[Number of stocks]],0)</f>
        <v>-10</v>
      </c>
      <c r="K913" s="5">
        <f>Table25[[#This Row],[Sold]]*Table25[[#This Row],[Price]]</f>
        <v>-412.9</v>
      </c>
      <c r="L913" s="8">
        <f>ABS(SUMIF(Table25[[#All],[Assets]],Table25[[#This Row],[Assets]],Table25[[#All],[Sold]]))</f>
        <v>10</v>
      </c>
      <c r="M913" s="5">
        <f>ABS(SUMIF(Table25[[#All],[Assets]],Table25[[#This Row],[Assets]],Table25[[#All],[Sold Amount]]))</f>
        <v>412.9</v>
      </c>
      <c r="N913" s="5">
        <f>IFERROR(Table25[[#This Row],[Total sold amount]]/Table25[[#This Row],[Total Sold number of stocks]],"")</f>
        <v>41.29</v>
      </c>
      <c r="O913" s="4">
        <f>IFERROR(Table25[[#This Row],[Total Amount bought]]/Table25[[#This Row],[Total number bought]],"")</f>
        <v>44.63</v>
      </c>
      <c r="P913" s="4">
        <f>IFERROR((Table25[[#This Row],[Average sell price]]-Table25[[#This Row],[Average buy price]])*Table25[[#This Row],[Total Sold number of stocks]],0)</f>
        <v>-33.400000000000034</v>
      </c>
      <c r="Q913" s="85">
        <f>SUMIF(Table25[[#All],[Assets]],Table25[[#This Row],[Assets]],Table25[[#All],[Number of stocks]])</f>
        <v>0</v>
      </c>
    </row>
    <row r="914" spans="1:17">
      <c r="A914" t="e" vm="38">
        <v>#VALUE!</v>
      </c>
      <c r="B914" s="2">
        <v>45726</v>
      </c>
      <c r="C914" t="str" cm="1">
        <f t="array" aca="1" ref="C914" ca="1">_FV(A914,"Ticker symbol",TRUE)</f>
        <v>FSLR</v>
      </c>
      <c r="D914" s="4">
        <v>137.66999999999999</v>
      </c>
      <c r="E914" s="50">
        <v>-3</v>
      </c>
      <c r="F914" s="81">
        <f>IF(Table25[[#This Row],[Number of stocks]]&gt;0,Table25[[#This Row],[Number of stocks]],0)</f>
        <v>0</v>
      </c>
      <c r="G914" s="73">
        <f>Table25[[#This Row],[Bought]]*Table25[[#This Row],[Price]]</f>
        <v>0</v>
      </c>
      <c r="H914">
        <f>SUMIF(Table25[[#All],[Assets]],Table25[[#This Row],[Assets]],Table25[[#All],[Bought]])</f>
        <v>18</v>
      </c>
      <c r="I914">
        <f>SUMIF(Table25[[#All],[Assets]],Table25[[#This Row],[Assets]],Table25[[#All],[Bought Amount]])</f>
        <v>3079.49</v>
      </c>
      <c r="J914" s="88">
        <f>IF(Table25[[#This Row],[Number of stocks]]&lt;0,Table25[[#This Row],[Number of stocks]],0)</f>
        <v>-3</v>
      </c>
      <c r="K914" s="5">
        <f>Table25[[#This Row],[Sold]]*Table25[[#This Row],[Price]]</f>
        <v>-413.01</v>
      </c>
      <c r="L914" s="8">
        <f>ABS(SUMIF(Table25[[#All],[Assets]],Table25[[#This Row],[Assets]],Table25[[#All],[Sold]]))</f>
        <v>18</v>
      </c>
      <c r="M914" s="5">
        <f>ABS(SUMIF(Table25[[#All],[Assets]],Table25[[#This Row],[Assets]],Table25[[#All],[Sold Amount]]))</f>
        <v>4016.43</v>
      </c>
      <c r="N914" s="5">
        <f>IFERROR(Table25[[#This Row],[Total sold amount]]/Table25[[#This Row],[Total Sold number of stocks]],"")</f>
        <v>223.13499999999999</v>
      </c>
      <c r="O914" s="4">
        <f>IFERROR(Table25[[#This Row],[Total Amount bought]]/Table25[[#This Row],[Total number bought]],"")</f>
        <v>171.08277777777778</v>
      </c>
      <c r="P914" s="4">
        <f>IFERROR((Table25[[#This Row],[Average sell price]]-Table25[[#This Row],[Average buy price]])*Table25[[#This Row],[Total Sold number of stocks]],0)</f>
        <v>936.93999999999983</v>
      </c>
      <c r="Q914" s="85">
        <f>SUMIF(Table25[[#All],[Assets]],Table25[[#This Row],[Assets]],Table25[[#All],[Number of stocks]])</f>
        <v>0</v>
      </c>
    </row>
    <row r="915" spans="1:17">
      <c r="A915" t="e" vm="521">
        <v>#VALUE!</v>
      </c>
      <c r="B915" s="2">
        <v>45726</v>
      </c>
      <c r="C915" t="str" cm="1">
        <f t="array" aca="1" ref="C915" ca="1">_FV(A915,"Ticker symbol",TRUE)</f>
        <v>ENPH</v>
      </c>
      <c r="D915" s="4">
        <v>62.8</v>
      </c>
      <c r="E915" s="50">
        <v>-7</v>
      </c>
      <c r="F915" s="81">
        <f>IF(Table25[[#This Row],[Number of stocks]]&gt;0,Table25[[#This Row],[Number of stocks]],0)</f>
        <v>0</v>
      </c>
      <c r="G915" s="73">
        <f>Table25[[#This Row],[Bought]]*Table25[[#This Row],[Price]]</f>
        <v>0</v>
      </c>
      <c r="H915">
        <f>SUMIF(Table25[[#All],[Assets]],Table25[[#This Row],[Assets]],Table25[[#All],[Bought]])</f>
        <v>7</v>
      </c>
      <c r="I915">
        <f>SUMIF(Table25[[#All],[Assets]],Table25[[#This Row],[Assets]],Table25[[#All],[Bought Amount]])</f>
        <v>493.92</v>
      </c>
      <c r="J915" s="88">
        <f>IF(Table25[[#This Row],[Number of stocks]]&lt;0,Table25[[#This Row],[Number of stocks]],0)</f>
        <v>-7</v>
      </c>
      <c r="K915" s="5">
        <f>Table25[[#This Row],[Sold]]*Table25[[#This Row],[Price]]</f>
        <v>-439.59999999999997</v>
      </c>
      <c r="L915" s="8">
        <f>ABS(SUMIF(Table25[[#All],[Assets]],Table25[[#This Row],[Assets]],Table25[[#All],[Sold]]))</f>
        <v>7</v>
      </c>
      <c r="M915" s="5">
        <f>ABS(SUMIF(Table25[[#All],[Assets]],Table25[[#This Row],[Assets]],Table25[[#All],[Sold Amount]]))</f>
        <v>439.59999999999997</v>
      </c>
      <c r="N915" s="5">
        <f>IFERROR(Table25[[#This Row],[Total sold amount]]/Table25[[#This Row],[Total Sold number of stocks]],"")</f>
        <v>62.8</v>
      </c>
      <c r="O915" s="4">
        <f>IFERROR(Table25[[#This Row],[Total Amount bought]]/Table25[[#This Row],[Total number bought]],"")</f>
        <v>70.56</v>
      </c>
      <c r="P915" s="4">
        <f>IFERROR((Table25[[#This Row],[Average sell price]]-Table25[[#This Row],[Average buy price]])*Table25[[#This Row],[Total Sold number of stocks]],0)</f>
        <v>-54.320000000000036</v>
      </c>
      <c r="Q915" s="85">
        <f>SUMIF(Table25[[#All],[Assets]],Table25[[#This Row],[Assets]],Table25[[#All],[Number of stocks]])</f>
        <v>0</v>
      </c>
    </row>
    <row r="916" spans="1:17">
      <c r="A916" t="e" vm="504">
        <v>#VALUE!</v>
      </c>
      <c r="B916" s="2">
        <v>45726</v>
      </c>
      <c r="C916" t="str" cm="1">
        <f t="array" aca="1" ref="C916" ca="1">_FV(A916,"Ticker symbol",TRUE)</f>
        <v>NXT</v>
      </c>
      <c r="D916" s="4">
        <v>40.83</v>
      </c>
      <c r="E916" s="50">
        <v>-12</v>
      </c>
      <c r="F916" s="81">
        <f>IF(Table25[[#This Row],[Number of stocks]]&gt;0,Table25[[#This Row],[Number of stocks]],0)</f>
        <v>0</v>
      </c>
      <c r="G916" s="73">
        <f>Table25[[#This Row],[Bought]]*Table25[[#This Row],[Price]]</f>
        <v>0</v>
      </c>
      <c r="H916">
        <f>SUMIF(Table25[[#All],[Assets]],Table25[[#This Row],[Assets]],Table25[[#All],[Bought]])</f>
        <v>27</v>
      </c>
      <c r="I916">
        <f>SUMIF(Table25[[#All],[Assets]],Table25[[#This Row],[Assets]],Table25[[#All],[Bought Amount]])</f>
        <v>1372.77</v>
      </c>
      <c r="J916" s="88">
        <f>IF(Table25[[#This Row],[Number of stocks]]&lt;0,Table25[[#This Row],[Number of stocks]],0)</f>
        <v>-12</v>
      </c>
      <c r="K916" s="5">
        <f>Table25[[#This Row],[Sold]]*Table25[[#This Row],[Price]]</f>
        <v>-489.96</v>
      </c>
      <c r="L916" s="8">
        <f>ABS(SUMIF(Table25[[#All],[Assets]],Table25[[#This Row],[Assets]],Table25[[#All],[Sold]]))</f>
        <v>27</v>
      </c>
      <c r="M916" s="5">
        <f>ABS(SUMIF(Table25[[#All],[Assets]],Table25[[#This Row],[Assets]],Table25[[#All],[Sold Amount]]))</f>
        <v>965.46</v>
      </c>
      <c r="N916" s="5">
        <f>IFERROR(Table25[[#This Row],[Total sold amount]]/Table25[[#This Row],[Total Sold number of stocks]],"")</f>
        <v>35.757777777777783</v>
      </c>
      <c r="O916" s="4">
        <f>IFERROR(Table25[[#This Row],[Total Amount bought]]/Table25[[#This Row],[Total number bought]],"")</f>
        <v>50.843333333333334</v>
      </c>
      <c r="P916" s="4">
        <f>IFERROR((Table25[[#This Row],[Average sell price]]-Table25[[#This Row],[Average buy price]])*Table25[[#This Row],[Total Sold number of stocks]],0)</f>
        <v>-407.30999999999989</v>
      </c>
      <c r="Q916" s="85">
        <f>SUMIF(Table25[[#All],[Assets]],Table25[[#This Row],[Assets]],Table25[[#All],[Number of stocks]])</f>
        <v>0</v>
      </c>
    </row>
    <row r="917" spans="1:17">
      <c r="A917" t="e" vm="97">
        <v>#VALUE!</v>
      </c>
      <c r="B917" s="2">
        <v>45726</v>
      </c>
      <c r="C917" t="str" cm="1">
        <f t="array" aca="1" ref="C917" ca="1">_FV(A917,"Ticker symbol",TRUE)</f>
        <v>AG</v>
      </c>
      <c r="D917" s="4">
        <v>5.63</v>
      </c>
      <c r="E917" s="50">
        <v>-37</v>
      </c>
      <c r="F917" s="81">
        <f>IF(Table25[[#This Row],[Number of stocks]]&gt;0,Table25[[#This Row],[Number of stocks]],0)</f>
        <v>0</v>
      </c>
      <c r="G917" s="73">
        <f>Table25[[#This Row],[Bought]]*Table25[[#This Row],[Price]]</f>
        <v>0</v>
      </c>
      <c r="H917">
        <f>SUMIF(Table25[[#All],[Assets]],Table25[[#This Row],[Assets]],Table25[[#All],[Bought]])</f>
        <v>37</v>
      </c>
      <c r="I917">
        <f>SUMIF(Table25[[#All],[Assets]],Table25[[#This Row],[Assets]],Table25[[#All],[Bought Amount]])</f>
        <v>284.15999999999997</v>
      </c>
      <c r="J917" s="88">
        <f>IF(Table25[[#This Row],[Number of stocks]]&lt;0,Table25[[#This Row],[Number of stocks]],0)</f>
        <v>-37</v>
      </c>
      <c r="K917" s="5">
        <f>Table25[[#This Row],[Sold]]*Table25[[#This Row],[Price]]</f>
        <v>-208.31</v>
      </c>
      <c r="L917" s="8">
        <f>ABS(SUMIF(Table25[[#All],[Assets]],Table25[[#This Row],[Assets]],Table25[[#All],[Sold]]))</f>
        <v>37</v>
      </c>
      <c r="M917" s="5">
        <f>ABS(SUMIF(Table25[[#All],[Assets]],Table25[[#This Row],[Assets]],Table25[[#All],[Sold Amount]]))</f>
        <v>208.31</v>
      </c>
      <c r="N917" s="5">
        <f>IFERROR(Table25[[#This Row],[Total sold amount]]/Table25[[#This Row],[Total Sold number of stocks]],"")</f>
        <v>5.63</v>
      </c>
      <c r="O917" s="4">
        <f>IFERROR(Table25[[#This Row],[Total Amount bought]]/Table25[[#This Row],[Total number bought]],"")</f>
        <v>7.6799999999999988</v>
      </c>
      <c r="P917" s="4">
        <f>IFERROR((Table25[[#This Row],[Average sell price]]-Table25[[#This Row],[Average buy price]])*Table25[[#This Row],[Total Sold number of stocks]],0)</f>
        <v>-75.849999999999966</v>
      </c>
      <c r="Q917" s="85">
        <f>SUMIF(Table25[[#All],[Assets]],Table25[[#This Row],[Assets]],Table25[[#All],[Number of stocks]])</f>
        <v>0</v>
      </c>
    </row>
    <row r="918" spans="1:17">
      <c r="A918" t="e" vm="99">
        <v>#VALUE!</v>
      </c>
      <c r="B918" s="2">
        <v>45726</v>
      </c>
      <c r="C918" t="str" cm="1">
        <f t="array" aca="1" ref="C918" ca="1">_FV(A918,"Ticker symbol",TRUE)</f>
        <v>CSCO</v>
      </c>
      <c r="D918" s="4">
        <v>63.56</v>
      </c>
      <c r="E918" s="50">
        <v>-5</v>
      </c>
      <c r="F918" s="81">
        <f>IF(Table25[[#This Row],[Number of stocks]]&gt;0,Table25[[#This Row],[Number of stocks]],0)</f>
        <v>0</v>
      </c>
      <c r="G918" s="73">
        <f>Table25[[#This Row],[Bought]]*Table25[[#This Row],[Price]]</f>
        <v>0</v>
      </c>
      <c r="H918">
        <f>SUMIF(Table25[[#All],[Assets]],Table25[[#This Row],[Assets]],Table25[[#All],[Bought]])</f>
        <v>23</v>
      </c>
      <c r="I918">
        <f>SUMIF(Table25[[#All],[Assets]],Table25[[#This Row],[Assets]],Table25[[#All],[Bought Amount]])</f>
        <v>1173.48</v>
      </c>
      <c r="J918" s="88">
        <f>IF(Table25[[#This Row],[Number of stocks]]&lt;0,Table25[[#This Row],[Number of stocks]],0)</f>
        <v>-5</v>
      </c>
      <c r="K918" s="5">
        <f>Table25[[#This Row],[Sold]]*Table25[[#This Row],[Price]]</f>
        <v>-317.8</v>
      </c>
      <c r="L918" s="8">
        <f>ABS(SUMIF(Table25[[#All],[Assets]],Table25[[#This Row],[Assets]],Table25[[#All],[Sold]]))</f>
        <v>23</v>
      </c>
      <c r="M918" s="5">
        <f>ABS(SUMIF(Table25[[#All],[Assets]],Table25[[#This Row],[Assets]],Table25[[#All],[Sold Amount]]))</f>
        <v>1405.67</v>
      </c>
      <c r="N918" s="5">
        <f>IFERROR(Table25[[#This Row],[Total sold amount]]/Table25[[#This Row],[Total Sold number of stocks]],"")</f>
        <v>61.116086956521741</v>
      </c>
      <c r="O918" s="4">
        <f>IFERROR(Table25[[#This Row],[Total Amount bought]]/Table25[[#This Row],[Total number bought]],"")</f>
        <v>51.020869565217389</v>
      </c>
      <c r="P918" s="4">
        <f>IFERROR((Table25[[#This Row],[Average sell price]]-Table25[[#This Row],[Average buy price]])*Table25[[#This Row],[Total Sold number of stocks]],0)</f>
        <v>232.19000000000011</v>
      </c>
      <c r="Q918" s="85">
        <f>SUMIF(Table25[[#All],[Assets]],Table25[[#This Row],[Assets]],Table25[[#All],[Number of stocks]])</f>
        <v>0</v>
      </c>
    </row>
    <row r="919" spans="1:17">
      <c r="A919" t="e" vm="159">
        <v>#VALUE!</v>
      </c>
      <c r="B919" s="2">
        <v>45726</v>
      </c>
      <c r="C919" t="str" cm="1">
        <f t="array" aca="1" ref="C919" ca="1">_FV(A919,"Ticker symbol",TRUE)</f>
        <v>BABA</v>
      </c>
      <c r="D919" s="4">
        <v>136.41999999999999</v>
      </c>
      <c r="E919" s="50">
        <v>-20</v>
      </c>
      <c r="F919" s="81">
        <f>IF(Table25[[#This Row],[Number of stocks]]&gt;0,Table25[[#This Row],[Number of stocks]],0)</f>
        <v>0</v>
      </c>
      <c r="G919" s="73">
        <f>Table25[[#This Row],[Bought]]*Table25[[#This Row],[Price]]</f>
        <v>0</v>
      </c>
      <c r="H919">
        <f>SUMIF(Table25[[#All],[Assets]],Table25[[#This Row],[Assets]],Table25[[#All],[Bought]])</f>
        <v>128</v>
      </c>
      <c r="I919">
        <f>SUMIF(Table25[[#All],[Assets]],Table25[[#This Row],[Assets]],Table25[[#All],[Bought Amount]])</f>
        <v>12533.52</v>
      </c>
      <c r="J919" s="88">
        <f>IF(Table25[[#This Row],[Number of stocks]]&lt;0,Table25[[#This Row],[Number of stocks]],0)</f>
        <v>-20</v>
      </c>
      <c r="K919" s="5">
        <f>Table25[[#This Row],[Sold]]*Table25[[#This Row],[Price]]</f>
        <v>-2728.3999999999996</v>
      </c>
      <c r="L919" s="8">
        <f>ABS(SUMIF(Table25[[#All],[Assets]],Table25[[#This Row],[Assets]],Table25[[#All],[Sold]]))</f>
        <v>128</v>
      </c>
      <c r="M919" s="5">
        <f>ABS(SUMIF(Table25[[#All],[Assets]],Table25[[#This Row],[Assets]],Table25[[#All],[Sold Amount]]))</f>
        <v>17148.419999999998</v>
      </c>
      <c r="N919" s="5">
        <f>IFERROR(Table25[[#This Row],[Total sold amount]]/Table25[[#This Row],[Total Sold number of stocks]],"")</f>
        <v>133.97203124999999</v>
      </c>
      <c r="O919" s="4">
        <f>IFERROR(Table25[[#This Row],[Total Amount bought]]/Table25[[#This Row],[Total number bought]],"")</f>
        <v>97.918125000000003</v>
      </c>
      <c r="P919" s="4">
        <f>IFERROR((Table25[[#This Row],[Average sell price]]-Table25[[#This Row],[Average buy price]])*Table25[[#This Row],[Total Sold number of stocks]],0)</f>
        <v>4614.8999999999978</v>
      </c>
      <c r="Q919" s="85">
        <f>SUMIF(Table25[[#All],[Assets]],Table25[[#This Row],[Assets]],Table25[[#All],[Number of stocks]])</f>
        <v>0</v>
      </c>
    </row>
    <row r="920" spans="1:17">
      <c r="A920" t="e" vm="34">
        <v>#VALUE!</v>
      </c>
      <c r="B920" s="2">
        <v>45726</v>
      </c>
      <c r="C920" t="str" cm="1">
        <f t="array" aca="1" ref="C920" ca="1">_FV(A920,"Ticker symbol",TRUE)</f>
        <v>TSM</v>
      </c>
      <c r="D920" s="4">
        <v>174.22</v>
      </c>
      <c r="E920" s="50">
        <v>-10</v>
      </c>
      <c r="F920" s="81">
        <f>IF(Table25[[#This Row],[Number of stocks]]&gt;0,Table25[[#This Row],[Number of stocks]],0)</f>
        <v>0</v>
      </c>
      <c r="G920" s="73">
        <f>Table25[[#This Row],[Bought]]*Table25[[#This Row],[Price]]</f>
        <v>0</v>
      </c>
      <c r="H920">
        <f>SUMIF(Table25[[#All],[Assets]],Table25[[#This Row],[Assets]],Table25[[#All],[Bought]])</f>
        <v>45</v>
      </c>
      <c r="I920">
        <f>SUMIF(Table25[[#All],[Assets]],Table25[[#This Row],[Assets]],Table25[[#All],[Bought Amount]])</f>
        <v>7503.4800000000005</v>
      </c>
      <c r="J920" s="88">
        <f>IF(Table25[[#This Row],[Number of stocks]]&lt;0,Table25[[#This Row],[Number of stocks]],0)</f>
        <v>-10</v>
      </c>
      <c r="K920" s="5">
        <f>Table25[[#This Row],[Sold]]*Table25[[#This Row],[Price]]</f>
        <v>-1742.2</v>
      </c>
      <c r="L920" s="8">
        <f>ABS(SUMIF(Table25[[#All],[Assets]],Table25[[#This Row],[Assets]],Table25[[#All],[Sold]]))</f>
        <v>44</v>
      </c>
      <c r="M920" s="5">
        <f>ABS(SUMIF(Table25[[#All],[Assets]],Table25[[#This Row],[Assets]],Table25[[#All],[Sold Amount]]))</f>
        <v>7951.28</v>
      </c>
      <c r="N920" s="5">
        <f>IFERROR(Table25[[#This Row],[Total sold amount]]/Table25[[#This Row],[Total Sold number of stocks]],"")</f>
        <v>180.7109090909091</v>
      </c>
      <c r="O920" s="4">
        <f>IFERROR(Table25[[#This Row],[Total Amount bought]]/Table25[[#This Row],[Total number bought]],"")</f>
        <v>166.744</v>
      </c>
      <c r="P920" s="4">
        <f>IFERROR((Table25[[#This Row],[Average sell price]]-Table25[[#This Row],[Average buy price]])*Table25[[#This Row],[Total Sold number of stocks]],0)</f>
        <v>614.54400000000032</v>
      </c>
      <c r="Q920" s="85">
        <f>SUMIF(Table25[[#All],[Assets]],Table25[[#This Row],[Assets]],Table25[[#All],[Number of stocks]])</f>
        <v>1</v>
      </c>
    </row>
    <row r="921" spans="1:17">
      <c r="A921" t="e" vm="27">
        <v>#VALUE!</v>
      </c>
      <c r="B921" s="2">
        <v>45726</v>
      </c>
      <c r="C921" t="str" cm="1">
        <f t="array" aca="1" ref="C921" ca="1">_FV(A921,"Ticker symbol",TRUE)</f>
        <v>ASML</v>
      </c>
      <c r="D921" s="4">
        <v>696.07</v>
      </c>
      <c r="E921" s="50">
        <v>-1</v>
      </c>
      <c r="F921" s="81">
        <f>IF(Table25[[#This Row],[Number of stocks]]&gt;0,Table25[[#This Row],[Number of stocks]],0)</f>
        <v>0</v>
      </c>
      <c r="G921" s="73">
        <f>Table25[[#This Row],[Bought]]*Table25[[#This Row],[Price]]</f>
        <v>0</v>
      </c>
      <c r="H921">
        <f>SUMIF(Table25[[#All],[Assets]],Table25[[#This Row],[Assets]],Table25[[#All],[Bought]])</f>
        <v>2</v>
      </c>
      <c r="I921">
        <f>SUMIF(Table25[[#All],[Assets]],Table25[[#This Row],[Assets]],Table25[[#All],[Bought Amount]])</f>
        <v>1444.51</v>
      </c>
      <c r="J921" s="88">
        <f>IF(Table25[[#This Row],[Number of stocks]]&lt;0,Table25[[#This Row],[Number of stocks]],0)</f>
        <v>-1</v>
      </c>
      <c r="K921" s="5">
        <f>Table25[[#This Row],[Sold]]*Table25[[#This Row],[Price]]</f>
        <v>-696.07</v>
      </c>
      <c r="L921" s="8">
        <f>ABS(SUMIF(Table25[[#All],[Assets]],Table25[[#This Row],[Assets]],Table25[[#All],[Sold]]))</f>
        <v>2</v>
      </c>
      <c r="M921" s="5">
        <f>ABS(SUMIF(Table25[[#All],[Assets]],Table25[[#This Row],[Assets]],Table25[[#All],[Sold Amount]]))</f>
        <v>1468.0900000000001</v>
      </c>
      <c r="N921" s="5">
        <f>IFERROR(Table25[[#This Row],[Total sold amount]]/Table25[[#This Row],[Total Sold number of stocks]],"")</f>
        <v>734.04500000000007</v>
      </c>
      <c r="O921" s="4">
        <f>IFERROR(Table25[[#This Row],[Total Amount bought]]/Table25[[#This Row],[Total number bought]],"")</f>
        <v>722.255</v>
      </c>
      <c r="P921" s="4">
        <f>IFERROR((Table25[[#This Row],[Average sell price]]-Table25[[#This Row],[Average buy price]])*Table25[[#This Row],[Total Sold number of stocks]],0)</f>
        <v>23.580000000000155</v>
      </c>
      <c r="Q921" s="85">
        <f>SUMIF(Table25[[#All],[Assets]],Table25[[#This Row],[Assets]],Table25[[#All],[Number of stocks]])</f>
        <v>0</v>
      </c>
    </row>
    <row r="922" spans="1:17">
      <c r="A922" t="e" vm="11">
        <v>#VALUE!</v>
      </c>
      <c r="B922" s="2">
        <v>45726</v>
      </c>
      <c r="C922" t="str" cm="1">
        <f t="array" aca="1" ref="C922" ca="1">_FV(A922,"Ticker symbol",TRUE)</f>
        <v>AMZN</v>
      </c>
      <c r="D922" s="4">
        <v>195.29</v>
      </c>
      <c r="E922" s="50">
        <v>-2</v>
      </c>
      <c r="F922" s="81">
        <f>IF(Table25[[#This Row],[Number of stocks]]&gt;0,Table25[[#This Row],[Number of stocks]],0)</f>
        <v>0</v>
      </c>
      <c r="G922" s="73">
        <f>Table25[[#This Row],[Bought]]*Table25[[#This Row],[Price]]</f>
        <v>0</v>
      </c>
      <c r="H922">
        <f>SUMIF(Table25[[#All],[Assets]],Table25[[#This Row],[Assets]],Table25[[#All],[Bought]])</f>
        <v>14</v>
      </c>
      <c r="I922">
        <f>SUMIF(Table25[[#All],[Assets]],Table25[[#This Row],[Assets]],Table25[[#All],[Bought Amount]])</f>
        <v>2779.23</v>
      </c>
      <c r="J922" s="88">
        <f>IF(Table25[[#This Row],[Number of stocks]]&lt;0,Table25[[#This Row],[Number of stocks]],0)</f>
        <v>-2</v>
      </c>
      <c r="K922" s="5">
        <f>Table25[[#This Row],[Sold]]*Table25[[#This Row],[Price]]</f>
        <v>-390.58</v>
      </c>
      <c r="L922" s="8">
        <f>ABS(SUMIF(Table25[[#All],[Assets]],Table25[[#This Row],[Assets]],Table25[[#All],[Sold]]))</f>
        <v>9</v>
      </c>
      <c r="M922" s="5">
        <f>ABS(SUMIF(Table25[[#All],[Assets]],Table25[[#This Row],[Assets]],Table25[[#All],[Sold Amount]]))</f>
        <v>1854.81</v>
      </c>
      <c r="N922" s="5">
        <f>IFERROR(Table25[[#This Row],[Total sold amount]]/Table25[[#This Row],[Total Sold number of stocks]],"")</f>
        <v>206.09</v>
      </c>
      <c r="O922" s="4">
        <f>IFERROR(Table25[[#This Row],[Total Amount bought]]/Table25[[#This Row],[Total number bought]],"")</f>
        <v>198.51642857142858</v>
      </c>
      <c r="P922" s="4">
        <f>IFERROR((Table25[[#This Row],[Average sell price]]-Table25[[#This Row],[Average buy price]])*Table25[[#This Row],[Total Sold number of stocks]],0)</f>
        <v>68.16214285714284</v>
      </c>
      <c r="Q922" s="85">
        <f>SUMIF(Table25[[#All],[Assets]],Table25[[#This Row],[Assets]],Table25[[#All],[Number of stocks]])</f>
        <v>5</v>
      </c>
    </row>
    <row r="923" spans="1:17">
      <c r="A923" t="e" vm="272">
        <v>#VALUE!</v>
      </c>
      <c r="B923" s="2">
        <v>45726</v>
      </c>
      <c r="C923" t="str" cm="1">
        <f t="array" aca="1" ref="C923" ca="1">_FV(A923,"Ticker symbol",TRUE)</f>
        <v>NRG</v>
      </c>
      <c r="D923" s="4">
        <v>83.98</v>
      </c>
      <c r="E923" s="50">
        <v>-8</v>
      </c>
      <c r="F923" s="81">
        <f>IF(Table25[[#This Row],[Number of stocks]]&gt;0,Table25[[#This Row],[Number of stocks]],0)</f>
        <v>0</v>
      </c>
      <c r="G923" s="73">
        <f>Table25[[#This Row],[Bought]]*Table25[[#This Row],[Price]]</f>
        <v>0</v>
      </c>
      <c r="H923">
        <f>SUMIF(Table25[[#All],[Assets]],Table25[[#This Row],[Assets]],Table25[[#All],[Bought]])</f>
        <v>8</v>
      </c>
      <c r="I923">
        <f>SUMIF(Table25[[#All],[Assets]],Table25[[#This Row],[Assets]],Table25[[#All],[Bought Amount]])</f>
        <v>631.52</v>
      </c>
      <c r="J923" s="88">
        <f>IF(Table25[[#This Row],[Number of stocks]]&lt;0,Table25[[#This Row],[Number of stocks]],0)</f>
        <v>-8</v>
      </c>
      <c r="K923" s="5">
        <f>Table25[[#This Row],[Sold]]*Table25[[#This Row],[Price]]</f>
        <v>-671.84</v>
      </c>
      <c r="L923" s="8">
        <f>ABS(SUMIF(Table25[[#All],[Assets]],Table25[[#This Row],[Assets]],Table25[[#All],[Sold]]))</f>
        <v>8</v>
      </c>
      <c r="M923" s="5">
        <f>ABS(SUMIF(Table25[[#All],[Assets]],Table25[[#This Row],[Assets]],Table25[[#All],[Sold Amount]]))</f>
        <v>671.84</v>
      </c>
      <c r="N923" s="5">
        <f>IFERROR(Table25[[#This Row],[Total sold amount]]/Table25[[#This Row],[Total Sold number of stocks]],"")</f>
        <v>83.98</v>
      </c>
      <c r="O923" s="4">
        <f>IFERROR(Table25[[#This Row],[Total Amount bought]]/Table25[[#This Row],[Total number bought]],"")</f>
        <v>78.94</v>
      </c>
      <c r="P923" s="4">
        <f>IFERROR((Table25[[#This Row],[Average sell price]]-Table25[[#This Row],[Average buy price]])*Table25[[#This Row],[Total Sold number of stocks]],0)</f>
        <v>40.32000000000005</v>
      </c>
      <c r="Q923" s="85">
        <f>SUMIF(Table25[[#All],[Assets]],Table25[[#This Row],[Assets]],Table25[[#All],[Number of stocks]])</f>
        <v>0</v>
      </c>
    </row>
    <row r="924" spans="1:17">
      <c r="A924" t="e" vm="520">
        <v>#VALUE!</v>
      </c>
      <c r="B924" s="2">
        <v>45726</v>
      </c>
      <c r="C924" t="str" cm="1">
        <f t="array" aca="1" ref="C924" ca="1">_FV(A924,"Ticker symbol",TRUE)</f>
        <v>ACLS</v>
      </c>
      <c r="D924" s="4">
        <v>60.47</v>
      </c>
      <c r="E924" s="50">
        <v>-7</v>
      </c>
      <c r="F924" s="81">
        <f>IF(Table25[[#This Row],[Number of stocks]]&gt;0,Table25[[#This Row],[Number of stocks]],0)</f>
        <v>0</v>
      </c>
      <c r="G924" s="73">
        <f>Table25[[#This Row],[Bought]]*Table25[[#This Row],[Price]]</f>
        <v>0</v>
      </c>
      <c r="H924">
        <f>SUMIF(Table25[[#All],[Assets]],Table25[[#This Row],[Assets]],Table25[[#All],[Bought]])</f>
        <v>7</v>
      </c>
      <c r="I924">
        <f>SUMIF(Table25[[#All],[Assets]],Table25[[#This Row],[Assets]],Table25[[#All],[Bought Amount]])</f>
        <v>898.38000000000011</v>
      </c>
      <c r="J924" s="88">
        <f>IF(Table25[[#This Row],[Number of stocks]]&lt;0,Table25[[#This Row],[Number of stocks]],0)</f>
        <v>-7</v>
      </c>
      <c r="K924" s="5">
        <f>Table25[[#This Row],[Sold]]*Table25[[#This Row],[Price]]</f>
        <v>-423.28999999999996</v>
      </c>
      <c r="L924" s="8">
        <f>ABS(SUMIF(Table25[[#All],[Assets]],Table25[[#This Row],[Assets]],Table25[[#All],[Sold]]))</f>
        <v>7</v>
      </c>
      <c r="M924" s="5">
        <f>ABS(SUMIF(Table25[[#All],[Assets]],Table25[[#This Row],[Assets]],Table25[[#All],[Sold Amount]]))</f>
        <v>423.28999999999996</v>
      </c>
      <c r="N924" s="5">
        <f>IFERROR(Table25[[#This Row],[Total sold amount]]/Table25[[#This Row],[Total Sold number of stocks]],"")</f>
        <v>60.469999999999992</v>
      </c>
      <c r="O924" s="4">
        <f>IFERROR(Table25[[#This Row],[Total Amount bought]]/Table25[[#This Row],[Total number bought]],"")</f>
        <v>128.34</v>
      </c>
      <c r="P924" s="4">
        <f>IFERROR((Table25[[#This Row],[Average sell price]]-Table25[[#This Row],[Average buy price]])*Table25[[#This Row],[Total Sold number of stocks]],0)</f>
        <v>-475.09000000000003</v>
      </c>
      <c r="Q924" s="85">
        <f>SUMIF(Table25[[#All],[Assets]],Table25[[#This Row],[Assets]],Table25[[#All],[Number of stocks]])</f>
        <v>0</v>
      </c>
    </row>
    <row r="925" spans="1:17">
      <c r="A925" t="e" vm="512">
        <v>#VALUE!</v>
      </c>
      <c r="B925" s="2">
        <v>45726</v>
      </c>
      <c r="C925" t="str" cm="1">
        <f t="array" aca="1" ref="C925" ca="1">_FV(A925,"Ticker symbol",TRUE)</f>
        <v>FORM</v>
      </c>
      <c r="D925" s="4">
        <v>32.700000000000003</v>
      </c>
      <c r="E925" s="50">
        <v>-6</v>
      </c>
      <c r="F925" s="81">
        <f>IF(Table25[[#This Row],[Number of stocks]]&gt;0,Table25[[#This Row],[Number of stocks]],0)</f>
        <v>0</v>
      </c>
      <c r="G925" s="73">
        <f>Table25[[#This Row],[Bought]]*Table25[[#This Row],[Price]]</f>
        <v>0</v>
      </c>
      <c r="H925">
        <f>SUMIF(Table25[[#All],[Assets]],Table25[[#This Row],[Assets]],Table25[[#All],[Bought]])</f>
        <v>6</v>
      </c>
      <c r="I925">
        <f>SUMIF(Table25[[#All],[Assets]],Table25[[#This Row],[Assets]],Table25[[#All],[Bought Amount]])</f>
        <v>308.76</v>
      </c>
      <c r="J925" s="88">
        <f>IF(Table25[[#This Row],[Number of stocks]]&lt;0,Table25[[#This Row],[Number of stocks]],0)</f>
        <v>-6</v>
      </c>
      <c r="K925" s="5">
        <f>Table25[[#This Row],[Sold]]*Table25[[#This Row],[Price]]</f>
        <v>-196.20000000000002</v>
      </c>
      <c r="L925" s="8">
        <f>ABS(SUMIF(Table25[[#All],[Assets]],Table25[[#This Row],[Assets]],Table25[[#All],[Sold]]))</f>
        <v>6</v>
      </c>
      <c r="M925" s="5">
        <f>ABS(SUMIF(Table25[[#All],[Assets]],Table25[[#This Row],[Assets]],Table25[[#All],[Sold Amount]]))</f>
        <v>196.20000000000002</v>
      </c>
      <c r="N925" s="5">
        <f>IFERROR(Table25[[#This Row],[Total sold amount]]/Table25[[#This Row],[Total Sold number of stocks]],"")</f>
        <v>32.700000000000003</v>
      </c>
      <c r="O925" s="4">
        <f>IFERROR(Table25[[#This Row],[Total Amount bought]]/Table25[[#This Row],[Total number bought]],"")</f>
        <v>51.46</v>
      </c>
      <c r="P925" s="4">
        <f>IFERROR((Table25[[#This Row],[Average sell price]]-Table25[[#This Row],[Average buy price]])*Table25[[#This Row],[Total Sold number of stocks]],0)</f>
        <v>-112.55999999999999</v>
      </c>
      <c r="Q925" s="85">
        <f>SUMIF(Table25[[#All],[Assets]],Table25[[#This Row],[Assets]],Table25[[#All],[Number of stocks]])</f>
        <v>0</v>
      </c>
    </row>
    <row r="926" spans="1:17">
      <c r="A926" t="e" vm="77">
        <v>#VALUE!</v>
      </c>
      <c r="B926" s="2">
        <v>45726</v>
      </c>
      <c r="C926" t="str" cm="1">
        <f t="array" aca="1" ref="C926" ca="1">_FV(A926,"Ticker symbol",TRUE)</f>
        <v>STIM</v>
      </c>
      <c r="D926" s="4">
        <v>4.87</v>
      </c>
      <c r="E926" s="50">
        <v>-200</v>
      </c>
      <c r="F926" s="81">
        <f>IF(Table25[[#This Row],[Number of stocks]]&gt;0,Table25[[#This Row],[Number of stocks]],0)</f>
        <v>0</v>
      </c>
      <c r="G926" s="73">
        <f>Table25[[#This Row],[Bought]]*Table25[[#This Row],[Price]]</f>
        <v>0</v>
      </c>
      <c r="H926">
        <f>SUMIF(Table25[[#All],[Assets]],Table25[[#This Row],[Assets]],Table25[[#All],[Bought]])</f>
        <v>7036.45</v>
      </c>
      <c r="I926">
        <f>SUMIF(Table25[[#All],[Assets]],Table25[[#This Row],[Assets]],Table25[[#All],[Bought Amount]])</f>
        <v>19162.260000000002</v>
      </c>
      <c r="J926" s="88">
        <f>IF(Table25[[#This Row],[Number of stocks]]&lt;0,Table25[[#This Row],[Number of stocks]],0)</f>
        <v>-200</v>
      </c>
      <c r="K926" s="5">
        <f>Table25[[#This Row],[Sold]]*Table25[[#This Row],[Price]]</f>
        <v>-974</v>
      </c>
      <c r="L926" s="8">
        <f>ABS(SUMIF(Table25[[#All],[Assets]],Table25[[#This Row],[Assets]],Table25[[#All],[Sold]]))</f>
        <v>6686.45</v>
      </c>
      <c r="M926" s="5">
        <f>ABS(SUMIF(Table25[[#All],[Assets]],Table25[[#This Row],[Assets]],Table25[[#All],[Sold Amount]]))</f>
        <v>19226.484999999997</v>
      </c>
      <c r="N926" s="5">
        <f>IFERROR(Table25[[#This Row],[Total sold amount]]/Table25[[#This Row],[Total Sold number of stocks]],"")</f>
        <v>2.8754398821497205</v>
      </c>
      <c r="O926" s="4">
        <f>IFERROR(Table25[[#This Row],[Total Amount bought]]/Table25[[#This Row],[Total number bought]],"")</f>
        <v>2.7232851793162749</v>
      </c>
      <c r="P926" s="4">
        <f>IFERROR((Table25[[#This Row],[Average sell price]]-Table25[[#This Row],[Average buy price]])*Table25[[#This Row],[Total Sold number of stocks]],0)</f>
        <v>1017.3748127606921</v>
      </c>
      <c r="Q926" s="85">
        <f>SUMIF(Table25[[#All],[Assets]],Table25[[#This Row],[Assets]],Table25[[#All],[Number of stocks]])</f>
        <v>349.99999999999977</v>
      </c>
    </row>
    <row r="927" spans="1:17">
      <c r="A927" t="e" vm="233">
        <v>#VALUE!</v>
      </c>
      <c r="B927" s="2">
        <v>45726</v>
      </c>
      <c r="C927" t="str" cm="1">
        <f t="array" aca="1" ref="C927" ca="1">_FV(A927,"Ticker symbol",TRUE)</f>
        <v>NTGR</v>
      </c>
      <c r="D927" s="4">
        <v>22.81</v>
      </c>
      <c r="E927" s="50">
        <v>-10</v>
      </c>
      <c r="F927" s="81">
        <f>IF(Table25[[#This Row],[Number of stocks]]&gt;0,Table25[[#This Row],[Number of stocks]],0)</f>
        <v>0</v>
      </c>
      <c r="G927" s="73">
        <f>Table25[[#This Row],[Bought]]*Table25[[#This Row],[Price]]</f>
        <v>0</v>
      </c>
      <c r="H927">
        <f>SUMIF(Table25[[#All],[Assets]],Table25[[#This Row],[Assets]],Table25[[#All],[Bought]])</f>
        <v>57</v>
      </c>
      <c r="I927">
        <f>SUMIF(Table25[[#All],[Assets]],Table25[[#This Row],[Assets]],Table25[[#All],[Bought Amount]])</f>
        <v>1211.07</v>
      </c>
      <c r="J927" s="88">
        <f>IF(Table25[[#This Row],[Number of stocks]]&lt;0,Table25[[#This Row],[Number of stocks]],0)</f>
        <v>-10</v>
      </c>
      <c r="K927" s="5">
        <f>Table25[[#This Row],[Sold]]*Table25[[#This Row],[Price]]</f>
        <v>-228.1</v>
      </c>
      <c r="L927" s="8">
        <f>ABS(SUMIF(Table25[[#All],[Assets]],Table25[[#This Row],[Assets]],Table25[[#All],[Sold]]))</f>
        <v>57</v>
      </c>
      <c r="M927" s="5">
        <f>ABS(SUMIF(Table25[[#All],[Assets]],Table25[[#This Row],[Assets]],Table25[[#All],[Sold Amount]]))</f>
        <v>1382.52</v>
      </c>
      <c r="N927" s="5">
        <f>IFERROR(Table25[[#This Row],[Total sold amount]]/Table25[[#This Row],[Total Sold number of stocks]],"")</f>
        <v>24.254736842105263</v>
      </c>
      <c r="O927" s="4">
        <f>IFERROR(Table25[[#This Row],[Total Amount bought]]/Table25[[#This Row],[Total number bought]],"")</f>
        <v>21.246842105263156</v>
      </c>
      <c r="P927" s="4">
        <f>IFERROR((Table25[[#This Row],[Average sell price]]-Table25[[#This Row],[Average buy price]])*Table25[[#This Row],[Total Sold number of stocks]],0)</f>
        <v>171.45000000000013</v>
      </c>
      <c r="Q927" s="85">
        <f>SUMIF(Table25[[#All],[Assets]],Table25[[#This Row],[Assets]],Table25[[#All],[Number of stocks]])</f>
        <v>0</v>
      </c>
    </row>
    <row r="928" spans="1:17">
      <c r="A928" t="e" vm="123">
        <v>#VALUE!</v>
      </c>
      <c r="B928" s="2">
        <v>45726</v>
      </c>
      <c r="C928" t="str" cm="1">
        <f t="array" aca="1" ref="C928" ca="1">_FV(A928,"Ticker symbol",TRUE)</f>
        <v>GLW</v>
      </c>
      <c r="D928" s="4">
        <v>45.29</v>
      </c>
      <c r="E928" s="50">
        <v>-10</v>
      </c>
      <c r="F928" s="81">
        <f>IF(Table25[[#This Row],[Number of stocks]]&gt;0,Table25[[#This Row],[Number of stocks]],0)</f>
        <v>0</v>
      </c>
      <c r="G928" s="73">
        <f>Table25[[#This Row],[Bought]]*Table25[[#This Row],[Price]]</f>
        <v>0</v>
      </c>
      <c r="H928">
        <f>SUMIF(Table25[[#All],[Assets]],Table25[[#This Row],[Assets]],Table25[[#All],[Bought]])</f>
        <v>20</v>
      </c>
      <c r="I928">
        <f>SUMIF(Table25[[#All],[Assets]],Table25[[#This Row],[Assets]],Table25[[#All],[Bought Amount]])</f>
        <v>835.3</v>
      </c>
      <c r="J928" s="88">
        <f>IF(Table25[[#This Row],[Number of stocks]]&lt;0,Table25[[#This Row],[Number of stocks]],0)</f>
        <v>-10</v>
      </c>
      <c r="K928" s="5">
        <f>Table25[[#This Row],[Sold]]*Table25[[#This Row],[Price]]</f>
        <v>-452.9</v>
      </c>
      <c r="L928" s="8">
        <f>ABS(SUMIF(Table25[[#All],[Assets]],Table25[[#This Row],[Assets]],Table25[[#All],[Sold]]))</f>
        <v>20</v>
      </c>
      <c r="M928" s="5">
        <f>ABS(SUMIF(Table25[[#All],[Assets]],Table25[[#This Row],[Assets]],Table25[[#All],[Sold Amount]]))</f>
        <v>945.09999999999991</v>
      </c>
      <c r="N928" s="5">
        <f>IFERROR(Table25[[#This Row],[Total sold amount]]/Table25[[#This Row],[Total Sold number of stocks]],"")</f>
        <v>47.254999999999995</v>
      </c>
      <c r="O928" s="4">
        <f>IFERROR(Table25[[#This Row],[Total Amount bought]]/Table25[[#This Row],[Total number bought]],"")</f>
        <v>41.765000000000001</v>
      </c>
      <c r="P928" s="4">
        <f>IFERROR((Table25[[#This Row],[Average sell price]]-Table25[[#This Row],[Average buy price]])*Table25[[#This Row],[Total Sold number of stocks]],0)</f>
        <v>109.7999999999999</v>
      </c>
      <c r="Q928" s="85">
        <f>SUMIF(Table25[[#All],[Assets]],Table25[[#This Row],[Assets]],Table25[[#All],[Number of stocks]])</f>
        <v>0</v>
      </c>
    </row>
    <row r="929" spans="1:17">
      <c r="A929" t="e" vm="142">
        <v>#VALUE!</v>
      </c>
      <c r="B929" s="2">
        <v>45726</v>
      </c>
      <c r="C929" t="str" cm="1">
        <f t="array" aca="1" ref="C929" ca="1">_FV(A929,"Ticker symbol",TRUE)</f>
        <v>KGC</v>
      </c>
      <c r="D929" s="4">
        <v>10.9</v>
      </c>
      <c r="E929" s="50">
        <v>-12</v>
      </c>
      <c r="F929" s="81">
        <f>IF(Table25[[#This Row],[Number of stocks]]&gt;0,Table25[[#This Row],[Number of stocks]],0)</f>
        <v>0</v>
      </c>
      <c r="G929" s="73">
        <f>Table25[[#This Row],[Bought]]*Table25[[#This Row],[Price]]</f>
        <v>0</v>
      </c>
      <c r="H929">
        <f>SUMIF(Table25[[#All],[Assets]],Table25[[#This Row],[Assets]],Table25[[#All],[Bought]])</f>
        <v>12</v>
      </c>
      <c r="I929">
        <f>SUMIF(Table25[[#All],[Assets]],Table25[[#This Row],[Assets]],Table25[[#All],[Bought Amount]])</f>
        <v>113.76</v>
      </c>
      <c r="J929" s="88">
        <f>IF(Table25[[#This Row],[Number of stocks]]&lt;0,Table25[[#This Row],[Number of stocks]],0)</f>
        <v>-12</v>
      </c>
      <c r="K929" s="5">
        <f>Table25[[#This Row],[Sold]]*Table25[[#This Row],[Price]]</f>
        <v>-130.80000000000001</v>
      </c>
      <c r="L929" s="8">
        <f>ABS(SUMIF(Table25[[#All],[Assets]],Table25[[#This Row],[Assets]],Table25[[#All],[Sold]]))</f>
        <v>12</v>
      </c>
      <c r="M929" s="5">
        <f>ABS(SUMIF(Table25[[#All],[Assets]],Table25[[#This Row],[Assets]],Table25[[#All],[Sold Amount]]))</f>
        <v>130.80000000000001</v>
      </c>
      <c r="N929" s="5">
        <f>IFERROR(Table25[[#This Row],[Total sold amount]]/Table25[[#This Row],[Total Sold number of stocks]],"")</f>
        <v>10.9</v>
      </c>
      <c r="O929" s="4">
        <f>IFERROR(Table25[[#This Row],[Total Amount bought]]/Table25[[#This Row],[Total number bought]],"")</f>
        <v>9.48</v>
      </c>
      <c r="P929" s="4">
        <f>IFERROR((Table25[[#This Row],[Average sell price]]-Table25[[#This Row],[Average buy price]])*Table25[[#This Row],[Total Sold number of stocks]],0)</f>
        <v>17.04</v>
      </c>
      <c r="Q929" s="85">
        <f>SUMIF(Table25[[#All],[Assets]],Table25[[#This Row],[Assets]],Table25[[#All],[Number of stocks]])</f>
        <v>0</v>
      </c>
    </row>
    <row r="930" spans="1:17">
      <c r="A930" t="e" vm="165">
        <v>#VALUE!</v>
      </c>
      <c r="B930" s="2">
        <v>45726</v>
      </c>
      <c r="C930" t="str" cm="1">
        <f t="array" aca="1" ref="C930" ca="1">_FV(A930,"Ticker symbol",TRUE)</f>
        <v>NET</v>
      </c>
      <c r="D930" s="4">
        <v>120.88</v>
      </c>
      <c r="E930" s="50">
        <v>-2</v>
      </c>
      <c r="F930" s="81">
        <f>IF(Table25[[#This Row],[Number of stocks]]&gt;0,Table25[[#This Row],[Number of stocks]],0)</f>
        <v>0</v>
      </c>
      <c r="G930" s="73">
        <f>Table25[[#This Row],[Bought]]*Table25[[#This Row],[Price]]</f>
        <v>0</v>
      </c>
      <c r="H930">
        <f>SUMIF(Table25[[#All],[Assets]],Table25[[#This Row],[Assets]],Table25[[#All],[Bought]])</f>
        <v>2</v>
      </c>
      <c r="I930">
        <f>SUMIF(Table25[[#All],[Assets]],Table25[[#This Row],[Assets]],Table25[[#All],[Bought Amount]])</f>
        <v>311.52</v>
      </c>
      <c r="J930" s="88">
        <f>IF(Table25[[#This Row],[Number of stocks]]&lt;0,Table25[[#This Row],[Number of stocks]],0)</f>
        <v>-2</v>
      </c>
      <c r="K930" s="5">
        <f>Table25[[#This Row],[Sold]]*Table25[[#This Row],[Price]]</f>
        <v>-241.76</v>
      </c>
      <c r="L930" s="8">
        <f>ABS(SUMIF(Table25[[#All],[Assets]],Table25[[#This Row],[Assets]],Table25[[#All],[Sold]]))</f>
        <v>2</v>
      </c>
      <c r="M930" s="5">
        <f>ABS(SUMIF(Table25[[#All],[Assets]],Table25[[#This Row],[Assets]],Table25[[#All],[Sold Amount]]))</f>
        <v>241.76</v>
      </c>
      <c r="N930" s="5">
        <f>IFERROR(Table25[[#This Row],[Total sold amount]]/Table25[[#This Row],[Total Sold number of stocks]],"")</f>
        <v>120.88</v>
      </c>
      <c r="O930" s="4">
        <f>IFERROR(Table25[[#This Row],[Total Amount bought]]/Table25[[#This Row],[Total number bought]],"")</f>
        <v>155.76</v>
      </c>
      <c r="P930" s="4">
        <f>IFERROR((Table25[[#This Row],[Average sell price]]-Table25[[#This Row],[Average buy price]])*Table25[[#This Row],[Total Sold number of stocks]],0)</f>
        <v>-69.759999999999991</v>
      </c>
      <c r="Q930" s="85">
        <f>SUMIF(Table25[[#All],[Assets]],Table25[[#This Row],[Assets]],Table25[[#All],[Number of stocks]])</f>
        <v>0</v>
      </c>
    </row>
    <row r="931" spans="1:17">
      <c r="A931" t="e" vm="49">
        <v>#VALUE!</v>
      </c>
      <c r="B931" s="2">
        <v>45726</v>
      </c>
      <c r="C931" t="str" cm="1">
        <f t="array" aca="1" ref="C931" ca="1">_FV(A931,"Ticker symbol",TRUE)</f>
        <v>LEU</v>
      </c>
      <c r="D931" s="4">
        <v>75.5</v>
      </c>
      <c r="E931" s="50">
        <v>-15</v>
      </c>
      <c r="F931" s="81">
        <f>IF(Table25[[#This Row],[Number of stocks]]&gt;0,Table25[[#This Row],[Number of stocks]],0)</f>
        <v>0</v>
      </c>
      <c r="G931" s="73">
        <f>Table25[[#This Row],[Bought]]*Table25[[#This Row],[Price]]</f>
        <v>0</v>
      </c>
      <c r="H931">
        <f>SUMIF(Table25[[#All],[Assets]],Table25[[#This Row],[Assets]],Table25[[#All],[Bought]])</f>
        <v>20</v>
      </c>
      <c r="I931">
        <f>SUMIF(Table25[[#All],[Assets]],Table25[[#This Row],[Assets]],Table25[[#All],[Bought Amount]])</f>
        <v>1555.5</v>
      </c>
      <c r="J931" s="88">
        <f>IF(Table25[[#This Row],[Number of stocks]]&lt;0,Table25[[#This Row],[Number of stocks]],0)</f>
        <v>-15</v>
      </c>
      <c r="K931" s="5">
        <f>Table25[[#This Row],[Sold]]*Table25[[#This Row],[Price]]</f>
        <v>-1132.5</v>
      </c>
      <c r="L931" s="8">
        <f>ABS(SUMIF(Table25[[#All],[Assets]],Table25[[#This Row],[Assets]],Table25[[#All],[Sold]]))</f>
        <v>20</v>
      </c>
      <c r="M931" s="5">
        <f>ABS(SUMIF(Table25[[#All],[Assets]],Table25[[#This Row],[Assets]],Table25[[#All],[Sold Amount]]))</f>
        <v>1711.1999999999998</v>
      </c>
      <c r="N931" s="5">
        <f>IFERROR(Table25[[#This Row],[Total sold amount]]/Table25[[#This Row],[Total Sold number of stocks]],"")</f>
        <v>85.559999999999988</v>
      </c>
      <c r="O931" s="4">
        <f>IFERROR(Table25[[#This Row],[Total Amount bought]]/Table25[[#This Row],[Total number bought]],"")</f>
        <v>77.775000000000006</v>
      </c>
      <c r="P931" s="4">
        <f>IFERROR((Table25[[#This Row],[Average sell price]]-Table25[[#This Row],[Average buy price]])*Table25[[#This Row],[Total Sold number of stocks]],0)</f>
        <v>155.69999999999965</v>
      </c>
      <c r="Q931" s="85">
        <f>SUMIF(Table25[[#All],[Assets]],Table25[[#This Row],[Assets]],Table25[[#All],[Number of stocks]])</f>
        <v>0</v>
      </c>
    </row>
    <row r="932" spans="1:17">
      <c r="A932" t="e" vm="519">
        <v>#VALUE!</v>
      </c>
      <c r="B932" s="2">
        <v>45726</v>
      </c>
      <c r="C932" t="str" cm="1">
        <f t="array" aca="1" ref="C932" ca="1">_FV(A932,"Ticker symbol",TRUE)</f>
        <v>LWLG</v>
      </c>
      <c r="D932" s="4">
        <v>1.1499999999999999</v>
      </c>
      <c r="E932" s="50">
        <v>-60</v>
      </c>
      <c r="F932" s="81">
        <f>IF(Table25[[#This Row],[Number of stocks]]&gt;0,Table25[[#This Row],[Number of stocks]],0)</f>
        <v>0</v>
      </c>
      <c r="G932" s="73">
        <f>Table25[[#This Row],[Bought]]*Table25[[#This Row],[Price]]</f>
        <v>0</v>
      </c>
      <c r="H932">
        <f>SUMIF(Table25[[#All],[Assets]],Table25[[#This Row],[Assets]],Table25[[#All],[Bought]])</f>
        <v>120</v>
      </c>
      <c r="I932">
        <f>SUMIF(Table25[[#All],[Assets]],Table25[[#This Row],[Assets]],Table25[[#All],[Bought Amount]])</f>
        <v>500.4</v>
      </c>
      <c r="J932" s="88">
        <f>IF(Table25[[#This Row],[Number of stocks]]&lt;0,Table25[[#This Row],[Number of stocks]],0)</f>
        <v>-60</v>
      </c>
      <c r="K932" s="5">
        <f>Table25[[#This Row],[Sold]]*Table25[[#This Row],[Price]]</f>
        <v>-69</v>
      </c>
      <c r="L932" s="8">
        <f>ABS(SUMIF(Table25[[#All],[Assets]],Table25[[#This Row],[Assets]],Table25[[#All],[Sold]]))</f>
        <v>120</v>
      </c>
      <c r="M932" s="5">
        <f>ABS(SUMIF(Table25[[#All],[Assets]],Table25[[#This Row],[Assets]],Table25[[#All],[Sold Amount]]))</f>
        <v>181.2</v>
      </c>
      <c r="N932" s="5">
        <f>IFERROR(Table25[[#This Row],[Total sold amount]]/Table25[[#This Row],[Total Sold number of stocks]],"")</f>
        <v>1.51</v>
      </c>
      <c r="O932" s="4">
        <f>IFERROR(Table25[[#This Row],[Total Amount bought]]/Table25[[#This Row],[Total number bought]],"")</f>
        <v>4.17</v>
      </c>
      <c r="P932" s="4">
        <f>IFERROR((Table25[[#This Row],[Average sell price]]-Table25[[#This Row],[Average buy price]])*Table25[[#This Row],[Total Sold number of stocks]],0)</f>
        <v>-319.20000000000005</v>
      </c>
      <c r="Q932" s="85">
        <f>SUMIF(Table25[[#All],[Assets]],Table25[[#This Row],[Assets]],Table25[[#All],[Number of stocks]])</f>
        <v>0</v>
      </c>
    </row>
    <row r="933" spans="1:17">
      <c r="A933" t="e" vm="286">
        <v>#VALUE!</v>
      </c>
      <c r="B933" s="2">
        <v>45726</v>
      </c>
      <c r="C933" t="str" cm="1">
        <f t="array" aca="1" ref="C933" ca="1">_FV(A933,"Ticker symbol",TRUE)</f>
        <v>KMI</v>
      </c>
      <c r="D933" s="4">
        <v>25.85</v>
      </c>
      <c r="E933" s="50">
        <v>-20</v>
      </c>
      <c r="F933" s="81">
        <f>IF(Table25[[#This Row],[Number of stocks]]&gt;0,Table25[[#This Row],[Number of stocks]],0)</f>
        <v>0</v>
      </c>
      <c r="G933" s="73">
        <f>Table25[[#This Row],[Bought]]*Table25[[#This Row],[Price]]</f>
        <v>0</v>
      </c>
      <c r="H933">
        <f>SUMIF(Table25[[#All],[Assets]],Table25[[#This Row],[Assets]],Table25[[#All],[Bought]])</f>
        <v>20</v>
      </c>
      <c r="I933">
        <f>SUMIF(Table25[[#All],[Assets]],Table25[[#This Row],[Assets]],Table25[[#All],[Bought Amount]])</f>
        <v>499</v>
      </c>
      <c r="J933" s="88">
        <f>IF(Table25[[#This Row],[Number of stocks]]&lt;0,Table25[[#This Row],[Number of stocks]],0)</f>
        <v>-20</v>
      </c>
      <c r="K933" s="5">
        <f>Table25[[#This Row],[Sold]]*Table25[[#This Row],[Price]]</f>
        <v>-517</v>
      </c>
      <c r="L933" s="8">
        <f>ABS(SUMIF(Table25[[#All],[Assets]],Table25[[#This Row],[Assets]],Table25[[#All],[Sold]]))</f>
        <v>20</v>
      </c>
      <c r="M933" s="5">
        <f>ABS(SUMIF(Table25[[#All],[Assets]],Table25[[#This Row],[Assets]],Table25[[#All],[Sold Amount]]))</f>
        <v>517</v>
      </c>
      <c r="N933" s="5">
        <f>IFERROR(Table25[[#This Row],[Total sold amount]]/Table25[[#This Row],[Total Sold number of stocks]],"")</f>
        <v>25.85</v>
      </c>
      <c r="O933" s="4">
        <f>IFERROR(Table25[[#This Row],[Total Amount bought]]/Table25[[#This Row],[Total number bought]],"")</f>
        <v>24.95</v>
      </c>
      <c r="P933" s="4">
        <f>IFERROR((Table25[[#This Row],[Average sell price]]-Table25[[#This Row],[Average buy price]])*Table25[[#This Row],[Total Sold number of stocks]],0)</f>
        <v>18.000000000000043</v>
      </c>
      <c r="Q933" s="85">
        <f>SUMIF(Table25[[#All],[Assets]],Table25[[#This Row],[Assets]],Table25[[#All],[Number of stocks]])</f>
        <v>0</v>
      </c>
    </row>
    <row r="934" spans="1:17">
      <c r="A934" t="e" vm="533">
        <v>#VALUE!</v>
      </c>
      <c r="B934" s="2">
        <v>45726</v>
      </c>
      <c r="C934" t="str" cm="1">
        <f t="array" aca="1" ref="C934" ca="1">_FV(A934,"Ticker symbol",TRUE)</f>
        <v>MPLX</v>
      </c>
      <c r="D934" s="4">
        <v>51.97</v>
      </c>
      <c r="E934" s="50">
        <v>-1</v>
      </c>
      <c r="F934" s="81">
        <f>IF(Table25[[#This Row],[Number of stocks]]&gt;0,Table25[[#This Row],[Number of stocks]],0)</f>
        <v>0</v>
      </c>
      <c r="G934" s="73">
        <f>Table25[[#This Row],[Bought]]*Table25[[#This Row],[Price]]</f>
        <v>0</v>
      </c>
      <c r="H934">
        <f>SUMIF(Table25[[#All],[Assets]],Table25[[#This Row],[Assets]],Table25[[#All],[Bought]])</f>
        <v>1</v>
      </c>
      <c r="I934">
        <f>SUMIF(Table25[[#All],[Assets]],Table25[[#This Row],[Assets]],Table25[[#All],[Bought Amount]])</f>
        <v>52</v>
      </c>
      <c r="J934" s="88">
        <f>IF(Table25[[#This Row],[Number of stocks]]&lt;0,Table25[[#This Row],[Number of stocks]],0)</f>
        <v>-1</v>
      </c>
      <c r="K934" s="5">
        <f>Table25[[#This Row],[Sold]]*Table25[[#This Row],[Price]]</f>
        <v>-51.97</v>
      </c>
      <c r="L934" s="8">
        <f>ABS(SUMIF(Table25[[#All],[Assets]],Table25[[#This Row],[Assets]],Table25[[#All],[Sold]]))</f>
        <v>1</v>
      </c>
      <c r="M934" s="5">
        <f>ABS(SUMIF(Table25[[#All],[Assets]],Table25[[#This Row],[Assets]],Table25[[#All],[Sold Amount]]))</f>
        <v>51.97</v>
      </c>
      <c r="N934" s="5">
        <f>IFERROR(Table25[[#This Row],[Total sold amount]]/Table25[[#This Row],[Total Sold number of stocks]],"")</f>
        <v>51.97</v>
      </c>
      <c r="O934" s="4">
        <f>IFERROR(Table25[[#This Row],[Total Amount bought]]/Table25[[#This Row],[Total number bought]],"")</f>
        <v>52</v>
      </c>
      <c r="P934" s="4">
        <f>IFERROR((Table25[[#This Row],[Average sell price]]-Table25[[#This Row],[Average buy price]])*Table25[[#This Row],[Total Sold number of stocks]],0)</f>
        <v>-3.0000000000001137E-2</v>
      </c>
      <c r="Q934" s="85">
        <f>SUMIF(Table25[[#All],[Assets]],Table25[[#This Row],[Assets]],Table25[[#All],[Number of stocks]])</f>
        <v>0</v>
      </c>
    </row>
    <row r="935" spans="1:17">
      <c r="A935" t="e" vm="536">
        <v>#VALUE!</v>
      </c>
      <c r="B935" s="2">
        <v>45726</v>
      </c>
      <c r="C935" t="str" cm="1">
        <f t="array" aca="1" ref="C935" ca="1">_FV(A935,"Ticker symbol",TRUE)</f>
        <v>PATH</v>
      </c>
      <c r="D935" s="4">
        <v>12.36</v>
      </c>
      <c r="E935" s="50">
        <v>-45</v>
      </c>
      <c r="F935" s="81">
        <f>IF(Table25[[#This Row],[Number of stocks]]&gt;0,Table25[[#This Row],[Number of stocks]],0)</f>
        <v>0</v>
      </c>
      <c r="G935" s="73">
        <f>Table25[[#This Row],[Bought]]*Table25[[#This Row],[Price]]</f>
        <v>0</v>
      </c>
      <c r="H935">
        <f>SUMIF(Table25[[#All],[Assets]],Table25[[#This Row],[Assets]],Table25[[#All],[Bought]])</f>
        <v>157</v>
      </c>
      <c r="I935">
        <f>SUMIF(Table25[[#All],[Assets]],Table25[[#This Row],[Assets]],Table25[[#All],[Bought Amount]])</f>
        <v>2144.77</v>
      </c>
      <c r="J935" s="88">
        <f>IF(Table25[[#This Row],[Number of stocks]]&lt;0,Table25[[#This Row],[Number of stocks]],0)</f>
        <v>-45</v>
      </c>
      <c r="K935" s="5">
        <f>Table25[[#This Row],[Sold]]*Table25[[#This Row],[Price]]</f>
        <v>-556.19999999999993</v>
      </c>
      <c r="L935" s="8">
        <f>ABS(SUMIF(Table25[[#All],[Assets]],Table25[[#This Row],[Assets]],Table25[[#All],[Sold]]))</f>
        <v>157</v>
      </c>
      <c r="M935" s="5">
        <f>ABS(SUMIF(Table25[[#All],[Assets]],Table25[[#This Row],[Assets]],Table25[[#All],[Sold Amount]]))</f>
        <v>1989.9099999999999</v>
      </c>
      <c r="N935" s="5">
        <f>IFERROR(Table25[[#This Row],[Total sold amount]]/Table25[[#This Row],[Total Sold number of stocks]],"")</f>
        <v>12.674585987261146</v>
      </c>
      <c r="O935" s="4">
        <f>IFERROR(Table25[[#This Row],[Total Amount bought]]/Table25[[#This Row],[Total number bought]],"")</f>
        <v>13.660955414012738</v>
      </c>
      <c r="P935" s="4">
        <f>IFERROR((Table25[[#This Row],[Average sell price]]-Table25[[#This Row],[Average buy price]])*Table25[[#This Row],[Total Sold number of stocks]],0)</f>
        <v>-154.85999999999996</v>
      </c>
      <c r="Q935" s="85">
        <f>SUMIF(Table25[[#All],[Assets]],Table25[[#This Row],[Assets]],Table25[[#All],[Number of stocks]])</f>
        <v>0</v>
      </c>
    </row>
    <row r="936" spans="1:17">
      <c r="A936" t="e" vm="537">
        <v>#VALUE!</v>
      </c>
      <c r="B936" s="2">
        <v>45726</v>
      </c>
      <c r="C936" t="str" cm="1">
        <f t="array" aca="1" ref="C936" ca="1">_FV(A936,"Ticker symbol",TRUE)</f>
        <v>ADSK</v>
      </c>
      <c r="D936" s="4">
        <v>254.02</v>
      </c>
      <c r="E936" s="50">
        <v>-1</v>
      </c>
      <c r="F936" s="81">
        <f>IF(Table25[[#This Row],[Number of stocks]]&gt;0,Table25[[#This Row],[Number of stocks]],0)</f>
        <v>0</v>
      </c>
      <c r="G936" s="73">
        <f>Table25[[#This Row],[Bought]]*Table25[[#This Row],[Price]]</f>
        <v>0</v>
      </c>
      <c r="H936">
        <f>SUMIF(Table25[[#All],[Assets]],Table25[[#This Row],[Assets]],Table25[[#All],[Bought]])</f>
        <v>1</v>
      </c>
      <c r="I936">
        <f>SUMIF(Table25[[#All],[Assets]],Table25[[#This Row],[Assets]],Table25[[#All],[Bought Amount]])</f>
        <v>327.81</v>
      </c>
      <c r="J936" s="88">
        <f>IF(Table25[[#This Row],[Number of stocks]]&lt;0,Table25[[#This Row],[Number of stocks]],0)</f>
        <v>-1</v>
      </c>
      <c r="K936" s="5">
        <f>Table25[[#This Row],[Sold]]*Table25[[#This Row],[Price]]</f>
        <v>-254.02</v>
      </c>
      <c r="L936" s="8">
        <f>ABS(SUMIF(Table25[[#All],[Assets]],Table25[[#This Row],[Assets]],Table25[[#All],[Sold]]))</f>
        <v>1</v>
      </c>
      <c r="M936" s="5">
        <f>ABS(SUMIF(Table25[[#All],[Assets]],Table25[[#This Row],[Assets]],Table25[[#All],[Sold Amount]]))</f>
        <v>254.02</v>
      </c>
      <c r="N936" s="5">
        <f>IFERROR(Table25[[#This Row],[Total sold amount]]/Table25[[#This Row],[Total Sold number of stocks]],"")</f>
        <v>254.02</v>
      </c>
      <c r="O936" s="4">
        <f>IFERROR(Table25[[#This Row],[Total Amount bought]]/Table25[[#This Row],[Total number bought]],"")</f>
        <v>327.81</v>
      </c>
      <c r="P936" s="4">
        <f>IFERROR((Table25[[#This Row],[Average sell price]]-Table25[[#This Row],[Average buy price]])*Table25[[#This Row],[Total Sold number of stocks]],0)</f>
        <v>-73.789999999999992</v>
      </c>
      <c r="Q936" s="85">
        <f>SUMIF(Table25[[#All],[Assets]],Table25[[#This Row],[Assets]],Table25[[#All],[Number of stocks]])</f>
        <v>0</v>
      </c>
    </row>
    <row r="937" spans="1:17">
      <c r="A937" t="e" vm="203">
        <v>#VALUE!</v>
      </c>
      <c r="B937" s="2">
        <v>45726</v>
      </c>
      <c r="C937" t="str" cm="1">
        <f t="array" aca="1" ref="C937" ca="1">_FV(A937,"Ticker symbol",TRUE)</f>
        <v>TWLO</v>
      </c>
      <c r="D937" s="4">
        <v>101.67</v>
      </c>
      <c r="E937" s="50">
        <v>-5</v>
      </c>
      <c r="F937" s="81">
        <f>IF(Table25[[#This Row],[Number of stocks]]&gt;0,Table25[[#This Row],[Number of stocks]],0)</f>
        <v>0</v>
      </c>
      <c r="G937" s="73">
        <f>Table25[[#This Row],[Bought]]*Table25[[#This Row],[Price]]</f>
        <v>0</v>
      </c>
      <c r="H937">
        <f>SUMIF(Table25[[#All],[Assets]],Table25[[#This Row],[Assets]],Table25[[#All],[Bought]])</f>
        <v>64</v>
      </c>
      <c r="I937">
        <f>SUMIF(Table25[[#All],[Assets]],Table25[[#This Row],[Assets]],Table25[[#All],[Bought Amount]])</f>
        <v>7733.8899999999994</v>
      </c>
      <c r="J937" s="88">
        <f>IF(Table25[[#This Row],[Number of stocks]]&lt;0,Table25[[#This Row],[Number of stocks]],0)</f>
        <v>-5</v>
      </c>
      <c r="K937" s="5">
        <f>Table25[[#This Row],[Sold]]*Table25[[#This Row],[Price]]</f>
        <v>-508.35</v>
      </c>
      <c r="L937" s="8">
        <f>ABS(SUMIF(Table25[[#All],[Assets]],Table25[[#This Row],[Assets]],Table25[[#All],[Sold]]))</f>
        <v>64</v>
      </c>
      <c r="M937" s="5">
        <f>ABS(SUMIF(Table25[[#All],[Assets]],Table25[[#This Row],[Assets]],Table25[[#All],[Sold Amount]]))</f>
        <v>7331.26</v>
      </c>
      <c r="N937" s="5">
        <f>IFERROR(Table25[[#This Row],[Total sold amount]]/Table25[[#This Row],[Total Sold number of stocks]],"")</f>
        <v>114.5509375</v>
      </c>
      <c r="O937" s="4">
        <f>IFERROR(Table25[[#This Row],[Total Amount bought]]/Table25[[#This Row],[Total number bought]],"")</f>
        <v>120.84203124999999</v>
      </c>
      <c r="P937" s="4">
        <f>IFERROR((Table25[[#This Row],[Average sell price]]-Table25[[#This Row],[Average buy price]])*Table25[[#This Row],[Total Sold number of stocks]],0)</f>
        <v>-402.6299999999992</v>
      </c>
      <c r="Q937" s="85">
        <f>SUMIF(Table25[[#All],[Assets]],Table25[[#This Row],[Assets]],Table25[[#All],[Number of stocks]])</f>
        <v>0</v>
      </c>
    </row>
    <row r="938" spans="1:17">
      <c r="A938" t="e" vm="326">
        <v>#VALUE!</v>
      </c>
      <c r="B938" s="2">
        <v>45726</v>
      </c>
      <c r="C938" t="str" cm="1">
        <f t="array" aca="1" ref="C938" ca="1">_FV(A938,"Ticker symbol",TRUE)</f>
        <v>SMTC</v>
      </c>
      <c r="D938" s="4">
        <v>32.130000000000003</v>
      </c>
      <c r="E938" s="50">
        <v>-15</v>
      </c>
      <c r="F938" s="81">
        <f>IF(Table25[[#This Row],[Number of stocks]]&gt;0,Table25[[#This Row],[Number of stocks]],0)</f>
        <v>0</v>
      </c>
      <c r="G938" s="73">
        <f>Table25[[#This Row],[Bought]]*Table25[[#This Row],[Price]]</f>
        <v>0</v>
      </c>
      <c r="H938">
        <f>SUMIF(Table25[[#All],[Assets]],Table25[[#This Row],[Assets]],Table25[[#All],[Bought]])</f>
        <v>22</v>
      </c>
      <c r="I938">
        <f>SUMIF(Table25[[#All],[Assets]],Table25[[#This Row],[Assets]],Table25[[#All],[Bought Amount]])</f>
        <v>1101.26</v>
      </c>
      <c r="J938" s="88">
        <f>IF(Table25[[#This Row],[Number of stocks]]&lt;0,Table25[[#This Row],[Number of stocks]],0)</f>
        <v>-15</v>
      </c>
      <c r="K938" s="5">
        <f>Table25[[#This Row],[Sold]]*Table25[[#This Row],[Price]]</f>
        <v>-481.95000000000005</v>
      </c>
      <c r="L938" s="8">
        <f>ABS(SUMIF(Table25[[#All],[Assets]],Table25[[#This Row],[Assets]],Table25[[#All],[Sold]]))</f>
        <v>15</v>
      </c>
      <c r="M938" s="5">
        <f>ABS(SUMIF(Table25[[#All],[Assets]],Table25[[#This Row],[Assets]],Table25[[#All],[Sold Amount]]))</f>
        <v>481.95000000000005</v>
      </c>
      <c r="N938" s="5">
        <f>IFERROR(Table25[[#This Row],[Total sold amount]]/Table25[[#This Row],[Total Sold number of stocks]],"")</f>
        <v>32.130000000000003</v>
      </c>
      <c r="O938" s="4">
        <f>IFERROR(Table25[[#This Row],[Total Amount bought]]/Table25[[#This Row],[Total number bought]],"")</f>
        <v>50.057272727272725</v>
      </c>
      <c r="P938" s="4">
        <f>IFERROR((Table25[[#This Row],[Average sell price]]-Table25[[#This Row],[Average buy price]])*Table25[[#This Row],[Total Sold number of stocks]],0)</f>
        <v>-268.90909090909082</v>
      </c>
      <c r="Q938" s="85">
        <f>SUMIF(Table25[[#All],[Assets]],Table25[[#This Row],[Assets]],Table25[[#All],[Number of stocks]])</f>
        <v>7</v>
      </c>
    </row>
    <row r="939" spans="1:17">
      <c r="A939" t="e" vm="546">
        <v>#VALUE!</v>
      </c>
      <c r="B939" s="2">
        <v>45726</v>
      </c>
      <c r="C939" t="str" cm="1">
        <f t="array" aca="1" ref="C939" ca="1">_FV(A939,"Ticker symbol",TRUE)</f>
        <v>RCEL</v>
      </c>
      <c r="D939" s="4">
        <v>8.15</v>
      </c>
      <c r="E939" s="50">
        <v>-40</v>
      </c>
      <c r="F939" s="81">
        <f>IF(Table25[[#This Row],[Number of stocks]]&gt;0,Table25[[#This Row],[Number of stocks]],0)</f>
        <v>0</v>
      </c>
      <c r="G939" s="73">
        <f>Table25[[#This Row],[Bought]]*Table25[[#This Row],[Price]]</f>
        <v>0</v>
      </c>
      <c r="H939">
        <f>SUMIF(Table25[[#All],[Assets]],Table25[[#This Row],[Assets]],Table25[[#All],[Bought]])</f>
        <v>68</v>
      </c>
      <c r="I939">
        <f>SUMIF(Table25[[#All],[Assets]],Table25[[#This Row],[Assets]],Table25[[#All],[Bought Amount]])</f>
        <v>726.48</v>
      </c>
      <c r="J939" s="88">
        <f>IF(Table25[[#This Row],[Number of stocks]]&lt;0,Table25[[#This Row],[Number of stocks]],0)</f>
        <v>-40</v>
      </c>
      <c r="K939" s="5">
        <f>Table25[[#This Row],[Sold]]*Table25[[#This Row],[Price]]</f>
        <v>-326</v>
      </c>
      <c r="L939" s="8">
        <f>ABS(SUMIF(Table25[[#All],[Assets]],Table25[[#This Row],[Assets]],Table25[[#All],[Sold]]))</f>
        <v>68</v>
      </c>
      <c r="M939" s="5">
        <f>ABS(SUMIF(Table25[[#All],[Assets]],Table25[[#This Row],[Assets]],Table25[[#All],[Sold Amount]]))</f>
        <v>554.20000000000005</v>
      </c>
      <c r="N939" s="5">
        <f>IFERROR(Table25[[#This Row],[Total sold amount]]/Table25[[#This Row],[Total Sold number of stocks]],"")</f>
        <v>8.15</v>
      </c>
      <c r="O939" s="4">
        <f>IFERROR(Table25[[#This Row],[Total Amount bought]]/Table25[[#This Row],[Total number bought]],"")</f>
        <v>10.683529411764706</v>
      </c>
      <c r="P939" s="4">
        <f>IFERROR((Table25[[#This Row],[Average sell price]]-Table25[[#This Row],[Average buy price]])*Table25[[#This Row],[Total Sold number of stocks]],0)</f>
        <v>-172.27999999999997</v>
      </c>
      <c r="Q939" s="85">
        <f>SUMIF(Table25[[#All],[Assets]],Table25[[#This Row],[Assets]],Table25[[#All],[Number of stocks]])</f>
        <v>0</v>
      </c>
    </row>
    <row r="940" spans="1:17">
      <c r="A940" t="e" vm="486">
        <v>#VALUE!</v>
      </c>
      <c r="B940" s="2">
        <v>45726</v>
      </c>
      <c r="C940" t="str" cm="1">
        <f t="array" aca="1" ref="C940" ca="1">_FV(A940,"Ticker symbol",TRUE)</f>
        <v>MQ</v>
      </c>
      <c r="D940" s="4">
        <v>4</v>
      </c>
      <c r="E940" s="50">
        <v>-120</v>
      </c>
      <c r="F940" s="81">
        <f>IF(Table25[[#This Row],[Number of stocks]]&gt;0,Table25[[#This Row],[Number of stocks]],0)</f>
        <v>0</v>
      </c>
      <c r="G940" s="73">
        <f>Table25[[#This Row],[Bought]]*Table25[[#This Row],[Price]]</f>
        <v>0</v>
      </c>
      <c r="H940">
        <f>SUMIF(Table25[[#All],[Assets]],Table25[[#This Row],[Assets]],Table25[[#All],[Bought]])</f>
        <v>120</v>
      </c>
      <c r="I940">
        <f>SUMIF(Table25[[#All],[Assets]],Table25[[#This Row],[Assets]],Table25[[#All],[Bought Amount]])</f>
        <v>498.00000000000006</v>
      </c>
      <c r="J940" s="88">
        <f>IF(Table25[[#This Row],[Number of stocks]]&lt;0,Table25[[#This Row],[Number of stocks]],0)</f>
        <v>-120</v>
      </c>
      <c r="K940" s="5">
        <f>Table25[[#This Row],[Sold]]*Table25[[#This Row],[Price]]</f>
        <v>-480</v>
      </c>
      <c r="L940" s="8">
        <f>ABS(SUMIF(Table25[[#All],[Assets]],Table25[[#This Row],[Assets]],Table25[[#All],[Sold]]))</f>
        <v>120</v>
      </c>
      <c r="M940" s="5">
        <f>ABS(SUMIF(Table25[[#All],[Assets]],Table25[[#This Row],[Assets]],Table25[[#All],[Sold Amount]]))</f>
        <v>480</v>
      </c>
      <c r="N940" s="5">
        <f>IFERROR(Table25[[#This Row],[Total sold amount]]/Table25[[#This Row],[Total Sold number of stocks]],"")</f>
        <v>4</v>
      </c>
      <c r="O940" s="4">
        <f>IFERROR(Table25[[#This Row],[Total Amount bought]]/Table25[[#This Row],[Total number bought]],"")</f>
        <v>4.1500000000000004</v>
      </c>
      <c r="P940" s="4">
        <f>IFERROR((Table25[[#This Row],[Average sell price]]-Table25[[#This Row],[Average buy price]])*Table25[[#This Row],[Total Sold number of stocks]],0)</f>
        <v>-18.000000000000043</v>
      </c>
      <c r="Q940" s="85">
        <f>SUMIF(Table25[[#All],[Assets]],Table25[[#This Row],[Assets]],Table25[[#All],[Number of stocks]])</f>
        <v>0</v>
      </c>
    </row>
    <row r="941" spans="1:17">
      <c r="A941" t="e" vm="535">
        <v>#VALUE!</v>
      </c>
      <c r="B941" s="2">
        <v>45726</v>
      </c>
      <c r="C941" t="str" cm="1">
        <f t="array" aca="1" ref="C941" ca="1">_FV(A941,"Ticker symbol",TRUE)</f>
        <v>ONTO</v>
      </c>
      <c r="D941" s="4">
        <v>126.93</v>
      </c>
      <c r="E941" s="50">
        <v>-3</v>
      </c>
      <c r="F941" s="81">
        <f>IF(Table25[[#This Row],[Number of stocks]]&gt;0,Table25[[#This Row],[Number of stocks]],0)</f>
        <v>0</v>
      </c>
      <c r="G941" s="73">
        <f>Table25[[#This Row],[Bought]]*Table25[[#This Row],[Price]]</f>
        <v>0</v>
      </c>
      <c r="H941">
        <f>SUMIF(Table25[[#All],[Assets]],Table25[[#This Row],[Assets]],Table25[[#All],[Bought]])</f>
        <v>6</v>
      </c>
      <c r="I941">
        <f>SUMIF(Table25[[#All],[Assets]],Table25[[#This Row],[Assets]],Table25[[#All],[Bought Amount]])</f>
        <v>1105.98</v>
      </c>
      <c r="J941" s="88">
        <f>IF(Table25[[#This Row],[Number of stocks]]&lt;0,Table25[[#This Row],[Number of stocks]],0)</f>
        <v>-3</v>
      </c>
      <c r="K941" s="5">
        <f>Table25[[#This Row],[Sold]]*Table25[[#This Row],[Price]]</f>
        <v>-380.79</v>
      </c>
      <c r="L941" s="8">
        <f>ABS(SUMIF(Table25[[#All],[Assets]],Table25[[#This Row],[Assets]],Table25[[#All],[Sold]]))</f>
        <v>6</v>
      </c>
      <c r="M941" s="5">
        <f>ABS(SUMIF(Table25[[#All],[Assets]],Table25[[#This Row],[Assets]],Table25[[#All],[Sold Amount]]))</f>
        <v>933.81</v>
      </c>
      <c r="N941" s="5">
        <f>IFERROR(Table25[[#This Row],[Total sold amount]]/Table25[[#This Row],[Total Sold number of stocks]],"")</f>
        <v>155.63499999999999</v>
      </c>
      <c r="O941" s="4">
        <f>IFERROR(Table25[[#This Row],[Total Amount bought]]/Table25[[#This Row],[Total number bought]],"")</f>
        <v>184.33</v>
      </c>
      <c r="P941" s="4">
        <f>IFERROR((Table25[[#This Row],[Average sell price]]-Table25[[#This Row],[Average buy price]])*Table25[[#This Row],[Total Sold number of stocks]],0)</f>
        <v>-172.17000000000013</v>
      </c>
      <c r="Q941" s="85">
        <f>SUMIF(Table25[[#All],[Assets]],Table25[[#This Row],[Assets]],Table25[[#All],[Number of stocks]])</f>
        <v>0</v>
      </c>
    </row>
    <row r="942" spans="1:17">
      <c r="A942" t="e" vm="265">
        <v>#VALUE!</v>
      </c>
      <c r="B942" s="2">
        <v>45726</v>
      </c>
      <c r="C942" t="str" cm="1">
        <f t="array" aca="1" ref="C942" ca="1">_FV(A942,"Ticker symbol",TRUE)</f>
        <v>OBIO</v>
      </c>
      <c r="D942" s="4">
        <v>3.96</v>
      </c>
      <c r="E942" s="50">
        <v>-50</v>
      </c>
      <c r="F942" s="81">
        <f>IF(Table25[[#This Row],[Number of stocks]]&gt;0,Table25[[#This Row],[Number of stocks]],0)</f>
        <v>0</v>
      </c>
      <c r="G942" s="73">
        <f>Table25[[#This Row],[Bought]]*Table25[[#This Row],[Price]]</f>
        <v>0</v>
      </c>
      <c r="H942">
        <f>SUMIF(Table25[[#All],[Assets]],Table25[[#This Row],[Assets]],Table25[[#All],[Bought]])</f>
        <v>100</v>
      </c>
      <c r="I942">
        <f>SUMIF(Table25[[#All],[Assets]],Table25[[#This Row],[Assets]],Table25[[#All],[Bought Amount]])</f>
        <v>554</v>
      </c>
      <c r="J942" s="88">
        <f>IF(Table25[[#This Row],[Number of stocks]]&lt;0,Table25[[#This Row],[Number of stocks]],0)</f>
        <v>-50</v>
      </c>
      <c r="K942" s="5">
        <f>Table25[[#This Row],[Sold]]*Table25[[#This Row],[Price]]</f>
        <v>-198</v>
      </c>
      <c r="L942" s="8">
        <f>ABS(SUMIF(Table25[[#All],[Assets]],Table25[[#This Row],[Assets]],Table25[[#All],[Sold]]))</f>
        <v>100</v>
      </c>
      <c r="M942" s="5">
        <f>ABS(SUMIF(Table25[[#All],[Assets]],Table25[[#This Row],[Assets]],Table25[[#All],[Sold Amount]]))</f>
        <v>349</v>
      </c>
      <c r="N942" s="5">
        <f>IFERROR(Table25[[#This Row],[Total sold amount]]/Table25[[#This Row],[Total Sold number of stocks]],"")</f>
        <v>3.49</v>
      </c>
      <c r="O942" s="4">
        <f>IFERROR(Table25[[#This Row],[Total Amount bought]]/Table25[[#This Row],[Total number bought]],"")</f>
        <v>5.54</v>
      </c>
      <c r="P942" s="4">
        <f>IFERROR((Table25[[#This Row],[Average sell price]]-Table25[[#This Row],[Average buy price]])*Table25[[#This Row],[Total Sold number of stocks]],0)</f>
        <v>-204.99999999999997</v>
      </c>
      <c r="Q942" s="85">
        <f>SUMIF(Table25[[#All],[Assets]],Table25[[#This Row],[Assets]],Table25[[#All],[Number of stocks]])</f>
        <v>0</v>
      </c>
    </row>
    <row r="943" spans="1:17">
      <c r="A943" t="e" vm="281">
        <v>#VALUE!</v>
      </c>
      <c r="B943" s="2">
        <v>45726</v>
      </c>
      <c r="C943" t="str" cm="1">
        <f t="array" aca="1" ref="C943" ca="1">_FV(A943,"Ticker symbol",TRUE)</f>
        <v>ERIC</v>
      </c>
      <c r="D943" s="4">
        <v>8.56</v>
      </c>
      <c r="E943" s="50">
        <v>-30</v>
      </c>
      <c r="F943" s="81">
        <f>IF(Table25[[#This Row],[Number of stocks]]&gt;0,Table25[[#This Row],[Number of stocks]],0)</f>
        <v>0</v>
      </c>
      <c r="G943" s="73">
        <f>Table25[[#This Row],[Bought]]*Table25[[#This Row],[Price]]</f>
        <v>0</v>
      </c>
      <c r="H943">
        <f>SUMIF(Table25[[#All],[Assets]],Table25[[#This Row],[Assets]],Table25[[#All],[Bought]])</f>
        <v>60</v>
      </c>
      <c r="I943">
        <f>SUMIF(Table25[[#All],[Assets]],Table25[[#This Row],[Assets]],Table25[[#All],[Bought Amount]])</f>
        <v>444.6</v>
      </c>
      <c r="J943" s="88">
        <f>IF(Table25[[#This Row],[Number of stocks]]&lt;0,Table25[[#This Row],[Number of stocks]],0)</f>
        <v>-30</v>
      </c>
      <c r="K943" s="5">
        <f>Table25[[#This Row],[Sold]]*Table25[[#This Row],[Price]]</f>
        <v>-256.8</v>
      </c>
      <c r="L943" s="8">
        <f>ABS(SUMIF(Table25[[#All],[Assets]],Table25[[#This Row],[Assets]],Table25[[#All],[Sold]]))</f>
        <v>60</v>
      </c>
      <c r="M943" s="5">
        <f>ABS(SUMIF(Table25[[#All],[Assets]],Table25[[#This Row],[Assets]],Table25[[#All],[Sold Amount]]))</f>
        <v>492.3</v>
      </c>
      <c r="N943" s="5">
        <f>IFERROR(Table25[[#This Row],[Total sold amount]]/Table25[[#This Row],[Total Sold number of stocks]],"")</f>
        <v>8.2050000000000001</v>
      </c>
      <c r="O943" s="4">
        <f>IFERROR(Table25[[#This Row],[Total Amount bought]]/Table25[[#This Row],[Total number bought]],"")</f>
        <v>7.41</v>
      </c>
      <c r="P943" s="4">
        <f>IFERROR((Table25[[#This Row],[Average sell price]]-Table25[[#This Row],[Average buy price]])*Table25[[#This Row],[Total Sold number of stocks]],0)</f>
        <v>47.699999999999996</v>
      </c>
      <c r="Q943" s="85">
        <f>SUMIF(Table25[[#All],[Assets]],Table25[[#This Row],[Assets]],Table25[[#All],[Number of stocks]])</f>
        <v>0</v>
      </c>
    </row>
    <row r="944" spans="1:17">
      <c r="A944" t="e" vm="240">
        <v>#VALUE!</v>
      </c>
      <c r="B944" s="2">
        <v>45726</v>
      </c>
      <c r="C944" t="str" cm="1">
        <f t="array" aca="1" ref="C944" ca="1">_FV(A944,"Ticker symbol",TRUE)</f>
        <v>SBSW</v>
      </c>
      <c r="D944" s="4">
        <v>3.79</v>
      </c>
      <c r="E944" s="50">
        <v>-80</v>
      </c>
      <c r="F944" s="81">
        <f>IF(Table25[[#This Row],[Number of stocks]]&gt;0,Table25[[#This Row],[Number of stocks]],0)</f>
        <v>0</v>
      </c>
      <c r="G944" s="73">
        <f>Table25[[#This Row],[Bought]]*Table25[[#This Row],[Price]]</f>
        <v>0</v>
      </c>
      <c r="H944">
        <f>SUMIF(Table25[[#All],[Assets]],Table25[[#This Row],[Assets]],Table25[[#All],[Bought]])</f>
        <v>187</v>
      </c>
      <c r="I944">
        <f>SUMIF(Table25[[#All],[Assets]],Table25[[#This Row],[Assets]],Table25[[#All],[Bought Amount]])</f>
        <v>1654.1</v>
      </c>
      <c r="J944" s="88">
        <f>IF(Table25[[#This Row],[Number of stocks]]&lt;0,Table25[[#This Row],[Number of stocks]],0)</f>
        <v>-80</v>
      </c>
      <c r="K944" s="5">
        <f>Table25[[#This Row],[Sold]]*Table25[[#This Row],[Price]]</f>
        <v>-303.2</v>
      </c>
      <c r="L944" s="8">
        <f>ABS(SUMIF(Table25[[#All],[Assets]],Table25[[#This Row],[Assets]],Table25[[#All],[Sold]]))</f>
        <v>139</v>
      </c>
      <c r="M944" s="5">
        <f>ABS(SUMIF(Table25[[#All],[Assets]],Table25[[#This Row],[Assets]],Table25[[#All],[Sold Amount]]))</f>
        <v>909.86999999999989</v>
      </c>
      <c r="N944" s="5">
        <f>IFERROR(Table25[[#This Row],[Total sold amount]]/Table25[[#This Row],[Total Sold number of stocks]],"")</f>
        <v>6.545827338129496</v>
      </c>
      <c r="O944" s="4">
        <f>IFERROR(Table25[[#This Row],[Total Amount bought]]/Table25[[#This Row],[Total number bought]],"")</f>
        <v>8.8454545454545457</v>
      </c>
      <c r="P944" s="4">
        <f>IFERROR((Table25[[#This Row],[Average sell price]]-Table25[[#This Row],[Average buy price]])*Table25[[#This Row],[Total Sold number of stocks]],0)</f>
        <v>-319.64818181818191</v>
      </c>
      <c r="Q944" s="85">
        <f>SUMIF(Table25[[#All],[Assets]],Table25[[#This Row],[Assets]],Table25[[#All],[Number of stocks]])</f>
        <v>48</v>
      </c>
    </row>
    <row r="945" spans="1:17">
      <c r="A945" t="e" vm="46">
        <v>#VALUE!</v>
      </c>
      <c r="B945" s="2">
        <v>45726</v>
      </c>
      <c r="C945" t="str" cm="1">
        <f t="array" aca="1" ref="C945" ca="1">_FV(A945,"Ticker symbol",TRUE)</f>
        <v>ASPI</v>
      </c>
      <c r="D945" s="4">
        <v>4.1399999999999997</v>
      </c>
      <c r="E945" s="50">
        <v>-200</v>
      </c>
      <c r="F945" s="81">
        <f>IF(Table25[[#This Row],[Number of stocks]]&gt;0,Table25[[#This Row],[Number of stocks]],0)</f>
        <v>0</v>
      </c>
      <c r="G945" s="73">
        <f>Table25[[#This Row],[Bought]]*Table25[[#This Row],[Price]]</f>
        <v>0</v>
      </c>
      <c r="H945">
        <f>SUMIF(Table25[[#All],[Assets]],Table25[[#This Row],[Assets]],Table25[[#All],[Bought]])</f>
        <v>1899</v>
      </c>
      <c r="I945">
        <f>SUMIF(Table25[[#All],[Assets]],Table25[[#This Row],[Assets]],Table25[[#All],[Bought Amount]])</f>
        <v>8555.869999999999</v>
      </c>
      <c r="J945" s="88">
        <f>IF(Table25[[#This Row],[Number of stocks]]&lt;0,Table25[[#This Row],[Number of stocks]],0)</f>
        <v>-200</v>
      </c>
      <c r="K945" s="5">
        <f>Table25[[#This Row],[Sold]]*Table25[[#This Row],[Price]]</f>
        <v>-827.99999999999989</v>
      </c>
      <c r="L945" s="8">
        <f>ABS(SUMIF(Table25[[#All],[Assets]],Table25[[#This Row],[Assets]],Table25[[#All],[Sold]]))</f>
        <v>1599</v>
      </c>
      <c r="M945" s="5">
        <f>ABS(SUMIF(Table25[[#All],[Assets]],Table25[[#This Row],[Assets]],Table25[[#All],[Sold Amount]]))</f>
        <v>8799.17</v>
      </c>
      <c r="N945" s="5">
        <f>IFERROR(Table25[[#This Row],[Total sold amount]]/Table25[[#This Row],[Total Sold number of stocks]],"")</f>
        <v>5.5029205753595996</v>
      </c>
      <c r="O945" s="4">
        <f>IFERROR(Table25[[#This Row],[Total Amount bought]]/Table25[[#This Row],[Total number bought]],"")</f>
        <v>4.5054607688256976</v>
      </c>
      <c r="P945" s="4">
        <f>IFERROR((Table25[[#This Row],[Average sell price]]-Table25[[#This Row],[Average buy price]])*Table25[[#This Row],[Total Sold number of stocks]],0)</f>
        <v>1594.9382306477094</v>
      </c>
      <c r="Q945" s="85">
        <f>SUMIF(Table25[[#All],[Assets]],Table25[[#This Row],[Assets]],Table25[[#All],[Number of stocks]])</f>
        <v>300</v>
      </c>
    </row>
    <row r="946" spans="1:17">
      <c r="A946" t="e" vm="546">
        <v>#VALUE!</v>
      </c>
      <c r="B946" s="2">
        <v>45726</v>
      </c>
      <c r="C946" t="str" cm="1">
        <f t="array" aca="1" ref="C946" ca="1">_FV(A946,"Ticker symbol",TRUE)</f>
        <v>RCEL</v>
      </c>
      <c r="D946" s="4">
        <v>8.15</v>
      </c>
      <c r="E946" s="50">
        <v>-28</v>
      </c>
      <c r="F946" s="81">
        <f>IF(Table25[[#This Row],[Number of stocks]]&gt;0,Table25[[#This Row],[Number of stocks]],0)</f>
        <v>0</v>
      </c>
      <c r="G946" s="73">
        <f>Table25[[#This Row],[Bought]]*Table25[[#This Row],[Price]]</f>
        <v>0</v>
      </c>
      <c r="H946">
        <f>SUMIF(Table25[[#All],[Assets]],Table25[[#This Row],[Assets]],Table25[[#All],[Bought]])</f>
        <v>68</v>
      </c>
      <c r="I946">
        <f>SUMIF(Table25[[#All],[Assets]],Table25[[#This Row],[Assets]],Table25[[#All],[Bought Amount]])</f>
        <v>726.48</v>
      </c>
      <c r="J946" s="88">
        <f>IF(Table25[[#This Row],[Number of stocks]]&lt;0,Table25[[#This Row],[Number of stocks]],0)</f>
        <v>-28</v>
      </c>
      <c r="K946" s="5">
        <f>Table25[[#This Row],[Sold]]*Table25[[#This Row],[Price]]</f>
        <v>-228.20000000000002</v>
      </c>
      <c r="L946" s="8">
        <f>ABS(SUMIF(Table25[[#All],[Assets]],Table25[[#This Row],[Assets]],Table25[[#All],[Sold]]))</f>
        <v>68</v>
      </c>
      <c r="M946" s="5">
        <f>ABS(SUMIF(Table25[[#All],[Assets]],Table25[[#This Row],[Assets]],Table25[[#All],[Sold Amount]]))</f>
        <v>554.20000000000005</v>
      </c>
      <c r="N946" s="5">
        <f>IFERROR(Table25[[#This Row],[Total sold amount]]/Table25[[#This Row],[Total Sold number of stocks]],"")</f>
        <v>8.15</v>
      </c>
      <c r="O946" s="4">
        <f>IFERROR(Table25[[#This Row],[Total Amount bought]]/Table25[[#This Row],[Total number bought]],"")</f>
        <v>10.683529411764706</v>
      </c>
      <c r="P946" s="4">
        <f>IFERROR((Table25[[#This Row],[Average sell price]]-Table25[[#This Row],[Average buy price]])*Table25[[#This Row],[Total Sold number of stocks]],0)</f>
        <v>-172.27999999999997</v>
      </c>
      <c r="Q946" s="85">
        <f>SUMIF(Table25[[#All],[Assets]],Table25[[#This Row],[Assets]],Table25[[#All],[Number of stocks]])</f>
        <v>0</v>
      </c>
    </row>
    <row r="947" spans="1:17">
      <c r="A947" t="e" vm="335">
        <v>#VALUE!</v>
      </c>
      <c r="B947" s="2">
        <v>45726</v>
      </c>
      <c r="C947" t="str" cm="1">
        <f t="array" aca="1" ref="C947" ca="1">_FV(A947,"Ticker symbol",TRUE)</f>
        <v>AMN</v>
      </c>
      <c r="D947" s="4">
        <v>26.52</v>
      </c>
      <c r="E947" s="50">
        <v>-20</v>
      </c>
      <c r="F947" s="81">
        <f>IF(Table25[[#This Row],[Number of stocks]]&gt;0,Table25[[#This Row],[Number of stocks]],0)</f>
        <v>0</v>
      </c>
      <c r="G947" s="73">
        <f>Table25[[#This Row],[Bought]]*Table25[[#This Row],[Price]]</f>
        <v>0</v>
      </c>
      <c r="H947">
        <f>SUMIF(Table25[[#All],[Assets]],Table25[[#This Row],[Assets]],Table25[[#All],[Bought]])</f>
        <v>20</v>
      </c>
      <c r="I947">
        <f>SUMIF(Table25[[#All],[Assets]],Table25[[#This Row],[Assets]],Table25[[#All],[Bought Amount]])</f>
        <v>516</v>
      </c>
      <c r="J947" s="88">
        <f>IF(Table25[[#This Row],[Number of stocks]]&lt;0,Table25[[#This Row],[Number of stocks]],0)</f>
        <v>-20</v>
      </c>
      <c r="K947" s="5">
        <f>Table25[[#This Row],[Sold]]*Table25[[#This Row],[Price]]</f>
        <v>-530.4</v>
      </c>
      <c r="L947" s="8">
        <f>ABS(SUMIF(Table25[[#All],[Assets]],Table25[[#This Row],[Assets]],Table25[[#All],[Sold]]))</f>
        <v>20</v>
      </c>
      <c r="M947" s="5">
        <f>ABS(SUMIF(Table25[[#All],[Assets]],Table25[[#This Row],[Assets]],Table25[[#All],[Sold Amount]]))</f>
        <v>530.4</v>
      </c>
      <c r="N947" s="5">
        <f>IFERROR(Table25[[#This Row],[Total sold amount]]/Table25[[#This Row],[Total Sold number of stocks]],"")</f>
        <v>26.52</v>
      </c>
      <c r="O947" s="4">
        <f>IFERROR(Table25[[#This Row],[Total Amount bought]]/Table25[[#This Row],[Total number bought]],"")</f>
        <v>25.8</v>
      </c>
      <c r="P947" s="4">
        <f>IFERROR((Table25[[#This Row],[Average sell price]]-Table25[[#This Row],[Average buy price]])*Table25[[#This Row],[Total Sold number of stocks]],0)</f>
        <v>14.399999999999977</v>
      </c>
      <c r="Q947" s="85">
        <f>SUMIF(Table25[[#All],[Assets]],Table25[[#This Row],[Assets]],Table25[[#All],[Number of stocks]])</f>
        <v>0</v>
      </c>
    </row>
    <row r="948" spans="1:17">
      <c r="A948" t="e" vm="263">
        <v>#VALUE!</v>
      </c>
      <c r="B948" s="2">
        <v>45726</v>
      </c>
      <c r="C948" t="str" cm="1">
        <f t="array" aca="1" ref="C948" ca="1">_FV(A948,"Ticker symbol",TRUE)</f>
        <v>GDRX</v>
      </c>
      <c r="D948" s="4">
        <v>4.6900000000000004</v>
      </c>
      <c r="E948" s="50">
        <v>-50</v>
      </c>
      <c r="F948" s="81">
        <f>IF(Table25[[#This Row],[Number of stocks]]&gt;0,Table25[[#This Row],[Number of stocks]],0)</f>
        <v>0</v>
      </c>
      <c r="G948" s="73">
        <f>Table25[[#This Row],[Bought]]*Table25[[#This Row],[Price]]</f>
        <v>0</v>
      </c>
      <c r="H948">
        <f>SUMIF(Table25[[#All],[Assets]],Table25[[#This Row],[Assets]],Table25[[#All],[Bought]])</f>
        <v>420</v>
      </c>
      <c r="I948">
        <f>SUMIF(Table25[[#All],[Assets]],Table25[[#This Row],[Assets]],Table25[[#All],[Bought Amount]])</f>
        <v>1907.8000000000002</v>
      </c>
      <c r="J948" s="88">
        <f>IF(Table25[[#This Row],[Number of stocks]]&lt;0,Table25[[#This Row],[Number of stocks]],0)</f>
        <v>-50</v>
      </c>
      <c r="K948" s="5">
        <f>Table25[[#This Row],[Sold]]*Table25[[#This Row],[Price]]</f>
        <v>-234.50000000000003</v>
      </c>
      <c r="L948" s="8">
        <f>ABS(SUMIF(Table25[[#All],[Assets]],Table25[[#This Row],[Assets]],Table25[[#All],[Sold]]))</f>
        <v>420</v>
      </c>
      <c r="M948" s="5">
        <f>ABS(SUMIF(Table25[[#All],[Assets]],Table25[[#This Row],[Assets]],Table25[[#All],[Sold Amount]]))</f>
        <v>1792.2000000000003</v>
      </c>
      <c r="N948" s="5">
        <f>IFERROR(Table25[[#This Row],[Total sold amount]]/Table25[[#This Row],[Total Sold number of stocks]],"")</f>
        <v>4.2671428571428578</v>
      </c>
      <c r="O948" s="4">
        <f>IFERROR(Table25[[#This Row],[Total Amount bought]]/Table25[[#This Row],[Total number bought]],"")</f>
        <v>4.5423809523809524</v>
      </c>
      <c r="P948" s="4">
        <f>IFERROR((Table25[[#This Row],[Average sell price]]-Table25[[#This Row],[Average buy price]])*Table25[[#This Row],[Total Sold number of stocks]],0)</f>
        <v>-115.59999999999974</v>
      </c>
      <c r="Q948" s="85">
        <f>SUMIF(Table25[[#All],[Assets]],Table25[[#This Row],[Assets]],Table25[[#All],[Number of stocks]])</f>
        <v>0</v>
      </c>
    </row>
    <row r="949" spans="1:17">
      <c r="A949" t="e" vm="14">
        <v>#VALUE!</v>
      </c>
      <c r="B949" s="2">
        <v>45726</v>
      </c>
      <c r="C949" t="str" cm="1">
        <f t="array" aca="1" ref="C949" ca="1">_FV(A949,"Ticker symbol",TRUE)</f>
        <v>NVTS</v>
      </c>
      <c r="D949" s="4">
        <v>2.42</v>
      </c>
      <c r="E949" s="50">
        <v>-350</v>
      </c>
      <c r="F949" s="81">
        <f>IF(Table25[[#This Row],[Number of stocks]]&gt;0,Table25[[#This Row],[Number of stocks]],0)</f>
        <v>0</v>
      </c>
      <c r="G949" s="73">
        <f>Table25[[#This Row],[Bought]]*Table25[[#This Row],[Price]]</f>
        <v>0</v>
      </c>
      <c r="H949">
        <f>SUMIF(Table25[[#All],[Assets]],Table25[[#This Row],[Assets]],Table25[[#All],[Bought]])</f>
        <v>453</v>
      </c>
      <c r="I949">
        <f>SUMIF(Table25[[#All],[Assets]],Table25[[#This Row],[Assets]],Table25[[#All],[Bought Amount]])</f>
        <v>1878.11</v>
      </c>
      <c r="J949" s="88">
        <f>IF(Table25[[#This Row],[Number of stocks]]&lt;0,Table25[[#This Row],[Number of stocks]],0)</f>
        <v>-350</v>
      </c>
      <c r="K949" s="5">
        <f>Table25[[#This Row],[Sold]]*Table25[[#This Row],[Price]]</f>
        <v>-847</v>
      </c>
      <c r="L949" s="8">
        <f>ABS(SUMIF(Table25[[#All],[Assets]],Table25[[#This Row],[Assets]],Table25[[#All],[Sold]]))</f>
        <v>410</v>
      </c>
      <c r="M949" s="5">
        <f>ABS(SUMIF(Table25[[#All],[Assets]],Table25[[#This Row],[Assets]],Table25[[#All],[Sold Amount]]))</f>
        <v>1286.2</v>
      </c>
      <c r="N949" s="5">
        <f>IFERROR(Table25[[#This Row],[Total sold amount]]/Table25[[#This Row],[Total Sold number of stocks]],"")</f>
        <v>3.1370731707317074</v>
      </c>
      <c r="O949" s="4">
        <f>IFERROR(Table25[[#This Row],[Total Amount bought]]/Table25[[#This Row],[Total number bought]],"")</f>
        <v>4.1459381898454746</v>
      </c>
      <c r="P949" s="4">
        <f>IFERROR((Table25[[#This Row],[Average sell price]]-Table25[[#This Row],[Average buy price]])*Table25[[#This Row],[Total Sold number of stocks]],0)</f>
        <v>-413.63465783664452</v>
      </c>
      <c r="Q949" s="85">
        <f>SUMIF(Table25[[#All],[Assets]],Table25[[#This Row],[Assets]],Table25[[#All],[Number of stocks]])</f>
        <v>43</v>
      </c>
    </row>
    <row r="950" spans="1:17">
      <c r="A950" t="e" vm="239">
        <v>#VALUE!</v>
      </c>
      <c r="B950" s="2">
        <v>45726</v>
      </c>
      <c r="C950" t="str" cm="1">
        <f t="array" aca="1" ref="C950" ca="1">_FV(A950,"Ticker symbol",TRUE)</f>
        <v>U</v>
      </c>
      <c r="D950" s="4">
        <v>22.55</v>
      </c>
      <c r="E950" s="50">
        <v>-20</v>
      </c>
      <c r="F950" s="81">
        <f>IF(Table25[[#This Row],[Number of stocks]]&gt;0,Table25[[#This Row],[Number of stocks]],0)</f>
        <v>0</v>
      </c>
      <c r="G950" s="73">
        <f>Table25[[#This Row],[Bought]]*Table25[[#This Row],[Price]]</f>
        <v>0</v>
      </c>
      <c r="H950">
        <f>SUMIF(Table25[[#All],[Assets]],Table25[[#This Row],[Assets]],Table25[[#All],[Bought]])</f>
        <v>36</v>
      </c>
      <c r="I950">
        <f>SUMIF(Table25[[#All],[Assets]],Table25[[#This Row],[Assets]],Table25[[#All],[Bought Amount]])</f>
        <v>1027.28</v>
      </c>
      <c r="J950" s="88">
        <f>IF(Table25[[#This Row],[Number of stocks]]&lt;0,Table25[[#This Row],[Number of stocks]],0)</f>
        <v>-20</v>
      </c>
      <c r="K950" s="5">
        <f>Table25[[#This Row],[Sold]]*Table25[[#This Row],[Price]]</f>
        <v>-451</v>
      </c>
      <c r="L950" s="8">
        <f>ABS(SUMIF(Table25[[#All],[Assets]],Table25[[#This Row],[Assets]],Table25[[#All],[Sold]]))</f>
        <v>36</v>
      </c>
      <c r="M950" s="5">
        <f>ABS(SUMIF(Table25[[#All],[Assets]],Table25[[#This Row],[Assets]],Table25[[#All],[Sold Amount]]))</f>
        <v>1089.8800000000001</v>
      </c>
      <c r="N950" s="5">
        <f>IFERROR(Table25[[#This Row],[Total sold amount]]/Table25[[#This Row],[Total Sold number of stocks]],"")</f>
        <v>30.274444444444448</v>
      </c>
      <c r="O950" s="4">
        <f>IFERROR(Table25[[#This Row],[Total Amount bought]]/Table25[[#This Row],[Total number bought]],"")</f>
        <v>28.535555555555554</v>
      </c>
      <c r="P950" s="4">
        <f>IFERROR((Table25[[#This Row],[Average sell price]]-Table25[[#This Row],[Average buy price]])*Table25[[#This Row],[Total Sold number of stocks]],0)</f>
        <v>62.600000000000193</v>
      </c>
      <c r="Q950" s="85">
        <f>SUMIF(Table25[[#All],[Assets]],Table25[[#This Row],[Assets]],Table25[[#All],[Number of stocks]])</f>
        <v>0</v>
      </c>
    </row>
    <row r="951" spans="1:17">
      <c r="A951" t="e" vm="282">
        <v>#VALUE!</v>
      </c>
      <c r="B951" s="2">
        <v>45726</v>
      </c>
      <c r="C951" t="str" cm="1">
        <f t="array" aca="1" ref="C951" ca="1">_FV(A951,"Ticker symbol",TRUE)</f>
        <v>ARQT</v>
      </c>
      <c r="D951" s="4">
        <v>14.46</v>
      </c>
      <c r="E951" s="50">
        <v>-35</v>
      </c>
      <c r="F951" s="81">
        <f>IF(Table25[[#This Row],[Number of stocks]]&gt;0,Table25[[#This Row],[Number of stocks]],0)</f>
        <v>0</v>
      </c>
      <c r="G951" s="73">
        <f>Table25[[#This Row],[Bought]]*Table25[[#This Row],[Price]]</f>
        <v>0</v>
      </c>
      <c r="H951">
        <f>SUMIF(Table25[[#All],[Assets]],Table25[[#This Row],[Assets]],Table25[[#All],[Bought]])</f>
        <v>70</v>
      </c>
      <c r="I951">
        <f>SUMIF(Table25[[#All],[Assets]],Table25[[#This Row],[Assets]],Table25[[#All],[Bought Amount]])</f>
        <v>1048.6000000000001</v>
      </c>
      <c r="J951" s="88">
        <f>IF(Table25[[#This Row],[Number of stocks]]&lt;0,Table25[[#This Row],[Number of stocks]],0)</f>
        <v>-35</v>
      </c>
      <c r="K951" s="5">
        <f>Table25[[#This Row],[Sold]]*Table25[[#This Row],[Price]]</f>
        <v>-506.1</v>
      </c>
      <c r="L951" s="8">
        <f>ABS(SUMIF(Table25[[#All],[Assets]],Table25[[#This Row],[Assets]],Table25[[#All],[Sold]]))</f>
        <v>70</v>
      </c>
      <c r="M951" s="5">
        <f>ABS(SUMIF(Table25[[#All],[Assets]],Table25[[#This Row],[Assets]],Table25[[#All],[Sold Amount]]))</f>
        <v>985.95</v>
      </c>
      <c r="N951" s="5">
        <f>IFERROR(Table25[[#This Row],[Total sold amount]]/Table25[[#This Row],[Total Sold number of stocks]],"")</f>
        <v>14.085000000000001</v>
      </c>
      <c r="O951" s="4">
        <f>IFERROR(Table25[[#This Row],[Total Amount bought]]/Table25[[#This Row],[Total number bought]],"")</f>
        <v>14.980000000000002</v>
      </c>
      <c r="P951" s="4">
        <f>IFERROR((Table25[[#This Row],[Average sell price]]-Table25[[#This Row],[Average buy price]])*Table25[[#This Row],[Total Sold number of stocks]],0)</f>
        <v>-62.650000000000091</v>
      </c>
      <c r="Q951" s="85">
        <f>SUMIF(Table25[[#All],[Assets]],Table25[[#This Row],[Assets]],Table25[[#All],[Number of stocks]])</f>
        <v>0</v>
      </c>
    </row>
    <row r="952" spans="1:17">
      <c r="A952" t="e" vm="514">
        <v>#VALUE!</v>
      </c>
      <c r="B952" s="2">
        <v>45726</v>
      </c>
      <c r="C952" t="str" cm="1">
        <f t="array" aca="1" ref="C952" ca="1">_FV(A952,"Ticker symbol",TRUE)</f>
        <v>PTLO</v>
      </c>
      <c r="D952" s="4">
        <v>14.25</v>
      </c>
      <c r="E952" s="50">
        <v>-50</v>
      </c>
      <c r="F952" s="81">
        <f>IF(Table25[[#This Row],[Number of stocks]]&gt;0,Table25[[#This Row],[Number of stocks]],0)</f>
        <v>0</v>
      </c>
      <c r="G952" s="73">
        <f>Table25[[#This Row],[Bought]]*Table25[[#This Row],[Price]]</f>
        <v>0</v>
      </c>
      <c r="H952">
        <f>SUMIF(Table25[[#All],[Assets]],Table25[[#This Row],[Assets]],Table25[[#All],[Bought]])</f>
        <v>200</v>
      </c>
      <c r="I952">
        <f>SUMIF(Table25[[#All],[Assets]],Table25[[#This Row],[Assets]],Table25[[#All],[Bought Amount]])</f>
        <v>1914</v>
      </c>
      <c r="J952" s="88">
        <f>IF(Table25[[#This Row],[Number of stocks]]&lt;0,Table25[[#This Row],[Number of stocks]],0)</f>
        <v>-50</v>
      </c>
      <c r="K952" s="5">
        <f>Table25[[#This Row],[Sold]]*Table25[[#This Row],[Price]]</f>
        <v>-712.5</v>
      </c>
      <c r="L952" s="8">
        <f>ABS(SUMIF(Table25[[#All],[Assets]],Table25[[#This Row],[Assets]],Table25[[#All],[Sold]]))</f>
        <v>200</v>
      </c>
      <c r="M952" s="5">
        <f>ABS(SUMIF(Table25[[#All],[Assets]],Table25[[#This Row],[Assets]],Table25[[#All],[Sold Amount]]))</f>
        <v>2685.5</v>
      </c>
      <c r="N952" s="5">
        <f>IFERROR(Table25[[#This Row],[Total sold amount]]/Table25[[#This Row],[Total Sold number of stocks]],"")</f>
        <v>13.4275</v>
      </c>
      <c r="O952" s="4">
        <f>IFERROR(Table25[[#This Row],[Total Amount bought]]/Table25[[#This Row],[Total number bought]],"")</f>
        <v>9.57</v>
      </c>
      <c r="P952" s="4">
        <f>IFERROR((Table25[[#This Row],[Average sell price]]-Table25[[#This Row],[Average buy price]])*Table25[[#This Row],[Total Sold number of stocks]],0)</f>
        <v>771.5</v>
      </c>
      <c r="Q952" s="85">
        <f>SUMIF(Table25[[#All],[Assets]],Table25[[#This Row],[Assets]],Table25[[#All],[Number of stocks]])</f>
        <v>0</v>
      </c>
    </row>
    <row r="953" spans="1:17">
      <c r="A953" t="e" vm="32">
        <v>#VALUE!</v>
      </c>
      <c r="B953" s="2">
        <v>45726</v>
      </c>
      <c r="C953" t="str" cm="1">
        <f t="array" aca="1" ref="C953" ca="1">_FV(A953,"Ticker symbol",TRUE)</f>
        <v>MU</v>
      </c>
      <c r="D953" s="4">
        <v>90.12</v>
      </c>
      <c r="E953" s="50">
        <v>-5</v>
      </c>
      <c r="F953" s="81">
        <f>IF(Table25[[#This Row],[Number of stocks]]&gt;0,Table25[[#This Row],[Number of stocks]],0)</f>
        <v>0</v>
      </c>
      <c r="G953" s="73">
        <f>Table25[[#This Row],[Bought]]*Table25[[#This Row],[Price]]</f>
        <v>0</v>
      </c>
      <c r="H953">
        <f>SUMIF(Table25[[#All],[Assets]],Table25[[#This Row],[Assets]],Table25[[#All],[Bought]])</f>
        <v>59</v>
      </c>
      <c r="I953">
        <f>SUMIF(Table25[[#All],[Assets]],Table25[[#This Row],[Assets]],Table25[[#All],[Bought Amount]])</f>
        <v>6964.04</v>
      </c>
      <c r="J953" s="88">
        <f>IF(Table25[[#This Row],[Number of stocks]]&lt;0,Table25[[#This Row],[Number of stocks]],0)</f>
        <v>-5</v>
      </c>
      <c r="K953" s="5">
        <f>Table25[[#This Row],[Sold]]*Table25[[#This Row],[Price]]</f>
        <v>-450.6</v>
      </c>
      <c r="L953" s="8">
        <f>ABS(SUMIF(Table25[[#All],[Assets]],Table25[[#This Row],[Assets]],Table25[[#All],[Sold]]))</f>
        <v>58</v>
      </c>
      <c r="M953" s="5">
        <f>ABS(SUMIF(Table25[[#All],[Assets]],Table25[[#This Row],[Assets]],Table25[[#All],[Sold Amount]]))</f>
        <v>6974.51</v>
      </c>
      <c r="N953" s="5">
        <f>IFERROR(Table25[[#This Row],[Total sold amount]]/Table25[[#This Row],[Total Sold number of stocks]],"")</f>
        <v>120.25017241379311</v>
      </c>
      <c r="O953" s="4">
        <f>IFERROR(Table25[[#This Row],[Total Amount bought]]/Table25[[#This Row],[Total number bought]],"")</f>
        <v>118.03457627118644</v>
      </c>
      <c r="P953" s="4">
        <f>IFERROR((Table25[[#This Row],[Average sell price]]-Table25[[#This Row],[Average buy price]])*Table25[[#This Row],[Total Sold number of stocks]],0)</f>
        <v>128.50457627118692</v>
      </c>
      <c r="Q953" s="85">
        <f>SUMIF(Table25[[#All],[Assets]],Table25[[#This Row],[Assets]],Table25[[#All],[Number of stocks]])</f>
        <v>1</v>
      </c>
    </row>
    <row r="954" spans="1:17">
      <c r="A954" t="e" vm="542">
        <v>#VALUE!</v>
      </c>
      <c r="B954" s="2">
        <v>45726</v>
      </c>
      <c r="C954" t="str" cm="1">
        <f t="array" aca="1" ref="C954" ca="1">_FV(A954,"Ticker symbol",TRUE)</f>
        <v>LPRO</v>
      </c>
      <c r="D954" s="4">
        <v>4.71</v>
      </c>
      <c r="E954" s="50">
        <v>-150</v>
      </c>
      <c r="F954" s="81">
        <f>IF(Table25[[#This Row],[Number of stocks]]&gt;0,Table25[[#This Row],[Number of stocks]],0)</f>
        <v>0</v>
      </c>
      <c r="G954" s="73">
        <f>Table25[[#This Row],[Bought]]*Table25[[#This Row],[Price]]</f>
        <v>0</v>
      </c>
      <c r="H954">
        <f>SUMIF(Table25[[#All],[Assets]],Table25[[#This Row],[Assets]],Table25[[#All],[Bought]])</f>
        <v>150</v>
      </c>
      <c r="I954">
        <f>SUMIF(Table25[[#All],[Assets]],Table25[[#This Row],[Assets]],Table25[[#All],[Bought Amount]])</f>
        <v>979.5</v>
      </c>
      <c r="J954" s="88">
        <f>IF(Table25[[#This Row],[Number of stocks]]&lt;0,Table25[[#This Row],[Number of stocks]],0)</f>
        <v>-150</v>
      </c>
      <c r="K954" s="5">
        <f>Table25[[#This Row],[Sold]]*Table25[[#This Row],[Price]]</f>
        <v>-706.5</v>
      </c>
      <c r="L954" s="8">
        <f>ABS(SUMIF(Table25[[#All],[Assets]],Table25[[#This Row],[Assets]],Table25[[#All],[Sold]]))</f>
        <v>150</v>
      </c>
      <c r="M954" s="5">
        <f>ABS(SUMIF(Table25[[#All],[Assets]],Table25[[#This Row],[Assets]],Table25[[#All],[Sold Amount]]))</f>
        <v>706.5</v>
      </c>
      <c r="N954" s="5">
        <f>IFERROR(Table25[[#This Row],[Total sold amount]]/Table25[[#This Row],[Total Sold number of stocks]],"")</f>
        <v>4.71</v>
      </c>
      <c r="O954" s="4">
        <f>IFERROR(Table25[[#This Row],[Total Amount bought]]/Table25[[#This Row],[Total number bought]],"")</f>
        <v>6.53</v>
      </c>
      <c r="P954" s="4">
        <f>IFERROR((Table25[[#This Row],[Average sell price]]-Table25[[#This Row],[Average buy price]])*Table25[[#This Row],[Total Sold number of stocks]],0)</f>
        <v>-273.00000000000006</v>
      </c>
      <c r="Q954" s="85">
        <f>SUMIF(Table25[[#All],[Assets]],Table25[[#This Row],[Assets]],Table25[[#All],[Number of stocks]])</f>
        <v>0</v>
      </c>
    </row>
    <row r="955" spans="1:17">
      <c r="A955" t="e" vm="295">
        <v>#VALUE!</v>
      </c>
      <c r="B955" s="2">
        <v>45726</v>
      </c>
      <c r="C955" t="str" cm="1">
        <f t="array" aca="1" ref="C955" ca="1">_FV(A955,"Ticker symbol",TRUE)</f>
        <v>MCHP</v>
      </c>
      <c r="D955" s="4">
        <v>55.71</v>
      </c>
      <c r="E955" s="50">
        <v>-10</v>
      </c>
      <c r="F955" s="81">
        <f>IF(Table25[[#This Row],[Number of stocks]]&gt;0,Table25[[#This Row],[Number of stocks]],0)</f>
        <v>0</v>
      </c>
      <c r="G955" s="73">
        <f>Table25[[#This Row],[Bought]]*Table25[[#This Row],[Price]]</f>
        <v>0</v>
      </c>
      <c r="H955">
        <f>SUMIF(Table25[[#All],[Assets]],Table25[[#This Row],[Assets]],Table25[[#All],[Bought]])</f>
        <v>19</v>
      </c>
      <c r="I955">
        <f>SUMIF(Table25[[#All],[Assets]],Table25[[#This Row],[Assets]],Table25[[#All],[Bought Amount]])</f>
        <v>1054.31</v>
      </c>
      <c r="J955" s="88">
        <f>IF(Table25[[#This Row],[Number of stocks]]&lt;0,Table25[[#This Row],[Number of stocks]],0)</f>
        <v>-10</v>
      </c>
      <c r="K955" s="5">
        <f>Table25[[#This Row],[Sold]]*Table25[[#This Row],[Price]]</f>
        <v>-557.1</v>
      </c>
      <c r="L955" s="8">
        <f>ABS(SUMIF(Table25[[#All],[Assets]],Table25[[#This Row],[Assets]],Table25[[#All],[Sold]]))</f>
        <v>19</v>
      </c>
      <c r="M955" s="5">
        <f>ABS(SUMIF(Table25[[#All],[Assets]],Table25[[#This Row],[Assets]],Table25[[#All],[Sold Amount]]))</f>
        <v>1061.46</v>
      </c>
      <c r="N955" s="5">
        <f>IFERROR(Table25[[#This Row],[Total sold amount]]/Table25[[#This Row],[Total Sold number of stocks]],"")</f>
        <v>55.866315789473688</v>
      </c>
      <c r="O955" s="4">
        <f>IFERROR(Table25[[#This Row],[Total Amount bought]]/Table25[[#This Row],[Total number bought]],"")</f>
        <v>55.489999999999995</v>
      </c>
      <c r="P955" s="4">
        <f>IFERROR((Table25[[#This Row],[Average sell price]]-Table25[[#This Row],[Average buy price]])*Table25[[#This Row],[Total Sold number of stocks]],0)</f>
        <v>7.1500000000001762</v>
      </c>
      <c r="Q955" s="85">
        <f>SUMIF(Table25[[#All],[Assets]],Table25[[#This Row],[Assets]],Table25[[#All],[Number of stocks]])</f>
        <v>0</v>
      </c>
    </row>
    <row r="956" spans="1:17">
      <c r="A956" t="e" vm="303">
        <v>#VALUE!</v>
      </c>
      <c r="B956" s="2">
        <v>45726</v>
      </c>
      <c r="C956" t="str" cm="1">
        <f t="array" aca="1" ref="C956" ca="1">_FV(A956,"Ticker symbol",TRUE)</f>
        <v>POWI</v>
      </c>
      <c r="D956" s="4">
        <v>62.03</v>
      </c>
      <c r="E956" s="50">
        <v>-4</v>
      </c>
      <c r="F956" s="81">
        <f>IF(Table25[[#This Row],[Number of stocks]]&gt;0,Table25[[#This Row],[Number of stocks]],0)</f>
        <v>0</v>
      </c>
      <c r="G956" s="73">
        <f>Table25[[#This Row],[Bought]]*Table25[[#This Row],[Price]]</f>
        <v>0</v>
      </c>
      <c r="H956">
        <f>SUMIF(Table25[[#All],[Assets]],Table25[[#This Row],[Assets]],Table25[[#All],[Bought]])</f>
        <v>4</v>
      </c>
      <c r="I956">
        <f>SUMIF(Table25[[#All],[Assets]],Table25[[#This Row],[Assets]],Table25[[#All],[Bought Amount]])</f>
        <v>236.92</v>
      </c>
      <c r="J956" s="88">
        <f>IF(Table25[[#This Row],[Number of stocks]]&lt;0,Table25[[#This Row],[Number of stocks]],0)</f>
        <v>-4</v>
      </c>
      <c r="K956" s="5">
        <f>Table25[[#This Row],[Sold]]*Table25[[#This Row],[Price]]</f>
        <v>-248.12</v>
      </c>
      <c r="L956" s="8">
        <f>ABS(SUMIF(Table25[[#All],[Assets]],Table25[[#This Row],[Assets]],Table25[[#All],[Sold]]))</f>
        <v>4</v>
      </c>
      <c r="M956" s="5">
        <f>ABS(SUMIF(Table25[[#All],[Assets]],Table25[[#This Row],[Assets]],Table25[[#All],[Sold Amount]]))</f>
        <v>248.12</v>
      </c>
      <c r="N956" s="5">
        <f>IFERROR(Table25[[#This Row],[Total sold amount]]/Table25[[#This Row],[Total Sold number of stocks]],"")</f>
        <v>62.03</v>
      </c>
      <c r="O956" s="4">
        <f>IFERROR(Table25[[#This Row],[Total Amount bought]]/Table25[[#This Row],[Total number bought]],"")</f>
        <v>59.23</v>
      </c>
      <c r="P956" s="4">
        <f>IFERROR((Table25[[#This Row],[Average sell price]]-Table25[[#This Row],[Average buy price]])*Table25[[#This Row],[Total Sold number of stocks]],0)</f>
        <v>11.200000000000017</v>
      </c>
      <c r="Q956" s="85">
        <f>SUMIF(Table25[[#All],[Assets]],Table25[[#This Row],[Assets]],Table25[[#All],[Number of stocks]])</f>
        <v>0</v>
      </c>
    </row>
    <row r="957" spans="1:17">
      <c r="A957" t="e" vm="9">
        <v>#VALUE!</v>
      </c>
      <c r="B957" s="2">
        <v>45726</v>
      </c>
      <c r="C957" t="str" cm="1">
        <f t="array" aca="1" ref="C957" ca="1">_FV(A957,"Ticker symbol",TRUE)</f>
        <v>TDY</v>
      </c>
      <c r="D957" s="4">
        <v>479.12</v>
      </c>
      <c r="E957" s="50">
        <v>-1</v>
      </c>
      <c r="F957" s="81">
        <f>IF(Table25[[#This Row],[Number of stocks]]&gt;0,Table25[[#This Row],[Number of stocks]],0)</f>
        <v>0</v>
      </c>
      <c r="G957" s="73">
        <f>Table25[[#This Row],[Bought]]*Table25[[#This Row],[Price]]</f>
        <v>0</v>
      </c>
      <c r="H957">
        <f>SUMIF(Table25[[#All],[Assets]],Table25[[#This Row],[Assets]],Table25[[#All],[Bought]])</f>
        <v>1</v>
      </c>
      <c r="I957">
        <f>SUMIF(Table25[[#All],[Assets]],Table25[[#This Row],[Assets]],Table25[[#All],[Bought Amount]])</f>
        <v>508.58</v>
      </c>
      <c r="J957" s="88">
        <f>IF(Table25[[#This Row],[Number of stocks]]&lt;0,Table25[[#This Row],[Number of stocks]],0)</f>
        <v>-1</v>
      </c>
      <c r="K957" s="5">
        <f>Table25[[#This Row],[Sold]]*Table25[[#This Row],[Price]]</f>
        <v>-479.12</v>
      </c>
      <c r="L957" s="8">
        <f>ABS(SUMIF(Table25[[#All],[Assets]],Table25[[#This Row],[Assets]],Table25[[#All],[Sold]]))</f>
        <v>1</v>
      </c>
      <c r="M957" s="5">
        <f>ABS(SUMIF(Table25[[#All],[Assets]],Table25[[#This Row],[Assets]],Table25[[#All],[Sold Amount]]))</f>
        <v>479.12</v>
      </c>
      <c r="N957" s="5">
        <f>IFERROR(Table25[[#This Row],[Total sold amount]]/Table25[[#This Row],[Total Sold number of stocks]],"")</f>
        <v>479.12</v>
      </c>
      <c r="O957" s="4">
        <f>IFERROR(Table25[[#This Row],[Total Amount bought]]/Table25[[#This Row],[Total number bought]],"")</f>
        <v>508.58</v>
      </c>
      <c r="P957" s="4">
        <f>IFERROR((Table25[[#This Row],[Average sell price]]-Table25[[#This Row],[Average buy price]])*Table25[[#This Row],[Total Sold number of stocks]],0)</f>
        <v>-29.45999999999998</v>
      </c>
      <c r="Q957" s="85">
        <f>SUMIF(Table25[[#All],[Assets]],Table25[[#This Row],[Assets]],Table25[[#All],[Number of stocks]])</f>
        <v>0</v>
      </c>
    </row>
    <row r="958" spans="1:17">
      <c r="A958" t="e" vm="209">
        <v>#VALUE!</v>
      </c>
      <c r="B958" s="2">
        <v>45726</v>
      </c>
      <c r="C958" t="str" cm="1">
        <f t="array" aca="1" ref="C958" ca="1">_FV(A958,"Ticker symbol",TRUE)</f>
        <v>CMTL</v>
      </c>
      <c r="D958" s="4">
        <v>1.98</v>
      </c>
      <c r="E958" s="50">
        <v>400</v>
      </c>
      <c r="F958" s="81">
        <f>IF(Table25[[#This Row],[Number of stocks]]&gt;0,Table25[[#This Row],[Number of stocks]],0)</f>
        <v>400</v>
      </c>
      <c r="G958" s="73">
        <f>Table25[[#This Row],[Bought]]*Table25[[#This Row],[Price]]</f>
        <v>792</v>
      </c>
      <c r="H958">
        <f>SUMIF(Table25[[#All],[Assets]],Table25[[#This Row],[Assets]],Table25[[#All],[Bought]])</f>
        <v>900</v>
      </c>
      <c r="I958">
        <f>SUMIF(Table25[[#All],[Assets]],Table25[[#This Row],[Assets]],Table25[[#All],[Bought Amount]])</f>
        <v>2867</v>
      </c>
      <c r="J958" s="88">
        <f>IF(Table25[[#This Row],[Number of stocks]]&lt;0,Table25[[#This Row],[Number of stocks]],0)</f>
        <v>0</v>
      </c>
      <c r="K958" s="5">
        <f>Table25[[#This Row],[Sold]]*Table25[[#This Row],[Price]]</f>
        <v>0</v>
      </c>
      <c r="L958" s="8">
        <f>ABS(SUMIF(Table25[[#All],[Assets]],Table25[[#This Row],[Assets]],Table25[[#All],[Sold]]))</f>
        <v>800</v>
      </c>
      <c r="M958" s="5">
        <f>ABS(SUMIF(Table25[[#All],[Assets]],Table25[[#This Row],[Assets]],Table25[[#All],[Sold Amount]]))</f>
        <v>1676</v>
      </c>
      <c r="N958" s="5">
        <f>IFERROR(Table25[[#This Row],[Total sold amount]]/Table25[[#This Row],[Total Sold number of stocks]],"")</f>
        <v>2.0950000000000002</v>
      </c>
      <c r="O958" s="4">
        <f>IFERROR(Table25[[#This Row],[Total Amount bought]]/Table25[[#This Row],[Total number bought]],"")</f>
        <v>3.1855555555555557</v>
      </c>
      <c r="P958" s="4">
        <f>IFERROR((Table25[[#This Row],[Average sell price]]-Table25[[#This Row],[Average buy price]])*Table25[[#This Row],[Total Sold number of stocks]],0)</f>
        <v>-872.44444444444434</v>
      </c>
      <c r="Q958" s="85">
        <f>SUMIF(Table25[[#All],[Assets]],Table25[[#This Row],[Assets]],Table25[[#All],[Number of stocks]])</f>
        <v>100</v>
      </c>
    </row>
    <row r="959" spans="1:17">
      <c r="A959" t="e" vm="275">
        <v>#VALUE!</v>
      </c>
      <c r="B959" s="2">
        <v>45726</v>
      </c>
      <c r="C959" t="str" cm="1">
        <f t="array" aca="1" ref="C959" ca="1">_FV(A959,"Ticker symbol",TRUE)</f>
        <v>RBBN</v>
      </c>
      <c r="D959" s="4">
        <v>3.85</v>
      </c>
      <c r="E959" s="50">
        <v>-60</v>
      </c>
      <c r="F959" s="81">
        <f>IF(Table25[[#This Row],[Number of stocks]]&gt;0,Table25[[#This Row],[Number of stocks]],0)</f>
        <v>0</v>
      </c>
      <c r="G959" s="73">
        <f>Table25[[#This Row],[Bought]]*Table25[[#This Row],[Price]]</f>
        <v>0</v>
      </c>
      <c r="H959">
        <f>SUMIF(Table25[[#All],[Assets]],Table25[[#This Row],[Assets]],Table25[[#All],[Bought]])</f>
        <v>120</v>
      </c>
      <c r="I959">
        <f>SUMIF(Table25[[#All],[Assets]],Table25[[#This Row],[Assets]],Table25[[#All],[Bought Amount]])</f>
        <v>379.20000000000005</v>
      </c>
      <c r="J959" s="88">
        <f>IF(Table25[[#This Row],[Number of stocks]]&lt;0,Table25[[#This Row],[Number of stocks]],0)</f>
        <v>-60</v>
      </c>
      <c r="K959" s="5">
        <f>Table25[[#This Row],[Sold]]*Table25[[#This Row],[Price]]</f>
        <v>-231</v>
      </c>
      <c r="L959" s="8">
        <f>ABS(SUMIF(Table25[[#All],[Assets]],Table25[[#This Row],[Assets]],Table25[[#All],[Sold]]))</f>
        <v>120</v>
      </c>
      <c r="M959" s="5">
        <f>ABS(SUMIF(Table25[[#All],[Assets]],Table25[[#This Row],[Assets]],Table25[[#All],[Sold Amount]]))</f>
        <v>459.6</v>
      </c>
      <c r="N959" s="5">
        <f>IFERROR(Table25[[#This Row],[Total sold amount]]/Table25[[#This Row],[Total Sold number of stocks]],"")</f>
        <v>3.83</v>
      </c>
      <c r="O959" s="4">
        <f>IFERROR(Table25[[#This Row],[Total Amount bought]]/Table25[[#This Row],[Total number bought]],"")</f>
        <v>3.1600000000000006</v>
      </c>
      <c r="P959" s="4">
        <f>IFERROR((Table25[[#This Row],[Average sell price]]-Table25[[#This Row],[Average buy price]])*Table25[[#This Row],[Total Sold number of stocks]],0)</f>
        <v>80.399999999999935</v>
      </c>
      <c r="Q959" s="85">
        <f>SUMIF(Table25[[#All],[Assets]],Table25[[#This Row],[Assets]],Table25[[#All],[Number of stocks]])</f>
        <v>0</v>
      </c>
    </row>
    <row r="960" spans="1:17">
      <c r="A960" t="e" vm="205">
        <v>#VALUE!</v>
      </c>
      <c r="B960" s="2">
        <v>45726</v>
      </c>
      <c r="C960" t="str" cm="1">
        <f t="array" aca="1" ref="C960" ca="1">_FV(A960,"Ticker symbol",TRUE)</f>
        <v>NOK</v>
      </c>
      <c r="D960" s="4">
        <v>5.19</v>
      </c>
      <c r="E960" s="50">
        <v>-320</v>
      </c>
      <c r="F960" s="81">
        <f>IF(Table25[[#This Row],[Number of stocks]]&gt;0,Table25[[#This Row],[Number of stocks]],0)</f>
        <v>0</v>
      </c>
      <c r="G960" s="73">
        <f>Table25[[#This Row],[Bought]]*Table25[[#This Row],[Price]]</f>
        <v>0</v>
      </c>
      <c r="H960">
        <f>SUMIF(Table25[[#All],[Assets]],Table25[[#This Row],[Assets]],Table25[[#All],[Bought]])</f>
        <v>455</v>
      </c>
      <c r="I960">
        <f>SUMIF(Table25[[#All],[Assets]],Table25[[#This Row],[Assets]],Table25[[#All],[Bought Amount]])</f>
        <v>2449.6999999999998</v>
      </c>
      <c r="J960" s="88">
        <f>IF(Table25[[#This Row],[Number of stocks]]&lt;0,Table25[[#This Row],[Number of stocks]],0)</f>
        <v>-320</v>
      </c>
      <c r="K960" s="5">
        <f>Table25[[#This Row],[Sold]]*Table25[[#This Row],[Price]]</f>
        <v>-1660.8000000000002</v>
      </c>
      <c r="L960" s="8">
        <f>ABS(SUMIF(Table25[[#All],[Assets]],Table25[[#This Row],[Assets]],Table25[[#All],[Sold]]))</f>
        <v>390</v>
      </c>
      <c r="M960" s="5">
        <f>ABS(SUMIF(Table25[[#All],[Assets]],Table25[[#This Row],[Assets]],Table25[[#All],[Sold Amount]]))</f>
        <v>2112.3000000000002</v>
      </c>
      <c r="N960" s="5">
        <f>IFERROR(Table25[[#This Row],[Total sold amount]]/Table25[[#This Row],[Total Sold number of stocks]],"")</f>
        <v>5.416153846153847</v>
      </c>
      <c r="O960" s="4">
        <f>IFERROR(Table25[[#This Row],[Total Amount bought]]/Table25[[#This Row],[Total number bought]],"")</f>
        <v>5.3839560439560437</v>
      </c>
      <c r="P960" s="4">
        <f>IFERROR((Table25[[#This Row],[Average sell price]]-Table25[[#This Row],[Average buy price]])*Table25[[#This Row],[Total Sold number of stocks]],0)</f>
        <v>12.557142857143297</v>
      </c>
      <c r="Q960" s="85">
        <f>SUMIF(Table25[[#All],[Assets]],Table25[[#This Row],[Assets]],Table25[[#All],[Number of stocks]])</f>
        <v>65</v>
      </c>
    </row>
    <row r="961" spans="1:17">
      <c r="A961" t="e" vm="283">
        <v>#VALUE!</v>
      </c>
      <c r="B961" s="2">
        <v>45726</v>
      </c>
      <c r="C961" t="str" cm="1">
        <f t="array" aca="1" ref="C961" ca="1">_FV(A961,"Ticker symbol",TRUE)</f>
        <v>APH</v>
      </c>
      <c r="D961" s="4">
        <v>61.69</v>
      </c>
      <c r="E961" s="50">
        <v>-2</v>
      </c>
      <c r="F961" s="81">
        <f>IF(Table25[[#This Row],[Number of stocks]]&gt;0,Table25[[#This Row],[Number of stocks]],0)</f>
        <v>0</v>
      </c>
      <c r="G961" s="73">
        <f>Table25[[#This Row],[Bought]]*Table25[[#This Row],[Price]]</f>
        <v>0</v>
      </c>
      <c r="H961">
        <f>SUMIF(Table25[[#All],[Assets]],Table25[[#This Row],[Assets]],Table25[[#All],[Bought]])</f>
        <v>3</v>
      </c>
      <c r="I961">
        <f>SUMIF(Table25[[#All],[Assets]],Table25[[#This Row],[Assets]],Table25[[#All],[Bought Amount]])</f>
        <v>188.82</v>
      </c>
      <c r="J961" s="88">
        <f>IF(Table25[[#This Row],[Number of stocks]]&lt;0,Table25[[#This Row],[Number of stocks]],0)</f>
        <v>-2</v>
      </c>
      <c r="K961" s="5">
        <f>Table25[[#This Row],[Sold]]*Table25[[#This Row],[Price]]</f>
        <v>-123.38</v>
      </c>
      <c r="L961" s="8">
        <f>ABS(SUMIF(Table25[[#All],[Assets]],Table25[[#This Row],[Assets]],Table25[[#All],[Sold]]))</f>
        <v>3</v>
      </c>
      <c r="M961" s="5">
        <f>ABS(SUMIF(Table25[[#All],[Assets]],Table25[[#This Row],[Assets]],Table25[[#All],[Sold Amount]]))</f>
        <v>191.37</v>
      </c>
      <c r="N961" s="5">
        <f>IFERROR(Table25[[#This Row],[Total sold amount]]/Table25[[#This Row],[Total Sold number of stocks]],"")</f>
        <v>63.79</v>
      </c>
      <c r="O961" s="4">
        <f>IFERROR(Table25[[#This Row],[Total Amount bought]]/Table25[[#This Row],[Total number bought]],"")</f>
        <v>62.94</v>
      </c>
      <c r="P961" s="4">
        <f>IFERROR((Table25[[#This Row],[Average sell price]]-Table25[[#This Row],[Average buy price]])*Table25[[#This Row],[Total Sold number of stocks]],0)</f>
        <v>2.5500000000000043</v>
      </c>
      <c r="Q961" s="85">
        <f>SUMIF(Table25[[#All],[Assets]],Table25[[#This Row],[Assets]],Table25[[#All],[Number of stocks]])</f>
        <v>0</v>
      </c>
    </row>
    <row r="962" spans="1:17">
      <c r="A962" t="e" vm="216">
        <v>#VALUE!</v>
      </c>
      <c r="B962" s="2">
        <v>45726</v>
      </c>
      <c r="C962" t="str" cm="1">
        <f t="array" aca="1" ref="C962" ca="1">_FV(A962,"Ticker symbol",TRUE)</f>
        <v>INSG</v>
      </c>
      <c r="D962" s="4">
        <v>8.76</v>
      </c>
      <c r="E962" s="50">
        <v>-100</v>
      </c>
      <c r="F962" s="81">
        <f>IF(Table25[[#This Row],[Number of stocks]]&gt;0,Table25[[#This Row],[Number of stocks]],0)</f>
        <v>0</v>
      </c>
      <c r="G962" s="73">
        <f>Table25[[#This Row],[Bought]]*Table25[[#This Row],[Price]]</f>
        <v>0</v>
      </c>
      <c r="H962">
        <f>SUMIF(Table25[[#All],[Assets]],Table25[[#This Row],[Assets]],Table25[[#All],[Bought]])</f>
        <v>310</v>
      </c>
      <c r="I962">
        <f>SUMIF(Table25[[#All],[Assets]],Table25[[#This Row],[Assets]],Table25[[#All],[Bought Amount]])</f>
        <v>3450.2</v>
      </c>
      <c r="J962" s="88">
        <f>IF(Table25[[#This Row],[Number of stocks]]&lt;0,Table25[[#This Row],[Number of stocks]],0)</f>
        <v>-100</v>
      </c>
      <c r="K962" s="5">
        <f>Table25[[#This Row],[Sold]]*Table25[[#This Row],[Price]]</f>
        <v>-876</v>
      </c>
      <c r="L962" s="8">
        <f>ABS(SUMIF(Table25[[#All],[Assets]],Table25[[#This Row],[Assets]],Table25[[#All],[Sold]]))</f>
        <v>310</v>
      </c>
      <c r="M962" s="5">
        <f>ABS(SUMIF(Table25[[#All],[Assets]],Table25[[#This Row],[Assets]],Table25[[#All],[Sold Amount]]))</f>
        <v>3081.5</v>
      </c>
      <c r="N962" s="5">
        <f>IFERROR(Table25[[#This Row],[Total sold amount]]/Table25[[#This Row],[Total Sold number of stocks]],"")</f>
        <v>9.9403225806451605</v>
      </c>
      <c r="O962" s="4">
        <f>IFERROR(Table25[[#This Row],[Total Amount bought]]/Table25[[#This Row],[Total number bought]],"")</f>
        <v>11.129677419354838</v>
      </c>
      <c r="P962" s="4">
        <f>IFERROR((Table25[[#This Row],[Average sell price]]-Table25[[#This Row],[Average buy price]])*Table25[[#This Row],[Total Sold number of stocks]],0)</f>
        <v>-368.70000000000005</v>
      </c>
      <c r="Q962" s="85">
        <f>SUMIF(Table25[[#All],[Assets]],Table25[[#This Row],[Assets]],Table25[[#All],[Number of stocks]])</f>
        <v>0</v>
      </c>
    </row>
    <row r="963" spans="1:17">
      <c r="A963" t="e" vm="277">
        <v>#VALUE!</v>
      </c>
      <c r="B963" s="2">
        <v>45726</v>
      </c>
      <c r="C963" t="str" cm="1">
        <f t="array" aca="1" ref="C963" ca="1">_FV(A963,"Ticker symbol",TRUE)</f>
        <v>VIAV</v>
      </c>
      <c r="D963" s="4">
        <v>10.67</v>
      </c>
      <c r="E963" s="50">
        <v>-25</v>
      </c>
      <c r="F963" s="81">
        <f>IF(Table25[[#This Row],[Number of stocks]]&gt;0,Table25[[#This Row],[Number of stocks]],0)</f>
        <v>0</v>
      </c>
      <c r="G963" s="73">
        <f>Table25[[#This Row],[Bought]]*Table25[[#This Row],[Price]]</f>
        <v>0</v>
      </c>
      <c r="H963">
        <f>SUMIF(Table25[[#All],[Assets]],Table25[[#This Row],[Assets]],Table25[[#All],[Bought]])</f>
        <v>50</v>
      </c>
      <c r="I963">
        <f>SUMIF(Table25[[#All],[Assets]],Table25[[#This Row],[Assets]],Table25[[#All],[Bought Amount]])</f>
        <v>423.50000000000006</v>
      </c>
      <c r="J963" s="88">
        <f>IF(Table25[[#This Row],[Number of stocks]]&lt;0,Table25[[#This Row],[Number of stocks]],0)</f>
        <v>-25</v>
      </c>
      <c r="K963" s="5">
        <f>Table25[[#This Row],[Sold]]*Table25[[#This Row],[Price]]</f>
        <v>-266.75</v>
      </c>
      <c r="L963" s="8">
        <f>ABS(SUMIF(Table25[[#All],[Assets]],Table25[[#This Row],[Assets]],Table25[[#All],[Sold]]))</f>
        <v>50</v>
      </c>
      <c r="M963" s="5">
        <f>ABS(SUMIF(Table25[[#All],[Assets]],Table25[[#This Row],[Assets]],Table25[[#All],[Sold Amount]]))</f>
        <v>512.75</v>
      </c>
      <c r="N963" s="5">
        <f>IFERROR(Table25[[#This Row],[Total sold amount]]/Table25[[#This Row],[Total Sold number of stocks]],"")</f>
        <v>10.255000000000001</v>
      </c>
      <c r="O963" s="4">
        <f>IFERROR(Table25[[#This Row],[Total Amount bought]]/Table25[[#This Row],[Total number bought]],"")</f>
        <v>8.4700000000000006</v>
      </c>
      <c r="P963" s="4">
        <f>IFERROR((Table25[[#This Row],[Average sell price]]-Table25[[#This Row],[Average buy price]])*Table25[[#This Row],[Total Sold number of stocks]],0)</f>
        <v>89.25</v>
      </c>
      <c r="Q963" s="85">
        <f>SUMIF(Table25[[#All],[Assets]],Table25[[#This Row],[Assets]],Table25[[#All],[Number of stocks]])</f>
        <v>0</v>
      </c>
    </row>
    <row r="964" spans="1:17">
      <c r="A964" t="e" vm="183">
        <v>#VALUE!</v>
      </c>
      <c r="B964" s="2">
        <v>45726</v>
      </c>
      <c r="C964" t="str" cm="1">
        <f t="array" aca="1" ref="C964" ca="1">_FV(A964,"Ticker symbol",TRUE)</f>
        <v>ESOA</v>
      </c>
      <c r="D964" s="4">
        <v>9.24</v>
      </c>
      <c r="E964" s="50">
        <v>110</v>
      </c>
      <c r="F964" s="81">
        <f>IF(Table25[[#This Row],[Number of stocks]]&gt;0,Table25[[#This Row],[Number of stocks]],0)</f>
        <v>110</v>
      </c>
      <c r="G964" s="73">
        <f>Table25[[#This Row],[Bought]]*Table25[[#This Row],[Price]]</f>
        <v>1016.4</v>
      </c>
      <c r="H964">
        <f>SUMIF(Table25[[#All],[Assets]],Table25[[#This Row],[Assets]],Table25[[#All],[Bought]])</f>
        <v>1832</v>
      </c>
      <c r="I964">
        <f>SUMIF(Table25[[#All],[Assets]],Table25[[#This Row],[Assets]],Table25[[#All],[Bought Amount]])</f>
        <v>18152.78</v>
      </c>
      <c r="J964" s="88">
        <f>IF(Table25[[#This Row],[Number of stocks]]&lt;0,Table25[[#This Row],[Number of stocks]],0)</f>
        <v>0</v>
      </c>
      <c r="K964" s="5">
        <f>Table25[[#This Row],[Sold]]*Table25[[#This Row],[Price]]</f>
        <v>0</v>
      </c>
      <c r="L964" s="8">
        <f>ABS(SUMIF(Table25[[#All],[Assets]],Table25[[#This Row],[Assets]],Table25[[#All],[Sold]]))</f>
        <v>1568</v>
      </c>
      <c r="M964" s="5">
        <f>ABS(SUMIF(Table25[[#All],[Assets]],Table25[[#This Row],[Assets]],Table25[[#All],[Sold Amount]]))</f>
        <v>14668</v>
      </c>
      <c r="N964" s="5">
        <f>IFERROR(Table25[[#This Row],[Total sold amount]]/Table25[[#This Row],[Total Sold number of stocks]],"")</f>
        <v>9.3545918367346932</v>
      </c>
      <c r="O964" s="4">
        <f>IFERROR(Table25[[#This Row],[Total Amount bought]]/Table25[[#This Row],[Total number bought]],"")</f>
        <v>9.9087227074235802</v>
      </c>
      <c r="P964" s="4">
        <f>IFERROR((Table25[[#This Row],[Average sell price]]-Table25[[#This Row],[Average buy price]])*Table25[[#This Row],[Total Sold number of stocks]],0)</f>
        <v>-868.87720524017482</v>
      </c>
      <c r="Q964" s="85">
        <f>SUMIF(Table25[[#All],[Assets]],Table25[[#This Row],[Assets]],Table25[[#All],[Number of stocks]])</f>
        <v>264</v>
      </c>
    </row>
    <row r="965" spans="1:17">
      <c r="A965" t="e" vm="77">
        <v>#VALUE!</v>
      </c>
      <c r="B965" s="2">
        <v>45702</v>
      </c>
      <c r="C965" t="str" cm="1">
        <f t="array" aca="1" ref="C965" ca="1">_FV(A965,"Ticker symbol",TRUE)</f>
        <v>STIM</v>
      </c>
      <c r="D965" s="4">
        <v>4.2300000000000004</v>
      </c>
      <c r="E965" s="50">
        <v>-180</v>
      </c>
      <c r="F965" s="81">
        <f>IF(Table25[[#This Row],[Number of stocks]]&gt;0,Table25[[#This Row],[Number of stocks]],0)</f>
        <v>0</v>
      </c>
      <c r="G965" s="73">
        <f>Table25[[#This Row],[Bought]]*Table25[[#This Row],[Price]]</f>
        <v>0</v>
      </c>
      <c r="H965">
        <f>SUMIF(Table25[[#All],[Assets]],Table25[[#This Row],[Assets]],Table25[[#All],[Bought]])</f>
        <v>7036.45</v>
      </c>
      <c r="I965">
        <f>SUMIF(Table25[[#All],[Assets]],Table25[[#This Row],[Assets]],Table25[[#All],[Bought Amount]])</f>
        <v>19162.260000000002</v>
      </c>
      <c r="J965" s="88">
        <f>IF(Table25[[#This Row],[Number of stocks]]&lt;0,Table25[[#This Row],[Number of stocks]],0)</f>
        <v>-180</v>
      </c>
      <c r="K965" s="5">
        <f>Table25[[#This Row],[Sold]]*Table25[[#This Row],[Price]]</f>
        <v>-761.40000000000009</v>
      </c>
      <c r="L965" s="8">
        <f>ABS(SUMIF(Table25[[#All],[Assets]],Table25[[#This Row],[Assets]],Table25[[#All],[Sold]]))</f>
        <v>6686.45</v>
      </c>
      <c r="M965" s="5">
        <f>ABS(SUMIF(Table25[[#All],[Assets]],Table25[[#This Row],[Assets]],Table25[[#All],[Sold Amount]]))</f>
        <v>19226.484999999997</v>
      </c>
      <c r="N965" s="5">
        <f>IFERROR(Table25[[#This Row],[Total sold amount]]/Table25[[#This Row],[Total Sold number of stocks]],"")</f>
        <v>2.8754398821497205</v>
      </c>
      <c r="O965" s="4">
        <f>IFERROR(Table25[[#This Row],[Total Amount bought]]/Table25[[#This Row],[Total number bought]],"")</f>
        <v>2.7232851793162749</v>
      </c>
      <c r="P965" s="4">
        <f>IFERROR((Table25[[#This Row],[Average sell price]]-Table25[[#This Row],[Average buy price]])*Table25[[#This Row],[Total Sold number of stocks]],0)</f>
        <v>1017.3748127606921</v>
      </c>
      <c r="Q965" s="85">
        <f>SUMIF(Table25[[#All],[Assets]],Table25[[#This Row],[Assets]],Table25[[#All],[Number of stocks]])</f>
        <v>349.99999999999977</v>
      </c>
    </row>
    <row r="966" spans="1:17">
      <c r="A966" t="e" vm="80">
        <v>#VALUE!</v>
      </c>
      <c r="B966" s="2">
        <v>45706</v>
      </c>
      <c r="C966" t="str" cm="1">
        <f t="array" aca="1" ref="C966" ca="1">_FV(A966,"Ticker symbol",TRUE)</f>
        <v>PYPL</v>
      </c>
      <c r="D966" s="4">
        <v>78.010000000000005</v>
      </c>
      <c r="E966" s="50">
        <v>-7</v>
      </c>
      <c r="F966" s="81">
        <f>IF(Table25[[#This Row],[Number of stocks]]&gt;0,Table25[[#This Row],[Number of stocks]],0)</f>
        <v>0</v>
      </c>
      <c r="G966" s="73">
        <f>Table25[[#This Row],[Bought]]*Table25[[#This Row],[Price]]</f>
        <v>0</v>
      </c>
      <c r="H966">
        <f>SUMIF(Table25[[#All],[Assets]],Table25[[#This Row],[Assets]],Table25[[#All],[Bought]])</f>
        <v>223</v>
      </c>
      <c r="I966">
        <f>SUMIF(Table25[[#All],[Assets]],Table25[[#This Row],[Assets]],Table25[[#All],[Bought Amount]])</f>
        <v>14862.050000000003</v>
      </c>
      <c r="J966" s="88">
        <f>IF(Table25[[#This Row],[Number of stocks]]&lt;0,Table25[[#This Row],[Number of stocks]],0)</f>
        <v>-7</v>
      </c>
      <c r="K966" s="5">
        <f>Table25[[#This Row],[Sold]]*Table25[[#This Row],[Price]]</f>
        <v>-546.07000000000005</v>
      </c>
      <c r="L966" s="8">
        <f>ABS(SUMIF(Table25[[#All],[Assets]],Table25[[#This Row],[Assets]],Table25[[#All],[Sold]]))</f>
        <v>222</v>
      </c>
      <c r="M966" s="5">
        <f>ABS(SUMIF(Table25[[#All],[Assets]],Table25[[#This Row],[Assets]],Table25[[#All],[Sold Amount]]))</f>
        <v>15255.44</v>
      </c>
      <c r="N966" s="5">
        <f>IFERROR(Table25[[#This Row],[Total sold amount]]/Table25[[#This Row],[Total Sold number of stocks]],"")</f>
        <v>68.718198198198195</v>
      </c>
      <c r="O966" s="4">
        <f>IFERROR(Table25[[#This Row],[Total Amount bought]]/Table25[[#This Row],[Total number bought]],"")</f>
        <v>66.645964125560553</v>
      </c>
      <c r="P966" s="4">
        <f>IFERROR((Table25[[#This Row],[Average sell price]]-Table25[[#This Row],[Average buy price]])*Table25[[#This Row],[Total Sold number of stocks]],0)</f>
        <v>460.03596412555646</v>
      </c>
      <c r="Q966" s="85">
        <f>SUMIF(Table25[[#All],[Assets]],Table25[[#This Row],[Assets]],Table25[[#All],[Number of stocks]])</f>
        <v>1</v>
      </c>
    </row>
    <row r="967" spans="1:17">
      <c r="A967" t="e" vm="301">
        <v>#VALUE!</v>
      </c>
      <c r="B967" s="2">
        <v>45706</v>
      </c>
      <c r="C967" t="str" cm="1">
        <f t="array" aca="1" ref="C967" ca="1">_FV(A967,"Ticker symbol",TRUE)</f>
        <v>RIOT</v>
      </c>
      <c r="D967" s="4">
        <v>11.57</v>
      </c>
      <c r="E967" s="50">
        <v>-10</v>
      </c>
      <c r="F967" s="81">
        <f>IF(Table25[[#This Row],[Number of stocks]]&gt;0,Table25[[#This Row],[Number of stocks]],0)</f>
        <v>0</v>
      </c>
      <c r="G967" s="73">
        <f>Table25[[#This Row],[Bought]]*Table25[[#This Row],[Price]]</f>
        <v>0</v>
      </c>
      <c r="H967">
        <f>SUMIF(Table25[[#All],[Assets]],Table25[[#This Row],[Assets]],Table25[[#All],[Bought]])</f>
        <v>10</v>
      </c>
      <c r="I967">
        <f>SUMIF(Table25[[#All],[Assets]],Table25[[#This Row],[Assets]],Table25[[#All],[Bought Amount]])</f>
        <v>114.7</v>
      </c>
      <c r="J967" s="88">
        <f>IF(Table25[[#This Row],[Number of stocks]]&lt;0,Table25[[#This Row],[Number of stocks]],0)</f>
        <v>-10</v>
      </c>
      <c r="K967" s="5">
        <f>Table25[[#This Row],[Sold]]*Table25[[#This Row],[Price]]</f>
        <v>-115.7</v>
      </c>
      <c r="L967" s="8">
        <f>ABS(SUMIF(Table25[[#All],[Assets]],Table25[[#This Row],[Assets]],Table25[[#All],[Sold]]))</f>
        <v>10</v>
      </c>
      <c r="M967" s="5">
        <f>ABS(SUMIF(Table25[[#All],[Assets]],Table25[[#This Row],[Assets]],Table25[[#All],[Sold Amount]]))</f>
        <v>115.7</v>
      </c>
      <c r="N967" s="5">
        <f>IFERROR(Table25[[#This Row],[Total sold amount]]/Table25[[#This Row],[Total Sold number of stocks]],"")</f>
        <v>11.57</v>
      </c>
      <c r="O967" s="4">
        <f>IFERROR(Table25[[#This Row],[Total Amount bought]]/Table25[[#This Row],[Total number bought]],"")</f>
        <v>11.47</v>
      </c>
      <c r="P967" s="4">
        <f>IFERROR((Table25[[#This Row],[Average sell price]]-Table25[[#This Row],[Average buy price]])*Table25[[#This Row],[Total Sold number of stocks]],0)</f>
        <v>0.99999999999999645</v>
      </c>
      <c r="Q967" s="85">
        <f>SUMIF(Table25[[#All],[Assets]],Table25[[#This Row],[Assets]],Table25[[#All],[Number of stocks]])</f>
        <v>0</v>
      </c>
    </row>
    <row r="968" spans="1:17">
      <c r="A968" t="e" vm="34">
        <v>#VALUE!</v>
      </c>
      <c r="B968" s="2">
        <v>45706</v>
      </c>
      <c r="C968" t="str" cm="1">
        <f t="array" aca="1" ref="C968" ca="1">_FV(A968,"Ticker symbol",TRUE)</f>
        <v>TSM</v>
      </c>
      <c r="D968" s="4">
        <v>202.58</v>
      </c>
      <c r="E968" s="50">
        <v>-3</v>
      </c>
      <c r="F968" s="81">
        <f>IF(Table25[[#This Row],[Number of stocks]]&gt;0,Table25[[#This Row],[Number of stocks]],0)</f>
        <v>0</v>
      </c>
      <c r="G968" s="73">
        <f>Table25[[#This Row],[Bought]]*Table25[[#This Row],[Price]]</f>
        <v>0</v>
      </c>
      <c r="H968">
        <f>SUMIF(Table25[[#All],[Assets]],Table25[[#This Row],[Assets]],Table25[[#All],[Bought]])</f>
        <v>45</v>
      </c>
      <c r="I968">
        <f>SUMIF(Table25[[#All],[Assets]],Table25[[#This Row],[Assets]],Table25[[#All],[Bought Amount]])</f>
        <v>7503.4800000000005</v>
      </c>
      <c r="J968" s="88">
        <f>IF(Table25[[#This Row],[Number of stocks]]&lt;0,Table25[[#This Row],[Number of stocks]],0)</f>
        <v>-3</v>
      </c>
      <c r="K968" s="5">
        <f>Table25[[#This Row],[Sold]]*Table25[[#This Row],[Price]]</f>
        <v>-607.74</v>
      </c>
      <c r="L968" s="8">
        <f>ABS(SUMIF(Table25[[#All],[Assets]],Table25[[#This Row],[Assets]],Table25[[#All],[Sold]]))</f>
        <v>44</v>
      </c>
      <c r="M968" s="5">
        <f>ABS(SUMIF(Table25[[#All],[Assets]],Table25[[#This Row],[Assets]],Table25[[#All],[Sold Amount]]))</f>
        <v>7951.28</v>
      </c>
      <c r="N968" s="5">
        <f>IFERROR(Table25[[#This Row],[Total sold amount]]/Table25[[#This Row],[Total Sold number of stocks]],"")</f>
        <v>180.7109090909091</v>
      </c>
      <c r="O968" s="4">
        <f>IFERROR(Table25[[#This Row],[Total Amount bought]]/Table25[[#This Row],[Total number bought]],"")</f>
        <v>166.744</v>
      </c>
      <c r="P968" s="4">
        <f>IFERROR((Table25[[#This Row],[Average sell price]]-Table25[[#This Row],[Average buy price]])*Table25[[#This Row],[Total Sold number of stocks]],0)</f>
        <v>614.54400000000032</v>
      </c>
      <c r="Q968" s="85">
        <f>SUMIF(Table25[[#All],[Assets]],Table25[[#This Row],[Assets]],Table25[[#All],[Number of stocks]])</f>
        <v>1</v>
      </c>
    </row>
    <row r="969" spans="1:17">
      <c r="A969" t="e" vm="73">
        <v>#VALUE!</v>
      </c>
      <c r="B969" s="2">
        <v>45707</v>
      </c>
      <c r="C969" t="str" cm="1">
        <f t="array" aca="1" ref="C969" ca="1">_FV(A969,"Ticker symbol",TRUE)</f>
        <v>NOTV</v>
      </c>
      <c r="D969" s="4">
        <v>3.91</v>
      </c>
      <c r="E969" s="50">
        <v>-200</v>
      </c>
      <c r="F969" s="81">
        <f>IF(Table25[[#This Row],[Number of stocks]]&gt;0,Table25[[#This Row],[Number of stocks]],0)</f>
        <v>0</v>
      </c>
      <c r="G969" s="73">
        <f>Table25[[#This Row],[Bought]]*Table25[[#This Row],[Price]]</f>
        <v>0</v>
      </c>
      <c r="H969">
        <f>SUMIF(Table25[[#All],[Assets]],Table25[[#This Row],[Assets]],Table25[[#All],[Bought]])</f>
        <v>3556</v>
      </c>
      <c r="I969">
        <f>SUMIF(Table25[[#All],[Assets]],Table25[[#This Row],[Assets]],Table25[[#All],[Bought Amount]])</f>
        <v>10249.890000000001</v>
      </c>
      <c r="J969" s="88">
        <f>IF(Table25[[#This Row],[Number of stocks]]&lt;0,Table25[[#This Row],[Number of stocks]],0)</f>
        <v>-200</v>
      </c>
      <c r="K969" s="5">
        <f>Table25[[#This Row],[Sold]]*Table25[[#This Row],[Price]]</f>
        <v>-782</v>
      </c>
      <c r="L969" s="8">
        <f>ABS(SUMIF(Table25[[#All],[Assets]],Table25[[#This Row],[Assets]],Table25[[#All],[Sold]]))</f>
        <v>2741</v>
      </c>
      <c r="M969" s="5">
        <f>ABS(SUMIF(Table25[[#All],[Assets]],Table25[[#This Row],[Assets]],Table25[[#All],[Sold Amount]]))</f>
        <v>6559.66</v>
      </c>
      <c r="N969" s="5">
        <f>IFERROR(Table25[[#This Row],[Total sold amount]]/Table25[[#This Row],[Total Sold number of stocks]],"")</f>
        <v>2.3931630791681866</v>
      </c>
      <c r="O969" s="4">
        <f>IFERROR(Table25[[#This Row],[Total Amount bought]]/Table25[[#This Row],[Total number bought]],"")</f>
        <v>2.8824212598425198</v>
      </c>
      <c r="P969" s="4">
        <f>IFERROR((Table25[[#This Row],[Average sell price]]-Table25[[#This Row],[Average buy price]])*Table25[[#This Row],[Total Sold number of stocks]],0)</f>
        <v>-1341.0566732283473</v>
      </c>
      <c r="Q969" s="85">
        <f>SUMIF(Table25[[#All],[Assets]],Table25[[#This Row],[Assets]],Table25[[#All],[Number of stocks]])</f>
        <v>815</v>
      </c>
    </row>
    <row r="970" spans="1:17">
      <c r="A970" t="e" vm="32">
        <v>#VALUE!</v>
      </c>
      <c r="B970" s="2">
        <v>45708</v>
      </c>
      <c r="C970" t="str" cm="1">
        <f t="array" aca="1" ref="C970" ca="1">_FV(A970,"Ticker symbol",TRUE)</f>
        <v>MU</v>
      </c>
      <c r="D970" s="4">
        <v>102.98</v>
      </c>
      <c r="E970" s="50">
        <v>9</v>
      </c>
      <c r="F970" s="81">
        <f>IF(Table25[[#This Row],[Number of stocks]]&gt;0,Table25[[#This Row],[Number of stocks]],0)</f>
        <v>9</v>
      </c>
      <c r="G970" s="73">
        <f>Table25[[#This Row],[Bought]]*Table25[[#This Row],[Price]]</f>
        <v>926.82</v>
      </c>
      <c r="H970">
        <f>SUMIF(Table25[[#All],[Assets]],Table25[[#This Row],[Assets]],Table25[[#All],[Bought]])</f>
        <v>59</v>
      </c>
      <c r="I970">
        <f>SUMIF(Table25[[#All],[Assets]],Table25[[#This Row],[Assets]],Table25[[#All],[Bought Amount]])</f>
        <v>6964.04</v>
      </c>
      <c r="J970" s="88">
        <f>IF(Table25[[#This Row],[Number of stocks]]&lt;0,Table25[[#This Row],[Number of stocks]],0)</f>
        <v>0</v>
      </c>
      <c r="K970" s="5">
        <f>Table25[[#This Row],[Sold]]*Table25[[#This Row],[Price]]</f>
        <v>0</v>
      </c>
      <c r="L970" s="8">
        <f>ABS(SUMIF(Table25[[#All],[Assets]],Table25[[#This Row],[Assets]],Table25[[#All],[Sold]]))</f>
        <v>58</v>
      </c>
      <c r="M970" s="5">
        <f>ABS(SUMIF(Table25[[#All],[Assets]],Table25[[#This Row],[Assets]],Table25[[#All],[Sold Amount]]))</f>
        <v>6974.51</v>
      </c>
      <c r="N970" s="5">
        <f>IFERROR(Table25[[#This Row],[Total sold amount]]/Table25[[#This Row],[Total Sold number of stocks]],"")</f>
        <v>120.25017241379311</v>
      </c>
      <c r="O970" s="4">
        <f>IFERROR(Table25[[#This Row],[Total Amount bought]]/Table25[[#This Row],[Total number bought]],"")</f>
        <v>118.03457627118644</v>
      </c>
      <c r="P970" s="4">
        <f>IFERROR((Table25[[#This Row],[Average sell price]]-Table25[[#This Row],[Average buy price]])*Table25[[#This Row],[Total Sold number of stocks]],0)</f>
        <v>128.50457627118692</v>
      </c>
      <c r="Q970" s="85">
        <f>SUMIF(Table25[[#All],[Assets]],Table25[[#This Row],[Assets]],Table25[[#All],[Number of stocks]])</f>
        <v>1</v>
      </c>
    </row>
    <row r="971" spans="1:17">
      <c r="A971" t="e" vm="262">
        <v>#VALUE!</v>
      </c>
      <c r="B971" s="2">
        <v>45709</v>
      </c>
      <c r="C971" t="str" cm="1">
        <f t="array" aca="1" ref="C971" ca="1">_FV(A971,"Ticker symbol",TRUE)</f>
        <v>PROP</v>
      </c>
      <c r="D971" s="4">
        <v>8.42</v>
      </c>
      <c r="E971" s="50">
        <v>-60</v>
      </c>
      <c r="F971" s="81">
        <f>IF(Table25[[#This Row],[Number of stocks]]&gt;0,Table25[[#This Row],[Number of stocks]],0)</f>
        <v>0</v>
      </c>
      <c r="G971" s="73">
        <f>Table25[[#This Row],[Bought]]*Table25[[#This Row],[Price]]</f>
        <v>0</v>
      </c>
      <c r="H971">
        <f>SUMIF(Table25[[#All],[Assets]],Table25[[#This Row],[Assets]],Table25[[#All],[Bought]])</f>
        <v>120</v>
      </c>
      <c r="I971">
        <f>SUMIF(Table25[[#All],[Assets]],Table25[[#This Row],[Assets]],Table25[[#All],[Bought Amount]])</f>
        <v>1031.5</v>
      </c>
      <c r="J971" s="88">
        <f>IF(Table25[[#This Row],[Number of stocks]]&lt;0,Table25[[#This Row],[Number of stocks]],0)</f>
        <v>-60</v>
      </c>
      <c r="K971" s="5">
        <f>Table25[[#This Row],[Sold]]*Table25[[#This Row],[Price]]</f>
        <v>-505.2</v>
      </c>
      <c r="L971" s="8">
        <f>ABS(SUMIF(Table25[[#All],[Assets]],Table25[[#This Row],[Assets]],Table25[[#All],[Sold]]))</f>
        <v>120</v>
      </c>
      <c r="M971" s="5">
        <f>ABS(SUMIF(Table25[[#All],[Assets]],Table25[[#This Row],[Assets]],Table25[[#All],[Sold Amount]]))</f>
        <v>704.4</v>
      </c>
      <c r="N971" s="5">
        <f>IFERROR(Table25[[#This Row],[Total sold amount]]/Table25[[#This Row],[Total Sold number of stocks]],"")</f>
        <v>5.87</v>
      </c>
      <c r="O971" s="4">
        <f>IFERROR(Table25[[#This Row],[Total Amount bought]]/Table25[[#This Row],[Total number bought]],"")</f>
        <v>8.5958333333333332</v>
      </c>
      <c r="P971" s="4">
        <f>IFERROR((Table25[[#This Row],[Average sell price]]-Table25[[#This Row],[Average buy price]])*Table25[[#This Row],[Total Sold number of stocks]],0)</f>
        <v>-327.09999999999997</v>
      </c>
      <c r="Q971" s="85">
        <f>SUMIF(Table25[[#All],[Assets]],Table25[[#This Row],[Assets]],Table25[[#All],[Number of stocks]])</f>
        <v>0</v>
      </c>
    </row>
    <row r="972" spans="1:17">
      <c r="A972" t="e" vm="260">
        <v>#VALUE!</v>
      </c>
      <c r="B972" s="2">
        <v>45712</v>
      </c>
      <c r="C972" t="str" cm="1">
        <f t="array" aca="1" ref="C972" ca="1">_FV(A972,"Ticker symbol",TRUE)</f>
        <v>REPL</v>
      </c>
      <c r="D972" s="4">
        <v>14.28</v>
      </c>
      <c r="E972" s="50">
        <v>30</v>
      </c>
      <c r="F972" s="81">
        <f>IF(Table25[[#This Row],[Number of stocks]]&gt;0,Table25[[#This Row],[Number of stocks]],0)</f>
        <v>30</v>
      </c>
      <c r="G972" s="73">
        <f>Table25[[#This Row],[Bought]]*Table25[[#This Row],[Price]]</f>
        <v>428.4</v>
      </c>
      <c r="H972">
        <f>SUMIF(Table25[[#All],[Assets]],Table25[[#This Row],[Assets]],Table25[[#All],[Bought]])</f>
        <v>30</v>
      </c>
      <c r="I972">
        <f>SUMIF(Table25[[#All],[Assets]],Table25[[#This Row],[Assets]],Table25[[#All],[Bought Amount]])</f>
        <v>428.4</v>
      </c>
      <c r="J972" s="88">
        <f>IF(Table25[[#This Row],[Number of stocks]]&lt;0,Table25[[#This Row],[Number of stocks]],0)</f>
        <v>0</v>
      </c>
      <c r="K972" s="5">
        <f>Table25[[#This Row],[Sold]]*Table25[[#This Row],[Price]]</f>
        <v>0</v>
      </c>
      <c r="L972" s="8">
        <f>ABS(SUMIF(Table25[[#All],[Assets]],Table25[[#This Row],[Assets]],Table25[[#All],[Sold]]))</f>
        <v>30</v>
      </c>
      <c r="M972" s="5">
        <f>ABS(SUMIF(Table25[[#All],[Assets]],Table25[[#This Row],[Assets]],Table25[[#All],[Sold Amount]]))</f>
        <v>279.3</v>
      </c>
      <c r="N972" s="5">
        <f>IFERROR(Table25[[#This Row],[Total sold amount]]/Table25[[#This Row],[Total Sold number of stocks]],"")</f>
        <v>9.31</v>
      </c>
      <c r="O972" s="4">
        <f>IFERROR(Table25[[#This Row],[Total Amount bought]]/Table25[[#This Row],[Total number bought]],"")</f>
        <v>14.28</v>
      </c>
      <c r="P972" s="4">
        <f>IFERROR((Table25[[#This Row],[Average sell price]]-Table25[[#This Row],[Average buy price]])*Table25[[#This Row],[Total Sold number of stocks]],0)</f>
        <v>-149.09999999999997</v>
      </c>
      <c r="Q972" s="85">
        <f>SUMIF(Table25[[#All],[Assets]],Table25[[#This Row],[Assets]],Table25[[#All],[Number of stocks]])</f>
        <v>0</v>
      </c>
    </row>
    <row r="973" spans="1:17">
      <c r="A973" t="e" vm="6">
        <v>#VALUE!</v>
      </c>
      <c r="B973" s="2">
        <v>45712</v>
      </c>
      <c r="C973" t="str" cm="1">
        <f t="array" aca="1" ref="C973" ca="1">_FV(A973,"Ticker symbol",TRUE)</f>
        <v>KTOS</v>
      </c>
      <c r="D973" s="4">
        <v>24.42</v>
      </c>
      <c r="E973" s="50">
        <v>8</v>
      </c>
      <c r="F973" s="81">
        <f>IF(Table25[[#This Row],[Number of stocks]]&gt;0,Table25[[#This Row],[Number of stocks]],0)</f>
        <v>8</v>
      </c>
      <c r="G973" s="73">
        <f>Table25[[#This Row],[Bought]]*Table25[[#This Row],[Price]]</f>
        <v>195.36</v>
      </c>
      <c r="H973">
        <f>SUMIF(Table25[[#All],[Assets]],Table25[[#This Row],[Assets]],Table25[[#All],[Bought]])</f>
        <v>121</v>
      </c>
      <c r="I973">
        <f>SUMIF(Table25[[#All],[Assets]],Table25[[#This Row],[Assets]],Table25[[#All],[Bought Amount]])</f>
        <v>3826.76</v>
      </c>
      <c r="J973" s="88">
        <f>IF(Table25[[#This Row],[Number of stocks]]&lt;0,Table25[[#This Row],[Number of stocks]],0)</f>
        <v>0</v>
      </c>
      <c r="K973" s="5">
        <f>Table25[[#This Row],[Sold]]*Table25[[#This Row],[Price]]</f>
        <v>0</v>
      </c>
      <c r="L973" s="8">
        <f>ABS(SUMIF(Table25[[#All],[Assets]],Table25[[#This Row],[Assets]],Table25[[#All],[Sold]]))</f>
        <v>121</v>
      </c>
      <c r="M973" s="5">
        <f>ABS(SUMIF(Table25[[#All],[Assets]],Table25[[#This Row],[Assets]],Table25[[#All],[Sold Amount]]))</f>
        <v>8971.93</v>
      </c>
      <c r="N973" s="5">
        <f>IFERROR(Table25[[#This Row],[Total sold amount]]/Table25[[#This Row],[Total Sold number of stocks]],"")</f>
        <v>74.148181818181826</v>
      </c>
      <c r="O973" s="4">
        <f>IFERROR(Table25[[#This Row],[Total Amount bought]]/Table25[[#This Row],[Total number bought]],"")</f>
        <v>31.626115702479339</v>
      </c>
      <c r="P973" s="4">
        <f>IFERROR((Table25[[#This Row],[Average sell price]]-Table25[[#This Row],[Average buy price]])*Table25[[#This Row],[Total Sold number of stocks]],0)</f>
        <v>5145.170000000001</v>
      </c>
      <c r="Q973" s="85">
        <f>SUMIF(Table25[[#All],[Assets]],Table25[[#This Row],[Assets]],Table25[[#All],[Number of stocks]])</f>
        <v>0</v>
      </c>
    </row>
    <row r="974" spans="1:17">
      <c r="A974" t="e" vm="6">
        <v>#VALUE!</v>
      </c>
      <c r="B974" s="2">
        <v>45712</v>
      </c>
      <c r="C974" t="str" cm="1">
        <f t="array" aca="1" ref="C974" ca="1">_FV(A974,"Ticker symbol",TRUE)</f>
        <v>KTOS</v>
      </c>
      <c r="D974" s="4">
        <v>24.64</v>
      </c>
      <c r="E974" s="50">
        <v>30</v>
      </c>
      <c r="F974" s="81">
        <f>IF(Table25[[#This Row],[Number of stocks]]&gt;0,Table25[[#This Row],[Number of stocks]],0)</f>
        <v>30</v>
      </c>
      <c r="G974" s="73">
        <f>Table25[[#This Row],[Bought]]*Table25[[#This Row],[Price]]</f>
        <v>739.2</v>
      </c>
      <c r="H974">
        <f>SUMIF(Table25[[#All],[Assets]],Table25[[#This Row],[Assets]],Table25[[#All],[Bought]])</f>
        <v>121</v>
      </c>
      <c r="I974">
        <f>SUMIF(Table25[[#All],[Assets]],Table25[[#This Row],[Assets]],Table25[[#All],[Bought Amount]])</f>
        <v>3826.76</v>
      </c>
      <c r="J974" s="88">
        <f>IF(Table25[[#This Row],[Number of stocks]]&lt;0,Table25[[#This Row],[Number of stocks]],0)</f>
        <v>0</v>
      </c>
      <c r="K974" s="5">
        <f>Table25[[#This Row],[Sold]]*Table25[[#This Row],[Price]]</f>
        <v>0</v>
      </c>
      <c r="L974" s="8">
        <f>ABS(SUMIF(Table25[[#All],[Assets]],Table25[[#This Row],[Assets]],Table25[[#All],[Sold]]))</f>
        <v>121</v>
      </c>
      <c r="M974" s="5">
        <f>ABS(SUMIF(Table25[[#All],[Assets]],Table25[[#This Row],[Assets]],Table25[[#All],[Sold Amount]]))</f>
        <v>8971.93</v>
      </c>
      <c r="N974" s="5">
        <f>IFERROR(Table25[[#This Row],[Total sold amount]]/Table25[[#This Row],[Total Sold number of stocks]],"")</f>
        <v>74.148181818181826</v>
      </c>
      <c r="O974" s="4">
        <f>IFERROR(Table25[[#This Row],[Total Amount bought]]/Table25[[#This Row],[Total number bought]],"")</f>
        <v>31.626115702479339</v>
      </c>
      <c r="P974" s="4">
        <f>IFERROR((Table25[[#This Row],[Average sell price]]-Table25[[#This Row],[Average buy price]])*Table25[[#This Row],[Total Sold number of stocks]],0)</f>
        <v>5145.170000000001</v>
      </c>
      <c r="Q974" s="85">
        <f>SUMIF(Table25[[#All],[Assets]],Table25[[#This Row],[Assets]],Table25[[#All],[Number of stocks]])</f>
        <v>0</v>
      </c>
    </row>
    <row r="975" spans="1:17">
      <c r="A975" t="e" vm="6">
        <v>#VALUE!</v>
      </c>
      <c r="B975" s="2">
        <v>45712</v>
      </c>
      <c r="C975" t="str" cm="1">
        <f t="array" aca="1" ref="C975" ca="1">_FV(A975,"Ticker symbol",TRUE)</f>
        <v>KTOS</v>
      </c>
      <c r="D975" s="4">
        <v>24.62</v>
      </c>
      <c r="E975" s="50">
        <v>29</v>
      </c>
      <c r="F975" s="81">
        <f>IF(Table25[[#This Row],[Number of stocks]]&gt;0,Table25[[#This Row],[Number of stocks]],0)</f>
        <v>29</v>
      </c>
      <c r="G975" s="73">
        <f>Table25[[#This Row],[Bought]]*Table25[[#This Row],[Price]]</f>
        <v>713.98</v>
      </c>
      <c r="H975">
        <f>SUMIF(Table25[[#All],[Assets]],Table25[[#This Row],[Assets]],Table25[[#All],[Bought]])</f>
        <v>121</v>
      </c>
      <c r="I975">
        <f>SUMIF(Table25[[#All],[Assets]],Table25[[#This Row],[Assets]],Table25[[#All],[Bought Amount]])</f>
        <v>3826.76</v>
      </c>
      <c r="J975" s="88">
        <f>IF(Table25[[#This Row],[Number of stocks]]&lt;0,Table25[[#This Row],[Number of stocks]],0)</f>
        <v>0</v>
      </c>
      <c r="K975" s="5">
        <f>Table25[[#This Row],[Sold]]*Table25[[#This Row],[Price]]</f>
        <v>0</v>
      </c>
      <c r="L975" s="8">
        <f>ABS(SUMIF(Table25[[#All],[Assets]],Table25[[#This Row],[Assets]],Table25[[#All],[Sold]]))</f>
        <v>121</v>
      </c>
      <c r="M975" s="5">
        <f>ABS(SUMIF(Table25[[#All],[Assets]],Table25[[#This Row],[Assets]],Table25[[#All],[Sold Amount]]))</f>
        <v>8971.93</v>
      </c>
      <c r="N975" s="5">
        <f>IFERROR(Table25[[#This Row],[Total sold amount]]/Table25[[#This Row],[Total Sold number of stocks]],"")</f>
        <v>74.148181818181826</v>
      </c>
      <c r="O975" s="4">
        <f>IFERROR(Table25[[#This Row],[Total Amount bought]]/Table25[[#This Row],[Total number bought]],"")</f>
        <v>31.626115702479339</v>
      </c>
      <c r="P975" s="4">
        <f>IFERROR((Table25[[#This Row],[Average sell price]]-Table25[[#This Row],[Average buy price]])*Table25[[#This Row],[Total Sold number of stocks]],0)</f>
        <v>5145.170000000001</v>
      </c>
      <c r="Q975" s="85">
        <f>SUMIF(Table25[[#All],[Assets]],Table25[[#This Row],[Assets]],Table25[[#All],[Number of stocks]])</f>
        <v>0</v>
      </c>
    </row>
    <row r="976" spans="1:17">
      <c r="A976" t="e" vm="116">
        <v>#VALUE!</v>
      </c>
      <c r="B976" s="2">
        <v>45712</v>
      </c>
      <c r="C976" t="str" cm="1">
        <f t="array" aca="1" ref="C976" ca="1">_FV(A976,"Ticker symbol",TRUE)</f>
        <v>MPC</v>
      </c>
      <c r="D976" s="4">
        <v>152.88</v>
      </c>
      <c r="E976" s="50">
        <v>-4</v>
      </c>
      <c r="F976" s="81">
        <f>IF(Table25[[#This Row],[Number of stocks]]&gt;0,Table25[[#This Row],[Number of stocks]],0)</f>
        <v>0</v>
      </c>
      <c r="G976" s="73">
        <f>Table25[[#This Row],[Bought]]*Table25[[#This Row],[Price]]</f>
        <v>0</v>
      </c>
      <c r="H976">
        <f>SUMIF(Table25[[#All],[Assets]],Table25[[#This Row],[Assets]],Table25[[#All],[Bought]])</f>
        <v>23</v>
      </c>
      <c r="I976">
        <f>SUMIF(Table25[[#All],[Assets]],Table25[[#This Row],[Assets]],Table25[[#All],[Bought Amount]])</f>
        <v>3826.89</v>
      </c>
      <c r="J976" s="88">
        <f>IF(Table25[[#This Row],[Number of stocks]]&lt;0,Table25[[#This Row],[Number of stocks]],0)</f>
        <v>-4</v>
      </c>
      <c r="K976" s="5">
        <f>Table25[[#This Row],[Sold]]*Table25[[#This Row],[Price]]</f>
        <v>-611.52</v>
      </c>
      <c r="L976" s="8">
        <f>ABS(SUMIF(Table25[[#All],[Assets]],Table25[[#This Row],[Assets]],Table25[[#All],[Sold]]))</f>
        <v>23</v>
      </c>
      <c r="M976" s="5">
        <f>ABS(SUMIF(Table25[[#All],[Assets]],Table25[[#This Row],[Assets]],Table25[[#All],[Sold Amount]]))</f>
        <v>3605.23</v>
      </c>
      <c r="N976" s="5">
        <f>IFERROR(Table25[[#This Row],[Total sold amount]]/Table25[[#This Row],[Total Sold number of stocks]],"")</f>
        <v>156.74913043478261</v>
      </c>
      <c r="O976" s="4">
        <f>IFERROR(Table25[[#This Row],[Total Amount bought]]/Table25[[#This Row],[Total number bought]],"")</f>
        <v>166.38652173913042</v>
      </c>
      <c r="P976" s="4">
        <f>IFERROR((Table25[[#This Row],[Average sell price]]-Table25[[#This Row],[Average buy price]])*Table25[[#This Row],[Total Sold number of stocks]],0)</f>
        <v>-221.65999999999943</v>
      </c>
      <c r="Q976" s="85">
        <f>SUMIF(Table25[[#All],[Assets]],Table25[[#This Row],[Assets]],Table25[[#All],[Number of stocks]])</f>
        <v>0</v>
      </c>
    </row>
    <row r="977" spans="1:17">
      <c r="A977" t="e" vm="77">
        <v>#VALUE!</v>
      </c>
      <c r="B977" s="2">
        <v>45712</v>
      </c>
      <c r="C977" t="str" cm="1">
        <f t="array" aca="1" ref="C977" ca="1">_FV(A977,"Ticker symbol",TRUE)</f>
        <v>STIM</v>
      </c>
      <c r="D977" s="4">
        <v>4.45</v>
      </c>
      <c r="E977" s="50">
        <v>300</v>
      </c>
      <c r="F977" s="81">
        <f>IF(Table25[[#This Row],[Number of stocks]]&gt;0,Table25[[#This Row],[Number of stocks]],0)</f>
        <v>300</v>
      </c>
      <c r="G977" s="73">
        <f>Table25[[#This Row],[Bought]]*Table25[[#This Row],[Price]]</f>
        <v>1335</v>
      </c>
      <c r="H977">
        <f>SUMIF(Table25[[#All],[Assets]],Table25[[#This Row],[Assets]],Table25[[#All],[Bought]])</f>
        <v>7036.45</v>
      </c>
      <c r="I977">
        <f>SUMIF(Table25[[#All],[Assets]],Table25[[#This Row],[Assets]],Table25[[#All],[Bought Amount]])</f>
        <v>19162.260000000002</v>
      </c>
      <c r="J977" s="88">
        <f>IF(Table25[[#This Row],[Number of stocks]]&lt;0,Table25[[#This Row],[Number of stocks]],0)</f>
        <v>0</v>
      </c>
      <c r="K977" s="5">
        <f>Table25[[#This Row],[Sold]]*Table25[[#This Row],[Price]]</f>
        <v>0</v>
      </c>
      <c r="L977" s="8">
        <f>ABS(SUMIF(Table25[[#All],[Assets]],Table25[[#This Row],[Assets]],Table25[[#All],[Sold]]))</f>
        <v>6686.45</v>
      </c>
      <c r="M977" s="5">
        <f>ABS(SUMIF(Table25[[#All],[Assets]],Table25[[#This Row],[Assets]],Table25[[#All],[Sold Amount]]))</f>
        <v>19226.484999999997</v>
      </c>
      <c r="N977" s="5">
        <f>IFERROR(Table25[[#This Row],[Total sold amount]]/Table25[[#This Row],[Total Sold number of stocks]],"")</f>
        <v>2.8754398821497205</v>
      </c>
      <c r="O977" s="4">
        <f>IFERROR(Table25[[#This Row],[Total Amount bought]]/Table25[[#This Row],[Total number bought]],"")</f>
        <v>2.7232851793162749</v>
      </c>
      <c r="P977" s="4">
        <f>IFERROR((Table25[[#This Row],[Average sell price]]-Table25[[#This Row],[Average buy price]])*Table25[[#This Row],[Total Sold number of stocks]],0)</f>
        <v>1017.3748127606921</v>
      </c>
      <c r="Q977" s="85">
        <f>SUMIF(Table25[[#All],[Assets]],Table25[[#This Row],[Assets]],Table25[[#All],[Number of stocks]])</f>
        <v>349.99999999999977</v>
      </c>
    </row>
    <row r="978" spans="1:17">
      <c r="A978" t="e" vm="284">
        <v>#VALUE!</v>
      </c>
      <c r="B978" s="2">
        <v>45712</v>
      </c>
      <c r="C978" t="str" cm="1">
        <f t="array" aca="1" ref="C978" ca="1">_FV(A978,"Ticker symbol",TRUE)</f>
        <v>NE</v>
      </c>
      <c r="D978" s="4">
        <v>27.16</v>
      </c>
      <c r="E978" s="50">
        <v>-18</v>
      </c>
      <c r="F978" s="81">
        <f>IF(Table25[[#This Row],[Number of stocks]]&gt;0,Table25[[#This Row],[Number of stocks]],0)</f>
        <v>0</v>
      </c>
      <c r="G978" s="73">
        <f>Table25[[#This Row],[Bought]]*Table25[[#This Row],[Price]]</f>
        <v>0</v>
      </c>
      <c r="H978">
        <f>SUMIF(Table25[[#All],[Assets]],Table25[[#This Row],[Assets]],Table25[[#All],[Bought]])</f>
        <v>18</v>
      </c>
      <c r="I978">
        <f>SUMIF(Table25[[#All],[Assets]],Table25[[#This Row],[Assets]],Table25[[#All],[Bought Amount]])</f>
        <v>569.34</v>
      </c>
      <c r="J978" s="88">
        <f>IF(Table25[[#This Row],[Number of stocks]]&lt;0,Table25[[#This Row],[Number of stocks]],0)</f>
        <v>-18</v>
      </c>
      <c r="K978" s="5">
        <f>Table25[[#This Row],[Sold]]*Table25[[#This Row],[Price]]</f>
        <v>-488.88</v>
      </c>
      <c r="L978" s="8">
        <f>ABS(SUMIF(Table25[[#All],[Assets]],Table25[[#This Row],[Assets]],Table25[[#All],[Sold]]))</f>
        <v>18</v>
      </c>
      <c r="M978" s="5">
        <f>ABS(SUMIF(Table25[[#All],[Assets]],Table25[[#This Row],[Assets]],Table25[[#All],[Sold Amount]]))</f>
        <v>488.88</v>
      </c>
      <c r="N978" s="5">
        <f>IFERROR(Table25[[#This Row],[Total sold amount]]/Table25[[#This Row],[Total Sold number of stocks]],"")</f>
        <v>27.16</v>
      </c>
      <c r="O978" s="4">
        <f>IFERROR(Table25[[#This Row],[Total Amount bought]]/Table25[[#This Row],[Total number bought]],"")</f>
        <v>31.630000000000003</v>
      </c>
      <c r="P978" s="4">
        <f>IFERROR((Table25[[#This Row],[Average sell price]]-Table25[[#This Row],[Average buy price]])*Table25[[#This Row],[Total Sold number of stocks]],0)</f>
        <v>-80.460000000000036</v>
      </c>
      <c r="Q978" s="85">
        <f>SUMIF(Table25[[#All],[Assets]],Table25[[#This Row],[Assets]],Table25[[#All],[Number of stocks]])</f>
        <v>0</v>
      </c>
    </row>
    <row r="979" spans="1:17">
      <c r="A979" t="e" vm="77">
        <v>#VALUE!</v>
      </c>
      <c r="B979" s="2">
        <v>45712</v>
      </c>
      <c r="C979" t="str" cm="1">
        <f t="array" aca="1" ref="C979" ca="1">_FV(A979,"Ticker symbol",TRUE)</f>
        <v>STIM</v>
      </c>
      <c r="D979" s="4">
        <v>120</v>
      </c>
      <c r="E979" s="50">
        <v>4.45</v>
      </c>
      <c r="F979" s="81">
        <f>IF(Table25[[#This Row],[Number of stocks]]&gt;0,Table25[[#This Row],[Number of stocks]],0)</f>
        <v>4.45</v>
      </c>
      <c r="G979" s="73">
        <f>Table25[[#This Row],[Bought]]*Table25[[#This Row],[Price]]</f>
        <v>534</v>
      </c>
      <c r="H979">
        <f>SUMIF(Table25[[#All],[Assets]],Table25[[#This Row],[Assets]],Table25[[#All],[Bought]])</f>
        <v>7036.45</v>
      </c>
      <c r="I979">
        <f>SUMIF(Table25[[#All],[Assets]],Table25[[#This Row],[Assets]],Table25[[#All],[Bought Amount]])</f>
        <v>19162.260000000002</v>
      </c>
      <c r="J979" s="88">
        <f>IF(Table25[[#This Row],[Number of stocks]]&lt;0,Table25[[#This Row],[Number of stocks]],0)</f>
        <v>0</v>
      </c>
      <c r="K979" s="5">
        <f>Table25[[#This Row],[Sold]]*Table25[[#This Row],[Price]]</f>
        <v>0</v>
      </c>
      <c r="L979" s="8">
        <f>ABS(SUMIF(Table25[[#All],[Assets]],Table25[[#This Row],[Assets]],Table25[[#All],[Sold]]))</f>
        <v>6686.45</v>
      </c>
      <c r="M979" s="5">
        <f>ABS(SUMIF(Table25[[#All],[Assets]],Table25[[#This Row],[Assets]],Table25[[#All],[Sold Amount]]))</f>
        <v>19226.484999999997</v>
      </c>
      <c r="N979" s="5">
        <f>IFERROR(Table25[[#This Row],[Total sold amount]]/Table25[[#This Row],[Total Sold number of stocks]],"")</f>
        <v>2.8754398821497205</v>
      </c>
      <c r="O979" s="4">
        <f>IFERROR(Table25[[#This Row],[Total Amount bought]]/Table25[[#This Row],[Total number bought]],"")</f>
        <v>2.7232851793162749</v>
      </c>
      <c r="P979" s="4">
        <f>IFERROR((Table25[[#This Row],[Average sell price]]-Table25[[#This Row],[Average buy price]])*Table25[[#This Row],[Total Sold number of stocks]],0)</f>
        <v>1017.3748127606921</v>
      </c>
      <c r="Q979" s="85">
        <f>SUMIF(Table25[[#All],[Assets]],Table25[[#This Row],[Assets]],Table25[[#All],[Number of stocks]])</f>
        <v>349.99999999999977</v>
      </c>
    </row>
    <row r="980" spans="1:17">
      <c r="A980" t="e" vm="183">
        <v>#VALUE!</v>
      </c>
      <c r="B980" s="2">
        <v>45712</v>
      </c>
      <c r="C980" t="str" cm="1">
        <f t="array" aca="1" ref="C980" ca="1">_FV(A980,"Ticker symbol",TRUE)</f>
        <v>ESOA</v>
      </c>
      <c r="D980" s="4">
        <v>9.7100000000000009</v>
      </c>
      <c r="E980" s="50">
        <v>120</v>
      </c>
      <c r="F980" s="81">
        <f>IF(Table25[[#This Row],[Number of stocks]]&gt;0,Table25[[#This Row],[Number of stocks]],0)</f>
        <v>120</v>
      </c>
      <c r="G980" s="73">
        <f>Table25[[#This Row],[Bought]]*Table25[[#This Row],[Price]]</f>
        <v>1165.2</v>
      </c>
      <c r="H980">
        <f>SUMIF(Table25[[#All],[Assets]],Table25[[#This Row],[Assets]],Table25[[#All],[Bought]])</f>
        <v>1832</v>
      </c>
      <c r="I980">
        <f>SUMIF(Table25[[#All],[Assets]],Table25[[#This Row],[Assets]],Table25[[#All],[Bought Amount]])</f>
        <v>18152.78</v>
      </c>
      <c r="J980" s="88">
        <f>IF(Table25[[#This Row],[Number of stocks]]&lt;0,Table25[[#This Row],[Number of stocks]],0)</f>
        <v>0</v>
      </c>
      <c r="K980" s="5">
        <f>Table25[[#This Row],[Sold]]*Table25[[#This Row],[Price]]</f>
        <v>0</v>
      </c>
      <c r="L980" s="8">
        <f>ABS(SUMIF(Table25[[#All],[Assets]],Table25[[#This Row],[Assets]],Table25[[#All],[Sold]]))</f>
        <v>1568</v>
      </c>
      <c r="M980" s="5">
        <f>ABS(SUMIF(Table25[[#All],[Assets]],Table25[[#This Row],[Assets]],Table25[[#All],[Sold Amount]]))</f>
        <v>14668</v>
      </c>
      <c r="N980" s="5">
        <f>IFERROR(Table25[[#This Row],[Total sold amount]]/Table25[[#This Row],[Total Sold number of stocks]],"")</f>
        <v>9.3545918367346932</v>
      </c>
      <c r="O980" s="4">
        <f>IFERROR(Table25[[#This Row],[Total Amount bought]]/Table25[[#This Row],[Total number bought]],"")</f>
        <v>9.9087227074235802</v>
      </c>
      <c r="P980" s="4">
        <f>IFERROR((Table25[[#This Row],[Average sell price]]-Table25[[#This Row],[Average buy price]])*Table25[[#This Row],[Total Sold number of stocks]],0)</f>
        <v>-868.87720524017482</v>
      </c>
      <c r="Q980" s="85">
        <f>SUMIF(Table25[[#All],[Assets]],Table25[[#This Row],[Assets]],Table25[[#All],[Number of stocks]])</f>
        <v>264</v>
      </c>
    </row>
    <row r="981" spans="1:17">
      <c r="A981" t="e" vm="78">
        <v>#VALUE!</v>
      </c>
      <c r="B981" s="2">
        <v>45714</v>
      </c>
      <c r="C981" t="str" cm="1">
        <f t="array" aca="1" ref="C981" ca="1">_FV(A981,"Ticker symbol",TRUE)</f>
        <v>TOI</v>
      </c>
      <c r="D981" s="4">
        <v>0.95</v>
      </c>
      <c r="E981" s="50">
        <v>600</v>
      </c>
      <c r="F981" s="81">
        <f>IF(Table25[[#This Row],[Number of stocks]]&gt;0,Table25[[#This Row],[Number of stocks]],0)</f>
        <v>600</v>
      </c>
      <c r="G981" s="73">
        <f>Table25[[#This Row],[Bought]]*Table25[[#This Row],[Price]]</f>
        <v>570</v>
      </c>
      <c r="H981">
        <f>SUMIF(Table25[[#All],[Assets]],Table25[[#This Row],[Assets]],Table25[[#All],[Bought]])</f>
        <v>2120</v>
      </c>
      <c r="I981">
        <f>SUMIF(Table25[[#All],[Assets]],Table25[[#This Row],[Assets]],Table25[[#All],[Bought Amount]])</f>
        <v>4215.1000000000004</v>
      </c>
      <c r="J981" s="88">
        <f>IF(Table25[[#This Row],[Number of stocks]]&lt;0,Table25[[#This Row],[Number of stocks]],0)</f>
        <v>0</v>
      </c>
      <c r="K981" s="5">
        <f>Table25[[#This Row],[Sold]]*Table25[[#This Row],[Price]]</f>
        <v>0</v>
      </c>
      <c r="L981" s="8">
        <f>ABS(SUMIF(Table25[[#All],[Assets]],Table25[[#This Row],[Assets]],Table25[[#All],[Sold]]))</f>
        <v>1120</v>
      </c>
      <c r="M981" s="5">
        <f>ABS(SUMIF(Table25[[#All],[Assets]],Table25[[#This Row],[Assets]],Table25[[#All],[Sold Amount]]))</f>
        <v>3202.4</v>
      </c>
      <c r="N981" s="5">
        <f>IFERROR(Table25[[#This Row],[Total sold amount]]/Table25[[#This Row],[Total Sold number of stocks]],"")</f>
        <v>2.8592857142857144</v>
      </c>
      <c r="O981" s="4">
        <f>IFERROR(Table25[[#This Row],[Total Amount bought]]/Table25[[#This Row],[Total number bought]],"")</f>
        <v>1.9882547169811322</v>
      </c>
      <c r="P981" s="4">
        <f>IFERROR((Table25[[#This Row],[Average sell price]]-Table25[[#This Row],[Average buy price]])*Table25[[#This Row],[Total Sold number of stocks]],0)</f>
        <v>975.55471698113206</v>
      </c>
      <c r="Q981" s="85">
        <f>SUMIF(Table25[[#All],[Assets]],Table25[[#This Row],[Assets]],Table25[[#All],[Number of stocks]])</f>
        <v>1000</v>
      </c>
    </row>
    <row r="982" spans="1:17">
      <c r="A982" t="e" vm="13">
        <v>#VALUE!</v>
      </c>
      <c r="B982" s="2">
        <v>45714</v>
      </c>
      <c r="C982" t="str" cm="1">
        <f t="array" aca="1" ref="C982" ca="1">_FV(A982,"Ticker symbol",TRUE)</f>
        <v>ON</v>
      </c>
      <c r="D982" s="4">
        <v>50.4</v>
      </c>
      <c r="E982" s="50">
        <v>-28</v>
      </c>
      <c r="F982" s="81">
        <f>IF(Table25[[#This Row],[Number of stocks]]&gt;0,Table25[[#This Row],[Number of stocks]],0)</f>
        <v>0</v>
      </c>
      <c r="G982" s="73">
        <f>Table25[[#This Row],[Bought]]*Table25[[#This Row],[Price]]</f>
        <v>0</v>
      </c>
      <c r="H982">
        <f>SUMIF(Table25[[#All],[Assets]],Table25[[#This Row],[Assets]],Table25[[#All],[Bought]])</f>
        <v>326</v>
      </c>
      <c r="I982">
        <f>SUMIF(Table25[[#All],[Assets]],Table25[[#This Row],[Assets]],Table25[[#All],[Bought Amount]])</f>
        <v>19172.809999999998</v>
      </c>
      <c r="J982" s="88">
        <f>IF(Table25[[#This Row],[Number of stocks]]&lt;0,Table25[[#This Row],[Number of stocks]],0)</f>
        <v>-28</v>
      </c>
      <c r="K982" s="5">
        <f>Table25[[#This Row],[Sold]]*Table25[[#This Row],[Price]]</f>
        <v>-1411.2</v>
      </c>
      <c r="L982" s="8">
        <f>ABS(SUMIF(Table25[[#All],[Assets]],Table25[[#This Row],[Assets]],Table25[[#All],[Sold]]))</f>
        <v>283</v>
      </c>
      <c r="M982" s="5">
        <f>ABS(SUMIF(Table25[[#All],[Assets]],Table25[[#This Row],[Assets]],Table25[[#All],[Sold Amount]]))</f>
        <v>15700.74</v>
      </c>
      <c r="N982" s="5">
        <f>IFERROR(Table25[[#This Row],[Total sold amount]]/Table25[[#This Row],[Total Sold number of stocks]],"")</f>
        <v>55.47964664310954</v>
      </c>
      <c r="O982" s="4">
        <f>IFERROR(Table25[[#This Row],[Total Amount bought]]/Table25[[#This Row],[Total number bought]],"")</f>
        <v>58.812300613496923</v>
      </c>
      <c r="P982" s="4">
        <f>IFERROR((Table25[[#This Row],[Average sell price]]-Table25[[#This Row],[Average buy price]])*Table25[[#This Row],[Total Sold number of stocks]],0)</f>
        <v>-943.14107361962954</v>
      </c>
      <c r="Q982" s="85">
        <f>SUMIF(Table25[[#All],[Assets]],Table25[[#This Row],[Assets]],Table25[[#All],[Number of stocks]])</f>
        <v>43</v>
      </c>
    </row>
    <row r="983" spans="1:17">
      <c r="A983" t="e" vm="254">
        <v>#VALUE!</v>
      </c>
      <c r="B983" s="2">
        <v>45714</v>
      </c>
      <c r="C983" t="str" cm="1">
        <f t="array" aca="1" ref="C983" ca="1">_FV(A983,"Ticker symbol",TRUE)</f>
        <v>TALK</v>
      </c>
      <c r="D983" s="4">
        <v>2.92</v>
      </c>
      <c r="E983" s="50">
        <v>300</v>
      </c>
      <c r="F983" s="81">
        <f>IF(Table25[[#This Row],[Number of stocks]]&gt;0,Table25[[#This Row],[Number of stocks]],0)</f>
        <v>300</v>
      </c>
      <c r="G983" s="73">
        <f>Table25[[#This Row],[Bought]]*Table25[[#This Row],[Price]]</f>
        <v>876</v>
      </c>
      <c r="H983">
        <f>SUMIF(Table25[[#All],[Assets]],Table25[[#This Row],[Assets]],Table25[[#All],[Bought]])</f>
        <v>885</v>
      </c>
      <c r="I983">
        <f>SUMIF(Table25[[#All],[Assets]],Table25[[#This Row],[Assets]],Table25[[#All],[Bought Amount]])</f>
        <v>2664.7</v>
      </c>
      <c r="J983" s="88">
        <f>IF(Table25[[#This Row],[Number of stocks]]&lt;0,Table25[[#This Row],[Number of stocks]],0)</f>
        <v>0</v>
      </c>
      <c r="K983" s="5">
        <f>Table25[[#This Row],[Sold]]*Table25[[#This Row],[Price]]</f>
        <v>0</v>
      </c>
      <c r="L983" s="8">
        <f>ABS(SUMIF(Table25[[#All],[Assets]],Table25[[#This Row],[Assets]],Table25[[#All],[Sold]]))</f>
        <v>885</v>
      </c>
      <c r="M983" s="5">
        <f>ABS(SUMIF(Table25[[#All],[Assets]],Table25[[#This Row],[Assets]],Table25[[#All],[Sold Amount]]))</f>
        <v>2591</v>
      </c>
      <c r="N983" s="5">
        <f>IFERROR(Table25[[#This Row],[Total sold amount]]/Table25[[#This Row],[Total Sold number of stocks]],"")</f>
        <v>2.927683615819209</v>
      </c>
      <c r="O983" s="4">
        <f>IFERROR(Table25[[#This Row],[Total Amount bought]]/Table25[[#This Row],[Total number bought]],"")</f>
        <v>3.0109604519774011</v>
      </c>
      <c r="P983" s="4">
        <f>IFERROR((Table25[[#This Row],[Average sell price]]-Table25[[#This Row],[Average buy price]])*Table25[[#This Row],[Total Sold number of stocks]],0)</f>
        <v>-73.700000000000045</v>
      </c>
      <c r="Q983" s="85">
        <f>SUMIF(Table25[[#All],[Assets]],Table25[[#This Row],[Assets]],Table25[[#All],[Number of stocks]])</f>
        <v>0</v>
      </c>
    </row>
    <row r="984" spans="1:17">
      <c r="A984" t="e" vm="183">
        <v>#VALUE!</v>
      </c>
      <c r="B984" s="2">
        <v>45715</v>
      </c>
      <c r="C984" t="str" cm="1">
        <f t="array" aca="1" ref="C984" ca="1">_FV(A984,"Ticker symbol",TRUE)</f>
        <v>ESOA</v>
      </c>
      <c r="D984" s="4">
        <v>9.83</v>
      </c>
      <c r="E984" s="50">
        <v>68</v>
      </c>
      <c r="F984" s="81">
        <f>IF(Table25[[#This Row],[Number of stocks]]&gt;0,Table25[[#This Row],[Number of stocks]],0)</f>
        <v>68</v>
      </c>
      <c r="G984" s="73">
        <f>Table25[[#This Row],[Bought]]*Table25[[#This Row],[Price]]</f>
        <v>668.44</v>
      </c>
      <c r="H984">
        <f>SUMIF(Table25[[#All],[Assets]],Table25[[#This Row],[Assets]],Table25[[#All],[Bought]])</f>
        <v>1832</v>
      </c>
      <c r="I984">
        <f>SUMIF(Table25[[#All],[Assets]],Table25[[#This Row],[Assets]],Table25[[#All],[Bought Amount]])</f>
        <v>18152.78</v>
      </c>
      <c r="J984" s="88">
        <f>IF(Table25[[#This Row],[Number of stocks]]&lt;0,Table25[[#This Row],[Number of stocks]],0)</f>
        <v>0</v>
      </c>
      <c r="K984" s="5">
        <f>Table25[[#This Row],[Sold]]*Table25[[#This Row],[Price]]</f>
        <v>0</v>
      </c>
      <c r="L984" s="8">
        <f>ABS(SUMIF(Table25[[#All],[Assets]],Table25[[#This Row],[Assets]],Table25[[#All],[Sold]]))</f>
        <v>1568</v>
      </c>
      <c r="M984" s="5">
        <f>ABS(SUMIF(Table25[[#All],[Assets]],Table25[[#This Row],[Assets]],Table25[[#All],[Sold Amount]]))</f>
        <v>14668</v>
      </c>
      <c r="N984" s="5">
        <f>IFERROR(Table25[[#This Row],[Total sold amount]]/Table25[[#This Row],[Total Sold number of stocks]],"")</f>
        <v>9.3545918367346932</v>
      </c>
      <c r="O984" s="4">
        <f>IFERROR(Table25[[#This Row],[Total Amount bought]]/Table25[[#This Row],[Total number bought]],"")</f>
        <v>9.9087227074235802</v>
      </c>
      <c r="P984" s="4">
        <f>IFERROR((Table25[[#This Row],[Average sell price]]-Table25[[#This Row],[Average buy price]])*Table25[[#This Row],[Total Sold number of stocks]],0)</f>
        <v>-868.87720524017482</v>
      </c>
      <c r="Q984" s="85">
        <f>SUMIF(Table25[[#All],[Assets]],Table25[[#This Row],[Assets]],Table25[[#All],[Number of stocks]])</f>
        <v>264</v>
      </c>
    </row>
    <row r="985" spans="1:17">
      <c r="A985" t="e" vm="269">
        <v>#VALUE!</v>
      </c>
      <c r="B985" s="2">
        <v>45715</v>
      </c>
      <c r="C985" t="str" cm="1">
        <f t="array" aca="1" ref="C985" ca="1">_FV(A985,"Ticker symbol",TRUE)</f>
        <v>ARIS</v>
      </c>
      <c r="D985" s="4">
        <v>29.54</v>
      </c>
      <c r="E985" s="50">
        <v>-10</v>
      </c>
      <c r="F985" s="81">
        <f>IF(Table25[[#This Row],[Number of stocks]]&gt;0,Table25[[#This Row],[Number of stocks]],0)</f>
        <v>0</v>
      </c>
      <c r="G985" s="73">
        <f>Table25[[#This Row],[Bought]]*Table25[[#This Row],[Price]]</f>
        <v>0</v>
      </c>
      <c r="H985">
        <f>SUMIF(Table25[[#All],[Assets]],Table25[[#This Row],[Assets]],Table25[[#All],[Bought]])</f>
        <v>34</v>
      </c>
      <c r="I985">
        <f>SUMIF(Table25[[#All],[Assets]],Table25[[#This Row],[Assets]],Table25[[#All],[Bought Amount]])</f>
        <v>533.29999999999995</v>
      </c>
      <c r="J985" s="88">
        <f>IF(Table25[[#This Row],[Number of stocks]]&lt;0,Table25[[#This Row],[Number of stocks]],0)</f>
        <v>-10</v>
      </c>
      <c r="K985" s="5">
        <f>Table25[[#This Row],[Sold]]*Table25[[#This Row],[Price]]</f>
        <v>-295.39999999999998</v>
      </c>
      <c r="L985" s="8">
        <f>ABS(SUMIF(Table25[[#All],[Assets]],Table25[[#This Row],[Assets]],Table25[[#All],[Sold]]))</f>
        <v>34</v>
      </c>
      <c r="M985" s="5">
        <f>ABS(SUMIF(Table25[[#All],[Assets]],Table25[[#This Row],[Assets]],Table25[[#All],[Sold Amount]]))</f>
        <v>861.31999999999994</v>
      </c>
      <c r="N985" s="5">
        <f>IFERROR(Table25[[#This Row],[Total sold amount]]/Table25[[#This Row],[Total Sold number of stocks]],"")</f>
        <v>25.332941176470587</v>
      </c>
      <c r="O985" s="4">
        <f>IFERROR(Table25[[#This Row],[Total Amount bought]]/Table25[[#This Row],[Total number bought]],"")</f>
        <v>15.685294117647057</v>
      </c>
      <c r="P985" s="4">
        <f>IFERROR((Table25[[#This Row],[Average sell price]]-Table25[[#This Row],[Average buy price]])*Table25[[#This Row],[Total Sold number of stocks]],0)</f>
        <v>328.02000000000004</v>
      </c>
      <c r="Q985" s="85">
        <f>SUMIF(Table25[[#All],[Assets]],Table25[[#This Row],[Assets]],Table25[[#All],[Number of stocks]])</f>
        <v>0</v>
      </c>
    </row>
    <row r="986" spans="1:17">
      <c r="A986" t="e" vm="249">
        <v>#VALUE!</v>
      </c>
      <c r="B986" s="2">
        <v>45715</v>
      </c>
      <c r="C986" t="str" cm="1">
        <f t="array" aca="1" ref="C986" ca="1">_FV(A986,"Ticker symbol",TRUE)</f>
        <v>OSCR</v>
      </c>
      <c r="D986" s="4">
        <v>15.27</v>
      </c>
      <c r="E986" s="50">
        <v>-30</v>
      </c>
      <c r="F986" s="81">
        <f>IF(Table25[[#This Row],[Number of stocks]]&gt;0,Table25[[#This Row],[Number of stocks]],0)</f>
        <v>0</v>
      </c>
      <c r="G986" s="73">
        <f>Table25[[#This Row],[Bought]]*Table25[[#This Row],[Price]]</f>
        <v>0</v>
      </c>
      <c r="H986">
        <f>SUMIF(Table25[[#All],[Assets]],Table25[[#This Row],[Assets]],Table25[[#All],[Bought]])</f>
        <v>195</v>
      </c>
      <c r="I986">
        <f>SUMIF(Table25[[#All],[Assets]],Table25[[#This Row],[Assets]],Table25[[#All],[Bought Amount]])</f>
        <v>3156.6</v>
      </c>
      <c r="J986" s="88">
        <f>IF(Table25[[#This Row],[Number of stocks]]&lt;0,Table25[[#This Row],[Number of stocks]],0)</f>
        <v>-30</v>
      </c>
      <c r="K986" s="5">
        <f>Table25[[#This Row],[Sold]]*Table25[[#This Row],[Price]]</f>
        <v>-458.09999999999997</v>
      </c>
      <c r="L986" s="8">
        <f>ABS(SUMIF(Table25[[#All],[Assets]],Table25[[#This Row],[Assets]],Table25[[#All],[Sold]]))</f>
        <v>195</v>
      </c>
      <c r="M986" s="5">
        <f>ABS(SUMIF(Table25[[#All],[Assets]],Table25[[#This Row],[Assets]],Table25[[#All],[Sold Amount]]))</f>
        <v>2927.3999999999996</v>
      </c>
      <c r="N986" s="5">
        <f>IFERROR(Table25[[#This Row],[Total sold amount]]/Table25[[#This Row],[Total Sold number of stocks]],"")</f>
        <v>15.01230769230769</v>
      </c>
      <c r="O986" s="4">
        <f>IFERROR(Table25[[#This Row],[Total Amount bought]]/Table25[[#This Row],[Total number bought]],"")</f>
        <v>16.187692307692306</v>
      </c>
      <c r="P986" s="4">
        <f>IFERROR((Table25[[#This Row],[Average sell price]]-Table25[[#This Row],[Average buy price]])*Table25[[#This Row],[Total Sold number of stocks]],0)</f>
        <v>-229.20000000000002</v>
      </c>
      <c r="Q986" s="85">
        <f>SUMIF(Table25[[#All],[Assets]],Table25[[#This Row],[Assets]],Table25[[#All],[Number of stocks]])</f>
        <v>0</v>
      </c>
    </row>
    <row r="987" spans="1:17">
      <c r="A987" t="e" vm="183">
        <v>#VALUE!</v>
      </c>
      <c r="B987" s="2">
        <v>45715</v>
      </c>
      <c r="C987" t="str" cm="1">
        <f t="array" aca="1" ref="C987" ca="1">_FV(A987,"Ticker symbol",TRUE)</f>
        <v>ESOA</v>
      </c>
      <c r="D987" s="4">
        <v>10.02</v>
      </c>
      <c r="E987" s="50">
        <v>50</v>
      </c>
      <c r="F987" s="81">
        <f>IF(Table25[[#This Row],[Number of stocks]]&gt;0,Table25[[#This Row],[Number of stocks]],0)</f>
        <v>50</v>
      </c>
      <c r="G987" s="73">
        <f>Table25[[#This Row],[Bought]]*Table25[[#This Row],[Price]]</f>
        <v>501</v>
      </c>
      <c r="H987">
        <f>SUMIF(Table25[[#All],[Assets]],Table25[[#This Row],[Assets]],Table25[[#All],[Bought]])</f>
        <v>1832</v>
      </c>
      <c r="I987">
        <f>SUMIF(Table25[[#All],[Assets]],Table25[[#This Row],[Assets]],Table25[[#All],[Bought Amount]])</f>
        <v>18152.78</v>
      </c>
      <c r="J987" s="88">
        <f>IF(Table25[[#This Row],[Number of stocks]]&lt;0,Table25[[#This Row],[Number of stocks]],0)</f>
        <v>0</v>
      </c>
      <c r="K987" s="5">
        <f>Table25[[#This Row],[Sold]]*Table25[[#This Row],[Price]]</f>
        <v>0</v>
      </c>
      <c r="L987" s="8">
        <f>ABS(SUMIF(Table25[[#All],[Assets]],Table25[[#This Row],[Assets]],Table25[[#All],[Sold]]))</f>
        <v>1568</v>
      </c>
      <c r="M987" s="5">
        <f>ABS(SUMIF(Table25[[#All],[Assets]],Table25[[#This Row],[Assets]],Table25[[#All],[Sold Amount]]))</f>
        <v>14668</v>
      </c>
      <c r="N987" s="5">
        <f>IFERROR(Table25[[#This Row],[Total sold amount]]/Table25[[#This Row],[Total Sold number of stocks]],"")</f>
        <v>9.3545918367346932</v>
      </c>
      <c r="O987" s="4">
        <f>IFERROR(Table25[[#This Row],[Total Amount bought]]/Table25[[#This Row],[Total number bought]],"")</f>
        <v>9.9087227074235802</v>
      </c>
      <c r="P987" s="4">
        <f>IFERROR((Table25[[#This Row],[Average sell price]]-Table25[[#This Row],[Average buy price]])*Table25[[#This Row],[Total Sold number of stocks]],0)</f>
        <v>-868.87720524017482</v>
      </c>
      <c r="Q987" s="85">
        <f>SUMIF(Table25[[#All],[Assets]],Table25[[#This Row],[Assets]],Table25[[#All],[Number of stocks]])</f>
        <v>264</v>
      </c>
    </row>
    <row r="988" spans="1:17">
      <c r="A988" t="e" vm="85">
        <v>#VALUE!</v>
      </c>
      <c r="B988" s="2">
        <v>45715</v>
      </c>
      <c r="C988" t="str" cm="1">
        <f t="array" aca="1" ref="C988" ca="1">_FV(A988,"Ticker symbol",TRUE)</f>
        <v>HOOD</v>
      </c>
      <c r="D988" s="4">
        <v>51.46</v>
      </c>
      <c r="E988" s="50">
        <v>10</v>
      </c>
      <c r="F988" s="81">
        <f>IF(Table25[[#This Row],[Number of stocks]]&gt;0,Table25[[#This Row],[Number of stocks]],0)</f>
        <v>10</v>
      </c>
      <c r="G988" s="73">
        <f>Table25[[#This Row],[Bought]]*Table25[[#This Row],[Price]]</f>
        <v>514.6</v>
      </c>
      <c r="H988">
        <f>SUMIF(Table25[[#All],[Assets]],Table25[[#This Row],[Assets]],Table25[[#All],[Bought]])</f>
        <v>105</v>
      </c>
      <c r="I988">
        <f>SUMIF(Table25[[#All],[Assets]],Table25[[#This Row],[Assets]],Table25[[#All],[Bought Amount]])</f>
        <v>4056.0900000000006</v>
      </c>
      <c r="J988" s="88">
        <f>IF(Table25[[#This Row],[Number of stocks]]&lt;0,Table25[[#This Row],[Number of stocks]],0)</f>
        <v>0</v>
      </c>
      <c r="K988" s="5">
        <f>Table25[[#This Row],[Sold]]*Table25[[#This Row],[Price]]</f>
        <v>0</v>
      </c>
      <c r="L988" s="8">
        <f>ABS(SUMIF(Table25[[#All],[Assets]],Table25[[#This Row],[Assets]],Table25[[#All],[Sold]]))</f>
        <v>80</v>
      </c>
      <c r="M988" s="5">
        <f>ABS(SUMIF(Table25[[#All],[Assets]],Table25[[#This Row],[Assets]],Table25[[#All],[Sold Amount]]))</f>
        <v>2255.4300000000003</v>
      </c>
      <c r="N988" s="5">
        <f>IFERROR(Table25[[#This Row],[Total sold amount]]/Table25[[#This Row],[Total Sold number of stocks]],"")</f>
        <v>28.192875000000004</v>
      </c>
      <c r="O988" s="4">
        <f>IFERROR(Table25[[#This Row],[Total Amount bought]]/Table25[[#This Row],[Total number bought]],"")</f>
        <v>38.629428571428576</v>
      </c>
      <c r="P988" s="4">
        <f>IFERROR((Table25[[#This Row],[Average sell price]]-Table25[[#This Row],[Average buy price]])*Table25[[#This Row],[Total Sold number of stocks]],0)</f>
        <v>-834.92428571428582</v>
      </c>
      <c r="Q988" s="85">
        <f>SUMIF(Table25[[#All],[Assets]],Table25[[#This Row],[Assets]],Table25[[#All],[Number of stocks]])</f>
        <v>25</v>
      </c>
    </row>
    <row r="989" spans="1:17">
      <c r="A989" t="e" vm="176">
        <v>#VALUE!</v>
      </c>
      <c r="B989" s="2">
        <v>45716</v>
      </c>
      <c r="C989" t="str" cm="1">
        <f t="array" aca="1" ref="C989" ca="1">_FV(A989,"Ticker symbol",TRUE)</f>
        <v>HUT</v>
      </c>
      <c r="D989" s="4">
        <v>14.44</v>
      </c>
      <c r="E989" s="50">
        <v>-100</v>
      </c>
      <c r="F989" s="81">
        <f>IF(Table25[[#This Row],[Number of stocks]]&gt;0,Table25[[#This Row],[Number of stocks]],0)</f>
        <v>0</v>
      </c>
      <c r="G989" s="73">
        <f>Table25[[#This Row],[Bought]]*Table25[[#This Row],[Price]]</f>
        <v>0</v>
      </c>
      <c r="H989">
        <f>SUMIF(Table25[[#All],[Assets]],Table25[[#This Row],[Assets]],Table25[[#All],[Bought]])</f>
        <v>461</v>
      </c>
      <c r="I989">
        <f>SUMIF(Table25[[#All],[Assets]],Table25[[#This Row],[Assets]],Table25[[#All],[Bought Amount]])</f>
        <v>12551.63</v>
      </c>
      <c r="J989" s="88">
        <f>IF(Table25[[#This Row],[Number of stocks]]&lt;0,Table25[[#This Row],[Number of stocks]],0)</f>
        <v>-100</v>
      </c>
      <c r="K989" s="5">
        <f>Table25[[#This Row],[Sold]]*Table25[[#This Row],[Price]]</f>
        <v>-1444</v>
      </c>
      <c r="L989" s="8">
        <f>ABS(SUMIF(Table25[[#All],[Assets]],Table25[[#This Row],[Assets]],Table25[[#All],[Sold]]))</f>
        <v>350</v>
      </c>
      <c r="M989" s="5">
        <f>ABS(SUMIF(Table25[[#All],[Assets]],Table25[[#This Row],[Assets]],Table25[[#All],[Sold Amount]]))</f>
        <v>6704.5</v>
      </c>
      <c r="N989" s="5">
        <f>IFERROR(Table25[[#This Row],[Total sold amount]]/Table25[[#This Row],[Total Sold number of stocks]],"")</f>
        <v>19.155714285714286</v>
      </c>
      <c r="O989" s="4">
        <f>IFERROR(Table25[[#This Row],[Total Amount bought]]/Table25[[#This Row],[Total number bought]],"")</f>
        <v>27.22696312364425</v>
      </c>
      <c r="P989" s="4">
        <f>IFERROR((Table25[[#This Row],[Average sell price]]-Table25[[#This Row],[Average buy price]])*Table25[[#This Row],[Total Sold number of stocks]],0)</f>
        <v>-2824.9370932754873</v>
      </c>
      <c r="Q989" s="85">
        <f>SUMIF(Table25[[#All],[Assets]],Table25[[#This Row],[Assets]],Table25[[#All],[Number of stocks]])</f>
        <v>111</v>
      </c>
    </row>
    <row r="990" spans="1:17">
      <c r="A990" t="e" vm="195">
        <v>#VALUE!</v>
      </c>
      <c r="B990" s="2">
        <v>45716</v>
      </c>
      <c r="C990" t="str" cm="1">
        <f t="array" aca="1" ref="C990" ca="1">_FV(A990,"Ticker symbol",TRUE)</f>
        <v>LBRT</v>
      </c>
      <c r="D990" s="4">
        <v>17.03</v>
      </c>
      <c r="E990" s="50">
        <v>-49</v>
      </c>
      <c r="F990" s="81">
        <f>IF(Table25[[#This Row],[Number of stocks]]&gt;0,Table25[[#This Row],[Number of stocks]],0)</f>
        <v>0</v>
      </c>
      <c r="G990" s="73">
        <f>Table25[[#This Row],[Bought]]*Table25[[#This Row],[Price]]</f>
        <v>0</v>
      </c>
      <c r="H990">
        <f>SUMIF(Table25[[#All],[Assets]],Table25[[#This Row],[Assets]],Table25[[#All],[Bought]])</f>
        <v>130</v>
      </c>
      <c r="I990">
        <f>SUMIF(Table25[[#All],[Assets]],Table25[[#This Row],[Assets]],Table25[[#All],[Bought Amount]])</f>
        <v>2190.91</v>
      </c>
      <c r="J990" s="88">
        <f>IF(Table25[[#This Row],[Number of stocks]]&lt;0,Table25[[#This Row],[Number of stocks]],0)</f>
        <v>-49</v>
      </c>
      <c r="K990" s="5">
        <f>Table25[[#This Row],[Sold]]*Table25[[#This Row],[Price]]</f>
        <v>-834.47</v>
      </c>
      <c r="L990" s="8">
        <f>ABS(SUMIF(Table25[[#All],[Assets]],Table25[[#This Row],[Assets]],Table25[[#All],[Sold]]))</f>
        <v>60</v>
      </c>
      <c r="M990" s="5">
        <f>ABS(SUMIF(Table25[[#All],[Assets]],Table25[[#This Row],[Assets]],Table25[[#All],[Sold Amount]]))</f>
        <v>982.86</v>
      </c>
      <c r="N990" s="5">
        <f>IFERROR(Table25[[#This Row],[Total sold amount]]/Table25[[#This Row],[Total Sold number of stocks]],"")</f>
        <v>16.381</v>
      </c>
      <c r="O990" s="4">
        <f>IFERROR(Table25[[#This Row],[Total Amount bought]]/Table25[[#This Row],[Total number bought]],"")</f>
        <v>16.853153846153845</v>
      </c>
      <c r="P990" s="4">
        <f>IFERROR((Table25[[#This Row],[Average sell price]]-Table25[[#This Row],[Average buy price]])*Table25[[#This Row],[Total Sold number of stocks]],0)</f>
        <v>-28.329230769230662</v>
      </c>
      <c r="Q990" s="85">
        <f>SUMIF(Table25[[#All],[Assets]],Table25[[#This Row],[Assets]],Table25[[#All],[Number of stocks]])</f>
        <v>70</v>
      </c>
    </row>
    <row r="991" spans="1:17">
      <c r="A991" t="e" vm="182">
        <v>#VALUE!</v>
      </c>
      <c r="B991" s="2">
        <v>45716</v>
      </c>
      <c r="C991" t="str" cm="1">
        <f t="array" aca="1" ref="C991" ca="1">_FV(A991,"Ticker symbol",TRUE)</f>
        <v>PUMP</v>
      </c>
      <c r="D991" s="4">
        <v>8.31</v>
      </c>
      <c r="E991" s="50">
        <v>-100</v>
      </c>
      <c r="F991" s="81">
        <f>IF(Table25[[#This Row],[Number of stocks]]&gt;0,Table25[[#This Row],[Number of stocks]],0)</f>
        <v>0</v>
      </c>
      <c r="G991" s="73">
        <f>Table25[[#This Row],[Bought]]*Table25[[#This Row],[Price]]</f>
        <v>0</v>
      </c>
      <c r="H991">
        <f>SUMIF(Table25[[#All],[Assets]],Table25[[#This Row],[Assets]],Table25[[#All],[Bought]])</f>
        <v>425</v>
      </c>
      <c r="I991">
        <f>SUMIF(Table25[[#All],[Assets]],Table25[[#This Row],[Assets]],Table25[[#All],[Bought Amount]])</f>
        <v>2988.75</v>
      </c>
      <c r="J991" s="88">
        <f>IF(Table25[[#This Row],[Number of stocks]]&lt;0,Table25[[#This Row],[Number of stocks]],0)</f>
        <v>-100</v>
      </c>
      <c r="K991" s="5">
        <f>Table25[[#This Row],[Sold]]*Table25[[#This Row],[Price]]</f>
        <v>-831</v>
      </c>
      <c r="L991" s="8">
        <f>ABS(SUMIF(Table25[[#All],[Assets]],Table25[[#This Row],[Assets]],Table25[[#All],[Sold]]))</f>
        <v>100</v>
      </c>
      <c r="M991" s="5">
        <f>ABS(SUMIF(Table25[[#All],[Assets]],Table25[[#This Row],[Assets]],Table25[[#All],[Sold Amount]]))</f>
        <v>831</v>
      </c>
      <c r="N991" s="5">
        <f>IFERROR(Table25[[#This Row],[Total sold amount]]/Table25[[#This Row],[Total Sold number of stocks]],"")</f>
        <v>8.31</v>
      </c>
      <c r="O991" s="4">
        <f>IFERROR(Table25[[#This Row],[Total Amount bought]]/Table25[[#This Row],[Total number bought]],"")</f>
        <v>7.0323529411764705</v>
      </c>
      <c r="P991" s="4">
        <f>IFERROR((Table25[[#This Row],[Average sell price]]-Table25[[#This Row],[Average buy price]])*Table25[[#This Row],[Total Sold number of stocks]],0)</f>
        <v>127.764705882353</v>
      </c>
      <c r="Q991" s="85">
        <f>SUMIF(Table25[[#All],[Assets]],Table25[[#This Row],[Assets]],Table25[[#All],[Number of stocks]])</f>
        <v>325</v>
      </c>
    </row>
    <row r="992" spans="1:17">
      <c r="A992" t="e" vm="263">
        <v>#VALUE!</v>
      </c>
      <c r="B992" s="2">
        <v>45716</v>
      </c>
      <c r="C992" t="str" cm="1">
        <f t="array" aca="1" ref="C992" ca="1">_FV(A992,"Ticker symbol",TRUE)</f>
        <v>GDRX</v>
      </c>
      <c r="D992" s="4">
        <v>4.47</v>
      </c>
      <c r="E992" s="50">
        <v>100</v>
      </c>
      <c r="F992" s="81">
        <f>IF(Table25[[#This Row],[Number of stocks]]&gt;0,Table25[[#This Row],[Number of stocks]],0)</f>
        <v>100</v>
      </c>
      <c r="G992" s="73">
        <f>Table25[[#This Row],[Bought]]*Table25[[#This Row],[Price]]</f>
        <v>447</v>
      </c>
      <c r="H992">
        <f>SUMIF(Table25[[#All],[Assets]],Table25[[#This Row],[Assets]],Table25[[#All],[Bought]])</f>
        <v>420</v>
      </c>
      <c r="I992">
        <f>SUMIF(Table25[[#All],[Assets]],Table25[[#This Row],[Assets]],Table25[[#All],[Bought Amount]])</f>
        <v>1907.8000000000002</v>
      </c>
      <c r="J992" s="88">
        <f>IF(Table25[[#This Row],[Number of stocks]]&lt;0,Table25[[#This Row],[Number of stocks]],0)</f>
        <v>0</v>
      </c>
      <c r="K992" s="5">
        <f>Table25[[#This Row],[Sold]]*Table25[[#This Row],[Price]]</f>
        <v>0</v>
      </c>
      <c r="L992" s="8">
        <f>ABS(SUMIF(Table25[[#All],[Assets]],Table25[[#This Row],[Assets]],Table25[[#All],[Sold]]))</f>
        <v>420</v>
      </c>
      <c r="M992" s="5">
        <f>ABS(SUMIF(Table25[[#All],[Assets]],Table25[[#This Row],[Assets]],Table25[[#All],[Sold Amount]]))</f>
        <v>1792.2000000000003</v>
      </c>
      <c r="N992" s="5">
        <f>IFERROR(Table25[[#This Row],[Total sold amount]]/Table25[[#This Row],[Total Sold number of stocks]],"")</f>
        <v>4.2671428571428578</v>
      </c>
      <c r="O992" s="4">
        <f>IFERROR(Table25[[#This Row],[Total Amount bought]]/Table25[[#This Row],[Total number bought]],"")</f>
        <v>4.5423809523809524</v>
      </c>
      <c r="P992" s="4">
        <f>IFERROR((Table25[[#This Row],[Average sell price]]-Table25[[#This Row],[Average buy price]])*Table25[[#This Row],[Total Sold number of stocks]],0)</f>
        <v>-115.59999999999974</v>
      </c>
      <c r="Q992" s="85">
        <f>SUMIF(Table25[[#All],[Assets]],Table25[[#This Row],[Assets]],Table25[[#All],[Number of stocks]])</f>
        <v>0</v>
      </c>
    </row>
    <row r="993" spans="1:17">
      <c r="A993" t="e" vm="486">
        <v>#VALUE!</v>
      </c>
      <c r="B993" s="2">
        <v>45716</v>
      </c>
      <c r="C993" t="str" cm="1">
        <f t="array" aca="1" ref="C993" ca="1">_FV(A993,"Ticker symbol",TRUE)</f>
        <v>MQ</v>
      </c>
      <c r="D993" s="4">
        <v>4.1500000000000004</v>
      </c>
      <c r="E993" s="50">
        <v>120</v>
      </c>
      <c r="F993" s="81">
        <f>IF(Table25[[#This Row],[Number of stocks]]&gt;0,Table25[[#This Row],[Number of stocks]],0)</f>
        <v>120</v>
      </c>
      <c r="G993" s="73">
        <f>Table25[[#This Row],[Bought]]*Table25[[#This Row],[Price]]</f>
        <v>498.00000000000006</v>
      </c>
      <c r="H993">
        <f>SUMIF(Table25[[#All],[Assets]],Table25[[#This Row],[Assets]],Table25[[#All],[Bought]])</f>
        <v>120</v>
      </c>
      <c r="I993">
        <f>SUMIF(Table25[[#All],[Assets]],Table25[[#This Row],[Assets]],Table25[[#All],[Bought Amount]])</f>
        <v>498.00000000000006</v>
      </c>
      <c r="J993" s="88">
        <f>IF(Table25[[#This Row],[Number of stocks]]&lt;0,Table25[[#This Row],[Number of stocks]],0)</f>
        <v>0</v>
      </c>
      <c r="K993" s="5">
        <f>Table25[[#This Row],[Sold]]*Table25[[#This Row],[Price]]</f>
        <v>0</v>
      </c>
      <c r="L993" s="8">
        <f>ABS(SUMIF(Table25[[#All],[Assets]],Table25[[#This Row],[Assets]],Table25[[#All],[Sold]]))</f>
        <v>120</v>
      </c>
      <c r="M993" s="5">
        <f>ABS(SUMIF(Table25[[#All],[Assets]],Table25[[#This Row],[Assets]],Table25[[#All],[Sold Amount]]))</f>
        <v>480</v>
      </c>
      <c r="N993" s="5">
        <f>IFERROR(Table25[[#This Row],[Total sold amount]]/Table25[[#This Row],[Total Sold number of stocks]],"")</f>
        <v>4</v>
      </c>
      <c r="O993" s="4">
        <f>IFERROR(Table25[[#This Row],[Total Amount bought]]/Table25[[#This Row],[Total number bought]],"")</f>
        <v>4.1500000000000004</v>
      </c>
      <c r="P993" s="4">
        <f>IFERROR((Table25[[#This Row],[Average sell price]]-Table25[[#This Row],[Average buy price]])*Table25[[#This Row],[Total Sold number of stocks]],0)</f>
        <v>-18.000000000000043</v>
      </c>
      <c r="Q993" s="85">
        <f>SUMIF(Table25[[#All],[Assets]],Table25[[#This Row],[Assets]],Table25[[#All],[Number of stocks]])</f>
        <v>0</v>
      </c>
    </row>
    <row r="994" spans="1:17">
      <c r="A994" t="e" vm="549">
        <v>#VALUE!</v>
      </c>
      <c r="B994" s="2">
        <v>45716</v>
      </c>
      <c r="C994" t="str" cm="1">
        <f t="array" aca="1" ref="C994" ca="1">_FV(A994,"Ticker symbol",TRUE)</f>
        <v>LQDT</v>
      </c>
      <c r="D994" s="4">
        <v>33.03</v>
      </c>
      <c r="E994" s="50">
        <v>15</v>
      </c>
      <c r="F994" s="81">
        <f>IF(Table25[[#This Row],[Number of stocks]]&gt;0,Table25[[#This Row],[Number of stocks]],0)</f>
        <v>15</v>
      </c>
      <c r="G994" s="73">
        <f>Table25[[#This Row],[Bought]]*Table25[[#This Row],[Price]]</f>
        <v>495.45000000000005</v>
      </c>
      <c r="H994">
        <f>SUMIF(Table25[[#All],[Assets]],Table25[[#This Row],[Assets]],Table25[[#All],[Bought]])</f>
        <v>15</v>
      </c>
      <c r="I994">
        <f>SUMIF(Table25[[#All],[Assets]],Table25[[#This Row],[Assets]],Table25[[#All],[Bought Amount]])</f>
        <v>495.45000000000005</v>
      </c>
      <c r="J994" s="88">
        <f>IF(Table25[[#This Row],[Number of stocks]]&lt;0,Table25[[#This Row],[Number of stocks]],0)</f>
        <v>0</v>
      </c>
      <c r="K994" s="5">
        <f>Table25[[#This Row],[Sold]]*Table25[[#This Row],[Price]]</f>
        <v>0</v>
      </c>
      <c r="L994" s="8">
        <f>ABS(SUMIF(Table25[[#All],[Assets]],Table25[[#This Row],[Assets]],Table25[[#All],[Sold]]))</f>
        <v>15</v>
      </c>
      <c r="M994" s="5">
        <f>ABS(SUMIF(Table25[[#All],[Assets]],Table25[[#This Row],[Assets]],Table25[[#All],[Sold Amount]]))</f>
        <v>450.15</v>
      </c>
      <c r="N994" s="5">
        <f>IFERROR(Table25[[#This Row],[Total sold amount]]/Table25[[#This Row],[Total Sold number of stocks]],"")</f>
        <v>30.009999999999998</v>
      </c>
      <c r="O994" s="4">
        <f>IFERROR(Table25[[#This Row],[Total Amount bought]]/Table25[[#This Row],[Total number bought]],"")</f>
        <v>33.03</v>
      </c>
      <c r="P994" s="4">
        <f>IFERROR((Table25[[#This Row],[Average sell price]]-Table25[[#This Row],[Average buy price]])*Table25[[#This Row],[Total Sold number of stocks]],0)</f>
        <v>-45.300000000000047</v>
      </c>
      <c r="Q994" s="85">
        <f>SUMIF(Table25[[#All],[Assets]],Table25[[#This Row],[Assets]],Table25[[#All],[Number of stocks]])</f>
        <v>0</v>
      </c>
    </row>
    <row r="995" spans="1:17">
      <c r="A995" t="e" vm="179">
        <v>#VALUE!</v>
      </c>
      <c r="B995" s="2">
        <v>45716</v>
      </c>
      <c r="C995" t="str" cm="1">
        <f t="array" aca="1" ref="C995" ca="1">_FV(A995,"Ticker symbol",TRUE)</f>
        <v>ET</v>
      </c>
      <c r="D995" s="4">
        <v>19.100000000000001</v>
      </c>
      <c r="E995" s="50">
        <v>50</v>
      </c>
      <c r="F995" s="81">
        <f>IF(Table25[[#This Row],[Number of stocks]]&gt;0,Table25[[#This Row],[Number of stocks]],0)</f>
        <v>50</v>
      </c>
      <c r="G995" s="73">
        <f>Table25[[#This Row],[Bought]]*Table25[[#This Row],[Price]]</f>
        <v>955.00000000000011</v>
      </c>
      <c r="H995">
        <f>SUMIF(Table25[[#All],[Assets]],Table25[[#This Row],[Assets]],Table25[[#All],[Bought]])</f>
        <v>345</v>
      </c>
      <c r="I995">
        <f>SUMIF(Table25[[#All],[Assets]],Table25[[#This Row],[Assets]],Table25[[#All],[Bought Amount]])</f>
        <v>5878.3</v>
      </c>
      <c r="J995" s="88">
        <f>IF(Table25[[#This Row],[Number of stocks]]&lt;0,Table25[[#This Row],[Number of stocks]],0)</f>
        <v>0</v>
      </c>
      <c r="K995" s="5">
        <f>Table25[[#This Row],[Sold]]*Table25[[#This Row],[Price]]</f>
        <v>0</v>
      </c>
      <c r="L995" s="8">
        <f>ABS(SUMIF(Table25[[#All],[Assets]],Table25[[#This Row],[Assets]],Table25[[#All],[Sold]]))</f>
        <v>40</v>
      </c>
      <c r="M995" s="5">
        <f>ABS(SUMIF(Table25[[#All],[Assets]],Table25[[#This Row],[Assets]],Table25[[#All],[Sold Amount]]))</f>
        <v>660.8</v>
      </c>
      <c r="N995" s="5">
        <f>IFERROR(Table25[[#This Row],[Total sold amount]]/Table25[[#This Row],[Total Sold number of stocks]],"")</f>
        <v>16.52</v>
      </c>
      <c r="O995" s="4">
        <f>IFERROR(Table25[[#This Row],[Total Amount bought]]/Table25[[#This Row],[Total number bought]],"")</f>
        <v>17.03855072463768</v>
      </c>
      <c r="P995" s="4">
        <f>IFERROR((Table25[[#This Row],[Average sell price]]-Table25[[#This Row],[Average buy price]])*Table25[[#This Row],[Total Sold number of stocks]],0)</f>
        <v>-20.742028985507233</v>
      </c>
      <c r="Q995" s="85">
        <f>SUMIF(Table25[[#All],[Assets]],Table25[[#This Row],[Assets]],Table25[[#All],[Number of stocks]])</f>
        <v>305</v>
      </c>
    </row>
    <row r="996" spans="1:17">
      <c r="A996" t="e" vm="335">
        <v>#VALUE!</v>
      </c>
      <c r="B996" s="2">
        <v>45716</v>
      </c>
      <c r="C996" t="str" cm="1">
        <f t="array" aca="1" ref="C996" ca="1">_FV(A996,"Ticker symbol",TRUE)</f>
        <v>AMN</v>
      </c>
      <c r="D996" s="4">
        <v>25.8</v>
      </c>
      <c r="E996" s="50">
        <v>20</v>
      </c>
      <c r="F996" s="81">
        <f>IF(Table25[[#This Row],[Number of stocks]]&gt;0,Table25[[#This Row],[Number of stocks]],0)</f>
        <v>20</v>
      </c>
      <c r="G996" s="73">
        <f>Table25[[#This Row],[Bought]]*Table25[[#This Row],[Price]]</f>
        <v>516</v>
      </c>
      <c r="H996">
        <f>SUMIF(Table25[[#All],[Assets]],Table25[[#This Row],[Assets]],Table25[[#All],[Bought]])</f>
        <v>20</v>
      </c>
      <c r="I996">
        <f>SUMIF(Table25[[#All],[Assets]],Table25[[#This Row],[Assets]],Table25[[#All],[Bought Amount]])</f>
        <v>516</v>
      </c>
      <c r="J996" s="88">
        <f>IF(Table25[[#This Row],[Number of stocks]]&lt;0,Table25[[#This Row],[Number of stocks]],0)</f>
        <v>0</v>
      </c>
      <c r="K996" s="5">
        <f>Table25[[#This Row],[Sold]]*Table25[[#This Row],[Price]]</f>
        <v>0</v>
      </c>
      <c r="L996" s="8">
        <f>ABS(SUMIF(Table25[[#All],[Assets]],Table25[[#This Row],[Assets]],Table25[[#All],[Sold]]))</f>
        <v>20</v>
      </c>
      <c r="M996" s="5">
        <f>ABS(SUMIF(Table25[[#All],[Assets]],Table25[[#This Row],[Assets]],Table25[[#All],[Sold Amount]]))</f>
        <v>530.4</v>
      </c>
      <c r="N996" s="5">
        <f>IFERROR(Table25[[#This Row],[Total sold amount]]/Table25[[#This Row],[Total Sold number of stocks]],"")</f>
        <v>26.52</v>
      </c>
      <c r="O996" s="4">
        <f>IFERROR(Table25[[#This Row],[Total Amount bought]]/Table25[[#This Row],[Total number bought]],"")</f>
        <v>25.8</v>
      </c>
      <c r="P996" s="4">
        <f>IFERROR((Table25[[#This Row],[Average sell price]]-Table25[[#This Row],[Average buy price]])*Table25[[#This Row],[Total Sold number of stocks]],0)</f>
        <v>14.399999999999977</v>
      </c>
      <c r="Q996" s="85">
        <f>SUMIF(Table25[[#All],[Assets]],Table25[[#This Row],[Assets]],Table25[[#All],[Number of stocks]])</f>
        <v>0</v>
      </c>
    </row>
    <row r="997" spans="1:17">
      <c r="A997" t="e" vm="41">
        <v>#VALUE!</v>
      </c>
      <c r="B997" s="2">
        <v>45716</v>
      </c>
      <c r="C997" t="str" cm="1">
        <f t="array" aca="1" ref="C997" ca="1">_FV(A997,"Ticker symbol",TRUE)</f>
        <v>AGX</v>
      </c>
      <c r="D997" s="4">
        <v>125.76</v>
      </c>
      <c r="E997" s="50">
        <v>5</v>
      </c>
      <c r="F997" s="81">
        <f>IF(Table25[[#This Row],[Number of stocks]]&gt;0,Table25[[#This Row],[Number of stocks]],0)</f>
        <v>5</v>
      </c>
      <c r="G997" s="73">
        <f>Table25[[#This Row],[Bought]]*Table25[[#This Row],[Price]]</f>
        <v>628.80000000000007</v>
      </c>
      <c r="H997">
        <f>SUMIF(Table25[[#All],[Assets]],Table25[[#This Row],[Assets]],Table25[[#All],[Bought]])</f>
        <v>18</v>
      </c>
      <c r="I997">
        <f>SUMIF(Table25[[#All],[Assets]],Table25[[#This Row],[Assets]],Table25[[#All],[Bought Amount]])</f>
        <v>2470.9900000000002</v>
      </c>
      <c r="J997" s="88">
        <f>IF(Table25[[#This Row],[Number of stocks]]&lt;0,Table25[[#This Row],[Number of stocks]],0)</f>
        <v>0</v>
      </c>
      <c r="K997" s="5">
        <f>Table25[[#This Row],[Sold]]*Table25[[#This Row],[Price]]</f>
        <v>0</v>
      </c>
      <c r="L997" s="8">
        <f>ABS(SUMIF(Table25[[#All],[Assets]],Table25[[#This Row],[Assets]],Table25[[#All],[Sold]]))</f>
        <v>18</v>
      </c>
      <c r="M997" s="5">
        <f>ABS(SUMIF(Table25[[#All],[Assets]],Table25[[#This Row],[Assets]],Table25[[#All],[Sold Amount]]))</f>
        <v>3587.9800000000005</v>
      </c>
      <c r="N997" s="5">
        <f>IFERROR(Table25[[#This Row],[Total sold amount]]/Table25[[#This Row],[Total Sold number of stocks]],"")</f>
        <v>199.33222222222224</v>
      </c>
      <c r="O997" s="4">
        <f>IFERROR(Table25[[#This Row],[Total Amount bought]]/Table25[[#This Row],[Total number bought]],"")</f>
        <v>137.27722222222224</v>
      </c>
      <c r="P997" s="4">
        <f>IFERROR((Table25[[#This Row],[Average sell price]]-Table25[[#This Row],[Average buy price]])*Table25[[#This Row],[Total Sold number of stocks]],0)</f>
        <v>1116.9900000000002</v>
      </c>
      <c r="Q997" s="85">
        <f>SUMIF(Table25[[#All],[Assets]],Table25[[#This Row],[Assets]],Table25[[#All],[Number of stocks]])</f>
        <v>0</v>
      </c>
    </row>
    <row r="998" spans="1:17">
      <c r="A998" t="e" vm="41">
        <v>#VALUE!</v>
      </c>
      <c r="B998" s="2">
        <v>45716</v>
      </c>
      <c r="C998" t="str" cm="1">
        <f t="array" aca="1" ref="C998" ca="1">_FV(A998,"Ticker symbol",TRUE)</f>
        <v>AGX</v>
      </c>
      <c r="D998" s="4">
        <v>125.76</v>
      </c>
      <c r="E998" s="50">
        <v>2</v>
      </c>
      <c r="F998" s="81">
        <f>IF(Table25[[#This Row],[Number of stocks]]&gt;0,Table25[[#This Row],[Number of stocks]],0)</f>
        <v>2</v>
      </c>
      <c r="G998" s="73">
        <f>Table25[[#This Row],[Bought]]*Table25[[#This Row],[Price]]</f>
        <v>251.52</v>
      </c>
      <c r="H998">
        <f>SUMIF(Table25[[#All],[Assets]],Table25[[#This Row],[Assets]],Table25[[#All],[Bought]])</f>
        <v>18</v>
      </c>
      <c r="I998">
        <f>SUMIF(Table25[[#All],[Assets]],Table25[[#This Row],[Assets]],Table25[[#All],[Bought Amount]])</f>
        <v>2470.9900000000002</v>
      </c>
      <c r="J998" s="88">
        <f>IF(Table25[[#This Row],[Number of stocks]]&lt;0,Table25[[#This Row],[Number of stocks]],0)</f>
        <v>0</v>
      </c>
      <c r="K998" s="5">
        <f>Table25[[#This Row],[Sold]]*Table25[[#This Row],[Price]]</f>
        <v>0</v>
      </c>
      <c r="L998" s="8">
        <f>ABS(SUMIF(Table25[[#All],[Assets]],Table25[[#This Row],[Assets]],Table25[[#All],[Sold]]))</f>
        <v>18</v>
      </c>
      <c r="M998" s="5">
        <f>ABS(SUMIF(Table25[[#All],[Assets]],Table25[[#This Row],[Assets]],Table25[[#All],[Sold Amount]]))</f>
        <v>3587.9800000000005</v>
      </c>
      <c r="N998" s="5">
        <f>IFERROR(Table25[[#This Row],[Total sold amount]]/Table25[[#This Row],[Total Sold number of stocks]],"")</f>
        <v>199.33222222222224</v>
      </c>
      <c r="O998" s="4">
        <f>IFERROR(Table25[[#This Row],[Total Amount bought]]/Table25[[#This Row],[Total number bought]],"")</f>
        <v>137.27722222222224</v>
      </c>
      <c r="P998" s="4">
        <f>IFERROR((Table25[[#This Row],[Average sell price]]-Table25[[#This Row],[Average buy price]])*Table25[[#This Row],[Total Sold number of stocks]],0)</f>
        <v>1116.9900000000002</v>
      </c>
      <c r="Q998" s="85">
        <f>SUMIF(Table25[[#All],[Assets]],Table25[[#This Row],[Assets]],Table25[[#All],[Number of stocks]])</f>
        <v>0</v>
      </c>
    </row>
    <row r="999" spans="1:17">
      <c r="A999" t="e" vm="276">
        <v>#VALUE!</v>
      </c>
      <c r="B999" s="2">
        <v>45716</v>
      </c>
      <c r="C999" t="str" cm="1">
        <f t="array" aca="1" ref="C999" ca="1">_FV(A999,"Ticker symbol",TRUE)</f>
        <v>PGNY</v>
      </c>
      <c r="D999" s="4">
        <v>22.82</v>
      </c>
      <c r="E999" s="50">
        <v>-32</v>
      </c>
      <c r="F999" s="81">
        <f>IF(Table25[[#This Row],[Number of stocks]]&gt;0,Table25[[#This Row],[Number of stocks]],0)</f>
        <v>0</v>
      </c>
      <c r="G999" s="73">
        <f>Table25[[#This Row],[Bought]]*Table25[[#This Row],[Price]]</f>
        <v>0</v>
      </c>
      <c r="H999">
        <f>SUMIF(Table25[[#All],[Assets]],Table25[[#This Row],[Assets]],Table25[[#All],[Bought]])</f>
        <v>42</v>
      </c>
      <c r="I999">
        <f>SUMIF(Table25[[#All],[Assets]],Table25[[#This Row],[Assets]],Table25[[#All],[Bought Amount]])</f>
        <v>673.02</v>
      </c>
      <c r="J999" s="88">
        <f>IF(Table25[[#This Row],[Number of stocks]]&lt;0,Table25[[#This Row],[Number of stocks]],0)</f>
        <v>-32</v>
      </c>
      <c r="K999" s="5">
        <f>Table25[[#This Row],[Sold]]*Table25[[#This Row],[Price]]</f>
        <v>-730.24</v>
      </c>
      <c r="L999" s="8">
        <f>ABS(SUMIF(Table25[[#All],[Assets]],Table25[[#This Row],[Assets]],Table25[[#All],[Sold]]))</f>
        <v>42</v>
      </c>
      <c r="M999" s="5">
        <f>ABS(SUMIF(Table25[[#All],[Assets]],Table25[[#This Row],[Assets]],Table25[[#All],[Sold Amount]]))</f>
        <v>958.44</v>
      </c>
      <c r="N999" s="5">
        <f>IFERROR(Table25[[#This Row],[Total sold amount]]/Table25[[#This Row],[Total Sold number of stocks]],"")</f>
        <v>22.82</v>
      </c>
      <c r="O999" s="4">
        <f>IFERROR(Table25[[#This Row],[Total Amount bought]]/Table25[[#This Row],[Total number bought]],"")</f>
        <v>16.024285714285714</v>
      </c>
      <c r="P999" s="4">
        <f>IFERROR((Table25[[#This Row],[Average sell price]]-Table25[[#This Row],[Average buy price]])*Table25[[#This Row],[Total Sold number of stocks]],0)</f>
        <v>285.42</v>
      </c>
      <c r="Q999" s="85">
        <f>SUMIF(Table25[[#All],[Assets]],Table25[[#This Row],[Assets]],Table25[[#All],[Number of stocks]])</f>
        <v>0</v>
      </c>
    </row>
    <row r="1000" spans="1:17">
      <c r="A1000" t="e" vm="276">
        <v>#VALUE!</v>
      </c>
      <c r="B1000" s="2">
        <v>45716</v>
      </c>
      <c r="C1000" t="str" cm="1">
        <f t="array" aca="1" ref="C1000" ca="1">_FV(A1000,"Ticker symbol",TRUE)</f>
        <v>PGNY</v>
      </c>
      <c r="D1000" s="4">
        <v>22.82</v>
      </c>
      <c r="E1000" s="50">
        <v>-10</v>
      </c>
      <c r="F1000" s="81">
        <f>IF(Table25[[#This Row],[Number of stocks]]&gt;0,Table25[[#This Row],[Number of stocks]],0)</f>
        <v>0</v>
      </c>
      <c r="G1000" s="73">
        <f>Table25[[#This Row],[Bought]]*Table25[[#This Row],[Price]]</f>
        <v>0</v>
      </c>
      <c r="H1000">
        <f>SUMIF(Table25[[#All],[Assets]],Table25[[#This Row],[Assets]],Table25[[#All],[Bought]])</f>
        <v>42</v>
      </c>
      <c r="I1000">
        <f>SUMIF(Table25[[#All],[Assets]],Table25[[#This Row],[Assets]],Table25[[#All],[Bought Amount]])</f>
        <v>673.02</v>
      </c>
      <c r="J1000" s="88">
        <f>IF(Table25[[#This Row],[Number of stocks]]&lt;0,Table25[[#This Row],[Number of stocks]],0)</f>
        <v>-10</v>
      </c>
      <c r="K1000" s="5">
        <f>Table25[[#This Row],[Sold]]*Table25[[#This Row],[Price]]</f>
        <v>-228.2</v>
      </c>
      <c r="L1000" s="8">
        <f>ABS(SUMIF(Table25[[#All],[Assets]],Table25[[#This Row],[Assets]],Table25[[#All],[Sold]]))</f>
        <v>42</v>
      </c>
      <c r="M1000" s="5">
        <f>ABS(SUMIF(Table25[[#All],[Assets]],Table25[[#This Row],[Assets]],Table25[[#All],[Sold Amount]]))</f>
        <v>958.44</v>
      </c>
      <c r="N1000" s="5">
        <f>IFERROR(Table25[[#This Row],[Total sold amount]]/Table25[[#This Row],[Total Sold number of stocks]],"")</f>
        <v>22.82</v>
      </c>
      <c r="O1000" s="4">
        <f>IFERROR(Table25[[#This Row],[Total Amount bought]]/Table25[[#This Row],[Total number bought]],"")</f>
        <v>16.024285714285714</v>
      </c>
      <c r="P1000" s="4">
        <f>IFERROR((Table25[[#This Row],[Average sell price]]-Table25[[#This Row],[Average buy price]])*Table25[[#This Row],[Total Sold number of stocks]],0)</f>
        <v>285.42</v>
      </c>
      <c r="Q1000" s="85">
        <f>SUMIF(Table25[[#All],[Assets]],Table25[[#This Row],[Assets]],Table25[[#All],[Number of stocks]])</f>
        <v>0</v>
      </c>
    </row>
    <row r="1001" spans="1:17">
      <c r="A1001" t="e" vm="75">
        <v>#VALUE!</v>
      </c>
      <c r="B1001" s="2">
        <v>45716</v>
      </c>
      <c r="C1001" t="str" cm="1">
        <f t="array" aca="1" ref="C1001" ca="1">_FV(A1001,"Ticker symbol",TRUE)</f>
        <v>QTRX</v>
      </c>
      <c r="D1001" s="4">
        <v>7.61</v>
      </c>
      <c r="E1001" s="50">
        <v>100</v>
      </c>
      <c r="F1001" s="81">
        <f>IF(Table25[[#This Row],[Number of stocks]]&gt;0,Table25[[#This Row],[Number of stocks]],0)</f>
        <v>100</v>
      </c>
      <c r="G1001" s="73">
        <f>Table25[[#This Row],[Bought]]*Table25[[#This Row],[Price]]</f>
        <v>761</v>
      </c>
      <c r="H1001">
        <f>SUMIF(Table25[[#All],[Assets]],Table25[[#This Row],[Assets]],Table25[[#All],[Bought]])</f>
        <v>1492</v>
      </c>
      <c r="I1001">
        <f>SUMIF(Table25[[#All],[Assets]],Table25[[#This Row],[Assets]],Table25[[#All],[Bought Amount]])</f>
        <v>10313.249999999998</v>
      </c>
      <c r="J1001" s="88">
        <f>IF(Table25[[#This Row],[Number of stocks]]&lt;0,Table25[[#This Row],[Number of stocks]],0)</f>
        <v>0</v>
      </c>
      <c r="K1001" s="5">
        <f>Table25[[#This Row],[Sold]]*Table25[[#This Row],[Price]]</f>
        <v>0</v>
      </c>
      <c r="L1001" s="8">
        <f>ABS(SUMIF(Table25[[#All],[Assets]],Table25[[#This Row],[Assets]],Table25[[#All],[Sold]]))</f>
        <v>1492</v>
      </c>
      <c r="M1001" s="5">
        <f>ABS(SUMIF(Table25[[#All],[Assets]],Table25[[#This Row],[Assets]],Table25[[#All],[Sold Amount]]))</f>
        <v>8408.35</v>
      </c>
      <c r="N1001" s="5">
        <f>IFERROR(Table25[[#This Row],[Total sold amount]]/Table25[[#This Row],[Total Sold number of stocks]],"")</f>
        <v>5.635623324396783</v>
      </c>
      <c r="O1001" s="4">
        <f>IFERROR(Table25[[#This Row],[Total Amount bought]]/Table25[[#This Row],[Total number bought]],"")</f>
        <v>6.9123659517426264</v>
      </c>
      <c r="P1001" s="4">
        <f>IFERROR((Table25[[#This Row],[Average sell price]]-Table25[[#This Row],[Average buy price]])*Table25[[#This Row],[Total Sold number of stocks]],0)</f>
        <v>-1904.8999999999983</v>
      </c>
      <c r="Q1001" s="85">
        <f>SUMIF(Table25[[#All],[Assets]],Table25[[#This Row],[Assets]],Table25[[#All],[Number of stocks]])</f>
        <v>0</v>
      </c>
    </row>
    <row r="1002" spans="1:17">
      <c r="A1002" t="e" vm="203">
        <v>#VALUE!</v>
      </c>
      <c r="B1002" s="2">
        <v>45716</v>
      </c>
      <c r="C1002" t="str" cm="1">
        <f t="array" aca="1" ref="C1002" ca="1">_FV(A1002,"Ticker symbol",TRUE)</f>
        <v>TWLO</v>
      </c>
      <c r="D1002" s="4">
        <v>117.85</v>
      </c>
      <c r="E1002" s="50">
        <v>-5</v>
      </c>
      <c r="F1002" s="81">
        <f>IF(Table25[[#This Row],[Number of stocks]]&gt;0,Table25[[#This Row],[Number of stocks]],0)</f>
        <v>0</v>
      </c>
      <c r="G1002" s="73">
        <f>Table25[[#This Row],[Bought]]*Table25[[#This Row],[Price]]</f>
        <v>0</v>
      </c>
      <c r="H1002">
        <f>SUMIF(Table25[[#All],[Assets]],Table25[[#This Row],[Assets]],Table25[[#All],[Bought]])</f>
        <v>64</v>
      </c>
      <c r="I1002">
        <f>SUMIF(Table25[[#All],[Assets]],Table25[[#This Row],[Assets]],Table25[[#All],[Bought Amount]])</f>
        <v>7733.8899999999994</v>
      </c>
      <c r="J1002" s="88">
        <f>IF(Table25[[#This Row],[Number of stocks]]&lt;0,Table25[[#This Row],[Number of stocks]],0)</f>
        <v>-5</v>
      </c>
      <c r="K1002" s="5">
        <f>Table25[[#This Row],[Sold]]*Table25[[#This Row],[Price]]</f>
        <v>-589.25</v>
      </c>
      <c r="L1002" s="8">
        <f>ABS(SUMIF(Table25[[#All],[Assets]],Table25[[#This Row],[Assets]],Table25[[#All],[Sold]]))</f>
        <v>64</v>
      </c>
      <c r="M1002" s="5">
        <f>ABS(SUMIF(Table25[[#All],[Assets]],Table25[[#This Row],[Assets]],Table25[[#All],[Sold Amount]]))</f>
        <v>7331.26</v>
      </c>
      <c r="N1002" s="5">
        <f>IFERROR(Table25[[#This Row],[Total sold amount]]/Table25[[#This Row],[Total Sold number of stocks]],"")</f>
        <v>114.5509375</v>
      </c>
      <c r="O1002" s="4">
        <f>IFERROR(Table25[[#This Row],[Total Amount bought]]/Table25[[#This Row],[Total number bought]],"")</f>
        <v>120.84203124999999</v>
      </c>
      <c r="P1002" s="4">
        <f>IFERROR((Table25[[#This Row],[Average sell price]]-Table25[[#This Row],[Average buy price]])*Table25[[#This Row],[Total Sold number of stocks]],0)</f>
        <v>-402.6299999999992</v>
      </c>
      <c r="Q1002" s="85">
        <f>SUMIF(Table25[[#All],[Assets]],Table25[[#This Row],[Assets]],Table25[[#All],[Number of stocks]])</f>
        <v>0</v>
      </c>
    </row>
    <row r="1003" spans="1:17">
      <c r="A1003" t="e" vm="183">
        <v>#VALUE!</v>
      </c>
      <c r="B1003" s="2">
        <v>45716</v>
      </c>
      <c r="C1003" t="str" cm="1">
        <f t="array" aca="1" ref="C1003" ca="1">_FV(A1003,"Ticker symbol",TRUE)</f>
        <v>ESOA</v>
      </c>
      <c r="D1003" s="4">
        <v>10.58</v>
      </c>
      <c r="E1003" s="50">
        <v>-50</v>
      </c>
      <c r="F1003" s="81">
        <f>IF(Table25[[#This Row],[Number of stocks]]&gt;0,Table25[[#This Row],[Number of stocks]],0)</f>
        <v>0</v>
      </c>
      <c r="G1003" s="73">
        <f>Table25[[#This Row],[Bought]]*Table25[[#This Row],[Price]]</f>
        <v>0</v>
      </c>
      <c r="H1003">
        <f>SUMIF(Table25[[#All],[Assets]],Table25[[#This Row],[Assets]],Table25[[#All],[Bought]])</f>
        <v>1832</v>
      </c>
      <c r="I1003">
        <f>SUMIF(Table25[[#All],[Assets]],Table25[[#This Row],[Assets]],Table25[[#All],[Bought Amount]])</f>
        <v>18152.78</v>
      </c>
      <c r="J1003" s="88">
        <f>IF(Table25[[#This Row],[Number of stocks]]&lt;0,Table25[[#This Row],[Number of stocks]],0)</f>
        <v>-50</v>
      </c>
      <c r="K1003" s="5">
        <f>Table25[[#This Row],[Sold]]*Table25[[#This Row],[Price]]</f>
        <v>-529</v>
      </c>
      <c r="L1003" s="8">
        <f>ABS(SUMIF(Table25[[#All],[Assets]],Table25[[#This Row],[Assets]],Table25[[#All],[Sold]]))</f>
        <v>1568</v>
      </c>
      <c r="M1003" s="5">
        <f>ABS(SUMIF(Table25[[#All],[Assets]],Table25[[#This Row],[Assets]],Table25[[#All],[Sold Amount]]))</f>
        <v>14668</v>
      </c>
      <c r="N1003" s="5">
        <f>IFERROR(Table25[[#This Row],[Total sold amount]]/Table25[[#This Row],[Total Sold number of stocks]],"")</f>
        <v>9.3545918367346932</v>
      </c>
      <c r="O1003" s="4">
        <f>IFERROR(Table25[[#This Row],[Total Amount bought]]/Table25[[#This Row],[Total number bought]],"")</f>
        <v>9.9087227074235802</v>
      </c>
      <c r="P1003" s="4">
        <f>IFERROR((Table25[[#This Row],[Average sell price]]-Table25[[#This Row],[Average buy price]])*Table25[[#This Row],[Total Sold number of stocks]],0)</f>
        <v>-868.87720524017482</v>
      </c>
      <c r="Q1003" s="85">
        <f>SUMIF(Table25[[#All],[Assets]],Table25[[#This Row],[Assets]],Table25[[#All],[Number of stocks]])</f>
        <v>264</v>
      </c>
    </row>
    <row r="1004" spans="1:17">
      <c r="A1004" t="e" vm="469">
        <v>#VALUE!</v>
      </c>
      <c r="B1004" s="2">
        <v>45716</v>
      </c>
      <c r="C1004" t="str" cm="1">
        <f t="array" aca="1" ref="C1004" ca="1">_FV(A1004,"Ticker symbol",TRUE)</f>
        <v>LNN</v>
      </c>
      <c r="D1004" s="4">
        <v>132.85</v>
      </c>
      <c r="E1004" s="50">
        <v>-5</v>
      </c>
      <c r="F1004" s="81">
        <f>IF(Table25[[#This Row],[Number of stocks]]&gt;0,Table25[[#This Row],[Number of stocks]],0)</f>
        <v>0</v>
      </c>
      <c r="G1004" s="73">
        <f>Table25[[#This Row],[Bought]]*Table25[[#This Row],[Price]]</f>
        <v>0</v>
      </c>
      <c r="H1004">
        <f>SUMIF(Table25[[#All],[Assets]],Table25[[#This Row],[Assets]],Table25[[#All],[Bought]])</f>
        <v>10</v>
      </c>
      <c r="I1004">
        <f>SUMIF(Table25[[#All],[Assets]],Table25[[#This Row],[Assets]],Table25[[#All],[Bought Amount]])</f>
        <v>1343.3</v>
      </c>
      <c r="J1004" s="88">
        <f>IF(Table25[[#This Row],[Number of stocks]]&lt;0,Table25[[#This Row],[Number of stocks]],0)</f>
        <v>-5</v>
      </c>
      <c r="K1004" s="5">
        <f>Table25[[#This Row],[Sold]]*Table25[[#This Row],[Price]]</f>
        <v>-664.25</v>
      </c>
      <c r="L1004" s="8">
        <f>ABS(SUMIF(Table25[[#All],[Assets]],Table25[[#This Row],[Assets]],Table25[[#All],[Sold]]))</f>
        <v>10</v>
      </c>
      <c r="M1004" s="5">
        <f>ABS(SUMIF(Table25[[#All],[Assets]],Table25[[#This Row],[Assets]],Table25[[#All],[Sold Amount]]))</f>
        <v>1273.9000000000001</v>
      </c>
      <c r="N1004" s="5">
        <f>IFERROR(Table25[[#This Row],[Total sold amount]]/Table25[[#This Row],[Total Sold number of stocks]],"")</f>
        <v>127.39000000000001</v>
      </c>
      <c r="O1004" s="4">
        <f>IFERROR(Table25[[#This Row],[Total Amount bought]]/Table25[[#This Row],[Total number bought]],"")</f>
        <v>134.32999999999998</v>
      </c>
      <c r="P1004" s="4">
        <f>IFERROR((Table25[[#This Row],[Average sell price]]-Table25[[#This Row],[Average buy price]])*Table25[[#This Row],[Total Sold number of stocks]],0)</f>
        <v>-69.399999999999693</v>
      </c>
      <c r="Q1004" s="85">
        <f>SUMIF(Table25[[#All],[Assets]],Table25[[#This Row],[Assets]],Table25[[#All],[Number of stocks]])</f>
        <v>0</v>
      </c>
    </row>
    <row r="1005" spans="1:17">
      <c r="A1005" t="e" vm="102">
        <v>#VALUE!</v>
      </c>
      <c r="B1005" s="2">
        <v>45716</v>
      </c>
      <c r="C1005" t="str" cm="1">
        <f t="array" aca="1" ref="C1005" ca="1">_FV(A1005,"Ticker symbol",TRUE)</f>
        <v>GM</v>
      </c>
      <c r="D1005" s="4">
        <v>49.39</v>
      </c>
      <c r="E1005" s="50">
        <v>-10</v>
      </c>
      <c r="F1005" s="81">
        <f>IF(Table25[[#This Row],[Number of stocks]]&gt;0,Table25[[#This Row],[Number of stocks]],0)</f>
        <v>0</v>
      </c>
      <c r="G1005" s="73">
        <f>Table25[[#This Row],[Bought]]*Table25[[#This Row],[Price]]</f>
        <v>0</v>
      </c>
      <c r="H1005">
        <f>SUMIF(Table25[[#All],[Assets]],Table25[[#This Row],[Assets]],Table25[[#All],[Bought]])</f>
        <v>20</v>
      </c>
      <c r="I1005">
        <f>SUMIF(Table25[[#All],[Assets]],Table25[[#This Row],[Assets]],Table25[[#All],[Bought Amount]])</f>
        <v>1050.3000000000002</v>
      </c>
      <c r="J1005" s="88">
        <f>IF(Table25[[#This Row],[Number of stocks]]&lt;0,Table25[[#This Row],[Number of stocks]],0)</f>
        <v>-10</v>
      </c>
      <c r="K1005" s="5">
        <f>Table25[[#This Row],[Sold]]*Table25[[#This Row],[Price]]</f>
        <v>-493.9</v>
      </c>
      <c r="L1005" s="8">
        <f>ABS(SUMIF(Table25[[#All],[Assets]],Table25[[#This Row],[Assets]],Table25[[#All],[Sold]]))</f>
        <v>20</v>
      </c>
      <c r="M1005" s="5">
        <f>ABS(SUMIF(Table25[[#All],[Assets]],Table25[[#This Row],[Assets]],Table25[[#All],[Sold Amount]]))</f>
        <v>963.4</v>
      </c>
      <c r="N1005" s="5">
        <f>IFERROR(Table25[[#This Row],[Total sold amount]]/Table25[[#This Row],[Total Sold number of stocks]],"")</f>
        <v>48.17</v>
      </c>
      <c r="O1005" s="4">
        <f>IFERROR(Table25[[#This Row],[Total Amount bought]]/Table25[[#This Row],[Total number bought]],"")</f>
        <v>52.515000000000008</v>
      </c>
      <c r="P1005" s="4">
        <f>IFERROR((Table25[[#This Row],[Average sell price]]-Table25[[#This Row],[Average buy price]])*Table25[[#This Row],[Total Sold number of stocks]],0)</f>
        <v>-86.900000000000119</v>
      </c>
      <c r="Q1005" s="85">
        <f>SUMIF(Table25[[#All],[Assets]],Table25[[#This Row],[Assets]],Table25[[#All],[Number of stocks]])</f>
        <v>0</v>
      </c>
    </row>
    <row r="1006" spans="1:17">
      <c r="A1006" t="e" vm="77">
        <v>#VALUE!</v>
      </c>
      <c r="B1006" s="2">
        <v>45720</v>
      </c>
      <c r="C1006" t="str" cm="1">
        <f t="array" aca="1" ref="C1006" ca="1">_FV(A1006,"Ticker symbol",TRUE)</f>
        <v>STIM</v>
      </c>
      <c r="D1006" s="4">
        <v>4.5999999999999996</v>
      </c>
      <c r="E1006" s="50">
        <v>220</v>
      </c>
      <c r="F1006" s="81">
        <f>IF(Table25[[#This Row],[Number of stocks]]&gt;0,Table25[[#This Row],[Number of stocks]],0)</f>
        <v>220</v>
      </c>
      <c r="G1006" s="73">
        <f>Table25[[#This Row],[Bought]]*Table25[[#This Row],[Price]]</f>
        <v>1011.9999999999999</v>
      </c>
      <c r="H1006">
        <f>SUMIF(Table25[[#All],[Assets]],Table25[[#This Row],[Assets]],Table25[[#All],[Bought]])</f>
        <v>7036.45</v>
      </c>
      <c r="I1006">
        <f>SUMIF(Table25[[#All],[Assets]],Table25[[#This Row],[Assets]],Table25[[#All],[Bought Amount]])</f>
        <v>19162.260000000002</v>
      </c>
      <c r="J1006" s="88">
        <f>IF(Table25[[#This Row],[Number of stocks]]&lt;0,Table25[[#This Row],[Number of stocks]],0)</f>
        <v>0</v>
      </c>
      <c r="K1006" s="5">
        <f>Table25[[#This Row],[Sold]]*Table25[[#This Row],[Price]]</f>
        <v>0</v>
      </c>
      <c r="L1006" s="8">
        <f>ABS(SUMIF(Table25[[#All],[Assets]],Table25[[#This Row],[Assets]],Table25[[#All],[Sold]]))</f>
        <v>6686.45</v>
      </c>
      <c r="M1006" s="5">
        <f>ABS(SUMIF(Table25[[#All],[Assets]],Table25[[#This Row],[Assets]],Table25[[#All],[Sold Amount]]))</f>
        <v>19226.484999999997</v>
      </c>
      <c r="N1006" s="5">
        <f>IFERROR(Table25[[#This Row],[Total sold amount]]/Table25[[#This Row],[Total Sold number of stocks]],"")</f>
        <v>2.8754398821497205</v>
      </c>
      <c r="O1006" s="4">
        <f>IFERROR(Table25[[#This Row],[Total Amount bought]]/Table25[[#This Row],[Total number bought]],"")</f>
        <v>2.7232851793162749</v>
      </c>
      <c r="P1006" s="4">
        <f>IFERROR((Table25[[#This Row],[Average sell price]]-Table25[[#This Row],[Average buy price]])*Table25[[#This Row],[Total Sold number of stocks]],0)</f>
        <v>1017.3748127606921</v>
      </c>
      <c r="Q1006" s="85">
        <f>SUMIF(Table25[[#All],[Assets]],Table25[[#This Row],[Assets]],Table25[[#All],[Number of stocks]])</f>
        <v>349.99999999999977</v>
      </c>
    </row>
    <row r="1007" spans="1:17">
      <c r="A1007" t="e" vm="54">
        <v>#VALUE!</v>
      </c>
      <c r="B1007" s="2">
        <v>45720</v>
      </c>
      <c r="C1007" t="str" cm="1">
        <f t="array" aca="1" ref="C1007" ca="1">_FV(A1007,"Ticker symbol",TRUE)</f>
        <v>AR</v>
      </c>
      <c r="D1007" s="4">
        <v>36.35</v>
      </c>
      <c r="E1007" s="50">
        <v>30</v>
      </c>
      <c r="F1007" s="81">
        <f>IF(Table25[[#This Row],[Number of stocks]]&gt;0,Table25[[#This Row],[Number of stocks]],0)</f>
        <v>30</v>
      </c>
      <c r="G1007" s="73">
        <f>Table25[[#This Row],[Bought]]*Table25[[#This Row],[Price]]</f>
        <v>1090.5</v>
      </c>
      <c r="H1007">
        <f>SUMIF(Table25[[#All],[Assets]],Table25[[#This Row],[Assets]],Table25[[#All],[Bought]])</f>
        <v>210</v>
      </c>
      <c r="I1007">
        <f>SUMIF(Table25[[#All],[Assets]],Table25[[#This Row],[Assets]],Table25[[#All],[Bought Amount]])</f>
        <v>6833.5000000000009</v>
      </c>
      <c r="J1007" s="88">
        <f>IF(Table25[[#This Row],[Number of stocks]]&lt;0,Table25[[#This Row],[Number of stocks]],0)</f>
        <v>0</v>
      </c>
      <c r="K1007" s="5">
        <f>Table25[[#This Row],[Sold]]*Table25[[#This Row],[Price]]</f>
        <v>0</v>
      </c>
      <c r="L1007" s="8">
        <f>ABS(SUMIF(Table25[[#All],[Assets]],Table25[[#This Row],[Assets]],Table25[[#All],[Sold]]))</f>
        <v>180</v>
      </c>
      <c r="M1007" s="5">
        <f>ABS(SUMIF(Table25[[#All],[Assets]],Table25[[#This Row],[Assets]],Table25[[#All],[Sold Amount]]))</f>
        <v>6156.15</v>
      </c>
      <c r="N1007" s="5">
        <f>IFERROR(Table25[[#This Row],[Total sold amount]]/Table25[[#This Row],[Total Sold number of stocks]],"")</f>
        <v>34.200833333333328</v>
      </c>
      <c r="O1007" s="4">
        <f>IFERROR(Table25[[#This Row],[Total Amount bought]]/Table25[[#This Row],[Total number bought]],"")</f>
        <v>32.540476190476198</v>
      </c>
      <c r="P1007" s="4">
        <f>IFERROR((Table25[[#This Row],[Average sell price]]-Table25[[#This Row],[Average buy price]])*Table25[[#This Row],[Total Sold number of stocks]],0)</f>
        <v>298.86428571428337</v>
      </c>
      <c r="Q1007" s="85">
        <f>SUMIF(Table25[[#All],[Assets]],Table25[[#This Row],[Assets]],Table25[[#All],[Number of stocks]])</f>
        <v>30</v>
      </c>
    </row>
    <row r="1008" spans="1:17">
      <c r="A1008" t="e" vm="541">
        <v>#VALUE!</v>
      </c>
      <c r="B1008" s="2">
        <v>45721</v>
      </c>
      <c r="C1008" t="str" cm="1">
        <f t="array" aca="1" ref="C1008" ca="1">_FV(A1008,"Ticker symbol",TRUE)</f>
        <v>CFLT</v>
      </c>
      <c r="D1008" s="4">
        <v>32.44</v>
      </c>
      <c r="E1008" s="50">
        <v>15</v>
      </c>
      <c r="F1008" s="81">
        <f>IF(Table25[[#This Row],[Number of stocks]]&gt;0,Table25[[#This Row],[Number of stocks]],0)</f>
        <v>15</v>
      </c>
      <c r="G1008" s="73">
        <f>Table25[[#This Row],[Bought]]*Table25[[#This Row],[Price]]</f>
        <v>486.59999999999997</v>
      </c>
      <c r="H1008">
        <f>SUMIF(Table25[[#All],[Assets]],Table25[[#This Row],[Assets]],Table25[[#All],[Bought]])</f>
        <v>30</v>
      </c>
      <c r="I1008">
        <f>SUMIF(Table25[[#All],[Assets]],Table25[[#This Row],[Assets]],Table25[[#All],[Bought Amount]])</f>
        <v>961.95</v>
      </c>
      <c r="J1008" s="88">
        <f>IF(Table25[[#This Row],[Number of stocks]]&lt;0,Table25[[#This Row],[Number of stocks]],0)</f>
        <v>0</v>
      </c>
      <c r="K1008" s="5">
        <f>Table25[[#This Row],[Sold]]*Table25[[#This Row],[Price]]</f>
        <v>0</v>
      </c>
      <c r="L1008" s="8">
        <f>ABS(SUMIF(Table25[[#All],[Assets]],Table25[[#This Row],[Assets]],Table25[[#All],[Sold]]))</f>
        <v>30</v>
      </c>
      <c r="M1008" s="5">
        <f>ABS(SUMIF(Table25[[#All],[Assets]],Table25[[#This Row],[Assets]],Table25[[#All],[Sold Amount]]))</f>
        <v>803.40000000000009</v>
      </c>
      <c r="N1008" s="5">
        <f>IFERROR(Table25[[#This Row],[Total sold amount]]/Table25[[#This Row],[Total Sold number of stocks]],"")</f>
        <v>26.780000000000005</v>
      </c>
      <c r="O1008" s="4">
        <f>IFERROR(Table25[[#This Row],[Total Amount bought]]/Table25[[#This Row],[Total number bought]],"")</f>
        <v>32.065000000000005</v>
      </c>
      <c r="P1008" s="4">
        <f>IFERROR((Table25[[#This Row],[Average sell price]]-Table25[[#This Row],[Average buy price]])*Table25[[#This Row],[Total Sold number of stocks]],0)</f>
        <v>-158.55000000000001</v>
      </c>
      <c r="Q1008" s="85">
        <f>SUMIF(Table25[[#All],[Assets]],Table25[[#This Row],[Assets]],Table25[[#All],[Number of stocks]])</f>
        <v>0</v>
      </c>
    </row>
    <row r="1009" spans="1:17">
      <c r="A1009" t="e" vm="603">
        <v>#VALUE!</v>
      </c>
      <c r="B1009" s="2">
        <v>45721</v>
      </c>
      <c r="C1009" t="str" cm="1">
        <f t="array" aca="1" ref="C1009" ca="1">_FV(A1009,"Ticker symbol",TRUE)</f>
        <v>INDV</v>
      </c>
      <c r="D1009" s="4">
        <v>9.83</v>
      </c>
      <c r="E1009" s="50">
        <v>50</v>
      </c>
      <c r="F1009" s="81">
        <f>IF(Table25[[#This Row],[Number of stocks]]&gt;0,Table25[[#This Row],[Number of stocks]],0)</f>
        <v>50</v>
      </c>
      <c r="G1009" s="73">
        <f>Table25[[#This Row],[Bought]]*Table25[[#This Row],[Price]]</f>
        <v>491.5</v>
      </c>
      <c r="H1009">
        <f>SUMIF(Table25[[#All],[Assets]],Table25[[#This Row],[Assets]],Table25[[#All],[Bought]])</f>
        <v>98</v>
      </c>
      <c r="I1009">
        <f>SUMIF(Table25[[#All],[Assets]],Table25[[#This Row],[Assets]],Table25[[#All],[Bought Amount]])</f>
        <v>1029.82</v>
      </c>
      <c r="J1009" s="88">
        <f>IF(Table25[[#This Row],[Number of stocks]]&lt;0,Table25[[#This Row],[Number of stocks]],0)</f>
        <v>0</v>
      </c>
      <c r="K1009" s="5">
        <f>Table25[[#This Row],[Sold]]*Table25[[#This Row],[Price]]</f>
        <v>0</v>
      </c>
      <c r="L1009" s="8">
        <f>ABS(SUMIF(Table25[[#All],[Assets]],Table25[[#This Row],[Assets]],Table25[[#All],[Sold]]))</f>
        <v>98</v>
      </c>
      <c r="M1009" s="5">
        <f>ABS(SUMIF(Table25[[#All],[Assets]],Table25[[#This Row],[Assets]],Table25[[#All],[Sold Amount]]))</f>
        <v>1330.14</v>
      </c>
      <c r="N1009" s="5">
        <f>IFERROR(Table25[[#This Row],[Total sold amount]]/Table25[[#This Row],[Total Sold number of stocks]],"")</f>
        <v>13.572857142857144</v>
      </c>
      <c r="O1009" s="4">
        <f>IFERROR(Table25[[#This Row],[Total Amount bought]]/Table25[[#This Row],[Total number bought]],"")</f>
        <v>10.508367346938774</v>
      </c>
      <c r="P1009" s="4">
        <f>IFERROR((Table25[[#This Row],[Average sell price]]-Table25[[#This Row],[Average buy price]])*Table25[[#This Row],[Total Sold number of stocks]],0)</f>
        <v>300.32000000000022</v>
      </c>
      <c r="Q1009" s="85">
        <f>SUMIF(Table25[[#All],[Assets]],Table25[[#This Row],[Assets]],Table25[[#All],[Number of stocks]])</f>
        <v>0</v>
      </c>
    </row>
    <row r="1010" spans="1:17">
      <c r="A1010" t="e" vm="65">
        <v>#VALUE!</v>
      </c>
      <c r="B1010" s="2">
        <v>45734</v>
      </c>
      <c r="C1010" t="str" cm="1">
        <f t="array" aca="1" ref="C1010" ca="1">_FV(A1010,"Ticker symbol",TRUE)</f>
        <v>GAP</v>
      </c>
      <c r="D1010" s="4">
        <v>19.66</v>
      </c>
      <c r="E1010" s="50">
        <v>-20</v>
      </c>
      <c r="F1010" s="81">
        <f>IF(Table25[[#This Row],[Number of stocks]]&gt;0,Table25[[#This Row],[Number of stocks]],0)</f>
        <v>0</v>
      </c>
      <c r="G1010" s="73">
        <f>Table25[[#This Row],[Bought]]*Table25[[#This Row],[Price]]</f>
        <v>0</v>
      </c>
      <c r="H1010">
        <f>SUMIF(Table25[[#All],[Assets]],Table25[[#This Row],[Assets]],Table25[[#All],[Bought]])</f>
        <v>166</v>
      </c>
      <c r="I1010">
        <f>SUMIF(Table25[[#All],[Assets]],Table25[[#This Row],[Assets]],Table25[[#All],[Bought Amount]])</f>
        <v>3889.4200000000005</v>
      </c>
      <c r="J1010" s="88">
        <f>IF(Table25[[#This Row],[Number of stocks]]&lt;0,Table25[[#This Row],[Number of stocks]],0)</f>
        <v>-20</v>
      </c>
      <c r="K1010" s="5">
        <f>Table25[[#This Row],[Sold]]*Table25[[#This Row],[Price]]</f>
        <v>-393.2</v>
      </c>
      <c r="L1010" s="8">
        <f>ABS(SUMIF(Table25[[#All],[Assets]],Table25[[#This Row],[Assets]],Table25[[#All],[Sold]]))</f>
        <v>166</v>
      </c>
      <c r="M1010" s="5">
        <f>ABS(SUMIF(Table25[[#All],[Assets]],Table25[[#This Row],[Assets]],Table25[[#All],[Sold Amount]]))</f>
        <v>3423.32</v>
      </c>
      <c r="N1010" s="5">
        <f>IFERROR(Table25[[#This Row],[Total sold amount]]/Table25[[#This Row],[Total Sold number of stocks]],"")</f>
        <v>20.622409638554217</v>
      </c>
      <c r="O1010" s="4">
        <f>IFERROR(Table25[[#This Row],[Total Amount bought]]/Table25[[#This Row],[Total number bought]],"")</f>
        <v>23.430240963855425</v>
      </c>
      <c r="P1010" s="4">
        <f>IFERROR((Table25[[#This Row],[Average sell price]]-Table25[[#This Row],[Average buy price]])*Table25[[#This Row],[Total Sold number of stocks]],0)</f>
        <v>-466.10000000000059</v>
      </c>
      <c r="Q1010" s="85">
        <f>SUMIF(Table25[[#All],[Assets]],Table25[[#This Row],[Assets]],Table25[[#All],[Number of stocks]])</f>
        <v>0</v>
      </c>
    </row>
    <row r="1011" spans="1:17">
      <c r="A1011" t="e" vm="551">
        <v>#VALUE!</v>
      </c>
      <c r="B1011" s="2">
        <v>45734</v>
      </c>
      <c r="C1011" t="str" cm="1">
        <f t="array" aca="1" ref="C1011" ca="1">_FV(A1011,"Ticker symbol",TRUE)</f>
        <v>KYIV</v>
      </c>
      <c r="D1011" s="4">
        <v>12.32</v>
      </c>
      <c r="E1011" s="50">
        <v>34</v>
      </c>
      <c r="F1011" s="81">
        <f>IF(Table25[[#This Row],[Number of stocks]]&gt;0,Table25[[#This Row],[Number of stocks]],0)</f>
        <v>34</v>
      </c>
      <c r="G1011" s="73">
        <f>Table25[[#This Row],[Bought]]*Table25[[#This Row],[Price]]</f>
        <v>418.88</v>
      </c>
      <c r="H1011">
        <f>SUMIF(Table25[[#All],[Assets]],Table25[[#This Row],[Assets]],Table25[[#All],[Bought]])</f>
        <v>76</v>
      </c>
      <c r="I1011">
        <f>SUMIF(Table25[[#All],[Assets]],Table25[[#This Row],[Assets]],Table25[[#All],[Bought Amount]])</f>
        <v>931.88000000000011</v>
      </c>
      <c r="J1011" s="88">
        <f>IF(Table25[[#This Row],[Number of stocks]]&lt;0,Table25[[#This Row],[Number of stocks]],0)</f>
        <v>0</v>
      </c>
      <c r="K1011" s="5">
        <f>Table25[[#This Row],[Sold]]*Table25[[#This Row],[Price]]</f>
        <v>0</v>
      </c>
      <c r="L1011" s="8">
        <f>ABS(SUMIF(Table25[[#All],[Assets]],Table25[[#This Row],[Assets]],Table25[[#All],[Sold]]))</f>
        <v>76</v>
      </c>
      <c r="M1011" s="5">
        <f>ABS(SUMIF(Table25[[#All],[Assets]],Table25[[#This Row],[Assets]],Table25[[#All],[Sold Amount]]))</f>
        <v>1007.24</v>
      </c>
      <c r="N1011" s="5">
        <f>IFERROR(Table25[[#This Row],[Total sold amount]]/Table25[[#This Row],[Total Sold number of stocks]],"")</f>
        <v>13.253157894736843</v>
      </c>
      <c r="O1011" s="4">
        <f>IFERROR(Table25[[#This Row],[Total Amount bought]]/Table25[[#This Row],[Total number bought]],"")</f>
        <v>12.261578947368422</v>
      </c>
      <c r="P1011" s="4">
        <f>IFERROR((Table25[[#This Row],[Average sell price]]-Table25[[#This Row],[Average buy price]])*Table25[[#This Row],[Total Sold number of stocks]],0)</f>
        <v>75.359999999999971</v>
      </c>
      <c r="Q1011" s="85">
        <f>SUMIF(Table25[[#All],[Assets]],Table25[[#This Row],[Assets]],Table25[[#All],[Number of stocks]])</f>
        <v>0</v>
      </c>
    </row>
    <row r="1012" spans="1:17">
      <c r="A1012" t="e" vm="129">
        <v>#VALUE!</v>
      </c>
      <c r="B1012" s="2">
        <v>45734</v>
      </c>
      <c r="C1012" t="str" cm="1">
        <f t="array" aca="1" ref="C1012" ca="1">_FV(A1012,"Ticker symbol",TRUE)</f>
        <v>MRVL</v>
      </c>
      <c r="D1012" s="4">
        <v>68.959999999999994</v>
      </c>
      <c r="E1012" s="50">
        <v>-3</v>
      </c>
      <c r="F1012" s="81">
        <f>IF(Table25[[#This Row],[Number of stocks]]&gt;0,Table25[[#This Row],[Number of stocks]],0)</f>
        <v>0</v>
      </c>
      <c r="G1012" s="73">
        <f>Table25[[#This Row],[Bought]]*Table25[[#This Row],[Price]]</f>
        <v>0</v>
      </c>
      <c r="H1012">
        <f>SUMIF(Table25[[#All],[Assets]],Table25[[#This Row],[Assets]],Table25[[#All],[Bought]])</f>
        <v>105</v>
      </c>
      <c r="I1012">
        <f>SUMIF(Table25[[#All],[Assets]],Table25[[#This Row],[Assets]],Table25[[#All],[Bought Amount]])</f>
        <v>8175.6200000000008</v>
      </c>
      <c r="J1012" s="88">
        <f>IF(Table25[[#This Row],[Number of stocks]]&lt;0,Table25[[#This Row],[Number of stocks]],0)</f>
        <v>-3</v>
      </c>
      <c r="K1012" s="5">
        <f>Table25[[#This Row],[Sold]]*Table25[[#This Row],[Price]]</f>
        <v>-206.88</v>
      </c>
      <c r="L1012" s="8">
        <f>ABS(SUMIF(Table25[[#All],[Assets]],Table25[[#This Row],[Assets]],Table25[[#All],[Sold]]))</f>
        <v>83</v>
      </c>
      <c r="M1012" s="5">
        <f>ABS(SUMIF(Table25[[#All],[Assets]],Table25[[#This Row],[Assets]],Table25[[#All],[Sold Amount]]))</f>
        <v>6745.73</v>
      </c>
      <c r="N1012" s="5">
        <f>IFERROR(Table25[[#This Row],[Total sold amount]]/Table25[[#This Row],[Total Sold number of stocks]],"")</f>
        <v>81.273855421686747</v>
      </c>
      <c r="O1012" s="4">
        <f>IFERROR(Table25[[#This Row],[Total Amount bought]]/Table25[[#This Row],[Total number bought]],"")</f>
        <v>77.86304761904762</v>
      </c>
      <c r="P1012" s="4">
        <f>IFERROR((Table25[[#This Row],[Average sell price]]-Table25[[#This Row],[Average buy price]])*Table25[[#This Row],[Total Sold number of stocks]],0)</f>
        <v>283.09704761904754</v>
      </c>
      <c r="Q1012" s="85">
        <f>SUMIF(Table25[[#All],[Assets]],Table25[[#This Row],[Assets]],Table25[[#All],[Number of stocks]])</f>
        <v>22</v>
      </c>
    </row>
    <row r="1013" spans="1:17">
      <c r="A1013" t="e" vm="254">
        <v>#VALUE!</v>
      </c>
      <c r="B1013" s="2">
        <v>45734</v>
      </c>
      <c r="C1013" t="str" cm="1">
        <f t="array" aca="1" ref="C1013" ca="1">_FV(A1013,"Ticker symbol",TRUE)</f>
        <v>TALK</v>
      </c>
      <c r="D1013" s="4">
        <v>2.78</v>
      </c>
      <c r="E1013" s="50">
        <v>-100</v>
      </c>
      <c r="F1013" s="81">
        <f>IF(Table25[[#This Row],[Number of stocks]]&gt;0,Table25[[#This Row],[Number of stocks]],0)</f>
        <v>0</v>
      </c>
      <c r="G1013" s="73">
        <f>Table25[[#This Row],[Bought]]*Table25[[#This Row],[Price]]</f>
        <v>0</v>
      </c>
      <c r="H1013">
        <f>SUMIF(Table25[[#All],[Assets]],Table25[[#This Row],[Assets]],Table25[[#All],[Bought]])</f>
        <v>885</v>
      </c>
      <c r="I1013">
        <f>SUMIF(Table25[[#All],[Assets]],Table25[[#This Row],[Assets]],Table25[[#All],[Bought Amount]])</f>
        <v>2664.7</v>
      </c>
      <c r="J1013" s="88">
        <f>IF(Table25[[#This Row],[Number of stocks]]&lt;0,Table25[[#This Row],[Number of stocks]],0)</f>
        <v>-100</v>
      </c>
      <c r="K1013" s="5">
        <f>Table25[[#This Row],[Sold]]*Table25[[#This Row],[Price]]</f>
        <v>-278</v>
      </c>
      <c r="L1013" s="8">
        <f>ABS(SUMIF(Table25[[#All],[Assets]],Table25[[#This Row],[Assets]],Table25[[#All],[Sold]]))</f>
        <v>885</v>
      </c>
      <c r="M1013" s="5">
        <f>ABS(SUMIF(Table25[[#All],[Assets]],Table25[[#This Row],[Assets]],Table25[[#All],[Sold Amount]]))</f>
        <v>2591</v>
      </c>
      <c r="N1013" s="5">
        <f>IFERROR(Table25[[#This Row],[Total sold amount]]/Table25[[#This Row],[Total Sold number of stocks]],"")</f>
        <v>2.927683615819209</v>
      </c>
      <c r="O1013" s="4">
        <f>IFERROR(Table25[[#This Row],[Total Amount bought]]/Table25[[#This Row],[Total number bought]],"")</f>
        <v>3.0109604519774011</v>
      </c>
      <c r="P1013" s="4">
        <f>IFERROR((Table25[[#This Row],[Average sell price]]-Table25[[#This Row],[Average buy price]])*Table25[[#This Row],[Total Sold number of stocks]],0)</f>
        <v>-73.700000000000045</v>
      </c>
      <c r="Q1013" s="85">
        <f>SUMIF(Table25[[#All],[Assets]],Table25[[#This Row],[Assets]],Table25[[#All],[Number of stocks]])</f>
        <v>0</v>
      </c>
    </row>
    <row r="1014" spans="1:17">
      <c r="A1014" t="e" vm="85">
        <v>#VALUE!</v>
      </c>
      <c r="B1014" s="2">
        <v>45734</v>
      </c>
      <c r="C1014" t="str" cm="1">
        <f t="array" aca="1" ref="C1014" ca="1">_FV(A1014,"Ticker symbol",TRUE)</f>
        <v>HOOD</v>
      </c>
      <c r="D1014" s="4">
        <v>39.99</v>
      </c>
      <c r="E1014" s="50">
        <v>-10</v>
      </c>
      <c r="F1014" s="81">
        <f>IF(Table25[[#This Row],[Number of stocks]]&gt;0,Table25[[#This Row],[Number of stocks]],0)</f>
        <v>0</v>
      </c>
      <c r="G1014" s="73">
        <f>Table25[[#This Row],[Bought]]*Table25[[#This Row],[Price]]</f>
        <v>0</v>
      </c>
      <c r="H1014">
        <f>SUMIF(Table25[[#All],[Assets]],Table25[[#This Row],[Assets]],Table25[[#All],[Bought]])</f>
        <v>105</v>
      </c>
      <c r="I1014">
        <f>SUMIF(Table25[[#All],[Assets]],Table25[[#This Row],[Assets]],Table25[[#All],[Bought Amount]])</f>
        <v>4056.0900000000006</v>
      </c>
      <c r="J1014" s="88">
        <f>IF(Table25[[#This Row],[Number of stocks]]&lt;0,Table25[[#This Row],[Number of stocks]],0)</f>
        <v>-10</v>
      </c>
      <c r="K1014" s="5">
        <f>Table25[[#This Row],[Sold]]*Table25[[#This Row],[Price]]</f>
        <v>-399.90000000000003</v>
      </c>
      <c r="L1014" s="8">
        <f>ABS(SUMIF(Table25[[#All],[Assets]],Table25[[#This Row],[Assets]],Table25[[#All],[Sold]]))</f>
        <v>80</v>
      </c>
      <c r="M1014" s="5">
        <f>ABS(SUMIF(Table25[[#All],[Assets]],Table25[[#This Row],[Assets]],Table25[[#All],[Sold Amount]]))</f>
        <v>2255.4300000000003</v>
      </c>
      <c r="N1014" s="5">
        <f>IFERROR(Table25[[#This Row],[Total sold amount]]/Table25[[#This Row],[Total Sold number of stocks]],"")</f>
        <v>28.192875000000004</v>
      </c>
      <c r="O1014" s="4">
        <f>IFERROR(Table25[[#This Row],[Total Amount bought]]/Table25[[#This Row],[Total number bought]],"")</f>
        <v>38.629428571428576</v>
      </c>
      <c r="P1014" s="4">
        <f>IFERROR((Table25[[#This Row],[Average sell price]]-Table25[[#This Row],[Average buy price]])*Table25[[#This Row],[Total Sold number of stocks]],0)</f>
        <v>-834.92428571428582</v>
      </c>
      <c r="Q1014" s="85">
        <f>SUMIF(Table25[[#All],[Assets]],Table25[[#This Row],[Assets]],Table25[[#All],[Number of stocks]])</f>
        <v>25</v>
      </c>
    </row>
    <row r="1015" spans="1:17">
      <c r="A1015" t="e" vm="72">
        <v>#VALUE!</v>
      </c>
      <c r="B1015" s="2">
        <v>45734</v>
      </c>
      <c r="C1015" t="str" cm="1">
        <f t="array" aca="1" ref="C1015" ca="1">_FV(A1015,"Ticker symbol",TRUE)</f>
        <v>AIRS</v>
      </c>
      <c r="D1015" s="4">
        <v>2.5</v>
      </c>
      <c r="E1015" s="50">
        <v>-280</v>
      </c>
      <c r="F1015" s="81">
        <f>IF(Table25[[#This Row],[Number of stocks]]&gt;0,Table25[[#This Row],[Number of stocks]],0)</f>
        <v>0</v>
      </c>
      <c r="G1015" s="73">
        <f>Table25[[#This Row],[Bought]]*Table25[[#This Row],[Price]]</f>
        <v>0</v>
      </c>
      <c r="H1015">
        <f>SUMIF(Table25[[#All],[Assets]],Table25[[#This Row],[Assets]],Table25[[#All],[Bought]])</f>
        <v>2980</v>
      </c>
      <c r="I1015">
        <f>SUMIF(Table25[[#All],[Assets]],Table25[[#This Row],[Assets]],Table25[[#All],[Bought Amount]])</f>
        <v>14267.900000000001</v>
      </c>
      <c r="J1015" s="88">
        <f>IF(Table25[[#This Row],[Number of stocks]]&lt;0,Table25[[#This Row],[Number of stocks]],0)</f>
        <v>-280</v>
      </c>
      <c r="K1015" s="5">
        <f>Table25[[#This Row],[Sold]]*Table25[[#This Row],[Price]]</f>
        <v>-700</v>
      </c>
      <c r="L1015" s="8">
        <f>ABS(SUMIF(Table25[[#All],[Assets]],Table25[[#This Row],[Assets]],Table25[[#All],[Sold]]))</f>
        <v>2360</v>
      </c>
      <c r="M1015" s="5">
        <f>ABS(SUMIF(Table25[[#All],[Assets]],Table25[[#This Row],[Assets]],Table25[[#All],[Sold Amount]]))</f>
        <v>7796.6</v>
      </c>
      <c r="N1015" s="5">
        <f>IFERROR(Table25[[#This Row],[Total sold amount]]/Table25[[#This Row],[Total Sold number of stocks]],"")</f>
        <v>3.3036440677966104</v>
      </c>
      <c r="O1015" s="4">
        <f>IFERROR(Table25[[#This Row],[Total Amount bought]]/Table25[[#This Row],[Total number bought]],"")</f>
        <v>4.7878859060402688</v>
      </c>
      <c r="P1015" s="4">
        <f>IFERROR((Table25[[#This Row],[Average sell price]]-Table25[[#This Row],[Average buy price]])*Table25[[#This Row],[Total Sold number of stocks]],0)</f>
        <v>-3502.8107382550338</v>
      </c>
      <c r="Q1015" s="85">
        <f>SUMIF(Table25[[#All],[Assets]],Table25[[#This Row],[Assets]],Table25[[#All],[Number of stocks]])</f>
        <v>620</v>
      </c>
    </row>
    <row r="1016" spans="1:17">
      <c r="A1016" t="e" vm="164">
        <v>#VALUE!</v>
      </c>
      <c r="B1016" s="2">
        <v>45734</v>
      </c>
      <c r="C1016" t="str" cm="1">
        <f t="array" aca="1" ref="C1016" ca="1">_FV(A1016,"Ticker symbol",TRUE)</f>
        <v>KLAC</v>
      </c>
      <c r="D1016" s="4">
        <v>711.48</v>
      </c>
      <c r="E1016" s="50">
        <v>-1</v>
      </c>
      <c r="F1016" s="81">
        <f>IF(Table25[[#This Row],[Number of stocks]]&gt;0,Table25[[#This Row],[Number of stocks]],0)</f>
        <v>0</v>
      </c>
      <c r="G1016" s="73">
        <f>Table25[[#This Row],[Bought]]*Table25[[#This Row],[Price]]</f>
        <v>0</v>
      </c>
      <c r="H1016">
        <f>SUMIF(Table25[[#All],[Assets]],Table25[[#This Row],[Assets]],Table25[[#All],[Bought]])</f>
        <v>1</v>
      </c>
      <c r="I1016">
        <f>SUMIF(Table25[[#All],[Assets]],Table25[[#This Row],[Assets]],Table25[[#All],[Bought Amount]])</f>
        <v>664.7</v>
      </c>
      <c r="J1016" s="88">
        <f>IF(Table25[[#This Row],[Number of stocks]]&lt;0,Table25[[#This Row],[Number of stocks]],0)</f>
        <v>-1</v>
      </c>
      <c r="K1016" s="5">
        <f>Table25[[#This Row],[Sold]]*Table25[[#This Row],[Price]]</f>
        <v>-711.48</v>
      </c>
      <c r="L1016" s="8">
        <f>ABS(SUMIF(Table25[[#All],[Assets]],Table25[[#This Row],[Assets]],Table25[[#All],[Sold]]))</f>
        <v>1</v>
      </c>
      <c r="M1016" s="5">
        <f>ABS(SUMIF(Table25[[#All],[Assets]],Table25[[#This Row],[Assets]],Table25[[#All],[Sold Amount]]))</f>
        <v>711.48</v>
      </c>
      <c r="N1016" s="5">
        <f>IFERROR(Table25[[#This Row],[Total sold amount]]/Table25[[#This Row],[Total Sold number of stocks]],"")</f>
        <v>711.48</v>
      </c>
      <c r="O1016" s="4">
        <f>IFERROR(Table25[[#This Row],[Total Amount bought]]/Table25[[#This Row],[Total number bought]],"")</f>
        <v>664.7</v>
      </c>
      <c r="P1016" s="4">
        <f>IFERROR((Table25[[#This Row],[Average sell price]]-Table25[[#This Row],[Average buy price]])*Table25[[#This Row],[Total Sold number of stocks]],0)</f>
        <v>46.779999999999973</v>
      </c>
      <c r="Q1016" s="85">
        <f>SUMIF(Table25[[#All],[Assets]],Table25[[#This Row],[Assets]],Table25[[#All],[Number of stocks]])</f>
        <v>0</v>
      </c>
    </row>
    <row r="1017" spans="1:17">
      <c r="A1017" t="e" vm="65">
        <v>#VALUE!</v>
      </c>
      <c r="B1017" s="2">
        <v>45734</v>
      </c>
      <c r="C1017" t="str" cm="1">
        <f t="array" aca="1" ref="C1017" ca="1">_FV(A1017,"Ticker symbol",TRUE)</f>
        <v>GAP</v>
      </c>
      <c r="D1017" s="4">
        <v>19.46</v>
      </c>
      <c r="E1017" s="50">
        <v>-15</v>
      </c>
      <c r="F1017" s="81">
        <f>IF(Table25[[#This Row],[Number of stocks]]&gt;0,Table25[[#This Row],[Number of stocks]],0)</f>
        <v>0</v>
      </c>
      <c r="G1017" s="73">
        <f>Table25[[#This Row],[Bought]]*Table25[[#This Row],[Price]]</f>
        <v>0</v>
      </c>
      <c r="H1017">
        <f>SUMIF(Table25[[#All],[Assets]],Table25[[#This Row],[Assets]],Table25[[#All],[Bought]])</f>
        <v>166</v>
      </c>
      <c r="I1017">
        <f>SUMIF(Table25[[#All],[Assets]],Table25[[#This Row],[Assets]],Table25[[#All],[Bought Amount]])</f>
        <v>3889.4200000000005</v>
      </c>
      <c r="J1017" s="88">
        <f>IF(Table25[[#This Row],[Number of stocks]]&lt;0,Table25[[#This Row],[Number of stocks]],0)</f>
        <v>-15</v>
      </c>
      <c r="K1017" s="5">
        <f>Table25[[#This Row],[Sold]]*Table25[[#This Row],[Price]]</f>
        <v>-291.90000000000003</v>
      </c>
      <c r="L1017" s="8">
        <f>ABS(SUMIF(Table25[[#All],[Assets]],Table25[[#This Row],[Assets]],Table25[[#All],[Sold]]))</f>
        <v>166</v>
      </c>
      <c r="M1017" s="5">
        <f>ABS(SUMIF(Table25[[#All],[Assets]],Table25[[#This Row],[Assets]],Table25[[#All],[Sold Amount]]))</f>
        <v>3423.32</v>
      </c>
      <c r="N1017" s="5">
        <f>IFERROR(Table25[[#This Row],[Total sold amount]]/Table25[[#This Row],[Total Sold number of stocks]],"")</f>
        <v>20.622409638554217</v>
      </c>
      <c r="O1017" s="4">
        <f>IFERROR(Table25[[#This Row],[Total Amount bought]]/Table25[[#This Row],[Total number bought]],"")</f>
        <v>23.430240963855425</v>
      </c>
      <c r="P1017" s="4">
        <f>IFERROR((Table25[[#This Row],[Average sell price]]-Table25[[#This Row],[Average buy price]])*Table25[[#This Row],[Total Sold number of stocks]],0)</f>
        <v>-466.10000000000059</v>
      </c>
      <c r="Q1017" s="85">
        <f>SUMIF(Table25[[#All],[Assets]],Table25[[#This Row],[Assets]],Table25[[#All],[Number of stocks]])</f>
        <v>0</v>
      </c>
    </row>
    <row r="1018" spans="1:17">
      <c r="A1018" t="e" vm="285">
        <v>#VALUE!</v>
      </c>
      <c r="B1018" s="2">
        <v>45734</v>
      </c>
      <c r="C1018" t="str" cm="1">
        <f t="array" aca="1" ref="C1018" ca="1">_FV(A1018,"Ticker symbol",TRUE)</f>
        <v>DKS</v>
      </c>
      <c r="D1018" s="4">
        <v>193.89</v>
      </c>
      <c r="E1018" s="50">
        <v>-1</v>
      </c>
      <c r="F1018" s="81">
        <f>IF(Table25[[#This Row],[Number of stocks]]&gt;0,Table25[[#This Row],[Number of stocks]],0)</f>
        <v>0</v>
      </c>
      <c r="G1018" s="73">
        <f>Table25[[#This Row],[Bought]]*Table25[[#This Row],[Price]]</f>
        <v>0</v>
      </c>
      <c r="H1018">
        <f>SUMIF(Table25[[#All],[Assets]],Table25[[#This Row],[Assets]],Table25[[#All],[Bought]])</f>
        <v>1</v>
      </c>
      <c r="I1018">
        <f>SUMIF(Table25[[#All],[Assets]],Table25[[#This Row],[Assets]],Table25[[#All],[Bought Amount]])</f>
        <v>212.39</v>
      </c>
      <c r="J1018" s="88">
        <f>IF(Table25[[#This Row],[Number of stocks]]&lt;0,Table25[[#This Row],[Number of stocks]],0)</f>
        <v>-1</v>
      </c>
      <c r="K1018" s="5">
        <f>Table25[[#This Row],[Sold]]*Table25[[#This Row],[Price]]</f>
        <v>-193.89</v>
      </c>
      <c r="L1018" s="8">
        <f>ABS(SUMIF(Table25[[#All],[Assets]],Table25[[#This Row],[Assets]],Table25[[#All],[Sold]]))</f>
        <v>1</v>
      </c>
      <c r="M1018" s="5">
        <f>ABS(SUMIF(Table25[[#All],[Assets]],Table25[[#This Row],[Assets]],Table25[[#All],[Sold Amount]]))</f>
        <v>193.89</v>
      </c>
      <c r="N1018" s="5">
        <f>IFERROR(Table25[[#This Row],[Total sold amount]]/Table25[[#This Row],[Total Sold number of stocks]],"")</f>
        <v>193.89</v>
      </c>
      <c r="O1018" s="4">
        <f>IFERROR(Table25[[#This Row],[Total Amount bought]]/Table25[[#This Row],[Total number bought]],"")</f>
        <v>212.39</v>
      </c>
      <c r="P1018" s="4">
        <f>IFERROR((Table25[[#This Row],[Average sell price]]-Table25[[#This Row],[Average buy price]])*Table25[[#This Row],[Total Sold number of stocks]],0)</f>
        <v>-18.5</v>
      </c>
      <c r="Q1018" s="85">
        <f>SUMIF(Table25[[#All],[Assets]],Table25[[#This Row],[Assets]],Table25[[#All],[Number of stocks]])</f>
        <v>0</v>
      </c>
    </row>
    <row r="1019" spans="1:17">
      <c r="A1019" t="e" vm="75">
        <v>#VALUE!</v>
      </c>
      <c r="B1019" s="2">
        <v>45734</v>
      </c>
      <c r="C1019" t="str" cm="1">
        <f t="array" aca="1" ref="C1019" ca="1">_FV(A1019,"Ticker symbol",TRUE)</f>
        <v>QTRX</v>
      </c>
      <c r="D1019" s="4">
        <v>6.85</v>
      </c>
      <c r="E1019" s="50">
        <v>350</v>
      </c>
      <c r="F1019" s="81">
        <f>IF(Table25[[#This Row],[Number of stocks]]&gt;0,Table25[[#This Row],[Number of stocks]],0)</f>
        <v>350</v>
      </c>
      <c r="G1019" s="73">
        <f>Table25[[#This Row],[Bought]]*Table25[[#This Row],[Price]]</f>
        <v>2397.5</v>
      </c>
      <c r="H1019">
        <f>SUMIF(Table25[[#All],[Assets]],Table25[[#This Row],[Assets]],Table25[[#All],[Bought]])</f>
        <v>1492</v>
      </c>
      <c r="I1019">
        <f>SUMIF(Table25[[#All],[Assets]],Table25[[#This Row],[Assets]],Table25[[#All],[Bought Amount]])</f>
        <v>10313.249999999998</v>
      </c>
      <c r="J1019" s="88">
        <f>IF(Table25[[#This Row],[Number of stocks]]&lt;0,Table25[[#This Row],[Number of stocks]],0)</f>
        <v>0</v>
      </c>
      <c r="K1019" s="5">
        <f>Table25[[#This Row],[Sold]]*Table25[[#This Row],[Price]]</f>
        <v>0</v>
      </c>
      <c r="L1019" s="8">
        <f>ABS(SUMIF(Table25[[#All],[Assets]],Table25[[#This Row],[Assets]],Table25[[#All],[Sold]]))</f>
        <v>1492</v>
      </c>
      <c r="M1019" s="5">
        <f>ABS(SUMIF(Table25[[#All],[Assets]],Table25[[#This Row],[Assets]],Table25[[#All],[Sold Amount]]))</f>
        <v>8408.35</v>
      </c>
      <c r="N1019" s="5">
        <f>IFERROR(Table25[[#This Row],[Total sold amount]]/Table25[[#This Row],[Total Sold number of stocks]],"")</f>
        <v>5.635623324396783</v>
      </c>
      <c r="O1019" s="4">
        <f>IFERROR(Table25[[#This Row],[Total Amount bought]]/Table25[[#This Row],[Total number bought]],"")</f>
        <v>6.9123659517426264</v>
      </c>
      <c r="P1019" s="4">
        <f>IFERROR((Table25[[#This Row],[Average sell price]]-Table25[[#This Row],[Average buy price]])*Table25[[#This Row],[Total Sold number of stocks]],0)</f>
        <v>-1904.8999999999983</v>
      </c>
      <c r="Q1019" s="85">
        <f>SUMIF(Table25[[#All],[Assets]],Table25[[#This Row],[Assets]],Table25[[#All],[Number of stocks]])</f>
        <v>0</v>
      </c>
    </row>
    <row r="1020" spans="1:17">
      <c r="A1020" t="e" vm="75">
        <v>#VALUE!</v>
      </c>
      <c r="B1020" s="2">
        <v>45734</v>
      </c>
      <c r="C1020" t="str" cm="1">
        <f t="array" aca="1" ref="C1020" ca="1">_FV(A1020,"Ticker symbol",TRUE)</f>
        <v>QTRX</v>
      </c>
      <c r="D1020" s="4">
        <v>6.88</v>
      </c>
      <c r="E1020" s="50">
        <v>200</v>
      </c>
      <c r="F1020" s="81">
        <f>IF(Table25[[#This Row],[Number of stocks]]&gt;0,Table25[[#This Row],[Number of stocks]],0)</f>
        <v>200</v>
      </c>
      <c r="G1020" s="73">
        <f>Table25[[#This Row],[Bought]]*Table25[[#This Row],[Price]]</f>
        <v>1376</v>
      </c>
      <c r="H1020">
        <f>SUMIF(Table25[[#All],[Assets]],Table25[[#This Row],[Assets]],Table25[[#All],[Bought]])</f>
        <v>1492</v>
      </c>
      <c r="I1020">
        <f>SUMIF(Table25[[#All],[Assets]],Table25[[#This Row],[Assets]],Table25[[#All],[Bought Amount]])</f>
        <v>10313.249999999998</v>
      </c>
      <c r="J1020" s="88">
        <f>IF(Table25[[#This Row],[Number of stocks]]&lt;0,Table25[[#This Row],[Number of stocks]],0)</f>
        <v>0</v>
      </c>
      <c r="K1020" s="5">
        <f>Table25[[#This Row],[Sold]]*Table25[[#This Row],[Price]]</f>
        <v>0</v>
      </c>
      <c r="L1020" s="8">
        <f>ABS(SUMIF(Table25[[#All],[Assets]],Table25[[#This Row],[Assets]],Table25[[#All],[Sold]]))</f>
        <v>1492</v>
      </c>
      <c r="M1020" s="5">
        <f>ABS(SUMIF(Table25[[#All],[Assets]],Table25[[#This Row],[Assets]],Table25[[#All],[Sold Amount]]))</f>
        <v>8408.35</v>
      </c>
      <c r="N1020" s="5">
        <f>IFERROR(Table25[[#This Row],[Total sold amount]]/Table25[[#This Row],[Total Sold number of stocks]],"")</f>
        <v>5.635623324396783</v>
      </c>
      <c r="O1020" s="4">
        <f>IFERROR(Table25[[#This Row],[Total Amount bought]]/Table25[[#This Row],[Total number bought]],"")</f>
        <v>6.9123659517426264</v>
      </c>
      <c r="P1020" s="4">
        <f>IFERROR((Table25[[#This Row],[Average sell price]]-Table25[[#This Row],[Average buy price]])*Table25[[#This Row],[Total Sold number of stocks]],0)</f>
        <v>-1904.8999999999983</v>
      </c>
      <c r="Q1020" s="85">
        <f>SUMIF(Table25[[#All],[Assets]],Table25[[#This Row],[Assets]],Table25[[#All],[Number of stocks]])</f>
        <v>0</v>
      </c>
    </row>
    <row r="1021" spans="1:17">
      <c r="A1021" t="e" vm="183">
        <v>#VALUE!</v>
      </c>
      <c r="B1021" s="2">
        <v>45726</v>
      </c>
      <c r="C1021" t="str" cm="1">
        <f t="array" aca="1" ref="C1021" ca="1">_FV(A1021,"Ticker symbol",TRUE)</f>
        <v>ESOA</v>
      </c>
      <c r="D1021" s="4">
        <v>9.24</v>
      </c>
      <c r="E1021" s="50">
        <v>110</v>
      </c>
      <c r="F1021" s="81">
        <f>IF(Table25[[#This Row],[Number of stocks]]&gt;0,Table25[[#This Row],[Number of stocks]],0)</f>
        <v>110</v>
      </c>
      <c r="G1021" s="73">
        <f>Table25[[#This Row],[Bought]]*Table25[[#This Row],[Price]]</f>
        <v>1016.4</v>
      </c>
      <c r="H1021">
        <f>SUMIF(Table25[[#All],[Assets]],Table25[[#This Row],[Assets]],Table25[[#All],[Bought]])</f>
        <v>1832</v>
      </c>
      <c r="I1021">
        <f>SUMIF(Table25[[#All],[Assets]],Table25[[#This Row],[Assets]],Table25[[#All],[Bought Amount]])</f>
        <v>18152.78</v>
      </c>
      <c r="J1021" s="88">
        <f>IF(Table25[[#This Row],[Number of stocks]]&lt;0,Table25[[#This Row],[Number of stocks]],0)</f>
        <v>0</v>
      </c>
      <c r="K1021" s="5">
        <f>Table25[[#This Row],[Sold]]*Table25[[#This Row],[Price]]</f>
        <v>0</v>
      </c>
      <c r="L1021" s="8">
        <f>ABS(SUMIF(Table25[[#All],[Assets]],Table25[[#This Row],[Assets]],Table25[[#All],[Sold]]))</f>
        <v>1568</v>
      </c>
      <c r="M1021" s="5">
        <f>ABS(SUMIF(Table25[[#All],[Assets]],Table25[[#This Row],[Assets]],Table25[[#All],[Sold Amount]]))</f>
        <v>14668</v>
      </c>
      <c r="N1021" s="5">
        <f>IFERROR(Table25[[#This Row],[Total sold amount]]/Table25[[#This Row],[Total Sold number of stocks]],"")</f>
        <v>9.3545918367346932</v>
      </c>
      <c r="O1021" s="4">
        <f>IFERROR(Table25[[#This Row],[Total Amount bought]]/Table25[[#This Row],[Total number bought]],"")</f>
        <v>9.9087227074235802</v>
      </c>
      <c r="P1021" s="4">
        <f>IFERROR((Table25[[#This Row],[Average sell price]]-Table25[[#This Row],[Average buy price]])*Table25[[#This Row],[Total Sold number of stocks]],0)</f>
        <v>-868.87720524017482</v>
      </c>
      <c r="Q1021" s="85">
        <f>SUMIF(Table25[[#All],[Assets]],Table25[[#This Row],[Assets]],Table25[[#All],[Number of stocks]])</f>
        <v>264</v>
      </c>
    </row>
    <row r="1022" spans="1:17">
      <c r="A1022" t="e" vm="183">
        <v>#VALUE!</v>
      </c>
      <c r="B1022" s="2">
        <v>45727</v>
      </c>
      <c r="C1022" t="str" cm="1">
        <f t="array" aca="1" ref="C1022" ca="1">_FV(A1022,"Ticker symbol",TRUE)</f>
        <v>ESOA</v>
      </c>
      <c r="D1022" s="4">
        <v>9.15</v>
      </c>
      <c r="E1022" s="50">
        <v>110</v>
      </c>
      <c r="F1022" s="81">
        <f>IF(Table25[[#This Row],[Number of stocks]]&gt;0,Table25[[#This Row],[Number of stocks]],0)</f>
        <v>110</v>
      </c>
      <c r="G1022" s="73">
        <f>Table25[[#This Row],[Bought]]*Table25[[#This Row],[Price]]</f>
        <v>1006.5</v>
      </c>
      <c r="H1022">
        <f>SUMIF(Table25[[#All],[Assets]],Table25[[#This Row],[Assets]],Table25[[#All],[Bought]])</f>
        <v>1832</v>
      </c>
      <c r="I1022">
        <f>SUMIF(Table25[[#All],[Assets]],Table25[[#This Row],[Assets]],Table25[[#All],[Bought Amount]])</f>
        <v>18152.78</v>
      </c>
      <c r="J1022" s="88">
        <f>IF(Table25[[#This Row],[Number of stocks]]&lt;0,Table25[[#This Row],[Number of stocks]],0)</f>
        <v>0</v>
      </c>
      <c r="K1022" s="5">
        <f>Table25[[#This Row],[Sold]]*Table25[[#This Row],[Price]]</f>
        <v>0</v>
      </c>
      <c r="L1022" s="8">
        <f>ABS(SUMIF(Table25[[#All],[Assets]],Table25[[#This Row],[Assets]],Table25[[#All],[Sold]]))</f>
        <v>1568</v>
      </c>
      <c r="M1022" s="5">
        <f>ABS(SUMIF(Table25[[#All],[Assets]],Table25[[#This Row],[Assets]],Table25[[#All],[Sold Amount]]))</f>
        <v>14668</v>
      </c>
      <c r="N1022" s="5">
        <f>IFERROR(Table25[[#This Row],[Total sold amount]]/Table25[[#This Row],[Total Sold number of stocks]],"")</f>
        <v>9.3545918367346932</v>
      </c>
      <c r="O1022" s="4">
        <f>IFERROR(Table25[[#This Row],[Total Amount bought]]/Table25[[#This Row],[Total number bought]],"")</f>
        <v>9.9087227074235802</v>
      </c>
      <c r="P1022" s="4">
        <f>IFERROR((Table25[[#This Row],[Average sell price]]-Table25[[#This Row],[Average buy price]])*Table25[[#This Row],[Total Sold number of stocks]],0)</f>
        <v>-868.87720524017482</v>
      </c>
      <c r="Q1022" s="85">
        <f>SUMIF(Table25[[#All],[Assets]],Table25[[#This Row],[Assets]],Table25[[#All],[Number of stocks]])</f>
        <v>264</v>
      </c>
    </row>
    <row r="1023" spans="1:17">
      <c r="A1023" t="e" vm="63">
        <v>#VALUE!</v>
      </c>
      <c r="B1023" s="2">
        <v>45727</v>
      </c>
      <c r="C1023" t="str" cm="1">
        <f t="array" aca="1" ref="C1023" ca="1">_FV(A1023,"Ticker symbol",TRUE)</f>
        <v>TSLA</v>
      </c>
      <c r="D1023" s="4">
        <v>226.47</v>
      </c>
      <c r="E1023" s="50">
        <v>2</v>
      </c>
      <c r="F1023" s="81">
        <f>IF(Table25[[#This Row],[Number of stocks]]&gt;0,Table25[[#This Row],[Number of stocks]],0)</f>
        <v>2</v>
      </c>
      <c r="G1023" s="73">
        <f>Table25[[#This Row],[Bought]]*Table25[[#This Row],[Price]]</f>
        <v>452.94</v>
      </c>
      <c r="H1023">
        <f>SUMIF(Table25[[#All],[Assets]],Table25[[#This Row],[Assets]],Table25[[#All],[Bought]])</f>
        <v>13</v>
      </c>
      <c r="I1023">
        <f>SUMIF(Table25[[#All],[Assets]],Table25[[#This Row],[Assets]],Table25[[#All],[Bought Amount]])</f>
        <v>3484.85</v>
      </c>
      <c r="J1023" s="88">
        <f>IF(Table25[[#This Row],[Number of stocks]]&lt;0,Table25[[#This Row],[Number of stocks]],0)</f>
        <v>0</v>
      </c>
      <c r="K1023" s="5">
        <f>Table25[[#This Row],[Sold]]*Table25[[#This Row],[Price]]</f>
        <v>0</v>
      </c>
      <c r="L1023" s="8">
        <f>ABS(SUMIF(Table25[[#All],[Assets]],Table25[[#This Row],[Assets]],Table25[[#All],[Sold]]))</f>
        <v>13</v>
      </c>
      <c r="M1023" s="5">
        <f>ABS(SUMIF(Table25[[#All],[Assets]],Table25[[#This Row],[Assets]],Table25[[#All],[Sold Amount]]))</f>
        <v>4240.6299999999992</v>
      </c>
      <c r="N1023" s="5">
        <f>IFERROR(Table25[[#This Row],[Total sold amount]]/Table25[[#This Row],[Total Sold number of stocks]],"")</f>
        <v>326.20230769230761</v>
      </c>
      <c r="O1023" s="4">
        <f>IFERROR(Table25[[#This Row],[Total Amount bought]]/Table25[[#This Row],[Total number bought]],"")</f>
        <v>268.06538461538463</v>
      </c>
      <c r="P1023" s="4">
        <f>IFERROR((Table25[[#This Row],[Average sell price]]-Table25[[#This Row],[Average buy price]])*Table25[[#This Row],[Total Sold number of stocks]],0)</f>
        <v>755.77999999999884</v>
      </c>
      <c r="Q1023" s="85">
        <f>SUMIF(Table25[[#All],[Assets]],Table25[[#This Row],[Assets]],Table25[[#All],[Number of stocks]])</f>
        <v>0</v>
      </c>
    </row>
    <row r="1024" spans="1:17">
      <c r="A1024" t="e" vm="72">
        <v>#VALUE!</v>
      </c>
      <c r="B1024" s="2">
        <v>45730</v>
      </c>
      <c r="C1024" t="str" cm="1">
        <f t="array" aca="1" ref="C1024" ca="1">_FV(A1024,"Ticker symbol",TRUE)</f>
        <v>AIRS</v>
      </c>
      <c r="D1024" s="4">
        <v>3.03</v>
      </c>
      <c r="E1024" s="50">
        <v>300</v>
      </c>
      <c r="F1024" s="81">
        <f>IF(Table25[[#This Row],[Number of stocks]]&gt;0,Table25[[#This Row],[Number of stocks]],0)</f>
        <v>300</v>
      </c>
      <c r="G1024" s="73">
        <f>Table25[[#This Row],[Bought]]*Table25[[#This Row],[Price]]</f>
        <v>908.99999999999989</v>
      </c>
      <c r="H1024">
        <f>SUMIF(Table25[[#All],[Assets]],Table25[[#This Row],[Assets]],Table25[[#All],[Bought]])</f>
        <v>2980</v>
      </c>
      <c r="I1024">
        <f>SUMIF(Table25[[#All],[Assets]],Table25[[#This Row],[Assets]],Table25[[#All],[Bought Amount]])</f>
        <v>14267.900000000001</v>
      </c>
      <c r="J1024" s="88">
        <f>IF(Table25[[#This Row],[Number of stocks]]&lt;0,Table25[[#This Row],[Number of stocks]],0)</f>
        <v>0</v>
      </c>
      <c r="K1024" s="5">
        <f>Table25[[#This Row],[Sold]]*Table25[[#This Row],[Price]]</f>
        <v>0</v>
      </c>
      <c r="L1024" s="8">
        <f>ABS(SUMIF(Table25[[#All],[Assets]],Table25[[#This Row],[Assets]],Table25[[#All],[Sold]]))</f>
        <v>2360</v>
      </c>
      <c r="M1024" s="5">
        <f>ABS(SUMIF(Table25[[#All],[Assets]],Table25[[#This Row],[Assets]],Table25[[#All],[Sold Amount]]))</f>
        <v>7796.6</v>
      </c>
      <c r="N1024" s="5">
        <f>IFERROR(Table25[[#This Row],[Total sold amount]]/Table25[[#This Row],[Total Sold number of stocks]],"")</f>
        <v>3.3036440677966104</v>
      </c>
      <c r="O1024" s="4">
        <f>IFERROR(Table25[[#This Row],[Total Amount bought]]/Table25[[#This Row],[Total number bought]],"")</f>
        <v>4.7878859060402688</v>
      </c>
      <c r="P1024" s="4">
        <f>IFERROR((Table25[[#This Row],[Average sell price]]-Table25[[#This Row],[Average buy price]])*Table25[[#This Row],[Total Sold number of stocks]],0)</f>
        <v>-3502.8107382550338</v>
      </c>
      <c r="Q1024" s="85">
        <f>SUMIF(Table25[[#All],[Assets]],Table25[[#This Row],[Assets]],Table25[[#All],[Number of stocks]])</f>
        <v>620</v>
      </c>
    </row>
    <row r="1025" spans="1:17">
      <c r="A1025" t="e" vm="72">
        <v>#VALUE!</v>
      </c>
      <c r="B1025" s="2">
        <v>45730</v>
      </c>
      <c r="C1025" t="str" cm="1">
        <f t="array" aca="1" ref="C1025" ca="1">_FV(A1025,"Ticker symbol",TRUE)</f>
        <v>AIRS</v>
      </c>
      <c r="D1025" s="4">
        <v>3.18</v>
      </c>
      <c r="E1025" s="50">
        <v>50</v>
      </c>
      <c r="F1025" s="81">
        <f>IF(Table25[[#This Row],[Number of stocks]]&gt;0,Table25[[#This Row],[Number of stocks]],0)</f>
        <v>50</v>
      </c>
      <c r="G1025" s="73">
        <f>Table25[[#This Row],[Bought]]*Table25[[#This Row],[Price]]</f>
        <v>159</v>
      </c>
      <c r="H1025">
        <f>SUMIF(Table25[[#All],[Assets]],Table25[[#This Row],[Assets]],Table25[[#All],[Bought]])</f>
        <v>2980</v>
      </c>
      <c r="I1025">
        <f>SUMIF(Table25[[#All],[Assets]],Table25[[#This Row],[Assets]],Table25[[#All],[Bought Amount]])</f>
        <v>14267.900000000001</v>
      </c>
      <c r="J1025" s="88">
        <f>IF(Table25[[#This Row],[Number of stocks]]&lt;0,Table25[[#This Row],[Number of stocks]],0)</f>
        <v>0</v>
      </c>
      <c r="K1025" s="5">
        <f>Table25[[#This Row],[Sold]]*Table25[[#This Row],[Price]]</f>
        <v>0</v>
      </c>
      <c r="L1025" s="8">
        <f>ABS(SUMIF(Table25[[#All],[Assets]],Table25[[#This Row],[Assets]],Table25[[#All],[Sold]]))</f>
        <v>2360</v>
      </c>
      <c r="M1025" s="5">
        <f>ABS(SUMIF(Table25[[#All],[Assets]],Table25[[#This Row],[Assets]],Table25[[#All],[Sold Amount]]))</f>
        <v>7796.6</v>
      </c>
      <c r="N1025" s="5">
        <f>IFERROR(Table25[[#This Row],[Total sold amount]]/Table25[[#This Row],[Total Sold number of stocks]],"")</f>
        <v>3.3036440677966104</v>
      </c>
      <c r="O1025" s="4">
        <f>IFERROR(Table25[[#This Row],[Total Amount bought]]/Table25[[#This Row],[Total number bought]],"")</f>
        <v>4.7878859060402688</v>
      </c>
      <c r="P1025" s="4">
        <f>IFERROR((Table25[[#This Row],[Average sell price]]-Table25[[#This Row],[Average buy price]])*Table25[[#This Row],[Total Sold number of stocks]],0)</f>
        <v>-3502.8107382550338</v>
      </c>
      <c r="Q1025" s="85">
        <f>SUMIF(Table25[[#All],[Assets]],Table25[[#This Row],[Assets]],Table25[[#All],[Number of stocks]])</f>
        <v>620</v>
      </c>
    </row>
    <row r="1026" spans="1:17">
      <c r="A1026" t="e" vm="24">
        <v>#VALUE!</v>
      </c>
      <c r="B1026" s="2">
        <v>45730</v>
      </c>
      <c r="C1026" t="str" cm="1">
        <f t="array" aca="1" ref="C1026" ca="1">_FV(A1026,"Ticker symbol",TRUE)</f>
        <v>QCOM</v>
      </c>
      <c r="D1026" s="4">
        <v>156.46</v>
      </c>
      <c r="E1026" s="50">
        <v>10</v>
      </c>
      <c r="F1026" s="81">
        <f>IF(Table25[[#This Row],[Number of stocks]]&gt;0,Table25[[#This Row],[Number of stocks]],0)</f>
        <v>10</v>
      </c>
      <c r="G1026" s="73">
        <f>Table25[[#This Row],[Bought]]*Table25[[#This Row],[Price]]</f>
        <v>1564.6000000000001</v>
      </c>
      <c r="H1026">
        <f>SUMIF(Table25[[#All],[Assets]],Table25[[#This Row],[Assets]],Table25[[#All],[Bought]])</f>
        <v>58</v>
      </c>
      <c r="I1026">
        <f>SUMIF(Table25[[#All],[Assets]],Table25[[#This Row],[Assets]],Table25[[#All],[Bought Amount]])</f>
        <v>9670.27</v>
      </c>
      <c r="J1026" s="88">
        <f>IF(Table25[[#This Row],[Number of stocks]]&lt;0,Table25[[#This Row],[Number of stocks]],0)</f>
        <v>0</v>
      </c>
      <c r="K1026" s="5">
        <f>Table25[[#This Row],[Sold]]*Table25[[#This Row],[Price]]</f>
        <v>0</v>
      </c>
      <c r="L1026" s="8">
        <f>ABS(SUMIF(Table25[[#All],[Assets]],Table25[[#This Row],[Assets]],Table25[[#All],[Sold]]))</f>
        <v>57</v>
      </c>
      <c r="M1026" s="5">
        <f>ABS(SUMIF(Table25[[#All],[Assets]],Table25[[#This Row],[Assets]],Table25[[#All],[Sold Amount]]))</f>
        <v>8530.1</v>
      </c>
      <c r="N1026" s="5">
        <f>IFERROR(Table25[[#This Row],[Total sold amount]]/Table25[[#This Row],[Total Sold number of stocks]],"")</f>
        <v>149.65087719298245</v>
      </c>
      <c r="O1026" s="4">
        <f>IFERROR(Table25[[#This Row],[Total Amount bought]]/Table25[[#This Row],[Total number bought]],"")</f>
        <v>166.72879310344828</v>
      </c>
      <c r="P1026" s="4">
        <f>IFERROR((Table25[[#This Row],[Average sell price]]-Table25[[#This Row],[Average buy price]])*Table25[[#This Row],[Total Sold number of stocks]],0)</f>
        <v>-973.44120689655256</v>
      </c>
      <c r="Q1026" s="85">
        <f>SUMIF(Table25[[#All],[Assets]],Table25[[#This Row],[Assets]],Table25[[#All],[Number of stocks]])</f>
        <v>1</v>
      </c>
    </row>
    <row r="1027" spans="1:17">
      <c r="A1027" t="e" vm="63">
        <v>#VALUE!</v>
      </c>
      <c r="B1027" s="2">
        <v>45730</v>
      </c>
      <c r="C1027" t="str" cm="1">
        <f t="array" aca="1" ref="C1027" ca="1">_FV(A1027,"Ticker symbol",TRUE)</f>
        <v>TSLA</v>
      </c>
      <c r="D1027" s="4">
        <v>248.21</v>
      </c>
      <c r="E1027" s="50">
        <v>3</v>
      </c>
      <c r="F1027" s="81">
        <f>IF(Table25[[#This Row],[Number of stocks]]&gt;0,Table25[[#This Row],[Number of stocks]],0)</f>
        <v>3</v>
      </c>
      <c r="G1027" s="73">
        <f>Table25[[#This Row],[Bought]]*Table25[[#This Row],[Price]]</f>
        <v>744.63</v>
      </c>
      <c r="H1027">
        <f>SUMIF(Table25[[#All],[Assets]],Table25[[#This Row],[Assets]],Table25[[#All],[Bought]])</f>
        <v>13</v>
      </c>
      <c r="I1027">
        <f>SUMIF(Table25[[#All],[Assets]],Table25[[#This Row],[Assets]],Table25[[#All],[Bought Amount]])</f>
        <v>3484.85</v>
      </c>
      <c r="J1027" s="88">
        <f>IF(Table25[[#This Row],[Number of stocks]]&lt;0,Table25[[#This Row],[Number of stocks]],0)</f>
        <v>0</v>
      </c>
      <c r="K1027" s="5">
        <f>Table25[[#This Row],[Sold]]*Table25[[#This Row],[Price]]</f>
        <v>0</v>
      </c>
      <c r="L1027" s="8">
        <f>ABS(SUMIF(Table25[[#All],[Assets]],Table25[[#This Row],[Assets]],Table25[[#All],[Sold]]))</f>
        <v>13</v>
      </c>
      <c r="M1027" s="5">
        <f>ABS(SUMIF(Table25[[#All],[Assets]],Table25[[#This Row],[Assets]],Table25[[#All],[Sold Amount]]))</f>
        <v>4240.6299999999992</v>
      </c>
      <c r="N1027" s="5">
        <f>IFERROR(Table25[[#This Row],[Total sold amount]]/Table25[[#This Row],[Total Sold number of stocks]],"")</f>
        <v>326.20230769230761</v>
      </c>
      <c r="O1027" s="4">
        <f>IFERROR(Table25[[#This Row],[Total Amount bought]]/Table25[[#This Row],[Total number bought]],"")</f>
        <v>268.06538461538463</v>
      </c>
      <c r="P1027" s="4">
        <f>IFERROR((Table25[[#This Row],[Average sell price]]-Table25[[#This Row],[Average buy price]])*Table25[[#This Row],[Total Sold number of stocks]],0)</f>
        <v>755.77999999999884</v>
      </c>
      <c r="Q1027" s="85">
        <f>SUMIF(Table25[[#All],[Assets]],Table25[[#This Row],[Assets]],Table25[[#All],[Number of stocks]])</f>
        <v>0</v>
      </c>
    </row>
    <row r="1028" spans="1:17">
      <c r="A1028" t="e" vm="203">
        <v>#VALUE!</v>
      </c>
      <c r="B1028" s="2">
        <v>45730</v>
      </c>
      <c r="C1028" t="str" cm="1">
        <f t="array" aca="1" ref="C1028" ca="1">_FV(A1028,"Ticker symbol",TRUE)</f>
        <v>TWLO</v>
      </c>
      <c r="D1028" s="4">
        <v>99.32</v>
      </c>
      <c r="E1028" s="50">
        <v>28</v>
      </c>
      <c r="F1028" s="81">
        <f>IF(Table25[[#This Row],[Number of stocks]]&gt;0,Table25[[#This Row],[Number of stocks]],0)</f>
        <v>28</v>
      </c>
      <c r="G1028" s="73">
        <f>Table25[[#This Row],[Bought]]*Table25[[#This Row],[Price]]</f>
        <v>2780.96</v>
      </c>
      <c r="H1028">
        <f>SUMIF(Table25[[#All],[Assets]],Table25[[#This Row],[Assets]],Table25[[#All],[Bought]])</f>
        <v>64</v>
      </c>
      <c r="I1028">
        <f>SUMIF(Table25[[#All],[Assets]],Table25[[#This Row],[Assets]],Table25[[#All],[Bought Amount]])</f>
        <v>7733.8899999999994</v>
      </c>
      <c r="J1028" s="88">
        <f>IF(Table25[[#This Row],[Number of stocks]]&lt;0,Table25[[#This Row],[Number of stocks]],0)</f>
        <v>0</v>
      </c>
      <c r="K1028" s="5">
        <f>Table25[[#This Row],[Sold]]*Table25[[#This Row],[Price]]</f>
        <v>0</v>
      </c>
      <c r="L1028" s="8">
        <f>ABS(SUMIF(Table25[[#All],[Assets]],Table25[[#This Row],[Assets]],Table25[[#All],[Sold]]))</f>
        <v>64</v>
      </c>
      <c r="M1028" s="5">
        <f>ABS(SUMIF(Table25[[#All],[Assets]],Table25[[#This Row],[Assets]],Table25[[#All],[Sold Amount]]))</f>
        <v>7331.26</v>
      </c>
      <c r="N1028" s="5">
        <f>IFERROR(Table25[[#This Row],[Total sold amount]]/Table25[[#This Row],[Total Sold number of stocks]],"")</f>
        <v>114.5509375</v>
      </c>
      <c r="O1028" s="4">
        <f>IFERROR(Table25[[#This Row],[Total Amount bought]]/Table25[[#This Row],[Total number bought]],"")</f>
        <v>120.84203124999999</v>
      </c>
      <c r="P1028" s="4">
        <f>IFERROR((Table25[[#This Row],[Average sell price]]-Table25[[#This Row],[Average buy price]])*Table25[[#This Row],[Total Sold number of stocks]],0)</f>
        <v>-402.6299999999992</v>
      </c>
      <c r="Q1028" s="85">
        <f>SUMIF(Table25[[#All],[Assets]],Table25[[#This Row],[Assets]],Table25[[#All],[Number of stocks]])</f>
        <v>0</v>
      </c>
    </row>
    <row r="1029" spans="1:17">
      <c r="A1029" t="e" vm="159">
        <v>#VALUE!</v>
      </c>
      <c r="B1029" s="2">
        <v>45730</v>
      </c>
      <c r="C1029" t="str" cm="1">
        <f t="array" aca="1" ref="C1029" ca="1">_FV(A1029,"Ticker symbol",TRUE)</f>
        <v>BABA</v>
      </c>
      <c r="D1029" s="4">
        <v>146.66999999999999</v>
      </c>
      <c r="E1029" s="50">
        <v>5</v>
      </c>
      <c r="F1029" s="81">
        <f>IF(Table25[[#This Row],[Number of stocks]]&gt;0,Table25[[#This Row],[Number of stocks]],0)</f>
        <v>5</v>
      </c>
      <c r="G1029" s="73">
        <f>Table25[[#This Row],[Bought]]*Table25[[#This Row],[Price]]</f>
        <v>733.34999999999991</v>
      </c>
      <c r="H1029">
        <f>SUMIF(Table25[[#All],[Assets]],Table25[[#This Row],[Assets]],Table25[[#All],[Bought]])</f>
        <v>128</v>
      </c>
      <c r="I1029">
        <f>SUMIF(Table25[[#All],[Assets]],Table25[[#This Row],[Assets]],Table25[[#All],[Bought Amount]])</f>
        <v>12533.52</v>
      </c>
      <c r="J1029" s="88">
        <f>IF(Table25[[#This Row],[Number of stocks]]&lt;0,Table25[[#This Row],[Number of stocks]],0)</f>
        <v>0</v>
      </c>
      <c r="K1029" s="5">
        <f>Table25[[#This Row],[Sold]]*Table25[[#This Row],[Price]]</f>
        <v>0</v>
      </c>
      <c r="L1029" s="8">
        <f>ABS(SUMIF(Table25[[#All],[Assets]],Table25[[#This Row],[Assets]],Table25[[#All],[Sold]]))</f>
        <v>128</v>
      </c>
      <c r="M1029" s="5">
        <f>ABS(SUMIF(Table25[[#All],[Assets]],Table25[[#This Row],[Assets]],Table25[[#All],[Sold Amount]]))</f>
        <v>17148.419999999998</v>
      </c>
      <c r="N1029" s="5">
        <f>IFERROR(Table25[[#This Row],[Total sold amount]]/Table25[[#This Row],[Total Sold number of stocks]],"")</f>
        <v>133.97203124999999</v>
      </c>
      <c r="O1029" s="4">
        <f>IFERROR(Table25[[#This Row],[Total Amount bought]]/Table25[[#This Row],[Total number bought]],"")</f>
        <v>97.918125000000003</v>
      </c>
      <c r="P1029" s="4">
        <f>IFERROR((Table25[[#This Row],[Average sell price]]-Table25[[#This Row],[Average buy price]])*Table25[[#This Row],[Total Sold number of stocks]],0)</f>
        <v>4614.8999999999978</v>
      </c>
      <c r="Q1029" s="85">
        <f>SUMIF(Table25[[#All],[Assets]],Table25[[#This Row],[Assets]],Table25[[#All],[Number of stocks]])</f>
        <v>0</v>
      </c>
    </row>
    <row r="1030" spans="1:17">
      <c r="A1030" t="e" vm="159">
        <v>#VALUE!</v>
      </c>
      <c r="B1030" s="2">
        <v>47150</v>
      </c>
      <c r="C1030" t="str" cm="1">
        <f t="array" aca="1" ref="C1030" ca="1">_FV(A1030,"Ticker symbol",TRUE)</f>
        <v>BABA</v>
      </c>
      <c r="D1030" s="4">
        <v>132.84</v>
      </c>
      <c r="E1030" s="50">
        <v>-9</v>
      </c>
      <c r="F1030" s="81">
        <f>IF(Table25[[#This Row],[Number of stocks]]&gt;0,Table25[[#This Row],[Number of stocks]],0)</f>
        <v>0</v>
      </c>
      <c r="G1030" s="73">
        <f>Table25[[#This Row],[Bought]]*Table25[[#This Row],[Price]]</f>
        <v>0</v>
      </c>
      <c r="H1030">
        <f>SUMIF(Table25[[#All],[Assets]],Table25[[#This Row],[Assets]],Table25[[#All],[Bought]])</f>
        <v>128</v>
      </c>
      <c r="I1030">
        <f>SUMIF(Table25[[#All],[Assets]],Table25[[#This Row],[Assets]],Table25[[#All],[Bought Amount]])</f>
        <v>12533.52</v>
      </c>
      <c r="J1030" s="88">
        <f>IF(Table25[[#This Row],[Number of stocks]]&lt;0,Table25[[#This Row],[Number of stocks]],0)</f>
        <v>-9</v>
      </c>
      <c r="K1030" s="5">
        <f>Table25[[#This Row],[Sold]]*Table25[[#This Row],[Price]]</f>
        <v>-1195.56</v>
      </c>
      <c r="L1030" s="8">
        <f>ABS(SUMIF(Table25[[#All],[Assets]],Table25[[#This Row],[Assets]],Table25[[#All],[Sold]]))</f>
        <v>128</v>
      </c>
      <c r="M1030" s="5">
        <f>ABS(SUMIF(Table25[[#All],[Assets]],Table25[[#This Row],[Assets]],Table25[[#All],[Sold Amount]]))</f>
        <v>17148.419999999998</v>
      </c>
      <c r="N1030" s="5">
        <f>IFERROR(Table25[[#This Row],[Total sold amount]]/Table25[[#This Row],[Total Sold number of stocks]],"")</f>
        <v>133.97203124999999</v>
      </c>
      <c r="O1030" s="4">
        <f>IFERROR(Table25[[#This Row],[Total Amount bought]]/Table25[[#This Row],[Total number bought]],"")</f>
        <v>97.918125000000003</v>
      </c>
      <c r="P1030" s="4">
        <f>IFERROR((Table25[[#This Row],[Average sell price]]-Table25[[#This Row],[Average buy price]])*Table25[[#This Row],[Total Sold number of stocks]],0)</f>
        <v>4614.8999999999978</v>
      </c>
      <c r="Q1030" s="85">
        <f>SUMIF(Table25[[#All],[Assets]],Table25[[#This Row],[Assets]],Table25[[#All],[Number of stocks]])</f>
        <v>0</v>
      </c>
    </row>
    <row r="1031" spans="1:17">
      <c r="A1031" t="e" vm="551">
        <v>#VALUE!</v>
      </c>
      <c r="B1031" s="2">
        <v>45734</v>
      </c>
      <c r="C1031" t="str" cm="1">
        <f t="array" aca="1" ref="C1031" ca="1">_FV(A1031,"Ticker symbol",TRUE)</f>
        <v>KYIV</v>
      </c>
      <c r="D1031" s="4">
        <v>12.15</v>
      </c>
      <c r="E1031" s="50">
        <v>12</v>
      </c>
      <c r="F1031" s="81">
        <f>IF(Table25[[#This Row],[Number of stocks]]&gt;0,Table25[[#This Row],[Number of stocks]],0)</f>
        <v>12</v>
      </c>
      <c r="G1031" s="73">
        <f>Table25[[#This Row],[Bought]]*Table25[[#This Row],[Price]]</f>
        <v>145.80000000000001</v>
      </c>
      <c r="H1031">
        <f>SUMIF(Table25[[#All],[Assets]],Table25[[#This Row],[Assets]],Table25[[#All],[Bought]])</f>
        <v>76</v>
      </c>
      <c r="I1031">
        <f>SUMIF(Table25[[#All],[Assets]],Table25[[#This Row],[Assets]],Table25[[#All],[Bought Amount]])</f>
        <v>931.88000000000011</v>
      </c>
      <c r="J1031" s="88">
        <f>IF(Table25[[#This Row],[Number of stocks]]&lt;0,Table25[[#This Row],[Number of stocks]],0)</f>
        <v>0</v>
      </c>
      <c r="K1031" s="5">
        <f>Table25[[#This Row],[Sold]]*Table25[[#This Row],[Price]]</f>
        <v>0</v>
      </c>
      <c r="L1031" s="8">
        <f>ABS(SUMIF(Table25[[#All],[Assets]],Table25[[#This Row],[Assets]],Table25[[#All],[Sold]]))</f>
        <v>76</v>
      </c>
      <c r="M1031" s="5">
        <f>ABS(SUMIF(Table25[[#All],[Assets]],Table25[[#This Row],[Assets]],Table25[[#All],[Sold Amount]]))</f>
        <v>1007.24</v>
      </c>
      <c r="N1031" s="5">
        <f>IFERROR(Table25[[#This Row],[Total sold amount]]/Table25[[#This Row],[Total Sold number of stocks]],"")</f>
        <v>13.253157894736843</v>
      </c>
      <c r="O1031" s="4">
        <f>IFERROR(Table25[[#This Row],[Total Amount bought]]/Table25[[#This Row],[Total number bought]],"")</f>
        <v>12.261578947368422</v>
      </c>
      <c r="P1031" s="4">
        <f>IFERROR((Table25[[#This Row],[Average sell price]]-Table25[[#This Row],[Average buy price]])*Table25[[#This Row],[Total Sold number of stocks]],0)</f>
        <v>75.359999999999971</v>
      </c>
      <c r="Q1031" s="85">
        <f>SUMIF(Table25[[#All],[Assets]],Table25[[#This Row],[Assets]],Table25[[#All],[Number of stocks]])</f>
        <v>0</v>
      </c>
    </row>
    <row r="1032" spans="1:17">
      <c r="A1032" t="e" vm="65">
        <v>#VALUE!</v>
      </c>
      <c r="B1032" s="2">
        <v>45744</v>
      </c>
      <c r="C1032" t="str" cm="1">
        <f t="array" aca="1" ref="C1032" ca="1">_FV(A1032,"Ticker symbol",TRUE)</f>
        <v>GAP</v>
      </c>
      <c r="D1032" s="4">
        <v>20.8</v>
      </c>
      <c r="E1032" s="50">
        <v>-109</v>
      </c>
      <c r="F1032" s="81">
        <f>IF(Table25[[#This Row],[Number of stocks]]&gt;0,Table25[[#This Row],[Number of stocks]],0)</f>
        <v>0</v>
      </c>
      <c r="G1032" s="73">
        <f>Table25[[#This Row],[Bought]]*Table25[[#This Row],[Price]]</f>
        <v>0</v>
      </c>
      <c r="H1032">
        <f>SUMIF(Table25[[#All],[Assets]],Table25[[#This Row],[Assets]],Table25[[#All],[Bought]])</f>
        <v>166</v>
      </c>
      <c r="I1032">
        <f>SUMIF(Table25[[#All],[Assets]],Table25[[#This Row],[Assets]],Table25[[#All],[Bought Amount]])</f>
        <v>3889.4200000000005</v>
      </c>
      <c r="J1032" s="88">
        <f>IF(Table25[[#This Row],[Number of stocks]]&lt;0,Table25[[#This Row],[Number of stocks]],0)</f>
        <v>-109</v>
      </c>
      <c r="K1032" s="5">
        <f>Table25[[#This Row],[Sold]]*Table25[[#This Row],[Price]]</f>
        <v>-2267.2000000000003</v>
      </c>
      <c r="L1032" s="8">
        <f>ABS(SUMIF(Table25[[#All],[Assets]],Table25[[#This Row],[Assets]],Table25[[#All],[Sold]]))</f>
        <v>166</v>
      </c>
      <c r="M1032" s="5">
        <f>ABS(SUMIF(Table25[[#All],[Assets]],Table25[[#This Row],[Assets]],Table25[[#All],[Sold Amount]]))</f>
        <v>3423.32</v>
      </c>
      <c r="N1032" s="5">
        <f>IFERROR(Table25[[#This Row],[Total sold amount]]/Table25[[#This Row],[Total Sold number of stocks]],"")</f>
        <v>20.622409638554217</v>
      </c>
      <c r="O1032" s="4">
        <f>IFERROR(Table25[[#This Row],[Total Amount bought]]/Table25[[#This Row],[Total number bought]],"")</f>
        <v>23.430240963855425</v>
      </c>
      <c r="P1032" s="4">
        <f>IFERROR((Table25[[#This Row],[Average sell price]]-Table25[[#This Row],[Average buy price]])*Table25[[#This Row],[Total Sold number of stocks]],0)</f>
        <v>-466.10000000000059</v>
      </c>
      <c r="Q1032" s="85">
        <f>SUMIF(Table25[[#All],[Assets]],Table25[[#This Row],[Assets]],Table25[[#All],[Number of stocks]])</f>
        <v>0</v>
      </c>
    </row>
    <row r="1033" spans="1:17">
      <c r="A1033" t="e" vm="461">
        <v>#VALUE!</v>
      </c>
      <c r="B1033" s="2">
        <v>45751</v>
      </c>
      <c r="C1033" t="str" cm="1">
        <f t="array" aca="1" ref="C1033" ca="1">_FV(A1033,"Ticker symbol",TRUE)</f>
        <v>SVIX</v>
      </c>
      <c r="D1033" s="4">
        <v>13.5</v>
      </c>
      <c r="E1033" s="50">
        <v>200</v>
      </c>
      <c r="F1033" s="81">
        <f>IF(Table25[[#This Row],[Number of stocks]]&gt;0,Table25[[#This Row],[Number of stocks]],0)</f>
        <v>200</v>
      </c>
      <c r="G1033" s="73">
        <f>Table25[[#This Row],[Bought]]*Table25[[#This Row],[Price]]</f>
        <v>2700</v>
      </c>
      <c r="H1033">
        <f>SUMIF(Table25[[#All],[Assets]],Table25[[#This Row],[Assets]],Table25[[#All],[Bought]])</f>
        <v>209</v>
      </c>
      <c r="I1033">
        <f>SUMIF(Table25[[#All],[Assets]],Table25[[#This Row],[Assets]],Table25[[#All],[Bought Amount]])</f>
        <v>2907</v>
      </c>
      <c r="J1033" s="88">
        <f>IF(Table25[[#This Row],[Number of stocks]]&lt;0,Table25[[#This Row],[Number of stocks]],0)</f>
        <v>0</v>
      </c>
      <c r="K1033" s="5">
        <f>Table25[[#This Row],[Sold]]*Table25[[#This Row],[Price]]</f>
        <v>0</v>
      </c>
      <c r="L1033" s="8">
        <f>ABS(SUMIF(Table25[[#All],[Assets]],Table25[[#This Row],[Assets]],Table25[[#All],[Sold]]))</f>
        <v>209</v>
      </c>
      <c r="M1033" s="5">
        <f>ABS(SUMIF(Table25[[#All],[Assets]],Table25[[#This Row],[Assets]],Table25[[#All],[Sold Amount]]))</f>
        <v>2607.3000000000002</v>
      </c>
      <c r="N1033" s="5">
        <f>IFERROR(Table25[[#This Row],[Total sold amount]]/Table25[[#This Row],[Total Sold number of stocks]],"")</f>
        <v>12.47511961722488</v>
      </c>
      <c r="O1033" s="4">
        <f>IFERROR(Table25[[#This Row],[Total Amount bought]]/Table25[[#This Row],[Total number bought]],"")</f>
        <v>13.909090909090908</v>
      </c>
      <c r="P1033" s="4">
        <f>IFERROR((Table25[[#This Row],[Average sell price]]-Table25[[#This Row],[Average buy price]])*Table25[[#This Row],[Total Sold number of stocks]],0)</f>
        <v>-299.69999999999982</v>
      </c>
      <c r="Q1033" s="85">
        <f>SUMIF(Table25[[#All],[Assets]],Table25[[#This Row],[Assets]],Table25[[#All],[Number of stocks]])</f>
        <v>0</v>
      </c>
    </row>
    <row r="1034" spans="1:17">
      <c r="A1034" t="e" vm="54">
        <v>#VALUE!</v>
      </c>
      <c r="B1034" s="2">
        <v>45751</v>
      </c>
      <c r="C1034" t="str" cm="1">
        <f t="array" aca="1" ref="C1034" ca="1">_FV(A1034,"Ticker symbol",TRUE)</f>
        <v>AR</v>
      </c>
      <c r="D1034" s="4">
        <v>34.53</v>
      </c>
      <c r="E1034" s="50">
        <v>30</v>
      </c>
      <c r="F1034" s="81">
        <f>IF(Table25[[#This Row],[Number of stocks]]&gt;0,Table25[[#This Row],[Number of stocks]],0)</f>
        <v>30</v>
      </c>
      <c r="G1034" s="73">
        <f>Table25[[#This Row],[Bought]]*Table25[[#This Row],[Price]]</f>
        <v>1035.9000000000001</v>
      </c>
      <c r="H1034">
        <f>SUMIF(Table25[[#All],[Assets]],Table25[[#This Row],[Assets]],Table25[[#All],[Bought]])</f>
        <v>210</v>
      </c>
      <c r="I1034">
        <f>SUMIF(Table25[[#All],[Assets]],Table25[[#This Row],[Assets]],Table25[[#All],[Bought Amount]])</f>
        <v>6833.5000000000009</v>
      </c>
      <c r="J1034" s="88">
        <f>IF(Table25[[#This Row],[Number of stocks]]&lt;0,Table25[[#This Row],[Number of stocks]],0)</f>
        <v>0</v>
      </c>
      <c r="K1034" s="5">
        <f>Table25[[#This Row],[Sold]]*Table25[[#This Row],[Price]]</f>
        <v>0</v>
      </c>
      <c r="L1034" s="8">
        <f>ABS(SUMIF(Table25[[#All],[Assets]],Table25[[#This Row],[Assets]],Table25[[#All],[Sold]]))</f>
        <v>180</v>
      </c>
      <c r="M1034" s="5">
        <f>ABS(SUMIF(Table25[[#All],[Assets]],Table25[[#This Row],[Assets]],Table25[[#All],[Sold Amount]]))</f>
        <v>6156.15</v>
      </c>
      <c r="N1034" s="5">
        <f>IFERROR(Table25[[#This Row],[Total sold amount]]/Table25[[#This Row],[Total Sold number of stocks]],"")</f>
        <v>34.200833333333328</v>
      </c>
      <c r="O1034" s="4">
        <f>IFERROR(Table25[[#This Row],[Total Amount bought]]/Table25[[#This Row],[Total number bought]],"")</f>
        <v>32.540476190476198</v>
      </c>
      <c r="P1034" s="4">
        <f>IFERROR((Table25[[#This Row],[Average sell price]]-Table25[[#This Row],[Average buy price]])*Table25[[#This Row],[Total Sold number of stocks]],0)</f>
        <v>298.86428571428337</v>
      </c>
      <c r="Q1034" s="85">
        <f>SUMIF(Table25[[#All],[Assets]],Table25[[#This Row],[Assets]],Table25[[#All],[Number of stocks]])</f>
        <v>30</v>
      </c>
    </row>
    <row r="1035" spans="1:17">
      <c r="A1035" t="e" vm="13">
        <v>#VALUE!</v>
      </c>
      <c r="B1035" s="2">
        <v>45751</v>
      </c>
      <c r="C1035" t="str" cm="1">
        <f t="array" aca="1" ref="C1035" ca="1">_FV(A1035,"Ticker symbol",TRUE)</f>
        <v>ON</v>
      </c>
      <c r="D1035" s="4">
        <v>33.979999999999997</v>
      </c>
      <c r="E1035" s="50">
        <v>1</v>
      </c>
      <c r="F1035" s="81">
        <f>IF(Table25[[#This Row],[Number of stocks]]&gt;0,Table25[[#This Row],[Number of stocks]],0)</f>
        <v>1</v>
      </c>
      <c r="G1035" s="73">
        <f>Table25[[#This Row],[Bought]]*Table25[[#This Row],[Price]]</f>
        <v>33.979999999999997</v>
      </c>
      <c r="H1035">
        <f>SUMIF(Table25[[#All],[Assets]],Table25[[#This Row],[Assets]],Table25[[#All],[Bought]])</f>
        <v>326</v>
      </c>
      <c r="I1035">
        <f>SUMIF(Table25[[#All],[Assets]],Table25[[#This Row],[Assets]],Table25[[#All],[Bought Amount]])</f>
        <v>19172.809999999998</v>
      </c>
      <c r="J1035" s="88">
        <f>IF(Table25[[#This Row],[Number of stocks]]&lt;0,Table25[[#This Row],[Number of stocks]],0)</f>
        <v>0</v>
      </c>
      <c r="K1035" s="5">
        <f>Table25[[#This Row],[Sold]]*Table25[[#This Row],[Price]]</f>
        <v>0</v>
      </c>
      <c r="L1035" s="8">
        <f>ABS(SUMIF(Table25[[#All],[Assets]],Table25[[#This Row],[Assets]],Table25[[#All],[Sold]]))</f>
        <v>283</v>
      </c>
      <c r="M1035" s="5">
        <f>ABS(SUMIF(Table25[[#All],[Assets]],Table25[[#This Row],[Assets]],Table25[[#All],[Sold Amount]]))</f>
        <v>15700.74</v>
      </c>
      <c r="N1035" s="5">
        <f>IFERROR(Table25[[#This Row],[Total sold amount]]/Table25[[#This Row],[Total Sold number of stocks]],"")</f>
        <v>55.47964664310954</v>
      </c>
      <c r="O1035" s="4">
        <f>IFERROR(Table25[[#This Row],[Total Amount bought]]/Table25[[#This Row],[Total number bought]],"")</f>
        <v>58.812300613496923</v>
      </c>
      <c r="P1035" s="4">
        <f>IFERROR((Table25[[#This Row],[Average sell price]]-Table25[[#This Row],[Average buy price]])*Table25[[#This Row],[Total Sold number of stocks]],0)</f>
        <v>-943.14107361962954</v>
      </c>
      <c r="Q1035" s="85">
        <f>SUMIF(Table25[[#All],[Assets]],Table25[[#This Row],[Assets]],Table25[[#All],[Number of stocks]])</f>
        <v>43</v>
      </c>
    </row>
    <row r="1036" spans="1:17">
      <c r="A1036" t="e" vm="85">
        <v>#VALUE!</v>
      </c>
      <c r="B1036" s="2">
        <v>45754</v>
      </c>
      <c r="C1036" t="str" cm="1">
        <f t="array" aca="1" ref="C1036" ca="1">_FV(A1036,"Ticker symbol",TRUE)</f>
        <v>HOOD</v>
      </c>
      <c r="D1036" s="4">
        <v>37.020000000000003</v>
      </c>
      <c r="E1036" s="50">
        <v>10</v>
      </c>
      <c r="F1036" s="81">
        <f>IF(Table25[[#This Row],[Number of stocks]]&gt;0,Table25[[#This Row],[Number of stocks]],0)</f>
        <v>10</v>
      </c>
      <c r="G1036" s="73">
        <f>Table25[[#This Row],[Bought]]*Table25[[#This Row],[Price]]</f>
        <v>370.20000000000005</v>
      </c>
      <c r="H1036">
        <f>SUMIF(Table25[[#All],[Assets]],Table25[[#This Row],[Assets]],Table25[[#All],[Bought]])</f>
        <v>105</v>
      </c>
      <c r="I1036">
        <f>SUMIF(Table25[[#All],[Assets]],Table25[[#This Row],[Assets]],Table25[[#All],[Bought Amount]])</f>
        <v>4056.0900000000006</v>
      </c>
      <c r="J1036" s="88">
        <f>IF(Table25[[#This Row],[Number of stocks]]&lt;0,Table25[[#This Row],[Number of stocks]],0)</f>
        <v>0</v>
      </c>
      <c r="K1036" s="5">
        <f>Table25[[#This Row],[Sold]]*Table25[[#This Row],[Price]]</f>
        <v>0</v>
      </c>
      <c r="L1036" s="8">
        <f>ABS(SUMIF(Table25[[#All],[Assets]],Table25[[#This Row],[Assets]],Table25[[#All],[Sold]]))</f>
        <v>80</v>
      </c>
      <c r="M1036" s="5">
        <f>ABS(SUMIF(Table25[[#All],[Assets]],Table25[[#This Row],[Assets]],Table25[[#All],[Sold Amount]]))</f>
        <v>2255.4300000000003</v>
      </c>
      <c r="N1036" s="5">
        <f>IFERROR(Table25[[#This Row],[Total sold amount]]/Table25[[#This Row],[Total Sold number of stocks]],"")</f>
        <v>28.192875000000004</v>
      </c>
      <c r="O1036" s="4">
        <f>IFERROR(Table25[[#This Row],[Total Amount bought]]/Table25[[#This Row],[Total number bought]],"")</f>
        <v>38.629428571428576</v>
      </c>
      <c r="P1036" s="4">
        <f>IFERROR((Table25[[#This Row],[Average sell price]]-Table25[[#This Row],[Average buy price]])*Table25[[#This Row],[Total Sold number of stocks]],0)</f>
        <v>-834.92428571428582</v>
      </c>
      <c r="Q1036" s="85">
        <f>SUMIF(Table25[[#All],[Assets]],Table25[[#This Row],[Assets]],Table25[[#All],[Number of stocks]])</f>
        <v>25</v>
      </c>
    </row>
    <row r="1037" spans="1:17">
      <c r="A1037" t="e" vm="554">
        <v>#VALUE!</v>
      </c>
      <c r="B1037" s="2">
        <v>45754</v>
      </c>
      <c r="C1037" t="str" cm="1">
        <f t="array" aca="1" ref="C1037" ca="1">_FV(A1037,"Ticker symbol",TRUE)</f>
        <v>TQQQ</v>
      </c>
      <c r="D1037" s="4">
        <v>45.54</v>
      </c>
      <c r="E1037" s="50">
        <v>45</v>
      </c>
      <c r="F1037" s="81">
        <f>IF(Table25[[#This Row],[Number of stocks]]&gt;0,Table25[[#This Row],[Number of stocks]],0)</f>
        <v>45</v>
      </c>
      <c r="G1037" s="73">
        <f>Table25[[#This Row],[Bought]]*Table25[[#This Row],[Price]]</f>
        <v>2049.3000000000002</v>
      </c>
      <c r="H1037">
        <f>SUMIF(Table25[[#All],[Assets]],Table25[[#This Row],[Assets]],Table25[[#All],[Bought]])</f>
        <v>45</v>
      </c>
      <c r="I1037">
        <f>SUMIF(Table25[[#All],[Assets]],Table25[[#This Row],[Assets]],Table25[[#All],[Bought Amount]])</f>
        <v>2049.3000000000002</v>
      </c>
      <c r="J1037" s="88">
        <f>IF(Table25[[#This Row],[Number of stocks]]&lt;0,Table25[[#This Row],[Number of stocks]],0)</f>
        <v>0</v>
      </c>
      <c r="K1037" s="5">
        <f>Table25[[#This Row],[Sold]]*Table25[[#This Row],[Price]]</f>
        <v>0</v>
      </c>
      <c r="L1037" s="8">
        <f>ABS(SUMIF(Table25[[#All],[Assets]],Table25[[#This Row],[Assets]],Table25[[#All],[Sold]]))</f>
        <v>45</v>
      </c>
      <c r="M1037" s="5">
        <f>ABS(SUMIF(Table25[[#All],[Assets]],Table25[[#This Row],[Assets]],Table25[[#All],[Sold Amount]]))</f>
        <v>2142</v>
      </c>
      <c r="N1037" s="5">
        <f>IFERROR(Table25[[#This Row],[Total sold amount]]/Table25[[#This Row],[Total Sold number of stocks]],"")</f>
        <v>47.6</v>
      </c>
      <c r="O1037" s="4">
        <f>IFERROR(Table25[[#This Row],[Total Amount bought]]/Table25[[#This Row],[Total number bought]],"")</f>
        <v>45.540000000000006</v>
      </c>
      <c r="P1037" s="4">
        <f>IFERROR((Table25[[#This Row],[Average sell price]]-Table25[[#This Row],[Average buy price]])*Table25[[#This Row],[Total Sold number of stocks]],0)</f>
        <v>92.69999999999979</v>
      </c>
      <c r="Q1037" s="85">
        <f>SUMIF(Table25[[#All],[Assets]],Table25[[#This Row],[Assets]],Table25[[#All],[Number of stocks]])</f>
        <v>0</v>
      </c>
    </row>
    <row r="1038" spans="1:17">
      <c r="A1038" t="e" vm="13">
        <v>#VALUE!</v>
      </c>
      <c r="B1038" s="2">
        <v>45754</v>
      </c>
      <c r="C1038" t="str" cm="1">
        <f t="array" aca="1" ref="C1038" ca="1">_FV(A1038,"Ticker symbol",TRUE)</f>
        <v>ON</v>
      </c>
      <c r="D1038" s="4">
        <v>34.04</v>
      </c>
      <c r="E1038" s="50">
        <v>2</v>
      </c>
      <c r="F1038" s="81">
        <f>IF(Table25[[#This Row],[Number of stocks]]&gt;0,Table25[[#This Row],[Number of stocks]],0)</f>
        <v>2</v>
      </c>
      <c r="G1038" s="73">
        <f>Table25[[#This Row],[Bought]]*Table25[[#This Row],[Price]]</f>
        <v>68.08</v>
      </c>
      <c r="H1038">
        <f>SUMIF(Table25[[#All],[Assets]],Table25[[#This Row],[Assets]],Table25[[#All],[Bought]])</f>
        <v>326</v>
      </c>
      <c r="I1038">
        <f>SUMIF(Table25[[#All],[Assets]],Table25[[#This Row],[Assets]],Table25[[#All],[Bought Amount]])</f>
        <v>19172.809999999998</v>
      </c>
      <c r="J1038" s="88">
        <f>IF(Table25[[#This Row],[Number of stocks]]&lt;0,Table25[[#This Row],[Number of stocks]],0)</f>
        <v>0</v>
      </c>
      <c r="K1038" s="5">
        <f>Table25[[#This Row],[Sold]]*Table25[[#This Row],[Price]]</f>
        <v>0</v>
      </c>
      <c r="L1038" s="8">
        <f>ABS(SUMIF(Table25[[#All],[Assets]],Table25[[#This Row],[Assets]],Table25[[#All],[Sold]]))</f>
        <v>283</v>
      </c>
      <c r="M1038" s="5">
        <f>ABS(SUMIF(Table25[[#All],[Assets]],Table25[[#This Row],[Assets]],Table25[[#All],[Sold Amount]]))</f>
        <v>15700.74</v>
      </c>
      <c r="N1038" s="5">
        <f>IFERROR(Table25[[#This Row],[Total sold amount]]/Table25[[#This Row],[Total Sold number of stocks]],"")</f>
        <v>55.47964664310954</v>
      </c>
      <c r="O1038" s="4">
        <f>IFERROR(Table25[[#This Row],[Total Amount bought]]/Table25[[#This Row],[Total number bought]],"")</f>
        <v>58.812300613496923</v>
      </c>
      <c r="P1038" s="4">
        <f>IFERROR((Table25[[#This Row],[Average sell price]]-Table25[[#This Row],[Average buy price]])*Table25[[#This Row],[Total Sold number of stocks]],0)</f>
        <v>-943.14107361962954</v>
      </c>
      <c r="Q1038" s="85">
        <f>SUMIF(Table25[[#All],[Assets]],Table25[[#This Row],[Assets]],Table25[[#All],[Number of stocks]])</f>
        <v>43</v>
      </c>
    </row>
    <row r="1039" spans="1:17">
      <c r="A1039" t="e" vm="554">
        <v>#VALUE!</v>
      </c>
      <c r="B1039" s="2">
        <v>45757</v>
      </c>
      <c r="C1039" t="str" cm="1">
        <f t="array" aca="1" ref="C1039" ca="1">_FV(A1039,"Ticker symbol",TRUE)</f>
        <v>TQQQ</v>
      </c>
      <c r="D1039" s="4">
        <v>47.6</v>
      </c>
      <c r="E1039" s="50">
        <v>-45</v>
      </c>
      <c r="F1039" s="81">
        <f>IF(Table25[[#This Row],[Number of stocks]]&gt;0,Table25[[#This Row],[Number of stocks]],0)</f>
        <v>0</v>
      </c>
      <c r="G1039" s="73">
        <f>Table25[[#This Row],[Bought]]*Table25[[#This Row],[Price]]</f>
        <v>0</v>
      </c>
      <c r="H1039">
        <f>SUMIF(Table25[[#All],[Assets]],Table25[[#This Row],[Assets]],Table25[[#All],[Bought]])</f>
        <v>45</v>
      </c>
      <c r="I1039">
        <f>SUMIF(Table25[[#All],[Assets]],Table25[[#This Row],[Assets]],Table25[[#All],[Bought Amount]])</f>
        <v>2049.3000000000002</v>
      </c>
      <c r="J1039" s="88">
        <f>IF(Table25[[#This Row],[Number of stocks]]&lt;0,Table25[[#This Row],[Number of stocks]],0)</f>
        <v>-45</v>
      </c>
      <c r="K1039" s="5">
        <f>Table25[[#This Row],[Sold]]*Table25[[#This Row],[Price]]</f>
        <v>-2142</v>
      </c>
      <c r="L1039" s="8">
        <f>ABS(SUMIF(Table25[[#All],[Assets]],Table25[[#This Row],[Assets]],Table25[[#All],[Sold]]))</f>
        <v>45</v>
      </c>
      <c r="M1039" s="5">
        <f>ABS(SUMIF(Table25[[#All],[Assets]],Table25[[#This Row],[Assets]],Table25[[#All],[Sold Amount]]))</f>
        <v>2142</v>
      </c>
      <c r="N1039" s="5">
        <f>IFERROR(Table25[[#This Row],[Total sold amount]]/Table25[[#This Row],[Total Sold number of stocks]],"")</f>
        <v>47.6</v>
      </c>
      <c r="O1039" s="4">
        <f>IFERROR(Table25[[#This Row],[Total Amount bought]]/Table25[[#This Row],[Total number bought]],"")</f>
        <v>45.540000000000006</v>
      </c>
      <c r="P1039" s="4">
        <f>IFERROR((Table25[[#This Row],[Average sell price]]-Table25[[#This Row],[Average buy price]])*Table25[[#This Row],[Total Sold number of stocks]],0)</f>
        <v>92.69999999999979</v>
      </c>
      <c r="Q1039" s="85">
        <f>SUMIF(Table25[[#All],[Assets]],Table25[[#This Row],[Assets]],Table25[[#All],[Number of stocks]])</f>
        <v>0</v>
      </c>
    </row>
    <row r="1040" spans="1:17">
      <c r="A1040" t="e" vm="79">
        <v>#VALUE!</v>
      </c>
      <c r="B1040" s="2">
        <v>45757</v>
      </c>
      <c r="C1040" t="str" cm="1">
        <f t="array" aca="1" ref="C1040" ca="1">_FV(A1040,"Ticker symbol",TRUE)</f>
        <v>PACB</v>
      </c>
      <c r="D1040" s="4">
        <v>1.39</v>
      </c>
      <c r="E1040" s="50">
        <v>750</v>
      </c>
      <c r="F1040" s="81">
        <f>IF(Table25[[#This Row],[Number of stocks]]&gt;0,Table25[[#This Row],[Number of stocks]],0)</f>
        <v>750</v>
      </c>
      <c r="G1040" s="73">
        <f>Table25[[#This Row],[Bought]]*Table25[[#This Row],[Price]]</f>
        <v>1042.5</v>
      </c>
      <c r="H1040">
        <f>SUMIF(Table25[[#All],[Assets]],Table25[[#This Row],[Assets]],Table25[[#All],[Bought]])</f>
        <v>750</v>
      </c>
      <c r="I1040">
        <f>SUMIF(Table25[[#All],[Assets]],Table25[[#This Row],[Assets]],Table25[[#All],[Bought Amount]])</f>
        <v>1042.5</v>
      </c>
      <c r="J1040" s="88">
        <f>IF(Table25[[#This Row],[Number of stocks]]&lt;0,Table25[[#This Row],[Number of stocks]],0)</f>
        <v>0</v>
      </c>
      <c r="K1040" s="5">
        <f>Table25[[#This Row],[Sold]]*Table25[[#This Row],[Price]]</f>
        <v>0</v>
      </c>
      <c r="L1040" s="8">
        <f>ABS(SUMIF(Table25[[#All],[Assets]],Table25[[#This Row],[Assets]],Table25[[#All],[Sold]]))</f>
        <v>750</v>
      </c>
      <c r="M1040" s="5">
        <f>ABS(SUMIF(Table25[[#All],[Assets]],Table25[[#This Row],[Assets]],Table25[[#All],[Sold Amount]]))</f>
        <v>931.5</v>
      </c>
      <c r="N1040" s="5">
        <f>IFERROR(Table25[[#This Row],[Total sold amount]]/Table25[[#This Row],[Total Sold number of stocks]],"")</f>
        <v>1.242</v>
      </c>
      <c r="O1040" s="4">
        <f>IFERROR(Table25[[#This Row],[Total Amount bought]]/Table25[[#This Row],[Total number bought]],"")</f>
        <v>1.39</v>
      </c>
      <c r="P1040" s="4">
        <f>IFERROR((Table25[[#This Row],[Average sell price]]-Table25[[#This Row],[Average buy price]])*Table25[[#This Row],[Total Sold number of stocks]],0)</f>
        <v>-110.99999999999993</v>
      </c>
      <c r="Q1040" s="85">
        <f>SUMIF(Table25[[#All],[Assets]],Table25[[#This Row],[Assets]],Table25[[#All],[Number of stocks]])</f>
        <v>0</v>
      </c>
    </row>
    <row r="1041" spans="1:17">
      <c r="A1041" t="e" vm="555">
        <v>#VALUE!</v>
      </c>
      <c r="B1041" s="2">
        <v>45757</v>
      </c>
      <c r="C1041" t="str" cm="1">
        <f t="array" aca="1" ref="C1041" ca="1">_FV(A1041,"Ticker symbol",TRUE)</f>
        <v>RDFN</v>
      </c>
      <c r="D1041" s="4">
        <v>8.1999999999999993</v>
      </c>
      <c r="E1041" s="50">
        <v>120</v>
      </c>
      <c r="F1041" s="81">
        <f>IF(Table25[[#This Row],[Number of stocks]]&gt;0,Table25[[#This Row],[Number of stocks]],0)</f>
        <v>120</v>
      </c>
      <c r="G1041" s="73">
        <f>Table25[[#This Row],[Bought]]*Table25[[#This Row],[Price]]</f>
        <v>983.99999999999989</v>
      </c>
      <c r="H1041">
        <f>SUMIF(Table25[[#All],[Assets]],Table25[[#This Row],[Assets]],Table25[[#All],[Bought]])</f>
        <v>120</v>
      </c>
      <c r="I1041">
        <f>SUMIF(Table25[[#All],[Assets]],Table25[[#This Row],[Assets]],Table25[[#All],[Bought Amount]])</f>
        <v>983.99999999999989</v>
      </c>
      <c r="J1041" s="88">
        <f>IF(Table25[[#This Row],[Number of stocks]]&lt;0,Table25[[#This Row],[Number of stocks]],0)</f>
        <v>0</v>
      </c>
      <c r="K1041" s="5">
        <f>Table25[[#This Row],[Sold]]*Table25[[#This Row],[Price]]</f>
        <v>0</v>
      </c>
      <c r="L1041" s="8">
        <f>ABS(SUMIF(Table25[[#All],[Assets]],Table25[[#This Row],[Assets]],Table25[[#All],[Sold]]))</f>
        <v>120</v>
      </c>
      <c r="M1041" s="5">
        <f>ABS(SUMIF(Table25[[#All],[Assets]],Table25[[#This Row],[Assets]],Table25[[#All],[Sold Amount]]))</f>
        <v>1177.8</v>
      </c>
      <c r="N1041" s="5">
        <f>IFERROR(Table25[[#This Row],[Total sold amount]]/Table25[[#This Row],[Total Sold number of stocks]],"")</f>
        <v>9.8149999999999995</v>
      </c>
      <c r="O1041" s="4">
        <f>IFERROR(Table25[[#This Row],[Total Amount bought]]/Table25[[#This Row],[Total number bought]],"")</f>
        <v>8.1999999999999993</v>
      </c>
      <c r="P1041" s="4">
        <f>IFERROR((Table25[[#This Row],[Average sell price]]-Table25[[#This Row],[Average buy price]])*Table25[[#This Row],[Total Sold number of stocks]],0)</f>
        <v>193.8</v>
      </c>
      <c r="Q1041" s="85">
        <f>SUMIF(Table25[[#All],[Assets]],Table25[[#This Row],[Assets]],Table25[[#All],[Number of stocks]])</f>
        <v>0</v>
      </c>
    </row>
    <row r="1042" spans="1:17">
      <c r="A1042" t="e" vm="159">
        <v>#VALUE!</v>
      </c>
      <c r="B1042" s="2">
        <v>45740</v>
      </c>
      <c r="C1042" t="str" cm="1">
        <f t="array" aca="1" ref="C1042" ca="1">_FV(A1042,"Ticker symbol",TRUE)</f>
        <v>BABA</v>
      </c>
      <c r="D1042" s="4">
        <v>134.85</v>
      </c>
      <c r="E1042" s="50">
        <v>-5</v>
      </c>
      <c r="F1042" s="81">
        <f>IF(Table25[[#This Row],[Number of stocks]]&gt;0,Table25[[#This Row],[Number of stocks]],0)</f>
        <v>0</v>
      </c>
      <c r="G1042" s="73">
        <f>Table25[[#This Row],[Bought]]*Table25[[#This Row],[Price]]</f>
        <v>0</v>
      </c>
      <c r="H1042">
        <f>SUMIF(Table25[[#All],[Assets]],Table25[[#This Row],[Assets]],Table25[[#All],[Bought]])</f>
        <v>128</v>
      </c>
      <c r="I1042">
        <f>SUMIF(Table25[[#All],[Assets]],Table25[[#This Row],[Assets]],Table25[[#All],[Bought Amount]])</f>
        <v>12533.52</v>
      </c>
      <c r="J1042" s="88">
        <f>IF(Table25[[#This Row],[Number of stocks]]&lt;0,Table25[[#This Row],[Number of stocks]],0)</f>
        <v>-5</v>
      </c>
      <c r="K1042" s="5">
        <f>Table25[[#This Row],[Sold]]*Table25[[#This Row],[Price]]</f>
        <v>-674.25</v>
      </c>
      <c r="L1042" s="8">
        <f>ABS(SUMIF(Table25[[#All],[Assets]],Table25[[#This Row],[Assets]],Table25[[#All],[Sold]]))</f>
        <v>128</v>
      </c>
      <c r="M1042" s="5">
        <f>ABS(SUMIF(Table25[[#All],[Assets]],Table25[[#This Row],[Assets]],Table25[[#All],[Sold Amount]]))</f>
        <v>17148.419999999998</v>
      </c>
      <c r="N1042" s="5">
        <f>IFERROR(Table25[[#This Row],[Total sold amount]]/Table25[[#This Row],[Total Sold number of stocks]],"")</f>
        <v>133.97203124999999</v>
      </c>
      <c r="O1042" s="4">
        <f>IFERROR(Table25[[#This Row],[Total Amount bought]]/Table25[[#This Row],[Total number bought]],"")</f>
        <v>97.918125000000003</v>
      </c>
      <c r="P1042" s="4">
        <f>IFERROR((Table25[[#This Row],[Average sell price]]-Table25[[#This Row],[Average buy price]])*Table25[[#This Row],[Total Sold number of stocks]],0)</f>
        <v>4614.8999999999978</v>
      </c>
      <c r="Q1042" s="85">
        <f>SUMIF(Table25[[#All],[Assets]],Table25[[#This Row],[Assets]],Table25[[#All],[Number of stocks]])</f>
        <v>0</v>
      </c>
    </row>
    <row r="1043" spans="1:17">
      <c r="A1043" t="e" vm="159">
        <v>#VALUE!</v>
      </c>
      <c r="B1043" s="2">
        <v>45740</v>
      </c>
      <c r="C1043" t="str" cm="1">
        <f t="array" aca="1" ref="C1043" ca="1">_FV(A1043,"Ticker symbol",TRUE)</f>
        <v>BABA</v>
      </c>
      <c r="D1043" s="4">
        <v>134.86000000000001</v>
      </c>
      <c r="E1043" s="50">
        <v>-5</v>
      </c>
      <c r="F1043" s="81">
        <f>IF(Table25[[#This Row],[Number of stocks]]&gt;0,Table25[[#This Row],[Number of stocks]],0)</f>
        <v>0</v>
      </c>
      <c r="G1043" s="73">
        <f>Table25[[#This Row],[Bought]]*Table25[[#This Row],[Price]]</f>
        <v>0</v>
      </c>
      <c r="H1043">
        <f>SUMIF(Table25[[#All],[Assets]],Table25[[#This Row],[Assets]],Table25[[#All],[Bought]])</f>
        <v>128</v>
      </c>
      <c r="I1043">
        <f>SUMIF(Table25[[#All],[Assets]],Table25[[#This Row],[Assets]],Table25[[#All],[Bought Amount]])</f>
        <v>12533.52</v>
      </c>
      <c r="J1043" s="88">
        <f>IF(Table25[[#This Row],[Number of stocks]]&lt;0,Table25[[#This Row],[Number of stocks]],0)</f>
        <v>-5</v>
      </c>
      <c r="K1043" s="5">
        <f>Table25[[#This Row],[Sold]]*Table25[[#This Row],[Price]]</f>
        <v>-674.30000000000007</v>
      </c>
      <c r="L1043" s="8">
        <f>ABS(SUMIF(Table25[[#All],[Assets]],Table25[[#This Row],[Assets]],Table25[[#All],[Sold]]))</f>
        <v>128</v>
      </c>
      <c r="M1043" s="5">
        <f>ABS(SUMIF(Table25[[#All],[Assets]],Table25[[#This Row],[Assets]],Table25[[#All],[Sold Amount]]))</f>
        <v>17148.419999999998</v>
      </c>
      <c r="N1043" s="5">
        <f>IFERROR(Table25[[#This Row],[Total sold amount]]/Table25[[#This Row],[Total Sold number of stocks]],"")</f>
        <v>133.97203124999999</v>
      </c>
      <c r="O1043" s="4">
        <f>IFERROR(Table25[[#This Row],[Total Amount bought]]/Table25[[#This Row],[Total number bought]],"")</f>
        <v>97.918125000000003</v>
      </c>
      <c r="P1043" s="4">
        <f>IFERROR((Table25[[#This Row],[Average sell price]]-Table25[[#This Row],[Average buy price]])*Table25[[#This Row],[Total Sold number of stocks]],0)</f>
        <v>4614.8999999999978</v>
      </c>
      <c r="Q1043" s="85">
        <f>SUMIF(Table25[[#All],[Assets]],Table25[[#This Row],[Assets]],Table25[[#All],[Number of stocks]])</f>
        <v>0</v>
      </c>
    </row>
    <row r="1044" spans="1:17">
      <c r="A1044" t="e" vm="63">
        <v>#VALUE!</v>
      </c>
      <c r="B1044" s="2">
        <v>45740</v>
      </c>
      <c r="C1044" t="str" cm="1">
        <f t="array" aca="1" ref="C1044" ca="1">_FV(A1044,"Ticker symbol",TRUE)</f>
        <v>TSLA</v>
      </c>
      <c r="D1044" s="4">
        <v>274.25</v>
      </c>
      <c r="E1044" s="50">
        <v>2</v>
      </c>
      <c r="F1044" s="81">
        <f>IF(Table25[[#This Row],[Number of stocks]]&gt;0,Table25[[#This Row],[Number of stocks]],0)</f>
        <v>2</v>
      </c>
      <c r="G1044" s="73">
        <f>Table25[[#This Row],[Bought]]*Table25[[#This Row],[Price]]</f>
        <v>548.5</v>
      </c>
      <c r="H1044">
        <f>SUMIF(Table25[[#All],[Assets]],Table25[[#This Row],[Assets]],Table25[[#All],[Bought]])</f>
        <v>13</v>
      </c>
      <c r="I1044">
        <f>SUMIF(Table25[[#All],[Assets]],Table25[[#This Row],[Assets]],Table25[[#All],[Bought Amount]])</f>
        <v>3484.85</v>
      </c>
      <c r="J1044" s="88">
        <f>IF(Table25[[#This Row],[Number of stocks]]&lt;0,Table25[[#This Row],[Number of stocks]],0)</f>
        <v>0</v>
      </c>
      <c r="K1044" s="5">
        <f>Table25[[#This Row],[Sold]]*Table25[[#This Row],[Price]]</f>
        <v>0</v>
      </c>
      <c r="L1044" s="8">
        <f>ABS(SUMIF(Table25[[#All],[Assets]],Table25[[#This Row],[Assets]],Table25[[#All],[Sold]]))</f>
        <v>13</v>
      </c>
      <c r="M1044" s="5">
        <f>ABS(SUMIF(Table25[[#All],[Assets]],Table25[[#This Row],[Assets]],Table25[[#All],[Sold Amount]]))</f>
        <v>4240.6299999999992</v>
      </c>
      <c r="N1044" s="5">
        <f>IFERROR(Table25[[#This Row],[Total sold amount]]/Table25[[#This Row],[Total Sold number of stocks]],"")</f>
        <v>326.20230769230761</v>
      </c>
      <c r="O1044" s="4">
        <f>IFERROR(Table25[[#This Row],[Total Amount bought]]/Table25[[#This Row],[Total number bought]],"")</f>
        <v>268.06538461538463</v>
      </c>
      <c r="P1044" s="4">
        <f>IFERROR((Table25[[#This Row],[Average sell price]]-Table25[[#This Row],[Average buy price]])*Table25[[#This Row],[Total Sold number of stocks]],0)</f>
        <v>755.77999999999884</v>
      </c>
      <c r="Q1044" s="85">
        <f>SUMIF(Table25[[#All],[Assets]],Table25[[#This Row],[Assets]],Table25[[#All],[Number of stocks]])</f>
        <v>0</v>
      </c>
    </row>
    <row r="1045" spans="1:17">
      <c r="A1045" t="e" vm="29">
        <v>#VALUE!</v>
      </c>
      <c r="B1045" s="2">
        <v>45740</v>
      </c>
      <c r="C1045" t="str" cm="1">
        <f t="array" aca="1" ref="C1045" ca="1">_FV(A1045,"Ticker symbol",TRUE)</f>
        <v>NVDA</v>
      </c>
      <c r="D1045" s="4">
        <v>121.83</v>
      </c>
      <c r="E1045" s="50">
        <v>1</v>
      </c>
      <c r="F1045" s="81">
        <f>IF(Table25[[#This Row],[Number of stocks]]&gt;0,Table25[[#This Row],[Number of stocks]],0)</f>
        <v>1</v>
      </c>
      <c r="G1045" s="73">
        <f>Table25[[#This Row],[Bought]]*Table25[[#This Row],[Price]]</f>
        <v>121.83</v>
      </c>
      <c r="H1045">
        <f>SUMIF(Table25[[#All],[Assets]],Table25[[#This Row],[Assets]],Table25[[#All],[Bought]])</f>
        <v>4</v>
      </c>
      <c r="I1045">
        <f>SUMIF(Table25[[#All],[Assets]],Table25[[#This Row],[Assets]],Table25[[#All],[Bought Amount]])</f>
        <v>519.04</v>
      </c>
      <c r="J1045" s="88">
        <f>IF(Table25[[#This Row],[Number of stocks]]&lt;0,Table25[[#This Row],[Number of stocks]],0)</f>
        <v>0</v>
      </c>
      <c r="K1045" s="5">
        <f>Table25[[#This Row],[Sold]]*Table25[[#This Row],[Price]]</f>
        <v>0</v>
      </c>
      <c r="L1045" s="8">
        <f>ABS(SUMIF(Table25[[#All],[Assets]],Table25[[#This Row],[Assets]],Table25[[#All],[Sold]]))</f>
        <v>3</v>
      </c>
      <c r="M1045" s="5">
        <f>ABS(SUMIF(Table25[[#All],[Assets]],Table25[[#This Row],[Assets]],Table25[[#All],[Sold Amount]]))</f>
        <v>455.75</v>
      </c>
      <c r="N1045" s="5">
        <f>IFERROR(Table25[[#This Row],[Total sold amount]]/Table25[[#This Row],[Total Sold number of stocks]],"")</f>
        <v>151.91666666666666</v>
      </c>
      <c r="O1045" s="4">
        <f>IFERROR(Table25[[#This Row],[Total Amount bought]]/Table25[[#This Row],[Total number bought]],"")</f>
        <v>129.76</v>
      </c>
      <c r="P1045" s="4">
        <f>IFERROR((Table25[[#This Row],[Average sell price]]-Table25[[#This Row],[Average buy price]])*Table25[[#This Row],[Total Sold number of stocks]],0)</f>
        <v>66.47</v>
      </c>
      <c r="Q1045" s="85">
        <f>SUMIF(Table25[[#All],[Assets]],Table25[[#This Row],[Assets]],Table25[[#All],[Number of stocks]])</f>
        <v>1</v>
      </c>
    </row>
    <row r="1046" spans="1:17">
      <c r="A1046" t="e" vm="211">
        <v>#VALUE!</v>
      </c>
      <c r="B1046" s="2">
        <v>45743</v>
      </c>
      <c r="C1046" t="str" cm="1">
        <f t="array" aca="1" ref="C1046" ca="1">_FV(A1046,"Ticker symbol",TRUE)</f>
        <v>GME</v>
      </c>
      <c r="D1046" s="4">
        <v>21.71</v>
      </c>
      <c r="E1046" s="50">
        <v>6</v>
      </c>
      <c r="F1046" s="81">
        <f>IF(Table25[[#This Row],[Number of stocks]]&gt;0,Table25[[#This Row],[Number of stocks]],0)</f>
        <v>6</v>
      </c>
      <c r="G1046" s="73">
        <f>Table25[[#This Row],[Bought]]*Table25[[#This Row],[Price]]</f>
        <v>130.26</v>
      </c>
      <c r="H1046">
        <f>SUMIF(Table25[[#All],[Assets]],Table25[[#This Row],[Assets]],Table25[[#All],[Bought]])</f>
        <v>207</v>
      </c>
      <c r="I1046">
        <f>SUMIF(Table25[[#All],[Assets]],Table25[[#This Row],[Assets]],Table25[[#All],[Bought Amount]])</f>
        <v>5127.2700000000004</v>
      </c>
      <c r="J1046" s="88">
        <f>IF(Table25[[#This Row],[Number of stocks]]&lt;0,Table25[[#This Row],[Number of stocks]],0)</f>
        <v>0</v>
      </c>
      <c r="K1046" s="5">
        <f>Table25[[#This Row],[Sold]]*Table25[[#This Row],[Price]]</f>
        <v>0</v>
      </c>
      <c r="L1046" s="8">
        <f>ABS(SUMIF(Table25[[#All],[Assets]],Table25[[#This Row],[Assets]],Table25[[#All],[Sold]]))</f>
        <v>181</v>
      </c>
      <c r="M1046" s="5">
        <f>ABS(SUMIF(Table25[[#All],[Assets]],Table25[[#This Row],[Assets]],Table25[[#All],[Sold Amount]]))</f>
        <v>4186.9799999999996</v>
      </c>
      <c r="N1046" s="5">
        <f>IFERROR(Table25[[#This Row],[Total sold amount]]/Table25[[#This Row],[Total Sold number of stocks]],"")</f>
        <v>23.132486187845302</v>
      </c>
      <c r="O1046" s="4">
        <f>IFERROR(Table25[[#This Row],[Total Amount bought]]/Table25[[#This Row],[Total number bought]],"")</f>
        <v>24.769420289855073</v>
      </c>
      <c r="P1046" s="4">
        <f>IFERROR((Table25[[#This Row],[Average sell price]]-Table25[[#This Row],[Average buy price]])*Table25[[#This Row],[Total Sold number of stocks]],0)</f>
        <v>-296.28507246376864</v>
      </c>
      <c r="Q1046" s="85">
        <f>SUMIF(Table25[[#All],[Assets]],Table25[[#This Row],[Assets]],Table25[[#All],[Number of stocks]])</f>
        <v>26</v>
      </c>
    </row>
    <row r="1047" spans="1:17">
      <c r="A1047" t="e" vm="254">
        <v>#VALUE!</v>
      </c>
      <c r="B1047" s="2">
        <v>45743</v>
      </c>
      <c r="C1047" t="str" cm="1">
        <f t="array" aca="1" ref="C1047" ca="1">_FV(A1047,"Ticker symbol",TRUE)</f>
        <v>TALK</v>
      </c>
      <c r="D1047" s="4">
        <v>2.71</v>
      </c>
      <c r="E1047" s="50">
        <v>-100</v>
      </c>
      <c r="F1047" s="81">
        <f>IF(Table25[[#This Row],[Number of stocks]]&gt;0,Table25[[#This Row],[Number of stocks]],0)</f>
        <v>0</v>
      </c>
      <c r="G1047" s="73">
        <f>Table25[[#This Row],[Bought]]*Table25[[#This Row],[Price]]</f>
        <v>0</v>
      </c>
      <c r="H1047">
        <f>SUMIF(Table25[[#All],[Assets]],Table25[[#This Row],[Assets]],Table25[[#All],[Bought]])</f>
        <v>885</v>
      </c>
      <c r="I1047">
        <f>SUMIF(Table25[[#All],[Assets]],Table25[[#This Row],[Assets]],Table25[[#All],[Bought Amount]])</f>
        <v>2664.7</v>
      </c>
      <c r="J1047" s="88">
        <f>IF(Table25[[#This Row],[Number of stocks]]&lt;0,Table25[[#This Row],[Number of stocks]],0)</f>
        <v>-100</v>
      </c>
      <c r="K1047" s="5">
        <f>Table25[[#This Row],[Sold]]*Table25[[#This Row],[Price]]</f>
        <v>-271</v>
      </c>
      <c r="L1047" s="8">
        <f>ABS(SUMIF(Table25[[#All],[Assets]],Table25[[#This Row],[Assets]],Table25[[#All],[Sold]]))</f>
        <v>885</v>
      </c>
      <c r="M1047" s="5">
        <f>ABS(SUMIF(Table25[[#All],[Assets]],Table25[[#This Row],[Assets]],Table25[[#All],[Sold Amount]]))</f>
        <v>2591</v>
      </c>
      <c r="N1047" s="5">
        <f>IFERROR(Table25[[#This Row],[Total sold amount]]/Table25[[#This Row],[Total Sold number of stocks]],"")</f>
        <v>2.927683615819209</v>
      </c>
      <c r="O1047" s="4">
        <f>IFERROR(Table25[[#This Row],[Total Amount bought]]/Table25[[#This Row],[Total number bought]],"")</f>
        <v>3.0109604519774011</v>
      </c>
      <c r="P1047" s="4">
        <f>IFERROR((Table25[[#This Row],[Average sell price]]-Table25[[#This Row],[Average buy price]])*Table25[[#This Row],[Total Sold number of stocks]],0)</f>
        <v>-73.700000000000045</v>
      </c>
      <c r="Q1047" s="85">
        <f>SUMIF(Table25[[#All],[Assets]],Table25[[#This Row],[Assets]],Table25[[#All],[Number of stocks]])</f>
        <v>0</v>
      </c>
    </row>
    <row r="1048" spans="1:17">
      <c r="A1048" t="e" vm="183">
        <v>#VALUE!</v>
      </c>
      <c r="B1048" s="2">
        <v>45743</v>
      </c>
      <c r="C1048" t="str" cm="1">
        <f t="array" aca="1" ref="C1048" ca="1">_FV(A1048,"Ticker symbol",TRUE)</f>
        <v>ESOA</v>
      </c>
      <c r="D1048" s="4">
        <v>9.85</v>
      </c>
      <c r="E1048" s="50">
        <v>-48</v>
      </c>
      <c r="F1048" s="81">
        <f>IF(Table25[[#This Row],[Number of stocks]]&gt;0,Table25[[#This Row],[Number of stocks]],0)</f>
        <v>0</v>
      </c>
      <c r="G1048" s="73">
        <f>Table25[[#This Row],[Bought]]*Table25[[#This Row],[Price]]</f>
        <v>0</v>
      </c>
      <c r="H1048">
        <f>SUMIF(Table25[[#All],[Assets]],Table25[[#This Row],[Assets]],Table25[[#All],[Bought]])</f>
        <v>1832</v>
      </c>
      <c r="I1048">
        <f>SUMIF(Table25[[#All],[Assets]],Table25[[#This Row],[Assets]],Table25[[#All],[Bought Amount]])</f>
        <v>18152.78</v>
      </c>
      <c r="J1048" s="88">
        <f>IF(Table25[[#This Row],[Number of stocks]]&lt;0,Table25[[#This Row],[Number of stocks]],0)</f>
        <v>-48</v>
      </c>
      <c r="K1048" s="5">
        <f>Table25[[#This Row],[Sold]]*Table25[[#This Row],[Price]]</f>
        <v>-472.79999999999995</v>
      </c>
      <c r="L1048" s="8">
        <f>ABS(SUMIF(Table25[[#All],[Assets]],Table25[[#This Row],[Assets]],Table25[[#All],[Sold]]))</f>
        <v>1568</v>
      </c>
      <c r="M1048" s="5">
        <f>ABS(SUMIF(Table25[[#All],[Assets]],Table25[[#This Row],[Assets]],Table25[[#All],[Sold Amount]]))</f>
        <v>14668</v>
      </c>
      <c r="N1048" s="5">
        <f>IFERROR(Table25[[#This Row],[Total sold amount]]/Table25[[#This Row],[Total Sold number of stocks]],"")</f>
        <v>9.3545918367346932</v>
      </c>
      <c r="O1048" s="4">
        <f>IFERROR(Table25[[#This Row],[Total Amount bought]]/Table25[[#This Row],[Total number bought]],"")</f>
        <v>9.9087227074235802</v>
      </c>
      <c r="P1048" s="4">
        <f>IFERROR((Table25[[#This Row],[Average sell price]]-Table25[[#This Row],[Average buy price]])*Table25[[#This Row],[Total Sold number of stocks]],0)</f>
        <v>-868.87720524017482</v>
      </c>
      <c r="Q1048" s="85">
        <f>SUMIF(Table25[[#All],[Assets]],Table25[[#This Row],[Assets]],Table25[[#All],[Number of stocks]])</f>
        <v>264</v>
      </c>
    </row>
    <row r="1049" spans="1:17">
      <c r="A1049" t="e" vm="211">
        <v>#VALUE!</v>
      </c>
      <c r="B1049" s="2">
        <v>45743</v>
      </c>
      <c r="C1049" t="str" cm="1">
        <f t="array" aca="1" ref="C1049" ca="1">_FV(A1049,"Ticker symbol",TRUE)</f>
        <v>GME</v>
      </c>
      <c r="D1049" s="4">
        <v>21.51</v>
      </c>
      <c r="E1049" s="50">
        <v>35</v>
      </c>
      <c r="F1049" s="81">
        <f>IF(Table25[[#This Row],[Number of stocks]]&gt;0,Table25[[#This Row],[Number of stocks]],0)</f>
        <v>35</v>
      </c>
      <c r="G1049" s="73">
        <f>Table25[[#This Row],[Bought]]*Table25[[#This Row],[Price]]</f>
        <v>752.85</v>
      </c>
      <c r="H1049">
        <f>SUMIF(Table25[[#All],[Assets]],Table25[[#This Row],[Assets]],Table25[[#All],[Bought]])</f>
        <v>207</v>
      </c>
      <c r="I1049">
        <f>SUMIF(Table25[[#All],[Assets]],Table25[[#This Row],[Assets]],Table25[[#All],[Bought Amount]])</f>
        <v>5127.2700000000004</v>
      </c>
      <c r="J1049" s="88">
        <f>IF(Table25[[#This Row],[Number of stocks]]&lt;0,Table25[[#This Row],[Number of stocks]],0)</f>
        <v>0</v>
      </c>
      <c r="K1049" s="5">
        <f>Table25[[#This Row],[Sold]]*Table25[[#This Row],[Price]]</f>
        <v>0</v>
      </c>
      <c r="L1049" s="8">
        <f>ABS(SUMIF(Table25[[#All],[Assets]],Table25[[#This Row],[Assets]],Table25[[#All],[Sold]]))</f>
        <v>181</v>
      </c>
      <c r="M1049" s="5">
        <f>ABS(SUMIF(Table25[[#All],[Assets]],Table25[[#This Row],[Assets]],Table25[[#All],[Sold Amount]]))</f>
        <v>4186.9799999999996</v>
      </c>
      <c r="N1049" s="5">
        <f>IFERROR(Table25[[#This Row],[Total sold amount]]/Table25[[#This Row],[Total Sold number of stocks]],"")</f>
        <v>23.132486187845302</v>
      </c>
      <c r="O1049" s="4">
        <f>IFERROR(Table25[[#This Row],[Total Amount bought]]/Table25[[#This Row],[Total number bought]],"")</f>
        <v>24.769420289855073</v>
      </c>
      <c r="P1049" s="4">
        <f>IFERROR((Table25[[#This Row],[Average sell price]]-Table25[[#This Row],[Average buy price]])*Table25[[#This Row],[Total Sold number of stocks]],0)</f>
        <v>-296.28507246376864</v>
      </c>
      <c r="Q1049" s="85">
        <f>SUMIF(Table25[[#All],[Assets]],Table25[[#This Row],[Assets]],Table25[[#All],[Number of stocks]])</f>
        <v>26</v>
      </c>
    </row>
    <row r="1050" spans="1:17">
      <c r="A1050" t="e" vm="549">
        <v>#VALUE!</v>
      </c>
      <c r="B1050" s="2">
        <v>45743</v>
      </c>
      <c r="C1050" t="str" cm="1">
        <f t="array" aca="1" ref="C1050" ca="1">_FV(A1050,"Ticker symbol",TRUE)</f>
        <v>LQDT</v>
      </c>
      <c r="D1050" s="4">
        <v>30.83</v>
      </c>
      <c r="E1050" s="50">
        <v>-5</v>
      </c>
      <c r="F1050" s="81">
        <f>IF(Table25[[#This Row],[Number of stocks]]&gt;0,Table25[[#This Row],[Number of stocks]],0)</f>
        <v>0</v>
      </c>
      <c r="G1050" s="73">
        <f>Table25[[#This Row],[Bought]]*Table25[[#This Row],[Price]]</f>
        <v>0</v>
      </c>
      <c r="H1050">
        <f>SUMIF(Table25[[#All],[Assets]],Table25[[#This Row],[Assets]],Table25[[#All],[Bought]])</f>
        <v>15</v>
      </c>
      <c r="I1050">
        <f>SUMIF(Table25[[#All],[Assets]],Table25[[#This Row],[Assets]],Table25[[#All],[Bought Amount]])</f>
        <v>495.45000000000005</v>
      </c>
      <c r="J1050" s="88">
        <f>IF(Table25[[#This Row],[Number of stocks]]&lt;0,Table25[[#This Row],[Number of stocks]],0)</f>
        <v>-5</v>
      </c>
      <c r="K1050" s="5">
        <f>Table25[[#This Row],[Sold]]*Table25[[#This Row],[Price]]</f>
        <v>-154.14999999999998</v>
      </c>
      <c r="L1050" s="8">
        <f>ABS(SUMIF(Table25[[#All],[Assets]],Table25[[#This Row],[Assets]],Table25[[#All],[Sold]]))</f>
        <v>15</v>
      </c>
      <c r="M1050" s="5">
        <f>ABS(SUMIF(Table25[[#All],[Assets]],Table25[[#This Row],[Assets]],Table25[[#All],[Sold Amount]]))</f>
        <v>450.15</v>
      </c>
      <c r="N1050" s="5">
        <f>IFERROR(Table25[[#This Row],[Total sold amount]]/Table25[[#This Row],[Total Sold number of stocks]],"")</f>
        <v>30.009999999999998</v>
      </c>
      <c r="O1050" s="4">
        <f>IFERROR(Table25[[#This Row],[Total Amount bought]]/Table25[[#This Row],[Total number bought]],"")</f>
        <v>33.03</v>
      </c>
      <c r="P1050" s="4">
        <f>IFERROR((Table25[[#This Row],[Average sell price]]-Table25[[#This Row],[Average buy price]])*Table25[[#This Row],[Total Sold number of stocks]],0)</f>
        <v>-45.300000000000047</v>
      </c>
      <c r="Q1050" s="85">
        <f>SUMIF(Table25[[#All],[Assets]],Table25[[#This Row],[Assets]],Table25[[#All],[Number of stocks]])</f>
        <v>0</v>
      </c>
    </row>
    <row r="1051" spans="1:17">
      <c r="A1051" t="e" vm="545">
        <v>#VALUE!</v>
      </c>
      <c r="B1051" s="2">
        <v>45744</v>
      </c>
      <c r="C1051" t="str" cm="1">
        <f t="array" aca="1" ref="C1051" ca="1">_FV(A1051,"Ticker symbol",TRUE)</f>
        <v>TDOC</v>
      </c>
      <c r="D1051" s="4">
        <v>8.1</v>
      </c>
      <c r="E1051" s="50">
        <v>-38</v>
      </c>
      <c r="F1051" s="81">
        <f>IF(Table25[[#This Row],[Number of stocks]]&gt;0,Table25[[#This Row],[Number of stocks]],0)</f>
        <v>0</v>
      </c>
      <c r="G1051" s="73">
        <f>Table25[[#This Row],[Bought]]*Table25[[#This Row],[Price]]</f>
        <v>0</v>
      </c>
      <c r="H1051">
        <f>SUMIF(Table25[[#All],[Assets]],Table25[[#This Row],[Assets]],Table25[[#All],[Bought]])</f>
        <v>158</v>
      </c>
      <c r="I1051">
        <f>SUMIF(Table25[[#All],[Assets]],Table25[[#This Row],[Assets]],Table25[[#All],[Bought Amount]])</f>
        <v>1953.64</v>
      </c>
      <c r="J1051" s="88">
        <f>IF(Table25[[#This Row],[Number of stocks]]&lt;0,Table25[[#This Row],[Number of stocks]],0)</f>
        <v>-38</v>
      </c>
      <c r="K1051" s="5">
        <f>Table25[[#This Row],[Sold]]*Table25[[#This Row],[Price]]</f>
        <v>-307.8</v>
      </c>
      <c r="L1051" s="8">
        <f>ABS(SUMIF(Table25[[#All],[Assets]],Table25[[#This Row],[Assets]],Table25[[#All],[Sold]]))</f>
        <v>158</v>
      </c>
      <c r="M1051" s="5">
        <f>ABS(SUMIF(Table25[[#All],[Assets]],Table25[[#This Row],[Assets]],Table25[[#All],[Sold Amount]]))</f>
        <v>1193.4000000000001</v>
      </c>
      <c r="N1051" s="5">
        <f>IFERROR(Table25[[#This Row],[Total sold amount]]/Table25[[#This Row],[Total Sold number of stocks]],"")</f>
        <v>7.5531645569620256</v>
      </c>
      <c r="O1051" s="4">
        <f>IFERROR(Table25[[#This Row],[Total Amount bought]]/Table25[[#This Row],[Total number bought]],"")</f>
        <v>12.364810126582279</v>
      </c>
      <c r="P1051" s="4">
        <f>IFERROR((Table25[[#This Row],[Average sell price]]-Table25[[#This Row],[Average buy price]])*Table25[[#This Row],[Total Sold number of stocks]],0)</f>
        <v>-760.24</v>
      </c>
      <c r="Q1051" s="85">
        <f>SUMIF(Table25[[#All],[Assets]],Table25[[#This Row],[Assets]],Table25[[#All],[Number of stocks]])</f>
        <v>0</v>
      </c>
    </row>
    <row r="1052" spans="1:17">
      <c r="A1052" t="e" vm="112">
        <v>#VALUE!</v>
      </c>
      <c r="B1052" s="2">
        <v>45744</v>
      </c>
      <c r="C1052" t="str" cm="1">
        <f t="array" aca="1" ref="C1052" ca="1">_FV(A1052,"Ticker symbol",TRUE)</f>
        <v>AMLP</v>
      </c>
      <c r="D1052" s="4">
        <v>51.81</v>
      </c>
      <c r="E1052" s="50">
        <v>-5</v>
      </c>
      <c r="F1052" s="81">
        <f>IF(Table25[[#This Row],[Number of stocks]]&gt;0,Table25[[#This Row],[Number of stocks]],0)</f>
        <v>0</v>
      </c>
      <c r="G1052" s="73">
        <f>Table25[[#This Row],[Bought]]*Table25[[#This Row],[Price]]</f>
        <v>0</v>
      </c>
      <c r="H1052">
        <f>SUMIF(Table25[[#All],[Assets]],Table25[[#This Row],[Assets]],Table25[[#All],[Bought]])</f>
        <v>5</v>
      </c>
      <c r="I1052">
        <f>SUMIF(Table25[[#All],[Assets]],Table25[[#This Row],[Assets]],Table25[[#All],[Bought Amount]])</f>
        <v>233</v>
      </c>
      <c r="J1052" s="88">
        <f>IF(Table25[[#This Row],[Number of stocks]]&lt;0,Table25[[#This Row],[Number of stocks]],0)</f>
        <v>-5</v>
      </c>
      <c r="K1052" s="5">
        <f>Table25[[#This Row],[Sold]]*Table25[[#This Row],[Price]]</f>
        <v>-259.05</v>
      </c>
      <c r="L1052" s="8">
        <f>ABS(SUMIF(Table25[[#All],[Assets]],Table25[[#This Row],[Assets]],Table25[[#All],[Sold]]))</f>
        <v>5</v>
      </c>
      <c r="M1052" s="5">
        <f>ABS(SUMIF(Table25[[#All],[Assets]],Table25[[#This Row],[Assets]],Table25[[#All],[Sold Amount]]))</f>
        <v>259.05</v>
      </c>
      <c r="N1052" s="5">
        <f>IFERROR(Table25[[#This Row],[Total sold amount]]/Table25[[#This Row],[Total Sold number of stocks]],"")</f>
        <v>51.81</v>
      </c>
      <c r="O1052" s="4">
        <f>IFERROR(Table25[[#This Row],[Total Amount bought]]/Table25[[#This Row],[Total number bought]],"")</f>
        <v>46.6</v>
      </c>
      <c r="P1052" s="4">
        <f>IFERROR((Table25[[#This Row],[Average sell price]]-Table25[[#This Row],[Average buy price]])*Table25[[#This Row],[Total Sold number of stocks]],0)</f>
        <v>26.050000000000004</v>
      </c>
      <c r="Q1052" s="85">
        <f>SUMIF(Table25[[#All],[Assets]],Table25[[#This Row],[Assets]],Table25[[#All],[Number of stocks]])</f>
        <v>0</v>
      </c>
    </row>
    <row r="1053" spans="1:17">
      <c r="A1053" t="e" vm="259">
        <v>#VALUE!</v>
      </c>
      <c r="B1053" s="2">
        <v>45744</v>
      </c>
      <c r="C1053" t="str" cm="1">
        <f t="array" aca="1" ref="C1053" ca="1">_FV(A1053,"Ticker symbol",TRUE)</f>
        <v>GRAL</v>
      </c>
      <c r="D1053" s="4">
        <v>26.94</v>
      </c>
      <c r="E1053" s="50">
        <v>-15</v>
      </c>
      <c r="F1053" s="81">
        <f>IF(Table25[[#This Row],[Number of stocks]]&gt;0,Table25[[#This Row],[Number of stocks]],0)</f>
        <v>0</v>
      </c>
      <c r="G1053" s="73">
        <f>Table25[[#This Row],[Bought]]*Table25[[#This Row],[Price]]</f>
        <v>0</v>
      </c>
      <c r="H1053">
        <f>SUMIF(Table25[[#All],[Assets]],Table25[[#This Row],[Assets]],Table25[[#All],[Bought]])</f>
        <v>100</v>
      </c>
      <c r="I1053">
        <f>SUMIF(Table25[[#All],[Assets]],Table25[[#This Row],[Assets]],Table25[[#All],[Bought Amount]])</f>
        <v>1720.3</v>
      </c>
      <c r="J1053" s="88">
        <f>IF(Table25[[#This Row],[Number of stocks]]&lt;0,Table25[[#This Row],[Number of stocks]],0)</f>
        <v>-15</v>
      </c>
      <c r="K1053" s="5">
        <f>Table25[[#This Row],[Sold]]*Table25[[#This Row],[Price]]</f>
        <v>-404.1</v>
      </c>
      <c r="L1053" s="8">
        <f>ABS(SUMIF(Table25[[#All],[Assets]],Table25[[#This Row],[Assets]],Table25[[#All],[Sold]]))</f>
        <v>100</v>
      </c>
      <c r="M1053" s="5">
        <f>ABS(SUMIF(Table25[[#All],[Assets]],Table25[[#This Row],[Assets]],Table25[[#All],[Sold Amount]]))</f>
        <v>2684.8</v>
      </c>
      <c r="N1053" s="5">
        <f>IFERROR(Table25[[#This Row],[Total sold amount]]/Table25[[#This Row],[Total Sold number of stocks]],"")</f>
        <v>26.848000000000003</v>
      </c>
      <c r="O1053" s="4">
        <f>IFERROR(Table25[[#This Row],[Total Amount bought]]/Table25[[#This Row],[Total number bought]],"")</f>
        <v>17.202999999999999</v>
      </c>
      <c r="P1053" s="4">
        <f>IFERROR((Table25[[#This Row],[Average sell price]]-Table25[[#This Row],[Average buy price]])*Table25[[#This Row],[Total Sold number of stocks]],0)</f>
        <v>964.50000000000034</v>
      </c>
      <c r="Q1053" s="85">
        <f>SUMIF(Table25[[#All],[Assets]],Table25[[#This Row],[Assets]],Table25[[#All],[Number of stocks]])</f>
        <v>0</v>
      </c>
    </row>
    <row r="1054" spans="1:17">
      <c r="A1054" t="e" vm="24">
        <v>#VALUE!</v>
      </c>
      <c r="B1054" s="2">
        <v>45744</v>
      </c>
      <c r="C1054" t="str" cm="1">
        <f t="array" aca="1" ref="C1054" ca="1">_FV(A1054,"Ticker symbol",TRUE)</f>
        <v>QCOM</v>
      </c>
      <c r="D1054" s="4">
        <v>152.25</v>
      </c>
      <c r="E1054" s="50">
        <v>-1</v>
      </c>
      <c r="F1054" s="81">
        <f>IF(Table25[[#This Row],[Number of stocks]]&gt;0,Table25[[#This Row],[Number of stocks]],0)</f>
        <v>0</v>
      </c>
      <c r="G1054" s="73">
        <f>Table25[[#This Row],[Bought]]*Table25[[#This Row],[Price]]</f>
        <v>0</v>
      </c>
      <c r="H1054">
        <f>SUMIF(Table25[[#All],[Assets]],Table25[[#This Row],[Assets]],Table25[[#All],[Bought]])</f>
        <v>58</v>
      </c>
      <c r="I1054">
        <f>SUMIF(Table25[[#All],[Assets]],Table25[[#This Row],[Assets]],Table25[[#All],[Bought Amount]])</f>
        <v>9670.27</v>
      </c>
      <c r="J1054" s="88">
        <f>IF(Table25[[#This Row],[Number of stocks]]&lt;0,Table25[[#This Row],[Number of stocks]],0)</f>
        <v>-1</v>
      </c>
      <c r="K1054" s="5">
        <f>Table25[[#This Row],[Sold]]*Table25[[#This Row],[Price]]</f>
        <v>-152.25</v>
      </c>
      <c r="L1054" s="8">
        <f>ABS(SUMIF(Table25[[#All],[Assets]],Table25[[#This Row],[Assets]],Table25[[#All],[Sold]]))</f>
        <v>57</v>
      </c>
      <c r="M1054" s="5">
        <f>ABS(SUMIF(Table25[[#All],[Assets]],Table25[[#This Row],[Assets]],Table25[[#All],[Sold Amount]]))</f>
        <v>8530.1</v>
      </c>
      <c r="N1054" s="5">
        <f>IFERROR(Table25[[#This Row],[Total sold amount]]/Table25[[#This Row],[Total Sold number of stocks]],"")</f>
        <v>149.65087719298245</v>
      </c>
      <c r="O1054" s="4">
        <f>IFERROR(Table25[[#This Row],[Total Amount bought]]/Table25[[#This Row],[Total number bought]],"")</f>
        <v>166.72879310344828</v>
      </c>
      <c r="P1054" s="4">
        <f>IFERROR((Table25[[#This Row],[Average sell price]]-Table25[[#This Row],[Average buy price]])*Table25[[#This Row],[Total Sold number of stocks]],0)</f>
        <v>-973.44120689655256</v>
      </c>
      <c r="Q1054" s="85">
        <f>SUMIF(Table25[[#All],[Assets]],Table25[[#This Row],[Assets]],Table25[[#All],[Number of stocks]])</f>
        <v>1</v>
      </c>
    </row>
    <row r="1055" spans="1:17">
      <c r="A1055" t="e" vm="114">
        <v>#VALUE!</v>
      </c>
      <c r="B1055" s="2">
        <v>45744</v>
      </c>
      <c r="C1055" t="str" cm="1">
        <f t="array" aca="1" ref="C1055" ca="1">_FV(A1055,"Ticker symbol",TRUE)</f>
        <v>LRCX</v>
      </c>
      <c r="D1055" s="4">
        <v>72.67</v>
      </c>
      <c r="E1055" s="50">
        <v>-7</v>
      </c>
      <c r="F1055" s="81">
        <f>IF(Table25[[#This Row],[Number of stocks]]&gt;0,Table25[[#This Row],[Number of stocks]],0)</f>
        <v>0</v>
      </c>
      <c r="G1055" s="73">
        <f>Table25[[#This Row],[Bought]]*Table25[[#This Row],[Price]]</f>
        <v>0</v>
      </c>
      <c r="H1055">
        <f>SUMIF(Table25[[#All],[Assets]],Table25[[#This Row],[Assets]],Table25[[#All],[Bought]])</f>
        <v>7</v>
      </c>
      <c r="I1055">
        <f>SUMIF(Table25[[#All],[Assets]],Table25[[#This Row],[Assets]],Table25[[#All],[Bought Amount]])</f>
        <v>545.65</v>
      </c>
      <c r="J1055" s="88">
        <f>IF(Table25[[#This Row],[Number of stocks]]&lt;0,Table25[[#This Row],[Number of stocks]],0)</f>
        <v>-7</v>
      </c>
      <c r="K1055" s="5">
        <f>Table25[[#This Row],[Sold]]*Table25[[#This Row],[Price]]</f>
        <v>-508.69</v>
      </c>
      <c r="L1055" s="8">
        <f>ABS(SUMIF(Table25[[#All],[Assets]],Table25[[#This Row],[Assets]],Table25[[#All],[Sold]]))</f>
        <v>7</v>
      </c>
      <c r="M1055" s="5">
        <f>ABS(SUMIF(Table25[[#All],[Assets]],Table25[[#This Row],[Assets]],Table25[[#All],[Sold Amount]]))</f>
        <v>508.69</v>
      </c>
      <c r="N1055" s="5">
        <f>IFERROR(Table25[[#This Row],[Total sold amount]]/Table25[[#This Row],[Total Sold number of stocks]],"")</f>
        <v>72.67</v>
      </c>
      <c r="O1055" s="4">
        <f>IFERROR(Table25[[#This Row],[Total Amount bought]]/Table25[[#This Row],[Total number bought]],"")</f>
        <v>77.95</v>
      </c>
      <c r="P1055" s="4">
        <f>IFERROR((Table25[[#This Row],[Average sell price]]-Table25[[#This Row],[Average buy price]])*Table25[[#This Row],[Total Sold number of stocks]],0)</f>
        <v>-36.960000000000008</v>
      </c>
      <c r="Q1055" s="85">
        <f>SUMIF(Table25[[#All],[Assets]],Table25[[#This Row],[Assets]],Table25[[#All],[Number of stocks]])</f>
        <v>0</v>
      </c>
    </row>
    <row r="1056" spans="1:17">
      <c r="A1056" t="e" vm="72">
        <v>#VALUE!</v>
      </c>
      <c r="B1056" s="2">
        <v>45744</v>
      </c>
      <c r="C1056" t="str" cm="1">
        <f t="array" aca="1" ref="C1056" ca="1">_FV(A1056,"Ticker symbol",TRUE)</f>
        <v>AIRS</v>
      </c>
      <c r="D1056" s="4">
        <v>2.16</v>
      </c>
      <c r="E1056" s="50">
        <v>-800</v>
      </c>
      <c r="F1056" s="81">
        <f>IF(Table25[[#This Row],[Number of stocks]]&gt;0,Table25[[#This Row],[Number of stocks]],0)</f>
        <v>0</v>
      </c>
      <c r="G1056" s="73">
        <f>Table25[[#This Row],[Bought]]*Table25[[#This Row],[Price]]</f>
        <v>0</v>
      </c>
      <c r="H1056">
        <f>SUMIF(Table25[[#All],[Assets]],Table25[[#This Row],[Assets]],Table25[[#All],[Bought]])</f>
        <v>2980</v>
      </c>
      <c r="I1056">
        <f>SUMIF(Table25[[#All],[Assets]],Table25[[#This Row],[Assets]],Table25[[#All],[Bought Amount]])</f>
        <v>14267.900000000001</v>
      </c>
      <c r="J1056" s="88">
        <f>IF(Table25[[#This Row],[Number of stocks]]&lt;0,Table25[[#This Row],[Number of stocks]],0)</f>
        <v>-800</v>
      </c>
      <c r="K1056" s="5">
        <f>Table25[[#This Row],[Sold]]*Table25[[#This Row],[Price]]</f>
        <v>-1728</v>
      </c>
      <c r="L1056" s="8">
        <f>ABS(SUMIF(Table25[[#All],[Assets]],Table25[[#This Row],[Assets]],Table25[[#All],[Sold]]))</f>
        <v>2360</v>
      </c>
      <c r="M1056" s="5">
        <f>ABS(SUMIF(Table25[[#All],[Assets]],Table25[[#This Row],[Assets]],Table25[[#All],[Sold Amount]]))</f>
        <v>7796.6</v>
      </c>
      <c r="N1056" s="5">
        <f>IFERROR(Table25[[#This Row],[Total sold amount]]/Table25[[#This Row],[Total Sold number of stocks]],"")</f>
        <v>3.3036440677966104</v>
      </c>
      <c r="O1056" s="4">
        <f>IFERROR(Table25[[#This Row],[Total Amount bought]]/Table25[[#This Row],[Total number bought]],"")</f>
        <v>4.7878859060402688</v>
      </c>
      <c r="P1056" s="4">
        <f>IFERROR((Table25[[#This Row],[Average sell price]]-Table25[[#This Row],[Average buy price]])*Table25[[#This Row],[Total Sold number of stocks]],0)</f>
        <v>-3502.8107382550338</v>
      </c>
      <c r="Q1056" s="85">
        <f>SUMIF(Table25[[#All],[Assets]],Table25[[#This Row],[Assets]],Table25[[#All],[Number of stocks]])</f>
        <v>620</v>
      </c>
    </row>
    <row r="1057" spans="1:17">
      <c r="A1057" t="e" vm="78">
        <v>#VALUE!</v>
      </c>
      <c r="B1057" s="2">
        <v>45747</v>
      </c>
      <c r="C1057" t="str" cm="1">
        <f t="array" aca="1" ref="C1057" ca="1">_FV(A1057,"Ticker symbol",TRUE)</f>
        <v>TOI</v>
      </c>
      <c r="D1057" s="4">
        <v>1.1499999999999999</v>
      </c>
      <c r="E1057" s="50">
        <v>500</v>
      </c>
      <c r="F1057" s="81">
        <f>IF(Table25[[#This Row],[Number of stocks]]&gt;0,Table25[[#This Row],[Number of stocks]],0)</f>
        <v>500</v>
      </c>
      <c r="G1057" s="73">
        <f>Table25[[#This Row],[Bought]]*Table25[[#This Row],[Price]]</f>
        <v>575</v>
      </c>
      <c r="H1057">
        <f>SUMIF(Table25[[#All],[Assets]],Table25[[#This Row],[Assets]],Table25[[#All],[Bought]])</f>
        <v>2120</v>
      </c>
      <c r="I1057">
        <f>SUMIF(Table25[[#All],[Assets]],Table25[[#This Row],[Assets]],Table25[[#All],[Bought Amount]])</f>
        <v>4215.1000000000004</v>
      </c>
      <c r="J1057" s="88">
        <f>IF(Table25[[#This Row],[Number of stocks]]&lt;0,Table25[[#This Row],[Number of stocks]],0)</f>
        <v>0</v>
      </c>
      <c r="K1057" s="5">
        <f>Table25[[#This Row],[Sold]]*Table25[[#This Row],[Price]]</f>
        <v>0</v>
      </c>
      <c r="L1057" s="8">
        <f>ABS(SUMIF(Table25[[#All],[Assets]],Table25[[#This Row],[Assets]],Table25[[#All],[Sold]]))</f>
        <v>1120</v>
      </c>
      <c r="M1057" s="5">
        <f>ABS(SUMIF(Table25[[#All],[Assets]],Table25[[#This Row],[Assets]],Table25[[#All],[Sold Amount]]))</f>
        <v>3202.4</v>
      </c>
      <c r="N1057" s="5">
        <f>IFERROR(Table25[[#This Row],[Total sold amount]]/Table25[[#This Row],[Total Sold number of stocks]],"")</f>
        <v>2.8592857142857144</v>
      </c>
      <c r="O1057" s="4">
        <f>IFERROR(Table25[[#This Row],[Total Amount bought]]/Table25[[#This Row],[Total number bought]],"")</f>
        <v>1.9882547169811322</v>
      </c>
      <c r="P1057" s="4">
        <f>IFERROR((Table25[[#This Row],[Average sell price]]-Table25[[#This Row],[Average buy price]])*Table25[[#This Row],[Total Sold number of stocks]],0)</f>
        <v>975.55471698113206</v>
      </c>
      <c r="Q1057" s="85">
        <f>SUMIF(Table25[[#All],[Assets]],Table25[[#This Row],[Assets]],Table25[[#All],[Number of stocks]])</f>
        <v>1000</v>
      </c>
    </row>
    <row r="1058" spans="1:17">
      <c r="A1058" t="e" vm="211">
        <v>#VALUE!</v>
      </c>
      <c r="B1058" s="2">
        <v>45748</v>
      </c>
      <c r="C1058" t="str" cm="1">
        <f t="array" aca="1" ref="C1058" ca="1">_FV(A1058,"Ticker symbol",TRUE)</f>
        <v>GME</v>
      </c>
      <c r="D1058" s="4">
        <v>22.95</v>
      </c>
      <c r="E1058" s="50">
        <v>100</v>
      </c>
      <c r="F1058" s="81">
        <f>IF(Table25[[#This Row],[Number of stocks]]&gt;0,Table25[[#This Row],[Number of stocks]],0)</f>
        <v>100</v>
      </c>
      <c r="G1058" s="73">
        <f>Table25[[#This Row],[Bought]]*Table25[[#This Row],[Price]]</f>
        <v>2295</v>
      </c>
      <c r="H1058">
        <f>SUMIF(Table25[[#All],[Assets]],Table25[[#This Row],[Assets]],Table25[[#All],[Bought]])</f>
        <v>207</v>
      </c>
      <c r="I1058">
        <f>SUMIF(Table25[[#All],[Assets]],Table25[[#This Row],[Assets]],Table25[[#All],[Bought Amount]])</f>
        <v>5127.2700000000004</v>
      </c>
      <c r="J1058" s="88">
        <f>IF(Table25[[#This Row],[Number of stocks]]&lt;0,Table25[[#This Row],[Number of stocks]],0)</f>
        <v>0</v>
      </c>
      <c r="K1058" s="5">
        <f>Table25[[#This Row],[Sold]]*Table25[[#This Row],[Price]]</f>
        <v>0</v>
      </c>
      <c r="L1058" s="8">
        <f>ABS(SUMIF(Table25[[#All],[Assets]],Table25[[#This Row],[Assets]],Table25[[#All],[Sold]]))</f>
        <v>181</v>
      </c>
      <c r="M1058" s="5">
        <f>ABS(SUMIF(Table25[[#All],[Assets]],Table25[[#This Row],[Assets]],Table25[[#All],[Sold Amount]]))</f>
        <v>4186.9799999999996</v>
      </c>
      <c r="N1058" s="5">
        <f>IFERROR(Table25[[#This Row],[Total sold amount]]/Table25[[#This Row],[Total Sold number of stocks]],"")</f>
        <v>23.132486187845302</v>
      </c>
      <c r="O1058" s="4">
        <f>IFERROR(Table25[[#This Row],[Total Amount bought]]/Table25[[#This Row],[Total number bought]],"")</f>
        <v>24.769420289855073</v>
      </c>
      <c r="P1058" s="4">
        <f>IFERROR((Table25[[#This Row],[Average sell price]]-Table25[[#This Row],[Average buy price]])*Table25[[#This Row],[Total Sold number of stocks]],0)</f>
        <v>-296.28507246376864</v>
      </c>
      <c r="Q1058" s="85">
        <f>SUMIF(Table25[[#All],[Assets]],Table25[[#This Row],[Assets]],Table25[[#All],[Number of stocks]])</f>
        <v>26</v>
      </c>
    </row>
    <row r="1059" spans="1:17">
      <c r="A1059" t="e" vm="539">
        <v>#VALUE!</v>
      </c>
      <c r="B1059" s="2">
        <v>45748</v>
      </c>
      <c r="C1059" t="str" cm="1">
        <f t="array" aca="1" ref="C1059" ca="1">_FV(A1059,"Ticker symbol",TRUE)</f>
        <v>VEEV</v>
      </c>
      <c r="D1059" s="4">
        <v>227.71</v>
      </c>
      <c r="E1059" s="50">
        <v>-2</v>
      </c>
      <c r="F1059" s="81">
        <f>IF(Table25[[#This Row],[Number of stocks]]&gt;0,Table25[[#This Row],[Number of stocks]],0)</f>
        <v>0</v>
      </c>
      <c r="G1059" s="73">
        <f>Table25[[#This Row],[Bought]]*Table25[[#This Row],[Price]]</f>
        <v>0</v>
      </c>
      <c r="H1059">
        <f>SUMIF(Table25[[#All],[Assets]],Table25[[#This Row],[Assets]],Table25[[#All],[Bought]])</f>
        <v>4</v>
      </c>
      <c r="I1059">
        <f>SUMIF(Table25[[#All],[Assets]],Table25[[#This Row],[Assets]],Table25[[#All],[Bought Amount]])</f>
        <v>930.32</v>
      </c>
      <c r="J1059" s="88">
        <f>IF(Table25[[#This Row],[Number of stocks]]&lt;0,Table25[[#This Row],[Number of stocks]],0)</f>
        <v>-2</v>
      </c>
      <c r="K1059" s="5">
        <f>Table25[[#This Row],[Sold]]*Table25[[#This Row],[Price]]</f>
        <v>-455.42</v>
      </c>
      <c r="L1059" s="8">
        <f>ABS(SUMIF(Table25[[#All],[Assets]],Table25[[#This Row],[Assets]],Table25[[#All],[Sold]]))</f>
        <v>4</v>
      </c>
      <c r="M1059" s="5">
        <f>ABS(SUMIF(Table25[[#All],[Assets]],Table25[[#This Row],[Assets]],Table25[[#All],[Sold Amount]]))</f>
        <v>923.08</v>
      </c>
      <c r="N1059" s="5">
        <f>IFERROR(Table25[[#This Row],[Total sold amount]]/Table25[[#This Row],[Total Sold number of stocks]],"")</f>
        <v>230.77</v>
      </c>
      <c r="O1059" s="4">
        <f>IFERROR(Table25[[#This Row],[Total Amount bought]]/Table25[[#This Row],[Total number bought]],"")</f>
        <v>232.58</v>
      </c>
      <c r="P1059" s="4">
        <f>IFERROR((Table25[[#This Row],[Average sell price]]-Table25[[#This Row],[Average buy price]])*Table25[[#This Row],[Total Sold number of stocks]],0)</f>
        <v>-7.2400000000000091</v>
      </c>
      <c r="Q1059" s="85">
        <f>SUMIF(Table25[[#All],[Assets]],Table25[[#This Row],[Assets]],Table25[[#All],[Number of stocks]])</f>
        <v>0</v>
      </c>
    </row>
    <row r="1060" spans="1:17">
      <c r="A1060" t="e" vm="252">
        <v>#VALUE!</v>
      </c>
      <c r="B1060" s="2">
        <v>45748</v>
      </c>
      <c r="C1060" t="str" cm="1">
        <f t="array" aca="1" ref="C1060" ca="1">_FV(A1060,"Ticker symbol",TRUE)</f>
        <v>BASE</v>
      </c>
      <c r="D1060" s="4">
        <v>16.13</v>
      </c>
      <c r="E1060" s="50">
        <v>32</v>
      </c>
      <c r="F1060" s="81">
        <f>IF(Table25[[#This Row],[Number of stocks]]&gt;0,Table25[[#This Row],[Number of stocks]],0)</f>
        <v>32</v>
      </c>
      <c r="G1060" s="73">
        <f>Table25[[#This Row],[Bought]]*Table25[[#This Row],[Price]]</f>
        <v>516.16</v>
      </c>
      <c r="H1060">
        <f>SUMIF(Table25[[#All],[Assets]],Table25[[#This Row],[Assets]],Table25[[#All],[Bought]])</f>
        <v>32</v>
      </c>
      <c r="I1060">
        <f>SUMIF(Table25[[#All],[Assets]],Table25[[#This Row],[Assets]],Table25[[#All],[Bought Amount]])</f>
        <v>516.16</v>
      </c>
      <c r="J1060" s="88">
        <f>IF(Table25[[#This Row],[Number of stocks]]&lt;0,Table25[[#This Row],[Number of stocks]],0)</f>
        <v>0</v>
      </c>
      <c r="K1060" s="5">
        <f>Table25[[#This Row],[Sold]]*Table25[[#This Row],[Price]]</f>
        <v>0</v>
      </c>
      <c r="L1060" s="8">
        <f>ABS(SUMIF(Table25[[#All],[Assets]],Table25[[#This Row],[Assets]],Table25[[#All],[Sold]]))</f>
        <v>32</v>
      </c>
      <c r="M1060" s="5">
        <f>ABS(SUMIF(Table25[[#All],[Assets]],Table25[[#This Row],[Assets]],Table25[[#All],[Sold Amount]]))</f>
        <v>631.67999999999995</v>
      </c>
      <c r="N1060" s="5">
        <f>IFERROR(Table25[[#This Row],[Total sold amount]]/Table25[[#This Row],[Total Sold number of stocks]],"")</f>
        <v>19.739999999999998</v>
      </c>
      <c r="O1060" s="4">
        <f>IFERROR(Table25[[#This Row],[Total Amount bought]]/Table25[[#This Row],[Total number bought]],"")</f>
        <v>16.13</v>
      </c>
      <c r="P1060" s="4">
        <f>IFERROR((Table25[[#This Row],[Average sell price]]-Table25[[#This Row],[Average buy price]])*Table25[[#This Row],[Total Sold number of stocks]],0)</f>
        <v>115.51999999999998</v>
      </c>
      <c r="Q1060" s="85">
        <f>SUMIF(Table25[[#All],[Assets]],Table25[[#This Row],[Assets]],Table25[[#All],[Number of stocks]])</f>
        <v>0</v>
      </c>
    </row>
    <row r="1061" spans="1:17">
      <c r="A1061" t="e" vm="71">
        <v>#VALUE!</v>
      </c>
      <c r="B1061" s="2">
        <v>45749</v>
      </c>
      <c r="C1061" t="str" cm="1">
        <f t="array" aca="1" ref="C1061" ca="1">_FV(A1061,"Ticker symbol",TRUE)</f>
        <v>TKNO</v>
      </c>
      <c r="D1061" s="4">
        <v>5.44</v>
      </c>
      <c r="E1061" s="50">
        <v>80</v>
      </c>
      <c r="F1061" s="81">
        <f>IF(Table25[[#This Row],[Number of stocks]]&gt;0,Table25[[#This Row],[Number of stocks]],0)</f>
        <v>80</v>
      </c>
      <c r="G1061" s="73">
        <f>Table25[[#This Row],[Bought]]*Table25[[#This Row],[Price]]</f>
        <v>435.20000000000005</v>
      </c>
      <c r="H1061">
        <f>SUMIF(Table25[[#All],[Assets]],Table25[[#This Row],[Assets]],Table25[[#All],[Bought]])</f>
        <v>2166.0267990000002</v>
      </c>
      <c r="I1061">
        <f>SUMIF(Table25[[#All],[Assets]],Table25[[#This Row],[Assets]],Table25[[#All],[Bought Amount]])</f>
        <v>13370.91512648</v>
      </c>
      <c r="J1061" s="88">
        <f>IF(Table25[[#This Row],[Number of stocks]]&lt;0,Table25[[#This Row],[Number of stocks]],0)</f>
        <v>0</v>
      </c>
      <c r="K1061" s="5">
        <f>Table25[[#This Row],[Sold]]*Table25[[#This Row],[Price]]</f>
        <v>0</v>
      </c>
      <c r="L1061" s="8">
        <f>ABS(SUMIF(Table25[[#All],[Assets]],Table25[[#This Row],[Assets]],Table25[[#All],[Sold]]))</f>
        <v>2083</v>
      </c>
      <c r="M1061" s="5">
        <f>ABS(SUMIF(Table25[[#All],[Assets]],Table25[[#This Row],[Assets]],Table25[[#All],[Sold Amount]]))</f>
        <v>11153.28</v>
      </c>
      <c r="N1061" s="5">
        <f>IFERROR(Table25[[#This Row],[Total sold amount]]/Table25[[#This Row],[Total Sold number of stocks]],"")</f>
        <v>5.3544311089774368</v>
      </c>
      <c r="O1061" s="4">
        <f>IFERROR(Table25[[#This Row],[Total Amount bought]]/Table25[[#This Row],[Total number bought]],"")</f>
        <v>6.1730146333614213</v>
      </c>
      <c r="P1061" s="4">
        <f>IFERROR((Table25[[#This Row],[Average sell price]]-Table25[[#This Row],[Average buy price]])*Table25[[#This Row],[Total Sold number of stocks]],0)</f>
        <v>-1705.1094812918398</v>
      </c>
      <c r="Q1061" s="85">
        <f>SUMIF(Table25[[#All],[Assets]],Table25[[#This Row],[Assets]],Table25[[#All],[Number of stocks]])</f>
        <v>83.026798999999983</v>
      </c>
    </row>
    <row r="1062" spans="1:17">
      <c r="A1062" t="e" vm="24">
        <v>#VALUE!</v>
      </c>
      <c r="B1062" s="2">
        <v>45750</v>
      </c>
      <c r="C1062" t="str" cm="1">
        <f t="array" aca="1" ref="C1062" ca="1">_FV(A1062,"Ticker symbol",TRUE)</f>
        <v>QCOM</v>
      </c>
      <c r="D1062" s="4">
        <v>140.04</v>
      </c>
      <c r="E1062" s="50">
        <v>-27</v>
      </c>
      <c r="F1062" s="81">
        <f>IF(Table25[[#This Row],[Number of stocks]]&gt;0,Table25[[#This Row],[Number of stocks]],0)</f>
        <v>0</v>
      </c>
      <c r="G1062" s="73">
        <f>Table25[[#This Row],[Bought]]*Table25[[#This Row],[Price]]</f>
        <v>0</v>
      </c>
      <c r="H1062">
        <f>SUMIF(Table25[[#All],[Assets]],Table25[[#This Row],[Assets]],Table25[[#All],[Bought]])</f>
        <v>58</v>
      </c>
      <c r="I1062">
        <f>SUMIF(Table25[[#All],[Assets]],Table25[[#This Row],[Assets]],Table25[[#All],[Bought Amount]])</f>
        <v>9670.27</v>
      </c>
      <c r="J1062" s="88">
        <f>IF(Table25[[#This Row],[Number of stocks]]&lt;0,Table25[[#This Row],[Number of stocks]],0)</f>
        <v>-27</v>
      </c>
      <c r="K1062" s="5">
        <f>Table25[[#This Row],[Sold]]*Table25[[#This Row],[Price]]</f>
        <v>-3781.08</v>
      </c>
      <c r="L1062" s="8">
        <f>ABS(SUMIF(Table25[[#All],[Assets]],Table25[[#This Row],[Assets]],Table25[[#All],[Sold]]))</f>
        <v>57</v>
      </c>
      <c r="M1062" s="5">
        <f>ABS(SUMIF(Table25[[#All],[Assets]],Table25[[#This Row],[Assets]],Table25[[#All],[Sold Amount]]))</f>
        <v>8530.1</v>
      </c>
      <c r="N1062" s="5">
        <f>IFERROR(Table25[[#This Row],[Total sold amount]]/Table25[[#This Row],[Total Sold number of stocks]],"")</f>
        <v>149.65087719298245</v>
      </c>
      <c r="O1062" s="4">
        <f>IFERROR(Table25[[#This Row],[Total Amount bought]]/Table25[[#This Row],[Total number bought]],"")</f>
        <v>166.72879310344828</v>
      </c>
      <c r="P1062" s="4">
        <f>IFERROR((Table25[[#This Row],[Average sell price]]-Table25[[#This Row],[Average buy price]])*Table25[[#This Row],[Total Sold number of stocks]],0)</f>
        <v>-973.44120689655256</v>
      </c>
      <c r="Q1062" s="85">
        <f>SUMIF(Table25[[#All],[Assets]],Table25[[#This Row],[Assets]],Table25[[#All],[Number of stocks]])</f>
        <v>1</v>
      </c>
    </row>
    <row r="1063" spans="1:17">
      <c r="A1063" t="e" vm="72">
        <v>#VALUE!</v>
      </c>
      <c r="B1063" s="2">
        <v>45750</v>
      </c>
      <c r="C1063" t="str" cm="1">
        <f t="array" aca="1" ref="C1063" ca="1">_FV(A1063,"Ticker symbol",TRUE)</f>
        <v>AIRS</v>
      </c>
      <c r="D1063" s="4">
        <v>2</v>
      </c>
      <c r="E1063" s="50">
        <v>-200</v>
      </c>
      <c r="F1063" s="81">
        <f>IF(Table25[[#This Row],[Number of stocks]]&gt;0,Table25[[#This Row],[Number of stocks]],0)</f>
        <v>0</v>
      </c>
      <c r="G1063" s="73">
        <f>Table25[[#This Row],[Bought]]*Table25[[#This Row],[Price]]</f>
        <v>0</v>
      </c>
      <c r="H1063">
        <f>SUMIF(Table25[[#All],[Assets]],Table25[[#This Row],[Assets]],Table25[[#All],[Bought]])</f>
        <v>2980</v>
      </c>
      <c r="I1063">
        <f>SUMIF(Table25[[#All],[Assets]],Table25[[#This Row],[Assets]],Table25[[#All],[Bought Amount]])</f>
        <v>14267.900000000001</v>
      </c>
      <c r="J1063" s="88">
        <f>IF(Table25[[#This Row],[Number of stocks]]&lt;0,Table25[[#This Row],[Number of stocks]],0)</f>
        <v>-200</v>
      </c>
      <c r="K1063" s="5">
        <f>Table25[[#This Row],[Sold]]*Table25[[#This Row],[Price]]</f>
        <v>-400</v>
      </c>
      <c r="L1063" s="8">
        <f>ABS(SUMIF(Table25[[#All],[Assets]],Table25[[#This Row],[Assets]],Table25[[#All],[Sold]]))</f>
        <v>2360</v>
      </c>
      <c r="M1063" s="5">
        <f>ABS(SUMIF(Table25[[#All],[Assets]],Table25[[#This Row],[Assets]],Table25[[#All],[Sold Amount]]))</f>
        <v>7796.6</v>
      </c>
      <c r="N1063" s="5">
        <f>IFERROR(Table25[[#This Row],[Total sold amount]]/Table25[[#This Row],[Total Sold number of stocks]],"")</f>
        <v>3.3036440677966104</v>
      </c>
      <c r="O1063" s="4">
        <f>IFERROR(Table25[[#This Row],[Total Amount bought]]/Table25[[#This Row],[Total number bought]],"")</f>
        <v>4.7878859060402688</v>
      </c>
      <c r="P1063" s="4">
        <f>IFERROR((Table25[[#This Row],[Average sell price]]-Table25[[#This Row],[Average buy price]])*Table25[[#This Row],[Total Sold number of stocks]],0)</f>
        <v>-3502.8107382550338</v>
      </c>
      <c r="Q1063" s="85">
        <f>SUMIF(Table25[[#All],[Assets]],Table25[[#This Row],[Assets]],Table25[[#All],[Number of stocks]])</f>
        <v>620</v>
      </c>
    </row>
    <row r="1064" spans="1:17">
      <c r="A1064" t="e" vm="527">
        <v>#VALUE!</v>
      </c>
      <c r="B1064" s="2">
        <v>45768</v>
      </c>
      <c r="C1064" t="str" cm="1">
        <f t="array" aca="1" ref="C1064" ca="1">_FV(A1064,"Ticker symbol",TRUE)</f>
        <v>NPCE</v>
      </c>
      <c r="D1064" s="4">
        <v>10.39</v>
      </c>
      <c r="E1064" s="50">
        <v>-15</v>
      </c>
      <c r="F1064" s="81">
        <f>IF(Table25[[#This Row],[Number of stocks]]&gt;0,Table25[[#This Row],[Number of stocks]],0)</f>
        <v>0</v>
      </c>
      <c r="G1064" s="73">
        <f>Table25[[#This Row],[Bought]]*Table25[[#This Row],[Price]]</f>
        <v>0</v>
      </c>
      <c r="H1064">
        <f>SUMIF(Table25[[#All],[Assets]],Table25[[#This Row],[Assets]],Table25[[#All],[Bought]])</f>
        <v>115</v>
      </c>
      <c r="I1064">
        <f>SUMIF(Table25[[#All],[Assets]],Table25[[#This Row],[Assets]],Table25[[#All],[Bought Amount]])</f>
        <v>1524.3000000000002</v>
      </c>
      <c r="J1064" s="88">
        <f>IF(Table25[[#This Row],[Number of stocks]]&lt;0,Table25[[#This Row],[Number of stocks]],0)</f>
        <v>-15</v>
      </c>
      <c r="K1064" s="5">
        <f>Table25[[#This Row],[Sold]]*Table25[[#This Row],[Price]]</f>
        <v>-155.85000000000002</v>
      </c>
      <c r="L1064" s="8">
        <f>ABS(SUMIF(Table25[[#All],[Assets]],Table25[[#This Row],[Assets]],Table25[[#All],[Sold]]))</f>
        <v>115</v>
      </c>
      <c r="M1064" s="5">
        <f>ABS(SUMIF(Table25[[#All],[Assets]],Table25[[#This Row],[Assets]],Table25[[#All],[Sold Amount]]))</f>
        <v>1473.35</v>
      </c>
      <c r="N1064" s="5">
        <f>IFERROR(Table25[[#This Row],[Total sold amount]]/Table25[[#This Row],[Total Sold number of stocks]],"")</f>
        <v>12.811739130434782</v>
      </c>
      <c r="O1064" s="4">
        <f>IFERROR(Table25[[#This Row],[Total Amount bought]]/Table25[[#This Row],[Total number bought]],"")</f>
        <v>13.254782608695654</v>
      </c>
      <c r="P1064" s="4">
        <f>IFERROR((Table25[[#This Row],[Average sell price]]-Table25[[#This Row],[Average buy price]])*Table25[[#This Row],[Total Sold number of stocks]],0)</f>
        <v>-50.950000000000287</v>
      </c>
      <c r="Q1064" s="85">
        <f>SUMIF(Table25[[#All],[Assets]],Table25[[#This Row],[Assets]],Table25[[#All],[Number of stocks]])</f>
        <v>0</v>
      </c>
    </row>
    <row r="1065" spans="1:17">
      <c r="A1065" t="e" vm="236">
        <v>#VALUE!</v>
      </c>
      <c r="B1065" s="2">
        <v>45768</v>
      </c>
      <c r="C1065" t="str" cm="1">
        <f t="array" aca="1" ref="C1065" ca="1">_FV(A1065,"Ticker symbol",TRUE)</f>
        <v>ESTC</v>
      </c>
      <c r="D1065" s="4">
        <v>76.34</v>
      </c>
      <c r="E1065" s="50">
        <v>-3</v>
      </c>
      <c r="F1065" s="81">
        <f>IF(Table25[[#This Row],[Number of stocks]]&gt;0,Table25[[#This Row],[Number of stocks]],0)</f>
        <v>0</v>
      </c>
      <c r="G1065" s="73">
        <f>Table25[[#This Row],[Bought]]*Table25[[#This Row],[Price]]</f>
        <v>0</v>
      </c>
      <c r="H1065">
        <f>SUMIF(Table25[[#All],[Assets]],Table25[[#This Row],[Assets]],Table25[[#All],[Bought]])</f>
        <v>27</v>
      </c>
      <c r="I1065">
        <f>SUMIF(Table25[[#All],[Assets]],Table25[[#This Row],[Assets]],Table25[[#All],[Bought Amount]])</f>
        <v>2776.75</v>
      </c>
      <c r="J1065" s="88">
        <f>IF(Table25[[#This Row],[Number of stocks]]&lt;0,Table25[[#This Row],[Number of stocks]],0)</f>
        <v>-3</v>
      </c>
      <c r="K1065" s="5">
        <f>Table25[[#This Row],[Sold]]*Table25[[#This Row],[Price]]</f>
        <v>-229.02</v>
      </c>
      <c r="L1065" s="8">
        <f>ABS(SUMIF(Table25[[#All],[Assets]],Table25[[#This Row],[Assets]],Table25[[#All],[Sold]]))</f>
        <v>27</v>
      </c>
      <c r="M1065" s="5">
        <f>ABS(SUMIF(Table25[[#All],[Assets]],Table25[[#This Row],[Assets]],Table25[[#All],[Sold Amount]]))</f>
        <v>2320.58</v>
      </c>
      <c r="N1065" s="5">
        <f>IFERROR(Table25[[#This Row],[Total sold amount]]/Table25[[#This Row],[Total Sold number of stocks]],"")</f>
        <v>85.947407407407411</v>
      </c>
      <c r="O1065" s="4">
        <f>IFERROR(Table25[[#This Row],[Total Amount bought]]/Table25[[#This Row],[Total number bought]],"")</f>
        <v>102.8425925925926</v>
      </c>
      <c r="P1065" s="4">
        <f>IFERROR((Table25[[#This Row],[Average sell price]]-Table25[[#This Row],[Average buy price]])*Table25[[#This Row],[Total Sold number of stocks]],0)</f>
        <v>-456.16999999999996</v>
      </c>
      <c r="Q1065" s="85">
        <f>SUMIF(Table25[[#All],[Assets]],Table25[[#This Row],[Assets]],Table25[[#All],[Number of stocks]])</f>
        <v>0</v>
      </c>
    </row>
    <row r="1066" spans="1:17">
      <c r="A1066" t="e" vm="129">
        <v>#VALUE!</v>
      </c>
      <c r="B1066" s="2">
        <v>45755</v>
      </c>
      <c r="C1066" t="str" cm="1">
        <f t="array" aca="1" ref="C1066" ca="1">_FV(A1066,"Ticker symbol",TRUE)</f>
        <v>MRVL</v>
      </c>
      <c r="D1066" s="4">
        <v>55.46</v>
      </c>
      <c r="E1066" s="50">
        <v>12</v>
      </c>
      <c r="F1066" s="81">
        <f>IF(Table25[[#This Row],[Number of stocks]]&gt;0,Table25[[#This Row],[Number of stocks]],0)</f>
        <v>12</v>
      </c>
      <c r="G1066" s="73">
        <f>Table25[[#This Row],[Bought]]*Table25[[#This Row],[Price]]</f>
        <v>665.52</v>
      </c>
      <c r="H1066">
        <f>SUMIF(Table25[[#All],[Assets]],Table25[[#This Row],[Assets]],Table25[[#All],[Bought]])</f>
        <v>105</v>
      </c>
      <c r="I1066">
        <f>SUMIF(Table25[[#All],[Assets]],Table25[[#This Row],[Assets]],Table25[[#All],[Bought Amount]])</f>
        <v>8175.6200000000008</v>
      </c>
      <c r="J1066" s="88">
        <f>IF(Table25[[#This Row],[Number of stocks]]&lt;0,Table25[[#This Row],[Number of stocks]],0)</f>
        <v>0</v>
      </c>
      <c r="K1066" s="5">
        <f>Table25[[#This Row],[Sold]]*Table25[[#This Row],[Price]]</f>
        <v>0</v>
      </c>
      <c r="L1066" s="8">
        <f>ABS(SUMIF(Table25[[#All],[Assets]],Table25[[#This Row],[Assets]],Table25[[#All],[Sold]]))</f>
        <v>83</v>
      </c>
      <c r="M1066" s="5">
        <f>ABS(SUMIF(Table25[[#All],[Assets]],Table25[[#This Row],[Assets]],Table25[[#All],[Sold Amount]]))</f>
        <v>6745.73</v>
      </c>
      <c r="N1066" s="5">
        <f>IFERROR(Table25[[#This Row],[Total sold amount]]/Table25[[#This Row],[Total Sold number of stocks]],"")</f>
        <v>81.273855421686747</v>
      </c>
      <c r="O1066" s="4">
        <f>IFERROR(Table25[[#This Row],[Total Amount bought]]/Table25[[#This Row],[Total number bought]],"")</f>
        <v>77.86304761904762</v>
      </c>
      <c r="P1066" s="4">
        <f>IFERROR((Table25[[#This Row],[Average sell price]]-Table25[[#This Row],[Average buy price]])*Table25[[#This Row],[Total Sold number of stocks]],0)</f>
        <v>283.09704761904754</v>
      </c>
      <c r="Q1066" s="85">
        <f>SUMIF(Table25[[#All],[Assets]],Table25[[#This Row],[Assets]],Table25[[#All],[Number of stocks]])</f>
        <v>22</v>
      </c>
    </row>
    <row r="1067" spans="1:17">
      <c r="A1067" t="e" vm="169">
        <v>#VALUE!</v>
      </c>
      <c r="B1067" s="2">
        <v>45755</v>
      </c>
      <c r="C1067" t="str" cm="1">
        <f t="array" aca="1" ref="C1067" ca="1">_FV(A1067,"Ticker symbol",TRUE)</f>
        <v>CVS</v>
      </c>
      <c r="D1067" s="4">
        <v>67.69</v>
      </c>
      <c r="E1067" s="50">
        <v>14</v>
      </c>
      <c r="F1067" s="81">
        <f>IF(Table25[[#This Row],[Number of stocks]]&gt;0,Table25[[#This Row],[Number of stocks]],0)</f>
        <v>14</v>
      </c>
      <c r="G1067" s="73">
        <f>Table25[[#This Row],[Bought]]*Table25[[#This Row],[Price]]</f>
        <v>947.66</v>
      </c>
      <c r="H1067">
        <f>SUMIF(Table25[[#All],[Assets]],Table25[[#This Row],[Assets]],Table25[[#All],[Bought]])</f>
        <v>104</v>
      </c>
      <c r="I1067">
        <f>SUMIF(Table25[[#All],[Assets]],Table25[[#This Row],[Assets]],Table25[[#All],[Bought Amount]])</f>
        <v>6111.46</v>
      </c>
      <c r="J1067" s="88">
        <f>IF(Table25[[#This Row],[Number of stocks]]&lt;0,Table25[[#This Row],[Number of stocks]],0)</f>
        <v>0</v>
      </c>
      <c r="K1067" s="5">
        <f>Table25[[#This Row],[Sold]]*Table25[[#This Row],[Price]]</f>
        <v>0</v>
      </c>
      <c r="L1067" s="8">
        <f>ABS(SUMIF(Table25[[#All],[Assets]],Table25[[#This Row],[Assets]],Table25[[#All],[Sold]]))</f>
        <v>104</v>
      </c>
      <c r="M1067" s="5">
        <f>ABS(SUMIF(Table25[[#All],[Assets]],Table25[[#This Row],[Assets]],Table25[[#All],[Sold Amount]]))</f>
        <v>6244.5899999999992</v>
      </c>
      <c r="N1067" s="5">
        <f>IFERROR(Table25[[#This Row],[Total sold amount]]/Table25[[#This Row],[Total Sold number of stocks]],"")</f>
        <v>60.044134615384607</v>
      </c>
      <c r="O1067" s="4">
        <f>IFERROR(Table25[[#This Row],[Total Amount bought]]/Table25[[#This Row],[Total number bought]],"")</f>
        <v>58.764038461538462</v>
      </c>
      <c r="P1067" s="4">
        <f>IFERROR((Table25[[#This Row],[Average sell price]]-Table25[[#This Row],[Average buy price]])*Table25[[#This Row],[Total Sold number of stocks]],0)</f>
        <v>133.12999999999909</v>
      </c>
      <c r="Q1067" s="85">
        <f>SUMIF(Table25[[#All],[Assets]],Table25[[#This Row],[Assets]],Table25[[#All],[Number of stocks]])</f>
        <v>0</v>
      </c>
    </row>
    <row r="1068" spans="1:17">
      <c r="A1068" t="e" vm="71">
        <v>#VALUE!</v>
      </c>
      <c r="B1068" s="2">
        <v>45756</v>
      </c>
      <c r="C1068" t="str" cm="1">
        <f t="array" aca="1" ref="C1068" ca="1">_FV(A1068,"Ticker symbol",TRUE)</f>
        <v>TKNO</v>
      </c>
      <c r="D1068" s="4">
        <v>5.28</v>
      </c>
      <c r="E1068" s="50">
        <v>300</v>
      </c>
      <c r="F1068" s="81">
        <f>IF(Table25[[#This Row],[Number of stocks]]&gt;0,Table25[[#This Row],[Number of stocks]],0)</f>
        <v>300</v>
      </c>
      <c r="G1068" s="73">
        <f>Table25[[#This Row],[Bought]]*Table25[[#This Row],[Price]]</f>
        <v>1584</v>
      </c>
      <c r="H1068">
        <f>SUMIF(Table25[[#All],[Assets]],Table25[[#This Row],[Assets]],Table25[[#All],[Bought]])</f>
        <v>2166.0267990000002</v>
      </c>
      <c r="I1068">
        <f>SUMIF(Table25[[#All],[Assets]],Table25[[#This Row],[Assets]],Table25[[#All],[Bought Amount]])</f>
        <v>13370.91512648</v>
      </c>
      <c r="J1068" s="88">
        <f>IF(Table25[[#This Row],[Number of stocks]]&lt;0,Table25[[#This Row],[Number of stocks]],0)</f>
        <v>0</v>
      </c>
      <c r="K1068" s="5">
        <f>Table25[[#This Row],[Sold]]*Table25[[#This Row],[Price]]</f>
        <v>0</v>
      </c>
      <c r="L1068" s="8">
        <f>ABS(SUMIF(Table25[[#All],[Assets]],Table25[[#This Row],[Assets]],Table25[[#All],[Sold]]))</f>
        <v>2083</v>
      </c>
      <c r="M1068" s="5">
        <f>ABS(SUMIF(Table25[[#All],[Assets]],Table25[[#This Row],[Assets]],Table25[[#All],[Sold Amount]]))</f>
        <v>11153.28</v>
      </c>
      <c r="N1068" s="5">
        <f>IFERROR(Table25[[#This Row],[Total sold amount]]/Table25[[#This Row],[Total Sold number of stocks]],"")</f>
        <v>5.3544311089774368</v>
      </c>
      <c r="O1068" s="4">
        <f>IFERROR(Table25[[#This Row],[Total Amount bought]]/Table25[[#This Row],[Total number bought]],"")</f>
        <v>6.1730146333614213</v>
      </c>
      <c r="P1068" s="4">
        <f>IFERROR((Table25[[#This Row],[Average sell price]]-Table25[[#This Row],[Average buy price]])*Table25[[#This Row],[Total Sold number of stocks]],0)</f>
        <v>-1705.1094812918398</v>
      </c>
      <c r="Q1068" s="85">
        <f>SUMIF(Table25[[#All],[Assets]],Table25[[#This Row],[Assets]],Table25[[#All],[Number of stocks]])</f>
        <v>83.026798999999983</v>
      </c>
    </row>
    <row r="1069" spans="1:17">
      <c r="A1069" t="e" vm="39">
        <v>#VALUE!</v>
      </c>
      <c r="B1069" s="2">
        <v>45756</v>
      </c>
      <c r="C1069" t="str" cm="1">
        <f t="array" aca="1" ref="C1069" ca="1">_FV(A1069,"Ticker symbol",TRUE)</f>
        <v>AMSC</v>
      </c>
      <c r="D1069" s="4">
        <v>18.190000000000001</v>
      </c>
      <c r="E1069" s="50">
        <v>30</v>
      </c>
      <c r="F1069" s="81">
        <f>IF(Table25[[#This Row],[Number of stocks]]&gt;0,Table25[[#This Row],[Number of stocks]],0)</f>
        <v>30</v>
      </c>
      <c r="G1069" s="73">
        <f>Table25[[#This Row],[Bought]]*Table25[[#This Row],[Price]]</f>
        <v>545.70000000000005</v>
      </c>
      <c r="H1069">
        <f>SUMIF(Table25[[#All],[Assets]],Table25[[#This Row],[Assets]],Table25[[#All],[Bought]])</f>
        <v>812.4</v>
      </c>
      <c r="I1069">
        <f>SUMIF(Table25[[#All],[Assets]],Table25[[#This Row],[Assets]],Table25[[#All],[Bought Amount]])</f>
        <v>24146.880000000001</v>
      </c>
      <c r="J1069" s="88">
        <f>IF(Table25[[#This Row],[Number of stocks]]&lt;0,Table25[[#This Row],[Number of stocks]],0)</f>
        <v>0</v>
      </c>
      <c r="K1069" s="5">
        <f>Table25[[#This Row],[Sold]]*Table25[[#This Row],[Price]]</f>
        <v>0</v>
      </c>
      <c r="L1069" s="8">
        <f>ABS(SUMIF(Table25[[#All],[Assets]],Table25[[#This Row],[Assets]],Table25[[#All],[Sold]]))</f>
        <v>535</v>
      </c>
      <c r="M1069" s="5">
        <f>ABS(SUMIF(Table25[[#All],[Assets]],Table25[[#This Row],[Assets]],Table25[[#All],[Sold Amount]]))</f>
        <v>14777.289999999999</v>
      </c>
      <c r="N1069" s="5">
        <f>IFERROR(Table25[[#This Row],[Total sold amount]]/Table25[[#This Row],[Total Sold number of stocks]],"")</f>
        <v>27.621102803738317</v>
      </c>
      <c r="O1069" s="4">
        <f>IFERROR(Table25[[#This Row],[Total Amount bought]]/Table25[[#This Row],[Total number bought]],"")</f>
        <v>29.722895125553915</v>
      </c>
      <c r="P1069" s="4">
        <f>IFERROR((Table25[[#This Row],[Average sell price]]-Table25[[#This Row],[Average buy price]])*Table25[[#This Row],[Total Sold number of stocks]],0)</f>
        <v>-1124.4588921713448</v>
      </c>
      <c r="Q1069" s="85">
        <f>SUMIF(Table25[[#All],[Assets]],Table25[[#This Row],[Assets]],Table25[[#All],[Number of stocks]])</f>
        <v>277.39999999999998</v>
      </c>
    </row>
    <row r="1070" spans="1:17">
      <c r="A1070" t="e" vm="73">
        <v>#VALUE!</v>
      </c>
      <c r="B1070" s="2">
        <v>45756</v>
      </c>
      <c r="C1070" t="str" cm="1">
        <f t="array" aca="1" ref="C1070" ca="1">_FV(A1070,"Ticker symbol",TRUE)</f>
        <v>NOTV</v>
      </c>
      <c r="D1070" s="4">
        <v>2.65</v>
      </c>
      <c r="E1070" s="50">
        <v>500</v>
      </c>
      <c r="F1070" s="81">
        <f>IF(Table25[[#This Row],[Number of stocks]]&gt;0,Table25[[#This Row],[Number of stocks]],0)</f>
        <v>500</v>
      </c>
      <c r="G1070" s="73">
        <f>Table25[[#This Row],[Bought]]*Table25[[#This Row],[Price]]</f>
        <v>1325</v>
      </c>
      <c r="H1070">
        <f>SUMIF(Table25[[#All],[Assets]],Table25[[#This Row],[Assets]],Table25[[#All],[Bought]])</f>
        <v>3556</v>
      </c>
      <c r="I1070">
        <f>SUMIF(Table25[[#All],[Assets]],Table25[[#This Row],[Assets]],Table25[[#All],[Bought Amount]])</f>
        <v>10249.890000000001</v>
      </c>
      <c r="J1070" s="88">
        <f>IF(Table25[[#This Row],[Number of stocks]]&lt;0,Table25[[#This Row],[Number of stocks]],0)</f>
        <v>0</v>
      </c>
      <c r="K1070" s="5">
        <f>Table25[[#This Row],[Sold]]*Table25[[#This Row],[Price]]</f>
        <v>0</v>
      </c>
      <c r="L1070" s="8">
        <f>ABS(SUMIF(Table25[[#All],[Assets]],Table25[[#This Row],[Assets]],Table25[[#All],[Sold]]))</f>
        <v>2741</v>
      </c>
      <c r="M1070" s="5">
        <f>ABS(SUMIF(Table25[[#All],[Assets]],Table25[[#This Row],[Assets]],Table25[[#All],[Sold Amount]]))</f>
        <v>6559.66</v>
      </c>
      <c r="N1070" s="5">
        <f>IFERROR(Table25[[#This Row],[Total sold amount]]/Table25[[#This Row],[Total Sold number of stocks]],"")</f>
        <v>2.3931630791681866</v>
      </c>
      <c r="O1070" s="4">
        <f>IFERROR(Table25[[#This Row],[Total Amount bought]]/Table25[[#This Row],[Total number bought]],"")</f>
        <v>2.8824212598425198</v>
      </c>
      <c r="P1070" s="4">
        <f>IFERROR((Table25[[#This Row],[Average sell price]]-Table25[[#This Row],[Average buy price]])*Table25[[#This Row],[Total Sold number of stocks]],0)</f>
        <v>-1341.0566732283473</v>
      </c>
      <c r="Q1070" s="85">
        <f>SUMIF(Table25[[#All],[Assets]],Table25[[#This Row],[Assets]],Table25[[#All],[Number of stocks]])</f>
        <v>815</v>
      </c>
    </row>
    <row r="1071" spans="1:17">
      <c r="A1071" t="e" vm="183">
        <v>#VALUE!</v>
      </c>
      <c r="B1071" s="2">
        <v>45756</v>
      </c>
      <c r="C1071" t="str" cm="1">
        <f t="array" aca="1" ref="C1071" ca="1">_FV(A1071,"Ticker symbol",TRUE)</f>
        <v>ESOA</v>
      </c>
      <c r="D1071" s="4">
        <v>9.0299999999999994</v>
      </c>
      <c r="E1071" s="50">
        <v>220</v>
      </c>
      <c r="F1071" s="81">
        <f>IF(Table25[[#This Row],[Number of stocks]]&gt;0,Table25[[#This Row],[Number of stocks]],0)</f>
        <v>220</v>
      </c>
      <c r="G1071" s="73">
        <f>Table25[[#This Row],[Bought]]*Table25[[#This Row],[Price]]</f>
        <v>1986.6</v>
      </c>
      <c r="H1071">
        <f>SUMIF(Table25[[#All],[Assets]],Table25[[#This Row],[Assets]],Table25[[#All],[Bought]])</f>
        <v>1832</v>
      </c>
      <c r="I1071">
        <f>SUMIF(Table25[[#All],[Assets]],Table25[[#This Row],[Assets]],Table25[[#All],[Bought Amount]])</f>
        <v>18152.78</v>
      </c>
      <c r="J1071" s="88">
        <f>IF(Table25[[#This Row],[Number of stocks]]&lt;0,Table25[[#This Row],[Number of stocks]],0)</f>
        <v>0</v>
      </c>
      <c r="K1071" s="5">
        <f>Table25[[#This Row],[Sold]]*Table25[[#This Row],[Price]]</f>
        <v>0</v>
      </c>
      <c r="L1071" s="8">
        <f>ABS(SUMIF(Table25[[#All],[Assets]],Table25[[#This Row],[Assets]],Table25[[#All],[Sold]]))</f>
        <v>1568</v>
      </c>
      <c r="M1071" s="5">
        <f>ABS(SUMIF(Table25[[#All],[Assets]],Table25[[#This Row],[Assets]],Table25[[#All],[Sold Amount]]))</f>
        <v>14668</v>
      </c>
      <c r="N1071" s="5">
        <f>IFERROR(Table25[[#This Row],[Total sold amount]]/Table25[[#This Row],[Total Sold number of stocks]],"")</f>
        <v>9.3545918367346932</v>
      </c>
      <c r="O1071" s="4">
        <f>IFERROR(Table25[[#This Row],[Total Amount bought]]/Table25[[#This Row],[Total number bought]],"")</f>
        <v>9.9087227074235802</v>
      </c>
      <c r="P1071" s="4">
        <f>IFERROR((Table25[[#This Row],[Average sell price]]-Table25[[#This Row],[Average buy price]])*Table25[[#This Row],[Total Sold number of stocks]],0)</f>
        <v>-868.87720524017482</v>
      </c>
      <c r="Q1071" s="85">
        <f>SUMIF(Table25[[#All],[Assets]],Table25[[#This Row],[Assets]],Table25[[#All],[Number of stocks]])</f>
        <v>264</v>
      </c>
    </row>
    <row r="1072" spans="1:17">
      <c r="A1072" t="e" vm="179">
        <v>#VALUE!</v>
      </c>
      <c r="B1072" s="2">
        <v>45756</v>
      </c>
      <c r="C1072" t="str" cm="1">
        <f t="array" aca="1" ref="C1072" ca="1">_FV(A1072,"Ticker symbol",TRUE)</f>
        <v>ET</v>
      </c>
      <c r="D1072" s="4">
        <v>16.18</v>
      </c>
      <c r="E1072" s="50">
        <v>80</v>
      </c>
      <c r="F1072" s="81">
        <f>IF(Table25[[#This Row],[Number of stocks]]&gt;0,Table25[[#This Row],[Number of stocks]],0)</f>
        <v>80</v>
      </c>
      <c r="G1072" s="73">
        <f>Table25[[#This Row],[Bought]]*Table25[[#This Row],[Price]]</f>
        <v>1294.4000000000001</v>
      </c>
      <c r="H1072">
        <f>SUMIF(Table25[[#All],[Assets]],Table25[[#This Row],[Assets]],Table25[[#All],[Bought]])</f>
        <v>345</v>
      </c>
      <c r="I1072">
        <f>SUMIF(Table25[[#All],[Assets]],Table25[[#This Row],[Assets]],Table25[[#All],[Bought Amount]])</f>
        <v>5878.3</v>
      </c>
      <c r="J1072" s="88">
        <f>IF(Table25[[#This Row],[Number of stocks]]&lt;0,Table25[[#This Row],[Number of stocks]],0)</f>
        <v>0</v>
      </c>
      <c r="K1072" s="5">
        <f>Table25[[#This Row],[Sold]]*Table25[[#This Row],[Price]]</f>
        <v>0</v>
      </c>
      <c r="L1072" s="8">
        <f>ABS(SUMIF(Table25[[#All],[Assets]],Table25[[#This Row],[Assets]],Table25[[#All],[Sold]]))</f>
        <v>40</v>
      </c>
      <c r="M1072" s="5">
        <f>ABS(SUMIF(Table25[[#All],[Assets]],Table25[[#This Row],[Assets]],Table25[[#All],[Sold Amount]]))</f>
        <v>660.8</v>
      </c>
      <c r="N1072" s="5">
        <f>IFERROR(Table25[[#This Row],[Total sold amount]]/Table25[[#This Row],[Total Sold number of stocks]],"")</f>
        <v>16.52</v>
      </c>
      <c r="O1072" s="4">
        <f>IFERROR(Table25[[#This Row],[Total Amount bought]]/Table25[[#This Row],[Total number bought]],"")</f>
        <v>17.03855072463768</v>
      </c>
      <c r="P1072" s="4">
        <f>IFERROR((Table25[[#This Row],[Average sell price]]-Table25[[#This Row],[Average buy price]])*Table25[[#This Row],[Total Sold number of stocks]],0)</f>
        <v>-20.742028985507233</v>
      </c>
      <c r="Q1072" s="85">
        <f>SUMIF(Table25[[#All],[Assets]],Table25[[#This Row],[Assets]],Table25[[#All],[Number of stocks]])</f>
        <v>305</v>
      </c>
    </row>
    <row r="1073" spans="1:17">
      <c r="A1073" t="e" vm="71">
        <v>#VALUE!</v>
      </c>
      <c r="B1073" s="2">
        <v>45756</v>
      </c>
      <c r="C1073" t="str" cm="1">
        <f t="array" aca="1" ref="C1073" ca="1">_FV(A1073,"Ticker symbol",TRUE)</f>
        <v>TKNO</v>
      </c>
      <c r="D1073" s="4">
        <v>5.15</v>
      </c>
      <c r="E1073" s="50">
        <v>300</v>
      </c>
      <c r="F1073" s="81">
        <f>IF(Table25[[#This Row],[Number of stocks]]&gt;0,Table25[[#This Row],[Number of stocks]],0)</f>
        <v>300</v>
      </c>
      <c r="G1073" s="73">
        <f>Table25[[#This Row],[Bought]]*Table25[[#This Row],[Price]]</f>
        <v>1545</v>
      </c>
      <c r="H1073">
        <f>SUMIF(Table25[[#All],[Assets]],Table25[[#This Row],[Assets]],Table25[[#All],[Bought]])</f>
        <v>2166.0267990000002</v>
      </c>
      <c r="I1073">
        <f>SUMIF(Table25[[#All],[Assets]],Table25[[#This Row],[Assets]],Table25[[#All],[Bought Amount]])</f>
        <v>13370.91512648</v>
      </c>
      <c r="J1073" s="88">
        <f>IF(Table25[[#This Row],[Number of stocks]]&lt;0,Table25[[#This Row],[Number of stocks]],0)</f>
        <v>0</v>
      </c>
      <c r="K1073" s="5">
        <f>Table25[[#This Row],[Sold]]*Table25[[#This Row],[Price]]</f>
        <v>0</v>
      </c>
      <c r="L1073" s="8">
        <f>ABS(SUMIF(Table25[[#All],[Assets]],Table25[[#This Row],[Assets]],Table25[[#All],[Sold]]))</f>
        <v>2083</v>
      </c>
      <c r="M1073" s="5">
        <f>ABS(SUMIF(Table25[[#All],[Assets]],Table25[[#This Row],[Assets]],Table25[[#All],[Sold Amount]]))</f>
        <v>11153.28</v>
      </c>
      <c r="N1073" s="5">
        <f>IFERROR(Table25[[#This Row],[Total sold amount]]/Table25[[#This Row],[Total Sold number of stocks]],"")</f>
        <v>5.3544311089774368</v>
      </c>
      <c r="O1073" s="4">
        <f>IFERROR(Table25[[#This Row],[Total Amount bought]]/Table25[[#This Row],[Total number bought]],"")</f>
        <v>6.1730146333614213</v>
      </c>
      <c r="P1073" s="4">
        <f>IFERROR((Table25[[#This Row],[Average sell price]]-Table25[[#This Row],[Average buy price]])*Table25[[#This Row],[Total Sold number of stocks]],0)</f>
        <v>-1705.1094812918398</v>
      </c>
      <c r="Q1073" s="85">
        <f>SUMIF(Table25[[#All],[Assets]],Table25[[#This Row],[Assets]],Table25[[#All],[Number of stocks]])</f>
        <v>83.026798999999983</v>
      </c>
    </row>
    <row r="1074" spans="1:17">
      <c r="A1074" t="e" vm="183">
        <v>#VALUE!</v>
      </c>
      <c r="B1074" s="2">
        <v>45757</v>
      </c>
      <c r="C1074" t="str" cm="1">
        <f t="array" aca="1" ref="C1074" ca="1">_FV(A1074,"Ticker symbol",TRUE)</f>
        <v>ESOA</v>
      </c>
      <c r="D1074" s="4">
        <v>8.8699999999999992</v>
      </c>
      <c r="E1074" s="50">
        <v>200</v>
      </c>
      <c r="F1074" s="81">
        <f>IF(Table25[[#This Row],[Number of stocks]]&gt;0,Table25[[#This Row],[Number of stocks]],0)</f>
        <v>200</v>
      </c>
      <c r="G1074" s="73">
        <f>Table25[[#This Row],[Bought]]*Table25[[#This Row],[Price]]</f>
        <v>1773.9999999999998</v>
      </c>
      <c r="H1074">
        <f>SUMIF(Table25[[#All],[Assets]],Table25[[#This Row],[Assets]],Table25[[#All],[Bought]])</f>
        <v>1832</v>
      </c>
      <c r="I1074">
        <f>SUMIF(Table25[[#All],[Assets]],Table25[[#This Row],[Assets]],Table25[[#All],[Bought Amount]])</f>
        <v>18152.78</v>
      </c>
      <c r="J1074" s="88">
        <f>IF(Table25[[#This Row],[Number of stocks]]&lt;0,Table25[[#This Row],[Number of stocks]],0)</f>
        <v>0</v>
      </c>
      <c r="K1074" s="5">
        <f>Table25[[#This Row],[Sold]]*Table25[[#This Row],[Price]]</f>
        <v>0</v>
      </c>
      <c r="L1074" s="8">
        <f>ABS(SUMIF(Table25[[#All],[Assets]],Table25[[#This Row],[Assets]],Table25[[#All],[Sold]]))</f>
        <v>1568</v>
      </c>
      <c r="M1074" s="5">
        <f>ABS(SUMIF(Table25[[#All],[Assets]],Table25[[#This Row],[Assets]],Table25[[#All],[Sold Amount]]))</f>
        <v>14668</v>
      </c>
      <c r="N1074" s="5">
        <f>IFERROR(Table25[[#This Row],[Total sold amount]]/Table25[[#This Row],[Total Sold number of stocks]],"")</f>
        <v>9.3545918367346932</v>
      </c>
      <c r="O1074" s="4">
        <f>IFERROR(Table25[[#This Row],[Total Amount bought]]/Table25[[#This Row],[Total number bought]],"")</f>
        <v>9.9087227074235802</v>
      </c>
      <c r="P1074" s="4">
        <f>IFERROR((Table25[[#This Row],[Average sell price]]-Table25[[#This Row],[Average buy price]])*Table25[[#This Row],[Total Sold number of stocks]],0)</f>
        <v>-868.87720524017482</v>
      </c>
      <c r="Q1074" s="85">
        <f>SUMIF(Table25[[#All],[Assets]],Table25[[#This Row],[Assets]],Table25[[#All],[Number of stocks]])</f>
        <v>264</v>
      </c>
    </row>
    <row r="1075" spans="1:17">
      <c r="A1075" t="e" vm="34">
        <v>#VALUE!</v>
      </c>
      <c r="B1075" s="2">
        <v>45758</v>
      </c>
      <c r="C1075" t="str" cm="1">
        <f t="array" aca="1" ref="C1075" ca="1">_FV(A1075,"Ticker symbol",TRUE)</f>
        <v>TSM</v>
      </c>
      <c r="D1075" s="4">
        <v>157.81</v>
      </c>
      <c r="E1075" s="50">
        <v>1</v>
      </c>
      <c r="F1075" s="81">
        <f>IF(Table25[[#This Row],[Number of stocks]]&gt;0,Table25[[#This Row],[Number of stocks]],0)</f>
        <v>1</v>
      </c>
      <c r="G1075" s="73">
        <f>Table25[[#This Row],[Bought]]*Table25[[#This Row],[Price]]</f>
        <v>157.81</v>
      </c>
      <c r="H1075">
        <f>SUMIF(Table25[[#All],[Assets]],Table25[[#This Row],[Assets]],Table25[[#All],[Bought]])</f>
        <v>45</v>
      </c>
      <c r="I1075">
        <f>SUMIF(Table25[[#All],[Assets]],Table25[[#This Row],[Assets]],Table25[[#All],[Bought Amount]])</f>
        <v>7503.4800000000005</v>
      </c>
      <c r="J1075" s="88">
        <f>IF(Table25[[#This Row],[Number of stocks]]&lt;0,Table25[[#This Row],[Number of stocks]],0)</f>
        <v>0</v>
      </c>
      <c r="K1075" s="5">
        <f>Table25[[#This Row],[Sold]]*Table25[[#This Row],[Price]]</f>
        <v>0</v>
      </c>
      <c r="L1075" s="8">
        <f>ABS(SUMIF(Table25[[#All],[Assets]],Table25[[#This Row],[Assets]],Table25[[#All],[Sold]]))</f>
        <v>44</v>
      </c>
      <c r="M1075" s="5">
        <f>ABS(SUMIF(Table25[[#All],[Assets]],Table25[[#This Row],[Assets]],Table25[[#All],[Sold Amount]]))</f>
        <v>7951.28</v>
      </c>
      <c r="N1075" s="5">
        <f>IFERROR(Table25[[#This Row],[Total sold amount]]/Table25[[#This Row],[Total Sold number of stocks]],"")</f>
        <v>180.7109090909091</v>
      </c>
      <c r="O1075" s="4">
        <f>IFERROR(Table25[[#This Row],[Total Amount bought]]/Table25[[#This Row],[Total number bought]],"")</f>
        <v>166.744</v>
      </c>
      <c r="P1075" s="4">
        <f>IFERROR((Table25[[#This Row],[Average sell price]]-Table25[[#This Row],[Average buy price]])*Table25[[#This Row],[Total Sold number of stocks]],0)</f>
        <v>614.54400000000032</v>
      </c>
      <c r="Q1075" s="85">
        <f>SUMIF(Table25[[#All],[Assets]],Table25[[#This Row],[Assets]],Table25[[#All],[Number of stocks]])</f>
        <v>1</v>
      </c>
    </row>
    <row r="1076" spans="1:17">
      <c r="A1076" t="e" vm="461">
        <v>#VALUE!</v>
      </c>
      <c r="B1076" s="2">
        <v>45761</v>
      </c>
      <c r="C1076" t="str" cm="1">
        <f t="array" aca="1" ref="C1076" ca="1">_FV(A1076,"Ticker symbol",TRUE)</f>
        <v>SVIX</v>
      </c>
      <c r="D1076" s="4">
        <v>11.4</v>
      </c>
      <c r="E1076" s="50">
        <v>-50</v>
      </c>
      <c r="F1076" s="81">
        <f>IF(Table25[[#This Row],[Number of stocks]]&gt;0,Table25[[#This Row],[Number of stocks]],0)</f>
        <v>0</v>
      </c>
      <c r="G1076" s="73">
        <f>Table25[[#This Row],[Bought]]*Table25[[#This Row],[Price]]</f>
        <v>0</v>
      </c>
      <c r="H1076">
        <f>SUMIF(Table25[[#All],[Assets]],Table25[[#This Row],[Assets]],Table25[[#All],[Bought]])</f>
        <v>209</v>
      </c>
      <c r="I1076">
        <f>SUMIF(Table25[[#All],[Assets]],Table25[[#This Row],[Assets]],Table25[[#All],[Bought Amount]])</f>
        <v>2907</v>
      </c>
      <c r="J1076" s="88">
        <f>IF(Table25[[#This Row],[Number of stocks]]&lt;0,Table25[[#This Row],[Number of stocks]],0)</f>
        <v>-50</v>
      </c>
      <c r="K1076" s="5">
        <f>Table25[[#This Row],[Sold]]*Table25[[#This Row],[Price]]</f>
        <v>-570</v>
      </c>
      <c r="L1076" s="8">
        <f>ABS(SUMIF(Table25[[#All],[Assets]],Table25[[#This Row],[Assets]],Table25[[#All],[Sold]]))</f>
        <v>209</v>
      </c>
      <c r="M1076" s="5">
        <f>ABS(SUMIF(Table25[[#All],[Assets]],Table25[[#This Row],[Assets]],Table25[[#All],[Sold Amount]]))</f>
        <v>2607.3000000000002</v>
      </c>
      <c r="N1076" s="5">
        <f>IFERROR(Table25[[#This Row],[Total sold amount]]/Table25[[#This Row],[Total Sold number of stocks]],"")</f>
        <v>12.47511961722488</v>
      </c>
      <c r="O1076" s="4">
        <f>IFERROR(Table25[[#This Row],[Total Amount bought]]/Table25[[#This Row],[Total number bought]],"")</f>
        <v>13.909090909090908</v>
      </c>
      <c r="P1076" s="4">
        <f>IFERROR((Table25[[#This Row],[Average sell price]]-Table25[[#This Row],[Average buy price]])*Table25[[#This Row],[Total Sold number of stocks]],0)</f>
        <v>-299.69999999999982</v>
      </c>
      <c r="Q1076" s="85">
        <f>SUMIF(Table25[[#All],[Assets]],Table25[[#This Row],[Assets]],Table25[[#All],[Number of stocks]])</f>
        <v>0</v>
      </c>
    </row>
    <row r="1077" spans="1:17">
      <c r="A1077" t="e" vm="169">
        <v>#VALUE!</v>
      </c>
      <c r="B1077" s="2">
        <v>45761</v>
      </c>
      <c r="C1077" t="str" cm="1">
        <f t="array" aca="1" ref="C1077" ca="1">_FV(A1077,"Ticker symbol",TRUE)</f>
        <v>CVS</v>
      </c>
      <c r="D1077" s="4">
        <v>68.95</v>
      </c>
      <c r="E1077" s="50">
        <v>-7</v>
      </c>
      <c r="F1077" s="81">
        <f>IF(Table25[[#This Row],[Number of stocks]]&gt;0,Table25[[#This Row],[Number of stocks]],0)</f>
        <v>0</v>
      </c>
      <c r="G1077" s="73">
        <f>Table25[[#This Row],[Bought]]*Table25[[#This Row],[Price]]</f>
        <v>0</v>
      </c>
      <c r="H1077">
        <f>SUMIF(Table25[[#All],[Assets]],Table25[[#This Row],[Assets]],Table25[[#All],[Bought]])</f>
        <v>104</v>
      </c>
      <c r="I1077">
        <f>SUMIF(Table25[[#All],[Assets]],Table25[[#This Row],[Assets]],Table25[[#All],[Bought Amount]])</f>
        <v>6111.46</v>
      </c>
      <c r="J1077" s="88">
        <f>IF(Table25[[#This Row],[Number of stocks]]&lt;0,Table25[[#This Row],[Number of stocks]],0)</f>
        <v>-7</v>
      </c>
      <c r="K1077" s="5">
        <f>Table25[[#This Row],[Sold]]*Table25[[#This Row],[Price]]</f>
        <v>-482.65000000000003</v>
      </c>
      <c r="L1077" s="8">
        <f>ABS(SUMIF(Table25[[#All],[Assets]],Table25[[#This Row],[Assets]],Table25[[#All],[Sold]]))</f>
        <v>104</v>
      </c>
      <c r="M1077" s="5">
        <f>ABS(SUMIF(Table25[[#All],[Assets]],Table25[[#This Row],[Assets]],Table25[[#All],[Sold Amount]]))</f>
        <v>6244.5899999999992</v>
      </c>
      <c r="N1077" s="5">
        <f>IFERROR(Table25[[#This Row],[Total sold amount]]/Table25[[#This Row],[Total Sold number of stocks]],"")</f>
        <v>60.044134615384607</v>
      </c>
      <c r="O1077" s="4">
        <f>IFERROR(Table25[[#This Row],[Total Amount bought]]/Table25[[#This Row],[Total number bought]],"")</f>
        <v>58.764038461538462</v>
      </c>
      <c r="P1077" s="4">
        <f>IFERROR((Table25[[#This Row],[Average sell price]]-Table25[[#This Row],[Average buy price]])*Table25[[#This Row],[Total Sold number of stocks]],0)</f>
        <v>133.12999999999909</v>
      </c>
      <c r="Q1077" s="85">
        <f>SUMIF(Table25[[#All],[Assets]],Table25[[#This Row],[Assets]],Table25[[#All],[Number of stocks]])</f>
        <v>0</v>
      </c>
    </row>
    <row r="1078" spans="1:17">
      <c r="A1078" t="e" vm="78">
        <v>#VALUE!</v>
      </c>
      <c r="B1078" s="2">
        <v>45761</v>
      </c>
      <c r="C1078" t="str" cm="1">
        <f t="array" aca="1" ref="C1078" ca="1">_FV(A1078,"Ticker symbol",TRUE)</f>
        <v>TOI</v>
      </c>
      <c r="D1078" s="4">
        <v>1.86</v>
      </c>
      <c r="E1078" s="50">
        <v>-350</v>
      </c>
      <c r="F1078" s="81">
        <f>IF(Table25[[#This Row],[Number of stocks]]&gt;0,Table25[[#This Row],[Number of stocks]],0)</f>
        <v>0</v>
      </c>
      <c r="G1078" s="73">
        <f>Table25[[#This Row],[Bought]]*Table25[[#This Row],[Price]]</f>
        <v>0</v>
      </c>
      <c r="H1078">
        <f>SUMIF(Table25[[#All],[Assets]],Table25[[#This Row],[Assets]],Table25[[#All],[Bought]])</f>
        <v>2120</v>
      </c>
      <c r="I1078">
        <f>SUMIF(Table25[[#All],[Assets]],Table25[[#This Row],[Assets]],Table25[[#All],[Bought Amount]])</f>
        <v>4215.1000000000004</v>
      </c>
      <c r="J1078" s="88">
        <f>IF(Table25[[#This Row],[Number of stocks]]&lt;0,Table25[[#This Row],[Number of stocks]],0)</f>
        <v>-350</v>
      </c>
      <c r="K1078" s="5">
        <f>Table25[[#This Row],[Sold]]*Table25[[#This Row],[Price]]</f>
        <v>-651</v>
      </c>
      <c r="L1078" s="8">
        <f>ABS(SUMIF(Table25[[#All],[Assets]],Table25[[#This Row],[Assets]],Table25[[#All],[Sold]]))</f>
        <v>1120</v>
      </c>
      <c r="M1078" s="5">
        <f>ABS(SUMIF(Table25[[#All],[Assets]],Table25[[#This Row],[Assets]],Table25[[#All],[Sold Amount]]))</f>
        <v>3202.4</v>
      </c>
      <c r="N1078" s="5">
        <f>IFERROR(Table25[[#This Row],[Total sold amount]]/Table25[[#This Row],[Total Sold number of stocks]],"")</f>
        <v>2.8592857142857144</v>
      </c>
      <c r="O1078" s="4">
        <f>IFERROR(Table25[[#This Row],[Total Amount bought]]/Table25[[#This Row],[Total number bought]],"")</f>
        <v>1.9882547169811322</v>
      </c>
      <c r="P1078" s="4">
        <f>IFERROR((Table25[[#This Row],[Average sell price]]-Table25[[#This Row],[Average buy price]])*Table25[[#This Row],[Total Sold number of stocks]],0)</f>
        <v>975.55471698113206</v>
      </c>
      <c r="Q1078" s="85">
        <f>SUMIF(Table25[[#All],[Assets]],Table25[[#This Row],[Assets]],Table25[[#All],[Number of stocks]])</f>
        <v>1000</v>
      </c>
    </row>
    <row r="1079" spans="1:17">
      <c r="A1079" t="e" vm="289">
        <v>#VALUE!</v>
      </c>
      <c r="B1079" s="2">
        <v>45761</v>
      </c>
      <c r="C1079" t="str" cm="1">
        <f t="array" aca="1" ref="C1079" ca="1">_FV(A1079,"Ticker symbol",TRUE)</f>
        <v>CRL</v>
      </c>
      <c r="D1079" s="4">
        <v>104.67</v>
      </c>
      <c r="E1079" s="50">
        <v>7</v>
      </c>
      <c r="F1079" s="81">
        <f>IF(Table25[[#This Row],[Number of stocks]]&gt;0,Table25[[#This Row],[Number of stocks]],0)</f>
        <v>7</v>
      </c>
      <c r="G1079" s="73">
        <f>Table25[[#This Row],[Bought]]*Table25[[#This Row],[Price]]</f>
        <v>732.69</v>
      </c>
      <c r="H1079">
        <f>SUMIF(Table25[[#All],[Assets]],Table25[[#This Row],[Assets]],Table25[[#All],[Bought]])</f>
        <v>12</v>
      </c>
      <c r="I1079">
        <f>SUMIF(Table25[[#All],[Assets]],Table25[[#This Row],[Assets]],Table25[[#All],[Bought Amount]])</f>
        <v>1667.04</v>
      </c>
      <c r="J1079" s="88">
        <f>IF(Table25[[#This Row],[Number of stocks]]&lt;0,Table25[[#This Row],[Number of stocks]],0)</f>
        <v>0</v>
      </c>
      <c r="K1079" s="5">
        <f>Table25[[#This Row],[Sold]]*Table25[[#This Row],[Price]]</f>
        <v>0</v>
      </c>
      <c r="L1079" s="8">
        <f>ABS(SUMIF(Table25[[#All],[Assets]],Table25[[#This Row],[Assets]],Table25[[#All],[Sold]]))</f>
        <v>12</v>
      </c>
      <c r="M1079" s="5">
        <f>ABS(SUMIF(Table25[[#All],[Assets]],Table25[[#This Row],[Assets]],Table25[[#All],[Sold Amount]]))</f>
        <v>1917.08</v>
      </c>
      <c r="N1079" s="5">
        <f>IFERROR(Table25[[#This Row],[Total sold amount]]/Table25[[#This Row],[Total Sold number of stocks]],"")</f>
        <v>159.75666666666666</v>
      </c>
      <c r="O1079" s="4">
        <f>IFERROR(Table25[[#This Row],[Total Amount bought]]/Table25[[#This Row],[Total number bought]],"")</f>
        <v>138.91999999999999</v>
      </c>
      <c r="P1079" s="4">
        <f>IFERROR((Table25[[#This Row],[Average sell price]]-Table25[[#This Row],[Average buy price]])*Table25[[#This Row],[Total Sold number of stocks]],0)</f>
        <v>250.04000000000008</v>
      </c>
      <c r="Q1079" s="85">
        <f>SUMIF(Table25[[#All],[Assets]],Table25[[#This Row],[Assets]],Table25[[#All],[Number of stocks]])</f>
        <v>0</v>
      </c>
    </row>
    <row r="1080" spans="1:17">
      <c r="A1080" t="e" vm="72">
        <v>#VALUE!</v>
      </c>
      <c r="B1080" s="2">
        <v>45761</v>
      </c>
      <c r="C1080" t="str" cm="1">
        <f t="array" aca="1" ref="C1080" ca="1">_FV(A1080,"Ticker symbol",TRUE)</f>
        <v>AIRS</v>
      </c>
      <c r="D1080" s="4">
        <v>1.77</v>
      </c>
      <c r="E1080" s="50">
        <v>60</v>
      </c>
      <c r="F1080" s="81">
        <f>IF(Table25[[#This Row],[Number of stocks]]&gt;0,Table25[[#This Row],[Number of stocks]],0)</f>
        <v>60</v>
      </c>
      <c r="G1080" s="73">
        <f>Table25[[#This Row],[Bought]]*Table25[[#This Row],[Price]]</f>
        <v>106.2</v>
      </c>
      <c r="H1080">
        <f>SUMIF(Table25[[#All],[Assets]],Table25[[#This Row],[Assets]],Table25[[#All],[Bought]])</f>
        <v>2980</v>
      </c>
      <c r="I1080">
        <f>SUMIF(Table25[[#All],[Assets]],Table25[[#This Row],[Assets]],Table25[[#All],[Bought Amount]])</f>
        <v>14267.900000000001</v>
      </c>
      <c r="J1080" s="88">
        <f>IF(Table25[[#This Row],[Number of stocks]]&lt;0,Table25[[#This Row],[Number of stocks]],0)</f>
        <v>0</v>
      </c>
      <c r="K1080" s="5">
        <f>Table25[[#This Row],[Sold]]*Table25[[#This Row],[Price]]</f>
        <v>0</v>
      </c>
      <c r="L1080" s="8">
        <f>ABS(SUMIF(Table25[[#All],[Assets]],Table25[[#This Row],[Assets]],Table25[[#All],[Sold]]))</f>
        <v>2360</v>
      </c>
      <c r="M1080" s="5">
        <f>ABS(SUMIF(Table25[[#All],[Assets]],Table25[[#This Row],[Assets]],Table25[[#All],[Sold Amount]]))</f>
        <v>7796.6</v>
      </c>
      <c r="N1080" s="5">
        <f>IFERROR(Table25[[#This Row],[Total sold amount]]/Table25[[#This Row],[Total Sold number of stocks]],"")</f>
        <v>3.3036440677966104</v>
      </c>
      <c r="O1080" s="4">
        <f>IFERROR(Table25[[#This Row],[Total Amount bought]]/Table25[[#This Row],[Total number bought]],"")</f>
        <v>4.7878859060402688</v>
      </c>
      <c r="P1080" s="4">
        <f>IFERROR((Table25[[#This Row],[Average sell price]]-Table25[[#This Row],[Average buy price]])*Table25[[#This Row],[Total Sold number of stocks]],0)</f>
        <v>-3502.8107382550338</v>
      </c>
      <c r="Q1080" s="85">
        <f>SUMIF(Table25[[#All],[Assets]],Table25[[#This Row],[Assets]],Table25[[#All],[Number of stocks]])</f>
        <v>620</v>
      </c>
    </row>
    <row r="1081" spans="1:17">
      <c r="A1081" t="e" vm="461">
        <v>#VALUE!</v>
      </c>
      <c r="B1081" s="2">
        <v>45763</v>
      </c>
      <c r="C1081" t="str" cm="1">
        <f t="array" aca="1" ref="C1081" ca="1">_FV(A1081,"Ticker symbol",TRUE)</f>
        <v>SVIX</v>
      </c>
      <c r="D1081" s="4">
        <v>11.68</v>
      </c>
      <c r="E1081" s="50">
        <v>-150</v>
      </c>
      <c r="F1081" s="81">
        <f>IF(Table25[[#This Row],[Number of stocks]]&gt;0,Table25[[#This Row],[Number of stocks]],0)</f>
        <v>0</v>
      </c>
      <c r="G1081" s="73">
        <f>Table25[[#This Row],[Bought]]*Table25[[#This Row],[Price]]</f>
        <v>0</v>
      </c>
      <c r="H1081">
        <f>SUMIF(Table25[[#All],[Assets]],Table25[[#This Row],[Assets]],Table25[[#All],[Bought]])</f>
        <v>209</v>
      </c>
      <c r="I1081">
        <f>SUMIF(Table25[[#All],[Assets]],Table25[[#This Row],[Assets]],Table25[[#All],[Bought Amount]])</f>
        <v>2907</v>
      </c>
      <c r="J1081" s="88">
        <f>IF(Table25[[#This Row],[Number of stocks]]&lt;0,Table25[[#This Row],[Number of stocks]],0)</f>
        <v>-150</v>
      </c>
      <c r="K1081" s="5">
        <f>Table25[[#This Row],[Sold]]*Table25[[#This Row],[Price]]</f>
        <v>-1752</v>
      </c>
      <c r="L1081" s="8">
        <f>ABS(SUMIF(Table25[[#All],[Assets]],Table25[[#This Row],[Assets]],Table25[[#All],[Sold]]))</f>
        <v>209</v>
      </c>
      <c r="M1081" s="5">
        <f>ABS(SUMIF(Table25[[#All],[Assets]],Table25[[#This Row],[Assets]],Table25[[#All],[Sold Amount]]))</f>
        <v>2607.3000000000002</v>
      </c>
      <c r="N1081" s="5">
        <f>IFERROR(Table25[[#This Row],[Total sold amount]]/Table25[[#This Row],[Total Sold number of stocks]],"")</f>
        <v>12.47511961722488</v>
      </c>
      <c r="O1081" s="4">
        <f>IFERROR(Table25[[#This Row],[Total Amount bought]]/Table25[[#This Row],[Total number bought]],"")</f>
        <v>13.909090909090908</v>
      </c>
      <c r="P1081" s="4">
        <f>IFERROR((Table25[[#This Row],[Average sell price]]-Table25[[#This Row],[Average buy price]])*Table25[[#This Row],[Total Sold number of stocks]],0)</f>
        <v>-299.69999999999982</v>
      </c>
      <c r="Q1081" s="85">
        <f>SUMIF(Table25[[#All],[Assets]],Table25[[#This Row],[Assets]],Table25[[#All],[Number of stocks]])</f>
        <v>0</v>
      </c>
    </row>
    <row r="1082" spans="1:17">
      <c r="A1082" t="e" vm="129">
        <v>#VALUE!</v>
      </c>
      <c r="B1082" s="2">
        <v>45763</v>
      </c>
      <c r="C1082" t="str" cm="1">
        <f t="array" aca="1" ref="C1082" ca="1">_FV(A1082,"Ticker symbol",TRUE)</f>
        <v>MRVL</v>
      </c>
      <c r="D1082" s="4">
        <v>51.15</v>
      </c>
      <c r="E1082" s="50">
        <v>-12</v>
      </c>
      <c r="F1082" s="81">
        <f>IF(Table25[[#This Row],[Number of stocks]]&gt;0,Table25[[#This Row],[Number of stocks]],0)</f>
        <v>0</v>
      </c>
      <c r="G1082" s="73">
        <f>Table25[[#This Row],[Bought]]*Table25[[#This Row],[Price]]</f>
        <v>0</v>
      </c>
      <c r="H1082">
        <f>SUMIF(Table25[[#All],[Assets]],Table25[[#This Row],[Assets]],Table25[[#All],[Bought]])</f>
        <v>105</v>
      </c>
      <c r="I1082">
        <f>SUMIF(Table25[[#All],[Assets]],Table25[[#This Row],[Assets]],Table25[[#All],[Bought Amount]])</f>
        <v>8175.6200000000008</v>
      </c>
      <c r="J1082" s="88">
        <f>IF(Table25[[#This Row],[Number of stocks]]&lt;0,Table25[[#This Row],[Number of stocks]],0)</f>
        <v>-12</v>
      </c>
      <c r="K1082" s="5">
        <f>Table25[[#This Row],[Sold]]*Table25[[#This Row],[Price]]</f>
        <v>-613.79999999999995</v>
      </c>
      <c r="L1082" s="8">
        <f>ABS(SUMIF(Table25[[#All],[Assets]],Table25[[#This Row],[Assets]],Table25[[#All],[Sold]]))</f>
        <v>83</v>
      </c>
      <c r="M1082" s="5">
        <f>ABS(SUMIF(Table25[[#All],[Assets]],Table25[[#This Row],[Assets]],Table25[[#All],[Sold Amount]]))</f>
        <v>6745.73</v>
      </c>
      <c r="N1082" s="5">
        <f>IFERROR(Table25[[#This Row],[Total sold amount]]/Table25[[#This Row],[Total Sold number of stocks]],"")</f>
        <v>81.273855421686747</v>
      </c>
      <c r="O1082" s="4">
        <f>IFERROR(Table25[[#This Row],[Total Amount bought]]/Table25[[#This Row],[Total number bought]],"")</f>
        <v>77.86304761904762</v>
      </c>
      <c r="P1082" s="4">
        <f>IFERROR((Table25[[#This Row],[Average sell price]]-Table25[[#This Row],[Average buy price]])*Table25[[#This Row],[Total Sold number of stocks]],0)</f>
        <v>283.09704761904754</v>
      </c>
      <c r="Q1082" s="85">
        <f>SUMIF(Table25[[#All],[Assets]],Table25[[#This Row],[Assets]],Table25[[#All],[Number of stocks]])</f>
        <v>22</v>
      </c>
    </row>
    <row r="1083" spans="1:17">
      <c r="A1083" t="e" vm="85">
        <v>#VALUE!</v>
      </c>
      <c r="B1083" s="2">
        <v>45763</v>
      </c>
      <c r="C1083" t="str" cm="1">
        <f t="array" aca="1" ref="C1083" ca="1">_FV(A1083,"Ticker symbol",TRUE)</f>
        <v>HOOD</v>
      </c>
      <c r="D1083" s="4">
        <v>40.44</v>
      </c>
      <c r="E1083" s="50">
        <v>-10</v>
      </c>
      <c r="F1083" s="81">
        <f>IF(Table25[[#This Row],[Number of stocks]]&gt;0,Table25[[#This Row],[Number of stocks]],0)</f>
        <v>0</v>
      </c>
      <c r="G1083" s="73">
        <f>Table25[[#This Row],[Bought]]*Table25[[#This Row],[Price]]</f>
        <v>0</v>
      </c>
      <c r="H1083">
        <f>SUMIF(Table25[[#All],[Assets]],Table25[[#This Row],[Assets]],Table25[[#All],[Bought]])</f>
        <v>105</v>
      </c>
      <c r="I1083">
        <f>SUMIF(Table25[[#All],[Assets]],Table25[[#This Row],[Assets]],Table25[[#All],[Bought Amount]])</f>
        <v>4056.0900000000006</v>
      </c>
      <c r="J1083" s="88">
        <f>IF(Table25[[#This Row],[Number of stocks]]&lt;0,Table25[[#This Row],[Number of stocks]],0)</f>
        <v>-10</v>
      </c>
      <c r="K1083" s="5">
        <f>Table25[[#This Row],[Sold]]*Table25[[#This Row],[Price]]</f>
        <v>-404.4</v>
      </c>
      <c r="L1083" s="8">
        <f>ABS(SUMIF(Table25[[#All],[Assets]],Table25[[#This Row],[Assets]],Table25[[#All],[Sold]]))</f>
        <v>80</v>
      </c>
      <c r="M1083" s="5">
        <f>ABS(SUMIF(Table25[[#All],[Assets]],Table25[[#This Row],[Assets]],Table25[[#All],[Sold Amount]]))</f>
        <v>2255.4300000000003</v>
      </c>
      <c r="N1083" s="5">
        <f>IFERROR(Table25[[#This Row],[Total sold amount]]/Table25[[#This Row],[Total Sold number of stocks]],"")</f>
        <v>28.192875000000004</v>
      </c>
      <c r="O1083" s="4">
        <f>IFERROR(Table25[[#This Row],[Total Amount bought]]/Table25[[#This Row],[Total number bought]],"")</f>
        <v>38.629428571428576</v>
      </c>
      <c r="P1083" s="4">
        <f>IFERROR((Table25[[#This Row],[Average sell price]]-Table25[[#This Row],[Average buy price]])*Table25[[#This Row],[Total Sold number of stocks]],0)</f>
        <v>-834.92428571428582</v>
      </c>
      <c r="Q1083" s="85">
        <f>SUMIF(Table25[[#All],[Assets]],Table25[[#This Row],[Assets]],Table25[[#All],[Number of stocks]])</f>
        <v>25</v>
      </c>
    </row>
    <row r="1084" spans="1:17">
      <c r="A1084" t="e" vm="254">
        <v>#VALUE!</v>
      </c>
      <c r="B1084" s="2">
        <v>45764</v>
      </c>
      <c r="C1084" t="str" cm="1">
        <f t="array" aca="1" ref="C1084" ca="1">_FV(A1084,"Ticker symbol",TRUE)</f>
        <v>TALK</v>
      </c>
      <c r="D1084" s="4">
        <v>2.74</v>
      </c>
      <c r="E1084" s="50">
        <v>55</v>
      </c>
      <c r="F1084" s="81">
        <f>IF(Table25[[#This Row],[Number of stocks]]&gt;0,Table25[[#This Row],[Number of stocks]],0)</f>
        <v>55</v>
      </c>
      <c r="G1084" s="73">
        <f>Table25[[#This Row],[Bought]]*Table25[[#This Row],[Price]]</f>
        <v>150.70000000000002</v>
      </c>
      <c r="H1084">
        <f>SUMIF(Table25[[#All],[Assets]],Table25[[#This Row],[Assets]],Table25[[#All],[Bought]])</f>
        <v>885</v>
      </c>
      <c r="I1084">
        <f>SUMIF(Table25[[#All],[Assets]],Table25[[#This Row],[Assets]],Table25[[#All],[Bought Amount]])</f>
        <v>2664.7</v>
      </c>
      <c r="J1084" s="88">
        <f>IF(Table25[[#This Row],[Number of stocks]]&lt;0,Table25[[#This Row],[Number of stocks]],0)</f>
        <v>0</v>
      </c>
      <c r="K1084" s="5">
        <f>Table25[[#This Row],[Sold]]*Table25[[#This Row],[Price]]</f>
        <v>0</v>
      </c>
      <c r="L1084" s="8">
        <f>ABS(SUMIF(Table25[[#All],[Assets]],Table25[[#This Row],[Assets]],Table25[[#All],[Sold]]))</f>
        <v>885</v>
      </c>
      <c r="M1084" s="5">
        <f>ABS(SUMIF(Table25[[#All],[Assets]],Table25[[#This Row],[Assets]],Table25[[#All],[Sold Amount]]))</f>
        <v>2591</v>
      </c>
      <c r="N1084" s="5">
        <f>IFERROR(Table25[[#This Row],[Total sold amount]]/Table25[[#This Row],[Total Sold number of stocks]],"")</f>
        <v>2.927683615819209</v>
      </c>
      <c r="O1084" s="4">
        <f>IFERROR(Table25[[#This Row],[Total Amount bought]]/Table25[[#This Row],[Total number bought]],"")</f>
        <v>3.0109604519774011</v>
      </c>
      <c r="P1084" s="4">
        <f>IFERROR((Table25[[#This Row],[Average sell price]]-Table25[[#This Row],[Average buy price]])*Table25[[#This Row],[Total Sold number of stocks]],0)</f>
        <v>-73.700000000000045</v>
      </c>
      <c r="Q1084" s="85">
        <f>SUMIF(Table25[[#All],[Assets]],Table25[[#This Row],[Assets]],Table25[[#All],[Number of stocks]])</f>
        <v>0</v>
      </c>
    </row>
    <row r="1085" spans="1:17">
      <c r="A1085" t="e" vm="255">
        <v>#VALUE!</v>
      </c>
      <c r="B1085" s="2">
        <v>45764</v>
      </c>
      <c r="C1085" t="str" cm="1">
        <f t="array" aca="1" ref="C1085" ca="1">_FV(A1085,"Ticker symbol",TRUE)</f>
        <v>RDNT</v>
      </c>
      <c r="D1085" s="4">
        <v>49.73</v>
      </c>
      <c r="E1085" s="50">
        <v>10</v>
      </c>
      <c r="F1085" s="81">
        <f>IF(Table25[[#This Row],[Number of stocks]]&gt;0,Table25[[#This Row],[Number of stocks]],0)</f>
        <v>10</v>
      </c>
      <c r="G1085" s="73">
        <f>Table25[[#This Row],[Bought]]*Table25[[#This Row],[Price]]</f>
        <v>497.29999999999995</v>
      </c>
      <c r="H1085">
        <f>SUMIF(Table25[[#All],[Assets]],Table25[[#This Row],[Assets]],Table25[[#All],[Bought]])</f>
        <v>10</v>
      </c>
      <c r="I1085">
        <f>SUMIF(Table25[[#All],[Assets]],Table25[[#This Row],[Assets]],Table25[[#All],[Bought Amount]])</f>
        <v>497.29999999999995</v>
      </c>
      <c r="J1085" s="88">
        <f>IF(Table25[[#This Row],[Number of stocks]]&lt;0,Table25[[#This Row],[Number of stocks]],0)</f>
        <v>0</v>
      </c>
      <c r="K1085" s="5">
        <f>Table25[[#This Row],[Sold]]*Table25[[#This Row],[Price]]</f>
        <v>0</v>
      </c>
      <c r="L1085" s="8">
        <f>ABS(SUMIF(Table25[[#All],[Assets]],Table25[[#This Row],[Assets]],Table25[[#All],[Sold]]))</f>
        <v>10</v>
      </c>
      <c r="M1085" s="5">
        <f>ABS(SUMIF(Table25[[#All],[Assets]],Table25[[#This Row],[Assets]],Table25[[#All],[Sold Amount]]))</f>
        <v>562.5</v>
      </c>
      <c r="N1085" s="5">
        <f>IFERROR(Table25[[#This Row],[Total sold amount]]/Table25[[#This Row],[Total Sold number of stocks]],"")</f>
        <v>56.25</v>
      </c>
      <c r="O1085" s="4">
        <f>IFERROR(Table25[[#This Row],[Total Amount bought]]/Table25[[#This Row],[Total number bought]],"")</f>
        <v>49.73</v>
      </c>
      <c r="P1085" s="4">
        <f>IFERROR((Table25[[#This Row],[Average sell price]]-Table25[[#This Row],[Average buy price]])*Table25[[#This Row],[Total Sold number of stocks]],0)</f>
        <v>65.200000000000031</v>
      </c>
      <c r="Q1085" s="85">
        <f>SUMIF(Table25[[#All],[Assets]],Table25[[#This Row],[Assets]],Table25[[#All],[Number of stocks]])</f>
        <v>0</v>
      </c>
    </row>
    <row r="1086" spans="1:17">
      <c r="A1086" t="e" vm="215">
        <v>#VALUE!</v>
      </c>
      <c r="B1086" s="2">
        <v>45764</v>
      </c>
      <c r="C1086" t="str" cm="1">
        <f t="array" aca="1" ref="C1086" ca="1">_FV(A1086,"Ticker symbol",TRUE)</f>
        <v>SEI</v>
      </c>
      <c r="D1086" s="4">
        <v>18.97</v>
      </c>
      <c r="E1086" s="50">
        <v>10</v>
      </c>
      <c r="F1086" s="81">
        <f>IF(Table25[[#This Row],[Number of stocks]]&gt;0,Table25[[#This Row],[Number of stocks]],0)</f>
        <v>10</v>
      </c>
      <c r="G1086" s="73">
        <f>Table25[[#This Row],[Bought]]*Table25[[#This Row],[Price]]</f>
        <v>189.7</v>
      </c>
      <c r="H1086">
        <f>SUMIF(Table25[[#All],[Assets]],Table25[[#This Row],[Assets]],Table25[[#All],[Bought]])</f>
        <v>57</v>
      </c>
      <c r="I1086">
        <f>SUMIF(Table25[[#All],[Assets]],Table25[[#This Row],[Assets]],Table25[[#All],[Bought Amount]])</f>
        <v>1470.52</v>
      </c>
      <c r="J1086" s="88">
        <f>IF(Table25[[#This Row],[Number of stocks]]&lt;0,Table25[[#This Row],[Number of stocks]],0)</f>
        <v>0</v>
      </c>
      <c r="K1086" s="5">
        <f>Table25[[#This Row],[Sold]]*Table25[[#This Row],[Price]]</f>
        <v>0</v>
      </c>
      <c r="L1086" s="8">
        <f>ABS(SUMIF(Table25[[#All],[Assets]],Table25[[#This Row],[Assets]],Table25[[#All],[Sold]]))</f>
        <v>50</v>
      </c>
      <c r="M1086" s="5">
        <f>ABS(SUMIF(Table25[[#All],[Assets]],Table25[[#This Row],[Assets]],Table25[[#All],[Sold Amount]]))</f>
        <v>1133.05</v>
      </c>
      <c r="N1086" s="5">
        <f>IFERROR(Table25[[#This Row],[Total sold amount]]/Table25[[#This Row],[Total Sold number of stocks]],"")</f>
        <v>22.660999999999998</v>
      </c>
      <c r="O1086" s="4">
        <f>IFERROR(Table25[[#This Row],[Total Amount bought]]/Table25[[#This Row],[Total number bought]],"")</f>
        <v>25.798596491228071</v>
      </c>
      <c r="P1086" s="4">
        <f>IFERROR((Table25[[#This Row],[Average sell price]]-Table25[[#This Row],[Average buy price]])*Table25[[#This Row],[Total Sold number of stocks]],0)</f>
        <v>-156.87982456140367</v>
      </c>
      <c r="Q1086" s="85">
        <f>SUMIF(Table25[[#All],[Assets]],Table25[[#This Row],[Assets]],Table25[[#All],[Number of stocks]])</f>
        <v>7</v>
      </c>
    </row>
    <row r="1087" spans="1:17">
      <c r="A1087" t="e" vm="215">
        <v>#VALUE!</v>
      </c>
      <c r="B1087" s="2">
        <v>45764</v>
      </c>
      <c r="C1087" t="str" cm="1">
        <f t="array" aca="1" ref="C1087" ca="1">_FV(A1087,"Ticker symbol",TRUE)</f>
        <v>SEI</v>
      </c>
      <c r="D1087" s="4">
        <v>19.190000000000001</v>
      </c>
      <c r="E1087" s="50">
        <v>20</v>
      </c>
      <c r="F1087" s="81">
        <f>IF(Table25[[#This Row],[Number of stocks]]&gt;0,Table25[[#This Row],[Number of stocks]],0)</f>
        <v>20</v>
      </c>
      <c r="G1087" s="73">
        <f>Table25[[#This Row],[Bought]]*Table25[[#This Row],[Price]]</f>
        <v>383.8</v>
      </c>
      <c r="H1087">
        <f>SUMIF(Table25[[#All],[Assets]],Table25[[#This Row],[Assets]],Table25[[#All],[Bought]])</f>
        <v>57</v>
      </c>
      <c r="I1087">
        <f>SUMIF(Table25[[#All],[Assets]],Table25[[#This Row],[Assets]],Table25[[#All],[Bought Amount]])</f>
        <v>1470.52</v>
      </c>
      <c r="J1087" s="88">
        <f>IF(Table25[[#This Row],[Number of stocks]]&lt;0,Table25[[#This Row],[Number of stocks]],0)</f>
        <v>0</v>
      </c>
      <c r="K1087" s="5">
        <f>Table25[[#This Row],[Sold]]*Table25[[#This Row],[Price]]</f>
        <v>0</v>
      </c>
      <c r="L1087" s="8">
        <f>ABS(SUMIF(Table25[[#All],[Assets]],Table25[[#This Row],[Assets]],Table25[[#All],[Sold]]))</f>
        <v>50</v>
      </c>
      <c r="M1087" s="5">
        <f>ABS(SUMIF(Table25[[#All],[Assets]],Table25[[#This Row],[Assets]],Table25[[#All],[Sold Amount]]))</f>
        <v>1133.05</v>
      </c>
      <c r="N1087" s="5">
        <f>IFERROR(Table25[[#This Row],[Total sold amount]]/Table25[[#This Row],[Total Sold number of stocks]],"")</f>
        <v>22.660999999999998</v>
      </c>
      <c r="O1087" s="4">
        <f>IFERROR(Table25[[#This Row],[Total Amount bought]]/Table25[[#This Row],[Total number bought]],"")</f>
        <v>25.798596491228071</v>
      </c>
      <c r="P1087" s="4">
        <f>IFERROR((Table25[[#This Row],[Average sell price]]-Table25[[#This Row],[Average buy price]])*Table25[[#This Row],[Total Sold number of stocks]],0)</f>
        <v>-156.87982456140367</v>
      </c>
      <c r="Q1087" s="85">
        <f>SUMIF(Table25[[#All],[Assets]],Table25[[#This Row],[Assets]],Table25[[#All],[Number of stocks]])</f>
        <v>7</v>
      </c>
    </row>
    <row r="1088" spans="1:17">
      <c r="A1088" t="e" vm="77">
        <v>#VALUE!</v>
      </c>
      <c r="B1088" s="2">
        <v>45768</v>
      </c>
      <c r="C1088" t="str" cm="1">
        <f t="array" aca="1" ref="C1088" ca="1">_FV(A1088,"Ticker symbol",TRUE)</f>
        <v>STIM</v>
      </c>
      <c r="D1088" s="4">
        <v>3.88</v>
      </c>
      <c r="E1088" s="50">
        <v>140</v>
      </c>
      <c r="F1088" s="81">
        <f>IF(Table25[[#This Row],[Number of stocks]]&gt;0,Table25[[#This Row],[Number of stocks]],0)</f>
        <v>140</v>
      </c>
      <c r="G1088" s="73">
        <f>Table25[[#This Row],[Bought]]*Table25[[#This Row],[Price]]</f>
        <v>543.19999999999993</v>
      </c>
      <c r="H1088">
        <f>SUMIF(Table25[[#All],[Assets]],Table25[[#This Row],[Assets]],Table25[[#All],[Bought]])</f>
        <v>7036.45</v>
      </c>
      <c r="I1088">
        <f>SUMIF(Table25[[#All],[Assets]],Table25[[#This Row],[Assets]],Table25[[#All],[Bought Amount]])</f>
        <v>19162.260000000002</v>
      </c>
      <c r="J1088" s="88">
        <f>IF(Table25[[#This Row],[Number of stocks]]&lt;0,Table25[[#This Row],[Number of stocks]],0)</f>
        <v>0</v>
      </c>
      <c r="K1088" s="5">
        <f>Table25[[#This Row],[Sold]]*Table25[[#This Row],[Price]]</f>
        <v>0</v>
      </c>
      <c r="L1088" s="8">
        <f>ABS(SUMIF(Table25[[#All],[Assets]],Table25[[#This Row],[Assets]],Table25[[#All],[Sold]]))</f>
        <v>6686.45</v>
      </c>
      <c r="M1088" s="5">
        <f>ABS(SUMIF(Table25[[#All],[Assets]],Table25[[#This Row],[Assets]],Table25[[#All],[Sold Amount]]))</f>
        <v>19226.484999999997</v>
      </c>
      <c r="N1088" s="5">
        <f>IFERROR(Table25[[#This Row],[Total sold amount]]/Table25[[#This Row],[Total Sold number of stocks]],"")</f>
        <v>2.8754398821497205</v>
      </c>
      <c r="O1088" s="4">
        <f>IFERROR(Table25[[#This Row],[Total Amount bought]]/Table25[[#This Row],[Total number bought]],"")</f>
        <v>2.7232851793162749</v>
      </c>
      <c r="P1088" s="4">
        <f>IFERROR((Table25[[#This Row],[Average sell price]]-Table25[[#This Row],[Average buy price]])*Table25[[#This Row],[Total Sold number of stocks]],0)</f>
        <v>1017.3748127606921</v>
      </c>
      <c r="Q1088" s="85">
        <f>SUMIF(Table25[[#All],[Assets]],Table25[[#This Row],[Assets]],Table25[[#All],[Number of stocks]])</f>
        <v>349.99999999999977</v>
      </c>
    </row>
    <row r="1089" spans="1:17">
      <c r="A1089" t="e" vm="549">
        <v>#VALUE!</v>
      </c>
      <c r="B1089" s="2">
        <v>45768</v>
      </c>
      <c r="C1089" t="str" cm="1">
        <f t="array" aca="1" ref="C1089" ca="1">_FV(A1089,"Ticker symbol",TRUE)</f>
        <v>LQDT</v>
      </c>
      <c r="D1089" s="4">
        <v>29.6</v>
      </c>
      <c r="E1089" s="50">
        <v>-10</v>
      </c>
      <c r="F1089" s="81">
        <f>IF(Table25[[#This Row],[Number of stocks]]&gt;0,Table25[[#This Row],[Number of stocks]],0)</f>
        <v>0</v>
      </c>
      <c r="G1089" s="73">
        <f>Table25[[#This Row],[Bought]]*Table25[[#This Row],[Price]]</f>
        <v>0</v>
      </c>
      <c r="H1089">
        <f>SUMIF(Table25[[#All],[Assets]],Table25[[#This Row],[Assets]],Table25[[#All],[Bought]])</f>
        <v>15</v>
      </c>
      <c r="I1089">
        <f>SUMIF(Table25[[#All],[Assets]],Table25[[#This Row],[Assets]],Table25[[#All],[Bought Amount]])</f>
        <v>495.45000000000005</v>
      </c>
      <c r="J1089" s="88">
        <f>IF(Table25[[#This Row],[Number of stocks]]&lt;0,Table25[[#This Row],[Number of stocks]],0)</f>
        <v>-10</v>
      </c>
      <c r="K1089" s="5">
        <f>Table25[[#This Row],[Sold]]*Table25[[#This Row],[Price]]</f>
        <v>-296</v>
      </c>
      <c r="L1089" s="8">
        <f>ABS(SUMIF(Table25[[#All],[Assets]],Table25[[#This Row],[Assets]],Table25[[#All],[Sold]]))</f>
        <v>15</v>
      </c>
      <c r="M1089" s="5">
        <f>ABS(SUMIF(Table25[[#All],[Assets]],Table25[[#This Row],[Assets]],Table25[[#All],[Sold Amount]]))</f>
        <v>450.15</v>
      </c>
      <c r="N1089" s="5">
        <f>IFERROR(Table25[[#This Row],[Total sold amount]]/Table25[[#This Row],[Total Sold number of stocks]],"")</f>
        <v>30.009999999999998</v>
      </c>
      <c r="O1089" s="4">
        <f>IFERROR(Table25[[#This Row],[Total Amount bought]]/Table25[[#This Row],[Total number bought]],"")</f>
        <v>33.03</v>
      </c>
      <c r="P1089" s="4">
        <f>IFERROR((Table25[[#This Row],[Average sell price]]-Table25[[#This Row],[Average buy price]])*Table25[[#This Row],[Total Sold number of stocks]],0)</f>
        <v>-45.300000000000047</v>
      </c>
      <c r="Q1089" s="85">
        <f>SUMIF(Table25[[#All],[Assets]],Table25[[#This Row],[Assets]],Table25[[#All],[Number of stocks]])</f>
        <v>0</v>
      </c>
    </row>
    <row r="1090" spans="1:17">
      <c r="A1090" t="e" vm="74">
        <v>#VALUE!</v>
      </c>
      <c r="B1090" s="2">
        <v>45770</v>
      </c>
      <c r="C1090" t="str" cm="1">
        <f t="array" aca="1" ref="C1090" ca="1">_FV(A1090,"Ticker symbol",TRUE)</f>
        <v>XGN</v>
      </c>
      <c r="D1090" s="4">
        <v>5.51</v>
      </c>
      <c r="E1090" s="50">
        <v>100</v>
      </c>
      <c r="F1090" s="81">
        <f>IF(Table25[[#This Row],[Number of stocks]]&gt;0,Table25[[#This Row],[Number of stocks]],0)</f>
        <v>100</v>
      </c>
      <c r="G1090" s="73">
        <f>Table25[[#This Row],[Bought]]*Table25[[#This Row],[Price]]</f>
        <v>551</v>
      </c>
      <c r="H1090">
        <f>SUMIF(Table25[[#All],[Assets]],Table25[[#This Row],[Assets]],Table25[[#All],[Bought]])</f>
        <v>249</v>
      </c>
      <c r="I1090">
        <f>SUMIF(Table25[[#All],[Assets]],Table25[[#This Row],[Assets]],Table25[[#All],[Bought Amount]])</f>
        <v>1807.8</v>
      </c>
      <c r="J1090" s="88">
        <f>IF(Table25[[#This Row],[Number of stocks]]&lt;0,Table25[[#This Row],[Number of stocks]],0)</f>
        <v>0</v>
      </c>
      <c r="K1090" s="5">
        <f>Table25[[#This Row],[Sold]]*Table25[[#This Row],[Price]]</f>
        <v>0</v>
      </c>
      <c r="L1090" s="8">
        <f>ABS(SUMIF(Table25[[#All],[Assets]],Table25[[#This Row],[Assets]],Table25[[#All],[Sold]]))</f>
        <v>249</v>
      </c>
      <c r="M1090" s="5">
        <f>ABS(SUMIF(Table25[[#All],[Assets]],Table25[[#This Row],[Assets]],Table25[[#All],[Sold Amount]]))</f>
        <v>2313.8000000000002</v>
      </c>
      <c r="N1090" s="5">
        <f>IFERROR(Table25[[#This Row],[Total sold amount]]/Table25[[#This Row],[Total Sold number of stocks]],"")</f>
        <v>9.292369477911647</v>
      </c>
      <c r="O1090" s="4">
        <f>IFERROR(Table25[[#This Row],[Total Amount bought]]/Table25[[#This Row],[Total number bought]],"")</f>
        <v>7.2602409638554217</v>
      </c>
      <c r="P1090" s="4">
        <f>IFERROR((Table25[[#This Row],[Average sell price]]-Table25[[#This Row],[Average buy price]])*Table25[[#This Row],[Total Sold number of stocks]],0)</f>
        <v>506.00000000000011</v>
      </c>
      <c r="Q1090" s="85">
        <f>SUMIF(Table25[[#All],[Assets]],Table25[[#This Row],[Assets]],Table25[[#All],[Number of stocks]])</f>
        <v>0</v>
      </c>
    </row>
    <row r="1091" spans="1:17">
      <c r="A1091" t="e" vm="203">
        <v>#VALUE!</v>
      </c>
      <c r="B1091" s="2">
        <v>45771</v>
      </c>
      <c r="C1091" t="str" cm="1">
        <f t="array" aca="1" ref="C1091" ca="1">_FV(A1091,"Ticker symbol",TRUE)</f>
        <v>TWLO</v>
      </c>
      <c r="D1091" s="4">
        <v>93.36</v>
      </c>
      <c r="E1091" s="50">
        <v>-5</v>
      </c>
      <c r="F1091" s="81">
        <f>IF(Table25[[#This Row],[Number of stocks]]&gt;0,Table25[[#This Row],[Number of stocks]],0)</f>
        <v>0</v>
      </c>
      <c r="G1091" s="73">
        <f>Table25[[#This Row],[Bought]]*Table25[[#This Row],[Price]]</f>
        <v>0</v>
      </c>
      <c r="H1091">
        <f>SUMIF(Table25[[#All],[Assets]],Table25[[#This Row],[Assets]],Table25[[#All],[Bought]])</f>
        <v>64</v>
      </c>
      <c r="I1091">
        <f>SUMIF(Table25[[#All],[Assets]],Table25[[#This Row],[Assets]],Table25[[#All],[Bought Amount]])</f>
        <v>7733.8899999999994</v>
      </c>
      <c r="J1091" s="88">
        <f>IF(Table25[[#This Row],[Number of stocks]]&lt;0,Table25[[#This Row],[Number of stocks]],0)</f>
        <v>-5</v>
      </c>
      <c r="K1091" s="5">
        <f>Table25[[#This Row],[Sold]]*Table25[[#This Row],[Price]]</f>
        <v>-466.8</v>
      </c>
      <c r="L1091" s="8">
        <f>ABS(SUMIF(Table25[[#All],[Assets]],Table25[[#This Row],[Assets]],Table25[[#All],[Sold]]))</f>
        <v>64</v>
      </c>
      <c r="M1091" s="5">
        <f>ABS(SUMIF(Table25[[#All],[Assets]],Table25[[#This Row],[Assets]],Table25[[#All],[Sold Amount]]))</f>
        <v>7331.26</v>
      </c>
      <c r="N1091" s="5">
        <f>IFERROR(Table25[[#This Row],[Total sold amount]]/Table25[[#This Row],[Total Sold number of stocks]],"")</f>
        <v>114.5509375</v>
      </c>
      <c r="O1091" s="4">
        <f>IFERROR(Table25[[#This Row],[Total Amount bought]]/Table25[[#This Row],[Total number bought]],"")</f>
        <v>120.84203124999999</v>
      </c>
      <c r="P1091" s="4">
        <f>IFERROR((Table25[[#This Row],[Average sell price]]-Table25[[#This Row],[Average buy price]])*Table25[[#This Row],[Total Sold number of stocks]],0)</f>
        <v>-402.6299999999992</v>
      </c>
      <c r="Q1091" s="85">
        <f>SUMIF(Table25[[#All],[Assets]],Table25[[#This Row],[Assets]],Table25[[#All],[Number of stocks]])</f>
        <v>0</v>
      </c>
    </row>
    <row r="1092" spans="1:17">
      <c r="A1092" t="e" vm="71">
        <v>#VALUE!</v>
      </c>
      <c r="B1092" s="2">
        <v>45771</v>
      </c>
      <c r="C1092" t="str" cm="1">
        <f t="array" aca="1" ref="C1092" ca="1">_FV(A1092,"Ticker symbol",TRUE)</f>
        <v>TKNO</v>
      </c>
      <c r="D1092" s="4">
        <v>6.56</v>
      </c>
      <c r="E1092" s="50">
        <v>-80</v>
      </c>
      <c r="F1092" s="81">
        <f>IF(Table25[[#This Row],[Number of stocks]]&gt;0,Table25[[#This Row],[Number of stocks]],0)</f>
        <v>0</v>
      </c>
      <c r="G1092" s="73">
        <f>Table25[[#This Row],[Bought]]*Table25[[#This Row],[Price]]</f>
        <v>0</v>
      </c>
      <c r="H1092">
        <f>SUMIF(Table25[[#All],[Assets]],Table25[[#This Row],[Assets]],Table25[[#All],[Bought]])</f>
        <v>2166.0267990000002</v>
      </c>
      <c r="I1092">
        <f>SUMIF(Table25[[#All],[Assets]],Table25[[#This Row],[Assets]],Table25[[#All],[Bought Amount]])</f>
        <v>13370.91512648</v>
      </c>
      <c r="J1092" s="88">
        <f>IF(Table25[[#This Row],[Number of stocks]]&lt;0,Table25[[#This Row],[Number of stocks]],0)</f>
        <v>-80</v>
      </c>
      <c r="K1092" s="5">
        <f>Table25[[#This Row],[Sold]]*Table25[[#This Row],[Price]]</f>
        <v>-524.79999999999995</v>
      </c>
      <c r="L1092" s="8">
        <f>ABS(SUMIF(Table25[[#All],[Assets]],Table25[[#This Row],[Assets]],Table25[[#All],[Sold]]))</f>
        <v>2083</v>
      </c>
      <c r="M1092" s="5">
        <f>ABS(SUMIF(Table25[[#All],[Assets]],Table25[[#This Row],[Assets]],Table25[[#All],[Sold Amount]]))</f>
        <v>11153.28</v>
      </c>
      <c r="N1092" s="5">
        <f>IFERROR(Table25[[#This Row],[Total sold amount]]/Table25[[#This Row],[Total Sold number of stocks]],"")</f>
        <v>5.3544311089774368</v>
      </c>
      <c r="O1092" s="4">
        <f>IFERROR(Table25[[#This Row],[Total Amount bought]]/Table25[[#This Row],[Total number bought]],"")</f>
        <v>6.1730146333614213</v>
      </c>
      <c r="P1092" s="4">
        <f>IFERROR((Table25[[#This Row],[Average sell price]]-Table25[[#This Row],[Average buy price]])*Table25[[#This Row],[Total Sold number of stocks]],0)</f>
        <v>-1705.1094812918398</v>
      </c>
      <c r="Q1092" s="85">
        <f>SUMIF(Table25[[#All],[Assets]],Table25[[#This Row],[Assets]],Table25[[#All],[Number of stocks]])</f>
        <v>83.026798999999983</v>
      </c>
    </row>
    <row r="1093" spans="1:17">
      <c r="A1093" t="e" vm="76">
        <v>#VALUE!</v>
      </c>
      <c r="B1093" s="2">
        <v>45771</v>
      </c>
      <c r="C1093" t="str" cm="1">
        <f t="array" aca="1" ref="C1093" ca="1">_FV(A1093,"Ticker symbol",TRUE)</f>
        <v>TEM</v>
      </c>
      <c r="D1093" s="4">
        <v>52.16</v>
      </c>
      <c r="E1093" s="50">
        <v>10</v>
      </c>
      <c r="F1093" s="81">
        <f>IF(Table25[[#This Row],[Number of stocks]]&gt;0,Table25[[#This Row],[Number of stocks]],0)</f>
        <v>10</v>
      </c>
      <c r="G1093" s="73">
        <f>Table25[[#This Row],[Bought]]*Table25[[#This Row],[Price]]</f>
        <v>521.59999999999991</v>
      </c>
      <c r="H1093">
        <f>SUMIF(Table25[[#All],[Assets]],Table25[[#This Row],[Assets]],Table25[[#All],[Bought]])</f>
        <v>29</v>
      </c>
      <c r="I1093">
        <f>SUMIF(Table25[[#All],[Assets]],Table25[[#This Row],[Assets]],Table25[[#All],[Bought Amount]])</f>
        <v>1735.3899999999999</v>
      </c>
      <c r="J1093" s="88">
        <f>IF(Table25[[#This Row],[Number of stocks]]&lt;0,Table25[[#This Row],[Number of stocks]],0)</f>
        <v>0</v>
      </c>
      <c r="K1093" s="5">
        <f>Table25[[#This Row],[Sold]]*Table25[[#This Row],[Price]]</f>
        <v>0</v>
      </c>
      <c r="L1093" s="8">
        <f>ABS(SUMIF(Table25[[#All],[Assets]],Table25[[#This Row],[Assets]],Table25[[#All],[Sold]]))</f>
        <v>29</v>
      </c>
      <c r="M1093" s="5">
        <f>ABS(SUMIF(Table25[[#All],[Assets]],Table25[[#This Row],[Assets]],Table25[[#All],[Sold Amount]]))</f>
        <v>1886.1999999999998</v>
      </c>
      <c r="N1093" s="5">
        <f>IFERROR(Table25[[#This Row],[Total sold amount]]/Table25[[#This Row],[Total Sold number of stocks]],"")</f>
        <v>65.041379310344823</v>
      </c>
      <c r="O1093" s="4">
        <f>IFERROR(Table25[[#This Row],[Total Amount bought]]/Table25[[#This Row],[Total number bought]],"")</f>
        <v>59.841034482758616</v>
      </c>
      <c r="P1093" s="4">
        <f>IFERROR((Table25[[#This Row],[Average sell price]]-Table25[[#This Row],[Average buy price]])*Table25[[#This Row],[Total Sold number of stocks]],0)</f>
        <v>150.81</v>
      </c>
      <c r="Q1093" s="85">
        <f>SUMIF(Table25[[#All],[Assets]],Table25[[#This Row],[Assets]],Table25[[#All],[Number of stocks]])</f>
        <v>0</v>
      </c>
    </row>
    <row r="1094" spans="1:17">
      <c r="A1094" t="e" vm="183">
        <v>#VALUE!</v>
      </c>
      <c r="B1094" s="2">
        <v>45771</v>
      </c>
      <c r="C1094" t="str" cm="1">
        <f t="array" aca="1" ref="C1094" ca="1">_FV(A1094,"Ticker symbol",TRUE)</f>
        <v>ESOA</v>
      </c>
      <c r="D1094" s="4">
        <v>8.89</v>
      </c>
      <c r="E1094" s="50">
        <v>-70</v>
      </c>
      <c r="F1094" s="81">
        <f>IF(Table25[[#This Row],[Number of stocks]]&gt;0,Table25[[#This Row],[Number of stocks]],0)</f>
        <v>0</v>
      </c>
      <c r="G1094" s="73">
        <f>Table25[[#This Row],[Bought]]*Table25[[#This Row],[Price]]</f>
        <v>0</v>
      </c>
      <c r="H1094">
        <f>SUMIF(Table25[[#All],[Assets]],Table25[[#This Row],[Assets]],Table25[[#All],[Bought]])</f>
        <v>1832</v>
      </c>
      <c r="I1094">
        <f>SUMIF(Table25[[#All],[Assets]],Table25[[#This Row],[Assets]],Table25[[#All],[Bought Amount]])</f>
        <v>18152.78</v>
      </c>
      <c r="J1094" s="88">
        <f>IF(Table25[[#This Row],[Number of stocks]]&lt;0,Table25[[#This Row],[Number of stocks]],0)</f>
        <v>-70</v>
      </c>
      <c r="K1094" s="5">
        <f>Table25[[#This Row],[Sold]]*Table25[[#This Row],[Price]]</f>
        <v>-622.30000000000007</v>
      </c>
      <c r="L1094" s="8">
        <f>ABS(SUMIF(Table25[[#All],[Assets]],Table25[[#This Row],[Assets]],Table25[[#All],[Sold]]))</f>
        <v>1568</v>
      </c>
      <c r="M1094" s="5">
        <f>ABS(SUMIF(Table25[[#All],[Assets]],Table25[[#This Row],[Assets]],Table25[[#All],[Sold Amount]]))</f>
        <v>14668</v>
      </c>
      <c r="N1094" s="5">
        <f>IFERROR(Table25[[#This Row],[Total sold amount]]/Table25[[#This Row],[Total Sold number of stocks]],"")</f>
        <v>9.3545918367346932</v>
      </c>
      <c r="O1094" s="4">
        <f>IFERROR(Table25[[#This Row],[Total Amount bought]]/Table25[[#This Row],[Total number bought]],"")</f>
        <v>9.9087227074235802</v>
      </c>
      <c r="P1094" s="4">
        <f>IFERROR((Table25[[#This Row],[Average sell price]]-Table25[[#This Row],[Average buy price]])*Table25[[#This Row],[Total Sold number of stocks]],0)</f>
        <v>-868.87720524017482</v>
      </c>
      <c r="Q1094" s="85">
        <f>SUMIF(Table25[[#All],[Assets]],Table25[[#This Row],[Assets]],Table25[[#All],[Number of stocks]])</f>
        <v>264</v>
      </c>
    </row>
    <row r="1095" spans="1:17">
      <c r="A1095" t="e" vm="203">
        <v>#VALUE!</v>
      </c>
      <c r="B1095" s="2">
        <v>45771</v>
      </c>
      <c r="C1095" t="str" cm="1">
        <f t="array" aca="1" ref="C1095" ca="1">_FV(A1095,"Ticker symbol",TRUE)</f>
        <v>TWLO</v>
      </c>
      <c r="D1095" s="4">
        <v>93.25</v>
      </c>
      <c r="E1095" s="50">
        <v>-4</v>
      </c>
      <c r="F1095" s="81">
        <f>IF(Table25[[#This Row],[Number of stocks]]&gt;0,Table25[[#This Row],[Number of stocks]],0)</f>
        <v>0</v>
      </c>
      <c r="G1095" s="73">
        <f>Table25[[#This Row],[Bought]]*Table25[[#This Row],[Price]]</f>
        <v>0</v>
      </c>
      <c r="H1095">
        <f>SUMIF(Table25[[#All],[Assets]],Table25[[#This Row],[Assets]],Table25[[#All],[Bought]])</f>
        <v>64</v>
      </c>
      <c r="I1095">
        <f>SUMIF(Table25[[#All],[Assets]],Table25[[#This Row],[Assets]],Table25[[#All],[Bought Amount]])</f>
        <v>7733.8899999999994</v>
      </c>
      <c r="J1095" s="88">
        <f>IF(Table25[[#This Row],[Number of stocks]]&lt;0,Table25[[#This Row],[Number of stocks]],0)</f>
        <v>-4</v>
      </c>
      <c r="K1095" s="5">
        <f>Table25[[#This Row],[Sold]]*Table25[[#This Row],[Price]]</f>
        <v>-373</v>
      </c>
      <c r="L1095" s="8">
        <f>ABS(SUMIF(Table25[[#All],[Assets]],Table25[[#This Row],[Assets]],Table25[[#All],[Sold]]))</f>
        <v>64</v>
      </c>
      <c r="M1095" s="5">
        <f>ABS(SUMIF(Table25[[#All],[Assets]],Table25[[#This Row],[Assets]],Table25[[#All],[Sold Amount]]))</f>
        <v>7331.26</v>
      </c>
      <c r="N1095" s="5">
        <f>IFERROR(Table25[[#This Row],[Total sold amount]]/Table25[[#This Row],[Total Sold number of stocks]],"")</f>
        <v>114.5509375</v>
      </c>
      <c r="O1095" s="4">
        <f>IFERROR(Table25[[#This Row],[Total Amount bought]]/Table25[[#This Row],[Total number bought]],"")</f>
        <v>120.84203124999999</v>
      </c>
      <c r="P1095" s="4">
        <f>IFERROR((Table25[[#This Row],[Average sell price]]-Table25[[#This Row],[Average buy price]])*Table25[[#This Row],[Total Sold number of stocks]],0)</f>
        <v>-402.6299999999992</v>
      </c>
      <c r="Q1095" s="85">
        <f>SUMIF(Table25[[#All],[Assets]],Table25[[#This Row],[Assets]],Table25[[#All],[Number of stocks]])</f>
        <v>0</v>
      </c>
    </row>
    <row r="1096" spans="1:17">
      <c r="A1096" t="e" vm="77">
        <v>#VALUE!</v>
      </c>
      <c r="B1096" s="2">
        <v>45771</v>
      </c>
      <c r="C1096" t="str" cm="1">
        <f t="array" aca="1" ref="C1096" ca="1">_FV(A1096,"Ticker symbol",TRUE)</f>
        <v>STIM</v>
      </c>
      <c r="D1096" s="4">
        <v>4.2699999999999996</v>
      </c>
      <c r="E1096" s="50">
        <v>-100</v>
      </c>
      <c r="F1096" s="81">
        <f>IF(Table25[[#This Row],[Number of stocks]]&gt;0,Table25[[#This Row],[Number of stocks]],0)</f>
        <v>0</v>
      </c>
      <c r="G1096" s="73">
        <f>Table25[[#This Row],[Bought]]*Table25[[#This Row],[Price]]</f>
        <v>0</v>
      </c>
      <c r="H1096">
        <f>SUMIF(Table25[[#All],[Assets]],Table25[[#This Row],[Assets]],Table25[[#All],[Bought]])</f>
        <v>7036.45</v>
      </c>
      <c r="I1096">
        <f>SUMIF(Table25[[#All],[Assets]],Table25[[#This Row],[Assets]],Table25[[#All],[Bought Amount]])</f>
        <v>19162.260000000002</v>
      </c>
      <c r="J1096" s="88">
        <f>IF(Table25[[#This Row],[Number of stocks]]&lt;0,Table25[[#This Row],[Number of stocks]],0)</f>
        <v>-100</v>
      </c>
      <c r="K1096" s="5">
        <f>Table25[[#This Row],[Sold]]*Table25[[#This Row],[Price]]</f>
        <v>-426.99999999999994</v>
      </c>
      <c r="L1096" s="8">
        <f>ABS(SUMIF(Table25[[#All],[Assets]],Table25[[#This Row],[Assets]],Table25[[#All],[Sold]]))</f>
        <v>6686.45</v>
      </c>
      <c r="M1096" s="5">
        <f>ABS(SUMIF(Table25[[#All],[Assets]],Table25[[#This Row],[Assets]],Table25[[#All],[Sold Amount]]))</f>
        <v>19226.484999999997</v>
      </c>
      <c r="N1096" s="5">
        <f>IFERROR(Table25[[#This Row],[Total sold amount]]/Table25[[#This Row],[Total Sold number of stocks]],"")</f>
        <v>2.8754398821497205</v>
      </c>
      <c r="O1096" s="4">
        <f>IFERROR(Table25[[#This Row],[Total Amount bought]]/Table25[[#This Row],[Total number bought]],"")</f>
        <v>2.7232851793162749</v>
      </c>
      <c r="P1096" s="4">
        <f>IFERROR((Table25[[#This Row],[Average sell price]]-Table25[[#This Row],[Average buy price]])*Table25[[#This Row],[Total Sold number of stocks]],0)</f>
        <v>1017.3748127606921</v>
      </c>
      <c r="Q1096" s="85">
        <f>SUMIF(Table25[[#All],[Assets]],Table25[[#This Row],[Assets]],Table25[[#All],[Number of stocks]])</f>
        <v>349.99999999999977</v>
      </c>
    </row>
    <row r="1097" spans="1:17">
      <c r="A1097" t="e" vm="28">
        <v>#VALUE!</v>
      </c>
      <c r="B1097" s="2">
        <v>45771</v>
      </c>
      <c r="C1097" t="str" cm="1">
        <f t="array" aca="1" ref="C1097" ca="1">_FV(A1097,"Ticker symbol",TRUE)</f>
        <v>NXPI</v>
      </c>
      <c r="D1097" s="4">
        <v>193.13</v>
      </c>
      <c r="E1097" s="50">
        <v>-2</v>
      </c>
      <c r="F1097" s="81">
        <f>IF(Table25[[#This Row],[Number of stocks]]&gt;0,Table25[[#This Row],[Number of stocks]],0)</f>
        <v>0</v>
      </c>
      <c r="G1097" s="73">
        <f>Table25[[#This Row],[Bought]]*Table25[[#This Row],[Price]]</f>
        <v>0</v>
      </c>
      <c r="H1097">
        <f>SUMIF(Table25[[#All],[Assets]],Table25[[#This Row],[Assets]],Table25[[#All],[Bought]])</f>
        <v>5</v>
      </c>
      <c r="I1097">
        <f>SUMIF(Table25[[#All],[Assets]],Table25[[#This Row],[Assets]],Table25[[#All],[Bought Amount]])</f>
        <v>1018.3499999999999</v>
      </c>
      <c r="J1097" s="88">
        <f>IF(Table25[[#This Row],[Number of stocks]]&lt;0,Table25[[#This Row],[Number of stocks]],0)</f>
        <v>-2</v>
      </c>
      <c r="K1097" s="5">
        <f>Table25[[#This Row],[Sold]]*Table25[[#This Row],[Price]]</f>
        <v>-386.26</v>
      </c>
      <c r="L1097" s="8">
        <f>ABS(SUMIF(Table25[[#All],[Assets]],Table25[[#This Row],[Assets]],Table25[[#All],[Sold]]))</f>
        <v>5</v>
      </c>
      <c r="M1097" s="5">
        <f>ABS(SUMIF(Table25[[#All],[Assets]],Table25[[#This Row],[Assets]],Table25[[#All],[Sold Amount]]))</f>
        <v>1071.8499999999999</v>
      </c>
      <c r="N1097" s="5">
        <f>IFERROR(Table25[[#This Row],[Total sold amount]]/Table25[[#This Row],[Total Sold number of stocks]],"")</f>
        <v>214.36999999999998</v>
      </c>
      <c r="O1097" s="4">
        <f>IFERROR(Table25[[#This Row],[Total Amount bought]]/Table25[[#This Row],[Total number bought]],"")</f>
        <v>203.67</v>
      </c>
      <c r="P1097" s="4">
        <f>IFERROR((Table25[[#This Row],[Average sell price]]-Table25[[#This Row],[Average buy price]])*Table25[[#This Row],[Total Sold number of stocks]],0)</f>
        <v>53.499999999999943</v>
      </c>
      <c r="Q1097" s="85">
        <f>SUMIF(Table25[[#All],[Assets]],Table25[[#This Row],[Assets]],Table25[[#All],[Number of stocks]])</f>
        <v>0</v>
      </c>
    </row>
    <row r="1098" spans="1:17">
      <c r="A1098" t="e" vm="211">
        <v>#VALUE!</v>
      </c>
      <c r="B1098" s="2">
        <v>45771</v>
      </c>
      <c r="C1098" t="str" cm="1">
        <f t="array" aca="1" ref="C1098" ca="1">_FV(A1098,"Ticker symbol",TRUE)</f>
        <v>GME</v>
      </c>
      <c r="D1098" s="4">
        <v>27</v>
      </c>
      <c r="E1098" s="50">
        <v>-20</v>
      </c>
      <c r="F1098" s="81">
        <f>IF(Table25[[#This Row],[Number of stocks]]&gt;0,Table25[[#This Row],[Number of stocks]],0)</f>
        <v>0</v>
      </c>
      <c r="G1098" s="73">
        <f>Table25[[#This Row],[Bought]]*Table25[[#This Row],[Price]]</f>
        <v>0</v>
      </c>
      <c r="H1098">
        <f>SUMIF(Table25[[#All],[Assets]],Table25[[#This Row],[Assets]],Table25[[#All],[Bought]])</f>
        <v>207</v>
      </c>
      <c r="I1098">
        <f>SUMIF(Table25[[#All],[Assets]],Table25[[#This Row],[Assets]],Table25[[#All],[Bought Amount]])</f>
        <v>5127.2700000000004</v>
      </c>
      <c r="J1098" s="88">
        <f>IF(Table25[[#This Row],[Number of stocks]]&lt;0,Table25[[#This Row],[Number of stocks]],0)</f>
        <v>-20</v>
      </c>
      <c r="K1098" s="5">
        <f>Table25[[#This Row],[Sold]]*Table25[[#This Row],[Price]]</f>
        <v>-540</v>
      </c>
      <c r="L1098" s="8">
        <f>ABS(SUMIF(Table25[[#All],[Assets]],Table25[[#This Row],[Assets]],Table25[[#All],[Sold]]))</f>
        <v>181</v>
      </c>
      <c r="M1098" s="5">
        <f>ABS(SUMIF(Table25[[#All],[Assets]],Table25[[#This Row],[Assets]],Table25[[#All],[Sold Amount]]))</f>
        <v>4186.9799999999996</v>
      </c>
      <c r="N1098" s="5">
        <f>IFERROR(Table25[[#This Row],[Total sold amount]]/Table25[[#This Row],[Total Sold number of stocks]],"")</f>
        <v>23.132486187845302</v>
      </c>
      <c r="O1098" s="4">
        <f>IFERROR(Table25[[#This Row],[Total Amount bought]]/Table25[[#This Row],[Total number bought]],"")</f>
        <v>24.769420289855073</v>
      </c>
      <c r="P1098" s="4">
        <f>IFERROR((Table25[[#This Row],[Average sell price]]-Table25[[#This Row],[Average buy price]])*Table25[[#This Row],[Total Sold number of stocks]],0)</f>
        <v>-296.28507246376864</v>
      </c>
      <c r="Q1098" s="85">
        <f>SUMIF(Table25[[#All],[Assets]],Table25[[#This Row],[Assets]],Table25[[#All],[Number of stocks]])</f>
        <v>26</v>
      </c>
    </row>
    <row r="1099" spans="1:17">
      <c r="A1099" t="e" vm="71">
        <v>#VALUE!</v>
      </c>
      <c r="B1099" s="2">
        <v>45771</v>
      </c>
      <c r="C1099" t="str" cm="1">
        <f t="array" aca="1" ref="C1099" ca="1">_FV(A1099,"Ticker symbol",TRUE)</f>
        <v>TKNO</v>
      </c>
      <c r="D1099" s="4">
        <v>6.62</v>
      </c>
      <c r="E1099" s="50">
        <v>-100</v>
      </c>
      <c r="F1099" s="81">
        <f>IF(Table25[[#This Row],[Number of stocks]]&gt;0,Table25[[#This Row],[Number of stocks]],0)</f>
        <v>0</v>
      </c>
      <c r="G1099" s="73">
        <f>Table25[[#This Row],[Bought]]*Table25[[#This Row],[Price]]</f>
        <v>0</v>
      </c>
      <c r="H1099">
        <f>SUMIF(Table25[[#All],[Assets]],Table25[[#This Row],[Assets]],Table25[[#All],[Bought]])</f>
        <v>2166.0267990000002</v>
      </c>
      <c r="I1099">
        <f>SUMIF(Table25[[#All],[Assets]],Table25[[#This Row],[Assets]],Table25[[#All],[Bought Amount]])</f>
        <v>13370.91512648</v>
      </c>
      <c r="J1099" s="88">
        <f>IF(Table25[[#This Row],[Number of stocks]]&lt;0,Table25[[#This Row],[Number of stocks]],0)</f>
        <v>-100</v>
      </c>
      <c r="K1099" s="5">
        <f>Table25[[#This Row],[Sold]]*Table25[[#This Row],[Price]]</f>
        <v>-662</v>
      </c>
      <c r="L1099" s="8">
        <f>ABS(SUMIF(Table25[[#All],[Assets]],Table25[[#This Row],[Assets]],Table25[[#All],[Sold]]))</f>
        <v>2083</v>
      </c>
      <c r="M1099" s="5">
        <f>ABS(SUMIF(Table25[[#All],[Assets]],Table25[[#This Row],[Assets]],Table25[[#All],[Sold Amount]]))</f>
        <v>11153.28</v>
      </c>
      <c r="N1099" s="5">
        <f>IFERROR(Table25[[#This Row],[Total sold amount]]/Table25[[#This Row],[Total Sold number of stocks]],"")</f>
        <v>5.3544311089774368</v>
      </c>
      <c r="O1099" s="4">
        <f>IFERROR(Table25[[#This Row],[Total Amount bought]]/Table25[[#This Row],[Total number bought]],"")</f>
        <v>6.1730146333614213</v>
      </c>
      <c r="P1099" s="4">
        <f>IFERROR((Table25[[#This Row],[Average sell price]]-Table25[[#This Row],[Average buy price]])*Table25[[#This Row],[Total Sold number of stocks]],0)</f>
        <v>-1705.1094812918398</v>
      </c>
      <c r="Q1099" s="85">
        <f>SUMIF(Table25[[#All],[Assets]],Table25[[#This Row],[Assets]],Table25[[#All],[Number of stocks]])</f>
        <v>83.026798999999983</v>
      </c>
    </row>
    <row r="1100" spans="1:17">
      <c r="A1100" t="e" vm="211">
        <v>#VALUE!</v>
      </c>
      <c r="B1100" s="2">
        <v>45771</v>
      </c>
      <c r="C1100" t="str" cm="1">
        <f t="array" aca="1" ref="C1100" ca="1">_FV(A1100,"Ticker symbol",TRUE)</f>
        <v>GME</v>
      </c>
      <c r="D1100" s="4">
        <v>26.98</v>
      </c>
      <c r="E1100" s="50">
        <v>-21</v>
      </c>
      <c r="F1100" s="81">
        <f>IF(Table25[[#This Row],[Number of stocks]]&gt;0,Table25[[#This Row],[Number of stocks]],0)</f>
        <v>0</v>
      </c>
      <c r="G1100" s="73">
        <f>Table25[[#This Row],[Bought]]*Table25[[#This Row],[Price]]</f>
        <v>0</v>
      </c>
      <c r="H1100">
        <f>SUMIF(Table25[[#All],[Assets]],Table25[[#This Row],[Assets]],Table25[[#All],[Bought]])</f>
        <v>207</v>
      </c>
      <c r="I1100">
        <f>SUMIF(Table25[[#All],[Assets]],Table25[[#This Row],[Assets]],Table25[[#All],[Bought Amount]])</f>
        <v>5127.2700000000004</v>
      </c>
      <c r="J1100" s="88">
        <f>IF(Table25[[#This Row],[Number of stocks]]&lt;0,Table25[[#This Row],[Number of stocks]],0)</f>
        <v>-21</v>
      </c>
      <c r="K1100" s="5">
        <f>Table25[[#This Row],[Sold]]*Table25[[#This Row],[Price]]</f>
        <v>-566.58000000000004</v>
      </c>
      <c r="L1100" s="8">
        <f>ABS(SUMIF(Table25[[#All],[Assets]],Table25[[#This Row],[Assets]],Table25[[#All],[Sold]]))</f>
        <v>181</v>
      </c>
      <c r="M1100" s="5">
        <f>ABS(SUMIF(Table25[[#All],[Assets]],Table25[[#This Row],[Assets]],Table25[[#All],[Sold Amount]]))</f>
        <v>4186.9799999999996</v>
      </c>
      <c r="N1100" s="5">
        <f>IFERROR(Table25[[#This Row],[Total sold amount]]/Table25[[#This Row],[Total Sold number of stocks]],"")</f>
        <v>23.132486187845302</v>
      </c>
      <c r="O1100" s="4">
        <f>IFERROR(Table25[[#This Row],[Total Amount bought]]/Table25[[#This Row],[Total number bought]],"")</f>
        <v>24.769420289855073</v>
      </c>
      <c r="P1100" s="4">
        <f>IFERROR((Table25[[#This Row],[Average sell price]]-Table25[[#This Row],[Average buy price]])*Table25[[#This Row],[Total Sold number of stocks]],0)</f>
        <v>-296.28507246376864</v>
      </c>
      <c r="Q1100" s="85">
        <f>SUMIF(Table25[[#All],[Assets]],Table25[[#This Row],[Assets]],Table25[[#All],[Number of stocks]])</f>
        <v>26</v>
      </c>
    </row>
    <row r="1101" spans="1:17">
      <c r="A1101" t="e" vm="148">
        <v>#VALUE!</v>
      </c>
      <c r="B1101" s="2">
        <v>45771</v>
      </c>
      <c r="C1101" t="str" cm="1">
        <f t="array" aca="1" ref="C1101" ca="1">_FV(A1101,"Ticker symbol",TRUE)</f>
        <v>META</v>
      </c>
      <c r="D1101" s="4">
        <v>546.11</v>
      </c>
      <c r="E1101" s="50">
        <v>1</v>
      </c>
      <c r="F1101" s="81">
        <f>IF(Table25[[#This Row],[Number of stocks]]&gt;0,Table25[[#This Row],[Number of stocks]],0)</f>
        <v>1</v>
      </c>
      <c r="G1101" s="73">
        <f>Table25[[#This Row],[Bought]]*Table25[[#This Row],[Price]]</f>
        <v>546.11</v>
      </c>
      <c r="H1101">
        <f>SUMIF(Table25[[#All],[Assets]],Table25[[#This Row],[Assets]],Table25[[#All],[Bought]])</f>
        <v>2</v>
      </c>
      <c r="I1101">
        <f>SUMIF(Table25[[#All],[Assets]],Table25[[#This Row],[Assets]],Table25[[#All],[Bought Amount]])</f>
        <v>1247.7</v>
      </c>
      <c r="J1101" s="88">
        <f>IF(Table25[[#This Row],[Number of stocks]]&lt;0,Table25[[#This Row],[Number of stocks]],0)</f>
        <v>0</v>
      </c>
      <c r="K1101" s="5">
        <f>Table25[[#This Row],[Sold]]*Table25[[#This Row],[Price]]</f>
        <v>0</v>
      </c>
      <c r="L1101" s="8">
        <f>ABS(SUMIF(Table25[[#All],[Assets]],Table25[[#This Row],[Assets]],Table25[[#All],[Sold]]))</f>
        <v>2</v>
      </c>
      <c r="M1101" s="5">
        <f>ABS(SUMIF(Table25[[#All],[Assets]],Table25[[#This Row],[Assets]],Table25[[#All],[Sold Amount]]))</f>
        <v>1302.92</v>
      </c>
      <c r="N1101" s="5">
        <f>IFERROR(Table25[[#This Row],[Total sold amount]]/Table25[[#This Row],[Total Sold number of stocks]],"")</f>
        <v>651.46</v>
      </c>
      <c r="O1101" s="4">
        <f>IFERROR(Table25[[#This Row],[Total Amount bought]]/Table25[[#This Row],[Total number bought]],"")</f>
        <v>623.85</v>
      </c>
      <c r="P1101" s="4">
        <f>IFERROR((Table25[[#This Row],[Average sell price]]-Table25[[#This Row],[Average buy price]])*Table25[[#This Row],[Total Sold number of stocks]],0)</f>
        <v>55.220000000000027</v>
      </c>
      <c r="Q1101" s="85">
        <f>SUMIF(Table25[[#All],[Assets]],Table25[[#This Row],[Assets]],Table25[[#All],[Number of stocks]])</f>
        <v>0</v>
      </c>
    </row>
    <row r="1102" spans="1:17">
      <c r="A1102" t="e" vm="16">
        <v>#VALUE!</v>
      </c>
      <c r="B1102" s="2">
        <v>45772</v>
      </c>
      <c r="C1102" t="str" cm="1">
        <f t="array" aca="1" ref="C1102" ca="1">_FV(A1102,"Ticker symbol",TRUE)</f>
        <v>GOOG</v>
      </c>
      <c r="D1102" s="4">
        <v>165.5</v>
      </c>
      <c r="E1102" s="50">
        <v>3</v>
      </c>
      <c r="F1102" s="81">
        <f>IF(Table25[[#This Row],[Number of stocks]]&gt;0,Table25[[#This Row],[Number of stocks]],0)</f>
        <v>3</v>
      </c>
      <c r="G1102" s="73">
        <f>Table25[[#This Row],[Bought]]*Table25[[#This Row],[Price]]</f>
        <v>496.5</v>
      </c>
      <c r="H1102">
        <f>SUMIF(Table25[[#All],[Assets]],Table25[[#This Row],[Assets]],Table25[[#All],[Bought]])</f>
        <v>24</v>
      </c>
      <c r="I1102">
        <f>SUMIF(Table25[[#All],[Assets]],Table25[[#This Row],[Assets]],Table25[[#All],[Bought Amount]])</f>
        <v>4739.3499999999995</v>
      </c>
      <c r="J1102" s="88">
        <f>IF(Table25[[#This Row],[Number of stocks]]&lt;0,Table25[[#This Row],[Number of stocks]],0)</f>
        <v>0</v>
      </c>
      <c r="K1102" s="5">
        <f>Table25[[#This Row],[Sold]]*Table25[[#This Row],[Price]]</f>
        <v>0</v>
      </c>
      <c r="L1102" s="8">
        <f>ABS(SUMIF(Table25[[#All],[Assets]],Table25[[#This Row],[Assets]],Table25[[#All],[Sold]]))</f>
        <v>1</v>
      </c>
      <c r="M1102" s="5">
        <f>ABS(SUMIF(Table25[[#All],[Assets]],Table25[[#This Row],[Assets]],Table25[[#All],[Sold Amount]]))</f>
        <v>229.13</v>
      </c>
      <c r="N1102" s="5">
        <f>IFERROR(Table25[[#This Row],[Total sold amount]]/Table25[[#This Row],[Total Sold number of stocks]],"")</f>
        <v>229.13</v>
      </c>
      <c r="O1102" s="4">
        <f>IFERROR(Table25[[#This Row],[Total Amount bought]]/Table25[[#This Row],[Total number bought]],"")</f>
        <v>197.47291666666663</v>
      </c>
      <c r="P1102" s="4">
        <f>IFERROR((Table25[[#This Row],[Average sell price]]-Table25[[#This Row],[Average buy price]])*Table25[[#This Row],[Total Sold number of stocks]],0)</f>
        <v>31.657083333333361</v>
      </c>
      <c r="Q1102" s="85">
        <f>SUMIF(Table25[[#All],[Assets]],Table25[[#This Row],[Assets]],Table25[[#All],[Number of stocks]])</f>
        <v>23</v>
      </c>
    </row>
    <row r="1103" spans="1:17">
      <c r="A1103" t="e" vm="273">
        <v>#VALUE!</v>
      </c>
      <c r="B1103" s="2">
        <v>45775</v>
      </c>
      <c r="C1103" t="str" cm="1">
        <f t="array" aca="1" ref="C1103" ca="1">_FV(A1103,"Ticker symbol",TRUE)</f>
        <v>CVRX</v>
      </c>
      <c r="D1103" s="4">
        <v>7.61</v>
      </c>
      <c r="E1103" s="50">
        <v>50</v>
      </c>
      <c r="F1103" s="81">
        <f>IF(Table25[[#This Row],[Number of stocks]]&gt;0,Table25[[#This Row],[Number of stocks]],0)</f>
        <v>50</v>
      </c>
      <c r="G1103" s="73">
        <f>Table25[[#This Row],[Bought]]*Table25[[#This Row],[Price]]</f>
        <v>380.5</v>
      </c>
      <c r="H1103">
        <f>SUMIF(Table25[[#All],[Assets]],Table25[[#This Row],[Assets]],Table25[[#All],[Bought]])</f>
        <v>560</v>
      </c>
      <c r="I1103">
        <f>SUMIF(Table25[[#All],[Assets]],Table25[[#This Row],[Assets]],Table25[[#All],[Bought Amount]])</f>
        <v>5451</v>
      </c>
      <c r="J1103" s="88">
        <f>IF(Table25[[#This Row],[Number of stocks]]&lt;0,Table25[[#This Row],[Number of stocks]],0)</f>
        <v>0</v>
      </c>
      <c r="K1103" s="5">
        <f>Table25[[#This Row],[Sold]]*Table25[[#This Row],[Price]]</f>
        <v>0</v>
      </c>
      <c r="L1103" s="8">
        <f>ABS(SUMIF(Table25[[#All],[Assets]],Table25[[#This Row],[Assets]],Table25[[#All],[Sold]]))</f>
        <v>560</v>
      </c>
      <c r="M1103" s="5">
        <f>ABS(SUMIF(Table25[[#All],[Assets]],Table25[[#This Row],[Assets]],Table25[[#All],[Sold Amount]]))</f>
        <v>4910.5499999999993</v>
      </c>
      <c r="N1103" s="5">
        <f>IFERROR(Table25[[#This Row],[Total sold amount]]/Table25[[#This Row],[Total Sold number of stocks]],"")</f>
        <v>8.7688392857142841</v>
      </c>
      <c r="O1103" s="4">
        <f>IFERROR(Table25[[#This Row],[Total Amount bought]]/Table25[[#This Row],[Total number bought]],"")</f>
        <v>9.7339285714285708</v>
      </c>
      <c r="P1103" s="4">
        <f>IFERROR((Table25[[#This Row],[Average sell price]]-Table25[[#This Row],[Average buy price]])*Table25[[#This Row],[Total Sold number of stocks]],0)</f>
        <v>-540.45000000000061</v>
      </c>
      <c r="Q1103" s="85">
        <f>SUMIF(Table25[[#All],[Assets]],Table25[[#This Row],[Assets]],Table25[[#All],[Number of stocks]])</f>
        <v>0</v>
      </c>
    </row>
    <row r="1104" spans="1:17">
      <c r="A1104" t="e" vm="63">
        <v>#VALUE!</v>
      </c>
      <c r="B1104" s="2">
        <v>45775</v>
      </c>
      <c r="C1104" t="str" cm="1">
        <f t="array" aca="1" ref="C1104" ca="1">_FV(A1104,"Ticker symbol",TRUE)</f>
        <v>TSLA</v>
      </c>
      <c r="D1104" s="4">
        <v>280.33</v>
      </c>
      <c r="E1104" s="50">
        <v>-2</v>
      </c>
      <c r="F1104" s="81">
        <f>IF(Table25[[#This Row],[Number of stocks]]&gt;0,Table25[[#This Row],[Number of stocks]],0)</f>
        <v>0</v>
      </c>
      <c r="G1104" s="73">
        <f>Table25[[#This Row],[Bought]]*Table25[[#This Row],[Price]]</f>
        <v>0</v>
      </c>
      <c r="H1104">
        <f>SUMIF(Table25[[#All],[Assets]],Table25[[#This Row],[Assets]],Table25[[#All],[Bought]])</f>
        <v>13</v>
      </c>
      <c r="I1104">
        <f>SUMIF(Table25[[#All],[Assets]],Table25[[#This Row],[Assets]],Table25[[#All],[Bought Amount]])</f>
        <v>3484.85</v>
      </c>
      <c r="J1104" s="88">
        <f>IF(Table25[[#This Row],[Number of stocks]]&lt;0,Table25[[#This Row],[Number of stocks]],0)</f>
        <v>-2</v>
      </c>
      <c r="K1104" s="5">
        <f>Table25[[#This Row],[Sold]]*Table25[[#This Row],[Price]]</f>
        <v>-560.66</v>
      </c>
      <c r="L1104" s="8">
        <f>ABS(SUMIF(Table25[[#All],[Assets]],Table25[[#This Row],[Assets]],Table25[[#All],[Sold]]))</f>
        <v>13</v>
      </c>
      <c r="M1104" s="5">
        <f>ABS(SUMIF(Table25[[#All],[Assets]],Table25[[#This Row],[Assets]],Table25[[#All],[Sold Amount]]))</f>
        <v>4240.6299999999992</v>
      </c>
      <c r="N1104" s="5">
        <f>IFERROR(Table25[[#This Row],[Total sold amount]]/Table25[[#This Row],[Total Sold number of stocks]],"")</f>
        <v>326.20230769230761</v>
      </c>
      <c r="O1104" s="4">
        <f>IFERROR(Table25[[#This Row],[Total Amount bought]]/Table25[[#This Row],[Total number bought]],"")</f>
        <v>268.06538461538463</v>
      </c>
      <c r="P1104" s="4">
        <f>IFERROR((Table25[[#This Row],[Average sell price]]-Table25[[#This Row],[Average buy price]])*Table25[[#This Row],[Total Sold number of stocks]],0)</f>
        <v>755.77999999999884</v>
      </c>
      <c r="Q1104" s="85">
        <f>SUMIF(Table25[[#All],[Assets]],Table25[[#This Row],[Assets]],Table25[[#All],[Number of stocks]])</f>
        <v>0</v>
      </c>
    </row>
    <row r="1105" spans="1:17">
      <c r="A1105" t="e" vm="273">
        <v>#VALUE!</v>
      </c>
      <c r="B1105" s="2">
        <v>45775</v>
      </c>
      <c r="C1105" t="str" cm="1">
        <f t="array" aca="1" ref="C1105" ca="1">_FV(A1105,"Ticker symbol",TRUE)</f>
        <v>CVRX</v>
      </c>
      <c r="D1105" s="4">
        <v>7.6</v>
      </c>
      <c r="E1105" s="50">
        <v>75</v>
      </c>
      <c r="F1105" s="81">
        <f>IF(Table25[[#This Row],[Number of stocks]]&gt;0,Table25[[#This Row],[Number of stocks]],0)</f>
        <v>75</v>
      </c>
      <c r="G1105" s="73">
        <f>Table25[[#This Row],[Bought]]*Table25[[#This Row],[Price]]</f>
        <v>570</v>
      </c>
      <c r="H1105">
        <f>SUMIF(Table25[[#All],[Assets]],Table25[[#This Row],[Assets]],Table25[[#All],[Bought]])</f>
        <v>560</v>
      </c>
      <c r="I1105">
        <f>SUMIF(Table25[[#All],[Assets]],Table25[[#This Row],[Assets]],Table25[[#All],[Bought Amount]])</f>
        <v>5451</v>
      </c>
      <c r="J1105" s="88">
        <f>IF(Table25[[#This Row],[Number of stocks]]&lt;0,Table25[[#This Row],[Number of stocks]],0)</f>
        <v>0</v>
      </c>
      <c r="K1105" s="5">
        <f>Table25[[#This Row],[Sold]]*Table25[[#This Row],[Price]]</f>
        <v>0</v>
      </c>
      <c r="L1105" s="8">
        <f>ABS(SUMIF(Table25[[#All],[Assets]],Table25[[#This Row],[Assets]],Table25[[#All],[Sold]]))</f>
        <v>560</v>
      </c>
      <c r="M1105" s="5">
        <f>ABS(SUMIF(Table25[[#All],[Assets]],Table25[[#This Row],[Assets]],Table25[[#All],[Sold Amount]]))</f>
        <v>4910.5499999999993</v>
      </c>
      <c r="N1105" s="5">
        <f>IFERROR(Table25[[#This Row],[Total sold amount]]/Table25[[#This Row],[Total Sold number of stocks]],"")</f>
        <v>8.7688392857142841</v>
      </c>
      <c r="O1105" s="4">
        <f>IFERROR(Table25[[#This Row],[Total Amount bought]]/Table25[[#This Row],[Total number bought]],"")</f>
        <v>9.7339285714285708</v>
      </c>
      <c r="P1105" s="4">
        <f>IFERROR((Table25[[#This Row],[Average sell price]]-Table25[[#This Row],[Average buy price]])*Table25[[#This Row],[Total Sold number of stocks]],0)</f>
        <v>-540.45000000000061</v>
      </c>
      <c r="Q1105" s="85">
        <f>SUMIF(Table25[[#All],[Assets]],Table25[[#This Row],[Assets]],Table25[[#All],[Number of stocks]])</f>
        <v>0</v>
      </c>
    </row>
    <row r="1106" spans="1:17">
      <c r="A1106" t="e" vm="63">
        <v>#VALUE!</v>
      </c>
      <c r="B1106" s="2">
        <v>45775</v>
      </c>
      <c r="C1106" t="str" cm="1">
        <f t="array" aca="1" ref="C1106" ca="1">_FV(A1106,"Ticker symbol",TRUE)</f>
        <v>TSLA</v>
      </c>
      <c r="D1106" s="4">
        <v>279.06</v>
      </c>
      <c r="E1106" s="50">
        <v>-1</v>
      </c>
      <c r="F1106" s="81">
        <f>IF(Table25[[#This Row],[Number of stocks]]&gt;0,Table25[[#This Row],[Number of stocks]],0)</f>
        <v>0</v>
      </c>
      <c r="G1106" s="73">
        <f>Table25[[#This Row],[Bought]]*Table25[[#This Row],[Price]]</f>
        <v>0</v>
      </c>
      <c r="H1106">
        <f>SUMIF(Table25[[#All],[Assets]],Table25[[#This Row],[Assets]],Table25[[#All],[Bought]])</f>
        <v>13</v>
      </c>
      <c r="I1106">
        <f>SUMIF(Table25[[#All],[Assets]],Table25[[#This Row],[Assets]],Table25[[#All],[Bought Amount]])</f>
        <v>3484.85</v>
      </c>
      <c r="J1106" s="88">
        <f>IF(Table25[[#This Row],[Number of stocks]]&lt;0,Table25[[#This Row],[Number of stocks]],0)</f>
        <v>-1</v>
      </c>
      <c r="K1106" s="5">
        <f>Table25[[#This Row],[Sold]]*Table25[[#This Row],[Price]]</f>
        <v>-279.06</v>
      </c>
      <c r="L1106" s="8">
        <f>ABS(SUMIF(Table25[[#All],[Assets]],Table25[[#This Row],[Assets]],Table25[[#All],[Sold]]))</f>
        <v>13</v>
      </c>
      <c r="M1106" s="5">
        <f>ABS(SUMIF(Table25[[#All],[Assets]],Table25[[#This Row],[Assets]],Table25[[#All],[Sold Amount]]))</f>
        <v>4240.6299999999992</v>
      </c>
      <c r="N1106" s="5">
        <f>IFERROR(Table25[[#This Row],[Total sold amount]]/Table25[[#This Row],[Total Sold number of stocks]],"")</f>
        <v>326.20230769230761</v>
      </c>
      <c r="O1106" s="4">
        <f>IFERROR(Table25[[#This Row],[Total Amount bought]]/Table25[[#This Row],[Total number bought]],"")</f>
        <v>268.06538461538463</v>
      </c>
      <c r="P1106" s="4">
        <f>IFERROR((Table25[[#This Row],[Average sell price]]-Table25[[#This Row],[Average buy price]])*Table25[[#This Row],[Total Sold number of stocks]],0)</f>
        <v>755.77999999999884</v>
      </c>
      <c r="Q1106" s="85">
        <f>SUMIF(Table25[[#All],[Assets]],Table25[[#This Row],[Assets]],Table25[[#All],[Number of stocks]])</f>
        <v>0</v>
      </c>
    </row>
    <row r="1107" spans="1:17">
      <c r="A1107" t="e" vm="273">
        <v>#VALUE!</v>
      </c>
      <c r="B1107" s="2">
        <v>45775</v>
      </c>
      <c r="C1107" t="str" cm="1">
        <f t="array" aca="1" ref="C1107" ca="1">_FV(A1107,"Ticker symbol",TRUE)</f>
        <v>CVRX</v>
      </c>
      <c r="D1107" s="4">
        <v>7.33</v>
      </c>
      <c r="E1107" s="50">
        <v>30</v>
      </c>
      <c r="F1107" s="81">
        <f>IF(Table25[[#This Row],[Number of stocks]]&gt;0,Table25[[#This Row],[Number of stocks]],0)</f>
        <v>30</v>
      </c>
      <c r="G1107" s="73">
        <f>Table25[[#This Row],[Bought]]*Table25[[#This Row],[Price]]</f>
        <v>219.9</v>
      </c>
      <c r="H1107">
        <f>SUMIF(Table25[[#All],[Assets]],Table25[[#This Row],[Assets]],Table25[[#All],[Bought]])</f>
        <v>560</v>
      </c>
      <c r="I1107">
        <f>SUMIF(Table25[[#All],[Assets]],Table25[[#This Row],[Assets]],Table25[[#All],[Bought Amount]])</f>
        <v>5451</v>
      </c>
      <c r="J1107" s="88">
        <f>IF(Table25[[#This Row],[Number of stocks]]&lt;0,Table25[[#This Row],[Number of stocks]],0)</f>
        <v>0</v>
      </c>
      <c r="K1107" s="5">
        <f>Table25[[#This Row],[Sold]]*Table25[[#This Row],[Price]]</f>
        <v>0</v>
      </c>
      <c r="L1107" s="8">
        <f>ABS(SUMIF(Table25[[#All],[Assets]],Table25[[#This Row],[Assets]],Table25[[#All],[Sold]]))</f>
        <v>560</v>
      </c>
      <c r="M1107" s="5">
        <f>ABS(SUMIF(Table25[[#All],[Assets]],Table25[[#This Row],[Assets]],Table25[[#All],[Sold Amount]]))</f>
        <v>4910.5499999999993</v>
      </c>
      <c r="N1107" s="5">
        <f>IFERROR(Table25[[#This Row],[Total sold amount]]/Table25[[#This Row],[Total Sold number of stocks]],"")</f>
        <v>8.7688392857142841</v>
      </c>
      <c r="O1107" s="4">
        <f>IFERROR(Table25[[#This Row],[Total Amount bought]]/Table25[[#This Row],[Total number bought]],"")</f>
        <v>9.7339285714285708</v>
      </c>
      <c r="P1107" s="4">
        <f>IFERROR((Table25[[#This Row],[Average sell price]]-Table25[[#This Row],[Average buy price]])*Table25[[#This Row],[Total Sold number of stocks]],0)</f>
        <v>-540.45000000000061</v>
      </c>
      <c r="Q1107" s="85">
        <f>SUMIF(Table25[[#All],[Assets]],Table25[[#This Row],[Assets]],Table25[[#All],[Number of stocks]])</f>
        <v>0</v>
      </c>
    </row>
    <row r="1108" spans="1:17">
      <c r="A1108" t="e" vm="13">
        <v>#VALUE!</v>
      </c>
      <c r="B1108" s="2">
        <v>45776</v>
      </c>
      <c r="C1108" t="str" cm="1">
        <f t="array" aca="1" ref="C1108" ca="1">_FV(A1108,"Ticker symbol",TRUE)</f>
        <v>ON</v>
      </c>
      <c r="D1108" s="4">
        <v>39.03</v>
      </c>
      <c r="E1108" s="50">
        <v>10</v>
      </c>
      <c r="F1108" s="81">
        <f>IF(Table25[[#This Row],[Number of stocks]]&gt;0,Table25[[#This Row],[Number of stocks]],0)</f>
        <v>10</v>
      </c>
      <c r="G1108" s="73">
        <f>Table25[[#This Row],[Bought]]*Table25[[#This Row],[Price]]</f>
        <v>390.3</v>
      </c>
      <c r="H1108">
        <f>SUMIF(Table25[[#All],[Assets]],Table25[[#This Row],[Assets]],Table25[[#All],[Bought]])</f>
        <v>326</v>
      </c>
      <c r="I1108">
        <f>SUMIF(Table25[[#All],[Assets]],Table25[[#This Row],[Assets]],Table25[[#All],[Bought Amount]])</f>
        <v>19172.809999999998</v>
      </c>
      <c r="J1108" s="88">
        <f>IF(Table25[[#This Row],[Number of stocks]]&lt;0,Table25[[#This Row],[Number of stocks]],0)</f>
        <v>0</v>
      </c>
      <c r="K1108" s="5">
        <f>Table25[[#This Row],[Sold]]*Table25[[#This Row],[Price]]</f>
        <v>0</v>
      </c>
      <c r="L1108" s="8">
        <f>ABS(SUMIF(Table25[[#All],[Assets]],Table25[[#This Row],[Assets]],Table25[[#All],[Sold]]))</f>
        <v>283</v>
      </c>
      <c r="M1108" s="5">
        <f>ABS(SUMIF(Table25[[#All],[Assets]],Table25[[#This Row],[Assets]],Table25[[#All],[Sold Amount]]))</f>
        <v>15700.74</v>
      </c>
      <c r="N1108" s="5">
        <f>IFERROR(Table25[[#This Row],[Total sold amount]]/Table25[[#This Row],[Total Sold number of stocks]],"")</f>
        <v>55.47964664310954</v>
      </c>
      <c r="O1108" s="4">
        <f>IFERROR(Table25[[#This Row],[Total Amount bought]]/Table25[[#This Row],[Total number bought]],"")</f>
        <v>58.812300613496923</v>
      </c>
      <c r="P1108" s="4">
        <f>IFERROR((Table25[[#This Row],[Average sell price]]-Table25[[#This Row],[Average buy price]])*Table25[[#This Row],[Total Sold number of stocks]],0)</f>
        <v>-943.14107361962954</v>
      </c>
      <c r="Q1108" s="85">
        <f>SUMIF(Table25[[#All],[Assets]],Table25[[#This Row],[Assets]],Table25[[#All],[Number of stocks]])</f>
        <v>43</v>
      </c>
    </row>
    <row r="1109" spans="1:17">
      <c r="A1109" t="e" vm="303">
        <v>#VALUE!</v>
      </c>
      <c r="B1109" s="2">
        <v>45686</v>
      </c>
      <c r="C1109" t="str" cm="1">
        <f t="array" aca="1" ref="C1109" ca="1">_FV(A1109,"Ticker symbol",TRUE)</f>
        <v>POWI</v>
      </c>
      <c r="D1109" s="4">
        <v>59.23</v>
      </c>
      <c r="E1109" s="50">
        <v>4</v>
      </c>
      <c r="F1109" s="81">
        <f>IF(Table25[[#This Row],[Number of stocks]]&gt;0,Table25[[#This Row],[Number of stocks]],0)</f>
        <v>4</v>
      </c>
      <c r="G1109" s="73">
        <f>Table25[[#This Row],[Bought]]*Table25[[#This Row],[Price]]</f>
        <v>236.92</v>
      </c>
      <c r="H1109">
        <f>SUMIF(Table25[[#All],[Assets]],Table25[[#This Row],[Assets]],Table25[[#All],[Bought]])</f>
        <v>4</v>
      </c>
      <c r="I1109">
        <f>SUMIF(Table25[[#All],[Assets]],Table25[[#This Row],[Assets]],Table25[[#All],[Bought Amount]])</f>
        <v>236.92</v>
      </c>
      <c r="J1109" s="88">
        <f>IF(Table25[[#This Row],[Number of stocks]]&lt;0,Table25[[#This Row],[Number of stocks]],0)</f>
        <v>0</v>
      </c>
      <c r="K1109" s="5">
        <f>Table25[[#This Row],[Sold]]*Table25[[#This Row],[Price]]</f>
        <v>0</v>
      </c>
      <c r="L1109" s="8">
        <f>ABS(SUMIF(Table25[[#All],[Assets]],Table25[[#This Row],[Assets]],Table25[[#All],[Sold]]))</f>
        <v>4</v>
      </c>
      <c r="M1109" s="5">
        <f>ABS(SUMIF(Table25[[#All],[Assets]],Table25[[#This Row],[Assets]],Table25[[#All],[Sold Amount]]))</f>
        <v>248.12</v>
      </c>
      <c r="N1109" s="5">
        <f>IFERROR(Table25[[#This Row],[Total sold amount]]/Table25[[#This Row],[Total Sold number of stocks]],"")</f>
        <v>62.03</v>
      </c>
      <c r="O1109" s="4">
        <f>IFERROR(Table25[[#This Row],[Total Amount bought]]/Table25[[#This Row],[Total number bought]],"")</f>
        <v>59.23</v>
      </c>
      <c r="P1109" s="4">
        <f>IFERROR((Table25[[#This Row],[Average sell price]]-Table25[[#This Row],[Average buy price]])*Table25[[#This Row],[Total Sold number of stocks]],0)</f>
        <v>11.200000000000017</v>
      </c>
      <c r="Q1109" s="85">
        <f>SUMIF(Table25[[#All],[Assets]],Table25[[#This Row],[Assets]],Table25[[#All],[Number of stocks]])</f>
        <v>0</v>
      </c>
    </row>
    <row r="1110" spans="1:17">
      <c r="A1110" t="e" vm="301">
        <v>#VALUE!</v>
      </c>
      <c r="B1110" s="2">
        <v>45686</v>
      </c>
      <c r="C1110" t="str" cm="1">
        <f t="array" aca="1" ref="C1110" ca="1">_FV(A1110,"Ticker symbol",TRUE)</f>
        <v>RIOT</v>
      </c>
      <c r="D1110" s="4">
        <v>11.47</v>
      </c>
      <c r="E1110" s="50">
        <v>10</v>
      </c>
      <c r="F1110" s="81">
        <f>IF(Table25[[#This Row],[Number of stocks]]&gt;0,Table25[[#This Row],[Number of stocks]],0)</f>
        <v>10</v>
      </c>
      <c r="G1110" s="73">
        <f>Table25[[#This Row],[Bought]]*Table25[[#This Row],[Price]]</f>
        <v>114.7</v>
      </c>
      <c r="H1110">
        <f>SUMIF(Table25[[#All],[Assets]],Table25[[#This Row],[Assets]],Table25[[#All],[Bought]])</f>
        <v>10</v>
      </c>
      <c r="I1110">
        <f>SUMIF(Table25[[#All],[Assets]],Table25[[#This Row],[Assets]],Table25[[#All],[Bought Amount]])</f>
        <v>114.7</v>
      </c>
      <c r="J1110" s="88">
        <f>IF(Table25[[#This Row],[Number of stocks]]&lt;0,Table25[[#This Row],[Number of stocks]],0)</f>
        <v>0</v>
      </c>
      <c r="K1110" s="5">
        <f>Table25[[#This Row],[Sold]]*Table25[[#This Row],[Price]]</f>
        <v>0</v>
      </c>
      <c r="L1110" s="8">
        <f>ABS(SUMIF(Table25[[#All],[Assets]],Table25[[#This Row],[Assets]],Table25[[#All],[Sold]]))</f>
        <v>10</v>
      </c>
      <c r="M1110" s="5">
        <f>ABS(SUMIF(Table25[[#All],[Assets]],Table25[[#This Row],[Assets]],Table25[[#All],[Sold Amount]]))</f>
        <v>115.7</v>
      </c>
      <c r="N1110" s="5">
        <f>IFERROR(Table25[[#This Row],[Total sold amount]]/Table25[[#This Row],[Total Sold number of stocks]],"")</f>
        <v>11.57</v>
      </c>
      <c r="O1110" s="4">
        <f>IFERROR(Table25[[#This Row],[Total Amount bought]]/Table25[[#This Row],[Total number bought]],"")</f>
        <v>11.47</v>
      </c>
      <c r="P1110" s="4">
        <f>IFERROR((Table25[[#This Row],[Average sell price]]-Table25[[#This Row],[Average buy price]])*Table25[[#This Row],[Total Sold number of stocks]],0)</f>
        <v>0.99999999999999645</v>
      </c>
      <c r="Q1110" s="85">
        <f>SUMIF(Table25[[#All],[Assets]],Table25[[#This Row],[Assets]],Table25[[#All],[Number of stocks]])</f>
        <v>0</v>
      </c>
    </row>
    <row r="1111" spans="1:17">
      <c r="A1111" t="e" vm="159">
        <v>#VALUE!</v>
      </c>
      <c r="B1111" s="2">
        <v>45793</v>
      </c>
      <c r="C1111" t="str" cm="1">
        <f t="array" aca="1" ref="C1111" ca="1">_FV(A1111,"Ticker symbol",TRUE)</f>
        <v>BABA</v>
      </c>
      <c r="D1111" s="4">
        <v>124.85</v>
      </c>
      <c r="E1111" s="50">
        <v>-15</v>
      </c>
      <c r="F1111" s="81">
        <f>IF(Table25[[#This Row],[Number of stocks]]&gt;0,Table25[[#This Row],[Number of stocks]],0)</f>
        <v>0</v>
      </c>
      <c r="G1111" s="73">
        <f>Table25[[#This Row],[Bought]]*Table25[[#This Row],[Price]]</f>
        <v>0</v>
      </c>
      <c r="H1111">
        <f>SUMIF(Table25[[#All],[Assets]],Table25[[#This Row],[Assets]],Table25[[#All],[Bought]])</f>
        <v>128</v>
      </c>
      <c r="I1111">
        <f>SUMIF(Table25[[#All],[Assets]],Table25[[#This Row],[Assets]],Table25[[#All],[Bought Amount]])</f>
        <v>12533.52</v>
      </c>
      <c r="J1111" s="88">
        <f>IF(Table25[[#This Row],[Number of stocks]]&lt;0,Table25[[#This Row],[Number of stocks]],0)</f>
        <v>-15</v>
      </c>
      <c r="K1111" s="5">
        <f>Table25[[#This Row],[Sold]]*Table25[[#This Row],[Price]]</f>
        <v>-1872.75</v>
      </c>
      <c r="L1111" s="8">
        <f>ABS(SUMIF(Table25[[#All],[Assets]],Table25[[#This Row],[Assets]],Table25[[#All],[Sold]]))</f>
        <v>128</v>
      </c>
      <c r="M1111" s="5">
        <f>ABS(SUMIF(Table25[[#All],[Assets]],Table25[[#This Row],[Assets]],Table25[[#All],[Sold Amount]]))</f>
        <v>17148.419999999998</v>
      </c>
      <c r="N1111" s="5">
        <f>IFERROR(Table25[[#This Row],[Total sold amount]]/Table25[[#This Row],[Total Sold number of stocks]],"")</f>
        <v>133.97203124999999</v>
      </c>
      <c r="O1111" s="4">
        <f>IFERROR(Table25[[#This Row],[Total Amount bought]]/Table25[[#This Row],[Total number bought]],"")</f>
        <v>97.918125000000003</v>
      </c>
      <c r="P1111" s="4">
        <f>IFERROR((Table25[[#This Row],[Average sell price]]-Table25[[#This Row],[Average buy price]])*Table25[[#This Row],[Total Sold number of stocks]],0)</f>
        <v>4614.8999999999978</v>
      </c>
      <c r="Q1111" s="85">
        <f>SUMIF(Table25[[#All],[Assets]],Table25[[#This Row],[Assets]],Table25[[#All],[Number of stocks]])</f>
        <v>0</v>
      </c>
    </row>
    <row r="1112" spans="1:17">
      <c r="A1112" t="e" vm="13">
        <v>#VALUE!</v>
      </c>
      <c r="B1112" s="2">
        <v>45793</v>
      </c>
      <c r="C1112" t="str" cm="1">
        <f t="array" aca="1" ref="C1112" ca="1">_FV(A1112,"Ticker symbol",TRUE)</f>
        <v>ON</v>
      </c>
      <c r="D1112" s="4">
        <v>44.42</v>
      </c>
      <c r="E1112" s="50">
        <v>28</v>
      </c>
      <c r="F1112" s="81">
        <f>IF(Table25[[#This Row],[Number of stocks]]&gt;0,Table25[[#This Row],[Number of stocks]],0)</f>
        <v>28</v>
      </c>
      <c r="G1112" s="73">
        <f>Table25[[#This Row],[Bought]]*Table25[[#This Row],[Price]]</f>
        <v>1243.76</v>
      </c>
      <c r="H1112">
        <f>SUMIF(Table25[[#All],[Assets]],Table25[[#This Row],[Assets]],Table25[[#All],[Bought]])</f>
        <v>326</v>
      </c>
      <c r="I1112">
        <f>SUMIF(Table25[[#All],[Assets]],Table25[[#This Row],[Assets]],Table25[[#All],[Bought Amount]])</f>
        <v>19172.809999999998</v>
      </c>
      <c r="J1112" s="88">
        <f>IF(Table25[[#This Row],[Number of stocks]]&lt;0,Table25[[#This Row],[Number of stocks]],0)</f>
        <v>0</v>
      </c>
      <c r="K1112" s="5">
        <f>Table25[[#This Row],[Sold]]*Table25[[#This Row],[Price]]</f>
        <v>0</v>
      </c>
      <c r="L1112" s="8">
        <f>ABS(SUMIF(Table25[[#All],[Assets]],Table25[[#This Row],[Assets]],Table25[[#All],[Sold]]))</f>
        <v>283</v>
      </c>
      <c r="M1112" s="5">
        <f>ABS(SUMIF(Table25[[#All],[Assets]],Table25[[#This Row],[Assets]],Table25[[#All],[Sold Amount]]))</f>
        <v>15700.74</v>
      </c>
      <c r="N1112" s="5">
        <f>IFERROR(Table25[[#This Row],[Total sold amount]]/Table25[[#This Row],[Total Sold number of stocks]],"")</f>
        <v>55.47964664310954</v>
      </c>
      <c r="O1112" s="4">
        <f>IFERROR(Table25[[#This Row],[Total Amount bought]]/Table25[[#This Row],[Total number bought]],"")</f>
        <v>58.812300613496923</v>
      </c>
      <c r="P1112" s="4">
        <f>IFERROR((Table25[[#This Row],[Average sell price]]-Table25[[#This Row],[Average buy price]])*Table25[[#This Row],[Total Sold number of stocks]],0)</f>
        <v>-943.14107361962954</v>
      </c>
      <c r="Q1112" s="85">
        <f>SUMIF(Table25[[#All],[Assets]],Table25[[#This Row],[Assets]],Table25[[#All],[Number of stocks]])</f>
        <v>43</v>
      </c>
    </row>
    <row r="1113" spans="1:17">
      <c r="A1113" t="e" vm="169">
        <v>#VALUE!</v>
      </c>
      <c r="B1113" s="2">
        <v>45777</v>
      </c>
      <c r="C1113" t="str" cm="1">
        <f t="array" aca="1" ref="C1113" ca="1">_FV(A1113,"Ticker symbol",TRUE)</f>
        <v>CVS</v>
      </c>
      <c r="D1113" s="4">
        <v>65.62</v>
      </c>
      <c r="E1113" s="50">
        <v>-7</v>
      </c>
      <c r="F1113" s="81">
        <f>IF(Table25[[#This Row],[Number of stocks]]&gt;0,Table25[[#This Row],[Number of stocks]],0)</f>
        <v>0</v>
      </c>
      <c r="G1113" s="73">
        <f>Table25[[#This Row],[Bought]]*Table25[[#This Row],[Price]]</f>
        <v>0</v>
      </c>
      <c r="H1113">
        <f>SUMIF(Table25[[#All],[Assets]],Table25[[#This Row],[Assets]],Table25[[#All],[Bought]])</f>
        <v>104</v>
      </c>
      <c r="I1113">
        <f>SUMIF(Table25[[#All],[Assets]],Table25[[#This Row],[Assets]],Table25[[#All],[Bought Amount]])</f>
        <v>6111.46</v>
      </c>
      <c r="J1113" s="88">
        <f>IF(Table25[[#This Row],[Number of stocks]]&lt;0,Table25[[#This Row],[Number of stocks]],0)</f>
        <v>-7</v>
      </c>
      <c r="K1113" s="5">
        <f>Table25[[#This Row],[Sold]]*Table25[[#This Row],[Price]]</f>
        <v>-459.34000000000003</v>
      </c>
      <c r="L1113" s="8">
        <f>ABS(SUMIF(Table25[[#All],[Assets]],Table25[[#This Row],[Assets]],Table25[[#All],[Sold]]))</f>
        <v>104</v>
      </c>
      <c r="M1113" s="5">
        <f>ABS(SUMIF(Table25[[#All],[Assets]],Table25[[#This Row],[Assets]],Table25[[#All],[Sold Amount]]))</f>
        <v>6244.5899999999992</v>
      </c>
      <c r="N1113" s="5">
        <f>IFERROR(Table25[[#This Row],[Total sold amount]]/Table25[[#This Row],[Total Sold number of stocks]],"")</f>
        <v>60.044134615384607</v>
      </c>
      <c r="O1113" s="4">
        <f>IFERROR(Table25[[#This Row],[Total Amount bought]]/Table25[[#This Row],[Total number bought]],"")</f>
        <v>58.764038461538462</v>
      </c>
      <c r="P1113" s="4">
        <f>IFERROR((Table25[[#This Row],[Average sell price]]-Table25[[#This Row],[Average buy price]])*Table25[[#This Row],[Total Sold number of stocks]],0)</f>
        <v>133.12999999999909</v>
      </c>
      <c r="Q1113" s="85">
        <f>SUMIF(Table25[[#All],[Assets]],Table25[[#This Row],[Assets]],Table25[[#All],[Number of stocks]])</f>
        <v>0</v>
      </c>
    </row>
    <row r="1114" spans="1:17">
      <c r="A1114" t="e" vm="85">
        <v>#VALUE!</v>
      </c>
      <c r="B1114" s="2">
        <v>45778</v>
      </c>
      <c r="C1114" t="str" cm="1">
        <f t="array" aca="1" ref="C1114" ca="1">_FV(A1114,"Ticker symbol",TRUE)</f>
        <v>HOOD</v>
      </c>
      <c r="D1114" s="4">
        <v>49.05</v>
      </c>
      <c r="E1114" s="50">
        <v>11</v>
      </c>
      <c r="F1114" s="81">
        <f>IF(Table25[[#This Row],[Number of stocks]]&gt;0,Table25[[#This Row],[Number of stocks]],0)</f>
        <v>11</v>
      </c>
      <c r="G1114" s="73">
        <f>Table25[[#This Row],[Bought]]*Table25[[#This Row],[Price]]</f>
        <v>539.54999999999995</v>
      </c>
      <c r="H1114">
        <f>SUMIF(Table25[[#All],[Assets]],Table25[[#This Row],[Assets]],Table25[[#All],[Bought]])</f>
        <v>105</v>
      </c>
      <c r="I1114">
        <f>SUMIF(Table25[[#All],[Assets]],Table25[[#This Row],[Assets]],Table25[[#All],[Bought Amount]])</f>
        <v>4056.0900000000006</v>
      </c>
      <c r="J1114" s="88">
        <f>IF(Table25[[#This Row],[Number of stocks]]&lt;0,Table25[[#This Row],[Number of stocks]],0)</f>
        <v>0</v>
      </c>
      <c r="K1114" s="5">
        <f>Table25[[#This Row],[Sold]]*Table25[[#This Row],[Price]]</f>
        <v>0</v>
      </c>
      <c r="L1114" s="8">
        <f>ABS(SUMIF(Table25[[#All],[Assets]],Table25[[#This Row],[Assets]],Table25[[#All],[Sold]]))</f>
        <v>80</v>
      </c>
      <c r="M1114" s="5">
        <f>ABS(SUMIF(Table25[[#All],[Assets]],Table25[[#This Row],[Assets]],Table25[[#All],[Sold Amount]]))</f>
        <v>2255.4300000000003</v>
      </c>
      <c r="N1114" s="5">
        <f>IFERROR(Table25[[#This Row],[Total sold amount]]/Table25[[#This Row],[Total Sold number of stocks]],"")</f>
        <v>28.192875000000004</v>
      </c>
      <c r="O1114" s="4">
        <f>IFERROR(Table25[[#This Row],[Total Amount bought]]/Table25[[#This Row],[Total number bought]],"")</f>
        <v>38.629428571428576</v>
      </c>
      <c r="P1114" s="4">
        <f>IFERROR((Table25[[#This Row],[Average sell price]]-Table25[[#This Row],[Average buy price]])*Table25[[#This Row],[Total Sold number of stocks]],0)</f>
        <v>-834.92428571428582</v>
      </c>
      <c r="Q1114" s="85">
        <f>SUMIF(Table25[[#All],[Assets]],Table25[[#This Row],[Assets]],Table25[[#All],[Number of stocks]])</f>
        <v>25</v>
      </c>
    </row>
    <row r="1115" spans="1:17">
      <c r="A1115" t="e" vm="24">
        <v>#VALUE!</v>
      </c>
      <c r="B1115" s="2">
        <v>45778</v>
      </c>
      <c r="C1115" t="str" cm="1">
        <f t="array" aca="1" ref="C1115" ca="1">_FV(A1115,"Ticker symbol",TRUE)</f>
        <v>QCOM</v>
      </c>
      <c r="D1115" s="4">
        <v>135.97</v>
      </c>
      <c r="E1115" s="50">
        <v>4</v>
      </c>
      <c r="F1115" s="81">
        <f>IF(Table25[[#This Row],[Number of stocks]]&gt;0,Table25[[#This Row],[Number of stocks]],0)</f>
        <v>4</v>
      </c>
      <c r="G1115" s="73">
        <f>Table25[[#This Row],[Bought]]*Table25[[#This Row],[Price]]</f>
        <v>543.88</v>
      </c>
      <c r="H1115">
        <f>SUMIF(Table25[[#All],[Assets]],Table25[[#This Row],[Assets]],Table25[[#All],[Bought]])</f>
        <v>58</v>
      </c>
      <c r="I1115">
        <f>SUMIF(Table25[[#All],[Assets]],Table25[[#This Row],[Assets]],Table25[[#All],[Bought Amount]])</f>
        <v>9670.27</v>
      </c>
      <c r="J1115" s="88">
        <f>IF(Table25[[#This Row],[Number of stocks]]&lt;0,Table25[[#This Row],[Number of stocks]],0)</f>
        <v>0</v>
      </c>
      <c r="K1115" s="5">
        <f>Table25[[#This Row],[Sold]]*Table25[[#This Row],[Price]]</f>
        <v>0</v>
      </c>
      <c r="L1115" s="8">
        <f>ABS(SUMIF(Table25[[#All],[Assets]],Table25[[#This Row],[Assets]],Table25[[#All],[Sold]]))</f>
        <v>57</v>
      </c>
      <c r="M1115" s="5">
        <f>ABS(SUMIF(Table25[[#All],[Assets]],Table25[[#This Row],[Assets]],Table25[[#All],[Sold Amount]]))</f>
        <v>8530.1</v>
      </c>
      <c r="N1115" s="5">
        <f>IFERROR(Table25[[#This Row],[Total sold amount]]/Table25[[#This Row],[Total Sold number of stocks]],"")</f>
        <v>149.65087719298245</v>
      </c>
      <c r="O1115" s="4">
        <f>IFERROR(Table25[[#This Row],[Total Amount bought]]/Table25[[#This Row],[Total number bought]],"")</f>
        <v>166.72879310344828</v>
      </c>
      <c r="P1115" s="4">
        <f>IFERROR((Table25[[#This Row],[Average sell price]]-Table25[[#This Row],[Average buy price]])*Table25[[#This Row],[Total Sold number of stocks]],0)</f>
        <v>-973.44120689655256</v>
      </c>
      <c r="Q1115" s="85">
        <f>SUMIF(Table25[[#All],[Assets]],Table25[[#This Row],[Assets]],Table25[[#All],[Number of stocks]])</f>
        <v>1</v>
      </c>
    </row>
    <row r="1116" spans="1:17">
      <c r="A1116" t="e" vm="77">
        <v>#VALUE!</v>
      </c>
      <c r="B1116" s="2">
        <v>45778</v>
      </c>
      <c r="C1116" t="str" cm="1">
        <f t="array" aca="1" ref="C1116" ca="1">_FV(A1116,"Ticker symbol",TRUE)</f>
        <v>STIM</v>
      </c>
      <c r="D1116" s="4">
        <v>4.3899999999999997</v>
      </c>
      <c r="E1116" s="50">
        <v>-280</v>
      </c>
      <c r="F1116" s="81">
        <f>IF(Table25[[#This Row],[Number of stocks]]&gt;0,Table25[[#This Row],[Number of stocks]],0)</f>
        <v>0</v>
      </c>
      <c r="G1116" s="73">
        <f>Table25[[#This Row],[Bought]]*Table25[[#This Row],[Price]]</f>
        <v>0</v>
      </c>
      <c r="H1116">
        <f>SUMIF(Table25[[#All],[Assets]],Table25[[#This Row],[Assets]],Table25[[#All],[Bought]])</f>
        <v>7036.45</v>
      </c>
      <c r="I1116">
        <f>SUMIF(Table25[[#All],[Assets]],Table25[[#This Row],[Assets]],Table25[[#All],[Bought Amount]])</f>
        <v>19162.260000000002</v>
      </c>
      <c r="J1116" s="88">
        <f>IF(Table25[[#This Row],[Number of stocks]]&lt;0,Table25[[#This Row],[Number of stocks]],0)</f>
        <v>-280</v>
      </c>
      <c r="K1116" s="5">
        <f>Table25[[#This Row],[Sold]]*Table25[[#This Row],[Price]]</f>
        <v>-1229.1999999999998</v>
      </c>
      <c r="L1116" s="8">
        <f>ABS(SUMIF(Table25[[#All],[Assets]],Table25[[#This Row],[Assets]],Table25[[#All],[Sold]]))</f>
        <v>6686.45</v>
      </c>
      <c r="M1116" s="5">
        <f>ABS(SUMIF(Table25[[#All],[Assets]],Table25[[#This Row],[Assets]],Table25[[#All],[Sold Amount]]))</f>
        <v>19226.484999999997</v>
      </c>
      <c r="N1116" s="5">
        <f>IFERROR(Table25[[#This Row],[Total sold amount]]/Table25[[#This Row],[Total Sold number of stocks]],"")</f>
        <v>2.8754398821497205</v>
      </c>
      <c r="O1116" s="4">
        <f>IFERROR(Table25[[#This Row],[Total Amount bought]]/Table25[[#This Row],[Total number bought]],"")</f>
        <v>2.7232851793162749</v>
      </c>
      <c r="P1116" s="4">
        <f>IFERROR((Table25[[#This Row],[Average sell price]]-Table25[[#This Row],[Average buy price]])*Table25[[#This Row],[Total Sold number of stocks]],0)</f>
        <v>1017.3748127606921</v>
      </c>
      <c r="Q1116" s="85">
        <f>SUMIF(Table25[[#All],[Assets]],Table25[[#This Row],[Assets]],Table25[[#All],[Number of stocks]])</f>
        <v>349.99999999999977</v>
      </c>
    </row>
    <row r="1117" spans="1:17">
      <c r="A1117" t="e" vm="153">
        <v>#VALUE!</v>
      </c>
      <c r="B1117" s="2">
        <v>45778</v>
      </c>
      <c r="C1117" t="str" cm="1">
        <f t="array" aca="1" ref="C1117" ca="1">_FV(A1117,"Ticker symbol",TRUE)</f>
        <v>DDOG</v>
      </c>
      <c r="D1117" s="4">
        <v>105.69</v>
      </c>
      <c r="E1117" s="50">
        <v>5</v>
      </c>
      <c r="F1117" s="81">
        <f>IF(Table25[[#This Row],[Number of stocks]]&gt;0,Table25[[#This Row],[Number of stocks]],0)</f>
        <v>5</v>
      </c>
      <c r="G1117" s="73">
        <f>Table25[[#This Row],[Bought]]*Table25[[#This Row],[Price]]</f>
        <v>528.45000000000005</v>
      </c>
      <c r="H1117">
        <f>SUMIF(Table25[[#All],[Assets]],Table25[[#This Row],[Assets]],Table25[[#All],[Bought]])</f>
        <v>5</v>
      </c>
      <c r="I1117">
        <f>SUMIF(Table25[[#All],[Assets]],Table25[[#This Row],[Assets]],Table25[[#All],[Bought Amount]])</f>
        <v>528.45000000000005</v>
      </c>
      <c r="J1117" s="88">
        <f>IF(Table25[[#This Row],[Number of stocks]]&lt;0,Table25[[#This Row],[Number of stocks]],0)</f>
        <v>0</v>
      </c>
      <c r="K1117" s="5">
        <f>Table25[[#This Row],[Sold]]*Table25[[#This Row],[Price]]</f>
        <v>0</v>
      </c>
      <c r="L1117" s="8">
        <f>ABS(SUMIF(Table25[[#All],[Assets]],Table25[[#This Row],[Assets]],Table25[[#All],[Sold]]))</f>
        <v>5</v>
      </c>
      <c r="M1117" s="5">
        <f>ABS(SUMIF(Table25[[#All],[Assets]],Table25[[#This Row],[Assets]],Table25[[#All],[Sold Amount]]))</f>
        <v>741.5</v>
      </c>
      <c r="N1117" s="5">
        <f>IFERROR(Table25[[#This Row],[Total sold amount]]/Table25[[#This Row],[Total Sold number of stocks]],"")</f>
        <v>148.30000000000001</v>
      </c>
      <c r="O1117" s="4">
        <f>IFERROR(Table25[[#This Row],[Total Amount bought]]/Table25[[#This Row],[Total number bought]],"")</f>
        <v>105.69000000000001</v>
      </c>
      <c r="P1117" s="4">
        <f>IFERROR((Table25[[#This Row],[Average sell price]]-Table25[[#This Row],[Average buy price]])*Table25[[#This Row],[Total Sold number of stocks]],0)</f>
        <v>213.05</v>
      </c>
      <c r="Q1117" s="85">
        <f>SUMIF(Table25[[#All],[Assets]],Table25[[#This Row],[Assets]],Table25[[#All],[Number of stocks]])</f>
        <v>0</v>
      </c>
    </row>
    <row r="1118" spans="1:17">
      <c r="A1118" t="e" vm="37">
        <v>#VALUE!</v>
      </c>
      <c r="B1118" s="2">
        <v>45778</v>
      </c>
      <c r="C1118" t="str" cm="1">
        <f t="array" aca="1" ref="C1118" ca="1">_FV(A1118,"Ticker symbol",TRUE)</f>
        <v>AMD</v>
      </c>
      <c r="D1118" s="4">
        <v>99.41</v>
      </c>
      <c r="E1118" s="50">
        <v>5</v>
      </c>
      <c r="F1118" s="81">
        <f>IF(Table25[[#This Row],[Number of stocks]]&gt;0,Table25[[#This Row],[Number of stocks]],0)</f>
        <v>5</v>
      </c>
      <c r="G1118" s="73">
        <f>Table25[[#This Row],[Bought]]*Table25[[#This Row],[Price]]</f>
        <v>497.04999999999995</v>
      </c>
      <c r="H1118">
        <f>SUMIF(Table25[[#All],[Assets]],Table25[[#This Row],[Assets]],Table25[[#All],[Bought]])</f>
        <v>41</v>
      </c>
      <c r="I1118">
        <f>SUMIF(Table25[[#All],[Assets]],Table25[[#This Row],[Assets]],Table25[[#All],[Bought Amount]])</f>
        <v>5552.8399999999992</v>
      </c>
      <c r="J1118" s="88">
        <f>IF(Table25[[#This Row],[Number of stocks]]&lt;0,Table25[[#This Row],[Number of stocks]],0)</f>
        <v>0</v>
      </c>
      <c r="K1118" s="5">
        <f>Table25[[#This Row],[Sold]]*Table25[[#This Row],[Price]]</f>
        <v>0</v>
      </c>
      <c r="L1118" s="8">
        <f>ABS(SUMIF(Table25[[#All],[Assets]],Table25[[#This Row],[Assets]],Table25[[#All],[Sold]]))</f>
        <v>23</v>
      </c>
      <c r="M1118" s="5">
        <f>ABS(SUMIF(Table25[[#All],[Assets]],Table25[[#This Row],[Assets]],Table25[[#All],[Sold Amount]]))</f>
        <v>3203.4199999999996</v>
      </c>
      <c r="N1118" s="5">
        <f>IFERROR(Table25[[#This Row],[Total sold amount]]/Table25[[#This Row],[Total Sold number of stocks]],"")</f>
        <v>139.27913043478259</v>
      </c>
      <c r="O1118" s="4">
        <f>IFERROR(Table25[[#This Row],[Total Amount bought]]/Table25[[#This Row],[Total number bought]],"")</f>
        <v>135.43512195121949</v>
      </c>
      <c r="P1118" s="4">
        <f>IFERROR((Table25[[#This Row],[Average sell price]]-Table25[[#This Row],[Average buy price]])*Table25[[#This Row],[Total Sold number of stocks]],0)</f>
        <v>88.412195121951328</v>
      </c>
      <c r="Q1118" s="85">
        <f>SUMIF(Table25[[#All],[Assets]],Table25[[#This Row],[Assets]],Table25[[#All],[Number of stocks]])</f>
        <v>18</v>
      </c>
    </row>
    <row r="1119" spans="1:17">
      <c r="A1119" t="e" vm="99">
        <v>#VALUE!</v>
      </c>
      <c r="B1119" s="2">
        <v>45778</v>
      </c>
      <c r="C1119" t="str" cm="1">
        <f t="array" aca="1" ref="C1119" ca="1">_FV(A1119,"Ticker symbol",TRUE)</f>
        <v>CSCO</v>
      </c>
      <c r="D1119" s="4">
        <v>58.36</v>
      </c>
      <c r="E1119" s="50">
        <v>3</v>
      </c>
      <c r="F1119" s="81">
        <f>IF(Table25[[#This Row],[Number of stocks]]&gt;0,Table25[[#This Row],[Number of stocks]],0)</f>
        <v>3</v>
      </c>
      <c r="G1119" s="73">
        <f>Table25[[#This Row],[Bought]]*Table25[[#This Row],[Price]]</f>
        <v>175.07999999999998</v>
      </c>
      <c r="H1119">
        <f>SUMIF(Table25[[#All],[Assets]],Table25[[#This Row],[Assets]],Table25[[#All],[Bought]])</f>
        <v>23</v>
      </c>
      <c r="I1119">
        <f>SUMIF(Table25[[#All],[Assets]],Table25[[#This Row],[Assets]],Table25[[#All],[Bought Amount]])</f>
        <v>1173.48</v>
      </c>
      <c r="J1119" s="88">
        <f>IF(Table25[[#This Row],[Number of stocks]]&lt;0,Table25[[#This Row],[Number of stocks]],0)</f>
        <v>0</v>
      </c>
      <c r="K1119" s="5">
        <f>Table25[[#This Row],[Sold]]*Table25[[#This Row],[Price]]</f>
        <v>0</v>
      </c>
      <c r="L1119" s="8">
        <f>ABS(SUMIF(Table25[[#All],[Assets]],Table25[[#This Row],[Assets]],Table25[[#All],[Sold]]))</f>
        <v>23</v>
      </c>
      <c r="M1119" s="5">
        <f>ABS(SUMIF(Table25[[#All],[Assets]],Table25[[#This Row],[Assets]],Table25[[#All],[Sold Amount]]))</f>
        <v>1405.67</v>
      </c>
      <c r="N1119" s="5">
        <f>IFERROR(Table25[[#This Row],[Total sold amount]]/Table25[[#This Row],[Total Sold number of stocks]],"")</f>
        <v>61.116086956521741</v>
      </c>
      <c r="O1119" s="4">
        <f>IFERROR(Table25[[#This Row],[Total Amount bought]]/Table25[[#This Row],[Total number bought]],"")</f>
        <v>51.020869565217389</v>
      </c>
      <c r="P1119" s="4">
        <f>IFERROR((Table25[[#This Row],[Average sell price]]-Table25[[#This Row],[Average buy price]])*Table25[[#This Row],[Total Sold number of stocks]],0)</f>
        <v>232.19000000000011</v>
      </c>
      <c r="Q1119" s="85">
        <f>SUMIF(Table25[[#All],[Assets]],Table25[[#This Row],[Assets]],Table25[[#All],[Number of stocks]])</f>
        <v>0</v>
      </c>
    </row>
    <row r="1120" spans="1:17">
      <c r="A1120" t="e" vm="555">
        <v>#VALUE!</v>
      </c>
      <c r="B1120" s="2">
        <v>45778</v>
      </c>
      <c r="C1120" t="str" cm="1">
        <f t="array" aca="1" ref="C1120" ca="1">_FV(A1120,"Ticker symbol",TRUE)</f>
        <v>RDFN</v>
      </c>
      <c r="D1120" s="4">
        <v>9.5500000000000007</v>
      </c>
      <c r="E1120" s="50">
        <v>-60</v>
      </c>
      <c r="F1120" s="81">
        <f>IF(Table25[[#This Row],[Number of stocks]]&gt;0,Table25[[#This Row],[Number of stocks]],0)</f>
        <v>0</v>
      </c>
      <c r="G1120" s="73">
        <f>Table25[[#This Row],[Bought]]*Table25[[#This Row],[Price]]</f>
        <v>0</v>
      </c>
      <c r="H1120">
        <f>SUMIF(Table25[[#All],[Assets]],Table25[[#This Row],[Assets]],Table25[[#All],[Bought]])</f>
        <v>120</v>
      </c>
      <c r="I1120">
        <f>SUMIF(Table25[[#All],[Assets]],Table25[[#This Row],[Assets]],Table25[[#All],[Bought Amount]])</f>
        <v>983.99999999999989</v>
      </c>
      <c r="J1120" s="88">
        <f>IF(Table25[[#This Row],[Number of stocks]]&lt;0,Table25[[#This Row],[Number of stocks]],0)</f>
        <v>-60</v>
      </c>
      <c r="K1120" s="5">
        <f>Table25[[#This Row],[Sold]]*Table25[[#This Row],[Price]]</f>
        <v>-573</v>
      </c>
      <c r="L1120" s="8">
        <f>ABS(SUMIF(Table25[[#All],[Assets]],Table25[[#This Row],[Assets]],Table25[[#All],[Sold]]))</f>
        <v>120</v>
      </c>
      <c r="M1120" s="5">
        <f>ABS(SUMIF(Table25[[#All],[Assets]],Table25[[#This Row],[Assets]],Table25[[#All],[Sold Amount]]))</f>
        <v>1177.8</v>
      </c>
      <c r="N1120" s="5">
        <f>IFERROR(Table25[[#This Row],[Total sold amount]]/Table25[[#This Row],[Total Sold number of stocks]],"")</f>
        <v>9.8149999999999995</v>
      </c>
      <c r="O1120" s="4">
        <f>IFERROR(Table25[[#This Row],[Total Amount bought]]/Table25[[#This Row],[Total number bought]],"")</f>
        <v>8.1999999999999993</v>
      </c>
      <c r="P1120" s="4">
        <f>IFERROR((Table25[[#This Row],[Average sell price]]-Table25[[#This Row],[Average buy price]])*Table25[[#This Row],[Total Sold number of stocks]],0)</f>
        <v>193.8</v>
      </c>
      <c r="Q1120" s="85">
        <f>SUMIF(Table25[[#All],[Assets]],Table25[[#This Row],[Assets]],Table25[[#All],[Number of stocks]])</f>
        <v>0</v>
      </c>
    </row>
    <row r="1121" spans="1:17">
      <c r="A1121" t="e" vm="35">
        <v>#VALUE!</v>
      </c>
      <c r="B1121" s="2">
        <v>45778</v>
      </c>
      <c r="C1121" t="str" cm="1">
        <f t="array" aca="1" ref="C1121" ca="1">_FV(A1121,"Ticker symbol",TRUE)</f>
        <v>VRT</v>
      </c>
      <c r="D1121" s="4">
        <v>93.21</v>
      </c>
      <c r="E1121" s="50">
        <v>7</v>
      </c>
      <c r="F1121" s="81">
        <f>IF(Table25[[#This Row],[Number of stocks]]&gt;0,Table25[[#This Row],[Number of stocks]],0)</f>
        <v>7</v>
      </c>
      <c r="G1121" s="73">
        <f>Table25[[#This Row],[Bought]]*Table25[[#This Row],[Price]]</f>
        <v>652.46999999999991</v>
      </c>
      <c r="H1121">
        <f>SUMIF(Table25[[#All],[Assets]],Table25[[#This Row],[Assets]],Table25[[#All],[Bought]])</f>
        <v>24</v>
      </c>
      <c r="I1121">
        <f>SUMIF(Table25[[#All],[Assets]],Table25[[#This Row],[Assets]],Table25[[#All],[Bought Amount]])</f>
        <v>2071.3599999999997</v>
      </c>
      <c r="J1121" s="88">
        <f>IF(Table25[[#This Row],[Number of stocks]]&lt;0,Table25[[#This Row],[Number of stocks]],0)</f>
        <v>0</v>
      </c>
      <c r="K1121" s="5">
        <f>Table25[[#This Row],[Sold]]*Table25[[#This Row],[Price]]</f>
        <v>0</v>
      </c>
      <c r="L1121" s="8">
        <f>ABS(SUMIF(Table25[[#All],[Assets]],Table25[[#This Row],[Assets]],Table25[[#All],[Sold]]))</f>
        <v>24</v>
      </c>
      <c r="M1121" s="5">
        <f>ABS(SUMIF(Table25[[#All],[Assets]],Table25[[#This Row],[Assets]],Table25[[#All],[Sold Amount]]))</f>
        <v>2694.0499999999997</v>
      </c>
      <c r="N1121" s="5">
        <f>IFERROR(Table25[[#This Row],[Total sold amount]]/Table25[[#This Row],[Total Sold number of stocks]],"")</f>
        <v>112.25208333333332</v>
      </c>
      <c r="O1121" s="4">
        <f>IFERROR(Table25[[#This Row],[Total Amount bought]]/Table25[[#This Row],[Total number bought]],"")</f>
        <v>86.306666666666658</v>
      </c>
      <c r="P1121" s="4">
        <f>IFERROR((Table25[[#This Row],[Average sell price]]-Table25[[#This Row],[Average buy price]])*Table25[[#This Row],[Total Sold number of stocks]],0)</f>
        <v>622.68999999999983</v>
      </c>
      <c r="Q1121" s="85">
        <f>SUMIF(Table25[[#All],[Assets]],Table25[[#This Row],[Assets]],Table25[[#All],[Number of stocks]])</f>
        <v>0</v>
      </c>
    </row>
    <row r="1122" spans="1:17">
      <c r="A1122" t="e" vm="71">
        <v>#VALUE!</v>
      </c>
      <c r="B1122" s="2">
        <v>45778</v>
      </c>
      <c r="C1122" t="str" cm="1">
        <f t="array" aca="1" ref="C1122" ca="1">_FV(A1122,"Ticker symbol",TRUE)</f>
        <v>TKNO</v>
      </c>
      <c r="D1122" s="4">
        <v>6.64</v>
      </c>
      <c r="E1122" s="50">
        <v>-130</v>
      </c>
      <c r="F1122" s="81">
        <f>IF(Table25[[#This Row],[Number of stocks]]&gt;0,Table25[[#This Row],[Number of stocks]],0)</f>
        <v>0</v>
      </c>
      <c r="G1122" s="73">
        <f>Table25[[#This Row],[Bought]]*Table25[[#This Row],[Price]]</f>
        <v>0</v>
      </c>
      <c r="H1122">
        <f>SUMIF(Table25[[#All],[Assets]],Table25[[#This Row],[Assets]],Table25[[#All],[Bought]])</f>
        <v>2166.0267990000002</v>
      </c>
      <c r="I1122">
        <f>SUMIF(Table25[[#All],[Assets]],Table25[[#This Row],[Assets]],Table25[[#All],[Bought Amount]])</f>
        <v>13370.91512648</v>
      </c>
      <c r="J1122" s="88">
        <f>IF(Table25[[#This Row],[Number of stocks]]&lt;0,Table25[[#This Row],[Number of stocks]],0)</f>
        <v>-130</v>
      </c>
      <c r="K1122" s="5">
        <f>Table25[[#This Row],[Sold]]*Table25[[#This Row],[Price]]</f>
        <v>-863.19999999999993</v>
      </c>
      <c r="L1122" s="8">
        <f>ABS(SUMIF(Table25[[#All],[Assets]],Table25[[#This Row],[Assets]],Table25[[#All],[Sold]]))</f>
        <v>2083</v>
      </c>
      <c r="M1122" s="5">
        <f>ABS(SUMIF(Table25[[#All],[Assets]],Table25[[#This Row],[Assets]],Table25[[#All],[Sold Amount]]))</f>
        <v>11153.28</v>
      </c>
      <c r="N1122" s="5">
        <f>IFERROR(Table25[[#This Row],[Total sold amount]]/Table25[[#This Row],[Total Sold number of stocks]],"")</f>
        <v>5.3544311089774368</v>
      </c>
      <c r="O1122" s="4">
        <f>IFERROR(Table25[[#This Row],[Total Amount bought]]/Table25[[#This Row],[Total number bought]],"")</f>
        <v>6.1730146333614213</v>
      </c>
      <c r="P1122" s="4">
        <f>IFERROR((Table25[[#This Row],[Average sell price]]-Table25[[#This Row],[Average buy price]])*Table25[[#This Row],[Total Sold number of stocks]],0)</f>
        <v>-1705.1094812918398</v>
      </c>
      <c r="Q1122" s="85">
        <f>SUMIF(Table25[[#All],[Assets]],Table25[[#This Row],[Assets]],Table25[[#All],[Number of stocks]])</f>
        <v>83.026798999999983</v>
      </c>
    </row>
    <row r="1123" spans="1:17">
      <c r="A1123" t="e" vm="211">
        <v>#VALUE!</v>
      </c>
      <c r="B1123" s="2">
        <v>45778</v>
      </c>
      <c r="C1123" t="str" cm="1">
        <f t="array" aca="1" ref="C1123" ca="1">_FV(A1123,"Ticker symbol",TRUE)</f>
        <v>GME</v>
      </c>
      <c r="D1123" s="4">
        <v>27.75</v>
      </c>
      <c r="E1123" s="50">
        <v>13</v>
      </c>
      <c r="F1123" s="81">
        <f>IF(Table25[[#This Row],[Number of stocks]]&gt;0,Table25[[#This Row],[Number of stocks]],0)</f>
        <v>13</v>
      </c>
      <c r="G1123" s="73">
        <f>Table25[[#This Row],[Bought]]*Table25[[#This Row],[Price]]</f>
        <v>360.75</v>
      </c>
      <c r="H1123">
        <f>SUMIF(Table25[[#All],[Assets]],Table25[[#This Row],[Assets]],Table25[[#All],[Bought]])</f>
        <v>207</v>
      </c>
      <c r="I1123">
        <f>SUMIF(Table25[[#All],[Assets]],Table25[[#This Row],[Assets]],Table25[[#All],[Bought Amount]])</f>
        <v>5127.2700000000004</v>
      </c>
      <c r="J1123" s="88">
        <f>IF(Table25[[#This Row],[Number of stocks]]&lt;0,Table25[[#This Row],[Number of stocks]],0)</f>
        <v>0</v>
      </c>
      <c r="K1123" s="5">
        <f>Table25[[#This Row],[Sold]]*Table25[[#This Row],[Price]]</f>
        <v>0</v>
      </c>
      <c r="L1123" s="8">
        <f>ABS(SUMIF(Table25[[#All],[Assets]],Table25[[#This Row],[Assets]],Table25[[#All],[Sold]]))</f>
        <v>181</v>
      </c>
      <c r="M1123" s="5">
        <f>ABS(SUMIF(Table25[[#All],[Assets]],Table25[[#This Row],[Assets]],Table25[[#All],[Sold Amount]]))</f>
        <v>4186.9799999999996</v>
      </c>
      <c r="N1123" s="5">
        <f>IFERROR(Table25[[#This Row],[Total sold amount]]/Table25[[#This Row],[Total Sold number of stocks]],"")</f>
        <v>23.132486187845302</v>
      </c>
      <c r="O1123" s="4">
        <f>IFERROR(Table25[[#This Row],[Total Amount bought]]/Table25[[#This Row],[Total number bought]],"")</f>
        <v>24.769420289855073</v>
      </c>
      <c r="P1123" s="4">
        <f>IFERROR((Table25[[#This Row],[Average sell price]]-Table25[[#This Row],[Average buy price]])*Table25[[#This Row],[Total Sold number of stocks]],0)</f>
        <v>-296.28507246376864</v>
      </c>
      <c r="Q1123" s="85">
        <f>SUMIF(Table25[[#All],[Assets]],Table25[[#This Row],[Assets]],Table25[[#All],[Number of stocks]])</f>
        <v>26</v>
      </c>
    </row>
    <row r="1124" spans="1:17">
      <c r="A1124" t="e" vm="183">
        <v>#VALUE!</v>
      </c>
      <c r="B1124" s="2">
        <v>45778</v>
      </c>
      <c r="C1124" t="str" cm="1">
        <f t="array" aca="1" ref="C1124" ca="1">_FV(A1124,"Ticker symbol",TRUE)</f>
        <v>ESOA</v>
      </c>
      <c r="D1124" s="4">
        <v>8.9700000000000006</v>
      </c>
      <c r="E1124" s="50">
        <v>-60</v>
      </c>
      <c r="F1124" s="81">
        <f>IF(Table25[[#This Row],[Number of stocks]]&gt;0,Table25[[#This Row],[Number of stocks]],0)</f>
        <v>0</v>
      </c>
      <c r="G1124" s="73">
        <f>Table25[[#This Row],[Bought]]*Table25[[#This Row],[Price]]</f>
        <v>0</v>
      </c>
      <c r="H1124">
        <f>SUMIF(Table25[[#All],[Assets]],Table25[[#This Row],[Assets]],Table25[[#All],[Bought]])</f>
        <v>1832</v>
      </c>
      <c r="I1124">
        <f>SUMIF(Table25[[#All],[Assets]],Table25[[#This Row],[Assets]],Table25[[#All],[Bought Amount]])</f>
        <v>18152.78</v>
      </c>
      <c r="J1124" s="88">
        <f>IF(Table25[[#This Row],[Number of stocks]]&lt;0,Table25[[#This Row],[Number of stocks]],0)</f>
        <v>-60</v>
      </c>
      <c r="K1124" s="5">
        <f>Table25[[#This Row],[Sold]]*Table25[[#This Row],[Price]]</f>
        <v>-538.20000000000005</v>
      </c>
      <c r="L1124" s="8">
        <f>ABS(SUMIF(Table25[[#All],[Assets]],Table25[[#This Row],[Assets]],Table25[[#All],[Sold]]))</f>
        <v>1568</v>
      </c>
      <c r="M1124" s="5">
        <f>ABS(SUMIF(Table25[[#All],[Assets]],Table25[[#This Row],[Assets]],Table25[[#All],[Sold Amount]]))</f>
        <v>14668</v>
      </c>
      <c r="N1124" s="5">
        <f>IFERROR(Table25[[#This Row],[Total sold amount]]/Table25[[#This Row],[Total Sold number of stocks]],"")</f>
        <v>9.3545918367346932</v>
      </c>
      <c r="O1124" s="4">
        <f>IFERROR(Table25[[#This Row],[Total Amount bought]]/Table25[[#This Row],[Total number bought]],"")</f>
        <v>9.9087227074235802</v>
      </c>
      <c r="P1124" s="4">
        <f>IFERROR((Table25[[#This Row],[Average sell price]]-Table25[[#This Row],[Average buy price]])*Table25[[#This Row],[Total Sold number of stocks]],0)</f>
        <v>-868.87720524017482</v>
      </c>
      <c r="Q1124" s="85">
        <f>SUMIF(Table25[[#All],[Assets]],Table25[[#This Row],[Assets]],Table25[[#All],[Number of stocks]])</f>
        <v>264</v>
      </c>
    </row>
    <row r="1125" spans="1:17">
      <c r="A1125" t="e" vm="514">
        <v>#VALUE!</v>
      </c>
      <c r="B1125" s="2">
        <v>45778</v>
      </c>
      <c r="C1125" t="str" cm="1">
        <f t="array" aca="1" ref="C1125" ca="1">_FV(A1125,"Ticker symbol",TRUE)</f>
        <v>PTLO</v>
      </c>
      <c r="D1125" s="4">
        <v>10.199999999999999</v>
      </c>
      <c r="E1125" s="50">
        <v>-50</v>
      </c>
      <c r="F1125" s="81">
        <f>IF(Table25[[#This Row],[Number of stocks]]&gt;0,Table25[[#This Row],[Number of stocks]],0)</f>
        <v>0</v>
      </c>
      <c r="G1125" s="73">
        <f>Table25[[#This Row],[Bought]]*Table25[[#This Row],[Price]]</f>
        <v>0</v>
      </c>
      <c r="H1125">
        <f>SUMIF(Table25[[#All],[Assets]],Table25[[#This Row],[Assets]],Table25[[#All],[Bought]])</f>
        <v>200</v>
      </c>
      <c r="I1125">
        <f>SUMIF(Table25[[#All],[Assets]],Table25[[#This Row],[Assets]],Table25[[#All],[Bought Amount]])</f>
        <v>1914</v>
      </c>
      <c r="J1125" s="88">
        <f>IF(Table25[[#This Row],[Number of stocks]]&lt;0,Table25[[#This Row],[Number of stocks]],0)</f>
        <v>-50</v>
      </c>
      <c r="K1125" s="5">
        <f>Table25[[#This Row],[Sold]]*Table25[[#This Row],[Price]]</f>
        <v>-509.99999999999994</v>
      </c>
      <c r="L1125" s="8">
        <f>ABS(SUMIF(Table25[[#All],[Assets]],Table25[[#This Row],[Assets]],Table25[[#All],[Sold]]))</f>
        <v>200</v>
      </c>
      <c r="M1125" s="5">
        <f>ABS(SUMIF(Table25[[#All],[Assets]],Table25[[#This Row],[Assets]],Table25[[#All],[Sold Amount]]))</f>
        <v>2685.5</v>
      </c>
      <c r="N1125" s="5">
        <f>IFERROR(Table25[[#This Row],[Total sold amount]]/Table25[[#This Row],[Total Sold number of stocks]],"")</f>
        <v>13.4275</v>
      </c>
      <c r="O1125" s="4">
        <f>IFERROR(Table25[[#This Row],[Total Amount bought]]/Table25[[#This Row],[Total number bought]],"")</f>
        <v>9.57</v>
      </c>
      <c r="P1125" s="4">
        <f>IFERROR((Table25[[#This Row],[Average sell price]]-Table25[[#This Row],[Average buy price]])*Table25[[#This Row],[Total Sold number of stocks]],0)</f>
        <v>771.5</v>
      </c>
      <c r="Q1125" s="85">
        <f>SUMIF(Table25[[#All],[Assets]],Table25[[#This Row],[Assets]],Table25[[#All],[Number of stocks]])</f>
        <v>0</v>
      </c>
    </row>
    <row r="1126" spans="1:17">
      <c r="A1126" t="e" vm="83">
        <v>#VALUE!</v>
      </c>
      <c r="B1126" s="2">
        <v>45778</v>
      </c>
      <c r="C1126" t="str" cm="1">
        <f t="array" aca="1" ref="C1126" ca="1">_FV(A1126,"Ticker symbol",TRUE)</f>
        <v>FOA</v>
      </c>
      <c r="D1126" s="4">
        <v>21.01</v>
      </c>
      <c r="E1126" s="50">
        <v>24</v>
      </c>
      <c r="F1126" s="81">
        <f>IF(Table25[[#This Row],[Number of stocks]]&gt;0,Table25[[#This Row],[Number of stocks]],0)</f>
        <v>24</v>
      </c>
      <c r="G1126" s="73">
        <f>Table25[[#This Row],[Bought]]*Table25[[#This Row],[Price]]</f>
        <v>504.24</v>
      </c>
      <c r="H1126">
        <f>SUMIF(Table25[[#All],[Assets]],Table25[[#This Row],[Assets]],Table25[[#All],[Bought]])</f>
        <v>203</v>
      </c>
      <c r="I1126">
        <f>SUMIF(Table25[[#All],[Assets]],Table25[[#This Row],[Assets]],Table25[[#All],[Bought Amount]])</f>
        <v>4881.38</v>
      </c>
      <c r="J1126" s="88">
        <f>IF(Table25[[#This Row],[Number of stocks]]&lt;0,Table25[[#This Row],[Number of stocks]],0)</f>
        <v>0</v>
      </c>
      <c r="K1126" s="5">
        <f>Table25[[#This Row],[Sold]]*Table25[[#This Row],[Price]]</f>
        <v>0</v>
      </c>
      <c r="L1126" s="8">
        <f>ABS(SUMIF(Table25[[#All],[Assets]],Table25[[#This Row],[Assets]],Table25[[#All],[Sold]]))</f>
        <v>203</v>
      </c>
      <c r="M1126" s="5">
        <f>ABS(SUMIF(Table25[[#All],[Assets]],Table25[[#This Row],[Assets]],Table25[[#All],[Sold Amount]]))</f>
        <v>4534.54</v>
      </c>
      <c r="N1126" s="5">
        <f>IFERROR(Table25[[#This Row],[Total sold amount]]/Table25[[#This Row],[Total Sold number of stocks]],"")</f>
        <v>22.337635467980295</v>
      </c>
      <c r="O1126" s="4">
        <f>IFERROR(Table25[[#This Row],[Total Amount bought]]/Table25[[#This Row],[Total number bought]],"")</f>
        <v>24.046206896551723</v>
      </c>
      <c r="P1126" s="4">
        <f>IFERROR((Table25[[#This Row],[Average sell price]]-Table25[[#This Row],[Average buy price]])*Table25[[#This Row],[Total Sold number of stocks]],0)</f>
        <v>-346.83999999999992</v>
      </c>
      <c r="Q1126" s="85">
        <f>SUMIF(Table25[[#All],[Assets]],Table25[[#This Row],[Assets]],Table25[[#All],[Number of stocks]])</f>
        <v>0</v>
      </c>
    </row>
    <row r="1127" spans="1:17">
      <c r="A1127" t="e" vm="40">
        <v>#VALUE!</v>
      </c>
      <c r="B1127" s="2">
        <v>45779</v>
      </c>
      <c r="C1127" t="str" cm="1">
        <f t="array" aca="1" ref="C1127" ca="1">_FV(A1127,"Ticker symbol",TRUE)</f>
        <v>ECG</v>
      </c>
      <c r="D1127" s="4">
        <v>44.18</v>
      </c>
      <c r="E1127" s="50">
        <v>13</v>
      </c>
      <c r="F1127" s="81">
        <f>IF(Table25[[#This Row],[Number of stocks]]&gt;0,Table25[[#This Row],[Number of stocks]],0)</f>
        <v>13</v>
      </c>
      <c r="G1127" s="73">
        <f>Table25[[#This Row],[Bought]]*Table25[[#This Row],[Price]]</f>
        <v>574.34</v>
      </c>
      <c r="H1127">
        <f>SUMIF(Table25[[#All],[Assets]],Table25[[#This Row],[Assets]],Table25[[#All],[Bought]])</f>
        <v>15</v>
      </c>
      <c r="I1127">
        <f>SUMIF(Table25[[#All],[Assets]],Table25[[#This Row],[Assets]],Table25[[#All],[Bought Amount]])</f>
        <v>667.46</v>
      </c>
      <c r="J1127" s="88">
        <f>IF(Table25[[#This Row],[Number of stocks]]&lt;0,Table25[[#This Row],[Number of stocks]],0)</f>
        <v>0</v>
      </c>
      <c r="K1127" s="5">
        <f>Table25[[#This Row],[Sold]]*Table25[[#This Row],[Price]]</f>
        <v>0</v>
      </c>
      <c r="L1127" s="8">
        <f>ABS(SUMIF(Table25[[#All],[Assets]],Table25[[#This Row],[Assets]],Table25[[#All],[Sold]]))</f>
        <v>0</v>
      </c>
      <c r="M1127" s="5">
        <f>ABS(SUMIF(Table25[[#All],[Assets]],Table25[[#This Row],[Assets]],Table25[[#All],[Sold Amount]]))</f>
        <v>0</v>
      </c>
      <c r="N1127" s="5" t="str">
        <f>IFERROR(Table25[[#This Row],[Total sold amount]]/Table25[[#This Row],[Total Sold number of stocks]],"")</f>
        <v/>
      </c>
      <c r="O1127" s="4">
        <f>IFERROR(Table25[[#This Row],[Total Amount bought]]/Table25[[#This Row],[Total number bought]],"")</f>
        <v>44.497333333333337</v>
      </c>
      <c r="P1127" s="4">
        <f>IFERROR((Table25[[#This Row],[Average sell price]]-Table25[[#This Row],[Average buy price]])*Table25[[#This Row],[Total Sold number of stocks]],0)</f>
        <v>0</v>
      </c>
      <c r="Q1127" s="85">
        <f>SUMIF(Table25[[#All],[Assets]],Table25[[#This Row],[Assets]],Table25[[#All],[Number of stocks]])</f>
        <v>15</v>
      </c>
    </row>
    <row r="1128" spans="1:17">
      <c r="A1128" t="e" vm="46">
        <v>#VALUE!</v>
      </c>
      <c r="B1128" s="2">
        <v>45779</v>
      </c>
      <c r="C1128" t="str" cm="1">
        <f t="array" aca="1" ref="C1128" ca="1">_FV(A1128,"Ticker symbol",TRUE)</f>
        <v>ASPI</v>
      </c>
      <c r="D1128" s="4">
        <v>5.73</v>
      </c>
      <c r="E1128" s="50">
        <v>-100</v>
      </c>
      <c r="F1128" s="81">
        <f>IF(Table25[[#This Row],[Number of stocks]]&gt;0,Table25[[#This Row],[Number of stocks]],0)</f>
        <v>0</v>
      </c>
      <c r="G1128" s="73">
        <f>Table25[[#This Row],[Bought]]*Table25[[#This Row],[Price]]</f>
        <v>0</v>
      </c>
      <c r="H1128">
        <f>SUMIF(Table25[[#All],[Assets]],Table25[[#This Row],[Assets]],Table25[[#All],[Bought]])</f>
        <v>1899</v>
      </c>
      <c r="I1128">
        <f>SUMIF(Table25[[#All],[Assets]],Table25[[#This Row],[Assets]],Table25[[#All],[Bought Amount]])</f>
        <v>8555.869999999999</v>
      </c>
      <c r="J1128" s="88">
        <f>IF(Table25[[#This Row],[Number of stocks]]&lt;0,Table25[[#This Row],[Number of stocks]],0)</f>
        <v>-100</v>
      </c>
      <c r="K1128" s="5">
        <f>Table25[[#This Row],[Sold]]*Table25[[#This Row],[Price]]</f>
        <v>-573</v>
      </c>
      <c r="L1128" s="8">
        <f>ABS(SUMIF(Table25[[#All],[Assets]],Table25[[#This Row],[Assets]],Table25[[#All],[Sold]]))</f>
        <v>1599</v>
      </c>
      <c r="M1128" s="5">
        <f>ABS(SUMIF(Table25[[#All],[Assets]],Table25[[#This Row],[Assets]],Table25[[#All],[Sold Amount]]))</f>
        <v>8799.17</v>
      </c>
      <c r="N1128" s="5">
        <f>IFERROR(Table25[[#This Row],[Total sold amount]]/Table25[[#This Row],[Total Sold number of stocks]],"")</f>
        <v>5.5029205753595996</v>
      </c>
      <c r="O1128" s="4">
        <f>IFERROR(Table25[[#This Row],[Total Amount bought]]/Table25[[#This Row],[Total number bought]],"")</f>
        <v>4.5054607688256976</v>
      </c>
      <c r="P1128" s="4">
        <f>IFERROR((Table25[[#This Row],[Average sell price]]-Table25[[#This Row],[Average buy price]])*Table25[[#This Row],[Total Sold number of stocks]],0)</f>
        <v>1594.9382306477094</v>
      </c>
      <c r="Q1128" s="85">
        <f>SUMIF(Table25[[#All],[Assets]],Table25[[#This Row],[Assets]],Table25[[#All],[Number of stocks]])</f>
        <v>300</v>
      </c>
    </row>
    <row r="1129" spans="1:17">
      <c r="A1129" t="e" vm="72">
        <v>#VALUE!</v>
      </c>
      <c r="B1129" s="2">
        <v>45779</v>
      </c>
      <c r="C1129" t="str" cm="1">
        <f t="array" aca="1" ref="C1129" ca="1">_FV(A1129,"Ticker symbol",TRUE)</f>
        <v>AIRS</v>
      </c>
      <c r="D1129" s="4">
        <v>2.7</v>
      </c>
      <c r="E1129" s="50">
        <v>230</v>
      </c>
      <c r="F1129" s="81">
        <f>IF(Table25[[#This Row],[Number of stocks]]&gt;0,Table25[[#This Row],[Number of stocks]],0)</f>
        <v>230</v>
      </c>
      <c r="G1129" s="73">
        <f>Table25[[#This Row],[Bought]]*Table25[[#This Row],[Price]]</f>
        <v>621</v>
      </c>
      <c r="H1129">
        <f>SUMIF(Table25[[#All],[Assets]],Table25[[#This Row],[Assets]],Table25[[#All],[Bought]])</f>
        <v>2980</v>
      </c>
      <c r="I1129">
        <f>SUMIF(Table25[[#All],[Assets]],Table25[[#This Row],[Assets]],Table25[[#All],[Bought Amount]])</f>
        <v>14267.900000000001</v>
      </c>
      <c r="J1129" s="88">
        <f>IF(Table25[[#This Row],[Number of stocks]]&lt;0,Table25[[#This Row],[Number of stocks]],0)</f>
        <v>0</v>
      </c>
      <c r="K1129" s="5">
        <f>Table25[[#This Row],[Sold]]*Table25[[#This Row],[Price]]</f>
        <v>0</v>
      </c>
      <c r="L1129" s="8">
        <f>ABS(SUMIF(Table25[[#All],[Assets]],Table25[[#This Row],[Assets]],Table25[[#All],[Sold]]))</f>
        <v>2360</v>
      </c>
      <c r="M1129" s="5">
        <f>ABS(SUMIF(Table25[[#All],[Assets]],Table25[[#This Row],[Assets]],Table25[[#All],[Sold Amount]]))</f>
        <v>7796.6</v>
      </c>
      <c r="N1129" s="5">
        <f>IFERROR(Table25[[#This Row],[Total sold amount]]/Table25[[#This Row],[Total Sold number of stocks]],"")</f>
        <v>3.3036440677966104</v>
      </c>
      <c r="O1129" s="4">
        <f>IFERROR(Table25[[#This Row],[Total Amount bought]]/Table25[[#This Row],[Total number bought]],"")</f>
        <v>4.7878859060402688</v>
      </c>
      <c r="P1129" s="4">
        <f>IFERROR((Table25[[#This Row],[Average sell price]]-Table25[[#This Row],[Average buy price]])*Table25[[#This Row],[Total Sold number of stocks]],0)</f>
        <v>-3502.8107382550338</v>
      </c>
      <c r="Q1129" s="85">
        <f>SUMIF(Table25[[#All],[Assets]],Table25[[#This Row],[Assets]],Table25[[#All],[Number of stocks]])</f>
        <v>620</v>
      </c>
    </row>
    <row r="1130" spans="1:17">
      <c r="A1130" t="e" vm="211">
        <v>#VALUE!</v>
      </c>
      <c r="B1130" s="2">
        <v>45779</v>
      </c>
      <c r="C1130" t="str" cm="1">
        <f t="array" aca="1" ref="C1130" ca="1">_FV(A1130,"Ticker symbol",TRUE)</f>
        <v>GME</v>
      </c>
      <c r="D1130" s="4">
        <v>27.57</v>
      </c>
      <c r="E1130" s="50">
        <v>13</v>
      </c>
      <c r="F1130" s="81">
        <f>IF(Table25[[#This Row],[Number of stocks]]&gt;0,Table25[[#This Row],[Number of stocks]],0)</f>
        <v>13</v>
      </c>
      <c r="G1130" s="73">
        <f>Table25[[#This Row],[Bought]]*Table25[[#This Row],[Price]]</f>
        <v>358.41</v>
      </c>
      <c r="H1130">
        <f>SUMIF(Table25[[#All],[Assets]],Table25[[#This Row],[Assets]],Table25[[#All],[Bought]])</f>
        <v>207</v>
      </c>
      <c r="I1130">
        <f>SUMIF(Table25[[#All],[Assets]],Table25[[#This Row],[Assets]],Table25[[#All],[Bought Amount]])</f>
        <v>5127.2700000000004</v>
      </c>
      <c r="J1130" s="88">
        <f>IF(Table25[[#This Row],[Number of stocks]]&lt;0,Table25[[#This Row],[Number of stocks]],0)</f>
        <v>0</v>
      </c>
      <c r="K1130" s="5">
        <f>Table25[[#This Row],[Sold]]*Table25[[#This Row],[Price]]</f>
        <v>0</v>
      </c>
      <c r="L1130" s="8">
        <f>ABS(SUMIF(Table25[[#All],[Assets]],Table25[[#This Row],[Assets]],Table25[[#All],[Sold]]))</f>
        <v>181</v>
      </c>
      <c r="M1130" s="5">
        <f>ABS(SUMIF(Table25[[#All],[Assets]],Table25[[#This Row],[Assets]],Table25[[#All],[Sold Amount]]))</f>
        <v>4186.9799999999996</v>
      </c>
      <c r="N1130" s="5">
        <f>IFERROR(Table25[[#This Row],[Total sold amount]]/Table25[[#This Row],[Total Sold number of stocks]],"")</f>
        <v>23.132486187845302</v>
      </c>
      <c r="O1130" s="4">
        <f>IFERROR(Table25[[#This Row],[Total Amount bought]]/Table25[[#This Row],[Total number bought]],"")</f>
        <v>24.769420289855073</v>
      </c>
      <c r="P1130" s="4">
        <f>IFERROR((Table25[[#This Row],[Average sell price]]-Table25[[#This Row],[Average buy price]])*Table25[[#This Row],[Total Sold number of stocks]],0)</f>
        <v>-296.28507246376864</v>
      </c>
      <c r="Q1130" s="85">
        <f>SUMIF(Table25[[#All],[Assets]],Table25[[#This Row],[Assets]],Table25[[#All],[Number of stocks]])</f>
        <v>26</v>
      </c>
    </row>
    <row r="1131" spans="1:17">
      <c r="A1131" t="e" vm="75">
        <v>#VALUE!</v>
      </c>
      <c r="B1131" s="2">
        <v>45782</v>
      </c>
      <c r="C1131" t="str" cm="1">
        <f t="array" aca="1" ref="C1131" ca="1">_FV(A1131,"Ticker symbol",TRUE)</f>
        <v>QTRX</v>
      </c>
      <c r="D1131" s="4">
        <v>5.89</v>
      </c>
      <c r="E1131" s="50">
        <v>-100</v>
      </c>
      <c r="F1131" s="81">
        <f>IF(Table25[[#This Row],[Number of stocks]]&gt;0,Table25[[#This Row],[Number of stocks]],0)</f>
        <v>0</v>
      </c>
      <c r="G1131" s="73">
        <f>Table25[[#This Row],[Bought]]*Table25[[#This Row],[Price]]</f>
        <v>0</v>
      </c>
      <c r="H1131">
        <f>SUMIF(Table25[[#All],[Assets]],Table25[[#This Row],[Assets]],Table25[[#All],[Bought]])</f>
        <v>1492</v>
      </c>
      <c r="I1131">
        <f>SUMIF(Table25[[#All],[Assets]],Table25[[#This Row],[Assets]],Table25[[#All],[Bought Amount]])</f>
        <v>10313.249999999998</v>
      </c>
      <c r="J1131" s="88">
        <f>IF(Table25[[#This Row],[Number of stocks]]&lt;0,Table25[[#This Row],[Number of stocks]],0)</f>
        <v>-100</v>
      </c>
      <c r="K1131" s="5">
        <f>Table25[[#This Row],[Sold]]*Table25[[#This Row],[Price]]</f>
        <v>-589</v>
      </c>
      <c r="L1131" s="8">
        <f>ABS(SUMIF(Table25[[#All],[Assets]],Table25[[#This Row],[Assets]],Table25[[#All],[Sold]]))</f>
        <v>1492</v>
      </c>
      <c r="M1131" s="5">
        <f>ABS(SUMIF(Table25[[#All],[Assets]],Table25[[#This Row],[Assets]],Table25[[#All],[Sold Amount]]))</f>
        <v>8408.35</v>
      </c>
      <c r="N1131" s="5">
        <f>IFERROR(Table25[[#This Row],[Total sold amount]]/Table25[[#This Row],[Total Sold number of stocks]],"")</f>
        <v>5.635623324396783</v>
      </c>
      <c r="O1131" s="4">
        <f>IFERROR(Table25[[#This Row],[Total Amount bought]]/Table25[[#This Row],[Total number bought]],"")</f>
        <v>6.9123659517426264</v>
      </c>
      <c r="P1131" s="4">
        <f>IFERROR((Table25[[#This Row],[Average sell price]]-Table25[[#This Row],[Average buy price]])*Table25[[#This Row],[Total Sold number of stocks]],0)</f>
        <v>-1904.8999999999983</v>
      </c>
      <c r="Q1131" s="85">
        <f>SUMIF(Table25[[#All],[Assets]],Table25[[#This Row],[Assets]],Table25[[#All],[Number of stocks]])</f>
        <v>0</v>
      </c>
    </row>
    <row r="1132" spans="1:17">
      <c r="A1132" t="e" vm="39">
        <v>#VALUE!</v>
      </c>
      <c r="B1132" s="2">
        <v>45782</v>
      </c>
      <c r="C1132" t="str" cm="1">
        <f t="array" aca="1" ref="C1132" ca="1">_FV(A1132,"Ticker symbol",TRUE)</f>
        <v>AMSC</v>
      </c>
      <c r="D1132" s="4">
        <v>20.85</v>
      </c>
      <c r="E1132" s="50">
        <v>-80</v>
      </c>
      <c r="F1132" s="81">
        <f>IF(Table25[[#This Row],[Number of stocks]]&gt;0,Table25[[#This Row],[Number of stocks]],0)</f>
        <v>0</v>
      </c>
      <c r="G1132" s="73">
        <f>Table25[[#This Row],[Bought]]*Table25[[#This Row],[Price]]</f>
        <v>0</v>
      </c>
      <c r="H1132">
        <f>SUMIF(Table25[[#All],[Assets]],Table25[[#This Row],[Assets]],Table25[[#All],[Bought]])</f>
        <v>812.4</v>
      </c>
      <c r="I1132">
        <f>SUMIF(Table25[[#All],[Assets]],Table25[[#This Row],[Assets]],Table25[[#All],[Bought Amount]])</f>
        <v>24146.880000000001</v>
      </c>
      <c r="J1132" s="88">
        <f>IF(Table25[[#This Row],[Number of stocks]]&lt;0,Table25[[#This Row],[Number of stocks]],0)</f>
        <v>-80</v>
      </c>
      <c r="K1132" s="5">
        <f>Table25[[#This Row],[Sold]]*Table25[[#This Row],[Price]]</f>
        <v>-1668</v>
      </c>
      <c r="L1132" s="8">
        <f>ABS(SUMIF(Table25[[#All],[Assets]],Table25[[#This Row],[Assets]],Table25[[#All],[Sold]]))</f>
        <v>535</v>
      </c>
      <c r="M1132" s="5">
        <f>ABS(SUMIF(Table25[[#All],[Assets]],Table25[[#This Row],[Assets]],Table25[[#All],[Sold Amount]]))</f>
        <v>14777.289999999999</v>
      </c>
      <c r="N1132" s="5">
        <f>IFERROR(Table25[[#This Row],[Total sold amount]]/Table25[[#This Row],[Total Sold number of stocks]],"")</f>
        <v>27.621102803738317</v>
      </c>
      <c r="O1132" s="4">
        <f>IFERROR(Table25[[#This Row],[Total Amount bought]]/Table25[[#This Row],[Total number bought]],"")</f>
        <v>29.722895125553915</v>
      </c>
      <c r="P1132" s="4">
        <f>IFERROR((Table25[[#This Row],[Average sell price]]-Table25[[#This Row],[Average buy price]])*Table25[[#This Row],[Total Sold number of stocks]],0)</f>
        <v>-1124.4588921713448</v>
      </c>
      <c r="Q1132" s="85">
        <f>SUMIF(Table25[[#All],[Assets]],Table25[[#This Row],[Assets]],Table25[[#All],[Number of stocks]])</f>
        <v>277.39999999999998</v>
      </c>
    </row>
    <row r="1133" spans="1:17">
      <c r="A1133" t="e" vm="388">
        <v>#VALUE!</v>
      </c>
      <c r="B1133" s="2">
        <v>45782</v>
      </c>
      <c r="C1133" t="str" cm="1">
        <f t="array" aca="1" ref="C1133" ca="1">_FV(A1133,"Ticker symbol",TRUE)</f>
        <v>TMUS</v>
      </c>
      <c r="D1133" s="4">
        <v>247.39</v>
      </c>
      <c r="E1133" s="50">
        <v>-1</v>
      </c>
      <c r="F1133" s="81">
        <f>IF(Table25[[#This Row],[Number of stocks]]&gt;0,Table25[[#This Row],[Number of stocks]],0)</f>
        <v>0</v>
      </c>
      <c r="G1133" s="73">
        <f>Table25[[#This Row],[Bought]]*Table25[[#This Row],[Price]]</f>
        <v>0</v>
      </c>
      <c r="H1133">
        <f>SUMIF(Table25[[#All],[Assets]],Table25[[#This Row],[Assets]],Table25[[#All],[Bought]])</f>
        <v>1</v>
      </c>
      <c r="I1133">
        <f>SUMIF(Table25[[#All],[Assets]],Table25[[#This Row],[Assets]],Table25[[#All],[Bought Amount]])</f>
        <v>253.14</v>
      </c>
      <c r="J1133" s="88">
        <f>IF(Table25[[#This Row],[Number of stocks]]&lt;0,Table25[[#This Row],[Number of stocks]],0)</f>
        <v>-1</v>
      </c>
      <c r="K1133" s="5">
        <f>Table25[[#This Row],[Sold]]*Table25[[#This Row],[Price]]</f>
        <v>-247.39</v>
      </c>
      <c r="L1133" s="8">
        <f>ABS(SUMIF(Table25[[#All],[Assets]],Table25[[#This Row],[Assets]],Table25[[#All],[Sold]]))</f>
        <v>1</v>
      </c>
      <c r="M1133" s="5">
        <f>ABS(SUMIF(Table25[[#All],[Assets]],Table25[[#This Row],[Assets]],Table25[[#All],[Sold Amount]]))</f>
        <v>247.39</v>
      </c>
      <c r="N1133" s="5">
        <f>IFERROR(Table25[[#This Row],[Total sold amount]]/Table25[[#This Row],[Total Sold number of stocks]],"")</f>
        <v>247.39</v>
      </c>
      <c r="O1133" s="4">
        <f>IFERROR(Table25[[#This Row],[Total Amount bought]]/Table25[[#This Row],[Total number bought]],"")</f>
        <v>253.14</v>
      </c>
      <c r="P1133" s="4">
        <f>IFERROR((Table25[[#This Row],[Average sell price]]-Table25[[#This Row],[Average buy price]])*Table25[[#This Row],[Total Sold number of stocks]],0)</f>
        <v>-5.75</v>
      </c>
      <c r="Q1133" s="85">
        <f>SUMIF(Table25[[#All],[Assets]],Table25[[#This Row],[Assets]],Table25[[#All],[Number of stocks]])</f>
        <v>0</v>
      </c>
    </row>
    <row r="1134" spans="1:17">
      <c r="A1134" t="e" vm="73">
        <v>#VALUE!</v>
      </c>
      <c r="B1134" s="2">
        <v>45782</v>
      </c>
      <c r="C1134" t="str" cm="1">
        <f t="array" aca="1" ref="C1134" ca="1">_FV(A1134,"Ticker symbol",TRUE)</f>
        <v>NOTV</v>
      </c>
      <c r="D1134" s="4">
        <v>2</v>
      </c>
      <c r="E1134" s="50">
        <v>-600</v>
      </c>
      <c r="F1134" s="81">
        <f>IF(Table25[[#This Row],[Number of stocks]]&gt;0,Table25[[#This Row],[Number of stocks]],0)</f>
        <v>0</v>
      </c>
      <c r="G1134" s="73">
        <f>Table25[[#This Row],[Bought]]*Table25[[#This Row],[Price]]</f>
        <v>0</v>
      </c>
      <c r="H1134">
        <f>SUMIF(Table25[[#All],[Assets]],Table25[[#This Row],[Assets]],Table25[[#All],[Bought]])</f>
        <v>3556</v>
      </c>
      <c r="I1134">
        <f>SUMIF(Table25[[#All],[Assets]],Table25[[#This Row],[Assets]],Table25[[#All],[Bought Amount]])</f>
        <v>10249.890000000001</v>
      </c>
      <c r="J1134" s="88">
        <f>IF(Table25[[#This Row],[Number of stocks]]&lt;0,Table25[[#This Row],[Number of stocks]],0)</f>
        <v>-600</v>
      </c>
      <c r="K1134" s="5">
        <f>Table25[[#This Row],[Sold]]*Table25[[#This Row],[Price]]</f>
        <v>-1200</v>
      </c>
      <c r="L1134" s="8">
        <f>ABS(SUMIF(Table25[[#All],[Assets]],Table25[[#This Row],[Assets]],Table25[[#All],[Sold]]))</f>
        <v>2741</v>
      </c>
      <c r="M1134" s="5">
        <f>ABS(SUMIF(Table25[[#All],[Assets]],Table25[[#This Row],[Assets]],Table25[[#All],[Sold Amount]]))</f>
        <v>6559.66</v>
      </c>
      <c r="N1134" s="5">
        <f>IFERROR(Table25[[#This Row],[Total sold amount]]/Table25[[#This Row],[Total Sold number of stocks]],"")</f>
        <v>2.3931630791681866</v>
      </c>
      <c r="O1134" s="4">
        <f>IFERROR(Table25[[#This Row],[Total Amount bought]]/Table25[[#This Row],[Total number bought]],"")</f>
        <v>2.8824212598425198</v>
      </c>
      <c r="P1134" s="4">
        <f>IFERROR((Table25[[#This Row],[Average sell price]]-Table25[[#This Row],[Average buy price]])*Table25[[#This Row],[Total Sold number of stocks]],0)</f>
        <v>-1341.0566732283473</v>
      </c>
      <c r="Q1134" s="85">
        <f>SUMIF(Table25[[#All],[Assets]],Table25[[#This Row],[Assets]],Table25[[#All],[Number of stocks]])</f>
        <v>815</v>
      </c>
    </row>
    <row r="1135" spans="1:17">
      <c r="A1135" t="e" vm="525">
        <v>#VALUE!</v>
      </c>
      <c r="B1135" s="2">
        <v>45782</v>
      </c>
      <c r="C1135" t="str" cm="1">
        <f t="array" aca="1" ref="C1135" ca="1">_FV(A1135,"Ticker symbol",TRUE)</f>
        <v>PSNL</v>
      </c>
      <c r="D1135" s="4">
        <v>4.16</v>
      </c>
      <c r="E1135" s="50">
        <v>-90</v>
      </c>
      <c r="F1135" s="81">
        <f>IF(Table25[[#This Row],[Number of stocks]]&gt;0,Table25[[#This Row],[Number of stocks]],0)</f>
        <v>0</v>
      </c>
      <c r="G1135" s="73">
        <f>Table25[[#This Row],[Bought]]*Table25[[#This Row],[Price]]</f>
        <v>0</v>
      </c>
      <c r="H1135">
        <f>SUMIF(Table25[[#All],[Assets]],Table25[[#This Row],[Assets]],Table25[[#All],[Bought]])</f>
        <v>90</v>
      </c>
      <c r="I1135">
        <f>SUMIF(Table25[[#All],[Assets]],Table25[[#This Row],[Assets]],Table25[[#All],[Bought Amount]])</f>
        <v>495.9</v>
      </c>
      <c r="J1135" s="88">
        <f>IF(Table25[[#This Row],[Number of stocks]]&lt;0,Table25[[#This Row],[Number of stocks]],0)</f>
        <v>-90</v>
      </c>
      <c r="K1135" s="5">
        <f>Table25[[#This Row],[Sold]]*Table25[[#This Row],[Price]]</f>
        <v>-374.40000000000003</v>
      </c>
      <c r="L1135" s="8">
        <f>ABS(SUMIF(Table25[[#All],[Assets]],Table25[[#This Row],[Assets]],Table25[[#All],[Sold]]))</f>
        <v>90</v>
      </c>
      <c r="M1135" s="5">
        <f>ABS(SUMIF(Table25[[#All],[Assets]],Table25[[#This Row],[Assets]],Table25[[#All],[Sold Amount]]))</f>
        <v>374.40000000000003</v>
      </c>
      <c r="N1135" s="5">
        <f>IFERROR(Table25[[#This Row],[Total sold amount]]/Table25[[#This Row],[Total Sold number of stocks]],"")</f>
        <v>4.16</v>
      </c>
      <c r="O1135" s="4">
        <f>IFERROR(Table25[[#This Row],[Total Amount bought]]/Table25[[#This Row],[Total number bought]],"")</f>
        <v>5.51</v>
      </c>
      <c r="P1135" s="4">
        <f>IFERROR((Table25[[#This Row],[Average sell price]]-Table25[[#This Row],[Average buy price]])*Table25[[#This Row],[Total Sold number of stocks]],0)</f>
        <v>-121.49999999999997</v>
      </c>
      <c r="Q1135" s="85">
        <f>SUMIF(Table25[[#All],[Assets]],Table25[[#This Row],[Assets]],Table25[[#All],[Number of stocks]])</f>
        <v>0</v>
      </c>
    </row>
    <row r="1136" spans="1:17">
      <c r="A1136" t="e" vm="53">
        <v>#VALUE!</v>
      </c>
      <c r="B1136" s="2">
        <v>45782</v>
      </c>
      <c r="C1136" t="str" cm="1">
        <f t="array" aca="1" ref="C1136" ca="1">_FV(A1136,"Ticker symbol",TRUE)</f>
        <v>PESI</v>
      </c>
      <c r="D1136" s="4">
        <v>9.31</v>
      </c>
      <c r="E1136" s="50">
        <v>60</v>
      </c>
      <c r="F1136" s="81">
        <f>IF(Table25[[#This Row],[Number of stocks]]&gt;0,Table25[[#This Row],[Number of stocks]],0)</f>
        <v>60</v>
      </c>
      <c r="G1136" s="73">
        <f>Table25[[#This Row],[Bought]]*Table25[[#This Row],[Price]]</f>
        <v>558.6</v>
      </c>
      <c r="H1136">
        <f>SUMIF(Table25[[#All],[Assets]],Table25[[#This Row],[Assets]],Table25[[#All],[Bought]])</f>
        <v>160</v>
      </c>
      <c r="I1136">
        <f>SUMIF(Table25[[#All],[Assets]],Table25[[#This Row],[Assets]],Table25[[#All],[Bought Amount]])</f>
        <v>2058.6</v>
      </c>
      <c r="J1136" s="88">
        <f>IF(Table25[[#This Row],[Number of stocks]]&lt;0,Table25[[#This Row],[Number of stocks]],0)</f>
        <v>0</v>
      </c>
      <c r="K1136" s="5">
        <f>Table25[[#This Row],[Sold]]*Table25[[#This Row],[Price]]</f>
        <v>0</v>
      </c>
      <c r="L1136" s="8">
        <f>ABS(SUMIF(Table25[[#All],[Assets]],Table25[[#This Row],[Assets]],Table25[[#All],[Sold]]))</f>
        <v>160</v>
      </c>
      <c r="M1136" s="5">
        <f>ABS(SUMIF(Table25[[#All],[Assets]],Table25[[#This Row],[Assets]],Table25[[#All],[Sold Amount]]))</f>
        <v>1773.6000000000001</v>
      </c>
      <c r="N1136" s="5">
        <f>IFERROR(Table25[[#This Row],[Total sold amount]]/Table25[[#This Row],[Total Sold number of stocks]],"")</f>
        <v>11.085000000000001</v>
      </c>
      <c r="O1136" s="4">
        <f>IFERROR(Table25[[#This Row],[Total Amount bought]]/Table25[[#This Row],[Total number bought]],"")</f>
        <v>12.866249999999999</v>
      </c>
      <c r="P1136" s="4">
        <f>IFERROR((Table25[[#This Row],[Average sell price]]-Table25[[#This Row],[Average buy price]])*Table25[[#This Row],[Total Sold number of stocks]],0)</f>
        <v>-284.99999999999972</v>
      </c>
      <c r="Q1136" s="85">
        <f>SUMIF(Table25[[#All],[Assets]],Table25[[#This Row],[Assets]],Table25[[#All],[Number of stocks]])</f>
        <v>0</v>
      </c>
    </row>
    <row r="1137" spans="1:17">
      <c r="A1137" t="e" vm="254">
        <v>#VALUE!</v>
      </c>
      <c r="B1137" s="2">
        <v>45783</v>
      </c>
      <c r="C1137" t="str" cm="1">
        <f t="array" aca="1" ref="C1137" ca="1">_FV(A1137,"Ticker symbol",TRUE)</f>
        <v>TALK</v>
      </c>
      <c r="D1137" s="4">
        <v>3</v>
      </c>
      <c r="E1137" s="50">
        <v>80</v>
      </c>
      <c r="F1137" s="81">
        <f>IF(Table25[[#This Row],[Number of stocks]]&gt;0,Table25[[#This Row],[Number of stocks]],0)</f>
        <v>80</v>
      </c>
      <c r="G1137" s="73">
        <f>Table25[[#This Row],[Bought]]*Table25[[#This Row],[Price]]</f>
        <v>240</v>
      </c>
      <c r="H1137">
        <f>SUMIF(Table25[[#All],[Assets]],Table25[[#This Row],[Assets]],Table25[[#All],[Bought]])</f>
        <v>885</v>
      </c>
      <c r="I1137">
        <f>SUMIF(Table25[[#All],[Assets]],Table25[[#This Row],[Assets]],Table25[[#All],[Bought Amount]])</f>
        <v>2664.7</v>
      </c>
      <c r="J1137" s="88">
        <f>IF(Table25[[#This Row],[Number of stocks]]&lt;0,Table25[[#This Row],[Number of stocks]],0)</f>
        <v>0</v>
      </c>
      <c r="K1137" s="5">
        <f>Table25[[#This Row],[Sold]]*Table25[[#This Row],[Price]]</f>
        <v>0</v>
      </c>
      <c r="L1137" s="8">
        <f>ABS(SUMIF(Table25[[#All],[Assets]],Table25[[#This Row],[Assets]],Table25[[#All],[Sold]]))</f>
        <v>885</v>
      </c>
      <c r="M1137" s="5">
        <f>ABS(SUMIF(Table25[[#All],[Assets]],Table25[[#This Row],[Assets]],Table25[[#All],[Sold Amount]]))</f>
        <v>2591</v>
      </c>
      <c r="N1137" s="5">
        <f>IFERROR(Table25[[#This Row],[Total sold amount]]/Table25[[#This Row],[Total Sold number of stocks]],"")</f>
        <v>2.927683615819209</v>
      </c>
      <c r="O1137" s="4">
        <f>IFERROR(Table25[[#This Row],[Total Amount bought]]/Table25[[#This Row],[Total number bought]],"")</f>
        <v>3.0109604519774011</v>
      </c>
      <c r="P1137" s="4">
        <f>IFERROR((Table25[[#This Row],[Average sell price]]-Table25[[#This Row],[Average buy price]])*Table25[[#This Row],[Total Sold number of stocks]],0)</f>
        <v>-73.700000000000045</v>
      </c>
      <c r="Q1137" s="85">
        <f>SUMIF(Table25[[#All],[Assets]],Table25[[#This Row],[Assets]],Table25[[#All],[Number of stocks]])</f>
        <v>0</v>
      </c>
    </row>
    <row r="1138" spans="1:17">
      <c r="A1138" t="e" vm="39">
        <v>#VALUE!</v>
      </c>
      <c r="B1138" s="2">
        <v>45783</v>
      </c>
      <c r="C1138" t="str" cm="1">
        <f t="array" aca="1" ref="C1138" ca="1">_FV(A1138,"Ticker symbol",TRUE)</f>
        <v>AMSC</v>
      </c>
      <c r="D1138" s="4">
        <v>20.66</v>
      </c>
      <c r="E1138" s="50">
        <v>-20</v>
      </c>
      <c r="F1138" s="81">
        <f>IF(Table25[[#This Row],[Number of stocks]]&gt;0,Table25[[#This Row],[Number of stocks]],0)</f>
        <v>0</v>
      </c>
      <c r="G1138" s="73">
        <f>Table25[[#This Row],[Bought]]*Table25[[#This Row],[Price]]</f>
        <v>0</v>
      </c>
      <c r="H1138">
        <f>SUMIF(Table25[[#All],[Assets]],Table25[[#This Row],[Assets]],Table25[[#All],[Bought]])</f>
        <v>812.4</v>
      </c>
      <c r="I1138">
        <f>SUMIF(Table25[[#All],[Assets]],Table25[[#This Row],[Assets]],Table25[[#All],[Bought Amount]])</f>
        <v>24146.880000000001</v>
      </c>
      <c r="J1138" s="88">
        <f>IF(Table25[[#This Row],[Number of stocks]]&lt;0,Table25[[#This Row],[Number of stocks]],0)</f>
        <v>-20</v>
      </c>
      <c r="K1138" s="5">
        <f>Table25[[#This Row],[Sold]]*Table25[[#This Row],[Price]]</f>
        <v>-413.2</v>
      </c>
      <c r="L1138" s="8">
        <f>ABS(SUMIF(Table25[[#All],[Assets]],Table25[[#This Row],[Assets]],Table25[[#All],[Sold]]))</f>
        <v>535</v>
      </c>
      <c r="M1138" s="5">
        <f>ABS(SUMIF(Table25[[#All],[Assets]],Table25[[#This Row],[Assets]],Table25[[#All],[Sold Amount]]))</f>
        <v>14777.289999999999</v>
      </c>
      <c r="N1138" s="5">
        <f>IFERROR(Table25[[#This Row],[Total sold amount]]/Table25[[#This Row],[Total Sold number of stocks]],"")</f>
        <v>27.621102803738317</v>
      </c>
      <c r="O1138" s="4">
        <f>IFERROR(Table25[[#This Row],[Total Amount bought]]/Table25[[#This Row],[Total number bought]],"")</f>
        <v>29.722895125553915</v>
      </c>
      <c r="P1138" s="4">
        <f>IFERROR((Table25[[#This Row],[Average sell price]]-Table25[[#This Row],[Average buy price]])*Table25[[#This Row],[Total Sold number of stocks]],0)</f>
        <v>-1124.4588921713448</v>
      </c>
      <c r="Q1138" s="85">
        <f>SUMIF(Table25[[#All],[Assets]],Table25[[#This Row],[Assets]],Table25[[#All],[Number of stocks]])</f>
        <v>277.39999999999998</v>
      </c>
    </row>
    <row r="1139" spans="1:17">
      <c r="A1139" t="e" vm="227">
        <v>#VALUE!</v>
      </c>
      <c r="B1139" s="2">
        <v>45783</v>
      </c>
      <c r="C1139" t="str" cm="1">
        <f t="array" aca="1" ref="C1139" ca="1">_FV(A1139,"Ticker symbol",TRUE)</f>
        <v>DFDV</v>
      </c>
      <c r="D1139" s="4">
        <v>10.131399999999999</v>
      </c>
      <c r="E1139" s="50">
        <v>63</v>
      </c>
      <c r="F1139" s="81">
        <f>IF(Table25[[#This Row],[Number of stocks]]&gt;0,Table25[[#This Row],[Number of stocks]],0)</f>
        <v>63</v>
      </c>
      <c r="G1139" s="73">
        <f>Table25[[#This Row],[Bought]]*Table25[[#This Row],[Price]]</f>
        <v>638.27819999999997</v>
      </c>
      <c r="H1139">
        <f>SUMIF(Table25[[#All],[Assets]],Table25[[#This Row],[Assets]],Table25[[#All],[Bought]])</f>
        <v>387</v>
      </c>
      <c r="I1139">
        <f>SUMIF(Table25[[#All],[Assets]],Table25[[#This Row],[Assets]],Table25[[#All],[Bought Amount]])</f>
        <v>6522.1182600000002</v>
      </c>
      <c r="J1139" s="88">
        <f>IF(Table25[[#This Row],[Number of stocks]]&lt;0,Table25[[#This Row],[Number of stocks]],0)</f>
        <v>0</v>
      </c>
      <c r="K1139" s="5">
        <f>Table25[[#This Row],[Sold]]*Table25[[#This Row],[Price]]</f>
        <v>0</v>
      </c>
      <c r="L1139" s="8">
        <f>ABS(SUMIF(Table25[[#All],[Assets]],Table25[[#This Row],[Assets]],Table25[[#All],[Sold]]))</f>
        <v>387</v>
      </c>
      <c r="M1139" s="5">
        <f>ABS(SUMIF(Table25[[#All],[Assets]],Table25[[#This Row],[Assets]],Table25[[#All],[Sold Amount]]))</f>
        <v>7242.64</v>
      </c>
      <c r="N1139" s="5">
        <f>IFERROR(Table25[[#This Row],[Total sold amount]]/Table25[[#This Row],[Total Sold number of stocks]],"")</f>
        <v>18.714832041343669</v>
      </c>
      <c r="O1139" s="4">
        <f>IFERROR(Table25[[#This Row],[Total Amount bought]]/Table25[[#This Row],[Total number bought]],"")</f>
        <v>16.853018759689924</v>
      </c>
      <c r="P1139" s="4">
        <f>IFERROR((Table25[[#This Row],[Average sell price]]-Table25[[#This Row],[Average buy price]])*Table25[[#This Row],[Total Sold number of stocks]],0)</f>
        <v>720.52173999999945</v>
      </c>
      <c r="Q1139" s="85">
        <f>SUMIF(Table25[[#All],[Assets]],Table25[[#This Row],[Assets]],Table25[[#All],[Number of stocks]])</f>
        <v>0</v>
      </c>
    </row>
    <row r="1140" spans="1:17">
      <c r="A1140" t="e" vm="40">
        <v>#VALUE!</v>
      </c>
      <c r="B1140" s="2">
        <v>45783</v>
      </c>
      <c r="C1140" t="str" cm="1">
        <f t="array" aca="1" ref="C1140" ca="1">_FV(A1140,"Ticker symbol",TRUE)</f>
        <v>ECG</v>
      </c>
      <c r="D1140" s="4">
        <v>46.56</v>
      </c>
      <c r="E1140" s="50">
        <v>2</v>
      </c>
      <c r="F1140" s="81">
        <f>IF(Table25[[#This Row],[Number of stocks]]&gt;0,Table25[[#This Row],[Number of stocks]],0)</f>
        <v>2</v>
      </c>
      <c r="G1140" s="73">
        <f>Table25[[#This Row],[Bought]]*Table25[[#This Row],[Price]]</f>
        <v>93.12</v>
      </c>
      <c r="H1140">
        <f>SUMIF(Table25[[#All],[Assets]],Table25[[#This Row],[Assets]],Table25[[#All],[Bought]])</f>
        <v>15</v>
      </c>
      <c r="I1140">
        <f>SUMIF(Table25[[#All],[Assets]],Table25[[#This Row],[Assets]],Table25[[#All],[Bought Amount]])</f>
        <v>667.46</v>
      </c>
      <c r="J1140" s="88">
        <f>IF(Table25[[#This Row],[Number of stocks]]&lt;0,Table25[[#This Row],[Number of stocks]],0)</f>
        <v>0</v>
      </c>
      <c r="K1140" s="5">
        <f>Table25[[#This Row],[Sold]]*Table25[[#This Row],[Price]]</f>
        <v>0</v>
      </c>
      <c r="L1140" s="8">
        <f>ABS(SUMIF(Table25[[#All],[Assets]],Table25[[#This Row],[Assets]],Table25[[#All],[Sold]]))</f>
        <v>0</v>
      </c>
      <c r="M1140" s="5">
        <f>ABS(SUMIF(Table25[[#All],[Assets]],Table25[[#This Row],[Assets]],Table25[[#All],[Sold Amount]]))</f>
        <v>0</v>
      </c>
      <c r="N1140" s="5" t="str">
        <f>IFERROR(Table25[[#This Row],[Total sold amount]]/Table25[[#This Row],[Total Sold number of stocks]],"")</f>
        <v/>
      </c>
      <c r="O1140" s="4">
        <f>IFERROR(Table25[[#This Row],[Total Amount bought]]/Table25[[#This Row],[Total number bought]],"")</f>
        <v>44.497333333333337</v>
      </c>
      <c r="P1140" s="4">
        <f>IFERROR((Table25[[#This Row],[Average sell price]]-Table25[[#This Row],[Average buy price]])*Table25[[#This Row],[Total Sold number of stocks]],0)</f>
        <v>0</v>
      </c>
      <c r="Q1140" s="85">
        <f>SUMIF(Table25[[#All],[Assets]],Table25[[#This Row],[Assets]],Table25[[#All],[Number of stocks]])</f>
        <v>15</v>
      </c>
    </row>
    <row r="1141" spans="1:17">
      <c r="A1141" t="e" vm="76">
        <v>#VALUE!</v>
      </c>
      <c r="B1141" s="2">
        <v>45783</v>
      </c>
      <c r="C1141" t="str" cm="1">
        <f t="array" aca="1" ref="C1141" ca="1">_FV(A1141,"Ticker symbol",TRUE)</f>
        <v>TEM</v>
      </c>
      <c r="D1141" s="4">
        <v>65.11</v>
      </c>
      <c r="E1141" s="50">
        <v>8</v>
      </c>
      <c r="F1141" s="81">
        <f>IF(Table25[[#This Row],[Number of stocks]]&gt;0,Table25[[#This Row],[Number of stocks]],0)</f>
        <v>8</v>
      </c>
      <c r="G1141" s="73">
        <f>Table25[[#This Row],[Bought]]*Table25[[#This Row],[Price]]</f>
        <v>520.88</v>
      </c>
      <c r="H1141">
        <f>SUMIF(Table25[[#All],[Assets]],Table25[[#This Row],[Assets]],Table25[[#All],[Bought]])</f>
        <v>29</v>
      </c>
      <c r="I1141">
        <f>SUMIF(Table25[[#All],[Assets]],Table25[[#This Row],[Assets]],Table25[[#All],[Bought Amount]])</f>
        <v>1735.3899999999999</v>
      </c>
      <c r="J1141" s="88">
        <f>IF(Table25[[#This Row],[Number of stocks]]&lt;0,Table25[[#This Row],[Number of stocks]],0)</f>
        <v>0</v>
      </c>
      <c r="K1141" s="5">
        <f>Table25[[#This Row],[Sold]]*Table25[[#This Row],[Price]]</f>
        <v>0</v>
      </c>
      <c r="L1141" s="8">
        <f>ABS(SUMIF(Table25[[#All],[Assets]],Table25[[#This Row],[Assets]],Table25[[#All],[Sold]]))</f>
        <v>29</v>
      </c>
      <c r="M1141" s="5">
        <f>ABS(SUMIF(Table25[[#All],[Assets]],Table25[[#This Row],[Assets]],Table25[[#All],[Sold Amount]]))</f>
        <v>1886.1999999999998</v>
      </c>
      <c r="N1141" s="5">
        <f>IFERROR(Table25[[#This Row],[Total sold amount]]/Table25[[#This Row],[Total Sold number of stocks]],"")</f>
        <v>65.041379310344823</v>
      </c>
      <c r="O1141" s="4">
        <f>IFERROR(Table25[[#This Row],[Total Amount bought]]/Table25[[#This Row],[Total number bought]],"")</f>
        <v>59.841034482758616</v>
      </c>
      <c r="P1141" s="4">
        <f>IFERROR((Table25[[#This Row],[Average sell price]]-Table25[[#This Row],[Average buy price]])*Table25[[#This Row],[Total Sold number of stocks]],0)</f>
        <v>150.81</v>
      </c>
      <c r="Q1141" s="85">
        <f>SUMIF(Table25[[#All],[Assets]],Table25[[#This Row],[Assets]],Table25[[#All],[Number of stocks]])</f>
        <v>0</v>
      </c>
    </row>
    <row r="1142" spans="1:17">
      <c r="A1142" t="e" vm="273">
        <v>#VALUE!</v>
      </c>
      <c r="B1142" s="2">
        <v>45786</v>
      </c>
      <c r="C1142" t="str" cm="1">
        <f t="array" aca="1" ref="C1142" ca="1">_FV(A1142,"Ticker symbol",TRUE)</f>
        <v>CVRX</v>
      </c>
      <c r="D1142" s="4">
        <v>5.09</v>
      </c>
      <c r="E1142" s="50">
        <v>-190</v>
      </c>
      <c r="F1142" s="81">
        <f>IF(Table25[[#This Row],[Number of stocks]]&gt;0,Table25[[#This Row],[Number of stocks]],0)</f>
        <v>0</v>
      </c>
      <c r="G1142" s="73">
        <f>Table25[[#This Row],[Bought]]*Table25[[#This Row],[Price]]</f>
        <v>0</v>
      </c>
      <c r="H1142">
        <f>SUMIF(Table25[[#All],[Assets]],Table25[[#This Row],[Assets]],Table25[[#All],[Bought]])</f>
        <v>560</v>
      </c>
      <c r="I1142">
        <f>SUMIF(Table25[[#All],[Assets]],Table25[[#This Row],[Assets]],Table25[[#All],[Bought Amount]])</f>
        <v>5451</v>
      </c>
      <c r="J1142" s="88">
        <f>IF(Table25[[#This Row],[Number of stocks]]&lt;0,Table25[[#This Row],[Number of stocks]],0)</f>
        <v>-190</v>
      </c>
      <c r="K1142" s="5">
        <f>Table25[[#This Row],[Sold]]*Table25[[#This Row],[Price]]</f>
        <v>-967.1</v>
      </c>
      <c r="L1142" s="8">
        <f>ABS(SUMIF(Table25[[#All],[Assets]],Table25[[#This Row],[Assets]],Table25[[#All],[Sold]]))</f>
        <v>560</v>
      </c>
      <c r="M1142" s="5">
        <f>ABS(SUMIF(Table25[[#All],[Assets]],Table25[[#This Row],[Assets]],Table25[[#All],[Sold Amount]]))</f>
        <v>4910.5499999999993</v>
      </c>
      <c r="N1142" s="5">
        <f>IFERROR(Table25[[#This Row],[Total sold amount]]/Table25[[#This Row],[Total Sold number of stocks]],"")</f>
        <v>8.7688392857142841</v>
      </c>
      <c r="O1142" s="4">
        <f>IFERROR(Table25[[#This Row],[Total Amount bought]]/Table25[[#This Row],[Total number bought]],"")</f>
        <v>9.7339285714285708</v>
      </c>
      <c r="P1142" s="4">
        <f>IFERROR((Table25[[#This Row],[Average sell price]]-Table25[[#This Row],[Average buy price]])*Table25[[#This Row],[Total Sold number of stocks]],0)</f>
        <v>-540.45000000000061</v>
      </c>
      <c r="Q1142" s="85">
        <f>SUMIF(Table25[[#All],[Assets]],Table25[[#This Row],[Assets]],Table25[[#All],[Number of stocks]])</f>
        <v>0</v>
      </c>
    </row>
    <row r="1143" spans="1:17">
      <c r="A1143" t="e" vm="71">
        <v>#VALUE!</v>
      </c>
      <c r="B1143" s="2">
        <v>45786</v>
      </c>
      <c r="C1143" t="str" cm="1">
        <f t="array" aca="1" ref="C1143" ca="1">_FV(A1143,"Ticker symbol",TRUE)</f>
        <v>TKNO</v>
      </c>
      <c r="D1143" s="4">
        <v>7</v>
      </c>
      <c r="E1143" s="50">
        <v>120</v>
      </c>
      <c r="F1143" s="81">
        <f>IF(Table25[[#This Row],[Number of stocks]]&gt;0,Table25[[#This Row],[Number of stocks]],0)</f>
        <v>120</v>
      </c>
      <c r="G1143" s="73">
        <f>Table25[[#This Row],[Bought]]*Table25[[#This Row],[Price]]</f>
        <v>840</v>
      </c>
      <c r="H1143">
        <f>SUMIF(Table25[[#All],[Assets]],Table25[[#This Row],[Assets]],Table25[[#All],[Bought]])</f>
        <v>2166.0267990000002</v>
      </c>
      <c r="I1143">
        <f>SUMIF(Table25[[#All],[Assets]],Table25[[#This Row],[Assets]],Table25[[#All],[Bought Amount]])</f>
        <v>13370.91512648</v>
      </c>
      <c r="J1143" s="88">
        <f>IF(Table25[[#This Row],[Number of stocks]]&lt;0,Table25[[#This Row],[Number of stocks]],0)</f>
        <v>0</v>
      </c>
      <c r="K1143" s="5">
        <f>Table25[[#This Row],[Sold]]*Table25[[#This Row],[Price]]</f>
        <v>0</v>
      </c>
      <c r="L1143" s="8">
        <f>ABS(SUMIF(Table25[[#All],[Assets]],Table25[[#This Row],[Assets]],Table25[[#All],[Sold]]))</f>
        <v>2083</v>
      </c>
      <c r="M1143" s="5">
        <f>ABS(SUMIF(Table25[[#All],[Assets]],Table25[[#This Row],[Assets]],Table25[[#All],[Sold Amount]]))</f>
        <v>11153.28</v>
      </c>
      <c r="N1143" s="5">
        <f>IFERROR(Table25[[#This Row],[Total sold amount]]/Table25[[#This Row],[Total Sold number of stocks]],"")</f>
        <v>5.3544311089774368</v>
      </c>
      <c r="O1143" s="4">
        <f>IFERROR(Table25[[#This Row],[Total Amount bought]]/Table25[[#This Row],[Total number bought]],"")</f>
        <v>6.1730146333614213</v>
      </c>
      <c r="P1143" s="4">
        <f>IFERROR((Table25[[#This Row],[Average sell price]]-Table25[[#This Row],[Average buy price]])*Table25[[#This Row],[Total Sold number of stocks]],0)</f>
        <v>-1705.1094812918398</v>
      </c>
      <c r="Q1143" s="85">
        <f>SUMIF(Table25[[#All],[Assets]],Table25[[#This Row],[Assets]],Table25[[#All],[Number of stocks]])</f>
        <v>83.026798999999983</v>
      </c>
    </row>
    <row r="1144" spans="1:17">
      <c r="A1144" t="e" vm="264">
        <v>#VALUE!</v>
      </c>
      <c r="B1144" s="2">
        <v>45789</v>
      </c>
      <c r="C1144" t="str" cm="1">
        <f t="array" aca="1" ref="C1144" ca="1">_FV(A1144,"Ticker symbol",TRUE)</f>
        <v>BTSG</v>
      </c>
      <c r="D1144" s="4">
        <v>23.39</v>
      </c>
      <c r="E1144" s="50">
        <v>10</v>
      </c>
      <c r="F1144" s="81">
        <f>IF(Table25[[#This Row],[Number of stocks]]&gt;0,Table25[[#This Row],[Number of stocks]],0)</f>
        <v>10</v>
      </c>
      <c r="G1144" s="73">
        <f>Table25[[#This Row],[Bought]]*Table25[[#This Row],[Price]]</f>
        <v>233.9</v>
      </c>
      <c r="H1144">
        <f>SUMIF(Table25[[#All],[Assets]],Table25[[#This Row],[Assets]],Table25[[#All],[Bought]])</f>
        <v>10</v>
      </c>
      <c r="I1144">
        <f>SUMIF(Table25[[#All],[Assets]],Table25[[#This Row],[Assets]],Table25[[#All],[Bought Amount]])</f>
        <v>233.9</v>
      </c>
      <c r="J1144" s="88">
        <f>IF(Table25[[#This Row],[Number of stocks]]&lt;0,Table25[[#This Row],[Number of stocks]],0)</f>
        <v>0</v>
      </c>
      <c r="K1144" s="5">
        <f>Table25[[#This Row],[Sold]]*Table25[[#This Row],[Price]]</f>
        <v>0</v>
      </c>
      <c r="L1144" s="8">
        <f>ABS(SUMIF(Table25[[#All],[Assets]],Table25[[#This Row],[Assets]],Table25[[#All],[Sold]]))</f>
        <v>10</v>
      </c>
      <c r="M1144" s="5">
        <f>ABS(SUMIF(Table25[[#All],[Assets]],Table25[[#This Row],[Assets]],Table25[[#All],[Sold Amount]]))</f>
        <v>229.1</v>
      </c>
      <c r="N1144" s="5">
        <f>IFERROR(Table25[[#This Row],[Total sold amount]]/Table25[[#This Row],[Total Sold number of stocks]],"")</f>
        <v>22.91</v>
      </c>
      <c r="O1144" s="4">
        <f>IFERROR(Table25[[#This Row],[Total Amount bought]]/Table25[[#This Row],[Total number bought]],"")</f>
        <v>23.39</v>
      </c>
      <c r="P1144" s="4">
        <f>IFERROR((Table25[[#This Row],[Average sell price]]-Table25[[#This Row],[Average buy price]])*Table25[[#This Row],[Total Sold number of stocks]],0)</f>
        <v>-4.8000000000000043</v>
      </c>
      <c r="Q1144" s="85">
        <f>SUMIF(Table25[[#All],[Assets]],Table25[[#This Row],[Assets]],Table25[[#All],[Number of stocks]])</f>
        <v>0</v>
      </c>
    </row>
    <row r="1145" spans="1:17">
      <c r="A1145" t="e" vm="77">
        <v>#VALUE!</v>
      </c>
      <c r="B1145" s="2">
        <v>45798</v>
      </c>
      <c r="C1145" t="str" cm="1">
        <f t="array" aca="1" ref="C1145" ca="1">_FV(A1145,"Ticker symbol",TRUE)</f>
        <v>STIM</v>
      </c>
      <c r="D1145" s="4">
        <v>3.97</v>
      </c>
      <c r="E1145" s="50">
        <v>-210</v>
      </c>
      <c r="F1145" s="81">
        <f>IF(Table25[[#This Row],[Number of stocks]]&gt;0,Table25[[#This Row],[Number of stocks]],0)</f>
        <v>0</v>
      </c>
      <c r="G1145" s="73">
        <f>Table25[[#This Row],[Bought]]*Table25[[#This Row],[Price]]</f>
        <v>0</v>
      </c>
      <c r="H1145">
        <f>SUMIF(Table25[[#All],[Assets]],Table25[[#This Row],[Assets]],Table25[[#All],[Bought]])</f>
        <v>7036.45</v>
      </c>
      <c r="I1145">
        <f>SUMIF(Table25[[#All],[Assets]],Table25[[#This Row],[Assets]],Table25[[#All],[Bought Amount]])</f>
        <v>19162.260000000002</v>
      </c>
      <c r="J1145" s="88">
        <f>IF(Table25[[#This Row],[Number of stocks]]&lt;0,Table25[[#This Row],[Number of stocks]],0)</f>
        <v>-210</v>
      </c>
      <c r="K1145" s="5">
        <f>Table25[[#This Row],[Sold]]*Table25[[#This Row],[Price]]</f>
        <v>-833.7</v>
      </c>
      <c r="L1145" s="8">
        <f>ABS(SUMIF(Table25[[#All],[Assets]],Table25[[#This Row],[Assets]],Table25[[#All],[Sold]]))</f>
        <v>6686.45</v>
      </c>
      <c r="M1145" s="5">
        <f>ABS(SUMIF(Table25[[#All],[Assets]],Table25[[#This Row],[Assets]],Table25[[#All],[Sold Amount]]))</f>
        <v>19226.484999999997</v>
      </c>
      <c r="N1145" s="5">
        <f>IFERROR(Table25[[#This Row],[Total sold amount]]/Table25[[#This Row],[Total Sold number of stocks]],"")</f>
        <v>2.8754398821497205</v>
      </c>
      <c r="O1145" s="4">
        <f>IFERROR(Table25[[#This Row],[Total Amount bought]]/Table25[[#This Row],[Total number bought]],"")</f>
        <v>2.7232851793162749</v>
      </c>
      <c r="P1145" s="4">
        <f>IFERROR((Table25[[#This Row],[Average sell price]]-Table25[[#This Row],[Average buy price]])*Table25[[#This Row],[Total Sold number of stocks]],0)</f>
        <v>1017.3748127606921</v>
      </c>
      <c r="Q1145" s="85">
        <f>SUMIF(Table25[[#All],[Assets]],Table25[[#This Row],[Assets]],Table25[[#All],[Number of stocks]])</f>
        <v>349.99999999999977</v>
      </c>
    </row>
    <row r="1146" spans="1:17">
      <c r="A1146" t="e" vm="261">
        <v>#VALUE!</v>
      </c>
      <c r="B1146" s="2">
        <v>45790</v>
      </c>
      <c r="C1146" t="str" cm="1">
        <f t="array" aca="1" ref="C1146" ca="1">_FV(A1146,"Ticker symbol",TRUE)</f>
        <v>OM</v>
      </c>
      <c r="D1146" s="4">
        <v>17.670000000000002</v>
      </c>
      <c r="E1146" s="50">
        <v>29</v>
      </c>
      <c r="F1146" s="81">
        <f>IF(Table25[[#This Row],[Number of stocks]]&gt;0,Table25[[#This Row],[Number of stocks]],0)</f>
        <v>29</v>
      </c>
      <c r="G1146" s="73">
        <f>Table25[[#This Row],[Bought]]*Table25[[#This Row],[Price]]</f>
        <v>512.43000000000006</v>
      </c>
      <c r="H1146">
        <f>SUMIF(Table25[[#All],[Assets]],Table25[[#This Row],[Assets]],Table25[[#All],[Bought]])</f>
        <v>29</v>
      </c>
      <c r="I1146">
        <f>SUMIF(Table25[[#All],[Assets]],Table25[[#This Row],[Assets]],Table25[[#All],[Bought Amount]])</f>
        <v>512.43000000000006</v>
      </c>
      <c r="J1146" s="88">
        <f>IF(Table25[[#This Row],[Number of stocks]]&lt;0,Table25[[#This Row],[Number of stocks]],0)</f>
        <v>0</v>
      </c>
      <c r="K1146" s="5">
        <f>Table25[[#This Row],[Sold]]*Table25[[#This Row],[Price]]</f>
        <v>0</v>
      </c>
      <c r="L1146" s="8">
        <f>ABS(SUMIF(Table25[[#All],[Assets]],Table25[[#This Row],[Assets]],Table25[[#All],[Sold]]))</f>
        <v>29</v>
      </c>
      <c r="M1146" s="5">
        <f>ABS(SUMIF(Table25[[#All],[Assets]],Table25[[#This Row],[Assets]],Table25[[#All],[Sold Amount]]))</f>
        <v>401.94</v>
      </c>
      <c r="N1146" s="5">
        <f>IFERROR(Table25[[#This Row],[Total sold amount]]/Table25[[#This Row],[Total Sold number of stocks]],"")</f>
        <v>13.86</v>
      </c>
      <c r="O1146" s="4">
        <f>IFERROR(Table25[[#This Row],[Total Amount bought]]/Table25[[#This Row],[Total number bought]],"")</f>
        <v>17.670000000000002</v>
      </c>
      <c r="P1146" s="4">
        <f>IFERROR((Table25[[#This Row],[Average sell price]]-Table25[[#This Row],[Average buy price]])*Table25[[#This Row],[Total Sold number of stocks]],0)</f>
        <v>-110.49000000000007</v>
      </c>
      <c r="Q1146" s="85">
        <f>SUMIF(Table25[[#All],[Assets]],Table25[[#This Row],[Assets]],Table25[[#All],[Number of stocks]])</f>
        <v>0</v>
      </c>
    </row>
    <row r="1147" spans="1:17">
      <c r="A1147" t="e" vm="183">
        <v>#VALUE!</v>
      </c>
      <c r="B1147" s="2">
        <v>45790</v>
      </c>
      <c r="C1147" t="str" cm="1">
        <f t="array" aca="1" ref="C1147" ca="1">_FV(A1147,"Ticker symbol",TRUE)</f>
        <v>ESOA</v>
      </c>
      <c r="D1147" s="4">
        <v>8</v>
      </c>
      <c r="E1147" s="50">
        <v>120</v>
      </c>
      <c r="F1147" s="81">
        <f>IF(Table25[[#This Row],[Number of stocks]]&gt;0,Table25[[#This Row],[Number of stocks]],0)</f>
        <v>120</v>
      </c>
      <c r="G1147" s="73">
        <f>Table25[[#This Row],[Bought]]*Table25[[#This Row],[Price]]</f>
        <v>960</v>
      </c>
      <c r="H1147">
        <f>SUMIF(Table25[[#All],[Assets]],Table25[[#This Row],[Assets]],Table25[[#All],[Bought]])</f>
        <v>1832</v>
      </c>
      <c r="I1147">
        <f>SUMIF(Table25[[#All],[Assets]],Table25[[#This Row],[Assets]],Table25[[#All],[Bought Amount]])</f>
        <v>18152.78</v>
      </c>
      <c r="J1147" s="88">
        <f>IF(Table25[[#This Row],[Number of stocks]]&lt;0,Table25[[#This Row],[Number of stocks]],0)</f>
        <v>0</v>
      </c>
      <c r="K1147" s="5">
        <f>Table25[[#This Row],[Sold]]*Table25[[#This Row],[Price]]</f>
        <v>0</v>
      </c>
      <c r="L1147" s="8">
        <f>ABS(SUMIF(Table25[[#All],[Assets]],Table25[[#This Row],[Assets]],Table25[[#All],[Sold]]))</f>
        <v>1568</v>
      </c>
      <c r="M1147" s="5">
        <f>ABS(SUMIF(Table25[[#All],[Assets]],Table25[[#This Row],[Assets]],Table25[[#All],[Sold Amount]]))</f>
        <v>14668</v>
      </c>
      <c r="N1147" s="5">
        <f>IFERROR(Table25[[#This Row],[Total sold amount]]/Table25[[#This Row],[Total Sold number of stocks]],"")</f>
        <v>9.3545918367346932</v>
      </c>
      <c r="O1147" s="4">
        <f>IFERROR(Table25[[#This Row],[Total Amount bought]]/Table25[[#This Row],[Total number bought]],"")</f>
        <v>9.9087227074235802</v>
      </c>
      <c r="P1147" s="4">
        <f>IFERROR((Table25[[#This Row],[Average sell price]]-Table25[[#This Row],[Average buy price]])*Table25[[#This Row],[Total Sold number of stocks]],0)</f>
        <v>-868.87720524017482</v>
      </c>
      <c r="Q1147" s="85">
        <f>SUMIF(Table25[[#All],[Assets]],Table25[[#This Row],[Assets]],Table25[[#All],[Number of stocks]])</f>
        <v>264</v>
      </c>
    </row>
    <row r="1148" spans="1:17">
      <c r="A1148" t="e" vm="289">
        <v>#VALUE!</v>
      </c>
      <c r="B1148" s="2">
        <v>45790</v>
      </c>
      <c r="C1148" t="str" cm="1">
        <f t="array" aca="1" ref="C1148" ca="1">_FV(A1148,"Ticker symbol",TRUE)</f>
        <v>CRL</v>
      </c>
      <c r="D1148" s="4">
        <v>145.28</v>
      </c>
      <c r="E1148" s="50">
        <v>-3</v>
      </c>
      <c r="F1148" s="81">
        <f>IF(Table25[[#This Row],[Number of stocks]]&gt;0,Table25[[#This Row],[Number of stocks]],0)</f>
        <v>0</v>
      </c>
      <c r="G1148" s="73">
        <f>Table25[[#This Row],[Bought]]*Table25[[#This Row],[Price]]</f>
        <v>0</v>
      </c>
      <c r="H1148">
        <f>SUMIF(Table25[[#All],[Assets]],Table25[[#This Row],[Assets]],Table25[[#All],[Bought]])</f>
        <v>12</v>
      </c>
      <c r="I1148">
        <f>SUMIF(Table25[[#All],[Assets]],Table25[[#This Row],[Assets]],Table25[[#All],[Bought Amount]])</f>
        <v>1667.04</v>
      </c>
      <c r="J1148" s="88">
        <f>IF(Table25[[#This Row],[Number of stocks]]&lt;0,Table25[[#This Row],[Number of stocks]],0)</f>
        <v>-3</v>
      </c>
      <c r="K1148" s="5">
        <f>Table25[[#This Row],[Sold]]*Table25[[#This Row],[Price]]</f>
        <v>-435.84000000000003</v>
      </c>
      <c r="L1148" s="8">
        <f>ABS(SUMIF(Table25[[#All],[Assets]],Table25[[#This Row],[Assets]],Table25[[#All],[Sold]]))</f>
        <v>12</v>
      </c>
      <c r="M1148" s="5">
        <f>ABS(SUMIF(Table25[[#All],[Assets]],Table25[[#This Row],[Assets]],Table25[[#All],[Sold Amount]]))</f>
        <v>1917.08</v>
      </c>
      <c r="N1148" s="5">
        <f>IFERROR(Table25[[#This Row],[Total sold amount]]/Table25[[#This Row],[Total Sold number of stocks]],"")</f>
        <v>159.75666666666666</v>
      </c>
      <c r="O1148" s="4">
        <f>IFERROR(Table25[[#This Row],[Total Amount bought]]/Table25[[#This Row],[Total number bought]],"")</f>
        <v>138.91999999999999</v>
      </c>
      <c r="P1148" s="4">
        <f>IFERROR((Table25[[#This Row],[Average sell price]]-Table25[[#This Row],[Average buy price]])*Table25[[#This Row],[Total Sold number of stocks]],0)</f>
        <v>250.04000000000008</v>
      </c>
      <c r="Q1148" s="85">
        <f>SUMIF(Table25[[#All],[Assets]],Table25[[#This Row],[Assets]],Table25[[#All],[Number of stocks]])</f>
        <v>0</v>
      </c>
    </row>
    <row r="1149" spans="1:17">
      <c r="A1149" t="e" vm="83">
        <v>#VALUE!</v>
      </c>
      <c r="B1149" s="2">
        <v>45791</v>
      </c>
      <c r="C1149" t="str" cm="1">
        <f t="array" aca="1" ref="C1149" ca="1">_FV(A1149,"Ticker symbol",TRUE)</f>
        <v>FOA</v>
      </c>
      <c r="D1149" s="4">
        <v>21.26</v>
      </c>
      <c r="E1149" s="50">
        <v>-29</v>
      </c>
      <c r="F1149" s="81">
        <f>IF(Table25[[#This Row],[Number of stocks]]&gt;0,Table25[[#This Row],[Number of stocks]],0)</f>
        <v>0</v>
      </c>
      <c r="G1149" s="73">
        <f>Table25[[#This Row],[Bought]]*Table25[[#This Row],[Price]]</f>
        <v>0</v>
      </c>
      <c r="H1149">
        <f>SUMIF(Table25[[#All],[Assets]],Table25[[#This Row],[Assets]],Table25[[#All],[Bought]])</f>
        <v>203</v>
      </c>
      <c r="I1149">
        <f>SUMIF(Table25[[#All],[Assets]],Table25[[#This Row],[Assets]],Table25[[#All],[Bought Amount]])</f>
        <v>4881.38</v>
      </c>
      <c r="J1149" s="88">
        <f>IF(Table25[[#This Row],[Number of stocks]]&lt;0,Table25[[#This Row],[Number of stocks]],0)</f>
        <v>-29</v>
      </c>
      <c r="K1149" s="5">
        <f>Table25[[#This Row],[Sold]]*Table25[[#This Row],[Price]]</f>
        <v>-616.54000000000008</v>
      </c>
      <c r="L1149" s="8">
        <f>ABS(SUMIF(Table25[[#All],[Assets]],Table25[[#This Row],[Assets]],Table25[[#All],[Sold]]))</f>
        <v>203</v>
      </c>
      <c r="M1149" s="5">
        <f>ABS(SUMIF(Table25[[#All],[Assets]],Table25[[#This Row],[Assets]],Table25[[#All],[Sold Amount]]))</f>
        <v>4534.54</v>
      </c>
      <c r="N1149" s="5">
        <f>IFERROR(Table25[[#This Row],[Total sold amount]]/Table25[[#This Row],[Total Sold number of stocks]],"")</f>
        <v>22.337635467980295</v>
      </c>
      <c r="O1149" s="4">
        <f>IFERROR(Table25[[#This Row],[Total Amount bought]]/Table25[[#This Row],[Total number bought]],"")</f>
        <v>24.046206896551723</v>
      </c>
      <c r="P1149" s="4">
        <f>IFERROR((Table25[[#This Row],[Average sell price]]-Table25[[#This Row],[Average buy price]])*Table25[[#This Row],[Total Sold number of stocks]],0)</f>
        <v>-346.83999999999992</v>
      </c>
      <c r="Q1149" s="85">
        <f>SUMIF(Table25[[#All],[Assets]],Table25[[#This Row],[Assets]],Table25[[#All],[Number of stocks]])</f>
        <v>0</v>
      </c>
    </row>
    <row r="1150" spans="1:17">
      <c r="A1150" t="e" vm="79">
        <v>#VALUE!</v>
      </c>
      <c r="B1150" s="2">
        <v>45791</v>
      </c>
      <c r="C1150" t="str" cm="1">
        <f t="array" aca="1" ref="C1150" ca="1">_FV(A1150,"Ticker symbol",TRUE)</f>
        <v>PACB</v>
      </c>
      <c r="D1150" s="4">
        <v>1.1299999999999999</v>
      </c>
      <c r="E1150" s="50">
        <v>-350</v>
      </c>
      <c r="F1150" s="81">
        <f>IF(Table25[[#This Row],[Number of stocks]]&gt;0,Table25[[#This Row],[Number of stocks]],0)</f>
        <v>0</v>
      </c>
      <c r="G1150" s="73">
        <f>Table25[[#This Row],[Bought]]*Table25[[#This Row],[Price]]</f>
        <v>0</v>
      </c>
      <c r="H1150">
        <f>SUMIF(Table25[[#All],[Assets]],Table25[[#This Row],[Assets]],Table25[[#All],[Bought]])</f>
        <v>750</v>
      </c>
      <c r="I1150">
        <f>SUMIF(Table25[[#All],[Assets]],Table25[[#This Row],[Assets]],Table25[[#All],[Bought Amount]])</f>
        <v>1042.5</v>
      </c>
      <c r="J1150" s="88">
        <f>IF(Table25[[#This Row],[Number of stocks]]&lt;0,Table25[[#This Row],[Number of stocks]],0)</f>
        <v>-350</v>
      </c>
      <c r="K1150" s="5">
        <f>Table25[[#This Row],[Sold]]*Table25[[#This Row],[Price]]</f>
        <v>-395.49999999999994</v>
      </c>
      <c r="L1150" s="8">
        <f>ABS(SUMIF(Table25[[#All],[Assets]],Table25[[#This Row],[Assets]],Table25[[#All],[Sold]]))</f>
        <v>750</v>
      </c>
      <c r="M1150" s="5">
        <f>ABS(SUMIF(Table25[[#All],[Assets]],Table25[[#This Row],[Assets]],Table25[[#All],[Sold Amount]]))</f>
        <v>931.5</v>
      </c>
      <c r="N1150" s="5">
        <f>IFERROR(Table25[[#This Row],[Total sold amount]]/Table25[[#This Row],[Total Sold number of stocks]],"")</f>
        <v>1.242</v>
      </c>
      <c r="O1150" s="4">
        <f>IFERROR(Table25[[#This Row],[Total Amount bought]]/Table25[[#This Row],[Total number bought]],"")</f>
        <v>1.39</v>
      </c>
      <c r="P1150" s="4">
        <f>IFERROR((Table25[[#This Row],[Average sell price]]-Table25[[#This Row],[Average buy price]])*Table25[[#This Row],[Total Sold number of stocks]],0)</f>
        <v>-110.99999999999993</v>
      </c>
      <c r="Q1150" s="85">
        <f>SUMIF(Table25[[#All],[Assets]],Table25[[#This Row],[Assets]],Table25[[#All],[Number of stocks]])</f>
        <v>0</v>
      </c>
    </row>
    <row r="1151" spans="1:17">
      <c r="A1151" t="e" vm="215">
        <v>#VALUE!</v>
      </c>
      <c r="B1151" s="2">
        <v>45791</v>
      </c>
      <c r="C1151" t="str" cm="1">
        <f t="array" aca="1" ref="C1151" ca="1">_FV(A1151,"Ticker symbol",TRUE)</f>
        <v>SEI</v>
      </c>
      <c r="D1151" s="4">
        <v>22.52</v>
      </c>
      <c r="E1151" s="50">
        <v>-5</v>
      </c>
      <c r="F1151" s="81">
        <f>IF(Table25[[#This Row],[Number of stocks]]&gt;0,Table25[[#This Row],[Number of stocks]],0)</f>
        <v>0</v>
      </c>
      <c r="G1151" s="73">
        <f>Table25[[#This Row],[Bought]]*Table25[[#This Row],[Price]]</f>
        <v>0</v>
      </c>
      <c r="H1151">
        <f>SUMIF(Table25[[#All],[Assets]],Table25[[#This Row],[Assets]],Table25[[#All],[Bought]])</f>
        <v>57</v>
      </c>
      <c r="I1151">
        <f>SUMIF(Table25[[#All],[Assets]],Table25[[#This Row],[Assets]],Table25[[#All],[Bought Amount]])</f>
        <v>1470.52</v>
      </c>
      <c r="J1151" s="88">
        <f>IF(Table25[[#This Row],[Number of stocks]]&lt;0,Table25[[#This Row],[Number of stocks]],0)</f>
        <v>-5</v>
      </c>
      <c r="K1151" s="5">
        <f>Table25[[#This Row],[Sold]]*Table25[[#This Row],[Price]]</f>
        <v>-112.6</v>
      </c>
      <c r="L1151" s="8">
        <f>ABS(SUMIF(Table25[[#All],[Assets]],Table25[[#This Row],[Assets]],Table25[[#All],[Sold]]))</f>
        <v>50</v>
      </c>
      <c r="M1151" s="5">
        <f>ABS(SUMIF(Table25[[#All],[Assets]],Table25[[#This Row],[Assets]],Table25[[#All],[Sold Amount]]))</f>
        <v>1133.05</v>
      </c>
      <c r="N1151" s="5">
        <f>IFERROR(Table25[[#This Row],[Total sold amount]]/Table25[[#This Row],[Total Sold number of stocks]],"")</f>
        <v>22.660999999999998</v>
      </c>
      <c r="O1151" s="4">
        <f>IFERROR(Table25[[#This Row],[Total Amount bought]]/Table25[[#This Row],[Total number bought]],"")</f>
        <v>25.798596491228071</v>
      </c>
      <c r="P1151" s="4">
        <f>IFERROR((Table25[[#This Row],[Average sell price]]-Table25[[#This Row],[Average buy price]])*Table25[[#This Row],[Total Sold number of stocks]],0)</f>
        <v>-156.87982456140367</v>
      </c>
      <c r="Q1151" s="85">
        <f>SUMIF(Table25[[#All],[Assets]],Table25[[#This Row],[Assets]],Table25[[#All],[Number of stocks]])</f>
        <v>7</v>
      </c>
    </row>
    <row r="1152" spans="1:17">
      <c r="A1152" t="e" vm="513">
        <v>#VALUE!</v>
      </c>
      <c r="B1152" s="2">
        <v>45791</v>
      </c>
      <c r="C1152" t="str" cm="1">
        <f t="array" aca="1" ref="C1152" ca="1">_FV(A1152,"Ticker symbol",TRUE)</f>
        <v>RPD</v>
      </c>
      <c r="D1152" s="4">
        <v>24.22</v>
      </c>
      <c r="E1152" s="50">
        <v>-12</v>
      </c>
      <c r="F1152" s="81">
        <f>IF(Table25[[#This Row],[Number of stocks]]&gt;0,Table25[[#This Row],[Number of stocks]],0)</f>
        <v>0</v>
      </c>
      <c r="G1152" s="73">
        <f>Table25[[#This Row],[Bought]]*Table25[[#This Row],[Price]]</f>
        <v>0</v>
      </c>
      <c r="H1152">
        <f>SUMIF(Table25[[#All],[Assets]],Table25[[#This Row],[Assets]],Table25[[#All],[Bought]])</f>
        <v>12</v>
      </c>
      <c r="I1152">
        <f>SUMIF(Table25[[#All],[Assets]],Table25[[#This Row],[Assets]],Table25[[#All],[Bought Amount]])</f>
        <v>526.79999999999995</v>
      </c>
      <c r="J1152" s="88">
        <f>IF(Table25[[#This Row],[Number of stocks]]&lt;0,Table25[[#This Row],[Number of stocks]],0)</f>
        <v>-12</v>
      </c>
      <c r="K1152" s="5">
        <f>Table25[[#This Row],[Sold]]*Table25[[#This Row],[Price]]</f>
        <v>-290.64</v>
      </c>
      <c r="L1152" s="8">
        <f>ABS(SUMIF(Table25[[#All],[Assets]],Table25[[#This Row],[Assets]],Table25[[#All],[Sold]]))</f>
        <v>12</v>
      </c>
      <c r="M1152" s="5">
        <f>ABS(SUMIF(Table25[[#All],[Assets]],Table25[[#This Row],[Assets]],Table25[[#All],[Sold Amount]]))</f>
        <v>290.64</v>
      </c>
      <c r="N1152" s="5">
        <f>IFERROR(Table25[[#This Row],[Total sold amount]]/Table25[[#This Row],[Total Sold number of stocks]],"")</f>
        <v>24.22</v>
      </c>
      <c r="O1152" s="4">
        <f>IFERROR(Table25[[#This Row],[Total Amount bought]]/Table25[[#This Row],[Total number bought]],"")</f>
        <v>43.9</v>
      </c>
      <c r="P1152" s="4">
        <f>IFERROR((Table25[[#This Row],[Average sell price]]-Table25[[#This Row],[Average buy price]])*Table25[[#This Row],[Total Sold number of stocks]],0)</f>
        <v>-236.16</v>
      </c>
      <c r="Q1152" s="85">
        <f>SUMIF(Table25[[#All],[Assets]],Table25[[#This Row],[Assets]],Table25[[#All],[Number of stocks]])</f>
        <v>0</v>
      </c>
    </row>
    <row r="1153" spans="1:17">
      <c r="A1153" t="e" vm="269">
        <v>#VALUE!</v>
      </c>
      <c r="B1153" s="2">
        <v>45791</v>
      </c>
      <c r="C1153" t="str" cm="1">
        <f t="array" aca="1" ref="C1153" ca="1">_FV(A1153,"Ticker symbol",TRUE)</f>
        <v>ARIS</v>
      </c>
      <c r="D1153" s="4">
        <v>23.58</v>
      </c>
      <c r="E1153" s="50">
        <v>-24</v>
      </c>
      <c r="F1153" s="81">
        <f>IF(Table25[[#This Row],[Number of stocks]]&gt;0,Table25[[#This Row],[Number of stocks]],0)</f>
        <v>0</v>
      </c>
      <c r="G1153" s="73">
        <f>Table25[[#This Row],[Bought]]*Table25[[#This Row],[Price]]</f>
        <v>0</v>
      </c>
      <c r="H1153">
        <f>SUMIF(Table25[[#All],[Assets]],Table25[[#This Row],[Assets]],Table25[[#All],[Bought]])</f>
        <v>34</v>
      </c>
      <c r="I1153">
        <f>SUMIF(Table25[[#All],[Assets]],Table25[[#This Row],[Assets]],Table25[[#All],[Bought Amount]])</f>
        <v>533.29999999999995</v>
      </c>
      <c r="J1153" s="88">
        <f>IF(Table25[[#This Row],[Number of stocks]]&lt;0,Table25[[#This Row],[Number of stocks]],0)</f>
        <v>-24</v>
      </c>
      <c r="K1153" s="5">
        <f>Table25[[#This Row],[Sold]]*Table25[[#This Row],[Price]]</f>
        <v>-565.91999999999996</v>
      </c>
      <c r="L1153" s="8">
        <f>ABS(SUMIF(Table25[[#All],[Assets]],Table25[[#This Row],[Assets]],Table25[[#All],[Sold]]))</f>
        <v>34</v>
      </c>
      <c r="M1153" s="5">
        <f>ABS(SUMIF(Table25[[#All],[Assets]],Table25[[#This Row],[Assets]],Table25[[#All],[Sold Amount]]))</f>
        <v>861.31999999999994</v>
      </c>
      <c r="N1153" s="5">
        <f>IFERROR(Table25[[#This Row],[Total sold amount]]/Table25[[#This Row],[Total Sold number of stocks]],"")</f>
        <v>25.332941176470587</v>
      </c>
      <c r="O1153" s="4">
        <f>IFERROR(Table25[[#This Row],[Total Amount bought]]/Table25[[#This Row],[Total number bought]],"")</f>
        <v>15.685294117647057</v>
      </c>
      <c r="P1153" s="4">
        <f>IFERROR((Table25[[#This Row],[Average sell price]]-Table25[[#This Row],[Average buy price]])*Table25[[#This Row],[Total Sold number of stocks]],0)</f>
        <v>328.02000000000004</v>
      </c>
      <c r="Q1153" s="85">
        <f>SUMIF(Table25[[#All],[Assets]],Table25[[#This Row],[Assets]],Table25[[#All],[Number of stocks]])</f>
        <v>0</v>
      </c>
    </row>
    <row r="1154" spans="1:17">
      <c r="A1154" t="e" vm="518">
        <v>#VALUE!</v>
      </c>
      <c r="B1154" s="2">
        <v>45791</v>
      </c>
      <c r="C1154" t="str" cm="1">
        <f t="array" aca="1" ref="C1154" ca="1">_FV(A1154,"Ticker symbol",TRUE)</f>
        <v>SNDX</v>
      </c>
      <c r="D1154" s="4">
        <v>9.9</v>
      </c>
      <c r="E1154" s="50">
        <v>-20</v>
      </c>
      <c r="F1154" s="81">
        <f>IF(Table25[[#This Row],[Number of stocks]]&gt;0,Table25[[#This Row],[Number of stocks]],0)</f>
        <v>0</v>
      </c>
      <c r="G1154" s="73">
        <f>Table25[[#This Row],[Bought]]*Table25[[#This Row],[Price]]</f>
        <v>0</v>
      </c>
      <c r="H1154">
        <f>SUMIF(Table25[[#All],[Assets]],Table25[[#This Row],[Assets]],Table25[[#All],[Bought]])</f>
        <v>20</v>
      </c>
      <c r="I1154">
        <f>SUMIF(Table25[[#All],[Assets]],Table25[[#This Row],[Assets]],Table25[[#All],[Bought Amount]])</f>
        <v>383</v>
      </c>
      <c r="J1154" s="88">
        <f>IF(Table25[[#This Row],[Number of stocks]]&lt;0,Table25[[#This Row],[Number of stocks]],0)</f>
        <v>-20</v>
      </c>
      <c r="K1154" s="5">
        <f>Table25[[#This Row],[Sold]]*Table25[[#This Row],[Price]]</f>
        <v>-198</v>
      </c>
      <c r="L1154" s="8">
        <f>ABS(SUMIF(Table25[[#All],[Assets]],Table25[[#This Row],[Assets]],Table25[[#All],[Sold]]))</f>
        <v>20</v>
      </c>
      <c r="M1154" s="5">
        <f>ABS(SUMIF(Table25[[#All],[Assets]],Table25[[#This Row],[Assets]],Table25[[#All],[Sold Amount]]))</f>
        <v>198</v>
      </c>
      <c r="N1154" s="5">
        <f>IFERROR(Table25[[#This Row],[Total sold amount]]/Table25[[#This Row],[Total Sold number of stocks]],"")</f>
        <v>9.9</v>
      </c>
      <c r="O1154" s="4">
        <f>IFERROR(Table25[[#This Row],[Total Amount bought]]/Table25[[#This Row],[Total number bought]],"")</f>
        <v>19.149999999999999</v>
      </c>
      <c r="P1154" s="4">
        <f>IFERROR((Table25[[#This Row],[Average sell price]]-Table25[[#This Row],[Average buy price]])*Table25[[#This Row],[Total Sold number of stocks]],0)</f>
        <v>-184.99999999999997</v>
      </c>
      <c r="Q1154" s="85">
        <f>SUMIF(Table25[[#All],[Assets]],Table25[[#This Row],[Assets]],Table25[[#All],[Number of stocks]])</f>
        <v>0</v>
      </c>
    </row>
    <row r="1155" spans="1:17">
      <c r="A1155" t="e" vm="256">
        <v>#VALUE!</v>
      </c>
      <c r="B1155" s="2">
        <v>45791</v>
      </c>
      <c r="C1155" t="str" cm="1">
        <f t="array" aca="1" ref="C1155" ca="1">_FV(A1155,"Ticker symbol",TRUE)</f>
        <v>DXPE</v>
      </c>
      <c r="D1155" s="4">
        <v>89.49</v>
      </c>
      <c r="E1155" s="50">
        <v>4</v>
      </c>
      <c r="F1155" s="81">
        <f>IF(Table25[[#This Row],[Number of stocks]]&gt;0,Table25[[#This Row],[Number of stocks]],0)</f>
        <v>4</v>
      </c>
      <c r="G1155" s="73">
        <f>Table25[[#This Row],[Bought]]*Table25[[#This Row],[Price]]</f>
        <v>357.96</v>
      </c>
      <c r="H1155">
        <f>SUMIF(Table25[[#All],[Assets]],Table25[[#This Row],[Assets]],Table25[[#All],[Bought]])</f>
        <v>6</v>
      </c>
      <c r="I1155">
        <f>SUMIF(Table25[[#All],[Assets]],Table25[[#This Row],[Assets]],Table25[[#All],[Bought Amount]])</f>
        <v>448.08</v>
      </c>
      <c r="J1155" s="88">
        <f>IF(Table25[[#This Row],[Number of stocks]]&lt;0,Table25[[#This Row],[Number of stocks]],0)</f>
        <v>0</v>
      </c>
      <c r="K1155" s="5">
        <f>Table25[[#This Row],[Sold]]*Table25[[#This Row],[Price]]</f>
        <v>0</v>
      </c>
      <c r="L1155" s="8">
        <f>ABS(SUMIF(Table25[[#All],[Assets]],Table25[[#This Row],[Assets]],Table25[[#All],[Sold]]))</f>
        <v>6</v>
      </c>
      <c r="M1155" s="5">
        <f>ABS(SUMIF(Table25[[#All],[Assets]],Table25[[#This Row],[Assets]],Table25[[#All],[Sold Amount]]))</f>
        <v>522.72</v>
      </c>
      <c r="N1155" s="5">
        <f>IFERROR(Table25[[#This Row],[Total sold amount]]/Table25[[#This Row],[Total Sold number of stocks]],"")</f>
        <v>87.12</v>
      </c>
      <c r="O1155" s="4">
        <f>IFERROR(Table25[[#This Row],[Total Amount bought]]/Table25[[#This Row],[Total number bought]],"")</f>
        <v>74.679999999999993</v>
      </c>
      <c r="P1155" s="4">
        <f>IFERROR((Table25[[#This Row],[Average sell price]]-Table25[[#This Row],[Average buy price]])*Table25[[#This Row],[Total Sold number of stocks]],0)</f>
        <v>74.640000000000072</v>
      </c>
      <c r="Q1155" s="85">
        <f>SUMIF(Table25[[#All],[Assets]],Table25[[#This Row],[Assets]],Table25[[#All],[Number of stocks]])</f>
        <v>0</v>
      </c>
    </row>
    <row r="1156" spans="1:17">
      <c r="A1156" t="e" vm="509">
        <v>#VALUE!</v>
      </c>
      <c r="B1156" s="2">
        <v>45791</v>
      </c>
      <c r="C1156" t="str" cm="1">
        <f t="array" aca="1" ref="C1156" ca="1">_FV(A1156,"Ticker symbol",TRUE)</f>
        <v>FTRE</v>
      </c>
      <c r="D1156" s="4">
        <v>4.5</v>
      </c>
      <c r="E1156" s="50">
        <v>-50</v>
      </c>
      <c r="F1156" s="81">
        <f>IF(Table25[[#This Row],[Number of stocks]]&gt;0,Table25[[#This Row],[Number of stocks]],0)</f>
        <v>0</v>
      </c>
      <c r="G1156" s="73">
        <f>Table25[[#This Row],[Bought]]*Table25[[#This Row],[Price]]</f>
        <v>0</v>
      </c>
      <c r="H1156">
        <f>SUMIF(Table25[[#All],[Assets]],Table25[[#This Row],[Assets]],Table25[[#All],[Bought]])</f>
        <v>50</v>
      </c>
      <c r="I1156">
        <f>SUMIF(Table25[[#All],[Assets]],Table25[[#This Row],[Assets]],Table25[[#All],[Bought Amount]])</f>
        <v>950.50000000000011</v>
      </c>
      <c r="J1156" s="88">
        <f>IF(Table25[[#This Row],[Number of stocks]]&lt;0,Table25[[#This Row],[Number of stocks]],0)</f>
        <v>-50</v>
      </c>
      <c r="K1156" s="5">
        <f>Table25[[#This Row],[Sold]]*Table25[[#This Row],[Price]]</f>
        <v>-225</v>
      </c>
      <c r="L1156" s="8">
        <f>ABS(SUMIF(Table25[[#All],[Assets]],Table25[[#This Row],[Assets]],Table25[[#All],[Sold]]))</f>
        <v>50</v>
      </c>
      <c r="M1156" s="5">
        <f>ABS(SUMIF(Table25[[#All],[Assets]],Table25[[#This Row],[Assets]],Table25[[#All],[Sold Amount]]))</f>
        <v>225</v>
      </c>
      <c r="N1156" s="5">
        <f>IFERROR(Table25[[#This Row],[Total sold amount]]/Table25[[#This Row],[Total Sold number of stocks]],"")</f>
        <v>4.5</v>
      </c>
      <c r="O1156" s="4">
        <f>IFERROR(Table25[[#This Row],[Total Amount bought]]/Table25[[#This Row],[Total number bought]],"")</f>
        <v>19.010000000000002</v>
      </c>
      <c r="P1156" s="4">
        <f>IFERROR((Table25[[#This Row],[Average sell price]]-Table25[[#This Row],[Average buy price]])*Table25[[#This Row],[Total Sold number of stocks]],0)</f>
        <v>-725.50000000000011</v>
      </c>
      <c r="Q1156" s="85">
        <f>SUMIF(Table25[[#All],[Assets]],Table25[[#This Row],[Assets]],Table25[[#All],[Number of stocks]])</f>
        <v>0</v>
      </c>
    </row>
    <row r="1157" spans="1:17">
      <c r="A1157" t="e" vm="527">
        <v>#VALUE!</v>
      </c>
      <c r="B1157" s="2">
        <v>45791</v>
      </c>
      <c r="C1157" t="str" cm="1">
        <f t="array" aca="1" ref="C1157" ca="1">_FV(A1157,"Ticker symbol",TRUE)</f>
        <v>NPCE</v>
      </c>
      <c r="D1157" s="4">
        <v>14.6</v>
      </c>
      <c r="E1157" s="50">
        <v>-50</v>
      </c>
      <c r="F1157" s="81">
        <f>IF(Table25[[#This Row],[Number of stocks]]&gt;0,Table25[[#This Row],[Number of stocks]],0)</f>
        <v>0</v>
      </c>
      <c r="G1157" s="73">
        <f>Table25[[#This Row],[Bought]]*Table25[[#This Row],[Price]]</f>
        <v>0</v>
      </c>
      <c r="H1157">
        <f>SUMIF(Table25[[#All],[Assets]],Table25[[#This Row],[Assets]],Table25[[#All],[Bought]])</f>
        <v>115</v>
      </c>
      <c r="I1157">
        <f>SUMIF(Table25[[#All],[Assets]],Table25[[#This Row],[Assets]],Table25[[#All],[Bought Amount]])</f>
        <v>1524.3000000000002</v>
      </c>
      <c r="J1157" s="88">
        <f>IF(Table25[[#This Row],[Number of stocks]]&lt;0,Table25[[#This Row],[Number of stocks]],0)</f>
        <v>-50</v>
      </c>
      <c r="K1157" s="5">
        <f>Table25[[#This Row],[Sold]]*Table25[[#This Row],[Price]]</f>
        <v>-730</v>
      </c>
      <c r="L1157" s="8">
        <f>ABS(SUMIF(Table25[[#All],[Assets]],Table25[[#This Row],[Assets]],Table25[[#All],[Sold]]))</f>
        <v>115</v>
      </c>
      <c r="M1157" s="5">
        <f>ABS(SUMIF(Table25[[#All],[Assets]],Table25[[#This Row],[Assets]],Table25[[#All],[Sold Amount]]))</f>
        <v>1473.35</v>
      </c>
      <c r="N1157" s="5">
        <f>IFERROR(Table25[[#This Row],[Total sold amount]]/Table25[[#This Row],[Total Sold number of stocks]],"")</f>
        <v>12.811739130434782</v>
      </c>
      <c r="O1157" s="4">
        <f>IFERROR(Table25[[#This Row],[Total Amount bought]]/Table25[[#This Row],[Total number bought]],"")</f>
        <v>13.254782608695654</v>
      </c>
      <c r="P1157" s="4">
        <f>IFERROR((Table25[[#This Row],[Average sell price]]-Table25[[#This Row],[Average buy price]])*Table25[[#This Row],[Total Sold number of stocks]],0)</f>
        <v>-50.950000000000287</v>
      </c>
      <c r="Q1157" s="85">
        <f>SUMIF(Table25[[#All],[Assets]],Table25[[#This Row],[Assets]],Table25[[#All],[Number of stocks]])</f>
        <v>0</v>
      </c>
    </row>
    <row r="1158" spans="1:17">
      <c r="A1158" t="e" vm="534">
        <v>#VALUE!</v>
      </c>
      <c r="B1158" s="2">
        <v>45791</v>
      </c>
      <c r="C1158" t="str" cm="1">
        <f t="array" aca="1" ref="C1158" ca="1">_FV(A1158,"Ticker symbol",TRUE)</f>
        <v>VSAT</v>
      </c>
      <c r="D1158" s="4">
        <v>10.24</v>
      </c>
      <c r="E1158" s="50">
        <v>-80</v>
      </c>
      <c r="F1158" s="81">
        <f>IF(Table25[[#This Row],[Number of stocks]]&gt;0,Table25[[#This Row],[Number of stocks]],0)</f>
        <v>0</v>
      </c>
      <c r="G1158" s="73">
        <f>Table25[[#This Row],[Bought]]*Table25[[#This Row],[Price]]</f>
        <v>0</v>
      </c>
      <c r="H1158">
        <f>SUMIF(Table25[[#All],[Assets]],Table25[[#This Row],[Assets]],Table25[[#All],[Bought]])</f>
        <v>80</v>
      </c>
      <c r="I1158">
        <f>SUMIF(Table25[[#All],[Assets]],Table25[[#This Row],[Assets]],Table25[[#All],[Bought Amount]])</f>
        <v>958.40000000000009</v>
      </c>
      <c r="J1158" s="88">
        <f>IF(Table25[[#This Row],[Number of stocks]]&lt;0,Table25[[#This Row],[Number of stocks]],0)</f>
        <v>-80</v>
      </c>
      <c r="K1158" s="5">
        <f>Table25[[#This Row],[Sold]]*Table25[[#This Row],[Price]]</f>
        <v>-819.2</v>
      </c>
      <c r="L1158" s="8">
        <f>ABS(SUMIF(Table25[[#All],[Assets]],Table25[[#This Row],[Assets]],Table25[[#All],[Sold]]))</f>
        <v>80</v>
      </c>
      <c r="M1158" s="5">
        <f>ABS(SUMIF(Table25[[#All],[Assets]],Table25[[#This Row],[Assets]],Table25[[#All],[Sold Amount]]))</f>
        <v>819.2</v>
      </c>
      <c r="N1158" s="5">
        <f>IFERROR(Table25[[#This Row],[Total sold amount]]/Table25[[#This Row],[Total Sold number of stocks]],"")</f>
        <v>10.24</v>
      </c>
      <c r="O1158" s="4">
        <f>IFERROR(Table25[[#This Row],[Total Amount bought]]/Table25[[#This Row],[Total number bought]],"")</f>
        <v>11.98</v>
      </c>
      <c r="P1158" s="4">
        <f>IFERROR((Table25[[#This Row],[Average sell price]]-Table25[[#This Row],[Average buy price]])*Table25[[#This Row],[Total Sold number of stocks]],0)</f>
        <v>-139.20000000000002</v>
      </c>
      <c r="Q1158" s="85">
        <f>SUMIF(Table25[[#All],[Assets]],Table25[[#This Row],[Assets]],Table25[[#All],[Number of stocks]])</f>
        <v>0</v>
      </c>
    </row>
    <row r="1159" spans="1:17">
      <c r="A1159" t="e" vm="536">
        <v>#VALUE!</v>
      </c>
      <c r="B1159" s="2">
        <v>45791</v>
      </c>
      <c r="C1159" t="str" cm="1">
        <f t="array" aca="1" ref="C1159" ca="1">_FV(A1159,"Ticker symbol",TRUE)</f>
        <v>PATH</v>
      </c>
      <c r="D1159" s="4">
        <v>13.13</v>
      </c>
      <c r="E1159" s="50">
        <v>-45</v>
      </c>
      <c r="F1159" s="81">
        <f>IF(Table25[[#This Row],[Number of stocks]]&gt;0,Table25[[#This Row],[Number of stocks]],0)</f>
        <v>0</v>
      </c>
      <c r="G1159" s="73">
        <f>Table25[[#This Row],[Bought]]*Table25[[#This Row],[Price]]</f>
        <v>0</v>
      </c>
      <c r="H1159">
        <f>SUMIF(Table25[[#All],[Assets]],Table25[[#This Row],[Assets]],Table25[[#All],[Bought]])</f>
        <v>157</v>
      </c>
      <c r="I1159">
        <f>SUMIF(Table25[[#All],[Assets]],Table25[[#This Row],[Assets]],Table25[[#All],[Bought Amount]])</f>
        <v>2144.77</v>
      </c>
      <c r="J1159" s="88">
        <f>IF(Table25[[#This Row],[Number of stocks]]&lt;0,Table25[[#This Row],[Number of stocks]],0)</f>
        <v>-45</v>
      </c>
      <c r="K1159" s="5">
        <f>Table25[[#This Row],[Sold]]*Table25[[#This Row],[Price]]</f>
        <v>-590.85</v>
      </c>
      <c r="L1159" s="8">
        <f>ABS(SUMIF(Table25[[#All],[Assets]],Table25[[#This Row],[Assets]],Table25[[#All],[Sold]]))</f>
        <v>157</v>
      </c>
      <c r="M1159" s="5">
        <f>ABS(SUMIF(Table25[[#All],[Assets]],Table25[[#This Row],[Assets]],Table25[[#All],[Sold Amount]]))</f>
        <v>1989.9099999999999</v>
      </c>
      <c r="N1159" s="5">
        <f>IFERROR(Table25[[#This Row],[Total sold amount]]/Table25[[#This Row],[Total Sold number of stocks]],"")</f>
        <v>12.674585987261146</v>
      </c>
      <c r="O1159" s="4">
        <f>IFERROR(Table25[[#This Row],[Total Amount bought]]/Table25[[#This Row],[Total number bought]],"")</f>
        <v>13.660955414012738</v>
      </c>
      <c r="P1159" s="4">
        <f>IFERROR((Table25[[#This Row],[Average sell price]]-Table25[[#This Row],[Average buy price]])*Table25[[#This Row],[Total Sold number of stocks]],0)</f>
        <v>-154.85999999999996</v>
      </c>
      <c r="Q1159" s="85">
        <f>SUMIF(Table25[[#All],[Assets]],Table25[[#This Row],[Assets]],Table25[[#All],[Number of stocks]])</f>
        <v>0</v>
      </c>
    </row>
    <row r="1160" spans="1:17">
      <c r="A1160" t="e" vm="236">
        <v>#VALUE!</v>
      </c>
      <c r="B1160" s="2">
        <v>45791</v>
      </c>
      <c r="C1160" t="str" cm="1">
        <f t="array" aca="1" ref="C1160" ca="1">_FV(A1160,"Ticker symbol",TRUE)</f>
        <v>ESTC</v>
      </c>
      <c r="D1160" s="4">
        <v>94.53</v>
      </c>
      <c r="E1160" s="50">
        <v>-10</v>
      </c>
      <c r="F1160" s="81">
        <f>IF(Table25[[#This Row],[Number of stocks]]&gt;0,Table25[[#This Row],[Number of stocks]],0)</f>
        <v>0</v>
      </c>
      <c r="G1160" s="73">
        <f>Table25[[#This Row],[Bought]]*Table25[[#This Row],[Price]]</f>
        <v>0</v>
      </c>
      <c r="H1160">
        <f>SUMIF(Table25[[#All],[Assets]],Table25[[#This Row],[Assets]],Table25[[#All],[Bought]])</f>
        <v>27</v>
      </c>
      <c r="I1160">
        <f>SUMIF(Table25[[#All],[Assets]],Table25[[#This Row],[Assets]],Table25[[#All],[Bought Amount]])</f>
        <v>2776.75</v>
      </c>
      <c r="J1160" s="88">
        <f>IF(Table25[[#This Row],[Number of stocks]]&lt;0,Table25[[#This Row],[Number of stocks]],0)</f>
        <v>-10</v>
      </c>
      <c r="K1160" s="5">
        <f>Table25[[#This Row],[Sold]]*Table25[[#This Row],[Price]]</f>
        <v>-945.3</v>
      </c>
      <c r="L1160" s="8">
        <f>ABS(SUMIF(Table25[[#All],[Assets]],Table25[[#This Row],[Assets]],Table25[[#All],[Sold]]))</f>
        <v>27</v>
      </c>
      <c r="M1160" s="5">
        <f>ABS(SUMIF(Table25[[#All],[Assets]],Table25[[#This Row],[Assets]],Table25[[#All],[Sold Amount]]))</f>
        <v>2320.58</v>
      </c>
      <c r="N1160" s="5">
        <f>IFERROR(Table25[[#This Row],[Total sold amount]]/Table25[[#This Row],[Total Sold number of stocks]],"")</f>
        <v>85.947407407407411</v>
      </c>
      <c r="O1160" s="4">
        <f>IFERROR(Table25[[#This Row],[Total Amount bought]]/Table25[[#This Row],[Total number bought]],"")</f>
        <v>102.8425925925926</v>
      </c>
      <c r="P1160" s="4">
        <f>IFERROR((Table25[[#This Row],[Average sell price]]-Table25[[#This Row],[Average buy price]])*Table25[[#This Row],[Total Sold number of stocks]],0)</f>
        <v>-456.16999999999996</v>
      </c>
      <c r="Q1160" s="85">
        <f>SUMIF(Table25[[#All],[Assets]],Table25[[#This Row],[Assets]],Table25[[#All],[Number of stocks]])</f>
        <v>0</v>
      </c>
    </row>
    <row r="1161" spans="1:17">
      <c r="A1161" t="e" vm="538">
        <v>#VALUE!</v>
      </c>
      <c r="B1161" s="2">
        <v>45791</v>
      </c>
      <c r="C1161" t="str" cm="1">
        <f t="array" aca="1" ref="C1161" ca="1">_FV(A1161,"Ticker symbol",TRUE)</f>
        <v>PHR</v>
      </c>
      <c r="D1161" s="4">
        <v>26.1</v>
      </c>
      <c r="E1161" s="50">
        <v>-20</v>
      </c>
      <c r="F1161" s="81">
        <f>IF(Table25[[#This Row],[Number of stocks]]&gt;0,Table25[[#This Row],[Number of stocks]],0)</f>
        <v>0</v>
      </c>
      <c r="G1161" s="73">
        <f>Table25[[#This Row],[Bought]]*Table25[[#This Row],[Price]]</f>
        <v>0</v>
      </c>
      <c r="H1161">
        <f>SUMIF(Table25[[#All],[Assets]],Table25[[#This Row],[Assets]],Table25[[#All],[Bought]])</f>
        <v>20</v>
      </c>
      <c r="I1161">
        <f>SUMIF(Table25[[#All],[Assets]],Table25[[#This Row],[Assets]],Table25[[#All],[Bought Amount]])</f>
        <v>565.6</v>
      </c>
      <c r="J1161" s="88">
        <f>IF(Table25[[#This Row],[Number of stocks]]&lt;0,Table25[[#This Row],[Number of stocks]],0)</f>
        <v>-20</v>
      </c>
      <c r="K1161" s="5">
        <f>Table25[[#This Row],[Sold]]*Table25[[#This Row],[Price]]</f>
        <v>-522</v>
      </c>
      <c r="L1161" s="8">
        <f>ABS(SUMIF(Table25[[#All],[Assets]],Table25[[#This Row],[Assets]],Table25[[#All],[Sold]]))</f>
        <v>20</v>
      </c>
      <c r="M1161" s="5">
        <f>ABS(SUMIF(Table25[[#All],[Assets]],Table25[[#This Row],[Assets]],Table25[[#All],[Sold Amount]]))</f>
        <v>522</v>
      </c>
      <c r="N1161" s="5">
        <f>IFERROR(Table25[[#This Row],[Total sold amount]]/Table25[[#This Row],[Total Sold number of stocks]],"")</f>
        <v>26.1</v>
      </c>
      <c r="O1161" s="4">
        <f>IFERROR(Table25[[#This Row],[Total Amount bought]]/Table25[[#This Row],[Total number bought]],"")</f>
        <v>28.28</v>
      </c>
      <c r="P1161" s="4">
        <f>IFERROR((Table25[[#This Row],[Average sell price]]-Table25[[#This Row],[Average buy price]])*Table25[[#This Row],[Total Sold number of stocks]],0)</f>
        <v>-43.599999999999994</v>
      </c>
      <c r="Q1161" s="85">
        <f>SUMIF(Table25[[#All],[Assets]],Table25[[#This Row],[Assets]],Table25[[#All],[Number of stocks]])</f>
        <v>0</v>
      </c>
    </row>
    <row r="1162" spans="1:17">
      <c r="A1162" t="e" vm="540">
        <v>#VALUE!</v>
      </c>
      <c r="B1162" s="2">
        <v>45791</v>
      </c>
      <c r="C1162" t="str" cm="1">
        <f t="array" aca="1" ref="C1162" ca="1">_FV(A1162,"Ticker symbol",TRUE)</f>
        <v>TRMB</v>
      </c>
      <c r="D1162" s="4">
        <v>71.45</v>
      </c>
      <c r="E1162" s="50">
        <v>-6</v>
      </c>
      <c r="F1162" s="81">
        <f>IF(Table25[[#This Row],[Number of stocks]]&gt;0,Table25[[#This Row],[Number of stocks]],0)</f>
        <v>0</v>
      </c>
      <c r="G1162" s="73">
        <f>Table25[[#This Row],[Bought]]*Table25[[#This Row],[Price]]</f>
        <v>0</v>
      </c>
      <c r="H1162">
        <f>SUMIF(Table25[[#All],[Assets]],Table25[[#This Row],[Assets]],Table25[[#All],[Bought]])</f>
        <v>6</v>
      </c>
      <c r="I1162">
        <f>SUMIF(Table25[[#All],[Assets]],Table25[[#This Row],[Assets]],Table25[[#All],[Bought Amount]])</f>
        <v>448.86</v>
      </c>
      <c r="J1162" s="88">
        <f>IF(Table25[[#This Row],[Number of stocks]]&lt;0,Table25[[#This Row],[Number of stocks]],0)</f>
        <v>-6</v>
      </c>
      <c r="K1162" s="5">
        <f>Table25[[#This Row],[Sold]]*Table25[[#This Row],[Price]]</f>
        <v>-428.70000000000005</v>
      </c>
      <c r="L1162" s="8">
        <f>ABS(SUMIF(Table25[[#All],[Assets]],Table25[[#This Row],[Assets]],Table25[[#All],[Sold]]))</f>
        <v>6</v>
      </c>
      <c r="M1162" s="5">
        <f>ABS(SUMIF(Table25[[#All],[Assets]],Table25[[#This Row],[Assets]],Table25[[#All],[Sold Amount]]))</f>
        <v>428.70000000000005</v>
      </c>
      <c r="N1162" s="5">
        <f>IFERROR(Table25[[#This Row],[Total sold amount]]/Table25[[#This Row],[Total Sold number of stocks]],"")</f>
        <v>71.45</v>
      </c>
      <c r="O1162" s="4">
        <f>IFERROR(Table25[[#This Row],[Total Amount bought]]/Table25[[#This Row],[Total number bought]],"")</f>
        <v>74.81</v>
      </c>
      <c r="P1162" s="4">
        <f>IFERROR((Table25[[#This Row],[Average sell price]]-Table25[[#This Row],[Average buy price]])*Table25[[#This Row],[Total Sold number of stocks]],0)</f>
        <v>-20.159999999999997</v>
      </c>
      <c r="Q1162" s="85">
        <f>SUMIF(Table25[[#All],[Assets]],Table25[[#This Row],[Assets]],Table25[[#All],[Number of stocks]])</f>
        <v>0</v>
      </c>
    </row>
    <row r="1163" spans="1:17">
      <c r="A1163" t="e" vm="545">
        <v>#VALUE!</v>
      </c>
      <c r="B1163" s="2">
        <v>45791</v>
      </c>
      <c r="C1163" t="str" cm="1">
        <f t="array" aca="1" ref="C1163" ca="1">_FV(A1163,"Ticker symbol",TRUE)</f>
        <v>TDOC</v>
      </c>
      <c r="D1163" s="4">
        <v>7.38</v>
      </c>
      <c r="E1163" s="50">
        <v>-120</v>
      </c>
      <c r="F1163" s="81">
        <f>IF(Table25[[#This Row],[Number of stocks]]&gt;0,Table25[[#This Row],[Number of stocks]],0)</f>
        <v>0</v>
      </c>
      <c r="G1163" s="73">
        <f>Table25[[#This Row],[Bought]]*Table25[[#This Row],[Price]]</f>
        <v>0</v>
      </c>
      <c r="H1163">
        <f>SUMIF(Table25[[#All],[Assets]],Table25[[#This Row],[Assets]],Table25[[#All],[Bought]])</f>
        <v>158</v>
      </c>
      <c r="I1163">
        <f>SUMIF(Table25[[#All],[Assets]],Table25[[#This Row],[Assets]],Table25[[#All],[Bought Amount]])</f>
        <v>1953.64</v>
      </c>
      <c r="J1163" s="88">
        <f>IF(Table25[[#This Row],[Number of stocks]]&lt;0,Table25[[#This Row],[Number of stocks]],0)</f>
        <v>-120</v>
      </c>
      <c r="K1163" s="5">
        <f>Table25[[#This Row],[Sold]]*Table25[[#This Row],[Price]]</f>
        <v>-885.6</v>
      </c>
      <c r="L1163" s="8">
        <f>ABS(SUMIF(Table25[[#All],[Assets]],Table25[[#This Row],[Assets]],Table25[[#All],[Sold]]))</f>
        <v>158</v>
      </c>
      <c r="M1163" s="5">
        <f>ABS(SUMIF(Table25[[#All],[Assets]],Table25[[#This Row],[Assets]],Table25[[#All],[Sold Amount]]))</f>
        <v>1193.4000000000001</v>
      </c>
      <c r="N1163" s="5">
        <f>IFERROR(Table25[[#This Row],[Total sold amount]]/Table25[[#This Row],[Total Sold number of stocks]],"")</f>
        <v>7.5531645569620256</v>
      </c>
      <c r="O1163" s="4">
        <f>IFERROR(Table25[[#This Row],[Total Amount bought]]/Table25[[#This Row],[Total number bought]],"")</f>
        <v>12.364810126582279</v>
      </c>
      <c r="P1163" s="4">
        <f>IFERROR((Table25[[#This Row],[Average sell price]]-Table25[[#This Row],[Average buy price]])*Table25[[#This Row],[Total Sold number of stocks]],0)</f>
        <v>-760.24</v>
      </c>
      <c r="Q1163" s="85">
        <f>SUMIF(Table25[[#All],[Assets]],Table25[[#This Row],[Assets]],Table25[[#All],[Number of stocks]])</f>
        <v>0</v>
      </c>
    </row>
    <row r="1164" spans="1:17">
      <c r="A1164" t="e" vm="603">
        <v>#VALUE!</v>
      </c>
      <c r="B1164" s="2">
        <v>45791</v>
      </c>
      <c r="C1164" t="str" cm="1">
        <f t="array" aca="1" ref="C1164" ca="1">_FV(A1164,"Ticker symbol",TRUE)</f>
        <v>INDV</v>
      </c>
      <c r="D1164" s="4">
        <v>11.23</v>
      </c>
      <c r="E1164" s="50">
        <v>-78</v>
      </c>
      <c r="F1164" s="81">
        <f>IF(Table25[[#This Row],[Number of stocks]]&gt;0,Table25[[#This Row],[Number of stocks]],0)</f>
        <v>0</v>
      </c>
      <c r="G1164" s="73">
        <f>Table25[[#This Row],[Bought]]*Table25[[#This Row],[Price]]</f>
        <v>0</v>
      </c>
      <c r="H1164">
        <f>SUMIF(Table25[[#All],[Assets]],Table25[[#This Row],[Assets]],Table25[[#All],[Bought]])</f>
        <v>98</v>
      </c>
      <c r="I1164">
        <f>SUMIF(Table25[[#All],[Assets]],Table25[[#This Row],[Assets]],Table25[[#All],[Bought Amount]])</f>
        <v>1029.82</v>
      </c>
      <c r="J1164" s="88">
        <f>IF(Table25[[#This Row],[Number of stocks]]&lt;0,Table25[[#This Row],[Number of stocks]],0)</f>
        <v>-78</v>
      </c>
      <c r="K1164" s="5">
        <f>Table25[[#This Row],[Sold]]*Table25[[#This Row],[Price]]</f>
        <v>-875.94</v>
      </c>
      <c r="L1164" s="8">
        <f>ABS(SUMIF(Table25[[#All],[Assets]],Table25[[#This Row],[Assets]],Table25[[#All],[Sold]]))</f>
        <v>98</v>
      </c>
      <c r="M1164" s="5">
        <f>ABS(SUMIF(Table25[[#All],[Assets]],Table25[[#This Row],[Assets]],Table25[[#All],[Sold Amount]]))</f>
        <v>1330.14</v>
      </c>
      <c r="N1164" s="5">
        <f>IFERROR(Table25[[#This Row],[Total sold amount]]/Table25[[#This Row],[Total Sold number of stocks]],"")</f>
        <v>13.572857142857144</v>
      </c>
      <c r="O1164" s="4">
        <f>IFERROR(Table25[[#This Row],[Total Amount bought]]/Table25[[#This Row],[Total number bought]],"")</f>
        <v>10.508367346938774</v>
      </c>
      <c r="P1164" s="4">
        <f>IFERROR((Table25[[#This Row],[Average sell price]]-Table25[[#This Row],[Average buy price]])*Table25[[#This Row],[Total Sold number of stocks]],0)</f>
        <v>300.32000000000022</v>
      </c>
      <c r="Q1164" s="85">
        <f>SUMIF(Table25[[#All],[Assets]],Table25[[#This Row],[Assets]],Table25[[#All],[Number of stocks]])</f>
        <v>0</v>
      </c>
    </row>
    <row r="1165" spans="1:17">
      <c r="A1165" t="e" vm="551">
        <v>#VALUE!</v>
      </c>
      <c r="B1165" s="2">
        <v>45791</v>
      </c>
      <c r="C1165" t="str" cm="1">
        <f t="array" aca="1" ref="C1165" ca="1">_FV(A1165,"Ticker symbol",TRUE)</f>
        <v>KYIV</v>
      </c>
      <c r="D1165" s="4">
        <v>12.96</v>
      </c>
      <c r="E1165" s="50">
        <v>-12</v>
      </c>
      <c r="F1165" s="81">
        <f>IF(Table25[[#This Row],[Number of stocks]]&gt;0,Table25[[#This Row],[Number of stocks]],0)</f>
        <v>0</v>
      </c>
      <c r="G1165" s="73">
        <f>Table25[[#This Row],[Bought]]*Table25[[#This Row],[Price]]</f>
        <v>0</v>
      </c>
      <c r="H1165">
        <f>SUMIF(Table25[[#All],[Assets]],Table25[[#This Row],[Assets]],Table25[[#All],[Bought]])</f>
        <v>76</v>
      </c>
      <c r="I1165">
        <f>SUMIF(Table25[[#All],[Assets]],Table25[[#This Row],[Assets]],Table25[[#All],[Bought Amount]])</f>
        <v>931.88000000000011</v>
      </c>
      <c r="J1165" s="88">
        <f>IF(Table25[[#This Row],[Number of stocks]]&lt;0,Table25[[#This Row],[Number of stocks]],0)</f>
        <v>-12</v>
      </c>
      <c r="K1165" s="5">
        <f>Table25[[#This Row],[Sold]]*Table25[[#This Row],[Price]]</f>
        <v>-155.52000000000001</v>
      </c>
      <c r="L1165" s="8">
        <f>ABS(SUMIF(Table25[[#All],[Assets]],Table25[[#This Row],[Assets]],Table25[[#All],[Sold]]))</f>
        <v>76</v>
      </c>
      <c r="M1165" s="5">
        <f>ABS(SUMIF(Table25[[#All],[Assets]],Table25[[#This Row],[Assets]],Table25[[#All],[Sold Amount]]))</f>
        <v>1007.24</v>
      </c>
      <c r="N1165" s="5">
        <f>IFERROR(Table25[[#This Row],[Total sold amount]]/Table25[[#This Row],[Total Sold number of stocks]],"")</f>
        <v>13.253157894736843</v>
      </c>
      <c r="O1165" s="4">
        <f>IFERROR(Table25[[#This Row],[Total Amount bought]]/Table25[[#This Row],[Total number bought]],"")</f>
        <v>12.261578947368422</v>
      </c>
      <c r="P1165" s="4">
        <f>IFERROR((Table25[[#This Row],[Average sell price]]-Table25[[#This Row],[Average buy price]])*Table25[[#This Row],[Total Sold number of stocks]],0)</f>
        <v>75.359999999999971</v>
      </c>
      <c r="Q1165" s="85">
        <f>SUMIF(Table25[[#All],[Assets]],Table25[[#This Row],[Assets]],Table25[[#All],[Number of stocks]])</f>
        <v>0</v>
      </c>
    </row>
    <row r="1166" spans="1:17">
      <c r="A1166" t="e" vm="215">
        <v>#VALUE!</v>
      </c>
      <c r="B1166" s="2">
        <v>45791</v>
      </c>
      <c r="C1166" t="str" cm="1">
        <f t="array" aca="1" ref="C1166" ca="1">_FV(A1166,"Ticker symbol",TRUE)</f>
        <v>SEI</v>
      </c>
      <c r="D1166" s="4">
        <v>22.69</v>
      </c>
      <c r="E1166" s="50">
        <v>-25</v>
      </c>
      <c r="F1166" s="81">
        <f>IF(Table25[[#This Row],[Number of stocks]]&gt;0,Table25[[#This Row],[Number of stocks]],0)</f>
        <v>0</v>
      </c>
      <c r="G1166" s="73">
        <f>Table25[[#This Row],[Bought]]*Table25[[#This Row],[Price]]</f>
        <v>0</v>
      </c>
      <c r="H1166">
        <f>SUMIF(Table25[[#All],[Assets]],Table25[[#This Row],[Assets]],Table25[[#All],[Bought]])</f>
        <v>57</v>
      </c>
      <c r="I1166">
        <f>SUMIF(Table25[[#All],[Assets]],Table25[[#This Row],[Assets]],Table25[[#All],[Bought Amount]])</f>
        <v>1470.52</v>
      </c>
      <c r="J1166" s="88">
        <f>IF(Table25[[#This Row],[Number of stocks]]&lt;0,Table25[[#This Row],[Number of stocks]],0)</f>
        <v>-25</v>
      </c>
      <c r="K1166" s="5">
        <f>Table25[[#This Row],[Sold]]*Table25[[#This Row],[Price]]</f>
        <v>-567.25</v>
      </c>
      <c r="L1166" s="8">
        <f>ABS(SUMIF(Table25[[#All],[Assets]],Table25[[#This Row],[Assets]],Table25[[#All],[Sold]]))</f>
        <v>50</v>
      </c>
      <c r="M1166" s="5">
        <f>ABS(SUMIF(Table25[[#All],[Assets]],Table25[[#This Row],[Assets]],Table25[[#All],[Sold Amount]]))</f>
        <v>1133.05</v>
      </c>
      <c r="N1166" s="5">
        <f>IFERROR(Table25[[#This Row],[Total sold amount]]/Table25[[#This Row],[Total Sold number of stocks]],"")</f>
        <v>22.660999999999998</v>
      </c>
      <c r="O1166" s="4">
        <f>IFERROR(Table25[[#This Row],[Total Amount bought]]/Table25[[#This Row],[Total number bought]],"")</f>
        <v>25.798596491228071</v>
      </c>
      <c r="P1166" s="4">
        <f>IFERROR((Table25[[#This Row],[Average sell price]]-Table25[[#This Row],[Average buy price]])*Table25[[#This Row],[Total Sold number of stocks]],0)</f>
        <v>-156.87982456140367</v>
      </c>
      <c r="Q1166" s="85">
        <f>SUMIF(Table25[[#All],[Assets]],Table25[[#This Row],[Assets]],Table25[[#All],[Number of stocks]])</f>
        <v>7</v>
      </c>
    </row>
    <row r="1167" spans="1:17">
      <c r="A1167" t="e" vm="173">
        <v>#VALUE!</v>
      </c>
      <c r="B1167" s="2">
        <v>45791</v>
      </c>
      <c r="C1167" t="str" cm="1">
        <f t="array" aca="1" ref="C1167" ca="1">_FV(A1167,"Ticker symbol",TRUE)</f>
        <v>SNOW</v>
      </c>
      <c r="D1167" s="4">
        <v>181.88</v>
      </c>
      <c r="E1167" s="50">
        <v>3</v>
      </c>
      <c r="F1167" s="81">
        <f>IF(Table25[[#This Row],[Number of stocks]]&gt;0,Table25[[#This Row],[Number of stocks]],0)</f>
        <v>3</v>
      </c>
      <c r="G1167" s="73">
        <f>Table25[[#This Row],[Bought]]*Table25[[#This Row],[Price]]</f>
        <v>545.64</v>
      </c>
      <c r="H1167">
        <f>SUMIF(Table25[[#All],[Assets]],Table25[[#This Row],[Assets]],Table25[[#All],[Bought]])</f>
        <v>3</v>
      </c>
      <c r="I1167">
        <f>SUMIF(Table25[[#All],[Assets]],Table25[[#This Row],[Assets]],Table25[[#All],[Bought Amount]])</f>
        <v>545.64</v>
      </c>
      <c r="J1167" s="88">
        <f>IF(Table25[[#This Row],[Number of stocks]]&lt;0,Table25[[#This Row],[Number of stocks]],0)</f>
        <v>0</v>
      </c>
      <c r="K1167" s="5">
        <f>Table25[[#This Row],[Sold]]*Table25[[#This Row],[Price]]</f>
        <v>0</v>
      </c>
      <c r="L1167" s="8">
        <f>ABS(SUMIF(Table25[[#All],[Assets]],Table25[[#This Row],[Assets]],Table25[[#All],[Sold]]))</f>
        <v>3</v>
      </c>
      <c r="M1167" s="5">
        <f>ABS(SUMIF(Table25[[#All],[Assets]],Table25[[#This Row],[Assets]],Table25[[#All],[Sold Amount]]))</f>
        <v>666.63</v>
      </c>
      <c r="N1167" s="5">
        <f>IFERROR(Table25[[#This Row],[Total sold amount]]/Table25[[#This Row],[Total Sold number of stocks]],"")</f>
        <v>222.21</v>
      </c>
      <c r="O1167" s="4">
        <f>IFERROR(Table25[[#This Row],[Total Amount bought]]/Table25[[#This Row],[Total number bought]],"")</f>
        <v>181.88</v>
      </c>
      <c r="P1167" s="4">
        <f>IFERROR((Table25[[#This Row],[Average sell price]]-Table25[[#This Row],[Average buy price]])*Table25[[#This Row],[Total Sold number of stocks]],0)</f>
        <v>120.99000000000004</v>
      </c>
      <c r="Q1167" s="85">
        <f>SUMIF(Table25[[#All],[Assets]],Table25[[#This Row],[Assets]],Table25[[#All],[Number of stocks]])</f>
        <v>0</v>
      </c>
    </row>
    <row r="1168" spans="1:17">
      <c r="A1168" t="e" vm="36">
        <v>#VALUE!</v>
      </c>
      <c r="B1168" s="2">
        <v>45791</v>
      </c>
      <c r="C1168" t="str" cm="1">
        <f t="array" aca="1" ref="C1168" ca="1">_FV(A1168,"Ticker symbol",TRUE)</f>
        <v>CLS</v>
      </c>
      <c r="D1168" s="4">
        <v>111.85</v>
      </c>
      <c r="E1168" s="50">
        <v>5</v>
      </c>
      <c r="F1168" s="81">
        <f>IF(Table25[[#This Row],[Number of stocks]]&gt;0,Table25[[#This Row],[Number of stocks]],0)</f>
        <v>5</v>
      </c>
      <c r="G1168" s="73">
        <f>Table25[[#This Row],[Bought]]*Table25[[#This Row],[Price]]</f>
        <v>559.25</v>
      </c>
      <c r="H1168">
        <f>SUMIF(Table25[[#All],[Assets]],Table25[[#This Row],[Assets]],Table25[[#All],[Bought]])</f>
        <v>25</v>
      </c>
      <c r="I1168">
        <f>SUMIF(Table25[[#All],[Assets]],Table25[[#This Row],[Assets]],Table25[[#All],[Bought Amount]])</f>
        <v>1806.25</v>
      </c>
      <c r="J1168" s="88">
        <f>IF(Table25[[#This Row],[Number of stocks]]&lt;0,Table25[[#This Row],[Number of stocks]],0)</f>
        <v>0</v>
      </c>
      <c r="K1168" s="5">
        <f>Table25[[#This Row],[Sold]]*Table25[[#This Row],[Price]]</f>
        <v>0</v>
      </c>
      <c r="L1168" s="8">
        <f>ABS(SUMIF(Table25[[#All],[Assets]],Table25[[#This Row],[Assets]],Table25[[#All],[Sold]]))</f>
        <v>25</v>
      </c>
      <c r="M1168" s="5">
        <f>ABS(SUMIF(Table25[[#All],[Assets]],Table25[[#This Row],[Assets]],Table25[[#All],[Sold Amount]]))</f>
        <v>2255.6000000000004</v>
      </c>
      <c r="N1168" s="5">
        <f>IFERROR(Table25[[#This Row],[Total sold amount]]/Table25[[#This Row],[Total Sold number of stocks]],"")</f>
        <v>90.224000000000018</v>
      </c>
      <c r="O1168" s="4">
        <f>IFERROR(Table25[[#This Row],[Total Amount bought]]/Table25[[#This Row],[Total number bought]],"")</f>
        <v>72.25</v>
      </c>
      <c r="P1168" s="4">
        <f>IFERROR((Table25[[#This Row],[Average sell price]]-Table25[[#This Row],[Average buy price]])*Table25[[#This Row],[Total Sold number of stocks]],0)</f>
        <v>449.35000000000048</v>
      </c>
      <c r="Q1168" s="85">
        <f>SUMIF(Table25[[#All],[Assets]],Table25[[#This Row],[Assets]],Table25[[#All],[Number of stocks]])</f>
        <v>0</v>
      </c>
    </row>
    <row r="1169" spans="1:17">
      <c r="A1169" t="e" vm="282">
        <v>#VALUE!</v>
      </c>
      <c r="B1169" s="2">
        <v>45791</v>
      </c>
      <c r="C1169" t="str" cm="1">
        <f t="array" aca="1" ref="C1169" ca="1">_FV(A1169,"Ticker symbol",TRUE)</f>
        <v>ARQT</v>
      </c>
      <c r="D1169" s="4">
        <v>13.71</v>
      </c>
      <c r="E1169" s="50">
        <v>-35</v>
      </c>
      <c r="F1169" s="81">
        <f>IF(Table25[[#This Row],[Number of stocks]]&gt;0,Table25[[#This Row],[Number of stocks]],0)</f>
        <v>0</v>
      </c>
      <c r="G1169" s="73">
        <f>Table25[[#This Row],[Bought]]*Table25[[#This Row],[Price]]</f>
        <v>0</v>
      </c>
      <c r="H1169">
        <f>SUMIF(Table25[[#All],[Assets]],Table25[[#This Row],[Assets]],Table25[[#All],[Bought]])</f>
        <v>70</v>
      </c>
      <c r="I1169">
        <f>SUMIF(Table25[[#All],[Assets]],Table25[[#This Row],[Assets]],Table25[[#All],[Bought Amount]])</f>
        <v>1048.6000000000001</v>
      </c>
      <c r="J1169" s="88">
        <f>IF(Table25[[#This Row],[Number of stocks]]&lt;0,Table25[[#This Row],[Number of stocks]],0)</f>
        <v>-35</v>
      </c>
      <c r="K1169" s="5">
        <f>Table25[[#This Row],[Sold]]*Table25[[#This Row],[Price]]</f>
        <v>-479.85</v>
      </c>
      <c r="L1169" s="8">
        <f>ABS(SUMIF(Table25[[#All],[Assets]],Table25[[#This Row],[Assets]],Table25[[#All],[Sold]]))</f>
        <v>70</v>
      </c>
      <c r="M1169" s="5">
        <f>ABS(SUMIF(Table25[[#All],[Assets]],Table25[[#This Row],[Assets]],Table25[[#All],[Sold Amount]]))</f>
        <v>985.95</v>
      </c>
      <c r="N1169" s="5">
        <f>IFERROR(Table25[[#This Row],[Total sold amount]]/Table25[[#This Row],[Total Sold number of stocks]],"")</f>
        <v>14.085000000000001</v>
      </c>
      <c r="O1169" s="4">
        <f>IFERROR(Table25[[#This Row],[Total Amount bought]]/Table25[[#This Row],[Total number bought]],"")</f>
        <v>14.980000000000002</v>
      </c>
      <c r="P1169" s="4">
        <f>IFERROR((Table25[[#This Row],[Average sell price]]-Table25[[#This Row],[Average buy price]])*Table25[[#This Row],[Total Sold number of stocks]],0)</f>
        <v>-62.650000000000091</v>
      </c>
      <c r="Q1169" s="85">
        <f>SUMIF(Table25[[#All],[Assets]],Table25[[#This Row],[Assets]],Table25[[#All],[Number of stocks]])</f>
        <v>0</v>
      </c>
    </row>
    <row r="1170" spans="1:17">
      <c r="A1170" t="e" vm="215">
        <v>#VALUE!</v>
      </c>
      <c r="B1170" s="2">
        <v>45791</v>
      </c>
      <c r="C1170" t="str" cm="1">
        <f t="array" aca="1" ref="C1170" ca="1">_FV(A1170,"Ticker symbol",TRUE)</f>
        <v>SEI</v>
      </c>
      <c r="D1170" s="4">
        <v>22.66</v>
      </c>
      <c r="E1170" s="50">
        <v>-20</v>
      </c>
      <c r="F1170" s="81">
        <f>IF(Table25[[#This Row],[Number of stocks]]&gt;0,Table25[[#This Row],[Number of stocks]],0)</f>
        <v>0</v>
      </c>
      <c r="G1170" s="73">
        <f>Table25[[#This Row],[Bought]]*Table25[[#This Row],[Price]]</f>
        <v>0</v>
      </c>
      <c r="H1170">
        <f>SUMIF(Table25[[#All],[Assets]],Table25[[#This Row],[Assets]],Table25[[#All],[Bought]])</f>
        <v>57</v>
      </c>
      <c r="I1170">
        <f>SUMIF(Table25[[#All],[Assets]],Table25[[#This Row],[Assets]],Table25[[#All],[Bought Amount]])</f>
        <v>1470.52</v>
      </c>
      <c r="J1170" s="88">
        <f>IF(Table25[[#This Row],[Number of stocks]]&lt;0,Table25[[#This Row],[Number of stocks]],0)</f>
        <v>-20</v>
      </c>
      <c r="K1170" s="5">
        <f>Table25[[#This Row],[Sold]]*Table25[[#This Row],[Price]]</f>
        <v>-453.2</v>
      </c>
      <c r="L1170" s="8">
        <f>ABS(SUMIF(Table25[[#All],[Assets]],Table25[[#This Row],[Assets]],Table25[[#All],[Sold]]))</f>
        <v>50</v>
      </c>
      <c r="M1170" s="5">
        <f>ABS(SUMIF(Table25[[#All],[Assets]],Table25[[#This Row],[Assets]],Table25[[#All],[Sold Amount]]))</f>
        <v>1133.05</v>
      </c>
      <c r="N1170" s="5">
        <f>IFERROR(Table25[[#This Row],[Total sold amount]]/Table25[[#This Row],[Total Sold number of stocks]],"")</f>
        <v>22.660999999999998</v>
      </c>
      <c r="O1170" s="4">
        <f>IFERROR(Table25[[#This Row],[Total Amount bought]]/Table25[[#This Row],[Total number bought]],"")</f>
        <v>25.798596491228071</v>
      </c>
      <c r="P1170" s="4">
        <f>IFERROR((Table25[[#This Row],[Average sell price]]-Table25[[#This Row],[Average buy price]])*Table25[[#This Row],[Total Sold number of stocks]],0)</f>
        <v>-156.87982456140367</v>
      </c>
      <c r="Q1170" s="85">
        <f>SUMIF(Table25[[#All],[Assets]],Table25[[#This Row],[Assets]],Table25[[#All],[Number of stocks]])</f>
        <v>7</v>
      </c>
    </row>
    <row r="1171" spans="1:17">
      <c r="A1171" t="e" vm="551">
        <v>#VALUE!</v>
      </c>
      <c r="B1171" s="2">
        <v>45791</v>
      </c>
      <c r="C1171" t="str" cm="1">
        <f t="array" aca="1" ref="C1171" ca="1">_FV(A1171,"Ticker symbol",TRUE)</f>
        <v>KYIV</v>
      </c>
      <c r="D1171" s="4">
        <v>12.98</v>
      </c>
      <c r="E1171" s="50">
        <v>-34</v>
      </c>
      <c r="F1171" s="81">
        <f>IF(Table25[[#This Row],[Number of stocks]]&gt;0,Table25[[#This Row],[Number of stocks]],0)</f>
        <v>0</v>
      </c>
      <c r="G1171" s="73">
        <f>Table25[[#This Row],[Bought]]*Table25[[#This Row],[Price]]</f>
        <v>0</v>
      </c>
      <c r="H1171">
        <f>SUMIF(Table25[[#All],[Assets]],Table25[[#This Row],[Assets]],Table25[[#All],[Bought]])</f>
        <v>76</v>
      </c>
      <c r="I1171">
        <f>SUMIF(Table25[[#All],[Assets]],Table25[[#This Row],[Assets]],Table25[[#All],[Bought Amount]])</f>
        <v>931.88000000000011</v>
      </c>
      <c r="J1171" s="88">
        <f>IF(Table25[[#This Row],[Number of stocks]]&lt;0,Table25[[#This Row],[Number of stocks]],0)</f>
        <v>-34</v>
      </c>
      <c r="K1171" s="5">
        <f>Table25[[#This Row],[Sold]]*Table25[[#This Row],[Price]]</f>
        <v>-441.32</v>
      </c>
      <c r="L1171" s="8">
        <f>ABS(SUMIF(Table25[[#All],[Assets]],Table25[[#This Row],[Assets]],Table25[[#All],[Sold]]))</f>
        <v>76</v>
      </c>
      <c r="M1171" s="5">
        <f>ABS(SUMIF(Table25[[#All],[Assets]],Table25[[#This Row],[Assets]],Table25[[#All],[Sold Amount]]))</f>
        <v>1007.24</v>
      </c>
      <c r="N1171" s="5">
        <f>IFERROR(Table25[[#This Row],[Total sold amount]]/Table25[[#This Row],[Total Sold number of stocks]],"")</f>
        <v>13.253157894736843</v>
      </c>
      <c r="O1171" s="4">
        <f>IFERROR(Table25[[#This Row],[Total Amount bought]]/Table25[[#This Row],[Total number bought]],"")</f>
        <v>12.261578947368422</v>
      </c>
      <c r="P1171" s="4">
        <f>IFERROR((Table25[[#This Row],[Average sell price]]-Table25[[#This Row],[Average buy price]])*Table25[[#This Row],[Total Sold number of stocks]],0)</f>
        <v>75.359999999999971</v>
      </c>
      <c r="Q1171" s="85">
        <f>SUMIF(Table25[[#All],[Assets]],Table25[[#This Row],[Assets]],Table25[[#All],[Number of stocks]])</f>
        <v>0</v>
      </c>
    </row>
    <row r="1172" spans="1:17">
      <c r="A1172" t="e" vm="555">
        <v>#VALUE!</v>
      </c>
      <c r="B1172" s="2">
        <v>45791</v>
      </c>
      <c r="C1172" t="str" cm="1">
        <f t="array" aca="1" ref="C1172" ca="1">_FV(A1172,"Ticker symbol",TRUE)</f>
        <v>RDFN</v>
      </c>
      <c r="D1172" s="4">
        <v>10.08</v>
      </c>
      <c r="E1172" s="50">
        <v>-60</v>
      </c>
      <c r="F1172" s="81">
        <f>IF(Table25[[#This Row],[Number of stocks]]&gt;0,Table25[[#This Row],[Number of stocks]],0)</f>
        <v>0</v>
      </c>
      <c r="G1172" s="73">
        <f>Table25[[#This Row],[Bought]]*Table25[[#This Row],[Price]]</f>
        <v>0</v>
      </c>
      <c r="H1172">
        <f>SUMIF(Table25[[#All],[Assets]],Table25[[#This Row],[Assets]],Table25[[#All],[Bought]])</f>
        <v>120</v>
      </c>
      <c r="I1172">
        <f>SUMIF(Table25[[#All],[Assets]],Table25[[#This Row],[Assets]],Table25[[#All],[Bought Amount]])</f>
        <v>983.99999999999989</v>
      </c>
      <c r="J1172" s="88">
        <f>IF(Table25[[#This Row],[Number of stocks]]&lt;0,Table25[[#This Row],[Number of stocks]],0)</f>
        <v>-60</v>
      </c>
      <c r="K1172" s="5">
        <f>Table25[[#This Row],[Sold]]*Table25[[#This Row],[Price]]</f>
        <v>-604.79999999999995</v>
      </c>
      <c r="L1172" s="8">
        <f>ABS(SUMIF(Table25[[#All],[Assets]],Table25[[#This Row],[Assets]],Table25[[#All],[Sold]]))</f>
        <v>120</v>
      </c>
      <c r="M1172" s="5">
        <f>ABS(SUMIF(Table25[[#All],[Assets]],Table25[[#This Row],[Assets]],Table25[[#All],[Sold Amount]]))</f>
        <v>1177.8</v>
      </c>
      <c r="N1172" s="5">
        <f>IFERROR(Table25[[#This Row],[Total sold amount]]/Table25[[#This Row],[Total Sold number of stocks]],"")</f>
        <v>9.8149999999999995</v>
      </c>
      <c r="O1172" s="4">
        <f>IFERROR(Table25[[#This Row],[Total Amount bought]]/Table25[[#This Row],[Total number bought]],"")</f>
        <v>8.1999999999999993</v>
      </c>
      <c r="P1172" s="4">
        <f>IFERROR((Table25[[#This Row],[Average sell price]]-Table25[[#This Row],[Average buy price]])*Table25[[#This Row],[Total Sold number of stocks]],0)</f>
        <v>193.8</v>
      </c>
      <c r="Q1172" s="85">
        <f>SUMIF(Table25[[#All],[Assets]],Table25[[#This Row],[Assets]],Table25[[#All],[Number of stocks]])</f>
        <v>0</v>
      </c>
    </row>
    <row r="1173" spans="1:17">
      <c r="A1173" t="e" vm="30">
        <v>#VALUE!</v>
      </c>
      <c r="B1173" s="2">
        <v>45791</v>
      </c>
      <c r="C1173" t="str" cm="1">
        <f t="array" aca="1" ref="C1173" ca="1">_FV(A1173,"Ticker symbol",TRUE)</f>
        <v>NBIS</v>
      </c>
      <c r="D1173" s="4">
        <v>35.85</v>
      </c>
      <c r="E1173" s="50">
        <v>30</v>
      </c>
      <c r="F1173" s="81">
        <f>IF(Table25[[#This Row],[Number of stocks]]&gt;0,Table25[[#This Row],[Number of stocks]],0)</f>
        <v>30</v>
      </c>
      <c r="G1173" s="73">
        <f>Table25[[#This Row],[Bought]]*Table25[[#This Row],[Price]]</f>
        <v>1075.5</v>
      </c>
      <c r="H1173">
        <f>SUMIF(Table25[[#All],[Assets]],Table25[[#This Row],[Assets]],Table25[[#All],[Bought]])</f>
        <v>70</v>
      </c>
      <c r="I1173">
        <f>SUMIF(Table25[[#All],[Assets]],Table25[[#This Row],[Assets]],Table25[[#All],[Bought Amount]])</f>
        <v>2691.1</v>
      </c>
      <c r="J1173" s="88">
        <f>IF(Table25[[#This Row],[Number of stocks]]&lt;0,Table25[[#This Row],[Number of stocks]],0)</f>
        <v>0</v>
      </c>
      <c r="K1173" s="5">
        <f>Table25[[#This Row],[Sold]]*Table25[[#This Row],[Price]]</f>
        <v>0</v>
      </c>
      <c r="L1173" s="8">
        <f>ABS(SUMIF(Table25[[#All],[Assets]],Table25[[#This Row],[Assets]],Table25[[#All],[Sold]]))</f>
        <v>30</v>
      </c>
      <c r="M1173" s="5">
        <f>ABS(SUMIF(Table25[[#All],[Assets]],Table25[[#This Row],[Assets]],Table25[[#All],[Sold Amount]]))</f>
        <v>3282.8</v>
      </c>
      <c r="N1173" s="5">
        <f>IFERROR(Table25[[#This Row],[Total sold amount]]/Table25[[#This Row],[Total Sold number of stocks]],"")</f>
        <v>109.42666666666668</v>
      </c>
      <c r="O1173" s="4">
        <f>IFERROR(Table25[[#This Row],[Total Amount bought]]/Table25[[#This Row],[Total number bought]],"")</f>
        <v>38.444285714285712</v>
      </c>
      <c r="P1173" s="4">
        <f>IFERROR((Table25[[#This Row],[Average sell price]]-Table25[[#This Row],[Average buy price]])*Table25[[#This Row],[Total Sold number of stocks]],0)</f>
        <v>2129.471428571429</v>
      </c>
      <c r="Q1173" s="85">
        <f>SUMIF(Table25[[#All],[Assets]],Table25[[#This Row],[Assets]],Table25[[#All],[Number of stocks]])</f>
        <v>40</v>
      </c>
    </row>
    <row r="1174" spans="1:17">
      <c r="A1174" t="e" vm="30">
        <v>#VALUE!</v>
      </c>
      <c r="B1174" s="2">
        <v>45791</v>
      </c>
      <c r="C1174" t="str" cm="1">
        <f t="array" aca="1" ref="C1174" ca="1">_FV(A1174,"Ticker symbol",TRUE)</f>
        <v>NBIS</v>
      </c>
      <c r="D1174" s="4">
        <v>35.89</v>
      </c>
      <c r="E1174" s="50">
        <v>30</v>
      </c>
      <c r="F1174" s="81">
        <f>IF(Table25[[#This Row],[Number of stocks]]&gt;0,Table25[[#This Row],[Number of stocks]],0)</f>
        <v>30</v>
      </c>
      <c r="G1174" s="73">
        <f>Table25[[#This Row],[Bought]]*Table25[[#This Row],[Price]]</f>
        <v>1076.7</v>
      </c>
      <c r="H1174">
        <f>SUMIF(Table25[[#All],[Assets]],Table25[[#This Row],[Assets]],Table25[[#All],[Bought]])</f>
        <v>70</v>
      </c>
      <c r="I1174">
        <f>SUMIF(Table25[[#All],[Assets]],Table25[[#This Row],[Assets]],Table25[[#All],[Bought Amount]])</f>
        <v>2691.1</v>
      </c>
      <c r="J1174" s="88">
        <f>IF(Table25[[#This Row],[Number of stocks]]&lt;0,Table25[[#This Row],[Number of stocks]],0)</f>
        <v>0</v>
      </c>
      <c r="K1174" s="5">
        <f>Table25[[#This Row],[Sold]]*Table25[[#This Row],[Price]]</f>
        <v>0</v>
      </c>
      <c r="L1174" s="8">
        <f>ABS(SUMIF(Table25[[#All],[Assets]],Table25[[#This Row],[Assets]],Table25[[#All],[Sold]]))</f>
        <v>30</v>
      </c>
      <c r="M1174" s="5">
        <f>ABS(SUMIF(Table25[[#All],[Assets]],Table25[[#This Row],[Assets]],Table25[[#All],[Sold Amount]]))</f>
        <v>3282.8</v>
      </c>
      <c r="N1174" s="5">
        <f>IFERROR(Table25[[#This Row],[Total sold amount]]/Table25[[#This Row],[Total Sold number of stocks]],"")</f>
        <v>109.42666666666668</v>
      </c>
      <c r="O1174" s="4">
        <f>IFERROR(Table25[[#This Row],[Total Amount bought]]/Table25[[#This Row],[Total number bought]],"")</f>
        <v>38.444285714285712</v>
      </c>
      <c r="P1174" s="4">
        <f>IFERROR((Table25[[#This Row],[Average sell price]]-Table25[[#This Row],[Average buy price]])*Table25[[#This Row],[Total Sold number of stocks]],0)</f>
        <v>2129.471428571429</v>
      </c>
      <c r="Q1174" s="85">
        <f>SUMIF(Table25[[#All],[Assets]],Table25[[#This Row],[Assets]],Table25[[#All],[Number of stocks]])</f>
        <v>40</v>
      </c>
    </row>
    <row r="1175" spans="1:17">
      <c r="A1175" t="e" vm="59">
        <v>#VALUE!</v>
      </c>
      <c r="B1175" s="2">
        <v>45791</v>
      </c>
      <c r="C1175" t="str" cm="1">
        <f t="array" aca="1" ref="C1175" ca="1">_FV(A1175,"Ticker symbol",TRUE)</f>
        <v>EOG</v>
      </c>
      <c r="D1175" s="4">
        <v>114.99</v>
      </c>
      <c r="E1175" s="50">
        <v>4</v>
      </c>
      <c r="F1175" s="81">
        <f>IF(Table25[[#This Row],[Number of stocks]]&gt;0,Table25[[#This Row],[Number of stocks]],0)</f>
        <v>4</v>
      </c>
      <c r="G1175" s="73">
        <f>Table25[[#This Row],[Bought]]*Table25[[#This Row],[Price]]</f>
        <v>459.96</v>
      </c>
      <c r="H1175">
        <f>SUMIF(Table25[[#All],[Assets]],Table25[[#This Row],[Assets]],Table25[[#All],[Bought]])</f>
        <v>5</v>
      </c>
      <c r="I1175">
        <f>SUMIF(Table25[[#All],[Assets]],Table25[[#This Row],[Assets]],Table25[[#All],[Bought Amount]])</f>
        <v>595.38</v>
      </c>
      <c r="J1175" s="88">
        <f>IF(Table25[[#This Row],[Number of stocks]]&lt;0,Table25[[#This Row],[Number of stocks]],0)</f>
        <v>0</v>
      </c>
      <c r="K1175" s="5">
        <f>Table25[[#This Row],[Sold]]*Table25[[#This Row],[Price]]</f>
        <v>0</v>
      </c>
      <c r="L1175" s="8">
        <f>ABS(SUMIF(Table25[[#All],[Assets]],Table25[[#This Row],[Assets]],Table25[[#All],[Sold]]))</f>
        <v>5</v>
      </c>
      <c r="M1175" s="5">
        <f>ABS(SUMIF(Table25[[#All],[Assets]],Table25[[#This Row],[Assets]],Table25[[#All],[Sold Amount]]))</f>
        <v>575.31999999999994</v>
      </c>
      <c r="N1175" s="5">
        <f>IFERROR(Table25[[#This Row],[Total sold amount]]/Table25[[#This Row],[Total Sold number of stocks]],"")</f>
        <v>115.06399999999999</v>
      </c>
      <c r="O1175" s="4">
        <f>IFERROR(Table25[[#This Row],[Total Amount bought]]/Table25[[#This Row],[Total number bought]],"")</f>
        <v>119.07599999999999</v>
      </c>
      <c r="P1175" s="4">
        <f>IFERROR((Table25[[#This Row],[Average sell price]]-Table25[[#This Row],[Average buy price]])*Table25[[#This Row],[Total Sold number of stocks]],0)</f>
        <v>-20.060000000000002</v>
      </c>
      <c r="Q1175" s="85">
        <f>SUMIF(Table25[[#All],[Assets]],Table25[[#This Row],[Assets]],Table25[[#All],[Number of stocks]])</f>
        <v>0</v>
      </c>
    </row>
    <row r="1176" spans="1:17">
      <c r="A1176" t="e" vm="17">
        <v>#VALUE!</v>
      </c>
      <c r="B1176" s="2">
        <v>45792</v>
      </c>
      <c r="C1176" t="str" cm="1">
        <f t="array" aca="1" ref="C1176" ca="1">_FV(A1176,"Ticker symbol",TRUE)</f>
        <v>VPG</v>
      </c>
      <c r="D1176" s="4">
        <v>26.12</v>
      </c>
      <c r="E1176" s="50">
        <v>18</v>
      </c>
      <c r="F1176" s="81">
        <f>IF(Table25[[#This Row],[Number of stocks]]&gt;0,Table25[[#This Row],[Number of stocks]],0)</f>
        <v>18</v>
      </c>
      <c r="G1176" s="73">
        <f>Table25[[#This Row],[Bought]]*Table25[[#This Row],[Price]]</f>
        <v>470.16</v>
      </c>
      <c r="H1176">
        <f>SUMIF(Table25[[#All],[Assets]],Table25[[#This Row],[Assets]],Table25[[#All],[Bought]])</f>
        <v>23</v>
      </c>
      <c r="I1176">
        <f>SUMIF(Table25[[#All],[Assets]],Table25[[#This Row],[Assets]],Table25[[#All],[Bought Amount]])</f>
        <v>604.01</v>
      </c>
      <c r="J1176" s="88">
        <f>IF(Table25[[#This Row],[Number of stocks]]&lt;0,Table25[[#This Row],[Number of stocks]],0)</f>
        <v>0</v>
      </c>
      <c r="K1176" s="5">
        <f>Table25[[#This Row],[Sold]]*Table25[[#This Row],[Price]]</f>
        <v>0</v>
      </c>
      <c r="L1176" s="8">
        <f>ABS(SUMIF(Table25[[#All],[Assets]],Table25[[#This Row],[Assets]],Table25[[#All],[Sold]]))</f>
        <v>23</v>
      </c>
      <c r="M1176" s="5">
        <f>ABS(SUMIF(Table25[[#All],[Assets]],Table25[[#This Row],[Assets]],Table25[[#All],[Sold Amount]]))</f>
        <v>629.05000000000007</v>
      </c>
      <c r="N1176" s="5">
        <f>IFERROR(Table25[[#This Row],[Total sold amount]]/Table25[[#This Row],[Total Sold number of stocks]],"")</f>
        <v>27.35</v>
      </c>
      <c r="O1176" s="4">
        <f>IFERROR(Table25[[#This Row],[Total Amount bought]]/Table25[[#This Row],[Total number bought]],"")</f>
        <v>26.261304347826087</v>
      </c>
      <c r="P1176" s="4">
        <f>IFERROR((Table25[[#This Row],[Average sell price]]-Table25[[#This Row],[Average buy price]])*Table25[[#This Row],[Total Sold number of stocks]],0)</f>
        <v>25.040000000000031</v>
      </c>
      <c r="Q1176" s="85">
        <f>SUMIF(Table25[[#All],[Assets]],Table25[[#This Row],[Assets]],Table25[[#All],[Number of stocks]])</f>
        <v>0</v>
      </c>
    </row>
    <row r="1177" spans="1:17">
      <c r="A1177" t="e" vm="279">
        <v>#VALUE!</v>
      </c>
      <c r="B1177" s="2">
        <v>45792</v>
      </c>
      <c r="C1177" t="str" cm="1">
        <f t="array" aca="1" ref="C1177" ca="1">_FV(A1177,"Ticker symbol",TRUE)</f>
        <v>DXCM</v>
      </c>
      <c r="D1177" s="4">
        <v>85.27</v>
      </c>
      <c r="E1177" s="50">
        <v>-7</v>
      </c>
      <c r="F1177" s="81">
        <f>IF(Table25[[#This Row],[Number of stocks]]&gt;0,Table25[[#This Row],[Number of stocks]],0)</f>
        <v>0</v>
      </c>
      <c r="G1177" s="73">
        <f>Table25[[#This Row],[Bought]]*Table25[[#This Row],[Price]]</f>
        <v>0</v>
      </c>
      <c r="H1177">
        <f>SUMIF(Table25[[#All],[Assets]],Table25[[#This Row],[Assets]],Table25[[#All],[Bought]])</f>
        <v>17</v>
      </c>
      <c r="I1177">
        <f>SUMIF(Table25[[#All],[Assets]],Table25[[#This Row],[Assets]],Table25[[#All],[Bought Amount]])</f>
        <v>1281.7399999999998</v>
      </c>
      <c r="J1177" s="88">
        <f>IF(Table25[[#This Row],[Number of stocks]]&lt;0,Table25[[#This Row],[Number of stocks]],0)</f>
        <v>-7</v>
      </c>
      <c r="K1177" s="5">
        <f>Table25[[#This Row],[Sold]]*Table25[[#This Row],[Price]]</f>
        <v>-596.89</v>
      </c>
      <c r="L1177" s="8">
        <f>ABS(SUMIF(Table25[[#All],[Assets]],Table25[[#This Row],[Assets]],Table25[[#All],[Sold]]))</f>
        <v>17</v>
      </c>
      <c r="M1177" s="5">
        <f>ABS(SUMIF(Table25[[#All],[Assets]],Table25[[#This Row],[Assets]],Table25[[#All],[Sold Amount]]))</f>
        <v>1420.81</v>
      </c>
      <c r="N1177" s="5">
        <f>IFERROR(Table25[[#This Row],[Total sold amount]]/Table25[[#This Row],[Total Sold number of stocks]],"")</f>
        <v>83.577058823529413</v>
      </c>
      <c r="O1177" s="4">
        <f>IFERROR(Table25[[#This Row],[Total Amount bought]]/Table25[[#This Row],[Total number bought]],"")</f>
        <v>75.396470588235275</v>
      </c>
      <c r="P1177" s="4">
        <f>IFERROR((Table25[[#This Row],[Average sell price]]-Table25[[#This Row],[Average buy price]])*Table25[[#This Row],[Total Sold number of stocks]],0)</f>
        <v>139.07000000000033</v>
      </c>
      <c r="Q1177" s="85">
        <f>SUMIF(Table25[[#All],[Assets]],Table25[[#This Row],[Assets]],Table25[[#All],[Number of stocks]])</f>
        <v>0</v>
      </c>
    </row>
    <row r="1178" spans="1:17">
      <c r="A1178" t="e" vm="58">
        <v>#VALUE!</v>
      </c>
      <c r="B1178" s="2">
        <v>45792</v>
      </c>
      <c r="C1178" t="str" cm="1">
        <f t="array" aca="1" ref="C1178" ca="1">_FV(A1178,"Ticker symbol",TRUE)</f>
        <v>LNG</v>
      </c>
      <c r="D1178" s="4">
        <v>234.07</v>
      </c>
      <c r="E1178" s="50">
        <v>-1</v>
      </c>
      <c r="F1178" s="81">
        <f>IF(Table25[[#This Row],[Number of stocks]]&gt;0,Table25[[#This Row],[Number of stocks]],0)</f>
        <v>0</v>
      </c>
      <c r="G1178" s="73">
        <f>Table25[[#This Row],[Bought]]*Table25[[#This Row],[Price]]</f>
        <v>0</v>
      </c>
      <c r="H1178">
        <f>SUMIF(Table25[[#All],[Assets]],Table25[[#This Row],[Assets]],Table25[[#All],[Bought]])</f>
        <v>2</v>
      </c>
      <c r="I1178">
        <f>SUMIF(Table25[[#All],[Assets]],Table25[[#This Row],[Assets]],Table25[[#All],[Bought Amount]])</f>
        <v>336.24</v>
      </c>
      <c r="J1178" s="88">
        <f>IF(Table25[[#This Row],[Number of stocks]]&lt;0,Table25[[#This Row],[Number of stocks]],0)</f>
        <v>-1</v>
      </c>
      <c r="K1178" s="5">
        <f>Table25[[#This Row],[Sold]]*Table25[[#This Row],[Price]]</f>
        <v>-234.07</v>
      </c>
      <c r="L1178" s="8">
        <f>ABS(SUMIF(Table25[[#All],[Assets]],Table25[[#This Row],[Assets]],Table25[[#All],[Sold]]))</f>
        <v>1</v>
      </c>
      <c r="M1178" s="5">
        <f>ABS(SUMIF(Table25[[#All],[Assets]],Table25[[#This Row],[Assets]],Table25[[#All],[Sold Amount]]))</f>
        <v>234.07</v>
      </c>
      <c r="N1178" s="5">
        <f>IFERROR(Table25[[#This Row],[Total sold amount]]/Table25[[#This Row],[Total Sold number of stocks]],"")</f>
        <v>234.07</v>
      </c>
      <c r="O1178" s="4">
        <f>IFERROR(Table25[[#This Row],[Total Amount bought]]/Table25[[#This Row],[Total number bought]],"")</f>
        <v>168.12</v>
      </c>
      <c r="P1178" s="4">
        <f>IFERROR((Table25[[#This Row],[Average sell price]]-Table25[[#This Row],[Average buy price]])*Table25[[#This Row],[Total Sold number of stocks]],0)</f>
        <v>65.949999999999989</v>
      </c>
      <c r="Q1178" s="85">
        <f>SUMIF(Table25[[#All],[Assets]],Table25[[#This Row],[Assets]],Table25[[#All],[Number of stocks]])</f>
        <v>1</v>
      </c>
    </row>
    <row r="1179" spans="1:17">
      <c r="A1179" t="e" vm="78">
        <v>#VALUE!</v>
      </c>
      <c r="B1179" s="2">
        <v>45792</v>
      </c>
      <c r="C1179" t="str" cm="1">
        <f t="array" aca="1" ref="C1179" ca="1">_FV(A1179,"Ticker symbol",TRUE)</f>
        <v>TOI</v>
      </c>
      <c r="D1179" s="4">
        <v>2.88</v>
      </c>
      <c r="E1179" s="50">
        <v>80</v>
      </c>
      <c r="F1179" s="81">
        <f>IF(Table25[[#This Row],[Number of stocks]]&gt;0,Table25[[#This Row],[Number of stocks]],0)</f>
        <v>80</v>
      </c>
      <c r="G1179" s="73">
        <f>Table25[[#This Row],[Bought]]*Table25[[#This Row],[Price]]</f>
        <v>230.39999999999998</v>
      </c>
      <c r="H1179">
        <f>SUMIF(Table25[[#All],[Assets]],Table25[[#This Row],[Assets]],Table25[[#All],[Bought]])</f>
        <v>2120</v>
      </c>
      <c r="I1179">
        <f>SUMIF(Table25[[#All],[Assets]],Table25[[#This Row],[Assets]],Table25[[#All],[Bought Amount]])</f>
        <v>4215.1000000000004</v>
      </c>
      <c r="J1179" s="88">
        <f>IF(Table25[[#This Row],[Number of stocks]]&lt;0,Table25[[#This Row],[Number of stocks]],0)</f>
        <v>0</v>
      </c>
      <c r="K1179" s="5">
        <f>Table25[[#This Row],[Sold]]*Table25[[#This Row],[Price]]</f>
        <v>0</v>
      </c>
      <c r="L1179" s="8">
        <f>ABS(SUMIF(Table25[[#All],[Assets]],Table25[[#This Row],[Assets]],Table25[[#All],[Sold]]))</f>
        <v>1120</v>
      </c>
      <c r="M1179" s="5">
        <f>ABS(SUMIF(Table25[[#All],[Assets]],Table25[[#This Row],[Assets]],Table25[[#All],[Sold Amount]]))</f>
        <v>3202.4</v>
      </c>
      <c r="N1179" s="5">
        <f>IFERROR(Table25[[#This Row],[Total sold amount]]/Table25[[#This Row],[Total Sold number of stocks]],"")</f>
        <v>2.8592857142857144</v>
      </c>
      <c r="O1179" s="4">
        <f>IFERROR(Table25[[#This Row],[Total Amount bought]]/Table25[[#This Row],[Total number bought]],"")</f>
        <v>1.9882547169811322</v>
      </c>
      <c r="P1179" s="4">
        <f>IFERROR((Table25[[#This Row],[Average sell price]]-Table25[[#This Row],[Average buy price]])*Table25[[#This Row],[Total Sold number of stocks]],0)</f>
        <v>975.55471698113206</v>
      </c>
      <c r="Q1179" s="85">
        <f>SUMIF(Table25[[#All],[Assets]],Table25[[#This Row],[Assets]],Table25[[#All],[Number of stocks]])</f>
        <v>1000</v>
      </c>
    </row>
    <row r="1180" spans="1:17">
      <c r="A1180" t="e" vm="78">
        <v>#VALUE!</v>
      </c>
      <c r="B1180" s="2">
        <v>45792</v>
      </c>
      <c r="C1180" t="str" cm="1">
        <f t="array" aca="1" ref="C1180" ca="1">_FV(A1180,"Ticker symbol",TRUE)</f>
        <v>TOI</v>
      </c>
      <c r="D1180" s="4">
        <v>2.89</v>
      </c>
      <c r="E1180" s="50">
        <v>150</v>
      </c>
      <c r="F1180" s="81">
        <f>IF(Table25[[#This Row],[Number of stocks]]&gt;0,Table25[[#This Row],[Number of stocks]],0)</f>
        <v>150</v>
      </c>
      <c r="G1180" s="73">
        <f>Table25[[#This Row],[Bought]]*Table25[[#This Row],[Price]]</f>
        <v>433.5</v>
      </c>
      <c r="H1180">
        <f>SUMIF(Table25[[#All],[Assets]],Table25[[#This Row],[Assets]],Table25[[#All],[Bought]])</f>
        <v>2120</v>
      </c>
      <c r="I1180">
        <f>SUMIF(Table25[[#All],[Assets]],Table25[[#This Row],[Assets]],Table25[[#All],[Bought Amount]])</f>
        <v>4215.1000000000004</v>
      </c>
      <c r="J1180" s="88">
        <f>IF(Table25[[#This Row],[Number of stocks]]&lt;0,Table25[[#This Row],[Number of stocks]],0)</f>
        <v>0</v>
      </c>
      <c r="K1180" s="5">
        <f>Table25[[#This Row],[Sold]]*Table25[[#This Row],[Price]]</f>
        <v>0</v>
      </c>
      <c r="L1180" s="8">
        <f>ABS(SUMIF(Table25[[#All],[Assets]],Table25[[#This Row],[Assets]],Table25[[#All],[Sold]]))</f>
        <v>1120</v>
      </c>
      <c r="M1180" s="5">
        <f>ABS(SUMIF(Table25[[#All],[Assets]],Table25[[#This Row],[Assets]],Table25[[#All],[Sold Amount]]))</f>
        <v>3202.4</v>
      </c>
      <c r="N1180" s="5">
        <f>IFERROR(Table25[[#This Row],[Total sold amount]]/Table25[[#This Row],[Total Sold number of stocks]],"")</f>
        <v>2.8592857142857144</v>
      </c>
      <c r="O1180" s="4">
        <f>IFERROR(Table25[[#This Row],[Total Amount bought]]/Table25[[#This Row],[Total number bought]],"")</f>
        <v>1.9882547169811322</v>
      </c>
      <c r="P1180" s="4">
        <f>IFERROR((Table25[[#This Row],[Average sell price]]-Table25[[#This Row],[Average buy price]])*Table25[[#This Row],[Total Sold number of stocks]],0)</f>
        <v>975.55471698113206</v>
      </c>
      <c r="Q1180" s="85">
        <f>SUMIF(Table25[[#All],[Assets]],Table25[[#This Row],[Assets]],Table25[[#All],[Number of stocks]])</f>
        <v>1000</v>
      </c>
    </row>
    <row r="1181" spans="1:17">
      <c r="A1181" t="e" vm="227">
        <v>#VALUE!</v>
      </c>
      <c r="B1181" s="2">
        <v>45792</v>
      </c>
      <c r="C1181" t="str" cm="1">
        <f t="array" aca="1" ref="C1181" ca="1">_FV(A1181,"Ticker symbol",TRUE)</f>
        <v>DFDV</v>
      </c>
      <c r="D1181" s="4">
        <v>12.434290000000001</v>
      </c>
      <c r="E1181" s="50">
        <v>14</v>
      </c>
      <c r="F1181" s="81">
        <f>IF(Table25[[#This Row],[Number of stocks]]&gt;0,Table25[[#This Row],[Number of stocks]],0)</f>
        <v>14</v>
      </c>
      <c r="G1181" s="73">
        <f>Table25[[#This Row],[Bought]]*Table25[[#This Row],[Price]]</f>
        <v>174.08006</v>
      </c>
      <c r="H1181">
        <f>SUMIF(Table25[[#All],[Assets]],Table25[[#This Row],[Assets]],Table25[[#All],[Bought]])</f>
        <v>387</v>
      </c>
      <c r="I1181">
        <f>SUMIF(Table25[[#All],[Assets]],Table25[[#This Row],[Assets]],Table25[[#All],[Bought Amount]])</f>
        <v>6522.1182600000002</v>
      </c>
      <c r="J1181" s="88">
        <f>IF(Table25[[#This Row],[Number of stocks]]&lt;0,Table25[[#This Row],[Number of stocks]],0)</f>
        <v>0</v>
      </c>
      <c r="K1181" s="5">
        <f>Table25[[#This Row],[Sold]]*Table25[[#This Row],[Price]]</f>
        <v>0</v>
      </c>
      <c r="L1181" s="8">
        <f>ABS(SUMIF(Table25[[#All],[Assets]],Table25[[#This Row],[Assets]],Table25[[#All],[Sold]]))</f>
        <v>387</v>
      </c>
      <c r="M1181" s="5">
        <f>ABS(SUMIF(Table25[[#All],[Assets]],Table25[[#This Row],[Assets]],Table25[[#All],[Sold Amount]]))</f>
        <v>7242.64</v>
      </c>
      <c r="N1181" s="5">
        <f>IFERROR(Table25[[#This Row],[Total sold amount]]/Table25[[#This Row],[Total Sold number of stocks]],"")</f>
        <v>18.714832041343669</v>
      </c>
      <c r="O1181" s="4">
        <f>IFERROR(Table25[[#This Row],[Total Amount bought]]/Table25[[#This Row],[Total number bought]],"")</f>
        <v>16.853018759689924</v>
      </c>
      <c r="P1181" s="4">
        <f>IFERROR((Table25[[#This Row],[Average sell price]]-Table25[[#This Row],[Average buy price]])*Table25[[#This Row],[Total Sold number of stocks]],0)</f>
        <v>720.52173999999945</v>
      </c>
      <c r="Q1181" s="85">
        <f>SUMIF(Table25[[#All],[Assets]],Table25[[#This Row],[Assets]],Table25[[#All],[Number of stocks]])</f>
        <v>0</v>
      </c>
    </row>
    <row r="1182" spans="1:17">
      <c r="A1182" t="e" vm="254">
        <v>#VALUE!</v>
      </c>
      <c r="B1182" s="2">
        <v>45792</v>
      </c>
      <c r="C1182" t="str" cm="1">
        <f t="array" aca="1" ref="C1182" ca="1">_FV(A1182,"Ticker symbol",TRUE)</f>
        <v>TALK</v>
      </c>
      <c r="D1182" s="4">
        <v>2.97</v>
      </c>
      <c r="E1182" s="50">
        <v>-270</v>
      </c>
      <c r="F1182" s="81">
        <f>IF(Table25[[#This Row],[Number of stocks]]&gt;0,Table25[[#This Row],[Number of stocks]],0)</f>
        <v>0</v>
      </c>
      <c r="G1182" s="73">
        <f>Table25[[#This Row],[Bought]]*Table25[[#This Row],[Price]]</f>
        <v>0</v>
      </c>
      <c r="H1182">
        <f>SUMIF(Table25[[#All],[Assets]],Table25[[#This Row],[Assets]],Table25[[#All],[Bought]])</f>
        <v>885</v>
      </c>
      <c r="I1182">
        <f>SUMIF(Table25[[#All],[Assets]],Table25[[#This Row],[Assets]],Table25[[#All],[Bought Amount]])</f>
        <v>2664.7</v>
      </c>
      <c r="J1182" s="88">
        <f>IF(Table25[[#This Row],[Number of stocks]]&lt;0,Table25[[#This Row],[Number of stocks]],0)</f>
        <v>-270</v>
      </c>
      <c r="K1182" s="5">
        <f>Table25[[#This Row],[Sold]]*Table25[[#This Row],[Price]]</f>
        <v>-801.90000000000009</v>
      </c>
      <c r="L1182" s="8">
        <f>ABS(SUMIF(Table25[[#All],[Assets]],Table25[[#This Row],[Assets]],Table25[[#All],[Sold]]))</f>
        <v>885</v>
      </c>
      <c r="M1182" s="5">
        <f>ABS(SUMIF(Table25[[#All],[Assets]],Table25[[#This Row],[Assets]],Table25[[#All],[Sold Amount]]))</f>
        <v>2591</v>
      </c>
      <c r="N1182" s="5">
        <f>IFERROR(Table25[[#This Row],[Total sold amount]]/Table25[[#This Row],[Total Sold number of stocks]],"")</f>
        <v>2.927683615819209</v>
      </c>
      <c r="O1182" s="4">
        <f>IFERROR(Table25[[#This Row],[Total Amount bought]]/Table25[[#This Row],[Total number bought]],"")</f>
        <v>3.0109604519774011</v>
      </c>
      <c r="P1182" s="4">
        <f>IFERROR((Table25[[#This Row],[Average sell price]]-Table25[[#This Row],[Average buy price]])*Table25[[#This Row],[Total Sold number of stocks]],0)</f>
        <v>-73.700000000000045</v>
      </c>
      <c r="Q1182" s="85">
        <f>SUMIF(Table25[[#All],[Assets]],Table25[[#This Row],[Assets]],Table25[[#All],[Number of stocks]])</f>
        <v>0</v>
      </c>
    </row>
    <row r="1183" spans="1:17">
      <c r="A1183" t="e" vm="73">
        <v>#VALUE!</v>
      </c>
      <c r="B1183" s="2">
        <v>45793</v>
      </c>
      <c r="C1183" t="str" cm="1">
        <f t="array" aca="1" ref="C1183" ca="1">_FV(A1183,"Ticker symbol",TRUE)</f>
        <v>NOTV</v>
      </c>
      <c r="D1183" s="4">
        <v>2.31</v>
      </c>
      <c r="E1183" s="50">
        <v>330</v>
      </c>
      <c r="F1183" s="81">
        <f>IF(Table25[[#This Row],[Number of stocks]]&gt;0,Table25[[#This Row],[Number of stocks]],0)</f>
        <v>330</v>
      </c>
      <c r="G1183" s="73">
        <f>Table25[[#This Row],[Bought]]*Table25[[#This Row],[Price]]</f>
        <v>762.30000000000007</v>
      </c>
      <c r="H1183">
        <f>SUMIF(Table25[[#All],[Assets]],Table25[[#This Row],[Assets]],Table25[[#All],[Bought]])</f>
        <v>3556</v>
      </c>
      <c r="I1183">
        <f>SUMIF(Table25[[#All],[Assets]],Table25[[#This Row],[Assets]],Table25[[#All],[Bought Amount]])</f>
        <v>10249.890000000001</v>
      </c>
      <c r="J1183" s="88">
        <f>IF(Table25[[#This Row],[Number of stocks]]&lt;0,Table25[[#This Row],[Number of stocks]],0)</f>
        <v>0</v>
      </c>
      <c r="K1183" s="5">
        <f>Table25[[#This Row],[Sold]]*Table25[[#This Row],[Price]]</f>
        <v>0</v>
      </c>
      <c r="L1183" s="8">
        <f>ABS(SUMIF(Table25[[#All],[Assets]],Table25[[#This Row],[Assets]],Table25[[#All],[Sold]]))</f>
        <v>2741</v>
      </c>
      <c r="M1183" s="5">
        <f>ABS(SUMIF(Table25[[#All],[Assets]],Table25[[#This Row],[Assets]],Table25[[#All],[Sold Amount]]))</f>
        <v>6559.66</v>
      </c>
      <c r="N1183" s="5">
        <f>IFERROR(Table25[[#This Row],[Total sold amount]]/Table25[[#This Row],[Total Sold number of stocks]],"")</f>
        <v>2.3931630791681866</v>
      </c>
      <c r="O1183" s="4">
        <f>IFERROR(Table25[[#This Row],[Total Amount bought]]/Table25[[#This Row],[Total number bought]],"")</f>
        <v>2.8824212598425198</v>
      </c>
      <c r="P1183" s="4">
        <f>IFERROR((Table25[[#This Row],[Average sell price]]-Table25[[#This Row],[Average buy price]])*Table25[[#This Row],[Total Sold number of stocks]],0)</f>
        <v>-1341.0566732283473</v>
      </c>
      <c r="Q1183" s="85">
        <f>SUMIF(Table25[[#All],[Assets]],Table25[[#This Row],[Assets]],Table25[[#All],[Number of stocks]])</f>
        <v>815</v>
      </c>
    </row>
    <row r="1184" spans="1:17">
      <c r="A1184" t="e" vm="210">
        <v>#VALUE!</v>
      </c>
      <c r="B1184" s="2">
        <v>45793</v>
      </c>
      <c r="C1184" t="str" cm="1">
        <f t="array" aca="1" ref="C1184" ca="1">_FV(A1184,"Ticker symbol",TRUE)</f>
        <v>HALO</v>
      </c>
      <c r="D1184" s="4">
        <v>52.5</v>
      </c>
      <c r="E1184" s="50">
        <v>45</v>
      </c>
      <c r="F1184" s="81">
        <f>IF(Table25[[#This Row],[Number of stocks]]&gt;0,Table25[[#This Row],[Number of stocks]],0)</f>
        <v>45</v>
      </c>
      <c r="G1184" s="73">
        <f>Table25[[#This Row],[Bought]]*Table25[[#This Row],[Price]]</f>
        <v>2362.5</v>
      </c>
      <c r="H1184">
        <f>SUMIF(Table25[[#All],[Assets]],Table25[[#This Row],[Assets]],Table25[[#All],[Bought]])</f>
        <v>45</v>
      </c>
      <c r="I1184">
        <f>SUMIF(Table25[[#All],[Assets]],Table25[[#This Row],[Assets]],Table25[[#All],[Bought Amount]])</f>
        <v>2362.5</v>
      </c>
      <c r="J1184" s="88">
        <f>IF(Table25[[#This Row],[Number of stocks]]&lt;0,Table25[[#This Row],[Number of stocks]],0)</f>
        <v>0</v>
      </c>
      <c r="K1184" s="5">
        <f>Table25[[#This Row],[Sold]]*Table25[[#This Row],[Price]]</f>
        <v>0</v>
      </c>
      <c r="L1184" s="8">
        <f>ABS(SUMIF(Table25[[#All],[Assets]],Table25[[#This Row],[Assets]],Table25[[#All],[Sold]]))</f>
        <v>37</v>
      </c>
      <c r="M1184" s="5">
        <f>ABS(SUMIF(Table25[[#All],[Assets]],Table25[[#This Row],[Assets]],Table25[[#All],[Sold Amount]]))</f>
        <v>2008.8599999999997</v>
      </c>
      <c r="N1184" s="5">
        <f>IFERROR(Table25[[#This Row],[Total sold amount]]/Table25[[#This Row],[Total Sold number of stocks]],"")</f>
        <v>54.293513513513503</v>
      </c>
      <c r="O1184" s="4">
        <f>IFERROR(Table25[[#This Row],[Total Amount bought]]/Table25[[#This Row],[Total number bought]],"")</f>
        <v>52.5</v>
      </c>
      <c r="P1184" s="4">
        <f>IFERROR((Table25[[#This Row],[Average sell price]]-Table25[[#This Row],[Average buy price]])*Table25[[#This Row],[Total Sold number of stocks]],0)</f>
        <v>66.359999999999602</v>
      </c>
      <c r="Q1184" s="85">
        <f>SUMIF(Table25[[#All],[Assets]],Table25[[#This Row],[Assets]],Table25[[#All],[Number of stocks]])</f>
        <v>8</v>
      </c>
    </row>
    <row r="1185" spans="1:17">
      <c r="A1185" t="e" vm="59">
        <v>#VALUE!</v>
      </c>
      <c r="B1185" s="2">
        <v>45796</v>
      </c>
      <c r="C1185" t="str" cm="1">
        <f t="array" aca="1" ref="C1185" ca="1">_FV(A1185,"Ticker symbol",TRUE)</f>
        <v>EOG</v>
      </c>
      <c r="D1185" s="4">
        <v>113.44</v>
      </c>
      <c r="E1185" s="50">
        <v>-2</v>
      </c>
      <c r="F1185" s="81">
        <f>IF(Table25[[#This Row],[Number of stocks]]&gt;0,Table25[[#This Row],[Number of stocks]],0)</f>
        <v>0</v>
      </c>
      <c r="G1185" s="73">
        <f>Table25[[#This Row],[Bought]]*Table25[[#This Row],[Price]]</f>
        <v>0</v>
      </c>
      <c r="H1185">
        <f>SUMIF(Table25[[#All],[Assets]],Table25[[#This Row],[Assets]],Table25[[#All],[Bought]])</f>
        <v>5</v>
      </c>
      <c r="I1185">
        <f>SUMIF(Table25[[#All],[Assets]],Table25[[#This Row],[Assets]],Table25[[#All],[Bought Amount]])</f>
        <v>595.38</v>
      </c>
      <c r="J1185" s="88">
        <f>IF(Table25[[#This Row],[Number of stocks]]&lt;0,Table25[[#This Row],[Number of stocks]],0)</f>
        <v>-2</v>
      </c>
      <c r="K1185" s="5">
        <f>Table25[[#This Row],[Sold]]*Table25[[#This Row],[Price]]</f>
        <v>-226.88</v>
      </c>
      <c r="L1185" s="8">
        <f>ABS(SUMIF(Table25[[#All],[Assets]],Table25[[#This Row],[Assets]],Table25[[#All],[Sold]]))</f>
        <v>5</v>
      </c>
      <c r="M1185" s="5">
        <f>ABS(SUMIF(Table25[[#All],[Assets]],Table25[[#This Row],[Assets]],Table25[[#All],[Sold Amount]]))</f>
        <v>575.31999999999994</v>
      </c>
      <c r="N1185" s="5">
        <f>IFERROR(Table25[[#This Row],[Total sold amount]]/Table25[[#This Row],[Total Sold number of stocks]],"")</f>
        <v>115.06399999999999</v>
      </c>
      <c r="O1185" s="4">
        <f>IFERROR(Table25[[#This Row],[Total Amount bought]]/Table25[[#This Row],[Total number bought]],"")</f>
        <v>119.07599999999999</v>
      </c>
      <c r="P1185" s="4">
        <f>IFERROR((Table25[[#This Row],[Average sell price]]-Table25[[#This Row],[Average buy price]])*Table25[[#This Row],[Total Sold number of stocks]],0)</f>
        <v>-20.060000000000002</v>
      </c>
      <c r="Q1185" s="85">
        <f>SUMIF(Table25[[#All],[Assets]],Table25[[#This Row],[Assets]],Table25[[#All],[Number of stocks]])</f>
        <v>0</v>
      </c>
    </row>
    <row r="1186" spans="1:17">
      <c r="A1186" t="e" vm="279">
        <v>#VALUE!</v>
      </c>
      <c r="B1186" s="2">
        <v>45797</v>
      </c>
      <c r="C1186" t="str" cm="1">
        <f t="array" aca="1" ref="C1186" ca="1">_FV(A1186,"Ticker symbol",TRUE)</f>
        <v>DXCM</v>
      </c>
      <c r="D1186" s="4">
        <v>86.64</v>
      </c>
      <c r="E1186" s="50">
        <v>-7</v>
      </c>
      <c r="F1186" s="81">
        <f>IF(Table25[[#This Row],[Number of stocks]]&gt;0,Table25[[#This Row],[Number of stocks]],0)</f>
        <v>0</v>
      </c>
      <c r="G1186" s="73">
        <f>Table25[[#This Row],[Bought]]*Table25[[#This Row],[Price]]</f>
        <v>0</v>
      </c>
      <c r="H1186">
        <f>SUMIF(Table25[[#All],[Assets]],Table25[[#This Row],[Assets]],Table25[[#All],[Bought]])</f>
        <v>17</v>
      </c>
      <c r="I1186">
        <f>SUMIF(Table25[[#All],[Assets]],Table25[[#This Row],[Assets]],Table25[[#All],[Bought Amount]])</f>
        <v>1281.7399999999998</v>
      </c>
      <c r="J1186" s="88">
        <f>IF(Table25[[#This Row],[Number of stocks]]&lt;0,Table25[[#This Row],[Number of stocks]],0)</f>
        <v>-7</v>
      </c>
      <c r="K1186" s="5">
        <f>Table25[[#This Row],[Sold]]*Table25[[#This Row],[Price]]</f>
        <v>-606.48</v>
      </c>
      <c r="L1186" s="8">
        <f>ABS(SUMIF(Table25[[#All],[Assets]],Table25[[#This Row],[Assets]],Table25[[#All],[Sold]]))</f>
        <v>17</v>
      </c>
      <c r="M1186" s="5">
        <f>ABS(SUMIF(Table25[[#All],[Assets]],Table25[[#This Row],[Assets]],Table25[[#All],[Sold Amount]]))</f>
        <v>1420.81</v>
      </c>
      <c r="N1186" s="5">
        <f>IFERROR(Table25[[#This Row],[Total sold amount]]/Table25[[#This Row],[Total Sold number of stocks]],"")</f>
        <v>83.577058823529413</v>
      </c>
      <c r="O1186" s="4">
        <f>IFERROR(Table25[[#This Row],[Total Amount bought]]/Table25[[#This Row],[Total number bought]],"")</f>
        <v>75.396470588235275</v>
      </c>
      <c r="P1186" s="4">
        <f>IFERROR((Table25[[#This Row],[Average sell price]]-Table25[[#This Row],[Average buy price]])*Table25[[#This Row],[Total Sold number of stocks]],0)</f>
        <v>139.07000000000033</v>
      </c>
      <c r="Q1186" s="85">
        <f>SUMIF(Table25[[#All],[Assets]],Table25[[#This Row],[Assets]],Table25[[#All],[Number of stocks]])</f>
        <v>0</v>
      </c>
    </row>
    <row r="1187" spans="1:17">
      <c r="A1187" t="e" vm="251">
        <v>#VALUE!</v>
      </c>
      <c r="B1187" s="2">
        <v>45797</v>
      </c>
      <c r="C1187" t="str" cm="1">
        <f t="array" aca="1" ref="C1187" ca="1">_FV(A1187,"Ticker symbol",TRUE)</f>
        <v>DEA</v>
      </c>
      <c r="D1187" s="4">
        <v>22.15</v>
      </c>
      <c r="E1187" s="50">
        <v>29</v>
      </c>
      <c r="F1187" s="81">
        <f>IF(Table25[[#This Row],[Number of stocks]]&gt;0,Table25[[#This Row],[Number of stocks]],0)</f>
        <v>29</v>
      </c>
      <c r="G1187" s="73">
        <f>Table25[[#This Row],[Bought]]*Table25[[#This Row],[Price]]</f>
        <v>642.34999999999991</v>
      </c>
      <c r="H1187">
        <f>SUMIF(Table25[[#All],[Assets]],Table25[[#This Row],[Assets]],Table25[[#All],[Bought]])</f>
        <v>32</v>
      </c>
      <c r="I1187">
        <f>SUMIF(Table25[[#All],[Assets]],Table25[[#This Row],[Assets]],Table25[[#All],[Bought Amount]])</f>
        <v>708.8</v>
      </c>
      <c r="J1187" s="88">
        <f>IF(Table25[[#This Row],[Number of stocks]]&lt;0,Table25[[#This Row],[Number of stocks]],0)</f>
        <v>0</v>
      </c>
      <c r="K1187" s="5">
        <f>Table25[[#This Row],[Sold]]*Table25[[#This Row],[Price]]</f>
        <v>0</v>
      </c>
      <c r="L1187" s="8">
        <f>ABS(SUMIF(Table25[[#All],[Assets]],Table25[[#This Row],[Assets]],Table25[[#All],[Sold]]))</f>
        <v>32</v>
      </c>
      <c r="M1187" s="5">
        <f>ABS(SUMIF(Table25[[#All],[Assets]],Table25[[#This Row],[Assets]],Table25[[#All],[Sold Amount]]))</f>
        <v>720.32</v>
      </c>
      <c r="N1187" s="5">
        <f>IFERROR(Table25[[#This Row],[Total sold amount]]/Table25[[#This Row],[Total Sold number of stocks]],"")</f>
        <v>22.51</v>
      </c>
      <c r="O1187" s="4">
        <f>IFERROR(Table25[[#This Row],[Total Amount bought]]/Table25[[#This Row],[Total number bought]],"")</f>
        <v>22.15</v>
      </c>
      <c r="P1187" s="4">
        <f>IFERROR((Table25[[#This Row],[Average sell price]]-Table25[[#This Row],[Average buy price]])*Table25[[#This Row],[Total Sold number of stocks]],0)</f>
        <v>11.520000000000095</v>
      </c>
      <c r="Q1187" s="85">
        <f>SUMIF(Table25[[#All],[Assets]],Table25[[#This Row],[Assets]],Table25[[#All],[Number of stocks]])</f>
        <v>0</v>
      </c>
    </row>
    <row r="1188" spans="1:17">
      <c r="A1188" t="e" vm="203">
        <v>#VALUE!</v>
      </c>
      <c r="B1188" s="2">
        <v>45797</v>
      </c>
      <c r="C1188" t="str" cm="1">
        <f t="array" aca="1" ref="C1188" ca="1">_FV(A1188,"Ticker symbol",TRUE)</f>
        <v>TWLO</v>
      </c>
      <c r="D1188" s="4">
        <v>116.58</v>
      </c>
      <c r="E1188" s="50">
        <v>-4</v>
      </c>
      <c r="F1188" s="81">
        <f>IF(Table25[[#This Row],[Number of stocks]]&gt;0,Table25[[#This Row],[Number of stocks]],0)</f>
        <v>0</v>
      </c>
      <c r="G1188" s="73">
        <f>Table25[[#This Row],[Bought]]*Table25[[#This Row],[Price]]</f>
        <v>0</v>
      </c>
      <c r="H1188">
        <f>SUMIF(Table25[[#All],[Assets]],Table25[[#This Row],[Assets]],Table25[[#All],[Bought]])</f>
        <v>64</v>
      </c>
      <c r="I1188">
        <f>SUMIF(Table25[[#All],[Assets]],Table25[[#This Row],[Assets]],Table25[[#All],[Bought Amount]])</f>
        <v>7733.8899999999994</v>
      </c>
      <c r="J1188" s="88">
        <f>IF(Table25[[#This Row],[Number of stocks]]&lt;0,Table25[[#This Row],[Number of stocks]],0)</f>
        <v>-4</v>
      </c>
      <c r="K1188" s="5">
        <f>Table25[[#This Row],[Sold]]*Table25[[#This Row],[Price]]</f>
        <v>-466.32</v>
      </c>
      <c r="L1188" s="8">
        <f>ABS(SUMIF(Table25[[#All],[Assets]],Table25[[#This Row],[Assets]],Table25[[#All],[Sold]]))</f>
        <v>64</v>
      </c>
      <c r="M1188" s="5">
        <f>ABS(SUMIF(Table25[[#All],[Assets]],Table25[[#This Row],[Assets]],Table25[[#All],[Sold Amount]]))</f>
        <v>7331.26</v>
      </c>
      <c r="N1188" s="5">
        <f>IFERROR(Table25[[#This Row],[Total sold amount]]/Table25[[#This Row],[Total Sold number of stocks]],"")</f>
        <v>114.5509375</v>
      </c>
      <c r="O1188" s="4">
        <f>IFERROR(Table25[[#This Row],[Total Amount bought]]/Table25[[#This Row],[Total number bought]],"")</f>
        <v>120.84203124999999</v>
      </c>
      <c r="P1188" s="4">
        <f>IFERROR((Table25[[#This Row],[Average sell price]]-Table25[[#This Row],[Average buy price]])*Table25[[#This Row],[Total Sold number of stocks]],0)</f>
        <v>-402.6299999999992</v>
      </c>
      <c r="Q1188" s="85">
        <f>SUMIF(Table25[[#All],[Assets]],Table25[[#This Row],[Assets]],Table25[[#All],[Number of stocks]])</f>
        <v>0</v>
      </c>
    </row>
    <row r="1189" spans="1:17">
      <c r="A1189" t="e" vm="251">
        <v>#VALUE!</v>
      </c>
      <c r="B1189" s="2">
        <v>45797</v>
      </c>
      <c r="C1189" t="str" cm="1">
        <f t="array" aca="1" ref="C1189" ca="1">_FV(A1189,"Ticker symbol",TRUE)</f>
        <v>DEA</v>
      </c>
      <c r="D1189" s="4">
        <v>22.15</v>
      </c>
      <c r="E1189" s="50">
        <v>3</v>
      </c>
      <c r="F1189" s="81">
        <f>IF(Table25[[#This Row],[Number of stocks]]&gt;0,Table25[[#This Row],[Number of stocks]],0)</f>
        <v>3</v>
      </c>
      <c r="G1189" s="73">
        <f>Table25[[#This Row],[Bought]]*Table25[[#This Row],[Price]]</f>
        <v>66.449999999999989</v>
      </c>
      <c r="H1189">
        <f>SUMIF(Table25[[#All],[Assets]],Table25[[#This Row],[Assets]],Table25[[#All],[Bought]])</f>
        <v>32</v>
      </c>
      <c r="I1189">
        <f>SUMIF(Table25[[#All],[Assets]],Table25[[#This Row],[Assets]],Table25[[#All],[Bought Amount]])</f>
        <v>708.8</v>
      </c>
      <c r="J1189" s="88">
        <f>IF(Table25[[#This Row],[Number of stocks]]&lt;0,Table25[[#This Row],[Number of stocks]],0)</f>
        <v>0</v>
      </c>
      <c r="K1189" s="5">
        <f>Table25[[#This Row],[Sold]]*Table25[[#This Row],[Price]]</f>
        <v>0</v>
      </c>
      <c r="L1189" s="8">
        <f>ABS(SUMIF(Table25[[#All],[Assets]],Table25[[#This Row],[Assets]],Table25[[#All],[Sold]]))</f>
        <v>32</v>
      </c>
      <c r="M1189" s="5">
        <f>ABS(SUMIF(Table25[[#All],[Assets]],Table25[[#This Row],[Assets]],Table25[[#All],[Sold Amount]]))</f>
        <v>720.32</v>
      </c>
      <c r="N1189" s="5">
        <f>IFERROR(Table25[[#This Row],[Total sold amount]]/Table25[[#This Row],[Total Sold number of stocks]],"")</f>
        <v>22.51</v>
      </c>
      <c r="O1189" s="4">
        <f>IFERROR(Table25[[#This Row],[Total Amount bought]]/Table25[[#This Row],[Total number bought]],"")</f>
        <v>22.15</v>
      </c>
      <c r="P1189" s="4">
        <f>IFERROR((Table25[[#This Row],[Average sell price]]-Table25[[#This Row],[Average buy price]])*Table25[[#This Row],[Total Sold number of stocks]],0)</f>
        <v>11.520000000000095</v>
      </c>
      <c r="Q1189" s="85">
        <f>SUMIF(Table25[[#All],[Assets]],Table25[[#This Row],[Assets]],Table25[[#All],[Number of stocks]])</f>
        <v>0</v>
      </c>
    </row>
    <row r="1190" spans="1:17">
      <c r="A1190" t="e" vm="32">
        <v>#VALUE!</v>
      </c>
      <c r="B1190" s="2">
        <v>45797</v>
      </c>
      <c r="C1190" t="str" cm="1">
        <f t="array" aca="1" ref="C1190" ca="1">_FV(A1190,"Ticker symbol",TRUE)</f>
        <v>MU</v>
      </c>
      <c r="D1190" s="4">
        <v>97.85</v>
      </c>
      <c r="E1190" s="50">
        <v>2</v>
      </c>
      <c r="F1190" s="81">
        <f>IF(Table25[[#This Row],[Number of stocks]]&gt;0,Table25[[#This Row],[Number of stocks]],0)</f>
        <v>2</v>
      </c>
      <c r="G1190" s="73">
        <f>Table25[[#This Row],[Bought]]*Table25[[#This Row],[Price]]</f>
        <v>195.7</v>
      </c>
      <c r="H1190">
        <f>SUMIF(Table25[[#All],[Assets]],Table25[[#This Row],[Assets]],Table25[[#All],[Bought]])</f>
        <v>59</v>
      </c>
      <c r="I1190">
        <f>SUMIF(Table25[[#All],[Assets]],Table25[[#This Row],[Assets]],Table25[[#All],[Bought Amount]])</f>
        <v>6964.04</v>
      </c>
      <c r="J1190" s="88">
        <f>IF(Table25[[#This Row],[Number of stocks]]&lt;0,Table25[[#This Row],[Number of stocks]],0)</f>
        <v>0</v>
      </c>
      <c r="K1190" s="5">
        <f>Table25[[#This Row],[Sold]]*Table25[[#This Row],[Price]]</f>
        <v>0</v>
      </c>
      <c r="L1190" s="8">
        <f>ABS(SUMIF(Table25[[#All],[Assets]],Table25[[#This Row],[Assets]],Table25[[#All],[Sold]]))</f>
        <v>58</v>
      </c>
      <c r="M1190" s="5">
        <f>ABS(SUMIF(Table25[[#All],[Assets]],Table25[[#This Row],[Assets]],Table25[[#All],[Sold Amount]]))</f>
        <v>6974.51</v>
      </c>
      <c r="N1190" s="5">
        <f>IFERROR(Table25[[#This Row],[Total sold amount]]/Table25[[#This Row],[Total Sold number of stocks]],"")</f>
        <v>120.25017241379311</v>
      </c>
      <c r="O1190" s="4">
        <f>IFERROR(Table25[[#This Row],[Total Amount bought]]/Table25[[#This Row],[Total number bought]],"")</f>
        <v>118.03457627118644</v>
      </c>
      <c r="P1190" s="4">
        <f>IFERROR((Table25[[#This Row],[Average sell price]]-Table25[[#This Row],[Average buy price]])*Table25[[#This Row],[Total Sold number of stocks]],0)</f>
        <v>128.50457627118692</v>
      </c>
      <c r="Q1190" s="85">
        <f>SUMIF(Table25[[#All],[Assets]],Table25[[#This Row],[Assets]],Table25[[#All],[Number of stocks]])</f>
        <v>1</v>
      </c>
    </row>
    <row r="1191" spans="1:17">
      <c r="A1191" t="e" vm="227">
        <v>#VALUE!</v>
      </c>
      <c r="B1191" s="2">
        <v>45798</v>
      </c>
      <c r="C1191" t="str" cm="1">
        <f t="array" aca="1" ref="C1191" ca="1">_FV(A1191,"Ticker symbol",TRUE)</f>
        <v>DFDV</v>
      </c>
      <c r="D1191" s="4">
        <v>30.65</v>
      </c>
      <c r="E1191" s="50">
        <v>-33</v>
      </c>
      <c r="F1191" s="81">
        <f>IF(Table25[[#This Row],[Number of stocks]]&gt;0,Table25[[#This Row],[Number of stocks]],0)</f>
        <v>0</v>
      </c>
      <c r="G1191" s="73">
        <f>Table25[[#This Row],[Bought]]*Table25[[#This Row],[Price]]</f>
        <v>0</v>
      </c>
      <c r="H1191">
        <f>SUMIF(Table25[[#All],[Assets]],Table25[[#This Row],[Assets]],Table25[[#All],[Bought]])</f>
        <v>387</v>
      </c>
      <c r="I1191">
        <f>SUMIF(Table25[[#All],[Assets]],Table25[[#This Row],[Assets]],Table25[[#All],[Bought Amount]])</f>
        <v>6522.1182600000002</v>
      </c>
      <c r="J1191" s="88">
        <f>IF(Table25[[#This Row],[Number of stocks]]&lt;0,Table25[[#This Row],[Number of stocks]],0)</f>
        <v>-33</v>
      </c>
      <c r="K1191" s="5">
        <f>Table25[[#This Row],[Sold]]*Table25[[#This Row],[Price]]</f>
        <v>-1011.4499999999999</v>
      </c>
      <c r="L1191" s="8">
        <f>ABS(SUMIF(Table25[[#All],[Assets]],Table25[[#This Row],[Assets]],Table25[[#All],[Sold]]))</f>
        <v>387</v>
      </c>
      <c r="M1191" s="5">
        <f>ABS(SUMIF(Table25[[#All],[Assets]],Table25[[#This Row],[Assets]],Table25[[#All],[Sold Amount]]))</f>
        <v>7242.64</v>
      </c>
      <c r="N1191" s="5">
        <f>IFERROR(Table25[[#This Row],[Total sold amount]]/Table25[[#This Row],[Total Sold number of stocks]],"")</f>
        <v>18.714832041343669</v>
      </c>
      <c r="O1191" s="4">
        <f>IFERROR(Table25[[#This Row],[Total Amount bought]]/Table25[[#This Row],[Total number bought]],"")</f>
        <v>16.853018759689924</v>
      </c>
      <c r="P1191" s="4">
        <f>IFERROR((Table25[[#This Row],[Average sell price]]-Table25[[#This Row],[Average buy price]])*Table25[[#This Row],[Total Sold number of stocks]],0)</f>
        <v>720.52173999999945</v>
      </c>
      <c r="Q1191" s="85">
        <f>SUMIF(Table25[[#All],[Assets]],Table25[[#This Row],[Assets]],Table25[[#All],[Number of stocks]])</f>
        <v>0</v>
      </c>
    </row>
    <row r="1192" spans="1:17">
      <c r="A1192" t="e" vm="72">
        <v>#VALUE!</v>
      </c>
      <c r="B1192" s="2">
        <v>45798</v>
      </c>
      <c r="C1192" t="str" cm="1">
        <f t="array" aca="1" ref="C1192" ca="1">_FV(A1192,"Ticker symbol",TRUE)</f>
        <v>AIRS</v>
      </c>
      <c r="D1192" s="4">
        <v>3.95</v>
      </c>
      <c r="E1192" s="50">
        <v>180</v>
      </c>
      <c r="F1192" s="81">
        <f>IF(Table25[[#This Row],[Number of stocks]]&gt;0,Table25[[#This Row],[Number of stocks]],0)</f>
        <v>180</v>
      </c>
      <c r="G1192" s="73">
        <f>Table25[[#This Row],[Bought]]*Table25[[#This Row],[Price]]</f>
        <v>711</v>
      </c>
      <c r="H1192">
        <f>SUMIF(Table25[[#All],[Assets]],Table25[[#This Row],[Assets]],Table25[[#All],[Bought]])</f>
        <v>2980</v>
      </c>
      <c r="I1192">
        <f>SUMIF(Table25[[#All],[Assets]],Table25[[#This Row],[Assets]],Table25[[#All],[Bought Amount]])</f>
        <v>14267.900000000001</v>
      </c>
      <c r="J1192" s="88">
        <f>IF(Table25[[#This Row],[Number of stocks]]&lt;0,Table25[[#This Row],[Number of stocks]],0)</f>
        <v>0</v>
      </c>
      <c r="K1192" s="5">
        <f>Table25[[#This Row],[Sold]]*Table25[[#This Row],[Price]]</f>
        <v>0</v>
      </c>
      <c r="L1192" s="8">
        <f>ABS(SUMIF(Table25[[#All],[Assets]],Table25[[#This Row],[Assets]],Table25[[#All],[Sold]]))</f>
        <v>2360</v>
      </c>
      <c r="M1192" s="5">
        <f>ABS(SUMIF(Table25[[#All],[Assets]],Table25[[#This Row],[Assets]],Table25[[#All],[Sold Amount]]))</f>
        <v>7796.6</v>
      </c>
      <c r="N1192" s="5">
        <f>IFERROR(Table25[[#This Row],[Total sold amount]]/Table25[[#This Row],[Total Sold number of stocks]],"")</f>
        <v>3.3036440677966104</v>
      </c>
      <c r="O1192" s="4">
        <f>IFERROR(Table25[[#This Row],[Total Amount bought]]/Table25[[#This Row],[Total number bought]],"")</f>
        <v>4.7878859060402688</v>
      </c>
      <c r="P1192" s="4">
        <f>IFERROR((Table25[[#This Row],[Average sell price]]-Table25[[#This Row],[Average buy price]])*Table25[[#This Row],[Total Sold number of stocks]],0)</f>
        <v>-3502.8107382550338</v>
      </c>
      <c r="Q1192" s="85">
        <f>SUMIF(Table25[[#All],[Assets]],Table25[[#This Row],[Assets]],Table25[[#All],[Number of stocks]])</f>
        <v>620</v>
      </c>
    </row>
    <row r="1193" spans="1:17">
      <c r="A1193" t="e" vm="250">
        <v>#VALUE!</v>
      </c>
      <c r="B1193" s="2">
        <v>45798</v>
      </c>
      <c r="C1193" t="str" cm="1">
        <f t="array" aca="1" ref="C1193" ca="1">_FV(A1193,"Ticker symbol",TRUE)</f>
        <v>WRBY</v>
      </c>
      <c r="D1193" s="4">
        <v>20.16</v>
      </c>
      <c r="E1193" s="50">
        <v>42</v>
      </c>
      <c r="F1193" s="81">
        <f>IF(Table25[[#This Row],[Number of stocks]]&gt;0,Table25[[#This Row],[Number of stocks]],0)</f>
        <v>42</v>
      </c>
      <c r="G1193" s="73">
        <f>Table25[[#This Row],[Bought]]*Table25[[#This Row],[Price]]</f>
        <v>846.72</v>
      </c>
      <c r="H1193">
        <f>SUMIF(Table25[[#All],[Assets]],Table25[[#This Row],[Assets]],Table25[[#All],[Bought]])</f>
        <v>42</v>
      </c>
      <c r="I1193">
        <f>SUMIF(Table25[[#All],[Assets]],Table25[[#This Row],[Assets]],Table25[[#All],[Bought Amount]])</f>
        <v>846.72</v>
      </c>
      <c r="J1193" s="88">
        <f>IF(Table25[[#This Row],[Number of stocks]]&lt;0,Table25[[#This Row],[Number of stocks]],0)</f>
        <v>0</v>
      </c>
      <c r="K1193" s="5">
        <f>Table25[[#This Row],[Sold]]*Table25[[#This Row],[Price]]</f>
        <v>0</v>
      </c>
      <c r="L1193" s="8">
        <f>ABS(SUMIF(Table25[[#All],[Assets]],Table25[[#This Row],[Assets]],Table25[[#All],[Sold]]))</f>
        <v>42</v>
      </c>
      <c r="M1193" s="5">
        <f>ABS(SUMIF(Table25[[#All],[Assets]],Table25[[#This Row],[Assets]],Table25[[#All],[Sold Amount]]))</f>
        <v>1014.51</v>
      </c>
      <c r="N1193" s="5">
        <f>IFERROR(Table25[[#This Row],[Total sold amount]]/Table25[[#This Row],[Total Sold number of stocks]],"")</f>
        <v>24.155000000000001</v>
      </c>
      <c r="O1193" s="4">
        <f>IFERROR(Table25[[#This Row],[Total Amount bought]]/Table25[[#This Row],[Total number bought]],"")</f>
        <v>20.16</v>
      </c>
      <c r="P1193" s="4">
        <f>IFERROR((Table25[[#This Row],[Average sell price]]-Table25[[#This Row],[Average buy price]])*Table25[[#This Row],[Total Sold number of stocks]],0)</f>
        <v>167.79000000000005</v>
      </c>
      <c r="Q1193" s="85">
        <f>SUMIF(Table25[[#All],[Assets]],Table25[[#This Row],[Assets]],Table25[[#All],[Number of stocks]])</f>
        <v>0</v>
      </c>
    </row>
    <row r="1194" spans="1:17">
      <c r="A1194" t="e" vm="172">
        <v>#VALUE!</v>
      </c>
      <c r="B1194" s="2">
        <v>45799</v>
      </c>
      <c r="C1194" t="str" cm="1">
        <f t="array" aca="1" ref="C1194" ca="1">_FV(A1194,"Ticker symbol",TRUE)</f>
        <v>WOLF</v>
      </c>
      <c r="D1194" s="4">
        <v>1.35</v>
      </c>
      <c r="E1194" s="50">
        <v>400</v>
      </c>
      <c r="F1194" s="81">
        <f>IF(Table25[[#This Row],[Number of stocks]]&gt;0,Table25[[#This Row],[Number of stocks]],0)</f>
        <v>400</v>
      </c>
      <c r="G1194" s="73">
        <f>Table25[[#This Row],[Bought]]*Table25[[#This Row],[Price]]</f>
        <v>540</v>
      </c>
      <c r="H1194">
        <f>SUMIF(Table25[[#All],[Assets]],Table25[[#This Row],[Assets]],Table25[[#All],[Bought]])</f>
        <v>900</v>
      </c>
      <c r="I1194">
        <f>SUMIF(Table25[[#All],[Assets]],Table25[[#This Row],[Assets]],Table25[[#All],[Bought Amount]])</f>
        <v>3579</v>
      </c>
      <c r="J1194" s="88">
        <f>IF(Table25[[#This Row],[Number of stocks]]&lt;0,Table25[[#This Row],[Number of stocks]],0)</f>
        <v>0</v>
      </c>
      <c r="K1194" s="5">
        <f>Table25[[#This Row],[Sold]]*Table25[[#This Row],[Price]]</f>
        <v>0</v>
      </c>
      <c r="L1194" s="8">
        <f>ABS(SUMIF(Table25[[#All],[Assets]],Table25[[#This Row],[Assets]],Table25[[#All],[Sold]]))</f>
        <v>900</v>
      </c>
      <c r="M1194" s="5">
        <f>ABS(SUMIF(Table25[[#All],[Assets]],Table25[[#This Row],[Assets]],Table25[[#All],[Sold Amount]]))</f>
        <v>3724.3</v>
      </c>
      <c r="N1194" s="5">
        <f>IFERROR(Table25[[#This Row],[Total sold amount]]/Table25[[#This Row],[Total Sold number of stocks]],"")</f>
        <v>4.1381111111111117</v>
      </c>
      <c r="O1194" s="4">
        <f>IFERROR(Table25[[#This Row],[Total Amount bought]]/Table25[[#This Row],[Total number bought]],"")</f>
        <v>3.9766666666666666</v>
      </c>
      <c r="P1194" s="4">
        <f>IFERROR((Table25[[#This Row],[Average sell price]]-Table25[[#This Row],[Average buy price]])*Table25[[#This Row],[Total Sold number of stocks]],0)</f>
        <v>145.30000000000064</v>
      </c>
      <c r="Q1194" s="85">
        <f>SUMIF(Table25[[#All],[Assets]],Table25[[#This Row],[Assets]],Table25[[#All],[Number of stocks]])</f>
        <v>0</v>
      </c>
    </row>
    <row r="1195" spans="1:17">
      <c r="A1195" t="e" vm="258">
        <v>#VALUE!</v>
      </c>
      <c r="B1195" s="2">
        <v>45799</v>
      </c>
      <c r="C1195" t="str" cm="1">
        <f t="array" aca="1" ref="C1195" ca="1">_FV(A1195,"Ticker symbol",TRUE)</f>
        <v>SERV</v>
      </c>
      <c r="D1195" s="4">
        <v>11.42</v>
      </c>
      <c r="E1195" s="50">
        <v>50</v>
      </c>
      <c r="F1195" s="81">
        <f>IF(Table25[[#This Row],[Number of stocks]]&gt;0,Table25[[#This Row],[Number of stocks]],0)</f>
        <v>50</v>
      </c>
      <c r="G1195" s="73">
        <f>Table25[[#This Row],[Bought]]*Table25[[#This Row],[Price]]</f>
        <v>571</v>
      </c>
      <c r="H1195">
        <f>SUMIF(Table25[[#All],[Assets]],Table25[[#This Row],[Assets]],Table25[[#All],[Bought]])</f>
        <v>50</v>
      </c>
      <c r="I1195">
        <f>SUMIF(Table25[[#All],[Assets]],Table25[[#This Row],[Assets]],Table25[[#All],[Bought Amount]])</f>
        <v>571</v>
      </c>
      <c r="J1195" s="88">
        <f>IF(Table25[[#This Row],[Number of stocks]]&lt;0,Table25[[#This Row],[Number of stocks]],0)</f>
        <v>0</v>
      </c>
      <c r="K1195" s="5">
        <f>Table25[[#This Row],[Sold]]*Table25[[#This Row],[Price]]</f>
        <v>0</v>
      </c>
      <c r="L1195" s="8">
        <f>ABS(SUMIF(Table25[[#All],[Assets]],Table25[[#This Row],[Assets]],Table25[[#All],[Sold]]))</f>
        <v>50</v>
      </c>
      <c r="M1195" s="5">
        <f>ABS(SUMIF(Table25[[#All],[Assets]],Table25[[#This Row],[Assets]],Table25[[#All],[Sold Amount]]))</f>
        <v>570.20000000000005</v>
      </c>
      <c r="N1195" s="5">
        <f>IFERROR(Table25[[#This Row],[Total sold amount]]/Table25[[#This Row],[Total Sold number of stocks]],"")</f>
        <v>11.404000000000002</v>
      </c>
      <c r="O1195" s="4">
        <f>IFERROR(Table25[[#This Row],[Total Amount bought]]/Table25[[#This Row],[Total number bought]],"")</f>
        <v>11.42</v>
      </c>
      <c r="P1195" s="4">
        <f>IFERROR((Table25[[#This Row],[Average sell price]]-Table25[[#This Row],[Average buy price]])*Table25[[#This Row],[Total Sold number of stocks]],0)</f>
        <v>-0.79999999999991189</v>
      </c>
      <c r="Q1195" s="85">
        <f>SUMIF(Table25[[#All],[Assets]],Table25[[#This Row],[Assets]],Table25[[#All],[Number of stocks]])</f>
        <v>0</v>
      </c>
    </row>
    <row r="1196" spans="1:17">
      <c r="A1196" t="e" vm="13">
        <v>#VALUE!</v>
      </c>
      <c r="B1196" s="2">
        <v>45800</v>
      </c>
      <c r="C1196" t="str" cm="1">
        <f t="array" aca="1" ref="C1196" ca="1">_FV(A1196,"Ticker symbol",TRUE)</f>
        <v>ON</v>
      </c>
      <c r="D1196" s="4">
        <v>41.35</v>
      </c>
      <c r="E1196" s="50">
        <v>17</v>
      </c>
      <c r="F1196" s="81">
        <f>IF(Table25[[#This Row],[Number of stocks]]&gt;0,Table25[[#This Row],[Number of stocks]],0)</f>
        <v>17</v>
      </c>
      <c r="G1196" s="73">
        <f>Table25[[#This Row],[Bought]]*Table25[[#This Row],[Price]]</f>
        <v>702.95</v>
      </c>
      <c r="H1196">
        <f>SUMIF(Table25[[#All],[Assets]],Table25[[#This Row],[Assets]],Table25[[#All],[Bought]])</f>
        <v>326</v>
      </c>
      <c r="I1196">
        <f>SUMIF(Table25[[#All],[Assets]],Table25[[#This Row],[Assets]],Table25[[#All],[Bought Amount]])</f>
        <v>19172.809999999998</v>
      </c>
      <c r="J1196" s="88">
        <f>IF(Table25[[#This Row],[Number of stocks]]&lt;0,Table25[[#This Row],[Number of stocks]],0)</f>
        <v>0</v>
      </c>
      <c r="K1196" s="5">
        <f>Table25[[#This Row],[Sold]]*Table25[[#This Row],[Price]]</f>
        <v>0</v>
      </c>
      <c r="L1196" s="8">
        <f>ABS(SUMIF(Table25[[#All],[Assets]],Table25[[#This Row],[Assets]],Table25[[#All],[Sold]]))</f>
        <v>283</v>
      </c>
      <c r="M1196" s="5">
        <f>ABS(SUMIF(Table25[[#All],[Assets]],Table25[[#This Row],[Assets]],Table25[[#All],[Sold Amount]]))</f>
        <v>15700.74</v>
      </c>
      <c r="N1196" s="5">
        <f>IFERROR(Table25[[#This Row],[Total sold amount]]/Table25[[#This Row],[Total Sold number of stocks]],"")</f>
        <v>55.47964664310954</v>
      </c>
      <c r="O1196" s="4">
        <f>IFERROR(Table25[[#This Row],[Total Amount bought]]/Table25[[#This Row],[Total number bought]],"")</f>
        <v>58.812300613496923</v>
      </c>
      <c r="P1196" s="4">
        <f>IFERROR((Table25[[#This Row],[Average sell price]]-Table25[[#This Row],[Average buy price]])*Table25[[#This Row],[Total Sold number of stocks]],0)</f>
        <v>-943.14107361962954</v>
      </c>
      <c r="Q1196" s="85">
        <f>SUMIF(Table25[[#All],[Assets]],Table25[[#This Row],[Assets]],Table25[[#All],[Number of stocks]])</f>
        <v>43</v>
      </c>
    </row>
    <row r="1197" spans="1:17">
      <c r="A1197" t="e" vm="200">
        <v>#VALUE!</v>
      </c>
      <c r="B1197" s="2">
        <v>45800</v>
      </c>
      <c r="C1197" t="str" cm="1">
        <f t="array" aca="1" ref="C1197" ca="1">_FV(A1197,"Ticker symbol",TRUE)</f>
        <v>IMSR</v>
      </c>
      <c r="D1197" s="4">
        <v>11.7</v>
      </c>
      <c r="E1197" s="50">
        <v>260</v>
      </c>
      <c r="F1197" s="81">
        <f>IF(Table25[[#This Row],[Number of stocks]]&gt;0,Table25[[#This Row],[Number of stocks]],0)</f>
        <v>260</v>
      </c>
      <c r="G1197" s="73">
        <f>Table25[[#This Row],[Bought]]*Table25[[#This Row],[Price]]</f>
        <v>3042</v>
      </c>
      <c r="H1197">
        <f>SUMIF(Table25[[#All],[Assets]],Table25[[#This Row],[Assets]],Table25[[#All],[Bought]])</f>
        <v>386</v>
      </c>
      <c r="I1197">
        <f>SUMIF(Table25[[#All],[Assets]],Table25[[#This Row],[Assets]],Table25[[#All],[Bought Amount]])</f>
        <v>4519.0499999999993</v>
      </c>
      <c r="J1197" s="88">
        <f>IF(Table25[[#This Row],[Number of stocks]]&lt;0,Table25[[#This Row],[Number of stocks]],0)</f>
        <v>0</v>
      </c>
      <c r="K1197" s="5">
        <f>Table25[[#This Row],[Sold]]*Table25[[#This Row],[Price]]</f>
        <v>0</v>
      </c>
      <c r="L1197" s="8">
        <f>ABS(SUMIF(Table25[[#All],[Assets]],Table25[[#This Row],[Assets]],Table25[[#All],[Sold]]))</f>
        <v>288</v>
      </c>
      <c r="M1197" s="5">
        <f>ABS(SUMIF(Table25[[#All],[Assets]],Table25[[#This Row],[Assets]],Table25[[#All],[Sold Amount]]))</f>
        <v>3200.16</v>
      </c>
      <c r="N1197" s="5">
        <f>IFERROR(Table25[[#This Row],[Total sold amount]]/Table25[[#This Row],[Total Sold number of stocks]],"")</f>
        <v>11.111666666666666</v>
      </c>
      <c r="O1197" s="4">
        <f>IFERROR(Table25[[#This Row],[Total Amount bought]]/Table25[[#This Row],[Total number bought]],"")</f>
        <v>11.707383419689117</v>
      </c>
      <c r="P1197" s="4">
        <f>IFERROR((Table25[[#This Row],[Average sell price]]-Table25[[#This Row],[Average buy price]])*Table25[[#This Row],[Total Sold number of stocks]],0)</f>
        <v>-171.56642487046588</v>
      </c>
      <c r="Q1197" s="85">
        <f>SUMIF(Table25[[#All],[Assets]],Table25[[#This Row],[Assets]],Table25[[#All],[Number of stocks]])</f>
        <v>98</v>
      </c>
    </row>
    <row r="1198" spans="1:17">
      <c r="A1198" t="e" vm="263">
        <v>#VALUE!</v>
      </c>
      <c r="B1198" s="2">
        <v>45800</v>
      </c>
      <c r="C1198" t="str" cm="1">
        <f t="array" aca="1" ref="C1198" ca="1">_FV(A1198,"Ticker symbol",TRUE)</f>
        <v>GDRX</v>
      </c>
      <c r="D1198" s="4">
        <v>3.71</v>
      </c>
      <c r="E1198" s="50">
        <v>-120</v>
      </c>
      <c r="F1198" s="81">
        <f>IF(Table25[[#This Row],[Number of stocks]]&gt;0,Table25[[#This Row],[Number of stocks]],0)</f>
        <v>0</v>
      </c>
      <c r="G1198" s="73">
        <f>Table25[[#This Row],[Bought]]*Table25[[#This Row],[Price]]</f>
        <v>0</v>
      </c>
      <c r="H1198">
        <f>SUMIF(Table25[[#All],[Assets]],Table25[[#This Row],[Assets]],Table25[[#All],[Bought]])</f>
        <v>420</v>
      </c>
      <c r="I1198">
        <f>SUMIF(Table25[[#All],[Assets]],Table25[[#This Row],[Assets]],Table25[[#All],[Bought Amount]])</f>
        <v>1907.8000000000002</v>
      </c>
      <c r="J1198" s="88">
        <f>IF(Table25[[#This Row],[Number of stocks]]&lt;0,Table25[[#This Row],[Number of stocks]],0)</f>
        <v>-120</v>
      </c>
      <c r="K1198" s="5">
        <f>Table25[[#This Row],[Sold]]*Table25[[#This Row],[Price]]</f>
        <v>-445.2</v>
      </c>
      <c r="L1198" s="8">
        <f>ABS(SUMIF(Table25[[#All],[Assets]],Table25[[#This Row],[Assets]],Table25[[#All],[Sold]]))</f>
        <v>420</v>
      </c>
      <c r="M1198" s="5">
        <f>ABS(SUMIF(Table25[[#All],[Assets]],Table25[[#This Row],[Assets]],Table25[[#All],[Sold Amount]]))</f>
        <v>1792.2000000000003</v>
      </c>
      <c r="N1198" s="5">
        <f>IFERROR(Table25[[#This Row],[Total sold amount]]/Table25[[#This Row],[Total Sold number of stocks]],"")</f>
        <v>4.2671428571428578</v>
      </c>
      <c r="O1198" s="4">
        <f>IFERROR(Table25[[#This Row],[Total Amount bought]]/Table25[[#This Row],[Total number bought]],"")</f>
        <v>4.5423809523809524</v>
      </c>
      <c r="P1198" s="4">
        <f>IFERROR((Table25[[#This Row],[Average sell price]]-Table25[[#This Row],[Average buy price]])*Table25[[#This Row],[Total Sold number of stocks]],0)</f>
        <v>-115.59999999999974</v>
      </c>
      <c r="Q1198" s="85">
        <f>SUMIF(Table25[[#All],[Assets]],Table25[[#This Row],[Assets]],Table25[[#All],[Number of stocks]])</f>
        <v>0</v>
      </c>
    </row>
    <row r="1199" spans="1:17">
      <c r="A1199" t="e" vm="541">
        <v>#VALUE!</v>
      </c>
      <c r="B1199" s="2">
        <v>45800</v>
      </c>
      <c r="C1199" t="str" cm="1">
        <f t="array" aca="1" ref="C1199" ca="1">_FV(A1199,"Ticker symbol",TRUE)</f>
        <v>CFLT</v>
      </c>
      <c r="D1199" s="4">
        <v>21.89</v>
      </c>
      <c r="E1199" s="50">
        <v>-15</v>
      </c>
      <c r="F1199" s="81">
        <f>IF(Table25[[#This Row],[Number of stocks]]&gt;0,Table25[[#This Row],[Number of stocks]],0)</f>
        <v>0</v>
      </c>
      <c r="G1199" s="73">
        <f>Table25[[#This Row],[Bought]]*Table25[[#This Row],[Price]]</f>
        <v>0</v>
      </c>
      <c r="H1199">
        <f>SUMIF(Table25[[#All],[Assets]],Table25[[#This Row],[Assets]],Table25[[#All],[Bought]])</f>
        <v>30</v>
      </c>
      <c r="I1199">
        <f>SUMIF(Table25[[#All],[Assets]],Table25[[#This Row],[Assets]],Table25[[#All],[Bought Amount]])</f>
        <v>961.95</v>
      </c>
      <c r="J1199" s="88">
        <f>IF(Table25[[#This Row],[Number of stocks]]&lt;0,Table25[[#This Row],[Number of stocks]],0)</f>
        <v>-15</v>
      </c>
      <c r="K1199" s="5">
        <f>Table25[[#This Row],[Sold]]*Table25[[#This Row],[Price]]</f>
        <v>-328.35</v>
      </c>
      <c r="L1199" s="8">
        <f>ABS(SUMIF(Table25[[#All],[Assets]],Table25[[#This Row],[Assets]],Table25[[#All],[Sold]]))</f>
        <v>30</v>
      </c>
      <c r="M1199" s="5">
        <f>ABS(SUMIF(Table25[[#All],[Assets]],Table25[[#This Row],[Assets]],Table25[[#All],[Sold Amount]]))</f>
        <v>803.40000000000009</v>
      </c>
      <c r="N1199" s="5">
        <f>IFERROR(Table25[[#This Row],[Total sold amount]]/Table25[[#This Row],[Total Sold number of stocks]],"")</f>
        <v>26.780000000000005</v>
      </c>
      <c r="O1199" s="4">
        <f>IFERROR(Table25[[#This Row],[Total Amount bought]]/Table25[[#This Row],[Total number bought]],"")</f>
        <v>32.065000000000005</v>
      </c>
      <c r="P1199" s="4">
        <f>IFERROR((Table25[[#This Row],[Average sell price]]-Table25[[#This Row],[Average buy price]])*Table25[[#This Row],[Total Sold number of stocks]],0)</f>
        <v>-158.55000000000001</v>
      </c>
      <c r="Q1199" s="85">
        <f>SUMIF(Table25[[#All],[Assets]],Table25[[#This Row],[Assets]],Table25[[#All],[Number of stocks]])</f>
        <v>0</v>
      </c>
    </row>
    <row r="1200" spans="1:17">
      <c r="A1200" t="e" vm="77">
        <v>#VALUE!</v>
      </c>
      <c r="B1200" s="2">
        <v>45800</v>
      </c>
      <c r="C1200" t="str" cm="1">
        <f t="array" aca="1" ref="C1200" ca="1">_FV(A1200,"Ticker symbol",TRUE)</f>
        <v>STIM</v>
      </c>
      <c r="D1200" s="4">
        <v>3.95</v>
      </c>
      <c r="E1200" s="50">
        <v>-210</v>
      </c>
      <c r="F1200" s="81">
        <f>IF(Table25[[#This Row],[Number of stocks]]&gt;0,Table25[[#This Row],[Number of stocks]],0)</f>
        <v>0</v>
      </c>
      <c r="G1200" s="73">
        <f>Table25[[#This Row],[Bought]]*Table25[[#This Row],[Price]]</f>
        <v>0</v>
      </c>
      <c r="H1200">
        <f>SUMIF(Table25[[#All],[Assets]],Table25[[#This Row],[Assets]],Table25[[#All],[Bought]])</f>
        <v>7036.45</v>
      </c>
      <c r="I1200">
        <f>SUMIF(Table25[[#All],[Assets]],Table25[[#This Row],[Assets]],Table25[[#All],[Bought Amount]])</f>
        <v>19162.260000000002</v>
      </c>
      <c r="J1200" s="88">
        <f>IF(Table25[[#This Row],[Number of stocks]]&lt;0,Table25[[#This Row],[Number of stocks]],0)</f>
        <v>-210</v>
      </c>
      <c r="K1200" s="5">
        <f>Table25[[#This Row],[Sold]]*Table25[[#This Row],[Price]]</f>
        <v>-829.5</v>
      </c>
      <c r="L1200" s="8">
        <f>ABS(SUMIF(Table25[[#All],[Assets]],Table25[[#This Row],[Assets]],Table25[[#All],[Sold]]))</f>
        <v>6686.45</v>
      </c>
      <c r="M1200" s="5">
        <f>ABS(SUMIF(Table25[[#All],[Assets]],Table25[[#This Row],[Assets]],Table25[[#All],[Sold Amount]]))</f>
        <v>19226.484999999997</v>
      </c>
      <c r="N1200" s="5">
        <f>IFERROR(Table25[[#This Row],[Total sold amount]]/Table25[[#This Row],[Total Sold number of stocks]],"")</f>
        <v>2.8754398821497205</v>
      </c>
      <c r="O1200" s="4">
        <f>IFERROR(Table25[[#This Row],[Total Amount bought]]/Table25[[#This Row],[Total number bought]],"")</f>
        <v>2.7232851793162749</v>
      </c>
      <c r="P1200" s="4">
        <f>IFERROR((Table25[[#This Row],[Average sell price]]-Table25[[#This Row],[Average buy price]])*Table25[[#This Row],[Total Sold number of stocks]],0)</f>
        <v>1017.3748127606921</v>
      </c>
      <c r="Q1200" s="85">
        <f>SUMIF(Table25[[#All],[Assets]],Table25[[#This Row],[Assets]],Table25[[#All],[Number of stocks]])</f>
        <v>349.99999999999977</v>
      </c>
    </row>
    <row r="1201" spans="1:17">
      <c r="A1201" t="e" vm="77">
        <v>#VALUE!</v>
      </c>
      <c r="B1201" s="2">
        <v>45800</v>
      </c>
      <c r="C1201" t="str" cm="1">
        <f t="array" aca="1" ref="C1201" ca="1">_FV(A1201,"Ticker symbol",TRUE)</f>
        <v>STIM</v>
      </c>
      <c r="D1201" s="4">
        <v>3.95</v>
      </c>
      <c r="E1201" s="50">
        <v>-280</v>
      </c>
      <c r="F1201" s="81">
        <f>IF(Table25[[#This Row],[Number of stocks]]&gt;0,Table25[[#This Row],[Number of stocks]],0)</f>
        <v>0</v>
      </c>
      <c r="G1201" s="73">
        <f>Table25[[#This Row],[Bought]]*Table25[[#This Row],[Price]]</f>
        <v>0</v>
      </c>
      <c r="H1201">
        <f>SUMIF(Table25[[#All],[Assets]],Table25[[#This Row],[Assets]],Table25[[#All],[Bought]])</f>
        <v>7036.45</v>
      </c>
      <c r="I1201">
        <f>SUMIF(Table25[[#All],[Assets]],Table25[[#This Row],[Assets]],Table25[[#All],[Bought Amount]])</f>
        <v>19162.260000000002</v>
      </c>
      <c r="J1201" s="88">
        <f>IF(Table25[[#This Row],[Number of stocks]]&lt;0,Table25[[#This Row],[Number of stocks]],0)</f>
        <v>-280</v>
      </c>
      <c r="K1201" s="5">
        <f>Table25[[#This Row],[Sold]]*Table25[[#This Row],[Price]]</f>
        <v>-1106</v>
      </c>
      <c r="L1201" s="8">
        <f>ABS(SUMIF(Table25[[#All],[Assets]],Table25[[#This Row],[Assets]],Table25[[#All],[Sold]]))</f>
        <v>6686.45</v>
      </c>
      <c r="M1201" s="5">
        <f>ABS(SUMIF(Table25[[#All],[Assets]],Table25[[#This Row],[Assets]],Table25[[#All],[Sold Amount]]))</f>
        <v>19226.484999999997</v>
      </c>
      <c r="N1201" s="5">
        <f>IFERROR(Table25[[#This Row],[Total sold amount]]/Table25[[#This Row],[Total Sold number of stocks]],"")</f>
        <v>2.8754398821497205</v>
      </c>
      <c r="O1201" s="4">
        <f>IFERROR(Table25[[#This Row],[Total Amount bought]]/Table25[[#This Row],[Total number bought]],"")</f>
        <v>2.7232851793162749</v>
      </c>
      <c r="P1201" s="4">
        <f>IFERROR((Table25[[#This Row],[Average sell price]]-Table25[[#This Row],[Average buy price]])*Table25[[#This Row],[Total Sold number of stocks]],0)</f>
        <v>1017.3748127606921</v>
      </c>
      <c r="Q1201" s="85">
        <f>SUMIF(Table25[[#All],[Assets]],Table25[[#This Row],[Assets]],Table25[[#All],[Number of stocks]])</f>
        <v>349.99999999999977</v>
      </c>
    </row>
    <row r="1202" spans="1:17">
      <c r="A1202" t="e" vm="46">
        <v>#VALUE!</v>
      </c>
      <c r="B1202" s="2">
        <v>45800</v>
      </c>
      <c r="C1202" t="str" cm="1">
        <f t="array" aca="1" ref="C1202" ca="1">_FV(A1202,"Ticker symbol",TRUE)</f>
        <v>ASPI</v>
      </c>
      <c r="D1202" s="4">
        <v>8.15</v>
      </c>
      <c r="E1202" s="50">
        <v>200</v>
      </c>
      <c r="F1202" s="81">
        <f>IF(Table25[[#This Row],[Number of stocks]]&gt;0,Table25[[#This Row],[Number of stocks]],0)</f>
        <v>200</v>
      </c>
      <c r="G1202" s="73">
        <f>Table25[[#This Row],[Bought]]*Table25[[#This Row],[Price]]</f>
        <v>1630</v>
      </c>
      <c r="H1202">
        <f>SUMIF(Table25[[#All],[Assets]],Table25[[#This Row],[Assets]],Table25[[#All],[Bought]])</f>
        <v>1899</v>
      </c>
      <c r="I1202">
        <f>SUMIF(Table25[[#All],[Assets]],Table25[[#This Row],[Assets]],Table25[[#All],[Bought Amount]])</f>
        <v>8555.869999999999</v>
      </c>
      <c r="J1202" s="88">
        <f>IF(Table25[[#This Row],[Number of stocks]]&lt;0,Table25[[#This Row],[Number of stocks]],0)</f>
        <v>0</v>
      </c>
      <c r="K1202" s="5">
        <f>Table25[[#This Row],[Sold]]*Table25[[#This Row],[Price]]</f>
        <v>0</v>
      </c>
      <c r="L1202" s="8">
        <f>ABS(SUMIF(Table25[[#All],[Assets]],Table25[[#This Row],[Assets]],Table25[[#All],[Sold]]))</f>
        <v>1599</v>
      </c>
      <c r="M1202" s="5">
        <f>ABS(SUMIF(Table25[[#All],[Assets]],Table25[[#This Row],[Assets]],Table25[[#All],[Sold Amount]]))</f>
        <v>8799.17</v>
      </c>
      <c r="N1202" s="5">
        <f>IFERROR(Table25[[#This Row],[Total sold amount]]/Table25[[#This Row],[Total Sold number of stocks]],"")</f>
        <v>5.5029205753595996</v>
      </c>
      <c r="O1202" s="4">
        <f>IFERROR(Table25[[#This Row],[Total Amount bought]]/Table25[[#This Row],[Total number bought]],"")</f>
        <v>4.5054607688256976</v>
      </c>
      <c r="P1202" s="4">
        <f>IFERROR((Table25[[#This Row],[Average sell price]]-Table25[[#This Row],[Average buy price]])*Table25[[#This Row],[Total Sold number of stocks]],0)</f>
        <v>1594.9382306477094</v>
      </c>
      <c r="Q1202" s="85">
        <f>SUMIF(Table25[[#All],[Assets]],Table25[[#This Row],[Assets]],Table25[[#All],[Number of stocks]])</f>
        <v>300</v>
      </c>
    </row>
    <row r="1203" spans="1:17">
      <c r="A1203" t="e" vm="227">
        <v>#VALUE!</v>
      </c>
      <c r="B1203" s="2">
        <v>45800</v>
      </c>
      <c r="C1203" t="str" cm="1">
        <f t="array" aca="1" ref="C1203" ca="1">_FV(A1203,"Ticker symbol",TRUE)</f>
        <v>DFDV</v>
      </c>
      <c r="D1203" s="4">
        <v>34.68</v>
      </c>
      <c r="E1203" s="50">
        <v>20</v>
      </c>
      <c r="F1203" s="81">
        <f>IF(Table25[[#This Row],[Number of stocks]]&gt;0,Table25[[#This Row],[Number of stocks]],0)</f>
        <v>20</v>
      </c>
      <c r="G1203" s="73">
        <f>Table25[[#This Row],[Bought]]*Table25[[#This Row],[Price]]</f>
        <v>693.6</v>
      </c>
      <c r="H1203">
        <f>SUMIF(Table25[[#All],[Assets]],Table25[[#This Row],[Assets]],Table25[[#All],[Bought]])</f>
        <v>387</v>
      </c>
      <c r="I1203">
        <f>SUMIF(Table25[[#All],[Assets]],Table25[[#This Row],[Assets]],Table25[[#All],[Bought Amount]])</f>
        <v>6522.1182600000002</v>
      </c>
      <c r="J1203" s="88">
        <f>IF(Table25[[#This Row],[Number of stocks]]&lt;0,Table25[[#This Row],[Number of stocks]],0)</f>
        <v>0</v>
      </c>
      <c r="K1203" s="5">
        <f>Table25[[#This Row],[Sold]]*Table25[[#This Row],[Price]]</f>
        <v>0</v>
      </c>
      <c r="L1203" s="8">
        <f>ABS(SUMIF(Table25[[#All],[Assets]],Table25[[#This Row],[Assets]],Table25[[#All],[Sold]]))</f>
        <v>387</v>
      </c>
      <c r="M1203" s="5">
        <f>ABS(SUMIF(Table25[[#All],[Assets]],Table25[[#This Row],[Assets]],Table25[[#All],[Sold Amount]]))</f>
        <v>7242.64</v>
      </c>
      <c r="N1203" s="5">
        <f>IFERROR(Table25[[#This Row],[Total sold amount]]/Table25[[#This Row],[Total Sold number of stocks]],"")</f>
        <v>18.714832041343669</v>
      </c>
      <c r="O1203" s="4">
        <f>IFERROR(Table25[[#This Row],[Total Amount bought]]/Table25[[#This Row],[Total number bought]],"")</f>
        <v>16.853018759689924</v>
      </c>
      <c r="P1203" s="4">
        <f>IFERROR((Table25[[#This Row],[Average sell price]]-Table25[[#This Row],[Average buy price]])*Table25[[#This Row],[Total Sold number of stocks]],0)</f>
        <v>720.52173999999945</v>
      </c>
      <c r="Q1203" s="85">
        <f>SUMIF(Table25[[#All],[Assets]],Table25[[#This Row],[Assets]],Table25[[#All],[Number of stocks]])</f>
        <v>0</v>
      </c>
    </row>
    <row r="1204" spans="1:17">
      <c r="A1204" t="e" vm="183">
        <v>#VALUE!</v>
      </c>
      <c r="B1204" s="2">
        <v>45800</v>
      </c>
      <c r="C1204" t="str" cm="1">
        <f t="array" aca="1" ref="C1204" ca="1">_FV(A1204,"Ticker symbol",TRUE)</f>
        <v>ESOA</v>
      </c>
      <c r="D1204" s="4">
        <v>10.61</v>
      </c>
      <c r="E1204" s="50">
        <v>47</v>
      </c>
      <c r="F1204" s="81">
        <f>IF(Table25[[#This Row],[Number of stocks]]&gt;0,Table25[[#This Row],[Number of stocks]],0)</f>
        <v>47</v>
      </c>
      <c r="G1204" s="73">
        <f>Table25[[#This Row],[Bought]]*Table25[[#This Row],[Price]]</f>
        <v>498.66999999999996</v>
      </c>
      <c r="H1204">
        <f>SUMIF(Table25[[#All],[Assets]],Table25[[#This Row],[Assets]],Table25[[#All],[Bought]])</f>
        <v>1832</v>
      </c>
      <c r="I1204">
        <f>SUMIF(Table25[[#All],[Assets]],Table25[[#This Row],[Assets]],Table25[[#All],[Bought Amount]])</f>
        <v>18152.78</v>
      </c>
      <c r="J1204" s="88">
        <f>IF(Table25[[#This Row],[Number of stocks]]&lt;0,Table25[[#This Row],[Number of stocks]],0)</f>
        <v>0</v>
      </c>
      <c r="K1204" s="5">
        <f>Table25[[#This Row],[Sold]]*Table25[[#This Row],[Price]]</f>
        <v>0</v>
      </c>
      <c r="L1204" s="8">
        <f>ABS(SUMIF(Table25[[#All],[Assets]],Table25[[#This Row],[Assets]],Table25[[#All],[Sold]]))</f>
        <v>1568</v>
      </c>
      <c r="M1204" s="5">
        <f>ABS(SUMIF(Table25[[#All],[Assets]],Table25[[#This Row],[Assets]],Table25[[#All],[Sold Amount]]))</f>
        <v>14668</v>
      </c>
      <c r="N1204" s="5">
        <f>IFERROR(Table25[[#This Row],[Total sold amount]]/Table25[[#This Row],[Total Sold number of stocks]],"")</f>
        <v>9.3545918367346932</v>
      </c>
      <c r="O1204" s="4">
        <f>IFERROR(Table25[[#This Row],[Total Amount bought]]/Table25[[#This Row],[Total number bought]],"")</f>
        <v>9.9087227074235802</v>
      </c>
      <c r="P1204" s="4">
        <f>IFERROR((Table25[[#This Row],[Average sell price]]-Table25[[#This Row],[Average buy price]])*Table25[[#This Row],[Total Sold number of stocks]],0)</f>
        <v>-868.87720524017482</v>
      </c>
      <c r="Q1204" s="85">
        <f>SUMIF(Table25[[#All],[Assets]],Table25[[#This Row],[Assets]],Table25[[#All],[Number of stocks]])</f>
        <v>264</v>
      </c>
    </row>
    <row r="1205" spans="1:17">
      <c r="A1205" t="e" vm="210">
        <v>#VALUE!</v>
      </c>
      <c r="B1205" s="2">
        <v>45800</v>
      </c>
      <c r="C1205" t="str" cm="1">
        <f t="array" aca="1" ref="C1205" ca="1">_FV(A1205,"Ticker symbol",TRUE)</f>
        <v>HALO</v>
      </c>
      <c r="D1205" s="4">
        <v>54.43</v>
      </c>
      <c r="E1205" s="50">
        <v>-10</v>
      </c>
      <c r="F1205" s="81">
        <f>IF(Table25[[#This Row],[Number of stocks]]&gt;0,Table25[[#This Row],[Number of stocks]],0)</f>
        <v>0</v>
      </c>
      <c r="G1205" s="73">
        <f>Table25[[#This Row],[Bought]]*Table25[[#This Row],[Price]]</f>
        <v>0</v>
      </c>
      <c r="H1205">
        <f>SUMIF(Table25[[#All],[Assets]],Table25[[#This Row],[Assets]],Table25[[#All],[Bought]])</f>
        <v>45</v>
      </c>
      <c r="I1205">
        <f>SUMIF(Table25[[#All],[Assets]],Table25[[#This Row],[Assets]],Table25[[#All],[Bought Amount]])</f>
        <v>2362.5</v>
      </c>
      <c r="J1205" s="88">
        <f>IF(Table25[[#This Row],[Number of stocks]]&lt;0,Table25[[#This Row],[Number of stocks]],0)</f>
        <v>-10</v>
      </c>
      <c r="K1205" s="5">
        <f>Table25[[#This Row],[Sold]]*Table25[[#This Row],[Price]]</f>
        <v>-544.29999999999995</v>
      </c>
      <c r="L1205" s="8">
        <f>ABS(SUMIF(Table25[[#All],[Assets]],Table25[[#This Row],[Assets]],Table25[[#All],[Sold]]))</f>
        <v>37</v>
      </c>
      <c r="M1205" s="5">
        <f>ABS(SUMIF(Table25[[#All],[Assets]],Table25[[#This Row],[Assets]],Table25[[#All],[Sold Amount]]))</f>
        <v>2008.8599999999997</v>
      </c>
      <c r="N1205" s="5">
        <f>IFERROR(Table25[[#This Row],[Total sold amount]]/Table25[[#This Row],[Total Sold number of stocks]],"")</f>
        <v>54.293513513513503</v>
      </c>
      <c r="O1205" s="4">
        <f>IFERROR(Table25[[#This Row],[Total Amount bought]]/Table25[[#This Row],[Total number bought]],"")</f>
        <v>52.5</v>
      </c>
      <c r="P1205" s="4">
        <f>IFERROR((Table25[[#This Row],[Average sell price]]-Table25[[#This Row],[Average buy price]])*Table25[[#This Row],[Total Sold number of stocks]],0)</f>
        <v>66.359999999999602</v>
      </c>
      <c r="Q1205" s="85">
        <f>SUMIF(Table25[[#All],[Assets]],Table25[[#This Row],[Assets]],Table25[[#All],[Number of stocks]])</f>
        <v>8</v>
      </c>
    </row>
    <row r="1206" spans="1:17">
      <c r="A1206" t="e" vm="14">
        <v>#VALUE!</v>
      </c>
      <c r="B1206" s="2">
        <v>45804</v>
      </c>
      <c r="C1206" t="str" cm="1">
        <f t="array" aca="1" ref="C1206" ca="1">_FV(A1206,"Ticker symbol",TRUE)</f>
        <v>NVTS</v>
      </c>
      <c r="D1206" s="4">
        <v>4.87</v>
      </c>
      <c r="E1206" s="50">
        <v>60</v>
      </c>
      <c r="F1206" s="81">
        <f>IF(Table25[[#This Row],[Number of stocks]]&gt;0,Table25[[#This Row],[Number of stocks]],0)</f>
        <v>60</v>
      </c>
      <c r="G1206" s="73">
        <f>Table25[[#This Row],[Bought]]*Table25[[#This Row],[Price]]</f>
        <v>292.2</v>
      </c>
      <c r="H1206">
        <f>SUMIF(Table25[[#All],[Assets]],Table25[[#This Row],[Assets]],Table25[[#All],[Bought]])</f>
        <v>453</v>
      </c>
      <c r="I1206">
        <f>SUMIF(Table25[[#All],[Assets]],Table25[[#This Row],[Assets]],Table25[[#All],[Bought Amount]])</f>
        <v>1878.11</v>
      </c>
      <c r="J1206" s="88">
        <f>IF(Table25[[#This Row],[Number of stocks]]&lt;0,Table25[[#This Row],[Number of stocks]],0)</f>
        <v>0</v>
      </c>
      <c r="K1206" s="5">
        <f>Table25[[#This Row],[Sold]]*Table25[[#This Row],[Price]]</f>
        <v>0</v>
      </c>
      <c r="L1206" s="8">
        <f>ABS(SUMIF(Table25[[#All],[Assets]],Table25[[#This Row],[Assets]],Table25[[#All],[Sold]]))</f>
        <v>410</v>
      </c>
      <c r="M1206" s="5">
        <f>ABS(SUMIF(Table25[[#All],[Assets]],Table25[[#This Row],[Assets]],Table25[[#All],[Sold Amount]]))</f>
        <v>1286.2</v>
      </c>
      <c r="N1206" s="5">
        <f>IFERROR(Table25[[#This Row],[Total sold amount]]/Table25[[#This Row],[Total Sold number of stocks]],"")</f>
        <v>3.1370731707317074</v>
      </c>
      <c r="O1206" s="4">
        <f>IFERROR(Table25[[#This Row],[Total Amount bought]]/Table25[[#This Row],[Total number bought]],"")</f>
        <v>4.1459381898454746</v>
      </c>
      <c r="P1206" s="4">
        <f>IFERROR((Table25[[#This Row],[Average sell price]]-Table25[[#This Row],[Average buy price]])*Table25[[#This Row],[Total Sold number of stocks]],0)</f>
        <v>-413.63465783664452</v>
      </c>
      <c r="Q1206" s="85">
        <f>SUMIF(Table25[[#All],[Assets]],Table25[[#This Row],[Assets]],Table25[[#All],[Number of stocks]])</f>
        <v>43</v>
      </c>
    </row>
    <row r="1207" spans="1:17">
      <c r="A1207" t="e" vm="544">
        <v>#VALUE!</v>
      </c>
      <c r="B1207" s="2">
        <v>45812</v>
      </c>
      <c r="C1207" t="str" cm="1">
        <f t="array" aca="1" ref="C1207" ca="1">_FV(A1207,"Ticker symbol",TRUE)</f>
        <v>CERT</v>
      </c>
      <c r="D1207" s="4">
        <v>11.79</v>
      </c>
      <c r="E1207" s="50">
        <v>-70</v>
      </c>
      <c r="F1207" s="81">
        <f>IF(Table25[[#This Row],[Number of stocks]]&gt;0,Table25[[#This Row],[Number of stocks]],0)</f>
        <v>0</v>
      </c>
      <c r="G1207" s="73">
        <f>Table25[[#This Row],[Bought]]*Table25[[#This Row],[Price]]</f>
        <v>0</v>
      </c>
      <c r="H1207">
        <f>SUMIF(Table25[[#All],[Assets]],Table25[[#This Row],[Assets]],Table25[[#All],[Bought]])</f>
        <v>70</v>
      </c>
      <c r="I1207">
        <f>SUMIF(Table25[[#All],[Assets]],Table25[[#This Row],[Assets]],Table25[[#All],[Bought Amount]])</f>
        <v>969.7</v>
      </c>
      <c r="J1207" s="88">
        <f>IF(Table25[[#This Row],[Number of stocks]]&lt;0,Table25[[#This Row],[Number of stocks]],0)</f>
        <v>-70</v>
      </c>
      <c r="K1207" s="5">
        <f>Table25[[#This Row],[Sold]]*Table25[[#This Row],[Price]]</f>
        <v>-825.3</v>
      </c>
      <c r="L1207" s="8">
        <f>ABS(SUMIF(Table25[[#All],[Assets]],Table25[[#This Row],[Assets]],Table25[[#All],[Sold]]))</f>
        <v>70</v>
      </c>
      <c r="M1207" s="5">
        <f>ABS(SUMIF(Table25[[#All],[Assets]],Table25[[#This Row],[Assets]],Table25[[#All],[Sold Amount]]))</f>
        <v>825.3</v>
      </c>
      <c r="N1207" s="5">
        <f>IFERROR(Table25[[#This Row],[Total sold amount]]/Table25[[#This Row],[Total Sold number of stocks]],"")</f>
        <v>11.79</v>
      </c>
      <c r="O1207" s="4">
        <f>IFERROR(Table25[[#This Row],[Total Amount bought]]/Table25[[#This Row],[Total number bought]],"")</f>
        <v>13.852857142857143</v>
      </c>
      <c r="P1207" s="4">
        <f>IFERROR((Table25[[#This Row],[Average sell price]]-Table25[[#This Row],[Average buy price]])*Table25[[#This Row],[Total Sold number of stocks]],0)</f>
        <v>-144.40000000000009</v>
      </c>
      <c r="Q1207" s="85">
        <f>SUMIF(Table25[[#All],[Assets]],Table25[[#This Row],[Assets]],Table25[[#All],[Number of stocks]])</f>
        <v>0</v>
      </c>
    </row>
    <row r="1208" spans="1:17">
      <c r="A1208" t="e" vm="73">
        <v>#VALUE!</v>
      </c>
      <c r="B1208" s="2">
        <v>45812</v>
      </c>
      <c r="C1208" t="str" cm="1">
        <f t="array" aca="1" ref="C1208" ca="1">_FV(A1208,"Ticker symbol",TRUE)</f>
        <v>NOTV</v>
      </c>
      <c r="D1208" s="4">
        <v>2.97</v>
      </c>
      <c r="E1208" s="50">
        <v>270</v>
      </c>
      <c r="F1208" s="81">
        <f>IF(Table25[[#This Row],[Number of stocks]]&gt;0,Table25[[#This Row],[Number of stocks]],0)</f>
        <v>270</v>
      </c>
      <c r="G1208" s="73">
        <f>Table25[[#This Row],[Bought]]*Table25[[#This Row],[Price]]</f>
        <v>801.90000000000009</v>
      </c>
      <c r="H1208">
        <f>SUMIF(Table25[[#All],[Assets]],Table25[[#This Row],[Assets]],Table25[[#All],[Bought]])</f>
        <v>3556</v>
      </c>
      <c r="I1208">
        <f>SUMIF(Table25[[#All],[Assets]],Table25[[#This Row],[Assets]],Table25[[#All],[Bought Amount]])</f>
        <v>10249.890000000001</v>
      </c>
      <c r="J1208" s="88">
        <f>IF(Table25[[#This Row],[Number of stocks]]&lt;0,Table25[[#This Row],[Number of stocks]],0)</f>
        <v>0</v>
      </c>
      <c r="K1208" s="5">
        <f>Table25[[#This Row],[Sold]]*Table25[[#This Row],[Price]]</f>
        <v>0</v>
      </c>
      <c r="L1208" s="8">
        <f>ABS(SUMIF(Table25[[#All],[Assets]],Table25[[#This Row],[Assets]],Table25[[#All],[Sold]]))</f>
        <v>2741</v>
      </c>
      <c r="M1208" s="5">
        <f>ABS(SUMIF(Table25[[#All],[Assets]],Table25[[#This Row],[Assets]],Table25[[#All],[Sold Amount]]))</f>
        <v>6559.66</v>
      </c>
      <c r="N1208" s="5">
        <f>IFERROR(Table25[[#This Row],[Total sold amount]]/Table25[[#This Row],[Total Sold number of stocks]],"")</f>
        <v>2.3931630791681866</v>
      </c>
      <c r="O1208" s="4">
        <f>IFERROR(Table25[[#This Row],[Total Amount bought]]/Table25[[#This Row],[Total number bought]],"")</f>
        <v>2.8824212598425198</v>
      </c>
      <c r="P1208" s="4">
        <f>IFERROR((Table25[[#This Row],[Average sell price]]-Table25[[#This Row],[Average buy price]])*Table25[[#This Row],[Total Sold number of stocks]],0)</f>
        <v>-1341.0566732283473</v>
      </c>
      <c r="Q1208" s="85">
        <f>SUMIF(Table25[[#All],[Assets]],Table25[[#This Row],[Assets]],Table25[[#All],[Number of stocks]])</f>
        <v>815</v>
      </c>
    </row>
    <row r="1209" spans="1:17">
      <c r="A1209" t="e" vm="195">
        <v>#VALUE!</v>
      </c>
      <c r="B1209" s="2">
        <v>45804</v>
      </c>
      <c r="C1209" t="str" cm="1">
        <f t="array" aca="1" ref="C1209" ca="1">_FV(A1209,"Ticker symbol",TRUE)</f>
        <v>LBRT</v>
      </c>
      <c r="D1209" s="4">
        <v>11.64</v>
      </c>
      <c r="E1209" s="50">
        <v>11</v>
      </c>
      <c r="F1209" s="81">
        <f>IF(Table25[[#This Row],[Number of stocks]]&gt;0,Table25[[#This Row],[Number of stocks]],0)</f>
        <v>11</v>
      </c>
      <c r="G1209" s="73">
        <f>Table25[[#This Row],[Bought]]*Table25[[#This Row],[Price]]</f>
        <v>128.04000000000002</v>
      </c>
      <c r="H1209">
        <f>SUMIF(Table25[[#All],[Assets]],Table25[[#This Row],[Assets]],Table25[[#All],[Bought]])</f>
        <v>130</v>
      </c>
      <c r="I1209">
        <f>SUMIF(Table25[[#All],[Assets]],Table25[[#This Row],[Assets]],Table25[[#All],[Bought Amount]])</f>
        <v>2190.91</v>
      </c>
      <c r="J1209" s="88">
        <f>IF(Table25[[#This Row],[Number of stocks]]&lt;0,Table25[[#This Row],[Number of stocks]],0)</f>
        <v>0</v>
      </c>
      <c r="K1209" s="5">
        <f>Table25[[#This Row],[Sold]]*Table25[[#This Row],[Price]]</f>
        <v>0</v>
      </c>
      <c r="L1209" s="8">
        <f>ABS(SUMIF(Table25[[#All],[Assets]],Table25[[#This Row],[Assets]],Table25[[#All],[Sold]]))</f>
        <v>60</v>
      </c>
      <c r="M1209" s="5">
        <f>ABS(SUMIF(Table25[[#All],[Assets]],Table25[[#This Row],[Assets]],Table25[[#All],[Sold Amount]]))</f>
        <v>982.86</v>
      </c>
      <c r="N1209" s="5">
        <f>IFERROR(Table25[[#This Row],[Total sold amount]]/Table25[[#This Row],[Total Sold number of stocks]],"")</f>
        <v>16.381</v>
      </c>
      <c r="O1209" s="4">
        <f>IFERROR(Table25[[#This Row],[Total Amount bought]]/Table25[[#This Row],[Total number bought]],"")</f>
        <v>16.853153846153845</v>
      </c>
      <c r="P1209" s="4">
        <f>IFERROR((Table25[[#This Row],[Average sell price]]-Table25[[#This Row],[Average buy price]])*Table25[[#This Row],[Total Sold number of stocks]],0)</f>
        <v>-28.329230769230662</v>
      </c>
      <c r="Q1209" s="85">
        <f>SUMIF(Table25[[#All],[Assets]],Table25[[#This Row],[Assets]],Table25[[#All],[Number of stocks]])</f>
        <v>70</v>
      </c>
    </row>
    <row r="1210" spans="1:17">
      <c r="A1210" t="e" vm="210">
        <v>#VALUE!</v>
      </c>
      <c r="B1210" s="2">
        <v>45804</v>
      </c>
      <c r="C1210" t="str" cm="1">
        <f t="array" aca="1" ref="C1210" ca="1">_FV(A1210,"Ticker symbol",TRUE)</f>
        <v>HALO</v>
      </c>
      <c r="D1210" s="4">
        <v>54.32</v>
      </c>
      <c r="E1210" s="50">
        <v>-8</v>
      </c>
      <c r="F1210" s="81">
        <f>IF(Table25[[#This Row],[Number of stocks]]&gt;0,Table25[[#This Row],[Number of stocks]],0)</f>
        <v>0</v>
      </c>
      <c r="G1210" s="73">
        <f>Table25[[#This Row],[Bought]]*Table25[[#This Row],[Price]]</f>
        <v>0</v>
      </c>
      <c r="H1210">
        <f>SUMIF(Table25[[#All],[Assets]],Table25[[#This Row],[Assets]],Table25[[#All],[Bought]])</f>
        <v>45</v>
      </c>
      <c r="I1210">
        <f>SUMIF(Table25[[#All],[Assets]],Table25[[#This Row],[Assets]],Table25[[#All],[Bought Amount]])</f>
        <v>2362.5</v>
      </c>
      <c r="J1210" s="88">
        <f>IF(Table25[[#This Row],[Number of stocks]]&lt;0,Table25[[#This Row],[Number of stocks]],0)</f>
        <v>-8</v>
      </c>
      <c r="K1210" s="5">
        <f>Table25[[#This Row],[Sold]]*Table25[[#This Row],[Price]]</f>
        <v>-434.56</v>
      </c>
      <c r="L1210" s="8">
        <f>ABS(SUMIF(Table25[[#All],[Assets]],Table25[[#This Row],[Assets]],Table25[[#All],[Sold]]))</f>
        <v>37</v>
      </c>
      <c r="M1210" s="5">
        <f>ABS(SUMIF(Table25[[#All],[Assets]],Table25[[#This Row],[Assets]],Table25[[#All],[Sold Amount]]))</f>
        <v>2008.8599999999997</v>
      </c>
      <c r="N1210" s="5">
        <f>IFERROR(Table25[[#This Row],[Total sold amount]]/Table25[[#This Row],[Total Sold number of stocks]],"")</f>
        <v>54.293513513513503</v>
      </c>
      <c r="O1210" s="4">
        <f>IFERROR(Table25[[#This Row],[Total Amount bought]]/Table25[[#This Row],[Total number bought]],"")</f>
        <v>52.5</v>
      </c>
      <c r="P1210" s="4">
        <f>IFERROR((Table25[[#This Row],[Average sell price]]-Table25[[#This Row],[Average buy price]])*Table25[[#This Row],[Total Sold number of stocks]],0)</f>
        <v>66.359999999999602</v>
      </c>
      <c r="Q1210" s="85">
        <f>SUMIF(Table25[[#All],[Assets]],Table25[[#This Row],[Assets]],Table25[[#All],[Number of stocks]])</f>
        <v>8</v>
      </c>
    </row>
    <row r="1211" spans="1:17">
      <c r="A1211" t="e" vm="231">
        <v>#VALUE!</v>
      </c>
      <c r="B1211" s="2">
        <v>45804</v>
      </c>
      <c r="C1211" t="str" cm="1">
        <f t="array" aca="1" ref="C1211" ca="1">_FV(A1211,"Ticker symbol",TRUE)</f>
        <v>UNH</v>
      </c>
      <c r="D1211" s="4">
        <v>294.62</v>
      </c>
      <c r="E1211" s="50">
        <v>1</v>
      </c>
      <c r="F1211" s="81">
        <f>IF(Table25[[#This Row],[Number of stocks]]&gt;0,Table25[[#This Row],[Number of stocks]],0)</f>
        <v>1</v>
      </c>
      <c r="G1211" s="73">
        <f>Table25[[#This Row],[Bought]]*Table25[[#This Row],[Price]]</f>
        <v>294.62</v>
      </c>
      <c r="H1211">
        <f>SUMIF(Table25[[#All],[Assets]],Table25[[#This Row],[Assets]],Table25[[#All],[Bought]])</f>
        <v>4.9000000000000004</v>
      </c>
      <c r="I1211">
        <f>SUMIF(Table25[[#All],[Assets]],Table25[[#This Row],[Assets]],Table25[[#All],[Bought Amount]])</f>
        <v>1320.854</v>
      </c>
      <c r="J1211" s="88">
        <f>IF(Table25[[#This Row],[Number of stocks]]&lt;0,Table25[[#This Row],[Number of stocks]],0)</f>
        <v>0</v>
      </c>
      <c r="K1211" s="5">
        <f>Table25[[#This Row],[Sold]]*Table25[[#This Row],[Price]]</f>
        <v>0</v>
      </c>
      <c r="L1211" s="8">
        <f>ABS(SUMIF(Table25[[#All],[Assets]],Table25[[#This Row],[Assets]],Table25[[#All],[Sold]]))</f>
        <v>4.9000000000000004</v>
      </c>
      <c r="M1211" s="5">
        <f>ABS(SUMIF(Table25[[#All],[Assets]],Table25[[#This Row],[Assets]],Table25[[#All],[Sold Amount]]))</f>
        <v>1686.614</v>
      </c>
      <c r="N1211" s="5">
        <f>IFERROR(Table25[[#This Row],[Total sold amount]]/Table25[[#This Row],[Total Sold number of stocks]],"")</f>
        <v>344.2069387755102</v>
      </c>
      <c r="O1211" s="4">
        <f>IFERROR(Table25[[#This Row],[Total Amount bought]]/Table25[[#This Row],[Total number bought]],"")</f>
        <v>269.56204081632654</v>
      </c>
      <c r="P1211" s="4">
        <f>IFERROR((Table25[[#This Row],[Average sell price]]-Table25[[#This Row],[Average buy price]])*Table25[[#This Row],[Total Sold number of stocks]],0)</f>
        <v>365.75999999999993</v>
      </c>
      <c r="Q1211" s="85">
        <f>SUMIF(Table25[[#All],[Assets]],Table25[[#This Row],[Assets]],Table25[[#All],[Number of stocks]])</f>
        <v>0</v>
      </c>
    </row>
    <row r="1212" spans="1:17">
      <c r="A1212" t="e" vm="172">
        <v>#VALUE!</v>
      </c>
      <c r="B1212" s="2">
        <v>45805</v>
      </c>
      <c r="C1212" t="str" cm="1">
        <f t="array" aca="1" ref="C1212" ca="1">_FV(A1212,"Ticker symbol",TRUE)</f>
        <v>WOLF</v>
      </c>
      <c r="D1212" s="4">
        <v>1.4</v>
      </c>
      <c r="E1212" s="50">
        <v>-400</v>
      </c>
      <c r="F1212" s="81">
        <f>IF(Table25[[#This Row],[Number of stocks]]&gt;0,Table25[[#This Row],[Number of stocks]],0)</f>
        <v>0</v>
      </c>
      <c r="G1212" s="73">
        <f>Table25[[#This Row],[Bought]]*Table25[[#This Row],[Price]]</f>
        <v>0</v>
      </c>
      <c r="H1212">
        <f>SUMIF(Table25[[#All],[Assets]],Table25[[#This Row],[Assets]],Table25[[#All],[Bought]])</f>
        <v>900</v>
      </c>
      <c r="I1212">
        <f>SUMIF(Table25[[#All],[Assets]],Table25[[#This Row],[Assets]],Table25[[#All],[Bought Amount]])</f>
        <v>3579</v>
      </c>
      <c r="J1212" s="88">
        <f>IF(Table25[[#This Row],[Number of stocks]]&lt;0,Table25[[#This Row],[Number of stocks]],0)</f>
        <v>-400</v>
      </c>
      <c r="K1212" s="5">
        <f>Table25[[#This Row],[Sold]]*Table25[[#This Row],[Price]]</f>
        <v>-560</v>
      </c>
      <c r="L1212" s="8">
        <f>ABS(SUMIF(Table25[[#All],[Assets]],Table25[[#This Row],[Assets]],Table25[[#All],[Sold]]))</f>
        <v>900</v>
      </c>
      <c r="M1212" s="5">
        <f>ABS(SUMIF(Table25[[#All],[Assets]],Table25[[#This Row],[Assets]],Table25[[#All],[Sold Amount]]))</f>
        <v>3724.3</v>
      </c>
      <c r="N1212" s="5">
        <f>IFERROR(Table25[[#This Row],[Total sold amount]]/Table25[[#This Row],[Total Sold number of stocks]],"")</f>
        <v>4.1381111111111117</v>
      </c>
      <c r="O1212" s="4">
        <f>IFERROR(Table25[[#This Row],[Total Amount bought]]/Table25[[#This Row],[Total number bought]],"")</f>
        <v>3.9766666666666666</v>
      </c>
      <c r="P1212" s="4">
        <f>IFERROR((Table25[[#This Row],[Average sell price]]-Table25[[#This Row],[Average buy price]])*Table25[[#This Row],[Total Sold number of stocks]],0)</f>
        <v>145.30000000000064</v>
      </c>
      <c r="Q1212" s="85">
        <f>SUMIF(Table25[[#All],[Assets]],Table25[[#This Row],[Assets]],Table25[[#All],[Number of stocks]])</f>
        <v>0</v>
      </c>
    </row>
    <row r="1213" spans="1:17">
      <c r="A1213" t="e" vm="19">
        <v>#VALUE!</v>
      </c>
      <c r="B1213" s="2">
        <v>45805</v>
      </c>
      <c r="C1213" t="str" cm="1">
        <f t="array" aca="1" ref="C1213" ca="1">_FV(A1213,"Ticker symbol",TRUE)</f>
        <v>OUST</v>
      </c>
      <c r="D1213" s="4">
        <v>10.7</v>
      </c>
      <c r="E1213" s="50">
        <v>30</v>
      </c>
      <c r="F1213" s="81">
        <f>IF(Table25[[#This Row],[Number of stocks]]&gt;0,Table25[[#This Row],[Number of stocks]],0)</f>
        <v>30</v>
      </c>
      <c r="G1213" s="73">
        <f>Table25[[#This Row],[Bought]]*Table25[[#This Row],[Price]]</f>
        <v>321</v>
      </c>
      <c r="H1213">
        <f>SUMIF(Table25[[#All],[Assets]],Table25[[#This Row],[Assets]],Table25[[#All],[Bought]])</f>
        <v>324</v>
      </c>
      <c r="I1213">
        <f>SUMIF(Table25[[#All],[Assets]],Table25[[#This Row],[Assets]],Table25[[#All],[Bought Amount]])</f>
        <v>4403.8500000000004</v>
      </c>
      <c r="J1213" s="88">
        <f>IF(Table25[[#This Row],[Number of stocks]]&lt;0,Table25[[#This Row],[Number of stocks]],0)</f>
        <v>0</v>
      </c>
      <c r="K1213" s="5">
        <f>Table25[[#This Row],[Sold]]*Table25[[#This Row],[Price]]</f>
        <v>0</v>
      </c>
      <c r="L1213" s="8">
        <f>ABS(SUMIF(Table25[[#All],[Assets]],Table25[[#This Row],[Assets]],Table25[[#All],[Sold]]))</f>
        <v>299</v>
      </c>
      <c r="M1213" s="5">
        <f>ABS(SUMIF(Table25[[#All],[Assets]],Table25[[#This Row],[Assets]],Table25[[#All],[Sold Amount]]))</f>
        <v>6222.84</v>
      </c>
      <c r="N1213" s="5">
        <f>IFERROR(Table25[[#This Row],[Total sold amount]]/Table25[[#This Row],[Total Sold number of stocks]],"")</f>
        <v>20.81217391304348</v>
      </c>
      <c r="O1213" s="4">
        <f>IFERROR(Table25[[#This Row],[Total Amount bought]]/Table25[[#This Row],[Total number bought]],"")</f>
        <v>13.59212962962963</v>
      </c>
      <c r="P1213" s="4">
        <f>IFERROR((Table25[[#This Row],[Average sell price]]-Table25[[#This Row],[Average buy price]])*Table25[[#This Row],[Total Sold number of stocks]],0)</f>
        <v>2158.7932407407411</v>
      </c>
      <c r="Q1213" s="85">
        <f>SUMIF(Table25[[#All],[Assets]],Table25[[#This Row],[Assets]],Table25[[#All],[Number of stocks]])</f>
        <v>25</v>
      </c>
    </row>
    <row r="1214" spans="1:17">
      <c r="A1214" t="e" vm="18">
        <v>#VALUE!</v>
      </c>
      <c r="B1214" s="2">
        <v>45805</v>
      </c>
      <c r="C1214" t="str" cm="1">
        <f t="array" aca="1" ref="C1214" ca="1">_FV(A1214,"Ticker symbol",TRUE)</f>
        <v>ST</v>
      </c>
      <c r="D1214" s="4">
        <v>26.36</v>
      </c>
      <c r="E1214" s="50">
        <v>6</v>
      </c>
      <c r="F1214" s="81">
        <f>IF(Table25[[#This Row],[Number of stocks]]&gt;0,Table25[[#This Row],[Number of stocks]],0)</f>
        <v>6</v>
      </c>
      <c r="G1214" s="73">
        <f>Table25[[#This Row],[Bought]]*Table25[[#This Row],[Price]]</f>
        <v>158.16</v>
      </c>
      <c r="H1214">
        <f>SUMIF(Table25[[#All],[Assets]],Table25[[#This Row],[Assets]],Table25[[#All],[Bought]])</f>
        <v>13</v>
      </c>
      <c r="I1214">
        <f>SUMIF(Table25[[#All],[Assets]],Table25[[#This Row],[Assets]],Table25[[#All],[Bought Amount]])</f>
        <v>361.29999999999995</v>
      </c>
      <c r="J1214" s="88">
        <f>IF(Table25[[#This Row],[Number of stocks]]&lt;0,Table25[[#This Row],[Number of stocks]],0)</f>
        <v>0</v>
      </c>
      <c r="K1214" s="5">
        <f>Table25[[#This Row],[Sold]]*Table25[[#This Row],[Price]]</f>
        <v>0</v>
      </c>
      <c r="L1214" s="8">
        <f>ABS(SUMIF(Table25[[#All],[Assets]],Table25[[#This Row],[Assets]],Table25[[#All],[Sold]]))</f>
        <v>13</v>
      </c>
      <c r="M1214" s="5">
        <f>ABS(SUMIF(Table25[[#All],[Assets]],Table25[[#This Row],[Assets]],Table25[[#All],[Sold Amount]]))</f>
        <v>382.59</v>
      </c>
      <c r="N1214" s="5">
        <f>IFERROR(Table25[[#This Row],[Total sold amount]]/Table25[[#This Row],[Total Sold number of stocks]],"")</f>
        <v>29.43</v>
      </c>
      <c r="O1214" s="4">
        <f>IFERROR(Table25[[#This Row],[Total Amount bought]]/Table25[[#This Row],[Total number bought]],"")</f>
        <v>27.792307692307688</v>
      </c>
      <c r="P1214" s="4">
        <f>IFERROR((Table25[[#This Row],[Average sell price]]-Table25[[#This Row],[Average buy price]])*Table25[[#This Row],[Total Sold number of stocks]],0)</f>
        <v>21.290000000000056</v>
      </c>
      <c r="Q1214" s="85">
        <f>SUMIF(Table25[[#All],[Assets]],Table25[[#This Row],[Assets]],Table25[[#All],[Number of stocks]])</f>
        <v>0</v>
      </c>
    </row>
    <row r="1215" spans="1:17">
      <c r="A1215" t="e" vm="254">
        <v>#VALUE!</v>
      </c>
      <c r="B1215" s="2">
        <v>45805</v>
      </c>
      <c r="C1215" t="str" cm="1">
        <f t="array" aca="1" ref="C1215" ca="1">_FV(A1215,"Ticker symbol",TRUE)</f>
        <v>TALK</v>
      </c>
      <c r="D1215" s="4">
        <v>2.94</v>
      </c>
      <c r="E1215" s="50">
        <v>-65</v>
      </c>
      <c r="F1215" s="81">
        <f>IF(Table25[[#This Row],[Number of stocks]]&gt;0,Table25[[#This Row],[Number of stocks]],0)</f>
        <v>0</v>
      </c>
      <c r="G1215" s="73">
        <f>Table25[[#This Row],[Bought]]*Table25[[#This Row],[Price]]</f>
        <v>0</v>
      </c>
      <c r="H1215">
        <f>SUMIF(Table25[[#All],[Assets]],Table25[[#This Row],[Assets]],Table25[[#All],[Bought]])</f>
        <v>885</v>
      </c>
      <c r="I1215">
        <f>SUMIF(Table25[[#All],[Assets]],Table25[[#This Row],[Assets]],Table25[[#All],[Bought Amount]])</f>
        <v>2664.7</v>
      </c>
      <c r="J1215" s="88">
        <f>IF(Table25[[#This Row],[Number of stocks]]&lt;0,Table25[[#This Row],[Number of stocks]],0)</f>
        <v>-65</v>
      </c>
      <c r="K1215" s="5">
        <f>Table25[[#This Row],[Sold]]*Table25[[#This Row],[Price]]</f>
        <v>-191.1</v>
      </c>
      <c r="L1215" s="8">
        <f>ABS(SUMIF(Table25[[#All],[Assets]],Table25[[#This Row],[Assets]],Table25[[#All],[Sold]]))</f>
        <v>885</v>
      </c>
      <c r="M1215" s="5">
        <f>ABS(SUMIF(Table25[[#All],[Assets]],Table25[[#This Row],[Assets]],Table25[[#All],[Sold Amount]]))</f>
        <v>2591</v>
      </c>
      <c r="N1215" s="5">
        <f>IFERROR(Table25[[#This Row],[Total sold amount]]/Table25[[#This Row],[Total Sold number of stocks]],"")</f>
        <v>2.927683615819209</v>
      </c>
      <c r="O1215" s="4">
        <f>IFERROR(Table25[[#This Row],[Total Amount bought]]/Table25[[#This Row],[Total number bought]],"")</f>
        <v>3.0109604519774011</v>
      </c>
      <c r="P1215" s="4">
        <f>IFERROR((Table25[[#This Row],[Average sell price]]-Table25[[#This Row],[Average buy price]])*Table25[[#This Row],[Total Sold number of stocks]],0)</f>
        <v>-73.700000000000045</v>
      </c>
      <c r="Q1215" s="85">
        <f>SUMIF(Table25[[#All],[Assets]],Table25[[#This Row],[Assets]],Table25[[#All],[Number of stocks]])</f>
        <v>0</v>
      </c>
    </row>
    <row r="1216" spans="1:17">
      <c r="A1216" t="e" vm="75">
        <v>#VALUE!</v>
      </c>
      <c r="B1216" s="2">
        <v>45805</v>
      </c>
      <c r="C1216" t="str" cm="1">
        <f t="array" aca="1" ref="C1216" ca="1">_FV(A1216,"Ticker symbol",TRUE)</f>
        <v>QTRX</v>
      </c>
      <c r="D1216" s="4">
        <v>5.34</v>
      </c>
      <c r="E1216" s="50">
        <v>38</v>
      </c>
      <c r="F1216" s="81">
        <f>IF(Table25[[#This Row],[Number of stocks]]&gt;0,Table25[[#This Row],[Number of stocks]],0)</f>
        <v>38</v>
      </c>
      <c r="G1216" s="73">
        <f>Table25[[#This Row],[Bought]]*Table25[[#This Row],[Price]]</f>
        <v>202.92</v>
      </c>
      <c r="H1216">
        <f>SUMIF(Table25[[#All],[Assets]],Table25[[#This Row],[Assets]],Table25[[#All],[Bought]])</f>
        <v>1492</v>
      </c>
      <c r="I1216">
        <f>SUMIF(Table25[[#All],[Assets]],Table25[[#This Row],[Assets]],Table25[[#All],[Bought Amount]])</f>
        <v>10313.249999999998</v>
      </c>
      <c r="J1216" s="88">
        <f>IF(Table25[[#This Row],[Number of stocks]]&lt;0,Table25[[#This Row],[Number of stocks]],0)</f>
        <v>0</v>
      </c>
      <c r="K1216" s="5">
        <f>Table25[[#This Row],[Sold]]*Table25[[#This Row],[Price]]</f>
        <v>0</v>
      </c>
      <c r="L1216" s="8">
        <f>ABS(SUMIF(Table25[[#All],[Assets]],Table25[[#This Row],[Assets]],Table25[[#All],[Sold]]))</f>
        <v>1492</v>
      </c>
      <c r="M1216" s="5">
        <f>ABS(SUMIF(Table25[[#All],[Assets]],Table25[[#This Row],[Assets]],Table25[[#All],[Sold Amount]]))</f>
        <v>8408.35</v>
      </c>
      <c r="N1216" s="5">
        <f>IFERROR(Table25[[#This Row],[Total sold amount]]/Table25[[#This Row],[Total Sold number of stocks]],"")</f>
        <v>5.635623324396783</v>
      </c>
      <c r="O1216" s="4">
        <f>IFERROR(Table25[[#This Row],[Total Amount bought]]/Table25[[#This Row],[Total number bought]],"")</f>
        <v>6.9123659517426264</v>
      </c>
      <c r="P1216" s="4">
        <f>IFERROR((Table25[[#This Row],[Average sell price]]-Table25[[#This Row],[Average buy price]])*Table25[[#This Row],[Total Sold number of stocks]],0)</f>
        <v>-1904.8999999999983</v>
      </c>
      <c r="Q1216" s="85">
        <f>SUMIF(Table25[[#All],[Assets]],Table25[[#This Row],[Assets]],Table25[[#All],[Number of stocks]])</f>
        <v>0</v>
      </c>
    </row>
    <row r="1217" spans="1:17">
      <c r="A1217" t="e" vm="227">
        <v>#VALUE!</v>
      </c>
      <c r="B1217" s="2">
        <v>45806</v>
      </c>
      <c r="C1217" t="str" cm="1">
        <f t="array" aca="1" ref="C1217" ca="1">_FV(A1217,"Ticker symbol",TRUE)</f>
        <v>DFDV</v>
      </c>
      <c r="D1217" s="4">
        <v>19.54</v>
      </c>
      <c r="E1217" s="50">
        <v>23</v>
      </c>
      <c r="F1217" s="81">
        <f>IF(Table25[[#This Row],[Number of stocks]]&gt;0,Table25[[#This Row],[Number of stocks]],0)</f>
        <v>23</v>
      </c>
      <c r="G1217" s="73">
        <f>Table25[[#This Row],[Bought]]*Table25[[#This Row],[Price]]</f>
        <v>449.41999999999996</v>
      </c>
      <c r="H1217">
        <f>SUMIF(Table25[[#All],[Assets]],Table25[[#This Row],[Assets]],Table25[[#All],[Bought]])</f>
        <v>387</v>
      </c>
      <c r="I1217">
        <f>SUMIF(Table25[[#All],[Assets]],Table25[[#This Row],[Assets]],Table25[[#All],[Bought Amount]])</f>
        <v>6522.1182600000002</v>
      </c>
      <c r="J1217" s="88">
        <f>IF(Table25[[#This Row],[Number of stocks]]&lt;0,Table25[[#This Row],[Number of stocks]],0)</f>
        <v>0</v>
      </c>
      <c r="K1217" s="5">
        <f>Table25[[#This Row],[Sold]]*Table25[[#This Row],[Price]]</f>
        <v>0</v>
      </c>
      <c r="L1217" s="8">
        <f>ABS(SUMIF(Table25[[#All],[Assets]],Table25[[#This Row],[Assets]],Table25[[#All],[Sold]]))</f>
        <v>387</v>
      </c>
      <c r="M1217" s="5">
        <f>ABS(SUMIF(Table25[[#All],[Assets]],Table25[[#This Row],[Assets]],Table25[[#All],[Sold Amount]]))</f>
        <v>7242.64</v>
      </c>
      <c r="N1217" s="5">
        <f>IFERROR(Table25[[#This Row],[Total sold amount]]/Table25[[#This Row],[Total Sold number of stocks]],"")</f>
        <v>18.714832041343669</v>
      </c>
      <c r="O1217" s="4">
        <f>IFERROR(Table25[[#This Row],[Total Amount bought]]/Table25[[#This Row],[Total number bought]],"")</f>
        <v>16.853018759689924</v>
      </c>
      <c r="P1217" s="4">
        <f>IFERROR((Table25[[#This Row],[Average sell price]]-Table25[[#This Row],[Average buy price]])*Table25[[#This Row],[Total Sold number of stocks]],0)</f>
        <v>720.52173999999945</v>
      </c>
      <c r="Q1217" s="85">
        <f>SUMIF(Table25[[#All],[Assets]],Table25[[#This Row],[Assets]],Table25[[#All],[Number of stocks]])</f>
        <v>0</v>
      </c>
    </row>
    <row r="1218" spans="1:17">
      <c r="A1218" t="e" vm="289">
        <v>#VALUE!</v>
      </c>
      <c r="B1218" s="2">
        <v>45806</v>
      </c>
      <c r="C1218" t="str" cm="1">
        <f t="array" aca="1" ref="C1218" ca="1">_FV(A1218,"Ticker symbol",TRUE)</f>
        <v>CRL</v>
      </c>
      <c r="D1218" s="4">
        <v>135.96</v>
      </c>
      <c r="E1218" s="50">
        <v>-4</v>
      </c>
      <c r="F1218" s="81">
        <f>IF(Table25[[#This Row],[Number of stocks]]&gt;0,Table25[[#This Row],[Number of stocks]],0)</f>
        <v>0</v>
      </c>
      <c r="G1218" s="73">
        <f>Table25[[#This Row],[Bought]]*Table25[[#This Row],[Price]]</f>
        <v>0</v>
      </c>
      <c r="H1218">
        <f>SUMIF(Table25[[#All],[Assets]],Table25[[#This Row],[Assets]],Table25[[#All],[Bought]])</f>
        <v>12</v>
      </c>
      <c r="I1218">
        <f>SUMIF(Table25[[#All],[Assets]],Table25[[#This Row],[Assets]],Table25[[#All],[Bought Amount]])</f>
        <v>1667.04</v>
      </c>
      <c r="J1218" s="88">
        <f>IF(Table25[[#This Row],[Number of stocks]]&lt;0,Table25[[#This Row],[Number of stocks]],0)</f>
        <v>-4</v>
      </c>
      <c r="K1218" s="5">
        <f>Table25[[#This Row],[Sold]]*Table25[[#This Row],[Price]]</f>
        <v>-543.84</v>
      </c>
      <c r="L1218" s="8">
        <f>ABS(SUMIF(Table25[[#All],[Assets]],Table25[[#This Row],[Assets]],Table25[[#All],[Sold]]))</f>
        <v>12</v>
      </c>
      <c r="M1218" s="5">
        <f>ABS(SUMIF(Table25[[#All],[Assets]],Table25[[#This Row],[Assets]],Table25[[#All],[Sold Amount]]))</f>
        <v>1917.08</v>
      </c>
      <c r="N1218" s="5">
        <f>IFERROR(Table25[[#This Row],[Total sold amount]]/Table25[[#This Row],[Total Sold number of stocks]],"")</f>
        <v>159.75666666666666</v>
      </c>
      <c r="O1218" s="4">
        <f>IFERROR(Table25[[#This Row],[Total Amount bought]]/Table25[[#This Row],[Total number bought]],"")</f>
        <v>138.91999999999999</v>
      </c>
      <c r="P1218" s="4">
        <f>IFERROR((Table25[[#This Row],[Average sell price]]-Table25[[#This Row],[Average buy price]])*Table25[[#This Row],[Total Sold number of stocks]],0)</f>
        <v>250.04000000000008</v>
      </c>
      <c r="Q1218" s="85">
        <f>SUMIF(Table25[[#All],[Assets]],Table25[[#This Row],[Assets]],Table25[[#All],[Number of stocks]])</f>
        <v>0</v>
      </c>
    </row>
    <row r="1219" spans="1:17">
      <c r="A1219" t="e" vm="19">
        <v>#VALUE!</v>
      </c>
      <c r="B1219" s="2">
        <v>45806</v>
      </c>
      <c r="C1219" t="str" cm="1">
        <f t="array" aca="1" ref="C1219" ca="1">_FV(A1219,"Ticker symbol",TRUE)</f>
        <v>OUST</v>
      </c>
      <c r="D1219" s="4">
        <v>11.73</v>
      </c>
      <c r="E1219" s="50">
        <v>60</v>
      </c>
      <c r="F1219" s="81">
        <f>IF(Table25[[#This Row],[Number of stocks]]&gt;0,Table25[[#This Row],[Number of stocks]],0)</f>
        <v>60</v>
      </c>
      <c r="G1219" s="73">
        <f>Table25[[#This Row],[Bought]]*Table25[[#This Row],[Price]]</f>
        <v>703.80000000000007</v>
      </c>
      <c r="H1219">
        <f>SUMIF(Table25[[#All],[Assets]],Table25[[#This Row],[Assets]],Table25[[#All],[Bought]])</f>
        <v>324</v>
      </c>
      <c r="I1219">
        <f>SUMIF(Table25[[#All],[Assets]],Table25[[#This Row],[Assets]],Table25[[#All],[Bought Amount]])</f>
        <v>4403.8500000000004</v>
      </c>
      <c r="J1219" s="88">
        <f>IF(Table25[[#This Row],[Number of stocks]]&lt;0,Table25[[#This Row],[Number of stocks]],0)</f>
        <v>0</v>
      </c>
      <c r="K1219" s="5">
        <f>Table25[[#This Row],[Sold]]*Table25[[#This Row],[Price]]</f>
        <v>0</v>
      </c>
      <c r="L1219" s="8">
        <f>ABS(SUMIF(Table25[[#All],[Assets]],Table25[[#This Row],[Assets]],Table25[[#All],[Sold]]))</f>
        <v>299</v>
      </c>
      <c r="M1219" s="5">
        <f>ABS(SUMIF(Table25[[#All],[Assets]],Table25[[#This Row],[Assets]],Table25[[#All],[Sold Amount]]))</f>
        <v>6222.84</v>
      </c>
      <c r="N1219" s="5">
        <f>IFERROR(Table25[[#This Row],[Total sold amount]]/Table25[[#This Row],[Total Sold number of stocks]],"")</f>
        <v>20.81217391304348</v>
      </c>
      <c r="O1219" s="4">
        <f>IFERROR(Table25[[#This Row],[Total Amount bought]]/Table25[[#This Row],[Total number bought]],"")</f>
        <v>13.59212962962963</v>
      </c>
      <c r="P1219" s="4">
        <f>IFERROR((Table25[[#This Row],[Average sell price]]-Table25[[#This Row],[Average buy price]])*Table25[[#This Row],[Total Sold number of stocks]],0)</f>
        <v>2158.7932407407411</v>
      </c>
      <c r="Q1219" s="85">
        <f>SUMIF(Table25[[#All],[Assets]],Table25[[#This Row],[Assets]],Table25[[#All],[Number of stocks]])</f>
        <v>25</v>
      </c>
    </row>
    <row r="1220" spans="1:17">
      <c r="A1220" t="e" vm="246">
        <v>#VALUE!</v>
      </c>
      <c r="B1220" s="2">
        <v>45806</v>
      </c>
      <c r="C1220" t="str" cm="1">
        <f t="array" aca="1" ref="C1220" ca="1">_FV(A1220,"Ticker symbol",TRUE)</f>
        <v>ALAB</v>
      </c>
      <c r="D1220" s="4">
        <v>97.49</v>
      </c>
      <c r="E1220" s="50">
        <v>1</v>
      </c>
      <c r="F1220" s="81">
        <f>IF(Table25[[#This Row],[Number of stocks]]&gt;0,Table25[[#This Row],[Number of stocks]],0)</f>
        <v>1</v>
      </c>
      <c r="G1220" s="73">
        <f>Table25[[#This Row],[Bought]]*Table25[[#This Row],[Price]]</f>
        <v>97.49</v>
      </c>
      <c r="H1220">
        <f>SUMIF(Table25[[#All],[Assets]],Table25[[#This Row],[Assets]],Table25[[#All],[Bought]])</f>
        <v>6</v>
      </c>
      <c r="I1220">
        <f>SUMIF(Table25[[#All],[Assets]],Table25[[#This Row],[Assets]],Table25[[#All],[Bought Amount]])</f>
        <v>902.3599999999999</v>
      </c>
      <c r="J1220" s="88">
        <f>IF(Table25[[#This Row],[Number of stocks]]&lt;0,Table25[[#This Row],[Number of stocks]],0)</f>
        <v>0</v>
      </c>
      <c r="K1220" s="5">
        <f>Table25[[#This Row],[Sold]]*Table25[[#This Row],[Price]]</f>
        <v>0</v>
      </c>
      <c r="L1220" s="8">
        <f>ABS(SUMIF(Table25[[#All],[Assets]],Table25[[#This Row],[Assets]],Table25[[#All],[Sold]]))</f>
        <v>3</v>
      </c>
      <c r="M1220" s="5">
        <f>ABS(SUMIF(Table25[[#All],[Assets]],Table25[[#This Row],[Assets]],Table25[[#All],[Sold Amount]]))</f>
        <v>359.03999999999996</v>
      </c>
      <c r="N1220" s="5">
        <f>IFERROR(Table25[[#This Row],[Total sold amount]]/Table25[[#This Row],[Total Sold number of stocks]],"")</f>
        <v>119.67999999999999</v>
      </c>
      <c r="O1220" s="4">
        <f>IFERROR(Table25[[#This Row],[Total Amount bought]]/Table25[[#This Row],[Total number bought]],"")</f>
        <v>150.39333333333332</v>
      </c>
      <c r="P1220" s="4">
        <f>IFERROR((Table25[[#This Row],[Average sell price]]-Table25[[#This Row],[Average buy price]])*Table25[[#This Row],[Total Sold number of stocks]],0)</f>
        <v>-92.139999999999972</v>
      </c>
      <c r="Q1220" s="85">
        <f>SUMIF(Table25[[#All],[Assets]],Table25[[#This Row],[Assets]],Table25[[#All],[Number of stocks]])</f>
        <v>3</v>
      </c>
    </row>
    <row r="1221" spans="1:17">
      <c r="A1221" t="e" vm="19">
        <v>#VALUE!</v>
      </c>
      <c r="B1221" s="2">
        <v>45807</v>
      </c>
      <c r="C1221" t="str" cm="1">
        <f t="array" aca="1" ref="C1221" ca="1">_FV(A1221,"Ticker symbol",TRUE)</f>
        <v>OUST</v>
      </c>
      <c r="D1221" s="4">
        <v>12.09</v>
      </c>
      <c r="E1221" s="50">
        <v>30</v>
      </c>
      <c r="F1221" s="81">
        <f>IF(Table25[[#This Row],[Number of stocks]]&gt;0,Table25[[#This Row],[Number of stocks]],0)</f>
        <v>30</v>
      </c>
      <c r="G1221" s="73">
        <f>Table25[[#This Row],[Bought]]*Table25[[#This Row],[Price]]</f>
        <v>362.7</v>
      </c>
      <c r="H1221">
        <f>SUMIF(Table25[[#All],[Assets]],Table25[[#This Row],[Assets]],Table25[[#All],[Bought]])</f>
        <v>324</v>
      </c>
      <c r="I1221">
        <f>SUMIF(Table25[[#All],[Assets]],Table25[[#This Row],[Assets]],Table25[[#All],[Bought Amount]])</f>
        <v>4403.8500000000004</v>
      </c>
      <c r="J1221" s="88">
        <f>IF(Table25[[#This Row],[Number of stocks]]&lt;0,Table25[[#This Row],[Number of stocks]],0)</f>
        <v>0</v>
      </c>
      <c r="K1221" s="5">
        <f>Table25[[#This Row],[Sold]]*Table25[[#This Row],[Price]]</f>
        <v>0</v>
      </c>
      <c r="L1221" s="8">
        <f>ABS(SUMIF(Table25[[#All],[Assets]],Table25[[#This Row],[Assets]],Table25[[#All],[Sold]]))</f>
        <v>299</v>
      </c>
      <c r="M1221" s="5">
        <f>ABS(SUMIF(Table25[[#All],[Assets]],Table25[[#This Row],[Assets]],Table25[[#All],[Sold Amount]]))</f>
        <v>6222.84</v>
      </c>
      <c r="N1221" s="5">
        <f>IFERROR(Table25[[#This Row],[Total sold amount]]/Table25[[#This Row],[Total Sold number of stocks]],"")</f>
        <v>20.81217391304348</v>
      </c>
      <c r="O1221" s="4">
        <f>IFERROR(Table25[[#This Row],[Total Amount bought]]/Table25[[#This Row],[Total number bought]],"")</f>
        <v>13.59212962962963</v>
      </c>
      <c r="P1221" s="4">
        <f>IFERROR((Table25[[#This Row],[Average sell price]]-Table25[[#This Row],[Average buy price]])*Table25[[#This Row],[Total Sold number of stocks]],0)</f>
        <v>2158.7932407407411</v>
      </c>
      <c r="Q1221" s="85">
        <f>SUMIF(Table25[[#All],[Assets]],Table25[[#This Row],[Assets]],Table25[[#All],[Number of stocks]])</f>
        <v>25</v>
      </c>
    </row>
    <row r="1222" spans="1:17">
      <c r="A1222" t="e" vm="76">
        <v>#VALUE!</v>
      </c>
      <c r="B1222" s="2">
        <v>45807</v>
      </c>
      <c r="C1222" t="str" cm="1">
        <f t="array" aca="1" ref="C1222" ca="1">_FV(A1222,"Ticker symbol",TRUE)</f>
        <v>TEM</v>
      </c>
      <c r="D1222" s="4">
        <v>55.44</v>
      </c>
      <c r="E1222" s="50">
        <v>-9</v>
      </c>
      <c r="F1222" s="81">
        <f>IF(Table25[[#This Row],[Number of stocks]]&gt;0,Table25[[#This Row],[Number of stocks]],0)</f>
        <v>0</v>
      </c>
      <c r="G1222" s="73">
        <f>Table25[[#This Row],[Bought]]*Table25[[#This Row],[Price]]</f>
        <v>0</v>
      </c>
      <c r="H1222">
        <f>SUMIF(Table25[[#All],[Assets]],Table25[[#This Row],[Assets]],Table25[[#All],[Bought]])</f>
        <v>29</v>
      </c>
      <c r="I1222">
        <f>SUMIF(Table25[[#All],[Assets]],Table25[[#This Row],[Assets]],Table25[[#All],[Bought Amount]])</f>
        <v>1735.3899999999999</v>
      </c>
      <c r="J1222" s="88">
        <f>IF(Table25[[#This Row],[Number of stocks]]&lt;0,Table25[[#This Row],[Number of stocks]],0)</f>
        <v>-9</v>
      </c>
      <c r="K1222" s="5">
        <f>Table25[[#This Row],[Sold]]*Table25[[#This Row],[Price]]</f>
        <v>-498.96</v>
      </c>
      <c r="L1222" s="8">
        <f>ABS(SUMIF(Table25[[#All],[Assets]],Table25[[#This Row],[Assets]],Table25[[#All],[Sold]]))</f>
        <v>29</v>
      </c>
      <c r="M1222" s="5">
        <f>ABS(SUMIF(Table25[[#All],[Assets]],Table25[[#This Row],[Assets]],Table25[[#All],[Sold Amount]]))</f>
        <v>1886.1999999999998</v>
      </c>
      <c r="N1222" s="5">
        <f>IFERROR(Table25[[#This Row],[Total sold amount]]/Table25[[#This Row],[Total Sold number of stocks]],"")</f>
        <v>65.041379310344823</v>
      </c>
      <c r="O1222" s="4">
        <f>IFERROR(Table25[[#This Row],[Total Amount bought]]/Table25[[#This Row],[Total number bought]],"")</f>
        <v>59.841034482758616</v>
      </c>
      <c r="P1222" s="4">
        <f>IFERROR((Table25[[#This Row],[Average sell price]]-Table25[[#This Row],[Average buy price]])*Table25[[#This Row],[Total Sold number of stocks]],0)</f>
        <v>150.81</v>
      </c>
      <c r="Q1222" s="85">
        <f>SUMIF(Table25[[#All],[Assets]],Table25[[#This Row],[Assets]],Table25[[#All],[Number of stocks]])</f>
        <v>0</v>
      </c>
    </row>
    <row r="1223" spans="1:17">
      <c r="A1223" t="e" vm="65">
        <v>#VALUE!</v>
      </c>
      <c r="B1223" s="2">
        <v>45807</v>
      </c>
      <c r="C1223" t="str" cm="1">
        <f t="array" aca="1" ref="C1223" ca="1">_FV(A1223,"Ticker symbol",TRUE)</f>
        <v>GAP</v>
      </c>
      <c r="D1223" s="4">
        <v>22.43</v>
      </c>
      <c r="E1223" s="50">
        <v>22</v>
      </c>
      <c r="F1223" s="81">
        <f>IF(Table25[[#This Row],[Number of stocks]]&gt;0,Table25[[#This Row],[Number of stocks]],0)</f>
        <v>22</v>
      </c>
      <c r="G1223" s="73">
        <f>Table25[[#This Row],[Bought]]*Table25[[#This Row],[Price]]</f>
        <v>493.46</v>
      </c>
      <c r="H1223">
        <f>SUMIF(Table25[[#All],[Assets]],Table25[[#This Row],[Assets]],Table25[[#All],[Bought]])</f>
        <v>166</v>
      </c>
      <c r="I1223">
        <f>SUMIF(Table25[[#All],[Assets]],Table25[[#This Row],[Assets]],Table25[[#All],[Bought Amount]])</f>
        <v>3889.4200000000005</v>
      </c>
      <c r="J1223" s="88">
        <f>IF(Table25[[#This Row],[Number of stocks]]&lt;0,Table25[[#This Row],[Number of stocks]],0)</f>
        <v>0</v>
      </c>
      <c r="K1223" s="5">
        <f>Table25[[#This Row],[Sold]]*Table25[[#This Row],[Price]]</f>
        <v>0</v>
      </c>
      <c r="L1223" s="8">
        <f>ABS(SUMIF(Table25[[#All],[Assets]],Table25[[#This Row],[Assets]],Table25[[#All],[Sold]]))</f>
        <v>166</v>
      </c>
      <c r="M1223" s="5">
        <f>ABS(SUMIF(Table25[[#All],[Assets]],Table25[[#This Row],[Assets]],Table25[[#All],[Sold Amount]]))</f>
        <v>3423.32</v>
      </c>
      <c r="N1223" s="5">
        <f>IFERROR(Table25[[#This Row],[Total sold amount]]/Table25[[#This Row],[Total Sold number of stocks]],"")</f>
        <v>20.622409638554217</v>
      </c>
      <c r="O1223" s="4">
        <f>IFERROR(Table25[[#This Row],[Total Amount bought]]/Table25[[#This Row],[Total number bought]],"")</f>
        <v>23.430240963855425</v>
      </c>
      <c r="P1223" s="4">
        <f>IFERROR((Table25[[#This Row],[Average sell price]]-Table25[[#This Row],[Average buy price]])*Table25[[#This Row],[Total Sold number of stocks]],0)</f>
        <v>-466.10000000000059</v>
      </c>
      <c r="Q1223" s="85">
        <f>SUMIF(Table25[[#All],[Assets]],Table25[[#This Row],[Assets]],Table25[[#All],[Number of stocks]])</f>
        <v>0</v>
      </c>
    </row>
    <row r="1224" spans="1:17">
      <c r="A1224" t="e" vm="210">
        <v>#VALUE!</v>
      </c>
      <c r="B1224" s="2">
        <v>45807</v>
      </c>
      <c r="C1224" t="str" cm="1">
        <f t="array" aca="1" ref="C1224" ca="1">_FV(A1224,"Ticker symbol",TRUE)</f>
        <v>HALO</v>
      </c>
      <c r="D1224" s="4">
        <v>55.1</v>
      </c>
      <c r="E1224" s="50">
        <v>-10</v>
      </c>
      <c r="F1224" s="81">
        <f>IF(Table25[[#This Row],[Number of stocks]]&gt;0,Table25[[#This Row],[Number of stocks]],0)</f>
        <v>0</v>
      </c>
      <c r="G1224" s="73">
        <f>Table25[[#This Row],[Bought]]*Table25[[#This Row],[Price]]</f>
        <v>0</v>
      </c>
      <c r="H1224">
        <f>SUMIF(Table25[[#All],[Assets]],Table25[[#This Row],[Assets]],Table25[[#All],[Bought]])</f>
        <v>45</v>
      </c>
      <c r="I1224">
        <f>SUMIF(Table25[[#All],[Assets]],Table25[[#This Row],[Assets]],Table25[[#All],[Bought Amount]])</f>
        <v>2362.5</v>
      </c>
      <c r="J1224" s="88">
        <f>IF(Table25[[#This Row],[Number of stocks]]&lt;0,Table25[[#This Row],[Number of stocks]],0)</f>
        <v>-10</v>
      </c>
      <c r="K1224" s="5">
        <f>Table25[[#This Row],[Sold]]*Table25[[#This Row],[Price]]</f>
        <v>-551</v>
      </c>
      <c r="L1224" s="8">
        <f>ABS(SUMIF(Table25[[#All],[Assets]],Table25[[#This Row],[Assets]],Table25[[#All],[Sold]]))</f>
        <v>37</v>
      </c>
      <c r="M1224" s="5">
        <f>ABS(SUMIF(Table25[[#All],[Assets]],Table25[[#This Row],[Assets]],Table25[[#All],[Sold Amount]]))</f>
        <v>2008.8599999999997</v>
      </c>
      <c r="N1224" s="5">
        <f>IFERROR(Table25[[#This Row],[Total sold amount]]/Table25[[#This Row],[Total Sold number of stocks]],"")</f>
        <v>54.293513513513503</v>
      </c>
      <c r="O1224" s="4">
        <f>IFERROR(Table25[[#This Row],[Total Amount bought]]/Table25[[#This Row],[Total number bought]],"")</f>
        <v>52.5</v>
      </c>
      <c r="P1224" s="4">
        <f>IFERROR((Table25[[#This Row],[Average sell price]]-Table25[[#This Row],[Average buy price]])*Table25[[#This Row],[Total Sold number of stocks]],0)</f>
        <v>66.359999999999602</v>
      </c>
      <c r="Q1224" s="85">
        <f>SUMIF(Table25[[#All],[Assets]],Table25[[#This Row],[Assets]],Table25[[#All],[Number of stocks]])</f>
        <v>8</v>
      </c>
    </row>
    <row r="1225" spans="1:17">
      <c r="A1225" t="e" vm="76">
        <v>#VALUE!</v>
      </c>
      <c r="B1225" s="2">
        <v>45807</v>
      </c>
      <c r="C1225" t="str" cm="1">
        <f t="array" aca="1" ref="C1225" ca="1">_FV(A1225,"Ticker symbol",TRUE)</f>
        <v>TEM</v>
      </c>
      <c r="D1225" s="4">
        <v>54.76</v>
      </c>
      <c r="E1225" s="50">
        <v>-9</v>
      </c>
      <c r="F1225" s="81">
        <f>IF(Table25[[#This Row],[Number of stocks]]&gt;0,Table25[[#This Row],[Number of stocks]],0)</f>
        <v>0</v>
      </c>
      <c r="G1225" s="73">
        <f>Table25[[#This Row],[Bought]]*Table25[[#This Row],[Price]]</f>
        <v>0</v>
      </c>
      <c r="H1225">
        <f>SUMIF(Table25[[#All],[Assets]],Table25[[#This Row],[Assets]],Table25[[#All],[Bought]])</f>
        <v>29</v>
      </c>
      <c r="I1225">
        <f>SUMIF(Table25[[#All],[Assets]],Table25[[#This Row],[Assets]],Table25[[#All],[Bought Amount]])</f>
        <v>1735.3899999999999</v>
      </c>
      <c r="J1225" s="88">
        <f>IF(Table25[[#This Row],[Number of stocks]]&lt;0,Table25[[#This Row],[Number of stocks]],0)</f>
        <v>-9</v>
      </c>
      <c r="K1225" s="5">
        <f>Table25[[#This Row],[Sold]]*Table25[[#This Row],[Price]]</f>
        <v>-492.84</v>
      </c>
      <c r="L1225" s="8">
        <f>ABS(SUMIF(Table25[[#All],[Assets]],Table25[[#This Row],[Assets]],Table25[[#All],[Sold]]))</f>
        <v>29</v>
      </c>
      <c r="M1225" s="5">
        <f>ABS(SUMIF(Table25[[#All],[Assets]],Table25[[#This Row],[Assets]],Table25[[#All],[Sold Amount]]))</f>
        <v>1886.1999999999998</v>
      </c>
      <c r="N1225" s="5">
        <f>IFERROR(Table25[[#This Row],[Total sold amount]]/Table25[[#This Row],[Total Sold number of stocks]],"")</f>
        <v>65.041379310344823</v>
      </c>
      <c r="O1225" s="4">
        <f>IFERROR(Table25[[#This Row],[Total Amount bought]]/Table25[[#This Row],[Total number bought]],"")</f>
        <v>59.841034482758616</v>
      </c>
      <c r="P1225" s="4">
        <f>IFERROR((Table25[[#This Row],[Average sell price]]-Table25[[#This Row],[Average buy price]])*Table25[[#This Row],[Total Sold number of stocks]],0)</f>
        <v>150.81</v>
      </c>
      <c r="Q1225" s="85">
        <f>SUMIF(Table25[[#All],[Assets]],Table25[[#This Row],[Assets]],Table25[[#All],[Number of stocks]])</f>
        <v>0</v>
      </c>
    </row>
    <row r="1226" spans="1:17">
      <c r="A1226" t="e" vm="536">
        <v>#VALUE!</v>
      </c>
      <c r="B1226" s="2">
        <v>45807</v>
      </c>
      <c r="C1226" t="str" cm="1">
        <f t="array" aca="1" ref="C1226" ca="1">_FV(A1226,"Ticker symbol",TRUE)</f>
        <v>PATH</v>
      </c>
      <c r="D1226" s="4">
        <v>13.11</v>
      </c>
      <c r="E1226" s="50">
        <v>67</v>
      </c>
      <c r="F1226" s="81">
        <f>IF(Table25[[#This Row],[Number of stocks]]&gt;0,Table25[[#This Row],[Number of stocks]],0)</f>
        <v>67</v>
      </c>
      <c r="G1226" s="73">
        <f>Table25[[#This Row],[Bought]]*Table25[[#This Row],[Price]]</f>
        <v>878.37</v>
      </c>
      <c r="H1226">
        <f>SUMIF(Table25[[#All],[Assets]],Table25[[#This Row],[Assets]],Table25[[#All],[Bought]])</f>
        <v>157</v>
      </c>
      <c r="I1226">
        <f>SUMIF(Table25[[#All],[Assets]],Table25[[#This Row],[Assets]],Table25[[#All],[Bought Amount]])</f>
        <v>2144.77</v>
      </c>
      <c r="J1226" s="88">
        <f>IF(Table25[[#This Row],[Number of stocks]]&lt;0,Table25[[#This Row],[Number of stocks]],0)</f>
        <v>0</v>
      </c>
      <c r="K1226" s="5">
        <f>Table25[[#This Row],[Sold]]*Table25[[#This Row],[Price]]</f>
        <v>0</v>
      </c>
      <c r="L1226" s="8">
        <f>ABS(SUMIF(Table25[[#All],[Assets]],Table25[[#This Row],[Assets]],Table25[[#All],[Sold]]))</f>
        <v>157</v>
      </c>
      <c r="M1226" s="5">
        <f>ABS(SUMIF(Table25[[#All],[Assets]],Table25[[#This Row],[Assets]],Table25[[#All],[Sold Amount]]))</f>
        <v>1989.9099999999999</v>
      </c>
      <c r="N1226" s="5">
        <f>IFERROR(Table25[[#This Row],[Total sold amount]]/Table25[[#This Row],[Total Sold number of stocks]],"")</f>
        <v>12.674585987261146</v>
      </c>
      <c r="O1226" s="4">
        <f>IFERROR(Table25[[#This Row],[Total Amount bought]]/Table25[[#This Row],[Total number bought]],"")</f>
        <v>13.660955414012738</v>
      </c>
      <c r="P1226" s="4">
        <f>IFERROR((Table25[[#This Row],[Average sell price]]-Table25[[#This Row],[Average buy price]])*Table25[[#This Row],[Total Sold number of stocks]],0)</f>
        <v>-154.85999999999996</v>
      </c>
      <c r="Q1226" s="85">
        <f>SUMIF(Table25[[#All],[Assets]],Table25[[#This Row],[Assets]],Table25[[#All],[Number of stocks]])</f>
        <v>0</v>
      </c>
    </row>
    <row r="1227" spans="1:17">
      <c r="A1227" t="e" vm="536">
        <v>#VALUE!</v>
      </c>
      <c r="B1227" s="2">
        <v>45810</v>
      </c>
      <c r="C1227" t="str" cm="1">
        <f t="array" aca="1" ref="C1227" ca="1">_FV(A1227,"Ticker symbol",TRUE)</f>
        <v>PATH</v>
      </c>
      <c r="D1227" s="4">
        <v>12.58</v>
      </c>
      <c r="E1227" s="50">
        <v>-67</v>
      </c>
      <c r="F1227" s="81">
        <f>IF(Table25[[#This Row],[Number of stocks]]&gt;0,Table25[[#This Row],[Number of stocks]],0)</f>
        <v>0</v>
      </c>
      <c r="G1227" s="73">
        <f>Table25[[#This Row],[Bought]]*Table25[[#This Row],[Price]]</f>
        <v>0</v>
      </c>
      <c r="H1227">
        <f>SUMIF(Table25[[#All],[Assets]],Table25[[#This Row],[Assets]],Table25[[#All],[Bought]])</f>
        <v>157</v>
      </c>
      <c r="I1227">
        <f>SUMIF(Table25[[#All],[Assets]],Table25[[#This Row],[Assets]],Table25[[#All],[Bought Amount]])</f>
        <v>2144.77</v>
      </c>
      <c r="J1227" s="88">
        <f>IF(Table25[[#This Row],[Number of stocks]]&lt;0,Table25[[#This Row],[Number of stocks]],0)</f>
        <v>-67</v>
      </c>
      <c r="K1227" s="5">
        <f>Table25[[#This Row],[Sold]]*Table25[[#This Row],[Price]]</f>
        <v>-842.86</v>
      </c>
      <c r="L1227" s="8">
        <f>ABS(SUMIF(Table25[[#All],[Assets]],Table25[[#This Row],[Assets]],Table25[[#All],[Sold]]))</f>
        <v>157</v>
      </c>
      <c r="M1227" s="5">
        <f>ABS(SUMIF(Table25[[#All],[Assets]],Table25[[#This Row],[Assets]],Table25[[#All],[Sold Amount]]))</f>
        <v>1989.9099999999999</v>
      </c>
      <c r="N1227" s="5">
        <f>IFERROR(Table25[[#This Row],[Total sold amount]]/Table25[[#This Row],[Total Sold number of stocks]],"")</f>
        <v>12.674585987261146</v>
      </c>
      <c r="O1227" s="4">
        <f>IFERROR(Table25[[#This Row],[Total Amount bought]]/Table25[[#This Row],[Total number bought]],"")</f>
        <v>13.660955414012738</v>
      </c>
      <c r="P1227" s="4">
        <f>IFERROR((Table25[[#This Row],[Average sell price]]-Table25[[#This Row],[Average buy price]])*Table25[[#This Row],[Total Sold number of stocks]],0)</f>
        <v>-154.85999999999996</v>
      </c>
      <c r="Q1227" s="85">
        <f>SUMIF(Table25[[#All],[Assets]],Table25[[#This Row],[Assets]],Table25[[#All],[Number of stocks]])</f>
        <v>0</v>
      </c>
    </row>
    <row r="1228" spans="1:17">
      <c r="A1228" t="e" vm="19">
        <v>#VALUE!</v>
      </c>
      <c r="B1228" s="2">
        <v>45810</v>
      </c>
      <c r="C1228" t="str" cm="1">
        <f t="array" aca="1" ref="C1228" ca="1">_FV(A1228,"Ticker symbol",TRUE)</f>
        <v>OUST</v>
      </c>
      <c r="D1228" s="4">
        <v>12.69</v>
      </c>
      <c r="E1228" s="50">
        <v>69</v>
      </c>
      <c r="F1228" s="81">
        <f>IF(Table25[[#This Row],[Number of stocks]]&gt;0,Table25[[#This Row],[Number of stocks]],0)</f>
        <v>69</v>
      </c>
      <c r="G1228" s="73">
        <f>Table25[[#This Row],[Bought]]*Table25[[#This Row],[Price]]</f>
        <v>875.61</v>
      </c>
      <c r="H1228">
        <f>SUMIF(Table25[[#All],[Assets]],Table25[[#This Row],[Assets]],Table25[[#All],[Bought]])</f>
        <v>324</v>
      </c>
      <c r="I1228">
        <f>SUMIF(Table25[[#All],[Assets]],Table25[[#This Row],[Assets]],Table25[[#All],[Bought Amount]])</f>
        <v>4403.8500000000004</v>
      </c>
      <c r="J1228" s="88">
        <f>IF(Table25[[#This Row],[Number of stocks]]&lt;0,Table25[[#This Row],[Number of stocks]],0)</f>
        <v>0</v>
      </c>
      <c r="K1228" s="5">
        <f>Table25[[#This Row],[Sold]]*Table25[[#This Row],[Price]]</f>
        <v>0</v>
      </c>
      <c r="L1228" s="8">
        <f>ABS(SUMIF(Table25[[#All],[Assets]],Table25[[#This Row],[Assets]],Table25[[#All],[Sold]]))</f>
        <v>299</v>
      </c>
      <c r="M1228" s="5">
        <f>ABS(SUMIF(Table25[[#All],[Assets]],Table25[[#This Row],[Assets]],Table25[[#All],[Sold Amount]]))</f>
        <v>6222.84</v>
      </c>
      <c r="N1228" s="5">
        <f>IFERROR(Table25[[#This Row],[Total sold amount]]/Table25[[#This Row],[Total Sold number of stocks]],"")</f>
        <v>20.81217391304348</v>
      </c>
      <c r="O1228" s="4">
        <f>IFERROR(Table25[[#This Row],[Total Amount bought]]/Table25[[#This Row],[Total number bought]],"")</f>
        <v>13.59212962962963</v>
      </c>
      <c r="P1228" s="4">
        <f>IFERROR((Table25[[#This Row],[Average sell price]]-Table25[[#This Row],[Average buy price]])*Table25[[#This Row],[Total Sold number of stocks]],0)</f>
        <v>2158.7932407407411</v>
      </c>
      <c r="Q1228" s="85">
        <f>SUMIF(Table25[[#All],[Assets]],Table25[[#This Row],[Assets]],Table25[[#All],[Number of stocks]])</f>
        <v>25</v>
      </c>
    </row>
    <row r="1229" spans="1:17">
      <c r="A1229" t="e" vm="249">
        <v>#VALUE!</v>
      </c>
      <c r="B1229" s="2">
        <v>45810</v>
      </c>
      <c r="C1229" t="str" cm="1">
        <f t="array" aca="1" ref="C1229" ca="1">_FV(A1229,"Ticker symbol",TRUE)</f>
        <v>OSCR</v>
      </c>
      <c r="D1229" s="4">
        <v>14.14</v>
      </c>
      <c r="E1229" s="50">
        <v>-50</v>
      </c>
      <c r="F1229" s="81">
        <f>IF(Table25[[#This Row],[Number of stocks]]&gt;0,Table25[[#This Row],[Number of stocks]],0)</f>
        <v>0</v>
      </c>
      <c r="G1229" s="73">
        <f>Table25[[#This Row],[Bought]]*Table25[[#This Row],[Price]]</f>
        <v>0</v>
      </c>
      <c r="H1229">
        <f>SUMIF(Table25[[#All],[Assets]],Table25[[#This Row],[Assets]],Table25[[#All],[Bought]])</f>
        <v>195</v>
      </c>
      <c r="I1229">
        <f>SUMIF(Table25[[#All],[Assets]],Table25[[#This Row],[Assets]],Table25[[#All],[Bought Amount]])</f>
        <v>3156.6</v>
      </c>
      <c r="J1229" s="88">
        <f>IF(Table25[[#This Row],[Number of stocks]]&lt;0,Table25[[#This Row],[Number of stocks]],0)</f>
        <v>-50</v>
      </c>
      <c r="K1229" s="5">
        <f>Table25[[#This Row],[Sold]]*Table25[[#This Row],[Price]]</f>
        <v>-707</v>
      </c>
      <c r="L1229" s="8">
        <f>ABS(SUMIF(Table25[[#All],[Assets]],Table25[[#This Row],[Assets]],Table25[[#All],[Sold]]))</f>
        <v>195</v>
      </c>
      <c r="M1229" s="5">
        <f>ABS(SUMIF(Table25[[#All],[Assets]],Table25[[#This Row],[Assets]],Table25[[#All],[Sold Amount]]))</f>
        <v>2927.3999999999996</v>
      </c>
      <c r="N1229" s="5">
        <f>IFERROR(Table25[[#This Row],[Total sold amount]]/Table25[[#This Row],[Total Sold number of stocks]],"")</f>
        <v>15.01230769230769</v>
      </c>
      <c r="O1229" s="4">
        <f>IFERROR(Table25[[#This Row],[Total Amount bought]]/Table25[[#This Row],[Total number bought]],"")</f>
        <v>16.187692307692306</v>
      </c>
      <c r="P1229" s="4">
        <f>IFERROR((Table25[[#This Row],[Average sell price]]-Table25[[#This Row],[Average buy price]])*Table25[[#This Row],[Total Sold number of stocks]],0)</f>
        <v>-229.20000000000002</v>
      </c>
      <c r="Q1229" s="85">
        <f>SUMIF(Table25[[#All],[Assets]],Table25[[#This Row],[Assets]],Table25[[#All],[Number of stocks]])</f>
        <v>0</v>
      </c>
    </row>
    <row r="1230" spans="1:17">
      <c r="A1230" t="e" vm="75">
        <v>#VALUE!</v>
      </c>
      <c r="B1230" s="2">
        <v>45810</v>
      </c>
      <c r="C1230" t="str" cm="1">
        <f t="array" aca="1" ref="C1230" ca="1">_FV(A1230,"Ticker symbol",TRUE)</f>
        <v>QTRX</v>
      </c>
      <c r="D1230" s="4">
        <v>5.3</v>
      </c>
      <c r="E1230" s="50">
        <v>100</v>
      </c>
      <c r="F1230" s="81">
        <f>IF(Table25[[#This Row],[Number of stocks]]&gt;0,Table25[[#This Row],[Number of stocks]],0)</f>
        <v>100</v>
      </c>
      <c r="G1230" s="73">
        <f>Table25[[#This Row],[Bought]]*Table25[[#This Row],[Price]]</f>
        <v>530</v>
      </c>
      <c r="H1230">
        <f>SUMIF(Table25[[#All],[Assets]],Table25[[#This Row],[Assets]],Table25[[#All],[Bought]])</f>
        <v>1492</v>
      </c>
      <c r="I1230">
        <f>SUMIF(Table25[[#All],[Assets]],Table25[[#This Row],[Assets]],Table25[[#All],[Bought Amount]])</f>
        <v>10313.249999999998</v>
      </c>
      <c r="J1230" s="88">
        <f>IF(Table25[[#This Row],[Number of stocks]]&lt;0,Table25[[#This Row],[Number of stocks]],0)</f>
        <v>0</v>
      </c>
      <c r="K1230" s="5">
        <f>Table25[[#This Row],[Sold]]*Table25[[#This Row],[Price]]</f>
        <v>0</v>
      </c>
      <c r="L1230" s="8">
        <f>ABS(SUMIF(Table25[[#All],[Assets]],Table25[[#This Row],[Assets]],Table25[[#All],[Sold]]))</f>
        <v>1492</v>
      </c>
      <c r="M1230" s="5">
        <f>ABS(SUMIF(Table25[[#All],[Assets]],Table25[[#This Row],[Assets]],Table25[[#All],[Sold Amount]]))</f>
        <v>8408.35</v>
      </c>
      <c r="N1230" s="5">
        <f>IFERROR(Table25[[#This Row],[Total sold amount]]/Table25[[#This Row],[Total Sold number of stocks]],"")</f>
        <v>5.635623324396783</v>
      </c>
      <c r="O1230" s="4">
        <f>IFERROR(Table25[[#This Row],[Total Amount bought]]/Table25[[#This Row],[Total number bought]],"")</f>
        <v>6.9123659517426264</v>
      </c>
      <c r="P1230" s="4">
        <f>IFERROR((Table25[[#This Row],[Average sell price]]-Table25[[#This Row],[Average buy price]])*Table25[[#This Row],[Total Sold number of stocks]],0)</f>
        <v>-1904.8999999999983</v>
      </c>
      <c r="Q1230" s="85">
        <f>SUMIF(Table25[[#All],[Assets]],Table25[[#This Row],[Assets]],Table25[[#All],[Number of stocks]])</f>
        <v>0</v>
      </c>
    </row>
    <row r="1231" spans="1:17">
      <c r="A1231" t="e" vm="249">
        <v>#VALUE!</v>
      </c>
      <c r="B1231" s="2">
        <v>45810</v>
      </c>
      <c r="C1231" t="str" cm="1">
        <f t="array" aca="1" ref="C1231" ca="1">_FV(A1231,"Ticker symbol",TRUE)</f>
        <v>OSCR</v>
      </c>
      <c r="D1231" s="4">
        <v>14.14</v>
      </c>
      <c r="E1231" s="50">
        <v>-55</v>
      </c>
      <c r="F1231" s="81">
        <f>IF(Table25[[#This Row],[Number of stocks]]&gt;0,Table25[[#This Row],[Number of stocks]],0)</f>
        <v>0</v>
      </c>
      <c r="G1231" s="73">
        <f>Table25[[#This Row],[Bought]]*Table25[[#This Row],[Price]]</f>
        <v>0</v>
      </c>
      <c r="H1231">
        <f>SUMIF(Table25[[#All],[Assets]],Table25[[#This Row],[Assets]],Table25[[#All],[Bought]])</f>
        <v>195</v>
      </c>
      <c r="I1231">
        <f>SUMIF(Table25[[#All],[Assets]],Table25[[#This Row],[Assets]],Table25[[#All],[Bought Amount]])</f>
        <v>3156.6</v>
      </c>
      <c r="J1231" s="88">
        <f>IF(Table25[[#This Row],[Number of stocks]]&lt;0,Table25[[#This Row],[Number of stocks]],0)</f>
        <v>-55</v>
      </c>
      <c r="K1231" s="5">
        <f>Table25[[#This Row],[Sold]]*Table25[[#This Row],[Price]]</f>
        <v>-777.7</v>
      </c>
      <c r="L1231" s="8">
        <f>ABS(SUMIF(Table25[[#All],[Assets]],Table25[[#This Row],[Assets]],Table25[[#All],[Sold]]))</f>
        <v>195</v>
      </c>
      <c r="M1231" s="5">
        <f>ABS(SUMIF(Table25[[#All],[Assets]],Table25[[#This Row],[Assets]],Table25[[#All],[Sold Amount]]))</f>
        <v>2927.3999999999996</v>
      </c>
      <c r="N1231" s="5">
        <f>IFERROR(Table25[[#This Row],[Total sold amount]]/Table25[[#This Row],[Total Sold number of stocks]],"")</f>
        <v>15.01230769230769</v>
      </c>
      <c r="O1231" s="4">
        <f>IFERROR(Table25[[#This Row],[Total Amount bought]]/Table25[[#This Row],[Total number bought]],"")</f>
        <v>16.187692307692306</v>
      </c>
      <c r="P1231" s="4">
        <f>IFERROR((Table25[[#This Row],[Average sell price]]-Table25[[#This Row],[Average buy price]])*Table25[[#This Row],[Total Sold number of stocks]],0)</f>
        <v>-229.20000000000002</v>
      </c>
      <c r="Q1231" s="85">
        <f>SUMIF(Table25[[#All],[Assets]],Table25[[#This Row],[Assets]],Table25[[#All],[Number of stocks]])</f>
        <v>0</v>
      </c>
    </row>
    <row r="1232" spans="1:17">
      <c r="A1232" t="e" vm="24">
        <v>#VALUE!</v>
      </c>
      <c r="B1232" s="2">
        <v>45810</v>
      </c>
      <c r="C1232" t="str" cm="1">
        <f t="array" aca="1" ref="C1232" ca="1">_FV(A1232,"Ticker symbol",TRUE)</f>
        <v>QCOM</v>
      </c>
      <c r="D1232" s="4">
        <v>146.81</v>
      </c>
      <c r="E1232" s="50">
        <v>3</v>
      </c>
      <c r="F1232" s="81">
        <f>IF(Table25[[#This Row],[Number of stocks]]&gt;0,Table25[[#This Row],[Number of stocks]],0)</f>
        <v>3</v>
      </c>
      <c r="G1232" s="73">
        <f>Table25[[#This Row],[Bought]]*Table25[[#This Row],[Price]]</f>
        <v>440.43</v>
      </c>
      <c r="H1232">
        <f>SUMIF(Table25[[#All],[Assets]],Table25[[#This Row],[Assets]],Table25[[#All],[Bought]])</f>
        <v>58</v>
      </c>
      <c r="I1232">
        <f>SUMIF(Table25[[#All],[Assets]],Table25[[#This Row],[Assets]],Table25[[#All],[Bought Amount]])</f>
        <v>9670.27</v>
      </c>
      <c r="J1232" s="88">
        <f>IF(Table25[[#This Row],[Number of stocks]]&lt;0,Table25[[#This Row],[Number of stocks]],0)</f>
        <v>0</v>
      </c>
      <c r="K1232" s="5">
        <f>Table25[[#This Row],[Sold]]*Table25[[#This Row],[Price]]</f>
        <v>0</v>
      </c>
      <c r="L1232" s="8">
        <f>ABS(SUMIF(Table25[[#All],[Assets]],Table25[[#This Row],[Assets]],Table25[[#All],[Sold]]))</f>
        <v>57</v>
      </c>
      <c r="M1232" s="5">
        <f>ABS(SUMIF(Table25[[#All],[Assets]],Table25[[#This Row],[Assets]],Table25[[#All],[Sold Amount]]))</f>
        <v>8530.1</v>
      </c>
      <c r="N1232" s="5">
        <f>IFERROR(Table25[[#This Row],[Total sold amount]]/Table25[[#This Row],[Total Sold number of stocks]],"")</f>
        <v>149.65087719298245</v>
      </c>
      <c r="O1232" s="4">
        <f>IFERROR(Table25[[#This Row],[Total Amount bought]]/Table25[[#This Row],[Total number bought]],"")</f>
        <v>166.72879310344828</v>
      </c>
      <c r="P1232" s="4">
        <f>IFERROR((Table25[[#This Row],[Average sell price]]-Table25[[#This Row],[Average buy price]])*Table25[[#This Row],[Total Sold number of stocks]],0)</f>
        <v>-973.44120689655256</v>
      </c>
      <c r="Q1232" s="85">
        <f>SUMIF(Table25[[#All],[Assets]],Table25[[#This Row],[Assets]],Table25[[#All],[Number of stocks]])</f>
        <v>1</v>
      </c>
    </row>
    <row r="1233" spans="1:17">
      <c r="A1233" t="e" vm="59">
        <v>#VALUE!</v>
      </c>
      <c r="B1233" s="2">
        <v>45811</v>
      </c>
      <c r="C1233" t="str" cm="1">
        <f t="array" aca="1" ref="C1233" ca="1">_FV(A1233,"Ticker symbol",TRUE)</f>
        <v>EOG</v>
      </c>
      <c r="D1233" s="4">
        <v>111.62</v>
      </c>
      <c r="E1233" s="50">
        <v>-2</v>
      </c>
      <c r="F1233" s="81">
        <f>IF(Table25[[#This Row],[Number of stocks]]&gt;0,Table25[[#This Row],[Number of stocks]],0)</f>
        <v>0</v>
      </c>
      <c r="G1233" s="73">
        <f>Table25[[#This Row],[Bought]]*Table25[[#This Row],[Price]]</f>
        <v>0</v>
      </c>
      <c r="H1233">
        <f>SUMIF(Table25[[#All],[Assets]],Table25[[#This Row],[Assets]],Table25[[#All],[Bought]])</f>
        <v>5</v>
      </c>
      <c r="I1233">
        <f>SUMIF(Table25[[#All],[Assets]],Table25[[#This Row],[Assets]],Table25[[#All],[Bought Amount]])</f>
        <v>595.38</v>
      </c>
      <c r="J1233" s="88">
        <f>IF(Table25[[#This Row],[Number of stocks]]&lt;0,Table25[[#This Row],[Number of stocks]],0)</f>
        <v>-2</v>
      </c>
      <c r="K1233" s="5">
        <f>Table25[[#This Row],[Sold]]*Table25[[#This Row],[Price]]</f>
        <v>-223.24</v>
      </c>
      <c r="L1233" s="8">
        <f>ABS(SUMIF(Table25[[#All],[Assets]],Table25[[#This Row],[Assets]],Table25[[#All],[Sold]]))</f>
        <v>5</v>
      </c>
      <c r="M1233" s="5">
        <f>ABS(SUMIF(Table25[[#All],[Assets]],Table25[[#This Row],[Assets]],Table25[[#All],[Sold Amount]]))</f>
        <v>575.31999999999994</v>
      </c>
      <c r="N1233" s="5">
        <f>IFERROR(Table25[[#This Row],[Total sold amount]]/Table25[[#This Row],[Total Sold number of stocks]],"")</f>
        <v>115.06399999999999</v>
      </c>
      <c r="O1233" s="4">
        <f>IFERROR(Table25[[#This Row],[Total Amount bought]]/Table25[[#This Row],[Total number bought]],"")</f>
        <v>119.07599999999999</v>
      </c>
      <c r="P1233" s="4">
        <f>IFERROR((Table25[[#This Row],[Average sell price]]-Table25[[#This Row],[Average buy price]])*Table25[[#This Row],[Total Sold number of stocks]],0)</f>
        <v>-20.060000000000002</v>
      </c>
      <c r="Q1233" s="85">
        <f>SUMIF(Table25[[#All],[Assets]],Table25[[#This Row],[Assets]],Table25[[#All],[Number of stocks]])</f>
        <v>0</v>
      </c>
    </row>
    <row r="1234" spans="1:17">
      <c r="A1234" t="e" vm="120">
        <v>#VALUE!</v>
      </c>
      <c r="B1234" s="2">
        <v>45811</v>
      </c>
      <c r="C1234" t="str" cm="1">
        <f t="array" aca="1" ref="C1234" ca="1">_FV(A1234,"Ticker symbol",TRUE)</f>
        <v>REPX</v>
      </c>
      <c r="D1234" s="4">
        <v>27.46</v>
      </c>
      <c r="E1234" s="50">
        <v>-20</v>
      </c>
      <c r="F1234" s="81">
        <f>IF(Table25[[#This Row],[Number of stocks]]&gt;0,Table25[[#This Row],[Number of stocks]],0)</f>
        <v>0</v>
      </c>
      <c r="G1234" s="73">
        <f>Table25[[#This Row],[Bought]]*Table25[[#This Row],[Price]]</f>
        <v>0</v>
      </c>
      <c r="H1234">
        <f>SUMIF(Table25[[#All],[Assets]],Table25[[#This Row],[Assets]],Table25[[#All],[Bought]])</f>
        <v>20</v>
      </c>
      <c r="I1234">
        <f>SUMIF(Table25[[#All],[Assets]],Table25[[#This Row],[Assets]],Table25[[#All],[Bought Amount]])</f>
        <v>541.79999999999995</v>
      </c>
      <c r="J1234" s="88">
        <f>IF(Table25[[#This Row],[Number of stocks]]&lt;0,Table25[[#This Row],[Number of stocks]],0)</f>
        <v>-20</v>
      </c>
      <c r="K1234" s="5">
        <f>Table25[[#This Row],[Sold]]*Table25[[#This Row],[Price]]</f>
        <v>-549.20000000000005</v>
      </c>
      <c r="L1234" s="8">
        <f>ABS(SUMIF(Table25[[#All],[Assets]],Table25[[#This Row],[Assets]],Table25[[#All],[Sold]]))</f>
        <v>20</v>
      </c>
      <c r="M1234" s="5">
        <f>ABS(SUMIF(Table25[[#All],[Assets]],Table25[[#This Row],[Assets]],Table25[[#All],[Sold Amount]]))</f>
        <v>549.20000000000005</v>
      </c>
      <c r="N1234" s="5">
        <f>IFERROR(Table25[[#This Row],[Total sold amount]]/Table25[[#This Row],[Total Sold number of stocks]],"")</f>
        <v>27.46</v>
      </c>
      <c r="O1234" s="4">
        <f>IFERROR(Table25[[#This Row],[Total Amount bought]]/Table25[[#This Row],[Total number bought]],"")</f>
        <v>27.089999999999996</v>
      </c>
      <c r="P1234" s="4">
        <f>IFERROR((Table25[[#This Row],[Average sell price]]-Table25[[#This Row],[Average buy price]])*Table25[[#This Row],[Total Sold number of stocks]],0)</f>
        <v>7.4000000000000909</v>
      </c>
      <c r="Q1234" s="85">
        <f>SUMIF(Table25[[#All],[Assets]],Table25[[#This Row],[Assets]],Table25[[#All],[Number of stocks]])</f>
        <v>0</v>
      </c>
    </row>
    <row r="1235" spans="1:17">
      <c r="A1235" t="e" vm="603">
        <v>#VALUE!</v>
      </c>
      <c r="B1235" s="2">
        <v>45812</v>
      </c>
      <c r="C1235" t="str" cm="1">
        <f t="array" aca="1" ref="C1235" ca="1">_FV(A1235,"Ticker symbol",TRUE)</f>
        <v>INDV</v>
      </c>
      <c r="D1235" s="4">
        <v>13.35</v>
      </c>
      <c r="E1235" s="50">
        <v>20</v>
      </c>
      <c r="F1235" s="81">
        <f>IF(Table25[[#This Row],[Number of stocks]]&gt;0,Table25[[#This Row],[Number of stocks]],0)</f>
        <v>20</v>
      </c>
      <c r="G1235" s="73">
        <f>Table25[[#This Row],[Bought]]*Table25[[#This Row],[Price]]</f>
        <v>267</v>
      </c>
      <c r="H1235">
        <f>SUMIF(Table25[[#All],[Assets]],Table25[[#This Row],[Assets]],Table25[[#All],[Bought]])</f>
        <v>98</v>
      </c>
      <c r="I1235">
        <f>SUMIF(Table25[[#All],[Assets]],Table25[[#This Row],[Assets]],Table25[[#All],[Bought Amount]])</f>
        <v>1029.82</v>
      </c>
      <c r="J1235" s="88">
        <f>IF(Table25[[#This Row],[Number of stocks]]&lt;0,Table25[[#This Row],[Number of stocks]],0)</f>
        <v>0</v>
      </c>
      <c r="K1235" s="5">
        <f>Table25[[#This Row],[Sold]]*Table25[[#This Row],[Price]]</f>
        <v>0</v>
      </c>
      <c r="L1235" s="8">
        <f>ABS(SUMIF(Table25[[#All],[Assets]],Table25[[#This Row],[Assets]],Table25[[#All],[Sold]]))</f>
        <v>98</v>
      </c>
      <c r="M1235" s="5">
        <f>ABS(SUMIF(Table25[[#All],[Assets]],Table25[[#This Row],[Assets]],Table25[[#All],[Sold Amount]]))</f>
        <v>1330.14</v>
      </c>
      <c r="N1235" s="5">
        <f>IFERROR(Table25[[#This Row],[Total sold amount]]/Table25[[#This Row],[Total Sold number of stocks]],"")</f>
        <v>13.572857142857144</v>
      </c>
      <c r="O1235" s="4">
        <f>IFERROR(Table25[[#This Row],[Total Amount bought]]/Table25[[#This Row],[Total number bought]],"")</f>
        <v>10.508367346938774</v>
      </c>
      <c r="P1235" s="4">
        <f>IFERROR((Table25[[#This Row],[Average sell price]]-Table25[[#This Row],[Average buy price]])*Table25[[#This Row],[Total Sold number of stocks]],0)</f>
        <v>300.32000000000022</v>
      </c>
      <c r="Q1235" s="85">
        <f>SUMIF(Table25[[#All],[Assets]],Table25[[#This Row],[Assets]],Table25[[#All],[Number of stocks]])</f>
        <v>0</v>
      </c>
    </row>
    <row r="1236" spans="1:17">
      <c r="A1236" t="e" vm="41">
        <v>#VALUE!</v>
      </c>
      <c r="B1236" s="2">
        <v>45813</v>
      </c>
      <c r="C1236" t="str" cm="1">
        <f t="array" aca="1" ref="C1236" ca="1">_FV(A1236,"Ticker symbol",TRUE)</f>
        <v>AGX</v>
      </c>
      <c r="D1236" s="4">
        <v>225</v>
      </c>
      <c r="E1236" s="50">
        <v>-2</v>
      </c>
      <c r="F1236" s="81">
        <f>IF(Table25[[#This Row],[Number of stocks]]&gt;0,Table25[[#This Row],[Number of stocks]],0)</f>
        <v>0</v>
      </c>
      <c r="G1236" s="73">
        <f>Table25[[#This Row],[Bought]]*Table25[[#This Row],[Price]]</f>
        <v>0</v>
      </c>
      <c r="H1236">
        <f>SUMIF(Table25[[#All],[Assets]],Table25[[#This Row],[Assets]],Table25[[#All],[Bought]])</f>
        <v>18</v>
      </c>
      <c r="I1236">
        <f>SUMIF(Table25[[#All],[Assets]],Table25[[#This Row],[Assets]],Table25[[#All],[Bought Amount]])</f>
        <v>2470.9900000000002</v>
      </c>
      <c r="J1236" s="88">
        <f>IF(Table25[[#This Row],[Number of stocks]]&lt;0,Table25[[#This Row],[Number of stocks]],0)</f>
        <v>-2</v>
      </c>
      <c r="K1236" s="5">
        <f>Table25[[#This Row],[Sold]]*Table25[[#This Row],[Price]]</f>
        <v>-450</v>
      </c>
      <c r="L1236" s="8">
        <f>ABS(SUMIF(Table25[[#All],[Assets]],Table25[[#This Row],[Assets]],Table25[[#All],[Sold]]))</f>
        <v>18</v>
      </c>
      <c r="M1236" s="5">
        <f>ABS(SUMIF(Table25[[#All],[Assets]],Table25[[#This Row],[Assets]],Table25[[#All],[Sold Amount]]))</f>
        <v>3587.9800000000005</v>
      </c>
      <c r="N1236" s="5">
        <f>IFERROR(Table25[[#This Row],[Total sold amount]]/Table25[[#This Row],[Total Sold number of stocks]],"")</f>
        <v>199.33222222222224</v>
      </c>
      <c r="O1236" s="4">
        <f>IFERROR(Table25[[#This Row],[Total Amount bought]]/Table25[[#This Row],[Total number bought]],"")</f>
        <v>137.27722222222224</v>
      </c>
      <c r="P1236" s="4">
        <f>IFERROR((Table25[[#This Row],[Average sell price]]-Table25[[#This Row],[Average buy price]])*Table25[[#This Row],[Total Sold number of stocks]],0)</f>
        <v>1116.9900000000002</v>
      </c>
      <c r="Q1236" s="85">
        <f>SUMIF(Table25[[#All],[Assets]],Table25[[#This Row],[Assets]],Table25[[#All],[Number of stocks]])</f>
        <v>0</v>
      </c>
    </row>
    <row r="1237" spans="1:17">
      <c r="A1237" t="e" vm="38">
        <v>#VALUE!</v>
      </c>
      <c r="B1237" s="2">
        <v>45813</v>
      </c>
      <c r="C1237" t="str" cm="1">
        <f t="array" aca="1" ref="C1237" ca="1">_FV(A1237,"Ticker symbol",TRUE)</f>
        <v>FSLR</v>
      </c>
      <c r="D1237" s="4">
        <v>159.06</v>
      </c>
      <c r="E1237" s="50">
        <v>1</v>
      </c>
      <c r="F1237" s="81">
        <f>IF(Table25[[#This Row],[Number of stocks]]&gt;0,Table25[[#This Row],[Number of stocks]],0)</f>
        <v>1</v>
      </c>
      <c r="G1237" s="73">
        <f>Table25[[#This Row],[Bought]]*Table25[[#This Row],[Price]]</f>
        <v>159.06</v>
      </c>
      <c r="H1237">
        <f>SUMIF(Table25[[#All],[Assets]],Table25[[#This Row],[Assets]],Table25[[#All],[Bought]])</f>
        <v>18</v>
      </c>
      <c r="I1237">
        <f>SUMIF(Table25[[#All],[Assets]],Table25[[#This Row],[Assets]],Table25[[#All],[Bought Amount]])</f>
        <v>3079.49</v>
      </c>
      <c r="J1237" s="88">
        <f>IF(Table25[[#This Row],[Number of stocks]]&lt;0,Table25[[#This Row],[Number of stocks]],0)</f>
        <v>0</v>
      </c>
      <c r="K1237" s="5">
        <f>Table25[[#This Row],[Sold]]*Table25[[#This Row],[Price]]</f>
        <v>0</v>
      </c>
      <c r="L1237" s="8">
        <f>ABS(SUMIF(Table25[[#All],[Assets]],Table25[[#This Row],[Assets]],Table25[[#All],[Sold]]))</f>
        <v>18</v>
      </c>
      <c r="M1237" s="5">
        <f>ABS(SUMIF(Table25[[#All],[Assets]],Table25[[#This Row],[Assets]],Table25[[#All],[Sold Amount]]))</f>
        <v>4016.43</v>
      </c>
      <c r="N1237" s="5">
        <f>IFERROR(Table25[[#This Row],[Total sold amount]]/Table25[[#This Row],[Total Sold number of stocks]],"")</f>
        <v>223.13499999999999</v>
      </c>
      <c r="O1237" s="4">
        <f>IFERROR(Table25[[#This Row],[Total Amount bought]]/Table25[[#This Row],[Total number bought]],"")</f>
        <v>171.08277777777778</v>
      </c>
      <c r="P1237" s="4">
        <f>IFERROR((Table25[[#This Row],[Average sell price]]-Table25[[#This Row],[Average buy price]])*Table25[[#This Row],[Total Sold number of stocks]],0)</f>
        <v>936.93999999999983</v>
      </c>
      <c r="Q1237" s="85">
        <f>SUMIF(Table25[[#All],[Assets]],Table25[[#This Row],[Assets]],Table25[[#All],[Number of stocks]])</f>
        <v>0</v>
      </c>
    </row>
    <row r="1238" spans="1:17">
      <c r="A1238" t="e" vm="63">
        <v>#VALUE!</v>
      </c>
      <c r="B1238" s="2">
        <v>45813</v>
      </c>
      <c r="C1238" t="str" cm="1">
        <f t="array" aca="1" ref="C1238" ca="1">_FV(A1238,"Ticker symbol",TRUE)</f>
        <v>TSLA</v>
      </c>
      <c r="D1238" s="4">
        <v>298.83999999999997</v>
      </c>
      <c r="E1238" s="50">
        <v>-2</v>
      </c>
      <c r="F1238" s="81">
        <f>IF(Table25[[#This Row],[Number of stocks]]&gt;0,Table25[[#This Row],[Number of stocks]],0)</f>
        <v>0</v>
      </c>
      <c r="G1238" s="73">
        <f>Table25[[#This Row],[Bought]]*Table25[[#This Row],[Price]]</f>
        <v>0</v>
      </c>
      <c r="H1238">
        <f>SUMIF(Table25[[#All],[Assets]],Table25[[#This Row],[Assets]],Table25[[#All],[Bought]])</f>
        <v>13</v>
      </c>
      <c r="I1238">
        <f>SUMIF(Table25[[#All],[Assets]],Table25[[#This Row],[Assets]],Table25[[#All],[Bought Amount]])</f>
        <v>3484.85</v>
      </c>
      <c r="J1238" s="88">
        <f>IF(Table25[[#This Row],[Number of stocks]]&lt;0,Table25[[#This Row],[Number of stocks]],0)</f>
        <v>-2</v>
      </c>
      <c r="K1238" s="5">
        <f>Table25[[#This Row],[Sold]]*Table25[[#This Row],[Price]]</f>
        <v>-597.67999999999995</v>
      </c>
      <c r="L1238" s="8">
        <f>ABS(SUMIF(Table25[[#All],[Assets]],Table25[[#This Row],[Assets]],Table25[[#All],[Sold]]))</f>
        <v>13</v>
      </c>
      <c r="M1238" s="5">
        <f>ABS(SUMIF(Table25[[#All],[Assets]],Table25[[#This Row],[Assets]],Table25[[#All],[Sold Amount]]))</f>
        <v>4240.6299999999992</v>
      </c>
      <c r="N1238" s="5">
        <f>IFERROR(Table25[[#This Row],[Total sold amount]]/Table25[[#This Row],[Total Sold number of stocks]],"")</f>
        <v>326.20230769230761</v>
      </c>
      <c r="O1238" s="4">
        <f>IFERROR(Table25[[#This Row],[Total Amount bought]]/Table25[[#This Row],[Total number bought]],"")</f>
        <v>268.06538461538463</v>
      </c>
      <c r="P1238" s="4">
        <f>IFERROR((Table25[[#This Row],[Average sell price]]-Table25[[#This Row],[Average buy price]])*Table25[[#This Row],[Total Sold number of stocks]],0)</f>
        <v>755.77999999999884</v>
      </c>
      <c r="Q1238" s="85">
        <f>SUMIF(Table25[[#All],[Assets]],Table25[[#This Row],[Assets]],Table25[[#All],[Number of stocks]])</f>
        <v>0</v>
      </c>
    </row>
    <row r="1239" spans="1:17">
      <c r="A1239" t="e" vm="63">
        <v>#VALUE!</v>
      </c>
      <c r="B1239" s="2">
        <v>45813</v>
      </c>
      <c r="C1239" t="str" cm="1">
        <f t="array" aca="1" ref="C1239" ca="1">_FV(A1239,"Ticker symbol",TRUE)</f>
        <v>TSLA</v>
      </c>
      <c r="D1239" s="4">
        <v>299.33999999999997</v>
      </c>
      <c r="E1239" s="50">
        <v>-2</v>
      </c>
      <c r="F1239" s="81">
        <f>IF(Table25[[#This Row],[Number of stocks]]&gt;0,Table25[[#This Row],[Number of stocks]],0)</f>
        <v>0</v>
      </c>
      <c r="G1239" s="73">
        <f>Table25[[#This Row],[Bought]]*Table25[[#This Row],[Price]]</f>
        <v>0</v>
      </c>
      <c r="H1239">
        <f>SUMIF(Table25[[#All],[Assets]],Table25[[#This Row],[Assets]],Table25[[#All],[Bought]])</f>
        <v>13</v>
      </c>
      <c r="I1239">
        <f>SUMIF(Table25[[#All],[Assets]],Table25[[#This Row],[Assets]],Table25[[#All],[Bought Amount]])</f>
        <v>3484.85</v>
      </c>
      <c r="J1239" s="88">
        <f>IF(Table25[[#This Row],[Number of stocks]]&lt;0,Table25[[#This Row],[Number of stocks]],0)</f>
        <v>-2</v>
      </c>
      <c r="K1239" s="5">
        <f>Table25[[#This Row],[Sold]]*Table25[[#This Row],[Price]]</f>
        <v>-598.67999999999995</v>
      </c>
      <c r="L1239" s="8">
        <f>ABS(SUMIF(Table25[[#All],[Assets]],Table25[[#This Row],[Assets]],Table25[[#All],[Sold]]))</f>
        <v>13</v>
      </c>
      <c r="M1239" s="5">
        <f>ABS(SUMIF(Table25[[#All],[Assets]],Table25[[#This Row],[Assets]],Table25[[#All],[Sold Amount]]))</f>
        <v>4240.6299999999992</v>
      </c>
      <c r="N1239" s="5">
        <f>IFERROR(Table25[[#This Row],[Total sold amount]]/Table25[[#This Row],[Total Sold number of stocks]],"")</f>
        <v>326.20230769230761</v>
      </c>
      <c r="O1239" s="4">
        <f>IFERROR(Table25[[#This Row],[Total Amount bought]]/Table25[[#This Row],[Total number bought]],"")</f>
        <v>268.06538461538463</v>
      </c>
      <c r="P1239" s="4">
        <f>IFERROR((Table25[[#This Row],[Average sell price]]-Table25[[#This Row],[Average buy price]])*Table25[[#This Row],[Total Sold number of stocks]],0)</f>
        <v>755.77999999999884</v>
      </c>
      <c r="Q1239" s="85">
        <f>SUMIF(Table25[[#All],[Assets]],Table25[[#This Row],[Assets]],Table25[[#All],[Number of stocks]])</f>
        <v>0</v>
      </c>
    </row>
    <row r="1240" spans="1:17">
      <c r="A1240" t="e" vm="90">
        <v>#VALUE!</v>
      </c>
      <c r="B1240" s="2">
        <v>45813</v>
      </c>
      <c r="C1240" t="str" cm="1">
        <f t="array" aca="1" ref="C1240" ca="1">_FV(A1240,"Ticker symbol",TRUE)</f>
        <v>ASTS</v>
      </c>
      <c r="D1240" s="4">
        <v>28.23</v>
      </c>
      <c r="E1240" s="50">
        <v>20</v>
      </c>
      <c r="F1240" s="81">
        <f>IF(Table25[[#This Row],[Number of stocks]]&gt;0,Table25[[#This Row],[Number of stocks]],0)</f>
        <v>20</v>
      </c>
      <c r="G1240" s="73">
        <f>Table25[[#This Row],[Bought]]*Table25[[#This Row],[Price]]</f>
        <v>564.6</v>
      </c>
      <c r="H1240">
        <f>SUMIF(Table25[[#All],[Assets]],Table25[[#This Row],[Assets]],Table25[[#All],[Bought]])</f>
        <v>47</v>
      </c>
      <c r="I1240">
        <f>SUMIF(Table25[[#All],[Assets]],Table25[[#This Row],[Assets]],Table25[[#All],[Bought Amount]])</f>
        <v>1690.75</v>
      </c>
      <c r="J1240" s="88">
        <f>IF(Table25[[#This Row],[Number of stocks]]&lt;0,Table25[[#This Row],[Number of stocks]],0)</f>
        <v>0</v>
      </c>
      <c r="K1240" s="5">
        <f>Table25[[#This Row],[Sold]]*Table25[[#This Row],[Price]]</f>
        <v>0</v>
      </c>
      <c r="L1240" s="8">
        <f>ABS(SUMIF(Table25[[#All],[Assets]],Table25[[#This Row],[Assets]],Table25[[#All],[Sold]]))</f>
        <v>37</v>
      </c>
      <c r="M1240" s="5">
        <f>ABS(SUMIF(Table25[[#All],[Assets]],Table25[[#This Row],[Assets]],Table25[[#All],[Sold Amount]]))</f>
        <v>2479.08</v>
      </c>
      <c r="N1240" s="5">
        <f>IFERROR(Table25[[#This Row],[Total sold amount]]/Table25[[#This Row],[Total Sold number of stocks]],"")</f>
        <v>67.002162162162165</v>
      </c>
      <c r="O1240" s="4">
        <f>IFERROR(Table25[[#This Row],[Total Amount bought]]/Table25[[#This Row],[Total number bought]],"")</f>
        <v>35.973404255319146</v>
      </c>
      <c r="P1240" s="4">
        <f>IFERROR((Table25[[#This Row],[Average sell price]]-Table25[[#This Row],[Average buy price]])*Table25[[#This Row],[Total Sold number of stocks]],0)</f>
        <v>1148.0640425531917</v>
      </c>
      <c r="Q1240" s="85">
        <f>SUMIF(Table25[[#All],[Assets]],Table25[[#This Row],[Assets]],Table25[[#All],[Number of stocks]])</f>
        <v>10</v>
      </c>
    </row>
    <row r="1241" spans="1:17">
      <c r="A1241" t="e" vm="38">
        <v>#VALUE!</v>
      </c>
      <c r="B1241" s="2">
        <v>45813</v>
      </c>
      <c r="C1241" t="str" cm="1">
        <f t="array" aca="1" ref="C1241" ca="1">_FV(A1241,"Ticker symbol",TRUE)</f>
        <v>FSLR</v>
      </c>
      <c r="D1241" s="4">
        <v>166.15</v>
      </c>
      <c r="E1241" s="50">
        <v>2</v>
      </c>
      <c r="F1241" s="81">
        <f>IF(Table25[[#This Row],[Number of stocks]]&gt;0,Table25[[#This Row],[Number of stocks]],0)</f>
        <v>2</v>
      </c>
      <c r="G1241" s="73">
        <f>Table25[[#This Row],[Bought]]*Table25[[#This Row],[Price]]</f>
        <v>332.3</v>
      </c>
      <c r="H1241">
        <f>SUMIF(Table25[[#All],[Assets]],Table25[[#This Row],[Assets]],Table25[[#All],[Bought]])</f>
        <v>18</v>
      </c>
      <c r="I1241">
        <f>SUMIF(Table25[[#All],[Assets]],Table25[[#This Row],[Assets]],Table25[[#All],[Bought Amount]])</f>
        <v>3079.49</v>
      </c>
      <c r="J1241" s="88">
        <f>IF(Table25[[#This Row],[Number of stocks]]&lt;0,Table25[[#This Row],[Number of stocks]],0)</f>
        <v>0</v>
      </c>
      <c r="K1241" s="5">
        <f>Table25[[#This Row],[Sold]]*Table25[[#This Row],[Price]]</f>
        <v>0</v>
      </c>
      <c r="L1241" s="8">
        <f>ABS(SUMIF(Table25[[#All],[Assets]],Table25[[#This Row],[Assets]],Table25[[#All],[Sold]]))</f>
        <v>18</v>
      </c>
      <c r="M1241" s="5">
        <f>ABS(SUMIF(Table25[[#All],[Assets]],Table25[[#This Row],[Assets]],Table25[[#All],[Sold Amount]]))</f>
        <v>4016.43</v>
      </c>
      <c r="N1241" s="5">
        <f>IFERROR(Table25[[#This Row],[Total sold amount]]/Table25[[#This Row],[Total Sold number of stocks]],"")</f>
        <v>223.13499999999999</v>
      </c>
      <c r="O1241" s="4">
        <f>IFERROR(Table25[[#This Row],[Total Amount bought]]/Table25[[#This Row],[Total number bought]],"")</f>
        <v>171.08277777777778</v>
      </c>
      <c r="P1241" s="4">
        <f>IFERROR((Table25[[#This Row],[Average sell price]]-Table25[[#This Row],[Average buy price]])*Table25[[#This Row],[Total Sold number of stocks]],0)</f>
        <v>936.93999999999983</v>
      </c>
      <c r="Q1241" s="85">
        <f>SUMIF(Table25[[#All],[Assets]],Table25[[#This Row],[Assets]],Table25[[#All],[Number of stocks]])</f>
        <v>0</v>
      </c>
    </row>
    <row r="1242" spans="1:17">
      <c r="A1242" t="e" vm="38">
        <v>#VALUE!</v>
      </c>
      <c r="B1242" s="2">
        <v>45813</v>
      </c>
      <c r="C1242" t="str" cm="1">
        <f t="array" aca="1" ref="C1242" ca="1">_FV(A1242,"Ticker symbol",TRUE)</f>
        <v>FSLR</v>
      </c>
      <c r="D1242" s="4">
        <v>166.5</v>
      </c>
      <c r="E1242" s="50">
        <v>6</v>
      </c>
      <c r="F1242" s="81">
        <f>IF(Table25[[#This Row],[Number of stocks]]&gt;0,Table25[[#This Row],[Number of stocks]],0)</f>
        <v>6</v>
      </c>
      <c r="G1242" s="73">
        <f>Table25[[#This Row],[Bought]]*Table25[[#This Row],[Price]]</f>
        <v>999</v>
      </c>
      <c r="H1242">
        <f>SUMIF(Table25[[#All],[Assets]],Table25[[#This Row],[Assets]],Table25[[#All],[Bought]])</f>
        <v>18</v>
      </c>
      <c r="I1242">
        <f>SUMIF(Table25[[#All],[Assets]],Table25[[#This Row],[Assets]],Table25[[#All],[Bought Amount]])</f>
        <v>3079.49</v>
      </c>
      <c r="J1242" s="88">
        <f>IF(Table25[[#This Row],[Number of stocks]]&lt;0,Table25[[#This Row],[Number of stocks]],0)</f>
        <v>0</v>
      </c>
      <c r="K1242" s="5">
        <f>Table25[[#This Row],[Sold]]*Table25[[#This Row],[Price]]</f>
        <v>0</v>
      </c>
      <c r="L1242" s="8">
        <f>ABS(SUMIF(Table25[[#All],[Assets]],Table25[[#This Row],[Assets]],Table25[[#All],[Sold]]))</f>
        <v>18</v>
      </c>
      <c r="M1242" s="5">
        <f>ABS(SUMIF(Table25[[#All],[Assets]],Table25[[#This Row],[Assets]],Table25[[#All],[Sold Amount]]))</f>
        <v>4016.43</v>
      </c>
      <c r="N1242" s="5">
        <f>IFERROR(Table25[[#This Row],[Total sold amount]]/Table25[[#This Row],[Total Sold number of stocks]],"")</f>
        <v>223.13499999999999</v>
      </c>
      <c r="O1242" s="4">
        <f>IFERROR(Table25[[#This Row],[Total Amount bought]]/Table25[[#This Row],[Total number bought]],"")</f>
        <v>171.08277777777778</v>
      </c>
      <c r="P1242" s="4">
        <f>IFERROR((Table25[[#This Row],[Average sell price]]-Table25[[#This Row],[Average buy price]])*Table25[[#This Row],[Total Sold number of stocks]],0)</f>
        <v>936.93999999999983</v>
      </c>
      <c r="Q1242" s="85">
        <f>SUMIF(Table25[[#All],[Assets]],Table25[[#This Row],[Assets]],Table25[[#All],[Number of stocks]])</f>
        <v>0</v>
      </c>
    </row>
    <row r="1243" spans="1:17">
      <c r="A1243" t="e" vm="11">
        <v>#VALUE!</v>
      </c>
      <c r="B1243" s="2">
        <v>45813</v>
      </c>
      <c r="C1243" t="str" cm="1">
        <f t="array" aca="1" ref="C1243" ca="1">_FV(A1243,"Ticker symbol",TRUE)</f>
        <v>AMZN</v>
      </c>
      <c r="D1243" s="4">
        <v>208.94</v>
      </c>
      <c r="E1243" s="50">
        <v>2</v>
      </c>
      <c r="F1243" s="81">
        <f>IF(Table25[[#This Row],[Number of stocks]]&gt;0,Table25[[#This Row],[Number of stocks]],0)</f>
        <v>2</v>
      </c>
      <c r="G1243" s="73">
        <f>Table25[[#This Row],[Bought]]*Table25[[#This Row],[Price]]</f>
        <v>417.88</v>
      </c>
      <c r="H1243">
        <f>SUMIF(Table25[[#All],[Assets]],Table25[[#This Row],[Assets]],Table25[[#All],[Bought]])</f>
        <v>14</v>
      </c>
      <c r="I1243">
        <f>SUMIF(Table25[[#All],[Assets]],Table25[[#This Row],[Assets]],Table25[[#All],[Bought Amount]])</f>
        <v>2779.23</v>
      </c>
      <c r="J1243" s="88">
        <f>IF(Table25[[#This Row],[Number of stocks]]&lt;0,Table25[[#This Row],[Number of stocks]],0)</f>
        <v>0</v>
      </c>
      <c r="K1243" s="5">
        <f>Table25[[#This Row],[Sold]]*Table25[[#This Row],[Price]]</f>
        <v>0</v>
      </c>
      <c r="L1243" s="8">
        <f>ABS(SUMIF(Table25[[#All],[Assets]],Table25[[#This Row],[Assets]],Table25[[#All],[Sold]]))</f>
        <v>9</v>
      </c>
      <c r="M1243" s="5">
        <f>ABS(SUMIF(Table25[[#All],[Assets]],Table25[[#This Row],[Assets]],Table25[[#All],[Sold Amount]]))</f>
        <v>1854.81</v>
      </c>
      <c r="N1243" s="5">
        <f>IFERROR(Table25[[#This Row],[Total sold amount]]/Table25[[#This Row],[Total Sold number of stocks]],"")</f>
        <v>206.09</v>
      </c>
      <c r="O1243" s="4">
        <f>IFERROR(Table25[[#This Row],[Total Amount bought]]/Table25[[#This Row],[Total number bought]],"")</f>
        <v>198.51642857142858</v>
      </c>
      <c r="P1243" s="4">
        <f>IFERROR((Table25[[#This Row],[Average sell price]]-Table25[[#This Row],[Average buy price]])*Table25[[#This Row],[Total Sold number of stocks]],0)</f>
        <v>68.16214285714284</v>
      </c>
      <c r="Q1243" s="85">
        <f>SUMIF(Table25[[#All],[Assets]],Table25[[#This Row],[Assets]],Table25[[#All],[Number of stocks]])</f>
        <v>5</v>
      </c>
    </row>
    <row r="1244" spans="1:17">
      <c r="A1244" t="e" vm="91">
        <v>#VALUE!</v>
      </c>
      <c r="B1244" s="2">
        <v>45813</v>
      </c>
      <c r="C1244" t="str" cm="1">
        <f t="array" aca="1" ref="C1244" ca="1">_FV(A1244,"Ticker symbol",TRUE)</f>
        <v>RKLB</v>
      </c>
      <c r="D1244" s="4">
        <v>28.25</v>
      </c>
      <c r="E1244" s="50">
        <v>1</v>
      </c>
      <c r="F1244" s="81">
        <f>IF(Table25[[#This Row],[Number of stocks]]&gt;0,Table25[[#This Row],[Number of stocks]],0)</f>
        <v>1</v>
      </c>
      <c r="G1244" s="73">
        <f>Table25[[#This Row],[Bought]]*Table25[[#This Row],[Price]]</f>
        <v>28.25</v>
      </c>
      <c r="H1244">
        <f>SUMIF(Table25[[#All],[Assets]],Table25[[#This Row],[Assets]],Table25[[#All],[Bought]])</f>
        <v>22</v>
      </c>
      <c r="I1244">
        <f>SUMIF(Table25[[#All],[Assets]],Table25[[#This Row],[Assets]],Table25[[#All],[Bought Amount]])</f>
        <v>1045.0999999999999</v>
      </c>
      <c r="J1244" s="88">
        <f>IF(Table25[[#This Row],[Number of stocks]]&lt;0,Table25[[#This Row],[Number of stocks]],0)</f>
        <v>0</v>
      </c>
      <c r="K1244" s="5">
        <f>Table25[[#This Row],[Sold]]*Table25[[#This Row],[Price]]</f>
        <v>0</v>
      </c>
      <c r="L1244" s="8">
        <f>ABS(SUMIF(Table25[[#All],[Assets]],Table25[[#This Row],[Assets]],Table25[[#All],[Sold]]))</f>
        <v>21</v>
      </c>
      <c r="M1244" s="5">
        <f>ABS(SUMIF(Table25[[#All],[Assets]],Table25[[#This Row],[Assets]],Table25[[#All],[Sold Amount]]))</f>
        <v>1696.64</v>
      </c>
      <c r="N1244" s="5">
        <f>IFERROR(Table25[[#This Row],[Total sold amount]]/Table25[[#This Row],[Total Sold number of stocks]],"")</f>
        <v>80.792380952380952</v>
      </c>
      <c r="O1244" s="4">
        <f>IFERROR(Table25[[#This Row],[Total Amount bought]]/Table25[[#This Row],[Total number bought]],"")</f>
        <v>47.50454545454545</v>
      </c>
      <c r="P1244" s="4">
        <f>IFERROR((Table25[[#This Row],[Average sell price]]-Table25[[#This Row],[Average buy price]])*Table25[[#This Row],[Total Sold number of stocks]],0)</f>
        <v>699.04454545454553</v>
      </c>
      <c r="Q1244" s="85">
        <f>SUMIF(Table25[[#All],[Assets]],Table25[[#This Row],[Assets]],Table25[[#All],[Number of stocks]])</f>
        <v>1</v>
      </c>
    </row>
    <row r="1245" spans="1:17">
      <c r="A1245" t="e" vm="200">
        <v>#VALUE!</v>
      </c>
      <c r="B1245" s="2">
        <v>45814</v>
      </c>
      <c r="C1245" t="str" cm="1">
        <f t="array" aca="1" ref="C1245" ca="1">_FV(A1245,"Ticker symbol",TRUE)</f>
        <v>IMSR</v>
      </c>
      <c r="D1245" s="4">
        <v>11.32</v>
      </c>
      <c r="E1245" s="50">
        <v>-60</v>
      </c>
      <c r="F1245" s="81">
        <f>IF(Table25[[#This Row],[Number of stocks]]&gt;0,Table25[[#This Row],[Number of stocks]],0)</f>
        <v>0</v>
      </c>
      <c r="G1245" s="73">
        <f>Table25[[#This Row],[Bought]]*Table25[[#This Row],[Price]]</f>
        <v>0</v>
      </c>
      <c r="H1245">
        <f>SUMIF(Table25[[#All],[Assets]],Table25[[#This Row],[Assets]],Table25[[#All],[Bought]])</f>
        <v>386</v>
      </c>
      <c r="I1245">
        <f>SUMIF(Table25[[#All],[Assets]],Table25[[#This Row],[Assets]],Table25[[#All],[Bought Amount]])</f>
        <v>4519.0499999999993</v>
      </c>
      <c r="J1245" s="88">
        <f>IF(Table25[[#This Row],[Number of stocks]]&lt;0,Table25[[#This Row],[Number of stocks]],0)</f>
        <v>-60</v>
      </c>
      <c r="K1245" s="5">
        <f>Table25[[#This Row],[Sold]]*Table25[[#This Row],[Price]]</f>
        <v>-679.2</v>
      </c>
      <c r="L1245" s="8">
        <f>ABS(SUMIF(Table25[[#All],[Assets]],Table25[[#This Row],[Assets]],Table25[[#All],[Sold]]))</f>
        <v>288</v>
      </c>
      <c r="M1245" s="5">
        <f>ABS(SUMIF(Table25[[#All],[Assets]],Table25[[#This Row],[Assets]],Table25[[#All],[Sold Amount]]))</f>
        <v>3200.16</v>
      </c>
      <c r="N1245" s="5">
        <f>IFERROR(Table25[[#This Row],[Total sold amount]]/Table25[[#This Row],[Total Sold number of stocks]],"")</f>
        <v>11.111666666666666</v>
      </c>
      <c r="O1245" s="4">
        <f>IFERROR(Table25[[#This Row],[Total Amount bought]]/Table25[[#This Row],[Total number bought]],"")</f>
        <v>11.707383419689117</v>
      </c>
      <c r="P1245" s="4">
        <f>IFERROR((Table25[[#This Row],[Average sell price]]-Table25[[#This Row],[Average buy price]])*Table25[[#This Row],[Total Sold number of stocks]],0)</f>
        <v>-171.56642487046588</v>
      </c>
      <c r="Q1245" s="85">
        <f>SUMIF(Table25[[#All],[Assets]],Table25[[#This Row],[Assets]],Table25[[#All],[Number of stocks]])</f>
        <v>98</v>
      </c>
    </row>
    <row r="1246" spans="1:17">
      <c r="A1246" t="e" vm="210">
        <v>#VALUE!</v>
      </c>
      <c r="B1246" s="2">
        <v>45814</v>
      </c>
      <c r="C1246" t="str" cm="1">
        <f t="array" aca="1" ref="C1246" ca="1">_FV(A1246,"Ticker symbol",TRUE)</f>
        <v>HALO</v>
      </c>
      <c r="D1246" s="4">
        <v>54.12</v>
      </c>
      <c r="E1246" s="50">
        <v>-1</v>
      </c>
      <c r="F1246" s="81">
        <f>IF(Table25[[#This Row],[Number of stocks]]&gt;0,Table25[[#This Row],[Number of stocks]],0)</f>
        <v>0</v>
      </c>
      <c r="G1246" s="73">
        <f>Table25[[#This Row],[Bought]]*Table25[[#This Row],[Price]]</f>
        <v>0</v>
      </c>
      <c r="H1246">
        <f>SUMIF(Table25[[#All],[Assets]],Table25[[#This Row],[Assets]],Table25[[#All],[Bought]])</f>
        <v>45</v>
      </c>
      <c r="I1246">
        <f>SUMIF(Table25[[#All],[Assets]],Table25[[#This Row],[Assets]],Table25[[#All],[Bought Amount]])</f>
        <v>2362.5</v>
      </c>
      <c r="J1246" s="88">
        <f>IF(Table25[[#This Row],[Number of stocks]]&lt;0,Table25[[#This Row],[Number of stocks]],0)</f>
        <v>-1</v>
      </c>
      <c r="K1246" s="5">
        <f>Table25[[#This Row],[Sold]]*Table25[[#This Row],[Price]]</f>
        <v>-54.12</v>
      </c>
      <c r="L1246" s="8">
        <f>ABS(SUMIF(Table25[[#All],[Assets]],Table25[[#This Row],[Assets]],Table25[[#All],[Sold]]))</f>
        <v>37</v>
      </c>
      <c r="M1246" s="5">
        <f>ABS(SUMIF(Table25[[#All],[Assets]],Table25[[#This Row],[Assets]],Table25[[#All],[Sold Amount]]))</f>
        <v>2008.8599999999997</v>
      </c>
      <c r="N1246" s="5">
        <f>IFERROR(Table25[[#This Row],[Total sold amount]]/Table25[[#This Row],[Total Sold number of stocks]],"")</f>
        <v>54.293513513513503</v>
      </c>
      <c r="O1246" s="4">
        <f>IFERROR(Table25[[#This Row],[Total Amount bought]]/Table25[[#This Row],[Total number bought]],"")</f>
        <v>52.5</v>
      </c>
      <c r="P1246" s="4">
        <f>IFERROR((Table25[[#This Row],[Average sell price]]-Table25[[#This Row],[Average buy price]])*Table25[[#This Row],[Total Sold number of stocks]],0)</f>
        <v>66.359999999999602</v>
      </c>
      <c r="Q1246" s="85">
        <f>SUMIF(Table25[[#All],[Assets]],Table25[[#This Row],[Assets]],Table25[[#All],[Number of stocks]])</f>
        <v>8</v>
      </c>
    </row>
    <row r="1247" spans="1:17">
      <c r="A1247" t="e" vm="51">
        <v>#VALUE!</v>
      </c>
      <c r="B1247" s="2">
        <v>45814</v>
      </c>
      <c r="C1247" t="str" cm="1">
        <f t="array" aca="1" ref="C1247" ca="1">_FV(A1247,"Ticker symbol",TRUE)</f>
        <v>CEG</v>
      </c>
      <c r="D1247" s="4">
        <v>289.69</v>
      </c>
      <c r="E1247" s="50">
        <v>1</v>
      </c>
      <c r="F1247" s="81">
        <f>IF(Table25[[#This Row],[Number of stocks]]&gt;0,Table25[[#This Row],[Number of stocks]],0)</f>
        <v>1</v>
      </c>
      <c r="G1247" s="73">
        <f>Table25[[#This Row],[Bought]]*Table25[[#This Row],[Price]]</f>
        <v>289.69</v>
      </c>
      <c r="H1247">
        <f>SUMIF(Table25[[#All],[Assets]],Table25[[#This Row],[Assets]],Table25[[#All],[Bought]])</f>
        <v>2</v>
      </c>
      <c r="I1247">
        <f>SUMIF(Table25[[#All],[Assets]],Table25[[#This Row],[Assets]],Table25[[#All],[Bought Amount]])</f>
        <v>571.1</v>
      </c>
      <c r="J1247" s="88">
        <f>IF(Table25[[#This Row],[Number of stocks]]&lt;0,Table25[[#This Row],[Number of stocks]],0)</f>
        <v>0</v>
      </c>
      <c r="K1247" s="5">
        <f>Table25[[#This Row],[Sold]]*Table25[[#This Row],[Price]]</f>
        <v>0</v>
      </c>
      <c r="L1247" s="8">
        <f>ABS(SUMIF(Table25[[#All],[Assets]],Table25[[#This Row],[Assets]],Table25[[#All],[Sold]]))</f>
        <v>2</v>
      </c>
      <c r="M1247" s="5">
        <f>ABS(SUMIF(Table25[[#All],[Assets]],Table25[[#This Row],[Assets]],Table25[[#All],[Sold Amount]]))</f>
        <v>760.58</v>
      </c>
      <c r="N1247" s="5">
        <f>IFERROR(Table25[[#This Row],[Total sold amount]]/Table25[[#This Row],[Total Sold number of stocks]],"")</f>
        <v>380.29</v>
      </c>
      <c r="O1247" s="4">
        <f>IFERROR(Table25[[#This Row],[Total Amount bought]]/Table25[[#This Row],[Total number bought]],"")</f>
        <v>285.55</v>
      </c>
      <c r="P1247" s="4">
        <f>IFERROR((Table25[[#This Row],[Average sell price]]-Table25[[#This Row],[Average buy price]])*Table25[[#This Row],[Total Sold number of stocks]],0)</f>
        <v>189.48000000000002</v>
      </c>
      <c r="Q1247" s="85">
        <f>SUMIF(Table25[[#All],[Assets]],Table25[[#This Row],[Assets]],Table25[[#All],[Number of stocks]])</f>
        <v>0</v>
      </c>
    </row>
    <row r="1248" spans="1:17">
      <c r="A1248" t="e" vm="91">
        <v>#VALUE!</v>
      </c>
      <c r="B1248" s="2">
        <v>45814</v>
      </c>
      <c r="C1248" t="str" cm="1">
        <f t="array" aca="1" ref="C1248" ca="1">_FV(A1248,"Ticker symbol",TRUE)</f>
        <v>RKLB</v>
      </c>
      <c r="D1248" s="4">
        <v>27.84</v>
      </c>
      <c r="E1248" s="50">
        <v>1</v>
      </c>
      <c r="F1248" s="81">
        <f>IF(Table25[[#This Row],[Number of stocks]]&gt;0,Table25[[#This Row],[Number of stocks]],0)</f>
        <v>1</v>
      </c>
      <c r="G1248" s="73">
        <f>Table25[[#This Row],[Bought]]*Table25[[#This Row],[Price]]</f>
        <v>27.84</v>
      </c>
      <c r="H1248">
        <f>SUMIF(Table25[[#All],[Assets]],Table25[[#This Row],[Assets]],Table25[[#All],[Bought]])</f>
        <v>22</v>
      </c>
      <c r="I1248">
        <f>SUMIF(Table25[[#All],[Assets]],Table25[[#This Row],[Assets]],Table25[[#All],[Bought Amount]])</f>
        <v>1045.0999999999999</v>
      </c>
      <c r="J1248" s="88">
        <f>IF(Table25[[#This Row],[Number of stocks]]&lt;0,Table25[[#This Row],[Number of stocks]],0)</f>
        <v>0</v>
      </c>
      <c r="K1248" s="5">
        <f>Table25[[#This Row],[Sold]]*Table25[[#This Row],[Price]]</f>
        <v>0</v>
      </c>
      <c r="L1248" s="8">
        <f>ABS(SUMIF(Table25[[#All],[Assets]],Table25[[#This Row],[Assets]],Table25[[#All],[Sold]]))</f>
        <v>21</v>
      </c>
      <c r="M1248" s="5">
        <f>ABS(SUMIF(Table25[[#All],[Assets]],Table25[[#This Row],[Assets]],Table25[[#All],[Sold Amount]]))</f>
        <v>1696.64</v>
      </c>
      <c r="N1248" s="5">
        <f>IFERROR(Table25[[#This Row],[Total sold amount]]/Table25[[#This Row],[Total Sold number of stocks]],"")</f>
        <v>80.792380952380952</v>
      </c>
      <c r="O1248" s="4">
        <f>IFERROR(Table25[[#This Row],[Total Amount bought]]/Table25[[#This Row],[Total number bought]],"")</f>
        <v>47.50454545454545</v>
      </c>
      <c r="P1248" s="4">
        <f>IFERROR((Table25[[#This Row],[Average sell price]]-Table25[[#This Row],[Average buy price]])*Table25[[#This Row],[Total Sold number of stocks]],0)</f>
        <v>699.04454545454553</v>
      </c>
      <c r="Q1248" s="85">
        <f>SUMIF(Table25[[#All],[Assets]],Table25[[#This Row],[Assets]],Table25[[#All],[Number of stocks]])</f>
        <v>1</v>
      </c>
    </row>
    <row r="1249" spans="1:17">
      <c r="A1249" t="e" vm="90">
        <v>#VALUE!</v>
      </c>
      <c r="B1249" s="2">
        <v>45814</v>
      </c>
      <c r="C1249" t="str" cm="1">
        <f t="array" aca="1" ref="C1249" ca="1">_FV(A1249,"Ticker symbol",TRUE)</f>
        <v>ASTS</v>
      </c>
      <c r="D1249" s="4">
        <v>30.7</v>
      </c>
      <c r="E1249" s="50">
        <v>2</v>
      </c>
      <c r="F1249" s="81">
        <f>IF(Table25[[#This Row],[Number of stocks]]&gt;0,Table25[[#This Row],[Number of stocks]],0)</f>
        <v>2</v>
      </c>
      <c r="G1249" s="73">
        <f>Table25[[#This Row],[Bought]]*Table25[[#This Row],[Price]]</f>
        <v>61.4</v>
      </c>
      <c r="H1249">
        <f>SUMIF(Table25[[#All],[Assets]],Table25[[#This Row],[Assets]],Table25[[#All],[Bought]])</f>
        <v>47</v>
      </c>
      <c r="I1249">
        <f>SUMIF(Table25[[#All],[Assets]],Table25[[#This Row],[Assets]],Table25[[#All],[Bought Amount]])</f>
        <v>1690.75</v>
      </c>
      <c r="J1249" s="88">
        <f>IF(Table25[[#This Row],[Number of stocks]]&lt;0,Table25[[#This Row],[Number of stocks]],0)</f>
        <v>0</v>
      </c>
      <c r="K1249" s="5">
        <f>Table25[[#This Row],[Sold]]*Table25[[#This Row],[Price]]</f>
        <v>0</v>
      </c>
      <c r="L1249" s="8">
        <f>ABS(SUMIF(Table25[[#All],[Assets]],Table25[[#This Row],[Assets]],Table25[[#All],[Sold]]))</f>
        <v>37</v>
      </c>
      <c r="M1249" s="5">
        <f>ABS(SUMIF(Table25[[#All],[Assets]],Table25[[#This Row],[Assets]],Table25[[#All],[Sold Amount]]))</f>
        <v>2479.08</v>
      </c>
      <c r="N1249" s="5">
        <f>IFERROR(Table25[[#This Row],[Total sold amount]]/Table25[[#This Row],[Total Sold number of stocks]],"")</f>
        <v>67.002162162162165</v>
      </c>
      <c r="O1249" s="4">
        <f>IFERROR(Table25[[#This Row],[Total Amount bought]]/Table25[[#This Row],[Total number bought]],"")</f>
        <v>35.973404255319146</v>
      </c>
      <c r="P1249" s="4">
        <f>IFERROR((Table25[[#This Row],[Average sell price]]-Table25[[#This Row],[Average buy price]])*Table25[[#This Row],[Total Sold number of stocks]],0)</f>
        <v>1148.0640425531917</v>
      </c>
      <c r="Q1249" s="85">
        <f>SUMIF(Table25[[#All],[Assets]],Table25[[#This Row],[Assets]],Table25[[#All],[Number of stocks]])</f>
        <v>10</v>
      </c>
    </row>
    <row r="1250" spans="1:17">
      <c r="A1250" t="e" vm="200">
        <v>#VALUE!</v>
      </c>
      <c r="B1250" s="2">
        <v>45814</v>
      </c>
      <c r="C1250" t="str" cm="1">
        <f t="array" aca="1" ref="C1250" ca="1">_FV(A1250,"Ticker symbol",TRUE)</f>
        <v>IMSR</v>
      </c>
      <c r="D1250" s="4">
        <v>11.51</v>
      </c>
      <c r="E1250" s="50">
        <v>-160</v>
      </c>
      <c r="F1250" s="81">
        <f>IF(Table25[[#This Row],[Number of stocks]]&gt;0,Table25[[#This Row],[Number of stocks]],0)</f>
        <v>0</v>
      </c>
      <c r="G1250" s="73">
        <f>Table25[[#This Row],[Bought]]*Table25[[#This Row],[Price]]</f>
        <v>0</v>
      </c>
      <c r="H1250">
        <f>SUMIF(Table25[[#All],[Assets]],Table25[[#This Row],[Assets]],Table25[[#All],[Bought]])</f>
        <v>386</v>
      </c>
      <c r="I1250">
        <f>SUMIF(Table25[[#All],[Assets]],Table25[[#This Row],[Assets]],Table25[[#All],[Bought Amount]])</f>
        <v>4519.0499999999993</v>
      </c>
      <c r="J1250" s="88">
        <f>IF(Table25[[#This Row],[Number of stocks]]&lt;0,Table25[[#This Row],[Number of stocks]],0)</f>
        <v>-160</v>
      </c>
      <c r="K1250" s="5">
        <f>Table25[[#This Row],[Sold]]*Table25[[#This Row],[Price]]</f>
        <v>-1841.6</v>
      </c>
      <c r="L1250" s="8">
        <f>ABS(SUMIF(Table25[[#All],[Assets]],Table25[[#This Row],[Assets]],Table25[[#All],[Sold]]))</f>
        <v>288</v>
      </c>
      <c r="M1250" s="5">
        <f>ABS(SUMIF(Table25[[#All],[Assets]],Table25[[#This Row],[Assets]],Table25[[#All],[Sold Amount]]))</f>
        <v>3200.16</v>
      </c>
      <c r="N1250" s="5">
        <f>IFERROR(Table25[[#This Row],[Total sold amount]]/Table25[[#This Row],[Total Sold number of stocks]],"")</f>
        <v>11.111666666666666</v>
      </c>
      <c r="O1250" s="4">
        <f>IFERROR(Table25[[#This Row],[Total Amount bought]]/Table25[[#This Row],[Total number bought]],"")</f>
        <v>11.707383419689117</v>
      </c>
      <c r="P1250" s="4">
        <f>IFERROR((Table25[[#This Row],[Average sell price]]-Table25[[#This Row],[Average buy price]])*Table25[[#This Row],[Total Sold number of stocks]],0)</f>
        <v>-171.56642487046588</v>
      </c>
      <c r="Q1250" s="85">
        <f>SUMIF(Table25[[#All],[Assets]],Table25[[#This Row],[Assets]],Table25[[#All],[Number of stocks]])</f>
        <v>98</v>
      </c>
    </row>
    <row r="1251" spans="1:17">
      <c r="A1251" t="e" vm="73">
        <v>#VALUE!</v>
      </c>
      <c r="B1251" s="2">
        <v>45814</v>
      </c>
      <c r="C1251" t="str" cm="1">
        <f t="array" aca="1" ref="C1251" ca="1">_FV(A1251,"Ticker symbol",TRUE)</f>
        <v>NOTV</v>
      </c>
      <c r="D1251" s="4">
        <v>2.79</v>
      </c>
      <c r="E1251" s="50">
        <v>663</v>
      </c>
      <c r="F1251" s="81">
        <f>IF(Table25[[#This Row],[Number of stocks]]&gt;0,Table25[[#This Row],[Number of stocks]],0)</f>
        <v>663</v>
      </c>
      <c r="G1251" s="73">
        <f>Table25[[#This Row],[Bought]]*Table25[[#This Row],[Price]]</f>
        <v>1849.77</v>
      </c>
      <c r="H1251">
        <f>SUMIF(Table25[[#All],[Assets]],Table25[[#This Row],[Assets]],Table25[[#All],[Bought]])</f>
        <v>3556</v>
      </c>
      <c r="I1251">
        <f>SUMIF(Table25[[#All],[Assets]],Table25[[#This Row],[Assets]],Table25[[#All],[Bought Amount]])</f>
        <v>10249.890000000001</v>
      </c>
      <c r="J1251" s="88">
        <f>IF(Table25[[#This Row],[Number of stocks]]&lt;0,Table25[[#This Row],[Number of stocks]],0)</f>
        <v>0</v>
      </c>
      <c r="K1251" s="5">
        <f>Table25[[#This Row],[Sold]]*Table25[[#This Row],[Price]]</f>
        <v>0</v>
      </c>
      <c r="L1251" s="8">
        <f>ABS(SUMIF(Table25[[#All],[Assets]],Table25[[#This Row],[Assets]],Table25[[#All],[Sold]]))</f>
        <v>2741</v>
      </c>
      <c r="M1251" s="5">
        <f>ABS(SUMIF(Table25[[#All],[Assets]],Table25[[#This Row],[Assets]],Table25[[#All],[Sold Amount]]))</f>
        <v>6559.66</v>
      </c>
      <c r="N1251" s="5">
        <f>IFERROR(Table25[[#This Row],[Total sold amount]]/Table25[[#This Row],[Total Sold number of stocks]],"")</f>
        <v>2.3931630791681866</v>
      </c>
      <c r="O1251" s="4">
        <f>IFERROR(Table25[[#This Row],[Total Amount bought]]/Table25[[#This Row],[Total number bought]],"")</f>
        <v>2.8824212598425198</v>
      </c>
      <c r="P1251" s="4">
        <f>IFERROR((Table25[[#This Row],[Average sell price]]-Table25[[#This Row],[Average buy price]])*Table25[[#This Row],[Total Sold number of stocks]],0)</f>
        <v>-1341.0566732283473</v>
      </c>
      <c r="Q1251" s="85">
        <f>SUMIF(Table25[[#All],[Assets]],Table25[[#This Row],[Assets]],Table25[[#All],[Number of stocks]])</f>
        <v>815</v>
      </c>
    </row>
    <row r="1252" spans="1:17">
      <c r="A1252" t="e" vm="90">
        <v>#VALUE!</v>
      </c>
      <c r="B1252" s="2">
        <v>45814</v>
      </c>
      <c r="C1252" t="str" cm="1">
        <f t="array" aca="1" ref="C1252" ca="1">_FV(A1252,"Ticker symbol",TRUE)</f>
        <v>ASTS</v>
      </c>
      <c r="D1252" s="4">
        <v>30.67</v>
      </c>
      <c r="E1252" s="50">
        <v>3</v>
      </c>
      <c r="F1252" s="81">
        <f>IF(Table25[[#This Row],[Number of stocks]]&gt;0,Table25[[#This Row],[Number of stocks]],0)</f>
        <v>3</v>
      </c>
      <c r="G1252" s="73">
        <f>Table25[[#This Row],[Bought]]*Table25[[#This Row],[Price]]</f>
        <v>92.01</v>
      </c>
      <c r="H1252">
        <f>SUMIF(Table25[[#All],[Assets]],Table25[[#This Row],[Assets]],Table25[[#All],[Bought]])</f>
        <v>47</v>
      </c>
      <c r="I1252">
        <f>SUMIF(Table25[[#All],[Assets]],Table25[[#This Row],[Assets]],Table25[[#All],[Bought Amount]])</f>
        <v>1690.75</v>
      </c>
      <c r="J1252" s="88">
        <f>IF(Table25[[#This Row],[Number of stocks]]&lt;0,Table25[[#This Row],[Number of stocks]],0)</f>
        <v>0</v>
      </c>
      <c r="K1252" s="5">
        <f>Table25[[#This Row],[Sold]]*Table25[[#This Row],[Price]]</f>
        <v>0</v>
      </c>
      <c r="L1252" s="8">
        <f>ABS(SUMIF(Table25[[#All],[Assets]],Table25[[#This Row],[Assets]],Table25[[#All],[Sold]]))</f>
        <v>37</v>
      </c>
      <c r="M1252" s="5">
        <f>ABS(SUMIF(Table25[[#All],[Assets]],Table25[[#This Row],[Assets]],Table25[[#All],[Sold Amount]]))</f>
        <v>2479.08</v>
      </c>
      <c r="N1252" s="5">
        <f>IFERROR(Table25[[#This Row],[Total sold amount]]/Table25[[#This Row],[Total Sold number of stocks]],"")</f>
        <v>67.002162162162165</v>
      </c>
      <c r="O1252" s="4">
        <f>IFERROR(Table25[[#This Row],[Total Amount bought]]/Table25[[#This Row],[Total number bought]],"")</f>
        <v>35.973404255319146</v>
      </c>
      <c r="P1252" s="4">
        <f>IFERROR((Table25[[#This Row],[Average sell price]]-Table25[[#This Row],[Average buy price]])*Table25[[#This Row],[Total Sold number of stocks]],0)</f>
        <v>1148.0640425531917</v>
      </c>
      <c r="Q1252" s="85">
        <f>SUMIF(Table25[[#All],[Assets]],Table25[[#This Row],[Assets]],Table25[[#All],[Number of stocks]])</f>
        <v>10</v>
      </c>
    </row>
    <row r="1253" spans="1:17">
      <c r="A1253" t="e" vm="53">
        <v>#VALUE!</v>
      </c>
      <c r="B1253" s="2">
        <v>45814</v>
      </c>
      <c r="C1253" t="str" cm="1">
        <f t="array" aca="1" ref="C1253" ca="1">_FV(A1253,"Ticker symbol",TRUE)</f>
        <v>PESI</v>
      </c>
      <c r="D1253" s="4">
        <v>9.9600000000000009</v>
      </c>
      <c r="E1253" s="50">
        <v>-80</v>
      </c>
      <c r="F1253" s="81">
        <f>IF(Table25[[#This Row],[Number of stocks]]&gt;0,Table25[[#This Row],[Number of stocks]],0)</f>
        <v>0</v>
      </c>
      <c r="G1253" s="73">
        <f>Table25[[#This Row],[Bought]]*Table25[[#This Row],[Price]]</f>
        <v>0</v>
      </c>
      <c r="H1253">
        <f>SUMIF(Table25[[#All],[Assets]],Table25[[#This Row],[Assets]],Table25[[#All],[Bought]])</f>
        <v>160</v>
      </c>
      <c r="I1253">
        <f>SUMIF(Table25[[#All],[Assets]],Table25[[#This Row],[Assets]],Table25[[#All],[Bought Amount]])</f>
        <v>2058.6</v>
      </c>
      <c r="J1253" s="88">
        <f>IF(Table25[[#This Row],[Number of stocks]]&lt;0,Table25[[#This Row],[Number of stocks]],0)</f>
        <v>-80</v>
      </c>
      <c r="K1253" s="5">
        <f>Table25[[#This Row],[Sold]]*Table25[[#This Row],[Price]]</f>
        <v>-796.80000000000007</v>
      </c>
      <c r="L1253" s="8">
        <f>ABS(SUMIF(Table25[[#All],[Assets]],Table25[[#This Row],[Assets]],Table25[[#All],[Sold]]))</f>
        <v>160</v>
      </c>
      <c r="M1253" s="5">
        <f>ABS(SUMIF(Table25[[#All],[Assets]],Table25[[#This Row],[Assets]],Table25[[#All],[Sold Amount]]))</f>
        <v>1773.6000000000001</v>
      </c>
      <c r="N1253" s="5">
        <f>IFERROR(Table25[[#This Row],[Total sold amount]]/Table25[[#This Row],[Total Sold number of stocks]],"")</f>
        <v>11.085000000000001</v>
      </c>
      <c r="O1253" s="4">
        <f>IFERROR(Table25[[#This Row],[Total Amount bought]]/Table25[[#This Row],[Total number bought]],"")</f>
        <v>12.866249999999999</v>
      </c>
      <c r="P1253" s="4">
        <f>IFERROR((Table25[[#This Row],[Average sell price]]-Table25[[#This Row],[Average buy price]])*Table25[[#This Row],[Total Sold number of stocks]],0)</f>
        <v>-284.99999999999972</v>
      </c>
      <c r="Q1253" s="85">
        <f>SUMIF(Table25[[#All],[Assets]],Table25[[#This Row],[Assets]],Table25[[#All],[Number of stocks]])</f>
        <v>0</v>
      </c>
    </row>
    <row r="1254" spans="1:17">
      <c r="A1254" t="e" vm="90">
        <v>#VALUE!</v>
      </c>
      <c r="B1254" s="2">
        <v>45814</v>
      </c>
      <c r="C1254" t="str" cm="1">
        <f t="array" aca="1" ref="C1254" ca="1">_FV(A1254,"Ticker symbol",TRUE)</f>
        <v>ASTS</v>
      </c>
      <c r="D1254" s="4">
        <v>29.97</v>
      </c>
      <c r="E1254" s="50">
        <v>1</v>
      </c>
      <c r="F1254" s="81">
        <f>IF(Table25[[#This Row],[Number of stocks]]&gt;0,Table25[[#This Row],[Number of stocks]],0)</f>
        <v>1</v>
      </c>
      <c r="G1254" s="73">
        <f>Table25[[#This Row],[Bought]]*Table25[[#This Row],[Price]]</f>
        <v>29.97</v>
      </c>
      <c r="H1254">
        <f>SUMIF(Table25[[#All],[Assets]],Table25[[#This Row],[Assets]],Table25[[#All],[Bought]])</f>
        <v>47</v>
      </c>
      <c r="I1254">
        <f>SUMIF(Table25[[#All],[Assets]],Table25[[#This Row],[Assets]],Table25[[#All],[Bought Amount]])</f>
        <v>1690.75</v>
      </c>
      <c r="J1254" s="88">
        <f>IF(Table25[[#This Row],[Number of stocks]]&lt;0,Table25[[#This Row],[Number of stocks]],0)</f>
        <v>0</v>
      </c>
      <c r="K1254" s="5">
        <f>Table25[[#This Row],[Sold]]*Table25[[#This Row],[Price]]</f>
        <v>0</v>
      </c>
      <c r="L1254" s="8">
        <f>ABS(SUMIF(Table25[[#All],[Assets]],Table25[[#This Row],[Assets]],Table25[[#All],[Sold]]))</f>
        <v>37</v>
      </c>
      <c r="M1254" s="5">
        <f>ABS(SUMIF(Table25[[#All],[Assets]],Table25[[#This Row],[Assets]],Table25[[#All],[Sold Amount]]))</f>
        <v>2479.08</v>
      </c>
      <c r="N1254" s="5">
        <f>IFERROR(Table25[[#This Row],[Total sold amount]]/Table25[[#This Row],[Total Sold number of stocks]],"")</f>
        <v>67.002162162162165</v>
      </c>
      <c r="O1254" s="4">
        <f>IFERROR(Table25[[#This Row],[Total Amount bought]]/Table25[[#This Row],[Total number bought]],"")</f>
        <v>35.973404255319146</v>
      </c>
      <c r="P1254" s="4">
        <f>IFERROR((Table25[[#This Row],[Average sell price]]-Table25[[#This Row],[Average buy price]])*Table25[[#This Row],[Total Sold number of stocks]],0)</f>
        <v>1148.0640425531917</v>
      </c>
      <c r="Q1254" s="85">
        <f>SUMIF(Table25[[#All],[Assets]],Table25[[#This Row],[Assets]],Table25[[#All],[Number of stocks]])</f>
        <v>10</v>
      </c>
    </row>
    <row r="1255" spans="1:17">
      <c r="A1255" t="e" vm="63">
        <v>#VALUE!</v>
      </c>
      <c r="B1255" s="2">
        <v>45818</v>
      </c>
      <c r="C1255" t="str" cm="1">
        <f t="array" aca="1" ref="C1255" ca="1">_FV(A1255,"Ticker symbol",TRUE)</f>
        <v>TSLA</v>
      </c>
      <c r="D1255" s="4">
        <v>316.51</v>
      </c>
      <c r="E1255" s="50">
        <v>-3</v>
      </c>
      <c r="F1255" s="81">
        <f>IF(Table25[[#This Row],[Number of stocks]]&gt;0,Table25[[#This Row],[Number of stocks]],0)</f>
        <v>0</v>
      </c>
      <c r="G1255" s="73">
        <f>Table25[[#This Row],[Bought]]*Table25[[#This Row],[Price]]</f>
        <v>0</v>
      </c>
      <c r="H1255">
        <f>SUMIF(Table25[[#All],[Assets]],Table25[[#This Row],[Assets]],Table25[[#All],[Bought]])</f>
        <v>13</v>
      </c>
      <c r="I1255">
        <f>SUMIF(Table25[[#All],[Assets]],Table25[[#This Row],[Assets]],Table25[[#All],[Bought Amount]])</f>
        <v>3484.85</v>
      </c>
      <c r="J1255" s="88">
        <f>IF(Table25[[#This Row],[Number of stocks]]&lt;0,Table25[[#This Row],[Number of stocks]],0)</f>
        <v>-3</v>
      </c>
      <c r="K1255" s="5">
        <f>Table25[[#This Row],[Sold]]*Table25[[#This Row],[Price]]</f>
        <v>-949.53</v>
      </c>
      <c r="L1255" s="8">
        <f>ABS(SUMIF(Table25[[#All],[Assets]],Table25[[#This Row],[Assets]],Table25[[#All],[Sold]]))</f>
        <v>13</v>
      </c>
      <c r="M1255" s="5">
        <f>ABS(SUMIF(Table25[[#All],[Assets]],Table25[[#This Row],[Assets]],Table25[[#All],[Sold Amount]]))</f>
        <v>4240.6299999999992</v>
      </c>
      <c r="N1255" s="5">
        <f>IFERROR(Table25[[#This Row],[Total sold amount]]/Table25[[#This Row],[Total Sold number of stocks]],"")</f>
        <v>326.20230769230761</v>
      </c>
      <c r="O1255" s="4">
        <f>IFERROR(Table25[[#This Row],[Total Amount bought]]/Table25[[#This Row],[Total number bought]],"")</f>
        <v>268.06538461538463</v>
      </c>
      <c r="P1255" s="4">
        <f>IFERROR((Table25[[#This Row],[Average sell price]]-Table25[[#This Row],[Average buy price]])*Table25[[#This Row],[Total Sold number of stocks]],0)</f>
        <v>755.77999999999884</v>
      </c>
      <c r="Q1255" s="85">
        <f>SUMIF(Table25[[#All],[Assets]],Table25[[#This Row],[Assets]],Table25[[#All],[Number of stocks]])</f>
        <v>0</v>
      </c>
    </row>
    <row r="1256" spans="1:17">
      <c r="A1256" t="e" vm="11">
        <v>#VALUE!</v>
      </c>
      <c r="B1256" s="2">
        <v>45818</v>
      </c>
      <c r="C1256" t="str" cm="1">
        <f t="array" aca="1" ref="C1256" ca="1">_FV(A1256,"Ticker symbol",TRUE)</f>
        <v>AMZN</v>
      </c>
      <c r="D1256" s="4">
        <v>215.88</v>
      </c>
      <c r="E1256" s="50">
        <v>3</v>
      </c>
      <c r="F1256" s="81">
        <f>IF(Table25[[#This Row],[Number of stocks]]&gt;0,Table25[[#This Row],[Number of stocks]],0)</f>
        <v>3</v>
      </c>
      <c r="G1256" s="73">
        <f>Table25[[#This Row],[Bought]]*Table25[[#This Row],[Price]]</f>
        <v>647.64</v>
      </c>
      <c r="H1256">
        <f>SUMIF(Table25[[#All],[Assets]],Table25[[#This Row],[Assets]],Table25[[#All],[Bought]])</f>
        <v>14</v>
      </c>
      <c r="I1256">
        <f>SUMIF(Table25[[#All],[Assets]],Table25[[#This Row],[Assets]],Table25[[#All],[Bought Amount]])</f>
        <v>2779.23</v>
      </c>
      <c r="J1256" s="88">
        <f>IF(Table25[[#This Row],[Number of stocks]]&lt;0,Table25[[#This Row],[Number of stocks]],0)</f>
        <v>0</v>
      </c>
      <c r="K1256" s="5">
        <f>Table25[[#This Row],[Sold]]*Table25[[#This Row],[Price]]</f>
        <v>0</v>
      </c>
      <c r="L1256" s="8">
        <f>ABS(SUMIF(Table25[[#All],[Assets]],Table25[[#This Row],[Assets]],Table25[[#All],[Sold]]))</f>
        <v>9</v>
      </c>
      <c r="M1256" s="5">
        <f>ABS(SUMIF(Table25[[#All],[Assets]],Table25[[#This Row],[Assets]],Table25[[#All],[Sold Amount]]))</f>
        <v>1854.81</v>
      </c>
      <c r="N1256" s="5">
        <f>IFERROR(Table25[[#This Row],[Total sold amount]]/Table25[[#This Row],[Total Sold number of stocks]],"")</f>
        <v>206.09</v>
      </c>
      <c r="O1256" s="4">
        <f>IFERROR(Table25[[#This Row],[Total Amount bought]]/Table25[[#This Row],[Total number bought]],"")</f>
        <v>198.51642857142858</v>
      </c>
      <c r="P1256" s="4">
        <f>IFERROR((Table25[[#This Row],[Average sell price]]-Table25[[#This Row],[Average buy price]])*Table25[[#This Row],[Total Sold number of stocks]],0)</f>
        <v>68.16214285714284</v>
      </c>
      <c r="Q1256" s="85">
        <f>SUMIF(Table25[[#All],[Assets]],Table25[[#This Row],[Assets]],Table25[[#All],[Number of stocks]])</f>
        <v>5</v>
      </c>
    </row>
    <row r="1257" spans="1:17">
      <c r="A1257" t="e" vm="73">
        <v>#VALUE!</v>
      </c>
      <c r="B1257" s="2">
        <v>45818</v>
      </c>
      <c r="C1257" t="str" cm="1">
        <f t="array" aca="1" ref="C1257" ca="1">_FV(A1257,"Ticker symbol",TRUE)</f>
        <v>NOTV</v>
      </c>
      <c r="D1257" s="4">
        <v>2.86</v>
      </c>
      <c r="E1257" s="50">
        <v>-663</v>
      </c>
      <c r="F1257" s="81">
        <f>IF(Table25[[#This Row],[Number of stocks]]&gt;0,Table25[[#This Row],[Number of stocks]],0)</f>
        <v>0</v>
      </c>
      <c r="G1257" s="73">
        <f>Table25[[#This Row],[Bought]]*Table25[[#This Row],[Price]]</f>
        <v>0</v>
      </c>
      <c r="H1257">
        <f>SUMIF(Table25[[#All],[Assets]],Table25[[#This Row],[Assets]],Table25[[#All],[Bought]])</f>
        <v>3556</v>
      </c>
      <c r="I1257">
        <f>SUMIF(Table25[[#All],[Assets]],Table25[[#This Row],[Assets]],Table25[[#All],[Bought Amount]])</f>
        <v>10249.890000000001</v>
      </c>
      <c r="J1257" s="88">
        <f>IF(Table25[[#This Row],[Number of stocks]]&lt;0,Table25[[#This Row],[Number of stocks]],0)</f>
        <v>-663</v>
      </c>
      <c r="K1257" s="5">
        <f>Table25[[#This Row],[Sold]]*Table25[[#This Row],[Price]]</f>
        <v>-1896.1799999999998</v>
      </c>
      <c r="L1257" s="8">
        <f>ABS(SUMIF(Table25[[#All],[Assets]],Table25[[#This Row],[Assets]],Table25[[#All],[Sold]]))</f>
        <v>2741</v>
      </c>
      <c r="M1257" s="5">
        <f>ABS(SUMIF(Table25[[#All],[Assets]],Table25[[#This Row],[Assets]],Table25[[#All],[Sold Amount]]))</f>
        <v>6559.66</v>
      </c>
      <c r="N1257" s="5">
        <f>IFERROR(Table25[[#This Row],[Total sold amount]]/Table25[[#This Row],[Total Sold number of stocks]],"")</f>
        <v>2.3931630791681866</v>
      </c>
      <c r="O1257" s="4">
        <f>IFERROR(Table25[[#This Row],[Total Amount bought]]/Table25[[#This Row],[Total number bought]],"")</f>
        <v>2.8824212598425198</v>
      </c>
      <c r="P1257" s="4">
        <f>IFERROR((Table25[[#This Row],[Average sell price]]-Table25[[#This Row],[Average buy price]])*Table25[[#This Row],[Total Sold number of stocks]],0)</f>
        <v>-1341.0566732283473</v>
      </c>
      <c r="Q1257" s="85">
        <f>SUMIF(Table25[[#All],[Assets]],Table25[[#This Row],[Assets]],Table25[[#All],[Number of stocks]])</f>
        <v>815</v>
      </c>
    </row>
    <row r="1258" spans="1:17">
      <c r="A1258" t="e" vm="32">
        <v>#VALUE!</v>
      </c>
      <c r="B1258" s="2">
        <v>45818</v>
      </c>
      <c r="C1258" t="str" cm="1">
        <f t="array" aca="1" ref="C1258" ca="1">_FV(A1258,"Ticker symbol",TRUE)</f>
        <v>MU</v>
      </c>
      <c r="D1258" s="4">
        <v>113.81</v>
      </c>
      <c r="E1258" s="50">
        <v>3</v>
      </c>
      <c r="F1258" s="81">
        <f>IF(Table25[[#This Row],[Number of stocks]]&gt;0,Table25[[#This Row],[Number of stocks]],0)</f>
        <v>3</v>
      </c>
      <c r="G1258" s="73">
        <f>Table25[[#This Row],[Bought]]*Table25[[#This Row],[Price]]</f>
        <v>341.43</v>
      </c>
      <c r="H1258">
        <f>SUMIF(Table25[[#All],[Assets]],Table25[[#This Row],[Assets]],Table25[[#All],[Bought]])</f>
        <v>59</v>
      </c>
      <c r="I1258">
        <f>SUMIF(Table25[[#All],[Assets]],Table25[[#This Row],[Assets]],Table25[[#All],[Bought Amount]])</f>
        <v>6964.04</v>
      </c>
      <c r="J1258" s="88">
        <f>IF(Table25[[#This Row],[Number of stocks]]&lt;0,Table25[[#This Row],[Number of stocks]],0)</f>
        <v>0</v>
      </c>
      <c r="K1258" s="5">
        <f>Table25[[#This Row],[Sold]]*Table25[[#This Row],[Price]]</f>
        <v>0</v>
      </c>
      <c r="L1258" s="8">
        <f>ABS(SUMIF(Table25[[#All],[Assets]],Table25[[#This Row],[Assets]],Table25[[#All],[Sold]]))</f>
        <v>58</v>
      </c>
      <c r="M1258" s="5">
        <f>ABS(SUMIF(Table25[[#All],[Assets]],Table25[[#This Row],[Assets]],Table25[[#All],[Sold Amount]]))</f>
        <v>6974.51</v>
      </c>
      <c r="N1258" s="5">
        <f>IFERROR(Table25[[#This Row],[Total sold amount]]/Table25[[#This Row],[Total Sold number of stocks]],"")</f>
        <v>120.25017241379311</v>
      </c>
      <c r="O1258" s="4">
        <f>IFERROR(Table25[[#This Row],[Total Amount bought]]/Table25[[#This Row],[Total number bought]],"")</f>
        <v>118.03457627118644</v>
      </c>
      <c r="P1258" s="4">
        <f>IFERROR((Table25[[#This Row],[Average sell price]]-Table25[[#This Row],[Average buy price]])*Table25[[#This Row],[Total Sold number of stocks]],0)</f>
        <v>128.50457627118692</v>
      </c>
      <c r="Q1258" s="85">
        <f>SUMIF(Table25[[#All],[Assets]],Table25[[#This Row],[Assets]],Table25[[#All],[Number of stocks]])</f>
        <v>1</v>
      </c>
    </row>
    <row r="1259" spans="1:17">
      <c r="A1259" t="e" vm="227">
        <v>#VALUE!</v>
      </c>
      <c r="B1259" s="2">
        <v>45818</v>
      </c>
      <c r="C1259" t="str" cm="1">
        <f t="array" aca="1" ref="C1259" ca="1">_FV(A1259,"Ticker symbol",TRUE)</f>
        <v>DFDV</v>
      </c>
      <c r="D1259" s="4">
        <v>26.38</v>
      </c>
      <c r="E1259" s="50">
        <v>-14</v>
      </c>
      <c r="F1259" s="81">
        <f>IF(Table25[[#This Row],[Number of stocks]]&gt;0,Table25[[#This Row],[Number of stocks]],0)</f>
        <v>0</v>
      </c>
      <c r="G1259" s="73">
        <f>Table25[[#This Row],[Bought]]*Table25[[#This Row],[Price]]</f>
        <v>0</v>
      </c>
      <c r="H1259">
        <f>SUMIF(Table25[[#All],[Assets]],Table25[[#This Row],[Assets]],Table25[[#All],[Bought]])</f>
        <v>387</v>
      </c>
      <c r="I1259">
        <f>SUMIF(Table25[[#All],[Assets]],Table25[[#This Row],[Assets]],Table25[[#All],[Bought Amount]])</f>
        <v>6522.1182600000002</v>
      </c>
      <c r="J1259" s="88">
        <f>IF(Table25[[#This Row],[Number of stocks]]&lt;0,Table25[[#This Row],[Number of stocks]],0)</f>
        <v>-14</v>
      </c>
      <c r="K1259" s="5">
        <f>Table25[[#This Row],[Sold]]*Table25[[#This Row],[Price]]</f>
        <v>-369.32</v>
      </c>
      <c r="L1259" s="8">
        <f>ABS(SUMIF(Table25[[#All],[Assets]],Table25[[#This Row],[Assets]],Table25[[#All],[Sold]]))</f>
        <v>387</v>
      </c>
      <c r="M1259" s="5">
        <f>ABS(SUMIF(Table25[[#All],[Assets]],Table25[[#This Row],[Assets]],Table25[[#All],[Sold Amount]]))</f>
        <v>7242.64</v>
      </c>
      <c r="N1259" s="5">
        <f>IFERROR(Table25[[#This Row],[Total sold amount]]/Table25[[#This Row],[Total Sold number of stocks]],"")</f>
        <v>18.714832041343669</v>
      </c>
      <c r="O1259" s="4">
        <f>IFERROR(Table25[[#This Row],[Total Amount bought]]/Table25[[#This Row],[Total number bought]],"")</f>
        <v>16.853018759689924</v>
      </c>
      <c r="P1259" s="4">
        <f>IFERROR((Table25[[#This Row],[Average sell price]]-Table25[[#This Row],[Average buy price]])*Table25[[#This Row],[Total Sold number of stocks]],0)</f>
        <v>720.52173999999945</v>
      </c>
      <c r="Q1259" s="85">
        <f>SUMIF(Table25[[#All],[Assets]],Table25[[#This Row],[Assets]],Table25[[#All],[Number of stocks]])</f>
        <v>0</v>
      </c>
    </row>
    <row r="1260" spans="1:17">
      <c r="A1260" t="e" vm="17">
        <v>#VALUE!</v>
      </c>
      <c r="B1260" s="2">
        <v>45820</v>
      </c>
      <c r="C1260" t="str" cm="1">
        <f t="array" aca="1" ref="C1260" ca="1">_FV(A1260,"Ticker symbol",TRUE)</f>
        <v>VPG</v>
      </c>
      <c r="D1260" s="4">
        <v>26.77</v>
      </c>
      <c r="E1260" s="50">
        <v>5</v>
      </c>
      <c r="F1260" s="81">
        <f>IF(Table25[[#This Row],[Number of stocks]]&gt;0,Table25[[#This Row],[Number of stocks]],0)</f>
        <v>5</v>
      </c>
      <c r="G1260" s="73">
        <f>Table25[[#This Row],[Bought]]*Table25[[#This Row],[Price]]</f>
        <v>133.85</v>
      </c>
      <c r="H1260">
        <f>SUMIF(Table25[[#All],[Assets]],Table25[[#This Row],[Assets]],Table25[[#All],[Bought]])</f>
        <v>23</v>
      </c>
      <c r="I1260">
        <f>SUMIF(Table25[[#All],[Assets]],Table25[[#This Row],[Assets]],Table25[[#All],[Bought Amount]])</f>
        <v>604.01</v>
      </c>
      <c r="J1260" s="88">
        <f>IF(Table25[[#This Row],[Number of stocks]]&lt;0,Table25[[#This Row],[Number of stocks]],0)</f>
        <v>0</v>
      </c>
      <c r="K1260" s="5">
        <f>Table25[[#This Row],[Sold]]*Table25[[#This Row],[Price]]</f>
        <v>0</v>
      </c>
      <c r="L1260" s="8">
        <f>ABS(SUMIF(Table25[[#All],[Assets]],Table25[[#This Row],[Assets]],Table25[[#All],[Sold]]))</f>
        <v>23</v>
      </c>
      <c r="M1260" s="5">
        <f>ABS(SUMIF(Table25[[#All],[Assets]],Table25[[#This Row],[Assets]],Table25[[#All],[Sold Amount]]))</f>
        <v>629.05000000000007</v>
      </c>
      <c r="N1260" s="5">
        <f>IFERROR(Table25[[#This Row],[Total sold amount]]/Table25[[#This Row],[Total Sold number of stocks]],"")</f>
        <v>27.35</v>
      </c>
      <c r="O1260" s="4">
        <f>IFERROR(Table25[[#This Row],[Total Amount bought]]/Table25[[#This Row],[Total number bought]],"")</f>
        <v>26.261304347826087</v>
      </c>
      <c r="P1260" s="4">
        <f>IFERROR((Table25[[#This Row],[Average sell price]]-Table25[[#This Row],[Average buy price]])*Table25[[#This Row],[Total Sold number of stocks]],0)</f>
        <v>25.040000000000031</v>
      </c>
      <c r="Q1260" s="85">
        <f>SUMIF(Table25[[#All],[Assets]],Table25[[#This Row],[Assets]],Table25[[#All],[Number of stocks]])</f>
        <v>0</v>
      </c>
    </row>
    <row r="1261" spans="1:17">
      <c r="A1261" t="e" vm="211">
        <v>#VALUE!</v>
      </c>
      <c r="B1261" s="2">
        <v>45820</v>
      </c>
      <c r="C1261" t="str" cm="1">
        <f t="array" aca="1" ref="C1261" ca="1">_FV(A1261,"Ticker symbol",TRUE)</f>
        <v>GME</v>
      </c>
      <c r="D1261" s="4">
        <v>21.56</v>
      </c>
      <c r="E1261" s="50">
        <v>-100</v>
      </c>
      <c r="F1261" s="81">
        <f>IF(Table25[[#This Row],[Number of stocks]]&gt;0,Table25[[#This Row],[Number of stocks]],0)</f>
        <v>0</v>
      </c>
      <c r="G1261" s="73">
        <f>Table25[[#This Row],[Bought]]*Table25[[#This Row],[Price]]</f>
        <v>0</v>
      </c>
      <c r="H1261">
        <f>SUMIF(Table25[[#All],[Assets]],Table25[[#This Row],[Assets]],Table25[[#All],[Bought]])</f>
        <v>207</v>
      </c>
      <c r="I1261">
        <f>SUMIF(Table25[[#All],[Assets]],Table25[[#This Row],[Assets]],Table25[[#All],[Bought Amount]])</f>
        <v>5127.2700000000004</v>
      </c>
      <c r="J1261" s="88">
        <f>IF(Table25[[#This Row],[Number of stocks]]&lt;0,Table25[[#This Row],[Number of stocks]],0)</f>
        <v>-100</v>
      </c>
      <c r="K1261" s="5">
        <f>Table25[[#This Row],[Sold]]*Table25[[#This Row],[Price]]</f>
        <v>-2156</v>
      </c>
      <c r="L1261" s="8">
        <f>ABS(SUMIF(Table25[[#All],[Assets]],Table25[[#This Row],[Assets]],Table25[[#All],[Sold]]))</f>
        <v>181</v>
      </c>
      <c r="M1261" s="5">
        <f>ABS(SUMIF(Table25[[#All],[Assets]],Table25[[#This Row],[Assets]],Table25[[#All],[Sold Amount]]))</f>
        <v>4186.9799999999996</v>
      </c>
      <c r="N1261" s="5">
        <f>IFERROR(Table25[[#This Row],[Total sold amount]]/Table25[[#This Row],[Total Sold number of stocks]],"")</f>
        <v>23.132486187845302</v>
      </c>
      <c r="O1261" s="4">
        <f>IFERROR(Table25[[#This Row],[Total Amount bought]]/Table25[[#This Row],[Total number bought]],"")</f>
        <v>24.769420289855073</v>
      </c>
      <c r="P1261" s="4">
        <f>IFERROR((Table25[[#This Row],[Average sell price]]-Table25[[#This Row],[Average buy price]])*Table25[[#This Row],[Total Sold number of stocks]],0)</f>
        <v>-296.28507246376864</v>
      </c>
      <c r="Q1261" s="85">
        <f>SUMIF(Table25[[#All],[Assets]],Table25[[#This Row],[Assets]],Table25[[#All],[Number of stocks]])</f>
        <v>26</v>
      </c>
    </row>
    <row r="1262" spans="1:17">
      <c r="A1262" t="e" vm="6">
        <v>#VALUE!</v>
      </c>
      <c r="B1262" s="2">
        <v>45820</v>
      </c>
      <c r="C1262" t="str" cm="1">
        <f t="array" aca="1" ref="C1262" ca="1">_FV(A1262,"Ticker symbol",TRUE)</f>
        <v>KTOS</v>
      </c>
      <c r="D1262" s="4">
        <v>40.950000000000003</v>
      </c>
      <c r="E1262" s="50">
        <v>50</v>
      </c>
      <c r="F1262" s="81">
        <f>IF(Table25[[#This Row],[Number of stocks]]&gt;0,Table25[[#This Row],[Number of stocks]],0)</f>
        <v>50</v>
      </c>
      <c r="G1262" s="73">
        <f>Table25[[#This Row],[Bought]]*Table25[[#This Row],[Price]]</f>
        <v>2047.5000000000002</v>
      </c>
      <c r="H1262">
        <f>SUMIF(Table25[[#All],[Assets]],Table25[[#This Row],[Assets]],Table25[[#All],[Bought]])</f>
        <v>121</v>
      </c>
      <c r="I1262">
        <f>SUMIF(Table25[[#All],[Assets]],Table25[[#This Row],[Assets]],Table25[[#All],[Bought Amount]])</f>
        <v>3826.76</v>
      </c>
      <c r="J1262" s="88">
        <f>IF(Table25[[#This Row],[Number of stocks]]&lt;0,Table25[[#This Row],[Number of stocks]],0)</f>
        <v>0</v>
      </c>
      <c r="K1262" s="5">
        <f>Table25[[#This Row],[Sold]]*Table25[[#This Row],[Price]]</f>
        <v>0</v>
      </c>
      <c r="L1262" s="8">
        <f>ABS(SUMIF(Table25[[#All],[Assets]],Table25[[#This Row],[Assets]],Table25[[#All],[Sold]]))</f>
        <v>121</v>
      </c>
      <c r="M1262" s="5">
        <f>ABS(SUMIF(Table25[[#All],[Assets]],Table25[[#This Row],[Assets]],Table25[[#All],[Sold Amount]]))</f>
        <v>8971.93</v>
      </c>
      <c r="N1262" s="5">
        <f>IFERROR(Table25[[#This Row],[Total sold amount]]/Table25[[#This Row],[Total Sold number of stocks]],"")</f>
        <v>74.148181818181826</v>
      </c>
      <c r="O1262" s="4">
        <f>IFERROR(Table25[[#This Row],[Total Amount bought]]/Table25[[#This Row],[Total number bought]],"")</f>
        <v>31.626115702479339</v>
      </c>
      <c r="P1262" s="4">
        <f>IFERROR((Table25[[#This Row],[Average sell price]]-Table25[[#This Row],[Average buy price]])*Table25[[#This Row],[Total Sold number of stocks]],0)</f>
        <v>5145.170000000001</v>
      </c>
      <c r="Q1262" s="85">
        <f>SUMIF(Table25[[#All],[Assets]],Table25[[#This Row],[Assets]],Table25[[#All],[Number of stocks]])</f>
        <v>0</v>
      </c>
    </row>
    <row r="1263" spans="1:17">
      <c r="A1263" t="e" vm="227">
        <v>#VALUE!</v>
      </c>
      <c r="B1263" s="2">
        <v>45820</v>
      </c>
      <c r="C1263" t="str" cm="1">
        <f t="array" aca="1" ref="C1263" ca="1">_FV(A1263,"Ticker symbol",TRUE)</f>
        <v>DFDV</v>
      </c>
      <c r="D1263" s="4">
        <v>31.08</v>
      </c>
      <c r="E1263" s="50">
        <v>-43</v>
      </c>
      <c r="F1263" s="81">
        <f>IF(Table25[[#This Row],[Number of stocks]]&gt;0,Table25[[#This Row],[Number of stocks]],0)</f>
        <v>0</v>
      </c>
      <c r="G1263" s="73">
        <f>Table25[[#This Row],[Bought]]*Table25[[#This Row],[Price]]</f>
        <v>0</v>
      </c>
      <c r="H1263">
        <f>SUMIF(Table25[[#All],[Assets]],Table25[[#This Row],[Assets]],Table25[[#All],[Bought]])</f>
        <v>387</v>
      </c>
      <c r="I1263">
        <f>SUMIF(Table25[[#All],[Assets]],Table25[[#This Row],[Assets]],Table25[[#All],[Bought Amount]])</f>
        <v>6522.1182600000002</v>
      </c>
      <c r="J1263" s="88">
        <f>IF(Table25[[#This Row],[Number of stocks]]&lt;0,Table25[[#This Row],[Number of stocks]],0)</f>
        <v>-43</v>
      </c>
      <c r="K1263" s="5">
        <f>Table25[[#This Row],[Sold]]*Table25[[#This Row],[Price]]</f>
        <v>-1336.4399999999998</v>
      </c>
      <c r="L1263" s="8">
        <f>ABS(SUMIF(Table25[[#All],[Assets]],Table25[[#This Row],[Assets]],Table25[[#All],[Sold]]))</f>
        <v>387</v>
      </c>
      <c r="M1263" s="5">
        <f>ABS(SUMIF(Table25[[#All],[Assets]],Table25[[#This Row],[Assets]],Table25[[#All],[Sold Amount]]))</f>
        <v>7242.64</v>
      </c>
      <c r="N1263" s="5">
        <f>IFERROR(Table25[[#This Row],[Total sold amount]]/Table25[[#This Row],[Total Sold number of stocks]],"")</f>
        <v>18.714832041343669</v>
      </c>
      <c r="O1263" s="4">
        <f>IFERROR(Table25[[#This Row],[Total Amount bought]]/Table25[[#This Row],[Total number bought]],"")</f>
        <v>16.853018759689924</v>
      </c>
      <c r="P1263" s="4">
        <f>IFERROR((Table25[[#This Row],[Average sell price]]-Table25[[#This Row],[Average buy price]])*Table25[[#This Row],[Total Sold number of stocks]],0)</f>
        <v>720.52173999999945</v>
      </c>
      <c r="Q1263" s="85">
        <f>SUMIF(Table25[[#All],[Assets]],Table25[[#This Row],[Assets]],Table25[[#All],[Number of stocks]])</f>
        <v>0</v>
      </c>
    </row>
    <row r="1264" spans="1:17">
      <c r="A1264" t="e" vm="21">
        <v>#VALUE!</v>
      </c>
      <c r="B1264" s="2">
        <v>45820</v>
      </c>
      <c r="C1264" t="str" cm="1">
        <f t="array" aca="1" ref="C1264" ca="1">_FV(A1264,"Ticker symbol",TRUE)</f>
        <v>INTC</v>
      </c>
      <c r="D1264" s="4">
        <v>20.79</v>
      </c>
      <c r="E1264" s="50">
        <v>50</v>
      </c>
      <c r="F1264" s="81">
        <f>IF(Table25[[#This Row],[Number of stocks]]&gt;0,Table25[[#This Row],[Number of stocks]],0)</f>
        <v>50</v>
      </c>
      <c r="G1264" s="73">
        <f>Table25[[#This Row],[Bought]]*Table25[[#This Row],[Price]]</f>
        <v>1039.5</v>
      </c>
      <c r="H1264">
        <f>SUMIF(Table25[[#All],[Assets]],Table25[[#This Row],[Assets]],Table25[[#All],[Bought]])</f>
        <v>334.73663899999997</v>
      </c>
      <c r="I1264">
        <f>SUMIF(Table25[[#All],[Assets]],Table25[[#This Row],[Assets]],Table25[[#All],[Bought Amount]])</f>
        <v>9755.9173948600001</v>
      </c>
      <c r="J1264" s="88">
        <f>IF(Table25[[#This Row],[Number of stocks]]&lt;0,Table25[[#This Row],[Number of stocks]],0)</f>
        <v>0</v>
      </c>
      <c r="K1264" s="5">
        <f>Table25[[#This Row],[Sold]]*Table25[[#This Row],[Price]]</f>
        <v>0</v>
      </c>
      <c r="L1264" s="8">
        <f>ABS(SUMIF(Table25[[#All],[Assets]],Table25[[#This Row],[Assets]],Table25[[#All],[Sold]]))</f>
        <v>334.74</v>
      </c>
      <c r="M1264" s="5">
        <f>ABS(SUMIF(Table25[[#All],[Assets]],Table25[[#This Row],[Assets]],Table25[[#All],[Sold Amount]]))</f>
        <v>7909.2053999999998</v>
      </c>
      <c r="N1264" s="5">
        <f>IFERROR(Table25[[#This Row],[Total sold amount]]/Table25[[#This Row],[Total Sold number of stocks]],"")</f>
        <v>23.627906434844952</v>
      </c>
      <c r="O1264" s="4">
        <f>IFERROR(Table25[[#This Row],[Total Amount bought]]/Table25[[#This Row],[Total number bought]],"")</f>
        <v>29.145053926588542</v>
      </c>
      <c r="P1264" s="4">
        <f>IFERROR((Table25[[#This Row],[Average sell price]]-Table25[[#This Row],[Average buy price]])*Table25[[#This Row],[Total Sold number of stocks]],0)</f>
        <v>-1846.8099513862492</v>
      </c>
      <c r="Q1264" s="85">
        <f>SUMIF(Table25[[#All],[Assets]],Table25[[#This Row],[Assets]],Table25[[#All],[Number of stocks]])</f>
        <v>-3.3610000000123819E-3</v>
      </c>
    </row>
    <row r="1265" spans="1:17">
      <c r="A1265" t="e" vm="37">
        <v>#VALUE!</v>
      </c>
      <c r="B1265" s="2">
        <v>45820</v>
      </c>
      <c r="C1265" t="str" cm="1">
        <f t="array" aca="1" ref="C1265" ca="1">_FV(A1265,"Ticker symbol",TRUE)</f>
        <v>AMD</v>
      </c>
      <c r="D1265" s="4">
        <v>118.85</v>
      </c>
      <c r="E1265" s="50">
        <v>2</v>
      </c>
      <c r="F1265" s="81">
        <f>IF(Table25[[#This Row],[Number of stocks]]&gt;0,Table25[[#This Row],[Number of stocks]],0)</f>
        <v>2</v>
      </c>
      <c r="G1265" s="73">
        <f>Table25[[#This Row],[Bought]]*Table25[[#This Row],[Price]]</f>
        <v>237.7</v>
      </c>
      <c r="H1265">
        <f>SUMIF(Table25[[#All],[Assets]],Table25[[#This Row],[Assets]],Table25[[#All],[Bought]])</f>
        <v>41</v>
      </c>
      <c r="I1265">
        <f>SUMIF(Table25[[#All],[Assets]],Table25[[#This Row],[Assets]],Table25[[#All],[Bought Amount]])</f>
        <v>5552.8399999999992</v>
      </c>
      <c r="J1265" s="88">
        <f>IF(Table25[[#This Row],[Number of stocks]]&lt;0,Table25[[#This Row],[Number of stocks]],0)</f>
        <v>0</v>
      </c>
      <c r="K1265" s="5">
        <f>Table25[[#This Row],[Sold]]*Table25[[#This Row],[Price]]</f>
        <v>0</v>
      </c>
      <c r="L1265" s="8">
        <f>ABS(SUMIF(Table25[[#All],[Assets]],Table25[[#This Row],[Assets]],Table25[[#All],[Sold]]))</f>
        <v>23</v>
      </c>
      <c r="M1265" s="5">
        <f>ABS(SUMIF(Table25[[#All],[Assets]],Table25[[#This Row],[Assets]],Table25[[#All],[Sold Amount]]))</f>
        <v>3203.4199999999996</v>
      </c>
      <c r="N1265" s="5">
        <f>IFERROR(Table25[[#This Row],[Total sold amount]]/Table25[[#This Row],[Total Sold number of stocks]],"")</f>
        <v>139.27913043478259</v>
      </c>
      <c r="O1265" s="4">
        <f>IFERROR(Table25[[#This Row],[Total Amount bought]]/Table25[[#This Row],[Total number bought]],"")</f>
        <v>135.43512195121949</v>
      </c>
      <c r="P1265" s="4">
        <f>IFERROR((Table25[[#This Row],[Average sell price]]-Table25[[#This Row],[Average buy price]])*Table25[[#This Row],[Total Sold number of stocks]],0)</f>
        <v>88.412195121951328</v>
      </c>
      <c r="Q1265" s="85">
        <f>SUMIF(Table25[[#All],[Assets]],Table25[[#This Row],[Assets]],Table25[[#All],[Number of stocks]])</f>
        <v>18</v>
      </c>
    </row>
    <row r="1266" spans="1:17">
      <c r="A1266" t="e" vm="74">
        <v>#VALUE!</v>
      </c>
      <c r="B1266" s="2">
        <v>45821</v>
      </c>
      <c r="C1266" t="str" cm="1">
        <f t="array" aca="1" ref="C1266" ca="1">_FV(A1266,"Ticker symbol",TRUE)</f>
        <v>XGN</v>
      </c>
      <c r="D1266" s="4">
        <v>6.96</v>
      </c>
      <c r="E1266" s="50">
        <v>60</v>
      </c>
      <c r="F1266" s="81">
        <f>IF(Table25[[#This Row],[Number of stocks]]&gt;0,Table25[[#This Row],[Number of stocks]],0)</f>
        <v>60</v>
      </c>
      <c r="G1266" s="73">
        <f>Table25[[#This Row],[Bought]]*Table25[[#This Row],[Price]]</f>
        <v>417.6</v>
      </c>
      <c r="H1266">
        <f>SUMIF(Table25[[#All],[Assets]],Table25[[#This Row],[Assets]],Table25[[#All],[Bought]])</f>
        <v>249</v>
      </c>
      <c r="I1266">
        <f>SUMIF(Table25[[#All],[Assets]],Table25[[#This Row],[Assets]],Table25[[#All],[Bought Amount]])</f>
        <v>1807.8</v>
      </c>
      <c r="J1266" s="88">
        <f>IF(Table25[[#This Row],[Number of stocks]]&lt;0,Table25[[#This Row],[Number of stocks]],0)</f>
        <v>0</v>
      </c>
      <c r="K1266" s="5">
        <f>Table25[[#This Row],[Sold]]*Table25[[#This Row],[Price]]</f>
        <v>0</v>
      </c>
      <c r="L1266" s="8">
        <f>ABS(SUMIF(Table25[[#All],[Assets]],Table25[[#This Row],[Assets]],Table25[[#All],[Sold]]))</f>
        <v>249</v>
      </c>
      <c r="M1266" s="5">
        <f>ABS(SUMIF(Table25[[#All],[Assets]],Table25[[#This Row],[Assets]],Table25[[#All],[Sold Amount]]))</f>
        <v>2313.8000000000002</v>
      </c>
      <c r="N1266" s="5">
        <f>IFERROR(Table25[[#This Row],[Total sold amount]]/Table25[[#This Row],[Total Sold number of stocks]],"")</f>
        <v>9.292369477911647</v>
      </c>
      <c r="O1266" s="4">
        <f>IFERROR(Table25[[#This Row],[Total Amount bought]]/Table25[[#This Row],[Total number bought]],"")</f>
        <v>7.2602409638554217</v>
      </c>
      <c r="P1266" s="4">
        <f>IFERROR((Table25[[#This Row],[Average sell price]]-Table25[[#This Row],[Average buy price]])*Table25[[#This Row],[Total Sold number of stocks]],0)</f>
        <v>506.00000000000011</v>
      </c>
      <c r="Q1266" s="85">
        <f>SUMIF(Table25[[#All],[Assets]],Table25[[#This Row],[Assets]],Table25[[#All],[Number of stocks]])</f>
        <v>0</v>
      </c>
    </row>
    <row r="1267" spans="1:17">
      <c r="A1267" t="e" vm="14">
        <v>#VALUE!</v>
      </c>
      <c r="B1267" s="2">
        <v>45824</v>
      </c>
      <c r="C1267" t="str" cm="1">
        <f t="array" aca="1" ref="C1267" ca="1">_FV(A1267,"Ticker symbol",TRUE)</f>
        <v>NVTS</v>
      </c>
      <c r="D1267" s="4">
        <v>7.66</v>
      </c>
      <c r="E1267" s="50">
        <v>-30</v>
      </c>
      <c r="F1267" s="81">
        <f>IF(Table25[[#This Row],[Number of stocks]]&gt;0,Table25[[#This Row],[Number of stocks]],0)</f>
        <v>0</v>
      </c>
      <c r="G1267" s="73">
        <f>Table25[[#This Row],[Bought]]*Table25[[#This Row],[Price]]</f>
        <v>0</v>
      </c>
      <c r="H1267">
        <f>SUMIF(Table25[[#All],[Assets]],Table25[[#This Row],[Assets]],Table25[[#All],[Bought]])</f>
        <v>453</v>
      </c>
      <c r="I1267">
        <f>SUMIF(Table25[[#All],[Assets]],Table25[[#This Row],[Assets]],Table25[[#All],[Bought Amount]])</f>
        <v>1878.11</v>
      </c>
      <c r="J1267" s="88">
        <f>IF(Table25[[#This Row],[Number of stocks]]&lt;0,Table25[[#This Row],[Number of stocks]],0)</f>
        <v>-30</v>
      </c>
      <c r="K1267" s="5">
        <f>Table25[[#This Row],[Sold]]*Table25[[#This Row],[Price]]</f>
        <v>-229.8</v>
      </c>
      <c r="L1267" s="8">
        <f>ABS(SUMIF(Table25[[#All],[Assets]],Table25[[#This Row],[Assets]],Table25[[#All],[Sold]]))</f>
        <v>410</v>
      </c>
      <c r="M1267" s="5">
        <f>ABS(SUMIF(Table25[[#All],[Assets]],Table25[[#This Row],[Assets]],Table25[[#All],[Sold Amount]]))</f>
        <v>1286.2</v>
      </c>
      <c r="N1267" s="5">
        <f>IFERROR(Table25[[#This Row],[Total sold amount]]/Table25[[#This Row],[Total Sold number of stocks]],"")</f>
        <v>3.1370731707317074</v>
      </c>
      <c r="O1267" s="4">
        <f>IFERROR(Table25[[#This Row],[Total Amount bought]]/Table25[[#This Row],[Total number bought]],"")</f>
        <v>4.1459381898454746</v>
      </c>
      <c r="P1267" s="4">
        <f>IFERROR((Table25[[#This Row],[Average sell price]]-Table25[[#This Row],[Average buy price]])*Table25[[#This Row],[Total Sold number of stocks]],0)</f>
        <v>-413.63465783664452</v>
      </c>
      <c r="Q1267" s="85">
        <f>SUMIF(Table25[[#All],[Assets]],Table25[[#This Row],[Assets]],Table25[[#All],[Number of stocks]])</f>
        <v>43</v>
      </c>
    </row>
    <row r="1268" spans="1:17">
      <c r="A1268" t="e" vm="255">
        <v>#VALUE!</v>
      </c>
      <c r="B1268" s="2">
        <v>45824</v>
      </c>
      <c r="C1268" t="str" cm="1">
        <f t="array" aca="1" ref="C1268" ca="1">_FV(A1268,"Ticker symbol",TRUE)</f>
        <v>RDNT</v>
      </c>
      <c r="D1268" s="4">
        <v>56.25</v>
      </c>
      <c r="E1268" s="50">
        <v>-10</v>
      </c>
      <c r="F1268" s="81">
        <f>IF(Table25[[#This Row],[Number of stocks]]&gt;0,Table25[[#This Row],[Number of stocks]],0)</f>
        <v>0</v>
      </c>
      <c r="G1268" s="73">
        <f>Table25[[#This Row],[Bought]]*Table25[[#This Row],[Price]]</f>
        <v>0</v>
      </c>
      <c r="H1268">
        <f>SUMIF(Table25[[#All],[Assets]],Table25[[#This Row],[Assets]],Table25[[#All],[Bought]])</f>
        <v>10</v>
      </c>
      <c r="I1268">
        <f>SUMIF(Table25[[#All],[Assets]],Table25[[#This Row],[Assets]],Table25[[#All],[Bought Amount]])</f>
        <v>497.29999999999995</v>
      </c>
      <c r="J1268" s="88">
        <f>IF(Table25[[#This Row],[Number of stocks]]&lt;0,Table25[[#This Row],[Number of stocks]],0)</f>
        <v>-10</v>
      </c>
      <c r="K1268" s="5">
        <f>Table25[[#This Row],[Sold]]*Table25[[#This Row],[Price]]</f>
        <v>-562.5</v>
      </c>
      <c r="L1268" s="8">
        <f>ABS(SUMIF(Table25[[#All],[Assets]],Table25[[#This Row],[Assets]],Table25[[#All],[Sold]]))</f>
        <v>10</v>
      </c>
      <c r="M1268" s="5">
        <f>ABS(SUMIF(Table25[[#All],[Assets]],Table25[[#This Row],[Assets]],Table25[[#All],[Sold Amount]]))</f>
        <v>562.5</v>
      </c>
      <c r="N1268" s="5">
        <f>IFERROR(Table25[[#This Row],[Total sold amount]]/Table25[[#This Row],[Total Sold number of stocks]],"")</f>
        <v>56.25</v>
      </c>
      <c r="O1268" s="4">
        <f>IFERROR(Table25[[#This Row],[Total Amount bought]]/Table25[[#This Row],[Total number bought]],"")</f>
        <v>49.73</v>
      </c>
      <c r="P1268" s="4">
        <f>IFERROR((Table25[[#This Row],[Average sell price]]-Table25[[#This Row],[Average buy price]])*Table25[[#This Row],[Total Sold number of stocks]],0)</f>
        <v>65.200000000000031</v>
      </c>
      <c r="Q1268" s="85">
        <f>SUMIF(Table25[[#All],[Assets]],Table25[[#This Row],[Assets]],Table25[[#All],[Number of stocks]])</f>
        <v>0</v>
      </c>
    </row>
    <row r="1269" spans="1:17">
      <c r="A1269" t="e" vm="10">
        <v>#VALUE!</v>
      </c>
      <c r="B1269" s="2">
        <v>45824</v>
      </c>
      <c r="C1269" t="str" cm="1">
        <f t="array" aca="1" ref="C1269" ca="1">_FV(A1269,"Ticker symbol",TRUE)</f>
        <v>ESLT</v>
      </c>
      <c r="D1269" s="4">
        <v>458</v>
      </c>
      <c r="E1269" s="50">
        <v>1</v>
      </c>
      <c r="F1269" s="81">
        <f>IF(Table25[[#This Row],[Number of stocks]]&gt;0,Table25[[#This Row],[Number of stocks]],0)</f>
        <v>1</v>
      </c>
      <c r="G1269" s="73">
        <f>Table25[[#This Row],[Bought]]*Table25[[#This Row],[Price]]</f>
        <v>458</v>
      </c>
      <c r="H1269">
        <f>SUMIF(Table25[[#All],[Assets]],Table25[[#This Row],[Assets]],Table25[[#All],[Bought]])</f>
        <v>2</v>
      </c>
      <c r="I1269">
        <f>SUMIF(Table25[[#All],[Assets]],Table25[[#This Row],[Assets]],Table25[[#All],[Bought Amount]])</f>
        <v>635.72</v>
      </c>
      <c r="J1269" s="88">
        <f>IF(Table25[[#This Row],[Number of stocks]]&lt;0,Table25[[#This Row],[Number of stocks]],0)</f>
        <v>0</v>
      </c>
      <c r="K1269" s="5">
        <f>Table25[[#This Row],[Sold]]*Table25[[#This Row],[Price]]</f>
        <v>0</v>
      </c>
      <c r="L1269" s="8">
        <f>ABS(SUMIF(Table25[[#All],[Assets]],Table25[[#This Row],[Assets]],Table25[[#All],[Sold]]))</f>
        <v>2</v>
      </c>
      <c r="M1269" s="5">
        <f>ABS(SUMIF(Table25[[#All],[Assets]],Table25[[#This Row],[Assets]],Table25[[#All],[Sold Amount]]))</f>
        <v>637.45000000000005</v>
      </c>
      <c r="N1269" s="5">
        <f>IFERROR(Table25[[#This Row],[Total sold amount]]/Table25[[#This Row],[Total Sold number of stocks]],"")</f>
        <v>318.72500000000002</v>
      </c>
      <c r="O1269" s="4">
        <f>IFERROR(Table25[[#This Row],[Total Amount bought]]/Table25[[#This Row],[Total number bought]],"")</f>
        <v>317.86</v>
      </c>
      <c r="P1269" s="4">
        <f>IFERROR((Table25[[#This Row],[Average sell price]]-Table25[[#This Row],[Average buy price]])*Table25[[#This Row],[Total Sold number of stocks]],0)</f>
        <v>1.7300000000000182</v>
      </c>
      <c r="Q1269" s="85">
        <f>SUMIF(Table25[[#All],[Assets]],Table25[[#This Row],[Assets]],Table25[[#All],[Number of stocks]])</f>
        <v>0</v>
      </c>
    </row>
    <row r="1270" spans="1:17">
      <c r="A1270" t="e" vm="2">
        <v>#VALUE!</v>
      </c>
      <c r="B1270" s="2">
        <v>45824</v>
      </c>
      <c r="C1270" t="str" cm="1">
        <f t="array" aca="1" ref="C1270" ca="1">_FV(A1270,"Ticker symbol",TRUE)</f>
        <v>MPTI</v>
      </c>
      <c r="D1270" s="4">
        <v>46.23</v>
      </c>
      <c r="E1270" s="50">
        <v>15</v>
      </c>
      <c r="F1270" s="81">
        <f>IF(Table25[[#This Row],[Number of stocks]]&gt;0,Table25[[#This Row],[Number of stocks]],0)</f>
        <v>15</v>
      </c>
      <c r="G1270" s="73">
        <f>Table25[[#This Row],[Bought]]*Table25[[#This Row],[Price]]</f>
        <v>693.44999999999993</v>
      </c>
      <c r="H1270">
        <f>SUMIF(Table25[[#All],[Assets]],Table25[[#This Row],[Assets]],Table25[[#All],[Bought]])</f>
        <v>30</v>
      </c>
      <c r="I1270">
        <f>SUMIF(Table25[[#All],[Assets]],Table25[[#This Row],[Assets]],Table25[[#All],[Bought Amount]])</f>
        <v>1404.3</v>
      </c>
      <c r="J1270" s="88">
        <f>IF(Table25[[#This Row],[Number of stocks]]&lt;0,Table25[[#This Row],[Number of stocks]],0)</f>
        <v>0</v>
      </c>
      <c r="K1270" s="5">
        <f>Table25[[#This Row],[Sold]]*Table25[[#This Row],[Price]]</f>
        <v>0</v>
      </c>
      <c r="L1270" s="8">
        <f>ABS(SUMIF(Table25[[#All],[Assets]],Table25[[#This Row],[Assets]],Table25[[#All],[Sold]]))</f>
        <v>30</v>
      </c>
      <c r="M1270" s="5">
        <f>ABS(SUMIF(Table25[[#All],[Assets]],Table25[[#This Row],[Assets]],Table25[[#All],[Sold Amount]]))</f>
        <v>1280.5500000000002</v>
      </c>
      <c r="N1270" s="5">
        <f>IFERROR(Table25[[#This Row],[Total sold amount]]/Table25[[#This Row],[Total Sold number of stocks]],"")</f>
        <v>42.685000000000009</v>
      </c>
      <c r="O1270" s="4">
        <f>IFERROR(Table25[[#This Row],[Total Amount bought]]/Table25[[#This Row],[Total number bought]],"")</f>
        <v>46.809999999999995</v>
      </c>
      <c r="P1270" s="4">
        <f>IFERROR((Table25[[#This Row],[Average sell price]]-Table25[[#This Row],[Average buy price]])*Table25[[#This Row],[Total Sold number of stocks]],0)</f>
        <v>-123.74999999999957</v>
      </c>
      <c r="Q1270" s="85">
        <f>SUMIF(Table25[[#All],[Assets]],Table25[[#This Row],[Assets]],Table25[[#All],[Number of stocks]])</f>
        <v>0</v>
      </c>
    </row>
    <row r="1271" spans="1:17">
      <c r="A1271" t="e" vm="80">
        <v>#VALUE!</v>
      </c>
      <c r="B1271" s="2">
        <v>45824</v>
      </c>
      <c r="C1271" t="str" cm="1">
        <f t="array" aca="1" ref="C1271" ca="1">_FV(A1271,"Ticker symbol",TRUE)</f>
        <v>PYPL</v>
      </c>
      <c r="D1271" s="4">
        <v>72.319999999999993</v>
      </c>
      <c r="E1271" s="50">
        <v>6</v>
      </c>
      <c r="F1271" s="81">
        <f>IF(Table25[[#This Row],[Number of stocks]]&gt;0,Table25[[#This Row],[Number of stocks]],0)</f>
        <v>6</v>
      </c>
      <c r="G1271" s="73">
        <f>Table25[[#This Row],[Bought]]*Table25[[#This Row],[Price]]</f>
        <v>433.91999999999996</v>
      </c>
      <c r="H1271">
        <f>SUMIF(Table25[[#All],[Assets]],Table25[[#This Row],[Assets]],Table25[[#All],[Bought]])</f>
        <v>223</v>
      </c>
      <c r="I1271">
        <f>SUMIF(Table25[[#All],[Assets]],Table25[[#This Row],[Assets]],Table25[[#All],[Bought Amount]])</f>
        <v>14862.050000000003</v>
      </c>
      <c r="J1271" s="88">
        <f>IF(Table25[[#This Row],[Number of stocks]]&lt;0,Table25[[#This Row],[Number of stocks]],0)</f>
        <v>0</v>
      </c>
      <c r="K1271" s="5">
        <f>Table25[[#This Row],[Sold]]*Table25[[#This Row],[Price]]</f>
        <v>0</v>
      </c>
      <c r="L1271" s="8">
        <f>ABS(SUMIF(Table25[[#All],[Assets]],Table25[[#This Row],[Assets]],Table25[[#All],[Sold]]))</f>
        <v>222</v>
      </c>
      <c r="M1271" s="5">
        <f>ABS(SUMIF(Table25[[#All],[Assets]],Table25[[#This Row],[Assets]],Table25[[#All],[Sold Amount]]))</f>
        <v>15255.44</v>
      </c>
      <c r="N1271" s="5">
        <f>IFERROR(Table25[[#This Row],[Total sold amount]]/Table25[[#This Row],[Total Sold number of stocks]],"")</f>
        <v>68.718198198198195</v>
      </c>
      <c r="O1271" s="4">
        <f>IFERROR(Table25[[#This Row],[Total Amount bought]]/Table25[[#This Row],[Total number bought]],"")</f>
        <v>66.645964125560553</v>
      </c>
      <c r="P1271" s="4">
        <f>IFERROR((Table25[[#This Row],[Average sell price]]-Table25[[#This Row],[Average buy price]])*Table25[[#This Row],[Total Sold number of stocks]],0)</f>
        <v>460.03596412555646</v>
      </c>
      <c r="Q1271" s="85">
        <f>SUMIF(Table25[[#All],[Assets]],Table25[[#This Row],[Assets]],Table25[[#All],[Number of stocks]])</f>
        <v>1</v>
      </c>
    </row>
    <row r="1272" spans="1:17">
      <c r="A1272" t="e" vm="19">
        <v>#VALUE!</v>
      </c>
      <c r="B1272" s="2">
        <v>45824</v>
      </c>
      <c r="C1272" t="str" cm="1">
        <f t="array" aca="1" ref="C1272" ca="1">_FV(A1272,"Ticker symbol",TRUE)</f>
        <v>OUST</v>
      </c>
      <c r="D1272" s="4">
        <v>19.14</v>
      </c>
      <c r="E1272" s="50">
        <v>-40</v>
      </c>
      <c r="F1272" s="81">
        <f>IF(Table25[[#This Row],[Number of stocks]]&gt;0,Table25[[#This Row],[Number of stocks]],0)</f>
        <v>0</v>
      </c>
      <c r="G1272" s="73">
        <f>Table25[[#This Row],[Bought]]*Table25[[#This Row],[Price]]</f>
        <v>0</v>
      </c>
      <c r="H1272">
        <f>SUMIF(Table25[[#All],[Assets]],Table25[[#This Row],[Assets]],Table25[[#All],[Bought]])</f>
        <v>324</v>
      </c>
      <c r="I1272">
        <f>SUMIF(Table25[[#All],[Assets]],Table25[[#This Row],[Assets]],Table25[[#All],[Bought Amount]])</f>
        <v>4403.8500000000004</v>
      </c>
      <c r="J1272" s="88">
        <f>IF(Table25[[#This Row],[Number of stocks]]&lt;0,Table25[[#This Row],[Number of stocks]],0)</f>
        <v>-40</v>
      </c>
      <c r="K1272" s="5">
        <f>Table25[[#This Row],[Sold]]*Table25[[#This Row],[Price]]</f>
        <v>-765.6</v>
      </c>
      <c r="L1272" s="8">
        <f>ABS(SUMIF(Table25[[#All],[Assets]],Table25[[#This Row],[Assets]],Table25[[#All],[Sold]]))</f>
        <v>299</v>
      </c>
      <c r="M1272" s="5">
        <f>ABS(SUMIF(Table25[[#All],[Assets]],Table25[[#This Row],[Assets]],Table25[[#All],[Sold Amount]]))</f>
        <v>6222.84</v>
      </c>
      <c r="N1272" s="5">
        <f>IFERROR(Table25[[#This Row],[Total sold amount]]/Table25[[#This Row],[Total Sold number of stocks]],"")</f>
        <v>20.81217391304348</v>
      </c>
      <c r="O1272" s="4">
        <f>IFERROR(Table25[[#This Row],[Total Amount bought]]/Table25[[#This Row],[Total number bought]],"")</f>
        <v>13.59212962962963</v>
      </c>
      <c r="P1272" s="4">
        <f>IFERROR((Table25[[#This Row],[Average sell price]]-Table25[[#This Row],[Average buy price]])*Table25[[#This Row],[Total Sold number of stocks]],0)</f>
        <v>2158.7932407407411</v>
      </c>
      <c r="Q1272" s="85">
        <f>SUMIF(Table25[[#All],[Assets]],Table25[[#This Row],[Assets]],Table25[[#All],[Number of stocks]])</f>
        <v>25</v>
      </c>
    </row>
    <row r="1273" spans="1:17">
      <c r="A1273" t="e" vm="82">
        <v>#VALUE!</v>
      </c>
      <c r="B1273" s="2">
        <v>45824</v>
      </c>
      <c r="C1273" t="str" cm="1">
        <f t="array" aca="1" ref="C1273" ca="1">_FV(A1273,"Ticker symbol",TRUE)</f>
        <v>XYZ</v>
      </c>
      <c r="D1273" s="4">
        <v>63.9</v>
      </c>
      <c r="E1273" s="50">
        <v>6</v>
      </c>
      <c r="F1273" s="81">
        <f>IF(Table25[[#This Row],[Number of stocks]]&gt;0,Table25[[#This Row],[Number of stocks]],0)</f>
        <v>6</v>
      </c>
      <c r="G1273" s="73">
        <f>Table25[[#This Row],[Bought]]*Table25[[#This Row],[Price]]</f>
        <v>383.4</v>
      </c>
      <c r="H1273">
        <f>SUMIF(Table25[[#All],[Assets]],Table25[[#This Row],[Assets]],Table25[[#All],[Bought]])</f>
        <v>35</v>
      </c>
      <c r="I1273">
        <f>SUMIF(Table25[[#All],[Assets]],Table25[[#This Row],[Assets]],Table25[[#All],[Bought Amount]])</f>
        <v>2551.4399999999996</v>
      </c>
      <c r="J1273" s="88">
        <f>IF(Table25[[#This Row],[Number of stocks]]&lt;0,Table25[[#This Row],[Number of stocks]],0)</f>
        <v>0</v>
      </c>
      <c r="K1273" s="5">
        <f>Table25[[#This Row],[Sold]]*Table25[[#This Row],[Price]]</f>
        <v>0</v>
      </c>
      <c r="L1273" s="8">
        <f>ABS(SUMIF(Table25[[#All],[Assets]],Table25[[#This Row],[Assets]],Table25[[#All],[Sold]]))</f>
        <v>35</v>
      </c>
      <c r="M1273" s="5">
        <f>ABS(SUMIF(Table25[[#All],[Assets]],Table25[[#This Row],[Assets]],Table25[[#All],[Sold Amount]]))</f>
        <v>2639.0700000000006</v>
      </c>
      <c r="N1273" s="5">
        <f>IFERROR(Table25[[#This Row],[Total sold amount]]/Table25[[#This Row],[Total Sold number of stocks]],"")</f>
        <v>75.402000000000015</v>
      </c>
      <c r="O1273" s="4">
        <f>IFERROR(Table25[[#This Row],[Total Amount bought]]/Table25[[#This Row],[Total number bought]],"")</f>
        <v>72.898285714285706</v>
      </c>
      <c r="P1273" s="4">
        <f>IFERROR((Table25[[#This Row],[Average sell price]]-Table25[[#This Row],[Average buy price]])*Table25[[#This Row],[Total Sold number of stocks]],0)</f>
        <v>87.630000000000834</v>
      </c>
      <c r="Q1273" s="85">
        <f>SUMIF(Table25[[#All],[Assets]],Table25[[#This Row],[Assets]],Table25[[#All],[Number of stocks]])</f>
        <v>0</v>
      </c>
    </row>
    <row r="1274" spans="1:17">
      <c r="A1274" t="e" vm="1">
        <v>#VALUE!</v>
      </c>
      <c r="B1274" s="2">
        <v>45825</v>
      </c>
      <c r="C1274" t="str" cm="1">
        <f t="array" aca="1" ref="C1274" ca="1">_FV(A1274,"Ticker symbol",TRUE)</f>
        <v>RCAT</v>
      </c>
      <c r="D1274" s="4">
        <v>7.49</v>
      </c>
      <c r="E1274" s="50">
        <v>40</v>
      </c>
      <c r="F1274" s="81">
        <f>IF(Table25[[#This Row],[Number of stocks]]&gt;0,Table25[[#This Row],[Number of stocks]],0)</f>
        <v>40</v>
      </c>
      <c r="G1274" s="73">
        <f>Table25[[#This Row],[Bought]]*Table25[[#This Row],[Price]]</f>
        <v>299.60000000000002</v>
      </c>
      <c r="H1274">
        <f>SUMIF(Table25[[#All],[Assets]],Table25[[#This Row],[Assets]],Table25[[#All],[Bought]])</f>
        <v>40</v>
      </c>
      <c r="I1274">
        <f>SUMIF(Table25[[#All],[Assets]],Table25[[#This Row],[Assets]],Table25[[#All],[Bought Amount]])</f>
        <v>299.60000000000002</v>
      </c>
      <c r="J1274" s="88">
        <f>IF(Table25[[#This Row],[Number of stocks]]&lt;0,Table25[[#This Row],[Number of stocks]],0)</f>
        <v>0</v>
      </c>
      <c r="K1274" s="5">
        <f>Table25[[#This Row],[Sold]]*Table25[[#This Row],[Price]]</f>
        <v>0</v>
      </c>
      <c r="L1274" s="8">
        <f>ABS(SUMIF(Table25[[#All],[Assets]],Table25[[#This Row],[Assets]],Table25[[#All],[Sold]]))</f>
        <v>40</v>
      </c>
      <c r="M1274" s="5">
        <f>ABS(SUMIF(Table25[[#All],[Assets]],Table25[[#This Row],[Assets]],Table25[[#All],[Sold Amount]]))</f>
        <v>292.8</v>
      </c>
      <c r="N1274" s="5">
        <f>IFERROR(Table25[[#This Row],[Total sold amount]]/Table25[[#This Row],[Total Sold number of stocks]],"")</f>
        <v>7.32</v>
      </c>
      <c r="O1274" s="4">
        <f>IFERROR(Table25[[#This Row],[Total Amount bought]]/Table25[[#This Row],[Total number bought]],"")</f>
        <v>7.49</v>
      </c>
      <c r="P1274" s="4">
        <f>IFERROR((Table25[[#This Row],[Average sell price]]-Table25[[#This Row],[Average buy price]])*Table25[[#This Row],[Total Sold number of stocks]],0)</f>
        <v>-6.7999999999999972</v>
      </c>
      <c r="Q1274" s="85">
        <f>SUMIF(Table25[[#All],[Assets]],Table25[[#This Row],[Assets]],Table25[[#All],[Number of stocks]])</f>
        <v>0</v>
      </c>
    </row>
    <row r="1275" spans="1:17">
      <c r="A1275" t="e" vm="210">
        <v>#VALUE!</v>
      </c>
      <c r="B1275" s="2">
        <v>45825</v>
      </c>
      <c r="C1275" t="str" cm="1">
        <f t="array" aca="1" ref="C1275" ca="1">_FV(A1275,"Ticker symbol",TRUE)</f>
        <v>HALO</v>
      </c>
      <c r="D1275" s="4">
        <v>53.11</v>
      </c>
      <c r="E1275" s="50">
        <v>-8</v>
      </c>
      <c r="F1275" s="81">
        <f>IF(Table25[[#This Row],[Number of stocks]]&gt;0,Table25[[#This Row],[Number of stocks]],0)</f>
        <v>0</v>
      </c>
      <c r="G1275" s="73">
        <f>Table25[[#This Row],[Bought]]*Table25[[#This Row],[Price]]</f>
        <v>0</v>
      </c>
      <c r="H1275">
        <f>SUMIF(Table25[[#All],[Assets]],Table25[[#This Row],[Assets]],Table25[[#All],[Bought]])</f>
        <v>45</v>
      </c>
      <c r="I1275">
        <f>SUMIF(Table25[[#All],[Assets]],Table25[[#This Row],[Assets]],Table25[[#All],[Bought Amount]])</f>
        <v>2362.5</v>
      </c>
      <c r="J1275" s="88">
        <f>IF(Table25[[#This Row],[Number of stocks]]&lt;0,Table25[[#This Row],[Number of stocks]],0)</f>
        <v>-8</v>
      </c>
      <c r="K1275" s="5">
        <f>Table25[[#This Row],[Sold]]*Table25[[#This Row],[Price]]</f>
        <v>-424.88</v>
      </c>
      <c r="L1275" s="8">
        <f>ABS(SUMIF(Table25[[#All],[Assets]],Table25[[#This Row],[Assets]],Table25[[#All],[Sold]]))</f>
        <v>37</v>
      </c>
      <c r="M1275" s="5">
        <f>ABS(SUMIF(Table25[[#All],[Assets]],Table25[[#This Row],[Assets]],Table25[[#All],[Sold Amount]]))</f>
        <v>2008.8599999999997</v>
      </c>
      <c r="N1275" s="5">
        <f>IFERROR(Table25[[#This Row],[Total sold amount]]/Table25[[#This Row],[Total Sold number of stocks]],"")</f>
        <v>54.293513513513503</v>
      </c>
      <c r="O1275" s="4">
        <f>IFERROR(Table25[[#This Row],[Total Amount bought]]/Table25[[#This Row],[Total number bought]],"")</f>
        <v>52.5</v>
      </c>
      <c r="P1275" s="4">
        <f>IFERROR((Table25[[#This Row],[Average sell price]]-Table25[[#This Row],[Average buy price]])*Table25[[#This Row],[Total Sold number of stocks]],0)</f>
        <v>66.359999999999602</v>
      </c>
      <c r="Q1275" s="85">
        <f>SUMIF(Table25[[#All],[Assets]],Table25[[#This Row],[Assets]],Table25[[#All],[Number of stocks]])</f>
        <v>8</v>
      </c>
    </row>
    <row r="1276" spans="1:17">
      <c r="A1276" t="e" vm="254">
        <v>#VALUE!</v>
      </c>
      <c r="B1276" s="2">
        <v>45825</v>
      </c>
      <c r="C1276" t="str" cm="1">
        <f t="array" aca="1" ref="C1276" ca="1">_FV(A1276,"Ticker symbol",TRUE)</f>
        <v>TALK</v>
      </c>
      <c r="D1276" s="4">
        <v>2.89</v>
      </c>
      <c r="E1276" s="50">
        <v>-200</v>
      </c>
      <c r="F1276" s="81">
        <f>IF(Table25[[#This Row],[Number of stocks]]&gt;0,Table25[[#This Row],[Number of stocks]],0)</f>
        <v>0</v>
      </c>
      <c r="G1276" s="73">
        <f>Table25[[#This Row],[Bought]]*Table25[[#This Row],[Price]]</f>
        <v>0</v>
      </c>
      <c r="H1276">
        <f>SUMIF(Table25[[#All],[Assets]],Table25[[#This Row],[Assets]],Table25[[#All],[Bought]])</f>
        <v>885</v>
      </c>
      <c r="I1276">
        <f>SUMIF(Table25[[#All],[Assets]],Table25[[#This Row],[Assets]],Table25[[#All],[Bought Amount]])</f>
        <v>2664.7</v>
      </c>
      <c r="J1276" s="88">
        <f>IF(Table25[[#This Row],[Number of stocks]]&lt;0,Table25[[#This Row],[Number of stocks]],0)</f>
        <v>-200</v>
      </c>
      <c r="K1276" s="5">
        <f>Table25[[#This Row],[Sold]]*Table25[[#This Row],[Price]]</f>
        <v>-578</v>
      </c>
      <c r="L1276" s="8">
        <f>ABS(SUMIF(Table25[[#All],[Assets]],Table25[[#This Row],[Assets]],Table25[[#All],[Sold]]))</f>
        <v>885</v>
      </c>
      <c r="M1276" s="5">
        <f>ABS(SUMIF(Table25[[#All],[Assets]],Table25[[#This Row],[Assets]],Table25[[#All],[Sold Amount]]))</f>
        <v>2591</v>
      </c>
      <c r="N1276" s="5">
        <f>IFERROR(Table25[[#This Row],[Total sold amount]]/Table25[[#This Row],[Total Sold number of stocks]],"")</f>
        <v>2.927683615819209</v>
      </c>
      <c r="O1276" s="4">
        <f>IFERROR(Table25[[#This Row],[Total Amount bought]]/Table25[[#This Row],[Total number bought]],"")</f>
        <v>3.0109604519774011</v>
      </c>
      <c r="P1276" s="4">
        <f>IFERROR((Table25[[#This Row],[Average sell price]]-Table25[[#This Row],[Average buy price]])*Table25[[#This Row],[Total Sold number of stocks]],0)</f>
        <v>-73.700000000000045</v>
      </c>
      <c r="Q1276" s="85">
        <f>SUMIF(Table25[[#All],[Assets]],Table25[[#This Row],[Assets]],Table25[[#All],[Number of stocks]])</f>
        <v>0</v>
      </c>
    </row>
    <row r="1277" spans="1:17">
      <c r="A1277" t="e" vm="26">
        <v>#VALUE!</v>
      </c>
      <c r="B1277" s="2">
        <v>45825</v>
      </c>
      <c r="C1277" t="str" cm="1">
        <f t="array" aca="1" ref="C1277" ca="1">_FV(A1277,"Ticker symbol",TRUE)</f>
        <v>AEHR</v>
      </c>
      <c r="D1277" s="4">
        <v>11.36</v>
      </c>
      <c r="E1277" s="50">
        <v>50</v>
      </c>
      <c r="F1277" s="81">
        <f>IF(Table25[[#This Row],[Number of stocks]]&gt;0,Table25[[#This Row],[Number of stocks]],0)</f>
        <v>50</v>
      </c>
      <c r="G1277" s="73">
        <f>Table25[[#This Row],[Bought]]*Table25[[#This Row],[Price]]</f>
        <v>568</v>
      </c>
      <c r="H1277">
        <f>SUMIF(Table25[[#All],[Assets]],Table25[[#This Row],[Assets]],Table25[[#All],[Bought]])</f>
        <v>559</v>
      </c>
      <c r="I1277">
        <f>SUMIF(Table25[[#All],[Assets]],Table25[[#This Row],[Assets]],Table25[[#All],[Bought Amount]])</f>
        <v>7405.6399999999994</v>
      </c>
      <c r="J1277" s="88">
        <f>IF(Table25[[#This Row],[Number of stocks]]&lt;0,Table25[[#This Row],[Number of stocks]],0)</f>
        <v>0</v>
      </c>
      <c r="K1277" s="5">
        <f>Table25[[#This Row],[Sold]]*Table25[[#This Row],[Price]]</f>
        <v>0</v>
      </c>
      <c r="L1277" s="8">
        <f>ABS(SUMIF(Table25[[#All],[Assets]],Table25[[#This Row],[Assets]],Table25[[#All],[Sold]]))</f>
        <v>539</v>
      </c>
      <c r="M1277" s="5">
        <f>ABS(SUMIF(Table25[[#All],[Assets]],Table25[[#This Row],[Assets]],Table25[[#All],[Sold Amount]]))</f>
        <v>9662.32</v>
      </c>
      <c r="N1277" s="5">
        <f>IFERROR(Table25[[#This Row],[Total sold amount]]/Table25[[#This Row],[Total Sold number of stocks]],"")</f>
        <v>17.92638218923933</v>
      </c>
      <c r="O1277" s="4">
        <f>IFERROR(Table25[[#This Row],[Total Amount bought]]/Table25[[#This Row],[Total number bought]],"")</f>
        <v>13.248014311270124</v>
      </c>
      <c r="P1277" s="4">
        <f>IFERROR((Table25[[#This Row],[Average sell price]]-Table25[[#This Row],[Average buy price]])*Table25[[#This Row],[Total Sold number of stocks]],0)</f>
        <v>2521.6402862254022</v>
      </c>
      <c r="Q1277" s="85">
        <f>SUMIF(Table25[[#All],[Assets]],Table25[[#This Row],[Assets]],Table25[[#All],[Number of stocks]])</f>
        <v>20</v>
      </c>
    </row>
    <row r="1278" spans="1:17">
      <c r="A1278" t="e" vm="1">
        <v>#VALUE!</v>
      </c>
      <c r="B1278" s="2">
        <v>45825</v>
      </c>
      <c r="C1278" t="str" cm="1">
        <f t="array" aca="1" ref="C1278" ca="1">_FV(A1278,"Ticker symbol",TRUE)</f>
        <v>RCAT</v>
      </c>
      <c r="D1278" s="4">
        <v>7.32</v>
      </c>
      <c r="E1278" s="50">
        <v>-40</v>
      </c>
      <c r="F1278" s="81">
        <f>IF(Table25[[#This Row],[Number of stocks]]&gt;0,Table25[[#This Row],[Number of stocks]],0)</f>
        <v>0</v>
      </c>
      <c r="G1278" s="73">
        <f>Table25[[#This Row],[Bought]]*Table25[[#This Row],[Price]]</f>
        <v>0</v>
      </c>
      <c r="H1278">
        <f>SUMIF(Table25[[#All],[Assets]],Table25[[#This Row],[Assets]],Table25[[#All],[Bought]])</f>
        <v>40</v>
      </c>
      <c r="I1278">
        <f>SUMIF(Table25[[#All],[Assets]],Table25[[#This Row],[Assets]],Table25[[#All],[Bought Amount]])</f>
        <v>299.60000000000002</v>
      </c>
      <c r="J1278" s="88">
        <f>IF(Table25[[#This Row],[Number of stocks]]&lt;0,Table25[[#This Row],[Number of stocks]],0)</f>
        <v>-40</v>
      </c>
      <c r="K1278" s="5">
        <f>Table25[[#This Row],[Sold]]*Table25[[#This Row],[Price]]</f>
        <v>-292.8</v>
      </c>
      <c r="L1278" s="8">
        <f>ABS(SUMIF(Table25[[#All],[Assets]],Table25[[#This Row],[Assets]],Table25[[#All],[Sold]]))</f>
        <v>40</v>
      </c>
      <c r="M1278" s="5">
        <f>ABS(SUMIF(Table25[[#All],[Assets]],Table25[[#This Row],[Assets]],Table25[[#All],[Sold Amount]]))</f>
        <v>292.8</v>
      </c>
      <c r="N1278" s="5">
        <f>IFERROR(Table25[[#This Row],[Total sold amount]]/Table25[[#This Row],[Total Sold number of stocks]],"")</f>
        <v>7.32</v>
      </c>
      <c r="O1278" s="4">
        <f>IFERROR(Table25[[#This Row],[Total Amount bought]]/Table25[[#This Row],[Total number bought]],"")</f>
        <v>7.49</v>
      </c>
      <c r="P1278" s="4">
        <f>IFERROR((Table25[[#This Row],[Average sell price]]-Table25[[#This Row],[Average buy price]])*Table25[[#This Row],[Total Sold number of stocks]],0)</f>
        <v>-6.7999999999999972</v>
      </c>
      <c r="Q1278" s="85">
        <f>SUMIF(Table25[[#All],[Assets]],Table25[[#This Row],[Assets]],Table25[[#All],[Number of stocks]])</f>
        <v>0</v>
      </c>
    </row>
    <row r="1279" spans="1:17">
      <c r="A1279" t="e" vm="89">
        <v>#VALUE!</v>
      </c>
      <c r="B1279" s="2">
        <v>45825</v>
      </c>
      <c r="C1279" t="str" cm="1">
        <f t="array" aca="1" ref="C1279" ca="1">_FV(A1279,"Ticker symbol",TRUE)</f>
        <v>BKSY</v>
      </c>
      <c r="D1279" s="4">
        <v>11.51</v>
      </c>
      <c r="E1279" s="50">
        <v>28</v>
      </c>
      <c r="F1279" s="81">
        <f>IF(Table25[[#This Row],[Number of stocks]]&gt;0,Table25[[#This Row],[Number of stocks]],0)</f>
        <v>28</v>
      </c>
      <c r="G1279" s="73">
        <f>Table25[[#This Row],[Bought]]*Table25[[#This Row],[Price]]</f>
        <v>322.27999999999997</v>
      </c>
      <c r="H1279">
        <f>SUMIF(Table25[[#All],[Assets]],Table25[[#This Row],[Assets]],Table25[[#All],[Bought]])</f>
        <v>78</v>
      </c>
      <c r="I1279">
        <f>SUMIF(Table25[[#All],[Assets]],Table25[[#This Row],[Assets]],Table25[[#All],[Bought Amount]])</f>
        <v>897.78</v>
      </c>
      <c r="J1279" s="88">
        <f>IF(Table25[[#This Row],[Number of stocks]]&lt;0,Table25[[#This Row],[Number of stocks]],0)</f>
        <v>0</v>
      </c>
      <c r="K1279" s="5">
        <f>Table25[[#This Row],[Sold]]*Table25[[#This Row],[Price]]</f>
        <v>0</v>
      </c>
      <c r="L1279" s="8">
        <f>ABS(SUMIF(Table25[[#All],[Assets]],Table25[[#This Row],[Assets]],Table25[[#All],[Sold]]))</f>
        <v>78</v>
      </c>
      <c r="M1279" s="5">
        <f>ABS(SUMIF(Table25[[#All],[Assets]],Table25[[#This Row],[Assets]],Table25[[#All],[Sold Amount]]))</f>
        <v>1583.33</v>
      </c>
      <c r="N1279" s="5">
        <f>IFERROR(Table25[[#This Row],[Total sold amount]]/Table25[[#This Row],[Total Sold number of stocks]],"")</f>
        <v>20.299102564102562</v>
      </c>
      <c r="O1279" s="4">
        <f>IFERROR(Table25[[#This Row],[Total Amount bought]]/Table25[[#This Row],[Total number bought]],"")</f>
        <v>11.51</v>
      </c>
      <c r="P1279" s="4">
        <f>IFERROR((Table25[[#This Row],[Average sell price]]-Table25[[#This Row],[Average buy price]])*Table25[[#This Row],[Total Sold number of stocks]],0)</f>
        <v>685.54999999999984</v>
      </c>
      <c r="Q1279" s="85">
        <f>SUMIF(Table25[[#All],[Assets]],Table25[[#This Row],[Assets]],Table25[[#All],[Number of stocks]])</f>
        <v>0</v>
      </c>
    </row>
    <row r="1280" spans="1:17">
      <c r="A1280" t="e" vm="89">
        <v>#VALUE!</v>
      </c>
      <c r="B1280" s="2">
        <v>45825</v>
      </c>
      <c r="C1280" t="str" cm="1">
        <f t="array" aca="1" ref="C1280" ca="1">_FV(A1280,"Ticker symbol",TRUE)</f>
        <v>BKSY</v>
      </c>
      <c r="D1280" s="4">
        <v>11.51</v>
      </c>
      <c r="E1280" s="50">
        <v>50</v>
      </c>
      <c r="F1280" s="81">
        <f>IF(Table25[[#This Row],[Number of stocks]]&gt;0,Table25[[#This Row],[Number of stocks]],0)</f>
        <v>50</v>
      </c>
      <c r="G1280" s="73">
        <f>Table25[[#This Row],[Bought]]*Table25[[#This Row],[Price]]</f>
        <v>575.5</v>
      </c>
      <c r="H1280">
        <f>SUMIF(Table25[[#All],[Assets]],Table25[[#This Row],[Assets]],Table25[[#All],[Bought]])</f>
        <v>78</v>
      </c>
      <c r="I1280">
        <f>SUMIF(Table25[[#All],[Assets]],Table25[[#This Row],[Assets]],Table25[[#All],[Bought Amount]])</f>
        <v>897.78</v>
      </c>
      <c r="J1280" s="88">
        <f>IF(Table25[[#This Row],[Number of stocks]]&lt;0,Table25[[#This Row],[Number of stocks]],0)</f>
        <v>0</v>
      </c>
      <c r="K1280" s="5">
        <f>Table25[[#This Row],[Sold]]*Table25[[#This Row],[Price]]</f>
        <v>0</v>
      </c>
      <c r="L1280" s="8">
        <f>ABS(SUMIF(Table25[[#All],[Assets]],Table25[[#This Row],[Assets]],Table25[[#All],[Sold]]))</f>
        <v>78</v>
      </c>
      <c r="M1280" s="5">
        <f>ABS(SUMIF(Table25[[#All],[Assets]],Table25[[#This Row],[Assets]],Table25[[#All],[Sold Amount]]))</f>
        <v>1583.33</v>
      </c>
      <c r="N1280" s="5">
        <f>IFERROR(Table25[[#This Row],[Total sold amount]]/Table25[[#This Row],[Total Sold number of stocks]],"")</f>
        <v>20.299102564102562</v>
      </c>
      <c r="O1280" s="4">
        <f>IFERROR(Table25[[#This Row],[Total Amount bought]]/Table25[[#This Row],[Total number bought]],"")</f>
        <v>11.51</v>
      </c>
      <c r="P1280" s="4">
        <f>IFERROR((Table25[[#This Row],[Average sell price]]-Table25[[#This Row],[Average buy price]])*Table25[[#This Row],[Total Sold number of stocks]],0)</f>
        <v>685.54999999999984</v>
      </c>
      <c r="Q1280" s="85">
        <f>SUMIF(Table25[[#All],[Assets]],Table25[[#This Row],[Assets]],Table25[[#All],[Number of stocks]])</f>
        <v>0</v>
      </c>
    </row>
    <row r="1281" spans="1:17">
      <c r="A1281" t="e" vm="252">
        <v>#VALUE!</v>
      </c>
      <c r="B1281" s="2">
        <v>45825</v>
      </c>
      <c r="C1281" t="str" cm="1">
        <f t="array" aca="1" ref="C1281" ca="1">_FV(A1281,"Ticker symbol",TRUE)</f>
        <v>BASE</v>
      </c>
      <c r="D1281" s="4">
        <v>19.739999999999998</v>
      </c>
      <c r="E1281" s="50">
        <v>-32</v>
      </c>
      <c r="F1281" s="81">
        <f>IF(Table25[[#This Row],[Number of stocks]]&gt;0,Table25[[#This Row],[Number of stocks]],0)</f>
        <v>0</v>
      </c>
      <c r="G1281" s="73">
        <f>Table25[[#This Row],[Bought]]*Table25[[#This Row],[Price]]</f>
        <v>0</v>
      </c>
      <c r="H1281">
        <f>SUMIF(Table25[[#All],[Assets]],Table25[[#This Row],[Assets]],Table25[[#All],[Bought]])</f>
        <v>32</v>
      </c>
      <c r="I1281">
        <f>SUMIF(Table25[[#All],[Assets]],Table25[[#This Row],[Assets]],Table25[[#All],[Bought Amount]])</f>
        <v>516.16</v>
      </c>
      <c r="J1281" s="88">
        <f>IF(Table25[[#This Row],[Number of stocks]]&lt;0,Table25[[#This Row],[Number of stocks]],0)</f>
        <v>-32</v>
      </c>
      <c r="K1281" s="5">
        <f>Table25[[#This Row],[Sold]]*Table25[[#This Row],[Price]]</f>
        <v>-631.67999999999995</v>
      </c>
      <c r="L1281" s="8">
        <f>ABS(SUMIF(Table25[[#All],[Assets]],Table25[[#This Row],[Assets]],Table25[[#All],[Sold]]))</f>
        <v>32</v>
      </c>
      <c r="M1281" s="5">
        <f>ABS(SUMIF(Table25[[#All],[Assets]],Table25[[#This Row],[Assets]],Table25[[#All],[Sold Amount]]))</f>
        <v>631.67999999999995</v>
      </c>
      <c r="N1281" s="5">
        <f>IFERROR(Table25[[#This Row],[Total sold amount]]/Table25[[#This Row],[Total Sold number of stocks]],"")</f>
        <v>19.739999999999998</v>
      </c>
      <c r="O1281" s="4">
        <f>IFERROR(Table25[[#This Row],[Total Amount bought]]/Table25[[#This Row],[Total number bought]],"")</f>
        <v>16.13</v>
      </c>
      <c r="P1281" s="4">
        <f>IFERROR((Table25[[#This Row],[Average sell price]]-Table25[[#This Row],[Average buy price]])*Table25[[#This Row],[Total Sold number of stocks]],0)</f>
        <v>115.51999999999998</v>
      </c>
      <c r="Q1281" s="85">
        <f>SUMIF(Table25[[#All],[Assets]],Table25[[#This Row],[Assets]],Table25[[#All],[Number of stocks]])</f>
        <v>0</v>
      </c>
    </row>
    <row r="1282" spans="1:17">
      <c r="A1282" t="e" vm="22">
        <v>#VALUE!</v>
      </c>
      <c r="B1282" s="2">
        <v>45826</v>
      </c>
      <c r="C1282" t="str" cm="1">
        <f t="array" aca="1" ref="C1282" ca="1">_FV(A1282,"Ticker symbol",TRUE)</f>
        <v>RMBS</v>
      </c>
      <c r="D1282" s="4">
        <v>59.9</v>
      </c>
      <c r="E1282" s="50">
        <v>10</v>
      </c>
      <c r="F1282" s="81">
        <f>IF(Table25[[#This Row],[Number of stocks]]&gt;0,Table25[[#This Row],[Number of stocks]],0)</f>
        <v>10</v>
      </c>
      <c r="G1282" s="73">
        <f>Table25[[#This Row],[Bought]]*Table25[[#This Row],[Price]]</f>
        <v>599</v>
      </c>
      <c r="H1282">
        <f>SUMIF(Table25[[#All],[Assets]],Table25[[#This Row],[Assets]],Table25[[#All],[Bought]])</f>
        <v>36</v>
      </c>
      <c r="I1282">
        <f>SUMIF(Table25[[#All],[Assets]],Table25[[#This Row],[Assets]],Table25[[#All],[Bought Amount]])</f>
        <v>1746.8</v>
      </c>
      <c r="J1282" s="88">
        <f>IF(Table25[[#This Row],[Number of stocks]]&lt;0,Table25[[#This Row],[Number of stocks]],0)</f>
        <v>0</v>
      </c>
      <c r="K1282" s="5">
        <f>Table25[[#This Row],[Sold]]*Table25[[#This Row],[Price]]</f>
        <v>0</v>
      </c>
      <c r="L1282" s="8">
        <f>ABS(SUMIF(Table25[[#All],[Assets]],Table25[[#This Row],[Assets]],Table25[[#All],[Sold]]))</f>
        <v>25</v>
      </c>
      <c r="M1282" s="5">
        <f>ABS(SUMIF(Table25[[#All],[Assets]],Table25[[#This Row],[Assets]],Table25[[#All],[Sold Amount]]))</f>
        <v>1340.1</v>
      </c>
      <c r="N1282" s="5">
        <f>IFERROR(Table25[[#This Row],[Total sold amount]]/Table25[[#This Row],[Total Sold number of stocks]],"")</f>
        <v>53.603999999999999</v>
      </c>
      <c r="O1282" s="4">
        <f>IFERROR(Table25[[#This Row],[Total Amount bought]]/Table25[[#This Row],[Total number bought]],"")</f>
        <v>48.522222222222219</v>
      </c>
      <c r="P1282" s="4">
        <f>IFERROR((Table25[[#This Row],[Average sell price]]-Table25[[#This Row],[Average buy price]])*Table25[[#This Row],[Total Sold number of stocks]],0)</f>
        <v>127.04444444444451</v>
      </c>
      <c r="Q1282" s="85">
        <f>SUMIF(Table25[[#All],[Assets]],Table25[[#This Row],[Assets]],Table25[[#All],[Number of stocks]])</f>
        <v>11</v>
      </c>
    </row>
    <row r="1283" spans="1:17">
      <c r="A1283" t="e" vm="2">
        <v>#VALUE!</v>
      </c>
      <c r="B1283" s="2">
        <v>45826</v>
      </c>
      <c r="C1283" t="str" cm="1">
        <f t="array" aca="1" ref="C1283" ca="1">_FV(A1283,"Ticker symbol",TRUE)</f>
        <v>MPTI</v>
      </c>
      <c r="D1283" s="4">
        <v>47.39</v>
      </c>
      <c r="E1283" s="50">
        <v>15</v>
      </c>
      <c r="F1283" s="81">
        <f>IF(Table25[[#This Row],[Number of stocks]]&gt;0,Table25[[#This Row],[Number of stocks]],0)</f>
        <v>15</v>
      </c>
      <c r="G1283" s="73">
        <f>Table25[[#This Row],[Bought]]*Table25[[#This Row],[Price]]</f>
        <v>710.85</v>
      </c>
      <c r="H1283">
        <f>SUMIF(Table25[[#All],[Assets]],Table25[[#This Row],[Assets]],Table25[[#All],[Bought]])</f>
        <v>30</v>
      </c>
      <c r="I1283">
        <f>SUMIF(Table25[[#All],[Assets]],Table25[[#This Row],[Assets]],Table25[[#All],[Bought Amount]])</f>
        <v>1404.3</v>
      </c>
      <c r="J1283" s="88">
        <f>IF(Table25[[#This Row],[Number of stocks]]&lt;0,Table25[[#This Row],[Number of stocks]],0)</f>
        <v>0</v>
      </c>
      <c r="K1283" s="5">
        <f>Table25[[#This Row],[Sold]]*Table25[[#This Row],[Price]]</f>
        <v>0</v>
      </c>
      <c r="L1283" s="8">
        <f>ABS(SUMIF(Table25[[#All],[Assets]],Table25[[#This Row],[Assets]],Table25[[#All],[Sold]]))</f>
        <v>30</v>
      </c>
      <c r="M1283" s="5">
        <f>ABS(SUMIF(Table25[[#All],[Assets]],Table25[[#This Row],[Assets]],Table25[[#All],[Sold Amount]]))</f>
        <v>1280.5500000000002</v>
      </c>
      <c r="N1283" s="5">
        <f>IFERROR(Table25[[#This Row],[Total sold amount]]/Table25[[#This Row],[Total Sold number of stocks]],"")</f>
        <v>42.685000000000009</v>
      </c>
      <c r="O1283" s="4">
        <f>IFERROR(Table25[[#This Row],[Total Amount bought]]/Table25[[#This Row],[Total number bought]],"")</f>
        <v>46.809999999999995</v>
      </c>
      <c r="P1283" s="4">
        <f>IFERROR((Table25[[#This Row],[Average sell price]]-Table25[[#This Row],[Average buy price]])*Table25[[#This Row],[Total Sold number of stocks]],0)</f>
        <v>-123.74999999999957</v>
      </c>
      <c r="Q1283" s="85">
        <f>SUMIF(Table25[[#All],[Assets]],Table25[[#This Row],[Assets]],Table25[[#All],[Number of stocks]])</f>
        <v>0</v>
      </c>
    </row>
    <row r="1284" spans="1:17">
      <c r="A1284" t="e" vm="73">
        <v>#VALUE!</v>
      </c>
      <c r="B1284" s="2">
        <v>45826</v>
      </c>
      <c r="C1284" t="str" cm="1">
        <f t="array" aca="1" ref="C1284" ca="1">_FV(A1284,"Ticker symbol",TRUE)</f>
        <v>NOTV</v>
      </c>
      <c r="D1284" s="4">
        <v>2.08</v>
      </c>
      <c r="E1284" s="50">
        <v>260</v>
      </c>
      <c r="F1284" s="81">
        <f>IF(Table25[[#This Row],[Number of stocks]]&gt;0,Table25[[#This Row],[Number of stocks]],0)</f>
        <v>260</v>
      </c>
      <c r="G1284" s="73">
        <f>Table25[[#This Row],[Bought]]*Table25[[#This Row],[Price]]</f>
        <v>540.80000000000007</v>
      </c>
      <c r="H1284">
        <f>SUMIF(Table25[[#All],[Assets]],Table25[[#This Row],[Assets]],Table25[[#All],[Bought]])</f>
        <v>3556</v>
      </c>
      <c r="I1284">
        <f>SUMIF(Table25[[#All],[Assets]],Table25[[#This Row],[Assets]],Table25[[#All],[Bought Amount]])</f>
        <v>10249.890000000001</v>
      </c>
      <c r="J1284" s="88">
        <f>IF(Table25[[#This Row],[Number of stocks]]&lt;0,Table25[[#This Row],[Number of stocks]],0)</f>
        <v>0</v>
      </c>
      <c r="K1284" s="5">
        <f>Table25[[#This Row],[Sold]]*Table25[[#This Row],[Price]]</f>
        <v>0</v>
      </c>
      <c r="L1284" s="8">
        <f>ABS(SUMIF(Table25[[#All],[Assets]],Table25[[#This Row],[Assets]],Table25[[#All],[Sold]]))</f>
        <v>2741</v>
      </c>
      <c r="M1284" s="5">
        <f>ABS(SUMIF(Table25[[#All],[Assets]],Table25[[#This Row],[Assets]],Table25[[#All],[Sold Amount]]))</f>
        <v>6559.66</v>
      </c>
      <c r="N1284" s="5">
        <f>IFERROR(Table25[[#This Row],[Total sold amount]]/Table25[[#This Row],[Total Sold number of stocks]],"")</f>
        <v>2.3931630791681866</v>
      </c>
      <c r="O1284" s="4">
        <f>IFERROR(Table25[[#This Row],[Total Amount bought]]/Table25[[#This Row],[Total number bought]],"")</f>
        <v>2.8824212598425198</v>
      </c>
      <c r="P1284" s="4">
        <f>IFERROR((Table25[[#This Row],[Average sell price]]-Table25[[#This Row],[Average buy price]])*Table25[[#This Row],[Total Sold number of stocks]],0)</f>
        <v>-1341.0566732283473</v>
      </c>
      <c r="Q1284" s="85">
        <f>SUMIF(Table25[[#All],[Assets]],Table25[[#This Row],[Assets]],Table25[[#All],[Number of stocks]])</f>
        <v>815</v>
      </c>
    </row>
    <row r="1285" spans="1:17">
      <c r="A1285" t="e" vm="248">
        <v>#VALUE!</v>
      </c>
      <c r="B1285" s="2">
        <v>45826</v>
      </c>
      <c r="C1285" t="str" cm="1">
        <f t="array" aca="1" ref="C1285" ca="1">_FV(A1285,"Ticker symbol",TRUE)</f>
        <v>GTLS</v>
      </c>
      <c r="D1285" s="4">
        <v>144.56</v>
      </c>
      <c r="E1285" s="50">
        <v>-7</v>
      </c>
      <c r="F1285" s="81">
        <f>IF(Table25[[#This Row],[Number of stocks]]&gt;0,Table25[[#This Row],[Number of stocks]],0)</f>
        <v>0</v>
      </c>
      <c r="G1285" s="73">
        <f>Table25[[#This Row],[Bought]]*Table25[[#This Row],[Price]]</f>
        <v>0</v>
      </c>
      <c r="H1285">
        <f>SUMIF(Table25[[#All],[Assets]],Table25[[#This Row],[Assets]],Table25[[#All],[Bought]])</f>
        <v>7</v>
      </c>
      <c r="I1285">
        <f>SUMIF(Table25[[#All],[Assets]],Table25[[#This Row],[Assets]],Table25[[#All],[Bought Amount]])</f>
        <v>1345.45</v>
      </c>
      <c r="J1285" s="88">
        <f>IF(Table25[[#This Row],[Number of stocks]]&lt;0,Table25[[#This Row],[Number of stocks]],0)</f>
        <v>-7</v>
      </c>
      <c r="K1285" s="5">
        <f>Table25[[#This Row],[Sold]]*Table25[[#This Row],[Price]]</f>
        <v>-1011.9200000000001</v>
      </c>
      <c r="L1285" s="8">
        <f>ABS(SUMIF(Table25[[#All],[Assets]],Table25[[#This Row],[Assets]],Table25[[#All],[Sold]]))</f>
        <v>7</v>
      </c>
      <c r="M1285" s="5">
        <f>ABS(SUMIF(Table25[[#All],[Assets]],Table25[[#This Row],[Assets]],Table25[[#All],[Sold Amount]]))</f>
        <v>1011.9200000000001</v>
      </c>
      <c r="N1285" s="5">
        <f>IFERROR(Table25[[#This Row],[Total sold amount]]/Table25[[#This Row],[Total Sold number of stocks]],"")</f>
        <v>144.56</v>
      </c>
      <c r="O1285" s="4">
        <f>IFERROR(Table25[[#This Row],[Total Amount bought]]/Table25[[#This Row],[Total number bought]],"")</f>
        <v>192.20714285714286</v>
      </c>
      <c r="P1285" s="4">
        <f>IFERROR((Table25[[#This Row],[Average sell price]]-Table25[[#This Row],[Average buy price]])*Table25[[#This Row],[Total Sold number of stocks]],0)</f>
        <v>-333.53</v>
      </c>
      <c r="Q1285" s="85">
        <f>SUMIF(Table25[[#All],[Assets]],Table25[[#This Row],[Assets]],Table25[[#All],[Number of stocks]])</f>
        <v>0</v>
      </c>
    </row>
    <row r="1286" spans="1:17">
      <c r="A1286" t="e" vm="246">
        <v>#VALUE!</v>
      </c>
      <c r="B1286" s="2">
        <v>45826</v>
      </c>
      <c r="C1286" t="str" cm="1">
        <f t="array" aca="1" ref="C1286" ca="1">_FV(A1286,"Ticker symbol",TRUE)</f>
        <v>ALAB</v>
      </c>
      <c r="D1286" s="4">
        <v>93.5</v>
      </c>
      <c r="E1286" s="50">
        <v>-2</v>
      </c>
      <c r="F1286" s="81">
        <f>IF(Table25[[#This Row],[Number of stocks]]&gt;0,Table25[[#This Row],[Number of stocks]],0)</f>
        <v>0</v>
      </c>
      <c r="G1286" s="73">
        <f>Table25[[#This Row],[Bought]]*Table25[[#This Row],[Price]]</f>
        <v>0</v>
      </c>
      <c r="H1286">
        <f>SUMIF(Table25[[#All],[Assets]],Table25[[#This Row],[Assets]],Table25[[#All],[Bought]])</f>
        <v>6</v>
      </c>
      <c r="I1286">
        <f>SUMIF(Table25[[#All],[Assets]],Table25[[#This Row],[Assets]],Table25[[#All],[Bought Amount]])</f>
        <v>902.3599999999999</v>
      </c>
      <c r="J1286" s="88">
        <f>IF(Table25[[#This Row],[Number of stocks]]&lt;0,Table25[[#This Row],[Number of stocks]],0)</f>
        <v>-2</v>
      </c>
      <c r="K1286" s="5">
        <f>Table25[[#This Row],[Sold]]*Table25[[#This Row],[Price]]</f>
        <v>-187</v>
      </c>
      <c r="L1286" s="8">
        <f>ABS(SUMIF(Table25[[#All],[Assets]],Table25[[#This Row],[Assets]],Table25[[#All],[Sold]]))</f>
        <v>3</v>
      </c>
      <c r="M1286" s="5">
        <f>ABS(SUMIF(Table25[[#All],[Assets]],Table25[[#This Row],[Assets]],Table25[[#All],[Sold Amount]]))</f>
        <v>359.03999999999996</v>
      </c>
      <c r="N1286" s="5">
        <f>IFERROR(Table25[[#This Row],[Total sold amount]]/Table25[[#This Row],[Total Sold number of stocks]],"")</f>
        <v>119.67999999999999</v>
      </c>
      <c r="O1286" s="4">
        <f>IFERROR(Table25[[#This Row],[Total Amount bought]]/Table25[[#This Row],[Total number bought]],"")</f>
        <v>150.39333333333332</v>
      </c>
      <c r="P1286" s="4">
        <f>IFERROR((Table25[[#This Row],[Average sell price]]-Table25[[#This Row],[Average buy price]])*Table25[[#This Row],[Total Sold number of stocks]],0)</f>
        <v>-92.139999999999972</v>
      </c>
      <c r="Q1286" s="85">
        <f>SUMIF(Table25[[#All],[Assets]],Table25[[#This Row],[Assets]],Table25[[#All],[Number of stocks]])</f>
        <v>3</v>
      </c>
    </row>
    <row r="1287" spans="1:17">
      <c r="A1287" t="e" vm="183">
        <v>#VALUE!</v>
      </c>
      <c r="B1287" s="2">
        <v>45826</v>
      </c>
      <c r="C1287" t="str" cm="1">
        <f t="array" aca="1" ref="C1287" ca="1">_FV(A1287,"Ticker symbol",TRUE)</f>
        <v>ESOA</v>
      </c>
      <c r="D1287" s="4">
        <v>10.33</v>
      </c>
      <c r="E1287" s="50">
        <v>-150</v>
      </c>
      <c r="F1287" s="81">
        <f>IF(Table25[[#This Row],[Number of stocks]]&gt;0,Table25[[#This Row],[Number of stocks]],0)</f>
        <v>0</v>
      </c>
      <c r="G1287" s="73">
        <f>Table25[[#This Row],[Bought]]*Table25[[#This Row],[Price]]</f>
        <v>0</v>
      </c>
      <c r="H1287">
        <f>SUMIF(Table25[[#All],[Assets]],Table25[[#This Row],[Assets]],Table25[[#All],[Bought]])</f>
        <v>1832</v>
      </c>
      <c r="I1287">
        <f>SUMIF(Table25[[#All],[Assets]],Table25[[#This Row],[Assets]],Table25[[#All],[Bought Amount]])</f>
        <v>18152.78</v>
      </c>
      <c r="J1287" s="88">
        <f>IF(Table25[[#This Row],[Number of stocks]]&lt;0,Table25[[#This Row],[Number of stocks]],0)</f>
        <v>-150</v>
      </c>
      <c r="K1287" s="5">
        <f>Table25[[#This Row],[Sold]]*Table25[[#This Row],[Price]]</f>
        <v>-1549.5</v>
      </c>
      <c r="L1287" s="8">
        <f>ABS(SUMIF(Table25[[#All],[Assets]],Table25[[#This Row],[Assets]],Table25[[#All],[Sold]]))</f>
        <v>1568</v>
      </c>
      <c r="M1287" s="5">
        <f>ABS(SUMIF(Table25[[#All],[Assets]],Table25[[#This Row],[Assets]],Table25[[#All],[Sold Amount]]))</f>
        <v>14668</v>
      </c>
      <c r="N1287" s="5">
        <f>IFERROR(Table25[[#This Row],[Total sold amount]]/Table25[[#This Row],[Total Sold number of stocks]],"")</f>
        <v>9.3545918367346932</v>
      </c>
      <c r="O1287" s="4">
        <f>IFERROR(Table25[[#This Row],[Total Amount bought]]/Table25[[#This Row],[Total number bought]],"")</f>
        <v>9.9087227074235802</v>
      </c>
      <c r="P1287" s="4">
        <f>IFERROR((Table25[[#This Row],[Average sell price]]-Table25[[#This Row],[Average buy price]])*Table25[[#This Row],[Total Sold number of stocks]],0)</f>
        <v>-868.87720524017482</v>
      </c>
      <c r="Q1287" s="85">
        <f>SUMIF(Table25[[#All],[Assets]],Table25[[#This Row],[Assets]],Table25[[#All],[Number of stocks]])</f>
        <v>264</v>
      </c>
    </row>
    <row r="1288" spans="1:17">
      <c r="A1288" t="e" vm="72">
        <v>#VALUE!</v>
      </c>
      <c r="B1288" s="2">
        <v>45826</v>
      </c>
      <c r="C1288" t="str" cm="1">
        <f t="array" aca="1" ref="C1288" ca="1">_FV(A1288,"Ticker symbol",TRUE)</f>
        <v>AIRS</v>
      </c>
      <c r="D1288" s="4">
        <v>4.95</v>
      </c>
      <c r="E1288" s="50">
        <v>-60</v>
      </c>
      <c r="F1288" s="81">
        <f>IF(Table25[[#This Row],[Number of stocks]]&gt;0,Table25[[#This Row],[Number of stocks]],0)</f>
        <v>0</v>
      </c>
      <c r="G1288" s="73">
        <f>Table25[[#This Row],[Bought]]*Table25[[#This Row],[Price]]</f>
        <v>0</v>
      </c>
      <c r="H1288">
        <f>SUMIF(Table25[[#All],[Assets]],Table25[[#This Row],[Assets]],Table25[[#All],[Bought]])</f>
        <v>2980</v>
      </c>
      <c r="I1288">
        <f>SUMIF(Table25[[#All],[Assets]],Table25[[#This Row],[Assets]],Table25[[#All],[Bought Amount]])</f>
        <v>14267.900000000001</v>
      </c>
      <c r="J1288" s="88">
        <f>IF(Table25[[#This Row],[Number of stocks]]&lt;0,Table25[[#This Row],[Number of stocks]],0)</f>
        <v>-60</v>
      </c>
      <c r="K1288" s="5">
        <f>Table25[[#This Row],[Sold]]*Table25[[#This Row],[Price]]</f>
        <v>-297</v>
      </c>
      <c r="L1288" s="8">
        <f>ABS(SUMIF(Table25[[#All],[Assets]],Table25[[#This Row],[Assets]],Table25[[#All],[Sold]]))</f>
        <v>2360</v>
      </c>
      <c r="M1288" s="5">
        <f>ABS(SUMIF(Table25[[#All],[Assets]],Table25[[#This Row],[Assets]],Table25[[#All],[Sold Amount]]))</f>
        <v>7796.6</v>
      </c>
      <c r="N1288" s="5">
        <f>IFERROR(Table25[[#This Row],[Total sold amount]]/Table25[[#This Row],[Total Sold number of stocks]],"")</f>
        <v>3.3036440677966104</v>
      </c>
      <c r="O1288" s="4">
        <f>IFERROR(Table25[[#This Row],[Total Amount bought]]/Table25[[#This Row],[Total number bought]],"")</f>
        <v>4.7878859060402688</v>
      </c>
      <c r="P1288" s="4">
        <f>IFERROR((Table25[[#This Row],[Average sell price]]-Table25[[#This Row],[Average buy price]])*Table25[[#This Row],[Total Sold number of stocks]],0)</f>
        <v>-3502.8107382550338</v>
      </c>
      <c r="Q1288" s="85">
        <f>SUMIF(Table25[[#All],[Assets]],Table25[[#This Row],[Assets]],Table25[[#All],[Number of stocks]])</f>
        <v>620</v>
      </c>
    </row>
    <row r="1289" spans="1:17">
      <c r="A1289" t="e" vm="203">
        <v>#VALUE!</v>
      </c>
      <c r="B1289" s="2">
        <v>45826</v>
      </c>
      <c r="C1289" t="str" cm="1">
        <f t="array" aca="1" ref="C1289" ca="1">_FV(A1289,"Ticker symbol",TRUE)</f>
        <v>TWLO</v>
      </c>
      <c r="D1289" s="4">
        <v>116.33</v>
      </c>
      <c r="E1289" s="50">
        <v>-10</v>
      </c>
      <c r="F1289" s="81">
        <f>IF(Table25[[#This Row],[Number of stocks]]&gt;0,Table25[[#This Row],[Number of stocks]],0)</f>
        <v>0</v>
      </c>
      <c r="G1289" s="73">
        <f>Table25[[#This Row],[Bought]]*Table25[[#This Row],[Price]]</f>
        <v>0</v>
      </c>
      <c r="H1289">
        <f>SUMIF(Table25[[#All],[Assets]],Table25[[#This Row],[Assets]],Table25[[#All],[Bought]])</f>
        <v>64</v>
      </c>
      <c r="I1289">
        <f>SUMIF(Table25[[#All],[Assets]],Table25[[#This Row],[Assets]],Table25[[#All],[Bought Amount]])</f>
        <v>7733.8899999999994</v>
      </c>
      <c r="J1289" s="88">
        <f>IF(Table25[[#This Row],[Number of stocks]]&lt;0,Table25[[#This Row],[Number of stocks]],0)</f>
        <v>-10</v>
      </c>
      <c r="K1289" s="5">
        <f>Table25[[#This Row],[Sold]]*Table25[[#This Row],[Price]]</f>
        <v>-1163.3</v>
      </c>
      <c r="L1289" s="8">
        <f>ABS(SUMIF(Table25[[#All],[Assets]],Table25[[#This Row],[Assets]],Table25[[#All],[Sold]]))</f>
        <v>64</v>
      </c>
      <c r="M1289" s="5">
        <f>ABS(SUMIF(Table25[[#All],[Assets]],Table25[[#This Row],[Assets]],Table25[[#All],[Sold Amount]]))</f>
        <v>7331.26</v>
      </c>
      <c r="N1289" s="5">
        <f>IFERROR(Table25[[#This Row],[Total sold amount]]/Table25[[#This Row],[Total Sold number of stocks]],"")</f>
        <v>114.5509375</v>
      </c>
      <c r="O1289" s="4">
        <f>IFERROR(Table25[[#This Row],[Total Amount bought]]/Table25[[#This Row],[Total number bought]],"")</f>
        <v>120.84203124999999</v>
      </c>
      <c r="P1289" s="4">
        <f>IFERROR((Table25[[#This Row],[Average sell price]]-Table25[[#This Row],[Average buy price]])*Table25[[#This Row],[Total Sold number of stocks]],0)</f>
        <v>-402.6299999999992</v>
      </c>
      <c r="Q1289" s="85">
        <f>SUMIF(Table25[[#All],[Assets]],Table25[[#This Row],[Assets]],Table25[[#All],[Number of stocks]])</f>
        <v>0</v>
      </c>
    </row>
    <row r="1290" spans="1:17">
      <c r="A1290" t="e" vm="209">
        <v>#VALUE!</v>
      </c>
      <c r="B1290" s="2">
        <v>45826</v>
      </c>
      <c r="C1290" t="str" cm="1">
        <f t="array" aca="1" ref="C1290" ca="1">_FV(A1290,"Ticker symbol",TRUE)</f>
        <v>CMTL</v>
      </c>
      <c r="D1290" s="4">
        <v>2.0099999999999998</v>
      </c>
      <c r="E1290" s="50">
        <v>-400</v>
      </c>
      <c r="F1290" s="81">
        <f>IF(Table25[[#This Row],[Number of stocks]]&gt;0,Table25[[#This Row],[Number of stocks]],0)</f>
        <v>0</v>
      </c>
      <c r="G1290" s="73">
        <f>Table25[[#This Row],[Bought]]*Table25[[#This Row],[Price]]</f>
        <v>0</v>
      </c>
      <c r="H1290">
        <f>SUMIF(Table25[[#All],[Assets]],Table25[[#This Row],[Assets]],Table25[[#All],[Bought]])</f>
        <v>900</v>
      </c>
      <c r="I1290">
        <f>SUMIF(Table25[[#All],[Assets]],Table25[[#This Row],[Assets]],Table25[[#All],[Bought Amount]])</f>
        <v>2867</v>
      </c>
      <c r="J1290" s="88">
        <f>IF(Table25[[#This Row],[Number of stocks]]&lt;0,Table25[[#This Row],[Number of stocks]],0)</f>
        <v>-400</v>
      </c>
      <c r="K1290" s="5">
        <f>Table25[[#This Row],[Sold]]*Table25[[#This Row],[Price]]</f>
        <v>-803.99999999999989</v>
      </c>
      <c r="L1290" s="8">
        <f>ABS(SUMIF(Table25[[#All],[Assets]],Table25[[#This Row],[Assets]],Table25[[#All],[Sold]]))</f>
        <v>800</v>
      </c>
      <c r="M1290" s="5">
        <f>ABS(SUMIF(Table25[[#All],[Assets]],Table25[[#This Row],[Assets]],Table25[[#All],[Sold Amount]]))</f>
        <v>1676</v>
      </c>
      <c r="N1290" s="5">
        <f>IFERROR(Table25[[#This Row],[Total sold amount]]/Table25[[#This Row],[Total Sold number of stocks]],"")</f>
        <v>2.0950000000000002</v>
      </c>
      <c r="O1290" s="4">
        <f>IFERROR(Table25[[#This Row],[Total Amount bought]]/Table25[[#This Row],[Total number bought]],"")</f>
        <v>3.1855555555555557</v>
      </c>
      <c r="P1290" s="4">
        <f>IFERROR((Table25[[#This Row],[Average sell price]]-Table25[[#This Row],[Average buy price]])*Table25[[#This Row],[Total Sold number of stocks]],0)</f>
        <v>-872.44444444444434</v>
      </c>
      <c r="Q1290" s="85">
        <f>SUMIF(Table25[[#All],[Assets]],Table25[[#This Row],[Assets]],Table25[[#All],[Number of stocks]])</f>
        <v>100</v>
      </c>
    </row>
    <row r="1291" spans="1:17">
      <c r="A1291" t="e" vm="77">
        <v>#VALUE!</v>
      </c>
      <c r="B1291" s="2">
        <v>45826</v>
      </c>
      <c r="C1291" t="str" cm="1">
        <f t="array" aca="1" ref="C1291" ca="1">_FV(A1291,"Ticker symbol",TRUE)</f>
        <v>STIM</v>
      </c>
      <c r="D1291" s="4">
        <v>3.48</v>
      </c>
      <c r="E1291" s="50">
        <v>-200</v>
      </c>
      <c r="F1291" s="81">
        <f>IF(Table25[[#This Row],[Number of stocks]]&gt;0,Table25[[#This Row],[Number of stocks]],0)</f>
        <v>0</v>
      </c>
      <c r="G1291" s="73">
        <f>Table25[[#This Row],[Bought]]*Table25[[#This Row],[Price]]</f>
        <v>0</v>
      </c>
      <c r="H1291">
        <f>SUMIF(Table25[[#All],[Assets]],Table25[[#This Row],[Assets]],Table25[[#All],[Bought]])</f>
        <v>7036.45</v>
      </c>
      <c r="I1291">
        <f>SUMIF(Table25[[#All],[Assets]],Table25[[#This Row],[Assets]],Table25[[#All],[Bought Amount]])</f>
        <v>19162.260000000002</v>
      </c>
      <c r="J1291" s="88">
        <f>IF(Table25[[#This Row],[Number of stocks]]&lt;0,Table25[[#This Row],[Number of stocks]],0)</f>
        <v>-200</v>
      </c>
      <c r="K1291" s="5">
        <f>Table25[[#This Row],[Sold]]*Table25[[#This Row],[Price]]</f>
        <v>-696</v>
      </c>
      <c r="L1291" s="8">
        <f>ABS(SUMIF(Table25[[#All],[Assets]],Table25[[#This Row],[Assets]],Table25[[#All],[Sold]]))</f>
        <v>6686.45</v>
      </c>
      <c r="M1291" s="5">
        <f>ABS(SUMIF(Table25[[#All],[Assets]],Table25[[#This Row],[Assets]],Table25[[#All],[Sold Amount]]))</f>
        <v>19226.484999999997</v>
      </c>
      <c r="N1291" s="5">
        <f>IFERROR(Table25[[#This Row],[Total sold amount]]/Table25[[#This Row],[Total Sold number of stocks]],"")</f>
        <v>2.8754398821497205</v>
      </c>
      <c r="O1291" s="4">
        <f>IFERROR(Table25[[#This Row],[Total Amount bought]]/Table25[[#This Row],[Total number bought]],"")</f>
        <v>2.7232851793162749</v>
      </c>
      <c r="P1291" s="4">
        <f>IFERROR((Table25[[#This Row],[Average sell price]]-Table25[[#This Row],[Average buy price]])*Table25[[#This Row],[Total Sold number of stocks]],0)</f>
        <v>1017.3748127606921</v>
      </c>
      <c r="Q1291" s="85">
        <f>SUMIF(Table25[[#All],[Assets]],Table25[[#This Row],[Assets]],Table25[[#All],[Number of stocks]])</f>
        <v>349.99999999999977</v>
      </c>
    </row>
    <row r="1292" spans="1:17">
      <c r="A1292" t="e" vm="263">
        <v>#VALUE!</v>
      </c>
      <c r="B1292" s="2">
        <v>45826</v>
      </c>
      <c r="C1292" t="str" cm="1">
        <f t="array" aca="1" ref="C1292" ca="1">_FV(A1292,"Ticker symbol",TRUE)</f>
        <v>GDRX</v>
      </c>
      <c r="D1292" s="4">
        <v>4.49</v>
      </c>
      <c r="E1292" s="50">
        <v>-50</v>
      </c>
      <c r="F1292" s="81">
        <f>IF(Table25[[#This Row],[Number of stocks]]&gt;0,Table25[[#This Row],[Number of stocks]],0)</f>
        <v>0</v>
      </c>
      <c r="G1292" s="73">
        <f>Table25[[#This Row],[Bought]]*Table25[[#This Row],[Price]]</f>
        <v>0</v>
      </c>
      <c r="H1292">
        <f>SUMIF(Table25[[#All],[Assets]],Table25[[#This Row],[Assets]],Table25[[#All],[Bought]])</f>
        <v>420</v>
      </c>
      <c r="I1292">
        <f>SUMIF(Table25[[#All],[Assets]],Table25[[#This Row],[Assets]],Table25[[#All],[Bought Amount]])</f>
        <v>1907.8000000000002</v>
      </c>
      <c r="J1292" s="88">
        <f>IF(Table25[[#This Row],[Number of stocks]]&lt;0,Table25[[#This Row],[Number of stocks]],0)</f>
        <v>-50</v>
      </c>
      <c r="K1292" s="5">
        <f>Table25[[#This Row],[Sold]]*Table25[[#This Row],[Price]]</f>
        <v>-224.5</v>
      </c>
      <c r="L1292" s="8">
        <f>ABS(SUMIF(Table25[[#All],[Assets]],Table25[[#This Row],[Assets]],Table25[[#All],[Sold]]))</f>
        <v>420</v>
      </c>
      <c r="M1292" s="5">
        <f>ABS(SUMIF(Table25[[#All],[Assets]],Table25[[#This Row],[Assets]],Table25[[#All],[Sold Amount]]))</f>
        <v>1792.2000000000003</v>
      </c>
      <c r="N1292" s="5">
        <f>IFERROR(Table25[[#This Row],[Total sold amount]]/Table25[[#This Row],[Total Sold number of stocks]],"")</f>
        <v>4.2671428571428578</v>
      </c>
      <c r="O1292" s="4">
        <f>IFERROR(Table25[[#This Row],[Total Amount bought]]/Table25[[#This Row],[Total number bought]],"")</f>
        <v>4.5423809523809524</v>
      </c>
      <c r="P1292" s="4">
        <f>IFERROR((Table25[[#This Row],[Average sell price]]-Table25[[#This Row],[Average buy price]])*Table25[[#This Row],[Total Sold number of stocks]],0)</f>
        <v>-115.59999999999974</v>
      </c>
      <c r="Q1292" s="85">
        <f>SUMIF(Table25[[#All],[Assets]],Table25[[#This Row],[Assets]],Table25[[#All],[Number of stocks]])</f>
        <v>0</v>
      </c>
    </row>
    <row r="1293" spans="1:17">
      <c r="A1293" t="e" vm="83">
        <v>#VALUE!</v>
      </c>
      <c r="B1293" s="2">
        <v>45826</v>
      </c>
      <c r="C1293" t="str" cm="1">
        <f t="array" aca="1" ref="C1293" ca="1">_FV(A1293,"Ticker symbol",TRUE)</f>
        <v>FOA</v>
      </c>
      <c r="D1293" s="4">
        <v>21.4</v>
      </c>
      <c r="E1293" s="50">
        <v>40</v>
      </c>
      <c r="F1293" s="81">
        <f>IF(Table25[[#This Row],[Number of stocks]]&gt;0,Table25[[#This Row],[Number of stocks]],0)</f>
        <v>40</v>
      </c>
      <c r="G1293" s="73">
        <f>Table25[[#This Row],[Bought]]*Table25[[#This Row],[Price]]</f>
        <v>856</v>
      </c>
      <c r="H1293">
        <f>SUMIF(Table25[[#All],[Assets]],Table25[[#This Row],[Assets]],Table25[[#All],[Bought]])</f>
        <v>203</v>
      </c>
      <c r="I1293">
        <f>SUMIF(Table25[[#All],[Assets]],Table25[[#This Row],[Assets]],Table25[[#All],[Bought Amount]])</f>
        <v>4881.38</v>
      </c>
      <c r="J1293" s="88">
        <f>IF(Table25[[#This Row],[Number of stocks]]&lt;0,Table25[[#This Row],[Number of stocks]],0)</f>
        <v>0</v>
      </c>
      <c r="K1293" s="5">
        <f>Table25[[#This Row],[Sold]]*Table25[[#This Row],[Price]]</f>
        <v>0</v>
      </c>
      <c r="L1293" s="8">
        <f>ABS(SUMIF(Table25[[#All],[Assets]],Table25[[#This Row],[Assets]],Table25[[#All],[Sold]]))</f>
        <v>203</v>
      </c>
      <c r="M1293" s="5">
        <f>ABS(SUMIF(Table25[[#All],[Assets]],Table25[[#This Row],[Assets]],Table25[[#All],[Sold Amount]]))</f>
        <v>4534.54</v>
      </c>
      <c r="N1293" s="5">
        <f>IFERROR(Table25[[#This Row],[Total sold amount]]/Table25[[#This Row],[Total Sold number of stocks]],"")</f>
        <v>22.337635467980295</v>
      </c>
      <c r="O1293" s="4">
        <f>IFERROR(Table25[[#This Row],[Total Amount bought]]/Table25[[#This Row],[Total number bought]],"")</f>
        <v>24.046206896551723</v>
      </c>
      <c r="P1293" s="4">
        <f>IFERROR((Table25[[#This Row],[Average sell price]]-Table25[[#This Row],[Average buy price]])*Table25[[#This Row],[Total Sold number of stocks]],0)</f>
        <v>-346.83999999999992</v>
      </c>
      <c r="Q1293" s="85">
        <f>SUMIF(Table25[[#All],[Assets]],Table25[[#This Row],[Assets]],Table25[[#All],[Number of stocks]])</f>
        <v>0</v>
      </c>
    </row>
    <row r="1294" spans="1:17">
      <c r="A1294" t="e" vm="231">
        <v>#VALUE!</v>
      </c>
      <c r="B1294" s="2">
        <v>45826</v>
      </c>
      <c r="C1294" t="str" cm="1">
        <f t="array" aca="1" ref="C1294" ca="1">_FV(A1294,"Ticker symbol",TRUE)</f>
        <v>UNH</v>
      </c>
      <c r="D1294" s="4">
        <v>309.43</v>
      </c>
      <c r="E1294" s="50">
        <v>-1</v>
      </c>
      <c r="F1294" s="81">
        <f>IF(Table25[[#This Row],[Number of stocks]]&gt;0,Table25[[#This Row],[Number of stocks]],0)</f>
        <v>0</v>
      </c>
      <c r="G1294" s="73">
        <f>Table25[[#This Row],[Bought]]*Table25[[#This Row],[Price]]</f>
        <v>0</v>
      </c>
      <c r="H1294">
        <f>SUMIF(Table25[[#All],[Assets]],Table25[[#This Row],[Assets]],Table25[[#All],[Bought]])</f>
        <v>4.9000000000000004</v>
      </c>
      <c r="I1294">
        <f>SUMIF(Table25[[#All],[Assets]],Table25[[#This Row],[Assets]],Table25[[#All],[Bought Amount]])</f>
        <v>1320.854</v>
      </c>
      <c r="J1294" s="88">
        <f>IF(Table25[[#This Row],[Number of stocks]]&lt;0,Table25[[#This Row],[Number of stocks]],0)</f>
        <v>-1</v>
      </c>
      <c r="K1294" s="5">
        <f>Table25[[#This Row],[Sold]]*Table25[[#This Row],[Price]]</f>
        <v>-309.43</v>
      </c>
      <c r="L1294" s="8">
        <f>ABS(SUMIF(Table25[[#All],[Assets]],Table25[[#This Row],[Assets]],Table25[[#All],[Sold]]))</f>
        <v>4.9000000000000004</v>
      </c>
      <c r="M1294" s="5">
        <f>ABS(SUMIF(Table25[[#All],[Assets]],Table25[[#This Row],[Assets]],Table25[[#All],[Sold Amount]]))</f>
        <v>1686.614</v>
      </c>
      <c r="N1294" s="5">
        <f>IFERROR(Table25[[#This Row],[Total sold amount]]/Table25[[#This Row],[Total Sold number of stocks]],"")</f>
        <v>344.2069387755102</v>
      </c>
      <c r="O1294" s="4">
        <f>IFERROR(Table25[[#This Row],[Total Amount bought]]/Table25[[#This Row],[Total number bought]],"")</f>
        <v>269.56204081632654</v>
      </c>
      <c r="P1294" s="4">
        <f>IFERROR((Table25[[#This Row],[Average sell price]]-Table25[[#This Row],[Average buy price]])*Table25[[#This Row],[Total Sold number of stocks]],0)</f>
        <v>365.75999999999993</v>
      </c>
      <c r="Q1294" s="85">
        <f>SUMIF(Table25[[#All],[Assets]],Table25[[#This Row],[Assets]],Table25[[#All],[Number of stocks]])</f>
        <v>0</v>
      </c>
    </row>
    <row r="1295" spans="1:17">
      <c r="A1295" t="e" vm="73">
        <v>#VALUE!</v>
      </c>
      <c r="B1295" s="2">
        <v>45826</v>
      </c>
      <c r="C1295" t="str" cm="1">
        <f t="array" aca="1" ref="C1295" ca="1">_FV(A1295,"Ticker symbol",TRUE)</f>
        <v>NOTV</v>
      </c>
      <c r="D1295" s="4">
        <v>2.25</v>
      </c>
      <c r="E1295" s="50">
        <v>180</v>
      </c>
      <c r="F1295" s="81">
        <f>IF(Table25[[#This Row],[Number of stocks]]&gt;0,Table25[[#This Row],[Number of stocks]],0)</f>
        <v>180</v>
      </c>
      <c r="G1295" s="73">
        <f>Table25[[#This Row],[Bought]]*Table25[[#This Row],[Price]]</f>
        <v>405</v>
      </c>
      <c r="H1295">
        <f>SUMIF(Table25[[#All],[Assets]],Table25[[#This Row],[Assets]],Table25[[#All],[Bought]])</f>
        <v>3556</v>
      </c>
      <c r="I1295">
        <f>SUMIF(Table25[[#All],[Assets]],Table25[[#This Row],[Assets]],Table25[[#All],[Bought Amount]])</f>
        <v>10249.890000000001</v>
      </c>
      <c r="J1295" s="88">
        <f>IF(Table25[[#This Row],[Number of stocks]]&lt;0,Table25[[#This Row],[Number of stocks]],0)</f>
        <v>0</v>
      </c>
      <c r="K1295" s="5">
        <f>Table25[[#This Row],[Sold]]*Table25[[#This Row],[Price]]</f>
        <v>0</v>
      </c>
      <c r="L1295" s="8">
        <f>ABS(SUMIF(Table25[[#All],[Assets]],Table25[[#This Row],[Assets]],Table25[[#All],[Sold]]))</f>
        <v>2741</v>
      </c>
      <c r="M1295" s="5">
        <f>ABS(SUMIF(Table25[[#All],[Assets]],Table25[[#This Row],[Assets]],Table25[[#All],[Sold Amount]]))</f>
        <v>6559.66</v>
      </c>
      <c r="N1295" s="5">
        <f>IFERROR(Table25[[#This Row],[Total sold amount]]/Table25[[#This Row],[Total Sold number of stocks]],"")</f>
        <v>2.3931630791681866</v>
      </c>
      <c r="O1295" s="4">
        <f>IFERROR(Table25[[#This Row],[Total Amount bought]]/Table25[[#This Row],[Total number bought]],"")</f>
        <v>2.8824212598425198</v>
      </c>
      <c r="P1295" s="4">
        <f>IFERROR((Table25[[#This Row],[Average sell price]]-Table25[[#This Row],[Average buy price]])*Table25[[#This Row],[Total Sold number of stocks]],0)</f>
        <v>-1341.0566732283473</v>
      </c>
      <c r="Q1295" s="85">
        <f>SUMIF(Table25[[#All],[Assets]],Table25[[#This Row],[Assets]],Table25[[#All],[Number of stocks]])</f>
        <v>815</v>
      </c>
    </row>
    <row r="1296" spans="1:17">
      <c r="A1296" t="e" vm="209">
        <v>#VALUE!</v>
      </c>
      <c r="B1296" s="2">
        <v>45828</v>
      </c>
      <c r="C1296" t="str" cm="1">
        <f t="array" aca="1" ref="C1296" ca="1">_FV(A1296,"Ticker symbol",TRUE)</f>
        <v>CMTL</v>
      </c>
      <c r="D1296" s="4">
        <v>2.1800000000000002</v>
      </c>
      <c r="E1296" s="50">
        <v>-400</v>
      </c>
      <c r="F1296" s="81">
        <f>IF(Table25[[#This Row],[Number of stocks]]&gt;0,Table25[[#This Row],[Number of stocks]],0)</f>
        <v>0</v>
      </c>
      <c r="G1296" s="73">
        <f>Table25[[#This Row],[Bought]]*Table25[[#This Row],[Price]]</f>
        <v>0</v>
      </c>
      <c r="H1296">
        <f>SUMIF(Table25[[#All],[Assets]],Table25[[#This Row],[Assets]],Table25[[#All],[Bought]])</f>
        <v>900</v>
      </c>
      <c r="I1296">
        <f>SUMIF(Table25[[#All],[Assets]],Table25[[#This Row],[Assets]],Table25[[#All],[Bought Amount]])</f>
        <v>2867</v>
      </c>
      <c r="J1296" s="88">
        <f>IF(Table25[[#This Row],[Number of stocks]]&lt;0,Table25[[#This Row],[Number of stocks]],0)</f>
        <v>-400</v>
      </c>
      <c r="K1296" s="5">
        <f>Table25[[#This Row],[Sold]]*Table25[[#This Row],[Price]]</f>
        <v>-872.00000000000011</v>
      </c>
      <c r="L1296" s="8">
        <f>ABS(SUMIF(Table25[[#All],[Assets]],Table25[[#This Row],[Assets]],Table25[[#All],[Sold]]))</f>
        <v>800</v>
      </c>
      <c r="M1296" s="5">
        <f>ABS(SUMIF(Table25[[#All],[Assets]],Table25[[#This Row],[Assets]],Table25[[#All],[Sold Amount]]))</f>
        <v>1676</v>
      </c>
      <c r="N1296" s="5">
        <f>IFERROR(Table25[[#This Row],[Total sold amount]]/Table25[[#This Row],[Total Sold number of stocks]],"")</f>
        <v>2.0950000000000002</v>
      </c>
      <c r="O1296" s="4">
        <f>IFERROR(Table25[[#This Row],[Total Amount bought]]/Table25[[#This Row],[Total number bought]],"")</f>
        <v>3.1855555555555557</v>
      </c>
      <c r="P1296" s="4">
        <f>IFERROR((Table25[[#This Row],[Average sell price]]-Table25[[#This Row],[Average buy price]])*Table25[[#This Row],[Total Sold number of stocks]],0)</f>
        <v>-872.44444444444434</v>
      </c>
      <c r="Q1296" s="85">
        <f>SUMIF(Table25[[#All],[Assets]],Table25[[#This Row],[Assets]],Table25[[#All],[Number of stocks]])</f>
        <v>100</v>
      </c>
    </row>
    <row r="1297" spans="1:17">
      <c r="A1297" t="e" vm="73">
        <v>#VALUE!</v>
      </c>
      <c r="B1297" s="2">
        <v>45828</v>
      </c>
      <c r="C1297" t="str" cm="1">
        <f t="array" aca="1" ref="C1297" ca="1">_FV(A1297,"Ticker symbol",TRUE)</f>
        <v>NOTV</v>
      </c>
      <c r="D1297" s="4">
        <v>2.04</v>
      </c>
      <c r="E1297" s="50">
        <v>28</v>
      </c>
      <c r="F1297" s="81">
        <f>IF(Table25[[#This Row],[Number of stocks]]&gt;0,Table25[[#This Row],[Number of stocks]],0)</f>
        <v>28</v>
      </c>
      <c r="G1297" s="73">
        <f>Table25[[#This Row],[Bought]]*Table25[[#This Row],[Price]]</f>
        <v>57.120000000000005</v>
      </c>
      <c r="H1297">
        <f>SUMIF(Table25[[#All],[Assets]],Table25[[#This Row],[Assets]],Table25[[#All],[Bought]])</f>
        <v>3556</v>
      </c>
      <c r="I1297">
        <f>SUMIF(Table25[[#All],[Assets]],Table25[[#This Row],[Assets]],Table25[[#All],[Bought Amount]])</f>
        <v>10249.890000000001</v>
      </c>
      <c r="J1297" s="88">
        <f>IF(Table25[[#This Row],[Number of stocks]]&lt;0,Table25[[#This Row],[Number of stocks]],0)</f>
        <v>0</v>
      </c>
      <c r="K1297" s="5">
        <f>Table25[[#This Row],[Sold]]*Table25[[#This Row],[Price]]</f>
        <v>0</v>
      </c>
      <c r="L1297" s="8">
        <f>ABS(SUMIF(Table25[[#All],[Assets]],Table25[[#This Row],[Assets]],Table25[[#All],[Sold]]))</f>
        <v>2741</v>
      </c>
      <c r="M1297" s="5">
        <f>ABS(SUMIF(Table25[[#All],[Assets]],Table25[[#This Row],[Assets]],Table25[[#All],[Sold Amount]]))</f>
        <v>6559.66</v>
      </c>
      <c r="N1297" s="5">
        <f>IFERROR(Table25[[#This Row],[Total sold amount]]/Table25[[#This Row],[Total Sold number of stocks]],"")</f>
        <v>2.3931630791681866</v>
      </c>
      <c r="O1297" s="4">
        <f>IFERROR(Table25[[#This Row],[Total Amount bought]]/Table25[[#This Row],[Total number bought]],"")</f>
        <v>2.8824212598425198</v>
      </c>
      <c r="P1297" s="4">
        <f>IFERROR((Table25[[#This Row],[Average sell price]]-Table25[[#This Row],[Average buy price]])*Table25[[#This Row],[Total Sold number of stocks]],0)</f>
        <v>-1341.0566732283473</v>
      </c>
      <c r="Q1297" s="85">
        <f>SUMIF(Table25[[#All],[Assets]],Table25[[#This Row],[Assets]],Table25[[#All],[Number of stocks]])</f>
        <v>815</v>
      </c>
    </row>
    <row r="1298" spans="1:17">
      <c r="A1298" t="e" vm="37">
        <v>#VALUE!</v>
      </c>
      <c r="B1298" s="2">
        <v>45831</v>
      </c>
      <c r="C1298" t="str" cm="1">
        <f t="array" aca="1" ref="C1298" ca="1">_FV(A1298,"Ticker symbol",TRUE)</f>
        <v>AMD</v>
      </c>
      <c r="D1298" s="4">
        <v>129.62</v>
      </c>
      <c r="E1298" s="50">
        <v>2</v>
      </c>
      <c r="F1298" s="81">
        <f>IF(Table25[[#This Row],[Number of stocks]]&gt;0,Table25[[#This Row],[Number of stocks]],0)</f>
        <v>2</v>
      </c>
      <c r="G1298" s="73">
        <f>Table25[[#This Row],[Bought]]*Table25[[#This Row],[Price]]</f>
        <v>259.24</v>
      </c>
      <c r="H1298">
        <f>SUMIF(Table25[[#All],[Assets]],Table25[[#This Row],[Assets]],Table25[[#All],[Bought]])</f>
        <v>41</v>
      </c>
      <c r="I1298">
        <f>SUMIF(Table25[[#All],[Assets]],Table25[[#This Row],[Assets]],Table25[[#All],[Bought Amount]])</f>
        <v>5552.8399999999992</v>
      </c>
      <c r="J1298" s="88">
        <f>IF(Table25[[#This Row],[Number of stocks]]&lt;0,Table25[[#This Row],[Number of stocks]],0)</f>
        <v>0</v>
      </c>
      <c r="K1298" s="5">
        <f>Table25[[#This Row],[Sold]]*Table25[[#This Row],[Price]]</f>
        <v>0</v>
      </c>
      <c r="L1298" s="8">
        <f>ABS(SUMIF(Table25[[#All],[Assets]],Table25[[#This Row],[Assets]],Table25[[#All],[Sold]]))</f>
        <v>23</v>
      </c>
      <c r="M1298" s="5">
        <f>ABS(SUMIF(Table25[[#All],[Assets]],Table25[[#This Row],[Assets]],Table25[[#All],[Sold Amount]]))</f>
        <v>3203.4199999999996</v>
      </c>
      <c r="N1298" s="5">
        <f>IFERROR(Table25[[#This Row],[Total sold amount]]/Table25[[#This Row],[Total Sold number of stocks]],"")</f>
        <v>139.27913043478259</v>
      </c>
      <c r="O1298" s="4">
        <f>IFERROR(Table25[[#This Row],[Total Amount bought]]/Table25[[#This Row],[Total number bought]],"")</f>
        <v>135.43512195121949</v>
      </c>
      <c r="P1298" s="4">
        <f>IFERROR((Table25[[#This Row],[Average sell price]]-Table25[[#This Row],[Average buy price]])*Table25[[#This Row],[Total Sold number of stocks]],0)</f>
        <v>88.412195121951328</v>
      </c>
      <c r="Q1298" s="85">
        <f>SUMIF(Table25[[#All],[Assets]],Table25[[#This Row],[Assets]],Table25[[#All],[Number of stocks]])</f>
        <v>18</v>
      </c>
    </row>
    <row r="1299" spans="1:17">
      <c r="A1299" t="e" vm="78">
        <v>#VALUE!</v>
      </c>
      <c r="B1299" s="2">
        <v>45831</v>
      </c>
      <c r="C1299" t="str" cm="1">
        <f t="array" aca="1" ref="C1299" ca="1">_FV(A1299,"Ticker symbol",TRUE)</f>
        <v>TOI</v>
      </c>
      <c r="D1299" s="4">
        <v>2.33</v>
      </c>
      <c r="E1299" s="50">
        <v>400</v>
      </c>
      <c r="F1299" s="81">
        <f>IF(Table25[[#This Row],[Number of stocks]]&gt;0,Table25[[#This Row],[Number of stocks]],0)</f>
        <v>400</v>
      </c>
      <c r="G1299" s="73">
        <f>Table25[[#This Row],[Bought]]*Table25[[#This Row],[Price]]</f>
        <v>932</v>
      </c>
      <c r="H1299">
        <f>SUMIF(Table25[[#All],[Assets]],Table25[[#This Row],[Assets]],Table25[[#All],[Bought]])</f>
        <v>2120</v>
      </c>
      <c r="I1299">
        <f>SUMIF(Table25[[#All],[Assets]],Table25[[#This Row],[Assets]],Table25[[#All],[Bought Amount]])</f>
        <v>4215.1000000000004</v>
      </c>
      <c r="J1299" s="88">
        <f>IF(Table25[[#This Row],[Number of stocks]]&lt;0,Table25[[#This Row],[Number of stocks]],0)</f>
        <v>0</v>
      </c>
      <c r="K1299" s="5">
        <f>Table25[[#This Row],[Sold]]*Table25[[#This Row],[Price]]</f>
        <v>0</v>
      </c>
      <c r="L1299" s="8">
        <f>ABS(SUMIF(Table25[[#All],[Assets]],Table25[[#This Row],[Assets]],Table25[[#All],[Sold]]))</f>
        <v>1120</v>
      </c>
      <c r="M1299" s="5">
        <f>ABS(SUMIF(Table25[[#All],[Assets]],Table25[[#This Row],[Assets]],Table25[[#All],[Sold Amount]]))</f>
        <v>3202.4</v>
      </c>
      <c r="N1299" s="5">
        <f>IFERROR(Table25[[#This Row],[Total sold amount]]/Table25[[#This Row],[Total Sold number of stocks]],"")</f>
        <v>2.8592857142857144</v>
      </c>
      <c r="O1299" s="4">
        <f>IFERROR(Table25[[#This Row],[Total Amount bought]]/Table25[[#This Row],[Total number bought]],"")</f>
        <v>1.9882547169811322</v>
      </c>
      <c r="P1299" s="4">
        <f>IFERROR((Table25[[#This Row],[Average sell price]]-Table25[[#This Row],[Average buy price]])*Table25[[#This Row],[Total Sold number of stocks]],0)</f>
        <v>975.55471698113206</v>
      </c>
      <c r="Q1299" s="85">
        <f>SUMIF(Table25[[#All],[Assets]],Table25[[#This Row],[Assets]],Table25[[#All],[Number of stocks]])</f>
        <v>1000</v>
      </c>
    </row>
    <row r="1300" spans="1:17">
      <c r="A1300" t="e" vm="81">
        <v>#VALUE!</v>
      </c>
      <c r="B1300" s="2">
        <v>45832</v>
      </c>
      <c r="C1300" t="str" cm="1">
        <f t="array" aca="1" ref="C1300" ca="1">_FV(A1300,"Ticker symbol",TRUE)</f>
        <v>DLO</v>
      </c>
      <c r="D1300" s="4">
        <v>11.06</v>
      </c>
      <c r="E1300" s="50">
        <v>18</v>
      </c>
      <c r="F1300" s="81">
        <f>IF(Table25[[#This Row],[Number of stocks]]&gt;0,Table25[[#This Row],[Number of stocks]],0)</f>
        <v>18</v>
      </c>
      <c r="G1300" s="73">
        <f>Table25[[#This Row],[Bought]]*Table25[[#This Row],[Price]]</f>
        <v>199.08</v>
      </c>
      <c r="H1300">
        <f>SUMIF(Table25[[#All],[Assets]],Table25[[#This Row],[Assets]],Table25[[#All],[Bought]])</f>
        <v>436</v>
      </c>
      <c r="I1300">
        <f>SUMIF(Table25[[#All],[Assets]],Table25[[#This Row],[Assets]],Table25[[#All],[Bought Amount]])</f>
        <v>5840.9900000000007</v>
      </c>
      <c r="J1300" s="88">
        <f>IF(Table25[[#This Row],[Number of stocks]]&lt;0,Table25[[#This Row],[Number of stocks]],0)</f>
        <v>0</v>
      </c>
      <c r="K1300" s="5">
        <f>Table25[[#This Row],[Sold]]*Table25[[#This Row],[Price]]</f>
        <v>0</v>
      </c>
      <c r="L1300" s="8">
        <f>ABS(SUMIF(Table25[[#All],[Assets]],Table25[[#This Row],[Assets]],Table25[[#All],[Sold]]))</f>
        <v>436</v>
      </c>
      <c r="M1300" s="5">
        <f>ABS(SUMIF(Table25[[#All],[Assets]],Table25[[#This Row],[Assets]],Table25[[#All],[Sold Amount]]))</f>
        <v>5546.6</v>
      </c>
      <c r="N1300" s="5">
        <f>IFERROR(Table25[[#This Row],[Total sold amount]]/Table25[[#This Row],[Total Sold number of stocks]],"")</f>
        <v>12.721559633027523</v>
      </c>
      <c r="O1300" s="4">
        <f>IFERROR(Table25[[#This Row],[Total Amount bought]]/Table25[[#This Row],[Total number bought]],"")</f>
        <v>13.396766055045873</v>
      </c>
      <c r="P1300" s="4">
        <f>IFERROR((Table25[[#This Row],[Average sell price]]-Table25[[#This Row],[Average buy price]])*Table25[[#This Row],[Total Sold number of stocks]],0)</f>
        <v>-294.39000000000073</v>
      </c>
      <c r="Q1300" s="85">
        <f>SUMIF(Table25[[#All],[Assets]],Table25[[#This Row],[Assets]],Table25[[#All],[Number of stocks]])</f>
        <v>0</v>
      </c>
    </row>
    <row r="1301" spans="1:17">
      <c r="A1301" t="e" vm="90">
        <v>#VALUE!</v>
      </c>
      <c r="B1301" s="2">
        <v>45832</v>
      </c>
      <c r="C1301" t="str" cm="1">
        <f t="array" aca="1" ref="C1301" ca="1">_FV(A1301,"Ticker symbol",TRUE)</f>
        <v>ASTS</v>
      </c>
      <c r="D1301" s="4">
        <v>51.04</v>
      </c>
      <c r="E1301" s="50">
        <v>-11</v>
      </c>
      <c r="F1301" s="81">
        <f>IF(Table25[[#This Row],[Number of stocks]]&gt;0,Table25[[#This Row],[Number of stocks]],0)</f>
        <v>0</v>
      </c>
      <c r="G1301" s="73">
        <f>Table25[[#This Row],[Bought]]*Table25[[#This Row],[Price]]</f>
        <v>0</v>
      </c>
      <c r="H1301">
        <f>SUMIF(Table25[[#All],[Assets]],Table25[[#This Row],[Assets]],Table25[[#All],[Bought]])</f>
        <v>47</v>
      </c>
      <c r="I1301">
        <f>SUMIF(Table25[[#All],[Assets]],Table25[[#This Row],[Assets]],Table25[[#All],[Bought Amount]])</f>
        <v>1690.75</v>
      </c>
      <c r="J1301" s="88">
        <f>IF(Table25[[#This Row],[Number of stocks]]&lt;0,Table25[[#This Row],[Number of stocks]],0)</f>
        <v>-11</v>
      </c>
      <c r="K1301" s="5">
        <f>Table25[[#This Row],[Sold]]*Table25[[#This Row],[Price]]</f>
        <v>-561.43999999999994</v>
      </c>
      <c r="L1301" s="8">
        <f>ABS(SUMIF(Table25[[#All],[Assets]],Table25[[#This Row],[Assets]],Table25[[#All],[Sold]]))</f>
        <v>37</v>
      </c>
      <c r="M1301" s="5">
        <f>ABS(SUMIF(Table25[[#All],[Assets]],Table25[[#This Row],[Assets]],Table25[[#All],[Sold Amount]]))</f>
        <v>2479.08</v>
      </c>
      <c r="N1301" s="5">
        <f>IFERROR(Table25[[#This Row],[Total sold amount]]/Table25[[#This Row],[Total Sold number of stocks]],"")</f>
        <v>67.002162162162165</v>
      </c>
      <c r="O1301" s="4">
        <f>IFERROR(Table25[[#This Row],[Total Amount bought]]/Table25[[#This Row],[Total number bought]],"")</f>
        <v>35.973404255319146</v>
      </c>
      <c r="P1301" s="4">
        <f>IFERROR((Table25[[#This Row],[Average sell price]]-Table25[[#This Row],[Average buy price]])*Table25[[#This Row],[Total Sold number of stocks]],0)</f>
        <v>1148.0640425531917</v>
      </c>
      <c r="Q1301" s="85">
        <f>SUMIF(Table25[[#All],[Assets]],Table25[[#This Row],[Assets]],Table25[[#All],[Number of stocks]])</f>
        <v>10</v>
      </c>
    </row>
    <row r="1302" spans="1:17">
      <c r="A1302" t="e" vm="81">
        <v>#VALUE!</v>
      </c>
      <c r="B1302" s="2">
        <v>45832</v>
      </c>
      <c r="C1302" t="str" cm="1">
        <f t="array" aca="1" ref="C1302" ca="1">_FV(A1302,"Ticker symbol",TRUE)</f>
        <v>DLO</v>
      </c>
      <c r="D1302" s="4">
        <v>11.18</v>
      </c>
      <c r="E1302" s="50">
        <v>50</v>
      </c>
      <c r="F1302" s="81">
        <f>IF(Table25[[#This Row],[Number of stocks]]&gt;0,Table25[[#This Row],[Number of stocks]],0)</f>
        <v>50</v>
      </c>
      <c r="G1302" s="73">
        <f>Table25[[#This Row],[Bought]]*Table25[[#This Row],[Price]]</f>
        <v>559</v>
      </c>
      <c r="H1302">
        <f>SUMIF(Table25[[#All],[Assets]],Table25[[#This Row],[Assets]],Table25[[#All],[Bought]])</f>
        <v>436</v>
      </c>
      <c r="I1302">
        <f>SUMIF(Table25[[#All],[Assets]],Table25[[#This Row],[Assets]],Table25[[#All],[Bought Amount]])</f>
        <v>5840.9900000000007</v>
      </c>
      <c r="J1302" s="88">
        <f>IF(Table25[[#This Row],[Number of stocks]]&lt;0,Table25[[#This Row],[Number of stocks]],0)</f>
        <v>0</v>
      </c>
      <c r="K1302" s="5">
        <f>Table25[[#This Row],[Sold]]*Table25[[#This Row],[Price]]</f>
        <v>0</v>
      </c>
      <c r="L1302" s="8">
        <f>ABS(SUMIF(Table25[[#All],[Assets]],Table25[[#This Row],[Assets]],Table25[[#All],[Sold]]))</f>
        <v>436</v>
      </c>
      <c r="M1302" s="5">
        <f>ABS(SUMIF(Table25[[#All],[Assets]],Table25[[#This Row],[Assets]],Table25[[#All],[Sold Amount]]))</f>
        <v>5546.6</v>
      </c>
      <c r="N1302" s="5">
        <f>IFERROR(Table25[[#This Row],[Total sold amount]]/Table25[[#This Row],[Total Sold number of stocks]],"")</f>
        <v>12.721559633027523</v>
      </c>
      <c r="O1302" s="4">
        <f>IFERROR(Table25[[#This Row],[Total Amount bought]]/Table25[[#This Row],[Total number bought]],"")</f>
        <v>13.396766055045873</v>
      </c>
      <c r="P1302" s="4">
        <f>IFERROR((Table25[[#This Row],[Average sell price]]-Table25[[#This Row],[Average buy price]])*Table25[[#This Row],[Total Sold number of stocks]],0)</f>
        <v>-294.39000000000073</v>
      </c>
      <c r="Q1302" s="85">
        <f>SUMIF(Table25[[#All],[Assets]],Table25[[#This Row],[Assets]],Table25[[#All],[Number of stocks]])</f>
        <v>0</v>
      </c>
    </row>
    <row r="1303" spans="1:17">
      <c r="A1303" t="e" vm="52">
        <v>#VALUE!</v>
      </c>
      <c r="B1303" s="2">
        <v>45832</v>
      </c>
      <c r="C1303" t="str" cm="1">
        <f t="array" aca="1" ref="C1303" ca="1">_FV(A1303,"Ticker symbol",TRUE)</f>
        <v>SMR</v>
      </c>
      <c r="D1303" s="4">
        <v>40.659999999999997</v>
      </c>
      <c r="E1303" s="50">
        <v>-3</v>
      </c>
      <c r="F1303" s="81">
        <f>IF(Table25[[#This Row],[Number of stocks]]&gt;0,Table25[[#This Row],[Number of stocks]],0)</f>
        <v>0</v>
      </c>
      <c r="G1303" s="73">
        <f>Table25[[#This Row],[Bought]]*Table25[[#This Row],[Price]]</f>
        <v>0</v>
      </c>
      <c r="H1303">
        <f>SUMIF(Table25[[#All],[Assets]],Table25[[#This Row],[Assets]],Table25[[#All],[Bought]])</f>
        <v>8</v>
      </c>
      <c r="I1303">
        <f>SUMIF(Table25[[#All],[Assets]],Table25[[#This Row],[Assets]],Table25[[#All],[Bought Amount]])</f>
        <v>87.63</v>
      </c>
      <c r="J1303" s="88">
        <f>IF(Table25[[#This Row],[Number of stocks]]&lt;0,Table25[[#This Row],[Number of stocks]],0)</f>
        <v>-3</v>
      </c>
      <c r="K1303" s="5">
        <f>Table25[[#This Row],[Sold]]*Table25[[#This Row],[Price]]</f>
        <v>-121.97999999999999</v>
      </c>
      <c r="L1303" s="8">
        <f>ABS(SUMIF(Table25[[#All],[Assets]],Table25[[#This Row],[Assets]],Table25[[#All],[Sold]]))</f>
        <v>8</v>
      </c>
      <c r="M1303" s="5">
        <f>ABS(SUMIF(Table25[[#All],[Assets]],Table25[[#This Row],[Assets]],Table25[[#All],[Sold Amount]]))</f>
        <v>207.52999999999997</v>
      </c>
      <c r="N1303" s="5">
        <f>IFERROR(Table25[[#This Row],[Total sold amount]]/Table25[[#This Row],[Total Sold number of stocks]],"")</f>
        <v>25.941249999999997</v>
      </c>
      <c r="O1303" s="4">
        <f>IFERROR(Table25[[#This Row],[Total Amount bought]]/Table25[[#This Row],[Total number bought]],"")</f>
        <v>10.953749999999999</v>
      </c>
      <c r="P1303" s="4">
        <f>IFERROR((Table25[[#This Row],[Average sell price]]-Table25[[#This Row],[Average buy price]])*Table25[[#This Row],[Total Sold number of stocks]],0)</f>
        <v>119.89999999999998</v>
      </c>
      <c r="Q1303" s="85">
        <f>SUMIF(Table25[[#All],[Assets]],Table25[[#This Row],[Assets]],Table25[[#All],[Number of stocks]])</f>
        <v>0</v>
      </c>
    </row>
    <row r="1304" spans="1:17">
      <c r="A1304" t="e" vm="65">
        <v>#VALUE!</v>
      </c>
      <c r="B1304" s="2">
        <v>45832</v>
      </c>
      <c r="C1304" t="str" cm="1">
        <f t="array" aca="1" ref="C1304" ca="1">_FV(A1304,"Ticker symbol",TRUE)</f>
        <v>GAP</v>
      </c>
      <c r="D1304" s="4">
        <v>21.41</v>
      </c>
      <c r="E1304" s="50">
        <v>-22</v>
      </c>
      <c r="F1304" s="81">
        <f>IF(Table25[[#This Row],[Number of stocks]]&gt;0,Table25[[#This Row],[Number of stocks]],0)</f>
        <v>0</v>
      </c>
      <c r="G1304" s="73">
        <f>Table25[[#This Row],[Bought]]*Table25[[#This Row],[Price]]</f>
        <v>0</v>
      </c>
      <c r="H1304">
        <f>SUMIF(Table25[[#All],[Assets]],Table25[[#This Row],[Assets]],Table25[[#All],[Bought]])</f>
        <v>166</v>
      </c>
      <c r="I1304">
        <f>SUMIF(Table25[[#All],[Assets]],Table25[[#This Row],[Assets]],Table25[[#All],[Bought Amount]])</f>
        <v>3889.4200000000005</v>
      </c>
      <c r="J1304" s="88">
        <f>IF(Table25[[#This Row],[Number of stocks]]&lt;0,Table25[[#This Row],[Number of stocks]],0)</f>
        <v>-22</v>
      </c>
      <c r="K1304" s="5">
        <f>Table25[[#This Row],[Sold]]*Table25[[#This Row],[Price]]</f>
        <v>-471.02</v>
      </c>
      <c r="L1304" s="8">
        <f>ABS(SUMIF(Table25[[#All],[Assets]],Table25[[#This Row],[Assets]],Table25[[#All],[Sold]]))</f>
        <v>166</v>
      </c>
      <c r="M1304" s="5">
        <f>ABS(SUMIF(Table25[[#All],[Assets]],Table25[[#This Row],[Assets]],Table25[[#All],[Sold Amount]]))</f>
        <v>3423.32</v>
      </c>
      <c r="N1304" s="5">
        <f>IFERROR(Table25[[#This Row],[Total sold amount]]/Table25[[#This Row],[Total Sold number of stocks]],"")</f>
        <v>20.622409638554217</v>
      </c>
      <c r="O1304" s="4">
        <f>IFERROR(Table25[[#This Row],[Total Amount bought]]/Table25[[#This Row],[Total number bought]],"")</f>
        <v>23.430240963855425</v>
      </c>
      <c r="P1304" s="4">
        <f>IFERROR((Table25[[#This Row],[Average sell price]]-Table25[[#This Row],[Average buy price]])*Table25[[#This Row],[Total Sold number of stocks]],0)</f>
        <v>-466.10000000000059</v>
      </c>
      <c r="Q1304" s="85">
        <f>SUMIF(Table25[[#All],[Assets]],Table25[[#This Row],[Assets]],Table25[[#All],[Number of stocks]])</f>
        <v>0</v>
      </c>
    </row>
    <row r="1305" spans="1:17">
      <c r="A1305" t="e" vm="257">
        <v>#VALUE!</v>
      </c>
      <c r="B1305" s="2">
        <v>45832</v>
      </c>
      <c r="C1305" t="str" cm="1">
        <f t="array" aca="1" ref="C1305" ca="1">_FV(A1305,"Ticker symbol",TRUE)</f>
        <v>CRSP</v>
      </c>
      <c r="D1305" s="4">
        <v>46.51</v>
      </c>
      <c r="E1305" s="50">
        <v>12</v>
      </c>
      <c r="F1305" s="81">
        <f>IF(Table25[[#This Row],[Number of stocks]]&gt;0,Table25[[#This Row],[Number of stocks]],0)</f>
        <v>12</v>
      </c>
      <c r="G1305" s="73">
        <f>Table25[[#This Row],[Bought]]*Table25[[#This Row],[Price]]</f>
        <v>558.12</v>
      </c>
      <c r="H1305">
        <f>SUMIF(Table25[[#All],[Assets]],Table25[[#This Row],[Assets]],Table25[[#All],[Bought]])</f>
        <v>12</v>
      </c>
      <c r="I1305">
        <f>SUMIF(Table25[[#All],[Assets]],Table25[[#This Row],[Assets]],Table25[[#All],[Bought Amount]])</f>
        <v>558.12</v>
      </c>
      <c r="J1305" s="88">
        <f>IF(Table25[[#This Row],[Number of stocks]]&lt;0,Table25[[#This Row],[Number of stocks]],0)</f>
        <v>0</v>
      </c>
      <c r="K1305" s="5">
        <f>Table25[[#This Row],[Sold]]*Table25[[#This Row],[Price]]</f>
        <v>0</v>
      </c>
      <c r="L1305" s="8">
        <f>ABS(SUMIF(Table25[[#All],[Assets]],Table25[[#This Row],[Assets]],Table25[[#All],[Sold]]))</f>
        <v>12</v>
      </c>
      <c r="M1305" s="5">
        <f>ABS(SUMIF(Table25[[#All],[Assets]],Table25[[#This Row],[Assets]],Table25[[#All],[Sold Amount]]))</f>
        <v>674.1</v>
      </c>
      <c r="N1305" s="5">
        <f>IFERROR(Table25[[#This Row],[Total sold amount]]/Table25[[#This Row],[Total Sold number of stocks]],"")</f>
        <v>56.175000000000004</v>
      </c>
      <c r="O1305" s="4">
        <f>IFERROR(Table25[[#This Row],[Total Amount bought]]/Table25[[#This Row],[Total number bought]],"")</f>
        <v>46.51</v>
      </c>
      <c r="P1305" s="4">
        <f>IFERROR((Table25[[#This Row],[Average sell price]]-Table25[[#This Row],[Average buy price]])*Table25[[#This Row],[Total Sold number of stocks]],0)</f>
        <v>115.98000000000008</v>
      </c>
      <c r="Q1305" s="85">
        <f>SUMIF(Table25[[#All],[Assets]],Table25[[#This Row],[Assets]],Table25[[#All],[Number of stocks]])</f>
        <v>0</v>
      </c>
    </row>
    <row r="1306" spans="1:17">
      <c r="A1306" t="e" vm="75">
        <v>#VALUE!</v>
      </c>
      <c r="B1306" s="2">
        <v>45832</v>
      </c>
      <c r="C1306" t="str" cm="1">
        <f t="array" aca="1" ref="C1306" ca="1">_FV(A1306,"Ticker symbol",TRUE)</f>
        <v>QTRX</v>
      </c>
      <c r="D1306" s="4">
        <v>5.95</v>
      </c>
      <c r="E1306" s="50">
        <v>-548</v>
      </c>
      <c r="F1306" s="81">
        <f>IF(Table25[[#This Row],[Number of stocks]]&gt;0,Table25[[#This Row],[Number of stocks]],0)</f>
        <v>0</v>
      </c>
      <c r="G1306" s="73">
        <f>Table25[[#This Row],[Bought]]*Table25[[#This Row],[Price]]</f>
        <v>0</v>
      </c>
      <c r="H1306">
        <f>SUMIF(Table25[[#All],[Assets]],Table25[[#This Row],[Assets]],Table25[[#All],[Bought]])</f>
        <v>1492</v>
      </c>
      <c r="I1306">
        <f>SUMIF(Table25[[#All],[Assets]],Table25[[#This Row],[Assets]],Table25[[#All],[Bought Amount]])</f>
        <v>10313.249999999998</v>
      </c>
      <c r="J1306" s="88">
        <f>IF(Table25[[#This Row],[Number of stocks]]&lt;0,Table25[[#This Row],[Number of stocks]],0)</f>
        <v>-548</v>
      </c>
      <c r="K1306" s="5">
        <f>Table25[[#This Row],[Sold]]*Table25[[#This Row],[Price]]</f>
        <v>-3260.6</v>
      </c>
      <c r="L1306" s="8">
        <f>ABS(SUMIF(Table25[[#All],[Assets]],Table25[[#This Row],[Assets]],Table25[[#All],[Sold]]))</f>
        <v>1492</v>
      </c>
      <c r="M1306" s="5">
        <f>ABS(SUMIF(Table25[[#All],[Assets]],Table25[[#This Row],[Assets]],Table25[[#All],[Sold Amount]]))</f>
        <v>8408.35</v>
      </c>
      <c r="N1306" s="5">
        <f>IFERROR(Table25[[#This Row],[Total sold amount]]/Table25[[#This Row],[Total Sold number of stocks]],"")</f>
        <v>5.635623324396783</v>
      </c>
      <c r="O1306" s="4">
        <f>IFERROR(Table25[[#This Row],[Total Amount bought]]/Table25[[#This Row],[Total number bought]],"")</f>
        <v>6.9123659517426264</v>
      </c>
      <c r="P1306" s="4">
        <f>IFERROR((Table25[[#This Row],[Average sell price]]-Table25[[#This Row],[Average buy price]])*Table25[[#This Row],[Total Sold number of stocks]],0)</f>
        <v>-1904.8999999999983</v>
      </c>
      <c r="Q1306" s="85">
        <f>SUMIF(Table25[[#All],[Assets]],Table25[[#This Row],[Assets]],Table25[[#All],[Number of stocks]])</f>
        <v>0</v>
      </c>
    </row>
    <row r="1307" spans="1:17">
      <c r="A1307" t="e" vm="264">
        <v>#VALUE!</v>
      </c>
      <c r="B1307" s="2">
        <v>45832</v>
      </c>
      <c r="C1307" t="str" cm="1">
        <f t="array" aca="1" ref="C1307" ca="1">_FV(A1307,"Ticker symbol",TRUE)</f>
        <v>BTSG</v>
      </c>
      <c r="D1307" s="4">
        <v>22.91</v>
      </c>
      <c r="E1307" s="50">
        <v>-10</v>
      </c>
      <c r="F1307" s="81">
        <f>IF(Table25[[#This Row],[Number of stocks]]&gt;0,Table25[[#This Row],[Number of stocks]],0)</f>
        <v>0</v>
      </c>
      <c r="G1307" s="73">
        <f>Table25[[#This Row],[Bought]]*Table25[[#This Row],[Price]]</f>
        <v>0</v>
      </c>
      <c r="H1307">
        <f>SUMIF(Table25[[#All],[Assets]],Table25[[#This Row],[Assets]],Table25[[#All],[Bought]])</f>
        <v>10</v>
      </c>
      <c r="I1307">
        <f>SUMIF(Table25[[#All],[Assets]],Table25[[#This Row],[Assets]],Table25[[#All],[Bought Amount]])</f>
        <v>233.9</v>
      </c>
      <c r="J1307" s="88">
        <f>IF(Table25[[#This Row],[Number of stocks]]&lt;0,Table25[[#This Row],[Number of stocks]],0)</f>
        <v>-10</v>
      </c>
      <c r="K1307" s="5">
        <f>Table25[[#This Row],[Sold]]*Table25[[#This Row],[Price]]</f>
        <v>-229.1</v>
      </c>
      <c r="L1307" s="8">
        <f>ABS(SUMIF(Table25[[#All],[Assets]],Table25[[#This Row],[Assets]],Table25[[#All],[Sold]]))</f>
        <v>10</v>
      </c>
      <c r="M1307" s="5">
        <f>ABS(SUMIF(Table25[[#All],[Assets]],Table25[[#This Row],[Assets]],Table25[[#All],[Sold Amount]]))</f>
        <v>229.1</v>
      </c>
      <c r="N1307" s="5">
        <f>IFERROR(Table25[[#This Row],[Total sold amount]]/Table25[[#This Row],[Total Sold number of stocks]],"")</f>
        <v>22.91</v>
      </c>
      <c r="O1307" s="4">
        <f>IFERROR(Table25[[#This Row],[Total Amount bought]]/Table25[[#This Row],[Total number bought]],"")</f>
        <v>23.39</v>
      </c>
      <c r="P1307" s="4">
        <f>IFERROR((Table25[[#This Row],[Average sell price]]-Table25[[#This Row],[Average buy price]])*Table25[[#This Row],[Total Sold number of stocks]],0)</f>
        <v>-4.8000000000000043</v>
      </c>
      <c r="Q1307" s="85">
        <f>SUMIF(Table25[[#All],[Assets]],Table25[[#This Row],[Assets]],Table25[[#All],[Number of stocks]])</f>
        <v>0</v>
      </c>
    </row>
    <row r="1308" spans="1:17">
      <c r="A1308" t="e" vm="75">
        <v>#VALUE!</v>
      </c>
      <c r="B1308" s="2">
        <v>45832</v>
      </c>
      <c r="C1308" t="str" cm="1">
        <f t="array" aca="1" ref="C1308" ca="1">_FV(A1308,"Ticker symbol",TRUE)</f>
        <v>QTRX</v>
      </c>
      <c r="D1308" s="4">
        <v>5.95</v>
      </c>
      <c r="E1308" s="50">
        <v>-200</v>
      </c>
      <c r="F1308" s="81">
        <f>IF(Table25[[#This Row],[Number of stocks]]&gt;0,Table25[[#This Row],[Number of stocks]],0)</f>
        <v>0</v>
      </c>
      <c r="G1308" s="73">
        <f>Table25[[#This Row],[Bought]]*Table25[[#This Row],[Price]]</f>
        <v>0</v>
      </c>
      <c r="H1308">
        <f>SUMIF(Table25[[#All],[Assets]],Table25[[#This Row],[Assets]],Table25[[#All],[Bought]])</f>
        <v>1492</v>
      </c>
      <c r="I1308">
        <f>SUMIF(Table25[[#All],[Assets]],Table25[[#This Row],[Assets]],Table25[[#All],[Bought Amount]])</f>
        <v>10313.249999999998</v>
      </c>
      <c r="J1308" s="88">
        <f>IF(Table25[[#This Row],[Number of stocks]]&lt;0,Table25[[#This Row],[Number of stocks]],0)</f>
        <v>-200</v>
      </c>
      <c r="K1308" s="5">
        <f>Table25[[#This Row],[Sold]]*Table25[[#This Row],[Price]]</f>
        <v>-1190</v>
      </c>
      <c r="L1308" s="8">
        <f>ABS(SUMIF(Table25[[#All],[Assets]],Table25[[#This Row],[Assets]],Table25[[#All],[Sold]]))</f>
        <v>1492</v>
      </c>
      <c r="M1308" s="5">
        <f>ABS(SUMIF(Table25[[#All],[Assets]],Table25[[#This Row],[Assets]],Table25[[#All],[Sold Amount]]))</f>
        <v>8408.35</v>
      </c>
      <c r="N1308" s="5">
        <f>IFERROR(Table25[[#This Row],[Total sold amount]]/Table25[[#This Row],[Total Sold number of stocks]],"")</f>
        <v>5.635623324396783</v>
      </c>
      <c r="O1308" s="4">
        <f>IFERROR(Table25[[#This Row],[Total Amount bought]]/Table25[[#This Row],[Total number bought]],"")</f>
        <v>6.9123659517426264</v>
      </c>
      <c r="P1308" s="4">
        <f>IFERROR((Table25[[#This Row],[Average sell price]]-Table25[[#This Row],[Average buy price]])*Table25[[#This Row],[Total Sold number of stocks]],0)</f>
        <v>-1904.8999999999983</v>
      </c>
      <c r="Q1308" s="85">
        <f>SUMIF(Table25[[#All],[Assets]],Table25[[#This Row],[Assets]],Table25[[#All],[Number of stocks]])</f>
        <v>0</v>
      </c>
    </row>
    <row r="1309" spans="1:17">
      <c r="A1309" t="e" vm="75">
        <v>#VALUE!</v>
      </c>
      <c r="B1309" s="2">
        <v>45832</v>
      </c>
      <c r="C1309" t="str" cm="1">
        <f t="array" aca="1" ref="C1309" ca="1">_FV(A1309,"Ticker symbol",TRUE)</f>
        <v>QTRX</v>
      </c>
      <c r="D1309" s="4">
        <v>5.95</v>
      </c>
      <c r="E1309" s="50">
        <v>-120</v>
      </c>
      <c r="F1309" s="81">
        <f>IF(Table25[[#This Row],[Number of stocks]]&gt;0,Table25[[#This Row],[Number of stocks]],0)</f>
        <v>0</v>
      </c>
      <c r="G1309" s="73">
        <f>Table25[[#This Row],[Bought]]*Table25[[#This Row],[Price]]</f>
        <v>0</v>
      </c>
      <c r="H1309">
        <f>SUMIF(Table25[[#All],[Assets]],Table25[[#This Row],[Assets]],Table25[[#All],[Bought]])</f>
        <v>1492</v>
      </c>
      <c r="I1309">
        <f>SUMIF(Table25[[#All],[Assets]],Table25[[#This Row],[Assets]],Table25[[#All],[Bought Amount]])</f>
        <v>10313.249999999998</v>
      </c>
      <c r="J1309" s="88">
        <f>IF(Table25[[#This Row],[Number of stocks]]&lt;0,Table25[[#This Row],[Number of stocks]],0)</f>
        <v>-120</v>
      </c>
      <c r="K1309" s="5">
        <f>Table25[[#This Row],[Sold]]*Table25[[#This Row],[Price]]</f>
        <v>-714</v>
      </c>
      <c r="L1309" s="8">
        <f>ABS(SUMIF(Table25[[#All],[Assets]],Table25[[#This Row],[Assets]],Table25[[#All],[Sold]]))</f>
        <v>1492</v>
      </c>
      <c r="M1309" s="5">
        <f>ABS(SUMIF(Table25[[#All],[Assets]],Table25[[#This Row],[Assets]],Table25[[#All],[Sold Amount]]))</f>
        <v>8408.35</v>
      </c>
      <c r="N1309" s="5">
        <f>IFERROR(Table25[[#This Row],[Total sold amount]]/Table25[[#This Row],[Total Sold number of stocks]],"")</f>
        <v>5.635623324396783</v>
      </c>
      <c r="O1309" s="4">
        <f>IFERROR(Table25[[#This Row],[Total Amount bought]]/Table25[[#This Row],[Total number bought]],"")</f>
        <v>6.9123659517426264</v>
      </c>
      <c r="P1309" s="4">
        <f>IFERROR((Table25[[#This Row],[Average sell price]]-Table25[[#This Row],[Average buy price]])*Table25[[#This Row],[Total Sold number of stocks]],0)</f>
        <v>-1904.8999999999983</v>
      </c>
      <c r="Q1309" s="85">
        <f>SUMIF(Table25[[#All],[Assets]],Table25[[#This Row],[Assets]],Table25[[#All],[Number of stocks]])</f>
        <v>0</v>
      </c>
    </row>
    <row r="1310" spans="1:17">
      <c r="A1310" t="e" vm="81">
        <v>#VALUE!</v>
      </c>
      <c r="B1310" s="2">
        <v>45832</v>
      </c>
      <c r="C1310" t="str" cm="1">
        <f t="array" aca="1" ref="C1310" ca="1">_FV(A1310,"Ticker symbol",TRUE)</f>
        <v>DLO</v>
      </c>
      <c r="D1310" s="4">
        <v>11.09</v>
      </c>
      <c r="E1310" s="50">
        <v>100</v>
      </c>
      <c r="F1310" s="81">
        <f>IF(Table25[[#This Row],[Number of stocks]]&gt;0,Table25[[#This Row],[Number of stocks]],0)</f>
        <v>100</v>
      </c>
      <c r="G1310" s="73">
        <f>Table25[[#This Row],[Bought]]*Table25[[#This Row],[Price]]</f>
        <v>1109</v>
      </c>
      <c r="H1310">
        <f>SUMIF(Table25[[#All],[Assets]],Table25[[#This Row],[Assets]],Table25[[#All],[Bought]])</f>
        <v>436</v>
      </c>
      <c r="I1310">
        <f>SUMIF(Table25[[#All],[Assets]],Table25[[#This Row],[Assets]],Table25[[#All],[Bought Amount]])</f>
        <v>5840.9900000000007</v>
      </c>
      <c r="J1310" s="88">
        <f>IF(Table25[[#This Row],[Number of stocks]]&lt;0,Table25[[#This Row],[Number of stocks]],0)</f>
        <v>0</v>
      </c>
      <c r="K1310" s="5">
        <f>Table25[[#This Row],[Sold]]*Table25[[#This Row],[Price]]</f>
        <v>0</v>
      </c>
      <c r="L1310" s="8">
        <f>ABS(SUMIF(Table25[[#All],[Assets]],Table25[[#This Row],[Assets]],Table25[[#All],[Sold]]))</f>
        <v>436</v>
      </c>
      <c r="M1310" s="5">
        <f>ABS(SUMIF(Table25[[#All],[Assets]],Table25[[#This Row],[Assets]],Table25[[#All],[Sold Amount]]))</f>
        <v>5546.6</v>
      </c>
      <c r="N1310" s="5">
        <f>IFERROR(Table25[[#This Row],[Total sold amount]]/Table25[[#This Row],[Total Sold number of stocks]],"")</f>
        <v>12.721559633027523</v>
      </c>
      <c r="O1310" s="4">
        <f>IFERROR(Table25[[#This Row],[Total Amount bought]]/Table25[[#This Row],[Total number bought]],"")</f>
        <v>13.396766055045873</v>
      </c>
      <c r="P1310" s="4">
        <f>IFERROR((Table25[[#This Row],[Average sell price]]-Table25[[#This Row],[Average buy price]])*Table25[[#This Row],[Total Sold number of stocks]],0)</f>
        <v>-294.39000000000073</v>
      </c>
      <c r="Q1310" s="85">
        <f>SUMIF(Table25[[#All],[Assets]],Table25[[#This Row],[Assets]],Table25[[#All],[Number of stocks]])</f>
        <v>0</v>
      </c>
    </row>
    <row r="1311" spans="1:17">
      <c r="A1311" t="e" vm="80">
        <v>#VALUE!</v>
      </c>
      <c r="B1311" s="2">
        <v>45838</v>
      </c>
      <c r="C1311" t="str" cm="1">
        <f t="array" aca="1" ref="C1311" ca="1">_FV(A1311,"Ticker symbol",TRUE)</f>
        <v>PYPL</v>
      </c>
      <c r="D1311" s="4">
        <v>73.53</v>
      </c>
      <c r="E1311" s="50">
        <v>15</v>
      </c>
      <c r="F1311" s="81">
        <f>IF(Table25[[#This Row],[Number of stocks]]&gt;0,Table25[[#This Row],[Number of stocks]],0)</f>
        <v>15</v>
      </c>
      <c r="G1311" s="73">
        <f>Table25[[#This Row],[Bought]]*Table25[[#This Row],[Price]]</f>
        <v>1102.95</v>
      </c>
      <c r="H1311">
        <f>SUMIF(Table25[[#All],[Assets]],Table25[[#This Row],[Assets]],Table25[[#All],[Bought]])</f>
        <v>223</v>
      </c>
      <c r="I1311">
        <f>SUMIF(Table25[[#All],[Assets]],Table25[[#This Row],[Assets]],Table25[[#All],[Bought Amount]])</f>
        <v>14862.050000000003</v>
      </c>
      <c r="J1311" s="88">
        <f>IF(Table25[[#This Row],[Number of stocks]]&lt;0,Table25[[#This Row],[Number of stocks]],0)</f>
        <v>0</v>
      </c>
      <c r="K1311" s="5">
        <f>Table25[[#This Row],[Sold]]*Table25[[#This Row],[Price]]</f>
        <v>0</v>
      </c>
      <c r="L1311" s="8">
        <f>ABS(SUMIF(Table25[[#All],[Assets]],Table25[[#This Row],[Assets]],Table25[[#All],[Sold]]))</f>
        <v>222</v>
      </c>
      <c r="M1311" s="5">
        <f>ABS(SUMIF(Table25[[#All],[Assets]],Table25[[#This Row],[Assets]],Table25[[#All],[Sold Amount]]))</f>
        <v>15255.44</v>
      </c>
      <c r="N1311" s="5">
        <f>IFERROR(Table25[[#This Row],[Total sold amount]]/Table25[[#This Row],[Total Sold number of stocks]],"")</f>
        <v>68.718198198198195</v>
      </c>
      <c r="O1311" s="4">
        <f>IFERROR(Table25[[#This Row],[Total Amount bought]]/Table25[[#This Row],[Total number bought]],"")</f>
        <v>66.645964125560553</v>
      </c>
      <c r="P1311" s="4">
        <f>IFERROR((Table25[[#This Row],[Average sell price]]-Table25[[#This Row],[Average buy price]])*Table25[[#This Row],[Total Sold number of stocks]],0)</f>
        <v>460.03596412555646</v>
      </c>
      <c r="Q1311" s="85">
        <f>SUMIF(Table25[[#All],[Assets]],Table25[[#This Row],[Assets]],Table25[[#All],[Number of stocks]])</f>
        <v>1</v>
      </c>
    </row>
    <row r="1312" spans="1:17">
      <c r="A1312" t="e" vm="82">
        <v>#VALUE!</v>
      </c>
      <c r="B1312" s="2">
        <v>45832</v>
      </c>
      <c r="C1312" t="str" cm="1">
        <f t="array" aca="1" ref="C1312" ca="1">_FV(A1312,"Ticker symbol",TRUE)</f>
        <v>XYZ</v>
      </c>
      <c r="D1312" s="4">
        <v>65.489999999999995</v>
      </c>
      <c r="E1312" s="50">
        <v>18</v>
      </c>
      <c r="F1312" s="81">
        <f>IF(Table25[[#This Row],[Number of stocks]]&gt;0,Table25[[#This Row],[Number of stocks]],0)</f>
        <v>18</v>
      </c>
      <c r="G1312" s="73">
        <f>Table25[[#This Row],[Bought]]*Table25[[#This Row],[Price]]</f>
        <v>1178.82</v>
      </c>
      <c r="H1312">
        <f>SUMIF(Table25[[#All],[Assets]],Table25[[#This Row],[Assets]],Table25[[#All],[Bought]])</f>
        <v>35</v>
      </c>
      <c r="I1312">
        <f>SUMIF(Table25[[#All],[Assets]],Table25[[#This Row],[Assets]],Table25[[#All],[Bought Amount]])</f>
        <v>2551.4399999999996</v>
      </c>
      <c r="J1312" s="88">
        <f>IF(Table25[[#This Row],[Number of stocks]]&lt;0,Table25[[#This Row],[Number of stocks]],0)</f>
        <v>0</v>
      </c>
      <c r="K1312" s="5">
        <f>Table25[[#This Row],[Sold]]*Table25[[#This Row],[Price]]</f>
        <v>0</v>
      </c>
      <c r="L1312" s="8">
        <f>ABS(SUMIF(Table25[[#All],[Assets]],Table25[[#This Row],[Assets]],Table25[[#All],[Sold]]))</f>
        <v>35</v>
      </c>
      <c r="M1312" s="5">
        <f>ABS(SUMIF(Table25[[#All],[Assets]],Table25[[#This Row],[Assets]],Table25[[#All],[Sold Amount]]))</f>
        <v>2639.0700000000006</v>
      </c>
      <c r="N1312" s="5">
        <f>IFERROR(Table25[[#This Row],[Total sold amount]]/Table25[[#This Row],[Total Sold number of stocks]],"")</f>
        <v>75.402000000000015</v>
      </c>
      <c r="O1312" s="4">
        <f>IFERROR(Table25[[#This Row],[Total Amount bought]]/Table25[[#This Row],[Total number bought]],"")</f>
        <v>72.898285714285706</v>
      </c>
      <c r="P1312" s="4">
        <f>IFERROR((Table25[[#This Row],[Average sell price]]-Table25[[#This Row],[Average buy price]])*Table25[[#This Row],[Total Sold number of stocks]],0)</f>
        <v>87.630000000000834</v>
      </c>
      <c r="Q1312" s="85">
        <f>SUMIF(Table25[[#All],[Assets]],Table25[[#This Row],[Assets]],Table25[[#All],[Number of stocks]])</f>
        <v>0</v>
      </c>
    </row>
    <row r="1313" spans="1:17">
      <c r="A1313" t="e" vm="183">
        <v>#VALUE!</v>
      </c>
      <c r="B1313" s="2">
        <v>45832</v>
      </c>
      <c r="C1313" t="str" cm="1">
        <f t="array" aca="1" ref="C1313" ca="1">_FV(A1313,"Ticker symbol",TRUE)</f>
        <v>ESOA</v>
      </c>
      <c r="D1313" s="4">
        <v>9.5299999999999994</v>
      </c>
      <c r="E1313" s="50">
        <v>-100</v>
      </c>
      <c r="F1313" s="81">
        <f>IF(Table25[[#This Row],[Number of stocks]]&gt;0,Table25[[#This Row],[Number of stocks]],0)</f>
        <v>0</v>
      </c>
      <c r="G1313" s="73">
        <f>Table25[[#This Row],[Bought]]*Table25[[#This Row],[Price]]</f>
        <v>0</v>
      </c>
      <c r="H1313">
        <f>SUMIF(Table25[[#All],[Assets]],Table25[[#This Row],[Assets]],Table25[[#All],[Bought]])</f>
        <v>1832</v>
      </c>
      <c r="I1313">
        <f>SUMIF(Table25[[#All],[Assets]],Table25[[#This Row],[Assets]],Table25[[#All],[Bought Amount]])</f>
        <v>18152.78</v>
      </c>
      <c r="J1313" s="88">
        <f>IF(Table25[[#This Row],[Number of stocks]]&lt;0,Table25[[#This Row],[Number of stocks]],0)</f>
        <v>-100</v>
      </c>
      <c r="K1313" s="5">
        <f>Table25[[#This Row],[Sold]]*Table25[[#This Row],[Price]]</f>
        <v>-952.99999999999989</v>
      </c>
      <c r="L1313" s="8">
        <f>ABS(SUMIF(Table25[[#All],[Assets]],Table25[[#This Row],[Assets]],Table25[[#All],[Sold]]))</f>
        <v>1568</v>
      </c>
      <c r="M1313" s="5">
        <f>ABS(SUMIF(Table25[[#All],[Assets]],Table25[[#This Row],[Assets]],Table25[[#All],[Sold Amount]]))</f>
        <v>14668</v>
      </c>
      <c r="N1313" s="5">
        <f>IFERROR(Table25[[#This Row],[Total sold amount]]/Table25[[#This Row],[Total Sold number of stocks]],"")</f>
        <v>9.3545918367346932</v>
      </c>
      <c r="O1313" s="4">
        <f>IFERROR(Table25[[#This Row],[Total Amount bought]]/Table25[[#This Row],[Total number bought]],"")</f>
        <v>9.9087227074235802</v>
      </c>
      <c r="P1313" s="4">
        <f>IFERROR((Table25[[#This Row],[Average sell price]]-Table25[[#This Row],[Average buy price]])*Table25[[#This Row],[Total Sold number of stocks]],0)</f>
        <v>-868.87720524017482</v>
      </c>
      <c r="Q1313" s="85">
        <f>SUMIF(Table25[[#All],[Assets]],Table25[[#This Row],[Assets]],Table25[[#All],[Number of stocks]])</f>
        <v>264</v>
      </c>
    </row>
    <row r="1314" spans="1:17">
      <c r="A1314" t="e" vm="227">
        <v>#VALUE!</v>
      </c>
      <c r="B1314" s="2">
        <v>45832</v>
      </c>
      <c r="C1314" t="str" cm="1">
        <f t="array" aca="1" ref="C1314" ca="1">_FV(A1314,"Ticker symbol",TRUE)</f>
        <v>DFDV</v>
      </c>
      <c r="D1314" s="4">
        <v>20.07</v>
      </c>
      <c r="E1314" s="50">
        <v>50</v>
      </c>
      <c r="F1314" s="81">
        <f>IF(Table25[[#This Row],[Number of stocks]]&gt;0,Table25[[#This Row],[Number of stocks]],0)</f>
        <v>50</v>
      </c>
      <c r="G1314" s="73">
        <f>Table25[[#This Row],[Bought]]*Table25[[#This Row],[Price]]</f>
        <v>1003.5</v>
      </c>
      <c r="H1314">
        <f>SUMIF(Table25[[#All],[Assets]],Table25[[#This Row],[Assets]],Table25[[#All],[Bought]])</f>
        <v>387</v>
      </c>
      <c r="I1314">
        <f>SUMIF(Table25[[#All],[Assets]],Table25[[#This Row],[Assets]],Table25[[#All],[Bought Amount]])</f>
        <v>6522.1182600000002</v>
      </c>
      <c r="J1314" s="88">
        <f>IF(Table25[[#This Row],[Number of stocks]]&lt;0,Table25[[#This Row],[Number of stocks]],0)</f>
        <v>0</v>
      </c>
      <c r="K1314" s="5">
        <f>Table25[[#This Row],[Sold]]*Table25[[#This Row],[Price]]</f>
        <v>0</v>
      </c>
      <c r="L1314" s="8">
        <f>ABS(SUMIF(Table25[[#All],[Assets]],Table25[[#This Row],[Assets]],Table25[[#All],[Sold]]))</f>
        <v>387</v>
      </c>
      <c r="M1314" s="5">
        <f>ABS(SUMIF(Table25[[#All],[Assets]],Table25[[#This Row],[Assets]],Table25[[#All],[Sold Amount]]))</f>
        <v>7242.64</v>
      </c>
      <c r="N1314" s="5">
        <f>IFERROR(Table25[[#This Row],[Total sold amount]]/Table25[[#This Row],[Total Sold number of stocks]],"")</f>
        <v>18.714832041343669</v>
      </c>
      <c r="O1314" s="4">
        <f>IFERROR(Table25[[#This Row],[Total Amount bought]]/Table25[[#This Row],[Total number bought]],"")</f>
        <v>16.853018759689924</v>
      </c>
      <c r="P1314" s="4">
        <f>IFERROR((Table25[[#This Row],[Average sell price]]-Table25[[#This Row],[Average buy price]])*Table25[[#This Row],[Total Sold number of stocks]],0)</f>
        <v>720.52173999999945</v>
      </c>
      <c r="Q1314" s="85">
        <f>SUMIF(Table25[[#All],[Assets]],Table25[[#This Row],[Assets]],Table25[[#All],[Number of stocks]])</f>
        <v>0</v>
      </c>
    </row>
    <row r="1315" spans="1:17">
      <c r="A1315" t="e" vm="38">
        <v>#VALUE!</v>
      </c>
      <c r="B1315" s="2">
        <v>45832</v>
      </c>
      <c r="C1315" t="str" cm="1">
        <f t="array" aca="1" ref="C1315" ca="1">_FV(A1315,"Ticker symbol",TRUE)</f>
        <v>FSLR</v>
      </c>
      <c r="D1315" s="4">
        <v>151.99</v>
      </c>
      <c r="E1315" s="50">
        <v>3</v>
      </c>
      <c r="F1315" s="81">
        <f>IF(Table25[[#This Row],[Number of stocks]]&gt;0,Table25[[#This Row],[Number of stocks]],0)</f>
        <v>3</v>
      </c>
      <c r="G1315" s="73">
        <f>Table25[[#This Row],[Bought]]*Table25[[#This Row],[Price]]</f>
        <v>455.97</v>
      </c>
      <c r="H1315">
        <f>SUMIF(Table25[[#All],[Assets]],Table25[[#This Row],[Assets]],Table25[[#All],[Bought]])</f>
        <v>18</v>
      </c>
      <c r="I1315">
        <f>SUMIF(Table25[[#All],[Assets]],Table25[[#This Row],[Assets]],Table25[[#All],[Bought Amount]])</f>
        <v>3079.49</v>
      </c>
      <c r="J1315" s="88">
        <f>IF(Table25[[#This Row],[Number of stocks]]&lt;0,Table25[[#This Row],[Number of stocks]],0)</f>
        <v>0</v>
      </c>
      <c r="K1315" s="5">
        <f>Table25[[#This Row],[Sold]]*Table25[[#This Row],[Price]]</f>
        <v>0</v>
      </c>
      <c r="L1315" s="8">
        <f>ABS(SUMIF(Table25[[#All],[Assets]],Table25[[#This Row],[Assets]],Table25[[#All],[Sold]]))</f>
        <v>18</v>
      </c>
      <c r="M1315" s="5">
        <f>ABS(SUMIF(Table25[[#All],[Assets]],Table25[[#This Row],[Assets]],Table25[[#All],[Sold Amount]]))</f>
        <v>4016.43</v>
      </c>
      <c r="N1315" s="5">
        <f>IFERROR(Table25[[#This Row],[Total sold amount]]/Table25[[#This Row],[Total Sold number of stocks]],"")</f>
        <v>223.13499999999999</v>
      </c>
      <c r="O1315" s="4">
        <f>IFERROR(Table25[[#This Row],[Total Amount bought]]/Table25[[#This Row],[Total number bought]],"")</f>
        <v>171.08277777777778</v>
      </c>
      <c r="P1315" s="4">
        <f>IFERROR((Table25[[#This Row],[Average sell price]]-Table25[[#This Row],[Average buy price]])*Table25[[#This Row],[Total Sold number of stocks]],0)</f>
        <v>936.93999999999983</v>
      </c>
      <c r="Q1315" s="85">
        <f>SUMIF(Table25[[#All],[Assets]],Table25[[#This Row],[Assets]],Table25[[#All],[Number of stocks]])</f>
        <v>0</v>
      </c>
    </row>
    <row r="1316" spans="1:17">
      <c r="A1316" t="e" vm="18">
        <v>#VALUE!</v>
      </c>
      <c r="B1316" s="2">
        <v>45832</v>
      </c>
      <c r="C1316" t="str" cm="1">
        <f t="array" aca="1" ref="C1316" ca="1">_FV(A1316,"Ticker symbol",TRUE)</f>
        <v>ST</v>
      </c>
      <c r="D1316" s="4">
        <v>29.02</v>
      </c>
      <c r="E1316" s="50">
        <v>7</v>
      </c>
      <c r="F1316" s="81">
        <f>IF(Table25[[#This Row],[Number of stocks]]&gt;0,Table25[[#This Row],[Number of stocks]],0)</f>
        <v>7</v>
      </c>
      <c r="G1316" s="73">
        <f>Table25[[#This Row],[Bought]]*Table25[[#This Row],[Price]]</f>
        <v>203.14</v>
      </c>
      <c r="H1316">
        <f>SUMIF(Table25[[#All],[Assets]],Table25[[#This Row],[Assets]],Table25[[#All],[Bought]])</f>
        <v>13</v>
      </c>
      <c r="I1316">
        <f>SUMIF(Table25[[#All],[Assets]],Table25[[#This Row],[Assets]],Table25[[#All],[Bought Amount]])</f>
        <v>361.29999999999995</v>
      </c>
      <c r="J1316" s="88">
        <f>IF(Table25[[#This Row],[Number of stocks]]&lt;0,Table25[[#This Row],[Number of stocks]],0)</f>
        <v>0</v>
      </c>
      <c r="K1316" s="5">
        <f>Table25[[#This Row],[Sold]]*Table25[[#This Row],[Price]]</f>
        <v>0</v>
      </c>
      <c r="L1316" s="8">
        <f>ABS(SUMIF(Table25[[#All],[Assets]],Table25[[#This Row],[Assets]],Table25[[#All],[Sold]]))</f>
        <v>13</v>
      </c>
      <c r="M1316" s="5">
        <f>ABS(SUMIF(Table25[[#All],[Assets]],Table25[[#This Row],[Assets]],Table25[[#All],[Sold Amount]]))</f>
        <v>382.59</v>
      </c>
      <c r="N1316" s="5">
        <f>IFERROR(Table25[[#This Row],[Total sold amount]]/Table25[[#This Row],[Total Sold number of stocks]],"")</f>
        <v>29.43</v>
      </c>
      <c r="O1316" s="4">
        <f>IFERROR(Table25[[#This Row],[Total Amount bought]]/Table25[[#This Row],[Total number bought]],"")</f>
        <v>27.792307692307688</v>
      </c>
      <c r="P1316" s="4">
        <f>IFERROR((Table25[[#This Row],[Average sell price]]-Table25[[#This Row],[Average buy price]])*Table25[[#This Row],[Total Sold number of stocks]],0)</f>
        <v>21.290000000000056</v>
      </c>
      <c r="Q1316" s="85">
        <f>SUMIF(Table25[[#All],[Assets]],Table25[[#This Row],[Assets]],Table25[[#All],[Number of stocks]])</f>
        <v>0</v>
      </c>
    </row>
    <row r="1317" spans="1:17">
      <c r="A1317" t="e" vm="73">
        <v>#VALUE!</v>
      </c>
      <c r="B1317" s="2">
        <v>45832</v>
      </c>
      <c r="C1317" t="str" cm="1">
        <f t="array" aca="1" ref="C1317" ca="1">_FV(A1317,"Ticker symbol",TRUE)</f>
        <v>NOTV</v>
      </c>
      <c r="D1317" s="4">
        <v>1.88</v>
      </c>
      <c r="E1317" s="50">
        <v>300</v>
      </c>
      <c r="F1317" s="81">
        <f>IF(Table25[[#This Row],[Number of stocks]]&gt;0,Table25[[#This Row],[Number of stocks]],0)</f>
        <v>300</v>
      </c>
      <c r="G1317" s="73">
        <f>Table25[[#This Row],[Bought]]*Table25[[#This Row],[Price]]</f>
        <v>564</v>
      </c>
      <c r="H1317">
        <f>SUMIF(Table25[[#All],[Assets]],Table25[[#This Row],[Assets]],Table25[[#All],[Bought]])</f>
        <v>3556</v>
      </c>
      <c r="I1317">
        <f>SUMIF(Table25[[#All],[Assets]],Table25[[#This Row],[Assets]],Table25[[#All],[Bought Amount]])</f>
        <v>10249.890000000001</v>
      </c>
      <c r="J1317" s="88">
        <f>IF(Table25[[#This Row],[Number of stocks]]&lt;0,Table25[[#This Row],[Number of stocks]],0)</f>
        <v>0</v>
      </c>
      <c r="K1317" s="5">
        <f>Table25[[#This Row],[Sold]]*Table25[[#This Row],[Price]]</f>
        <v>0</v>
      </c>
      <c r="L1317" s="8">
        <f>ABS(SUMIF(Table25[[#All],[Assets]],Table25[[#This Row],[Assets]],Table25[[#All],[Sold]]))</f>
        <v>2741</v>
      </c>
      <c r="M1317" s="5">
        <f>ABS(SUMIF(Table25[[#All],[Assets]],Table25[[#This Row],[Assets]],Table25[[#All],[Sold Amount]]))</f>
        <v>6559.66</v>
      </c>
      <c r="N1317" s="5">
        <f>IFERROR(Table25[[#This Row],[Total sold amount]]/Table25[[#This Row],[Total Sold number of stocks]],"")</f>
        <v>2.3931630791681866</v>
      </c>
      <c r="O1317" s="4">
        <f>IFERROR(Table25[[#This Row],[Total Amount bought]]/Table25[[#This Row],[Total number bought]],"")</f>
        <v>2.8824212598425198</v>
      </c>
      <c r="P1317" s="4">
        <f>IFERROR((Table25[[#This Row],[Average sell price]]-Table25[[#This Row],[Average buy price]])*Table25[[#This Row],[Total Sold number of stocks]],0)</f>
        <v>-1341.0566732283473</v>
      </c>
      <c r="Q1317" s="85">
        <f>SUMIF(Table25[[#All],[Assets]],Table25[[#This Row],[Assets]],Table25[[#All],[Number of stocks]])</f>
        <v>815</v>
      </c>
    </row>
    <row r="1318" spans="1:17">
      <c r="A1318" t="e" vm="253">
        <v>#VALUE!</v>
      </c>
      <c r="B1318" s="2">
        <v>45834</v>
      </c>
      <c r="C1318" t="str" cm="1">
        <f t="array" aca="1" ref="C1318" ca="1">_FV(A1318,"Ticker symbol",TRUE)</f>
        <v>QS</v>
      </c>
      <c r="D1318" s="4">
        <v>6.13</v>
      </c>
      <c r="E1318" s="50">
        <v>30</v>
      </c>
      <c r="F1318" s="81">
        <f>IF(Table25[[#This Row],[Number of stocks]]&gt;0,Table25[[#This Row],[Number of stocks]],0)</f>
        <v>30</v>
      </c>
      <c r="G1318" s="73">
        <f>Table25[[#This Row],[Bought]]*Table25[[#This Row],[Price]]</f>
        <v>183.9</v>
      </c>
      <c r="H1318">
        <f>SUMIF(Table25[[#All],[Assets]],Table25[[#This Row],[Assets]],Table25[[#All],[Bought]])</f>
        <v>120</v>
      </c>
      <c r="I1318">
        <f>SUMIF(Table25[[#All],[Assets]],Table25[[#This Row],[Assets]],Table25[[#All],[Bought Amount]])</f>
        <v>702.6</v>
      </c>
      <c r="J1318" s="88">
        <f>IF(Table25[[#This Row],[Number of stocks]]&lt;0,Table25[[#This Row],[Number of stocks]],0)</f>
        <v>0</v>
      </c>
      <c r="K1318" s="5">
        <f>Table25[[#This Row],[Sold]]*Table25[[#This Row],[Price]]</f>
        <v>0</v>
      </c>
      <c r="L1318" s="8">
        <f>ABS(SUMIF(Table25[[#All],[Assets]],Table25[[#This Row],[Assets]],Table25[[#All],[Sold]]))</f>
        <v>120</v>
      </c>
      <c r="M1318" s="5">
        <f>ABS(SUMIF(Table25[[#All],[Assets]],Table25[[#This Row],[Assets]],Table25[[#All],[Sold Amount]]))</f>
        <v>1188</v>
      </c>
      <c r="N1318" s="5">
        <f>IFERROR(Table25[[#This Row],[Total sold amount]]/Table25[[#This Row],[Total Sold number of stocks]],"")</f>
        <v>9.9</v>
      </c>
      <c r="O1318" s="4">
        <f>IFERROR(Table25[[#This Row],[Total Amount bought]]/Table25[[#This Row],[Total number bought]],"")</f>
        <v>5.8550000000000004</v>
      </c>
      <c r="P1318" s="4">
        <f>IFERROR((Table25[[#This Row],[Average sell price]]-Table25[[#This Row],[Average buy price]])*Table25[[#This Row],[Total Sold number of stocks]],0)</f>
        <v>485.4</v>
      </c>
      <c r="Q1318" s="85">
        <f>SUMIF(Table25[[#All],[Assets]],Table25[[#This Row],[Assets]],Table25[[#All],[Number of stocks]])</f>
        <v>0</v>
      </c>
    </row>
    <row r="1319" spans="1:17">
      <c r="A1319" t="e" vm="54">
        <v>#VALUE!</v>
      </c>
      <c r="B1319" s="2">
        <v>45834</v>
      </c>
      <c r="C1319" t="str" cm="1">
        <f t="array" aca="1" ref="C1319" ca="1">_FV(A1319,"Ticker symbol",TRUE)</f>
        <v>AR</v>
      </c>
      <c r="D1319" s="4">
        <v>41.06</v>
      </c>
      <c r="E1319" s="50">
        <v>-10</v>
      </c>
      <c r="F1319" s="81">
        <f>IF(Table25[[#This Row],[Number of stocks]]&gt;0,Table25[[#This Row],[Number of stocks]],0)</f>
        <v>0</v>
      </c>
      <c r="G1319" s="73">
        <f>Table25[[#This Row],[Bought]]*Table25[[#This Row],[Price]]</f>
        <v>0</v>
      </c>
      <c r="H1319">
        <f>SUMIF(Table25[[#All],[Assets]],Table25[[#This Row],[Assets]],Table25[[#All],[Bought]])</f>
        <v>210</v>
      </c>
      <c r="I1319">
        <f>SUMIF(Table25[[#All],[Assets]],Table25[[#This Row],[Assets]],Table25[[#All],[Bought Amount]])</f>
        <v>6833.5000000000009</v>
      </c>
      <c r="J1319" s="88">
        <f>IF(Table25[[#This Row],[Number of stocks]]&lt;0,Table25[[#This Row],[Number of stocks]],0)</f>
        <v>-10</v>
      </c>
      <c r="K1319" s="5">
        <f>Table25[[#This Row],[Sold]]*Table25[[#This Row],[Price]]</f>
        <v>-410.6</v>
      </c>
      <c r="L1319" s="8">
        <f>ABS(SUMIF(Table25[[#All],[Assets]],Table25[[#This Row],[Assets]],Table25[[#All],[Sold]]))</f>
        <v>180</v>
      </c>
      <c r="M1319" s="5">
        <f>ABS(SUMIF(Table25[[#All],[Assets]],Table25[[#This Row],[Assets]],Table25[[#All],[Sold Amount]]))</f>
        <v>6156.15</v>
      </c>
      <c r="N1319" s="5">
        <f>IFERROR(Table25[[#This Row],[Total sold amount]]/Table25[[#This Row],[Total Sold number of stocks]],"")</f>
        <v>34.200833333333328</v>
      </c>
      <c r="O1319" s="4">
        <f>IFERROR(Table25[[#This Row],[Total Amount bought]]/Table25[[#This Row],[Total number bought]],"")</f>
        <v>32.540476190476198</v>
      </c>
      <c r="P1319" s="4">
        <f>IFERROR((Table25[[#This Row],[Average sell price]]-Table25[[#This Row],[Average buy price]])*Table25[[#This Row],[Total Sold number of stocks]],0)</f>
        <v>298.86428571428337</v>
      </c>
      <c r="Q1319" s="85">
        <f>SUMIF(Table25[[#All],[Assets]],Table25[[#This Row],[Assets]],Table25[[#All],[Number of stocks]])</f>
        <v>30</v>
      </c>
    </row>
    <row r="1320" spans="1:17">
      <c r="A1320" t="e" vm="253">
        <v>#VALUE!</v>
      </c>
      <c r="B1320" s="2">
        <v>45834</v>
      </c>
      <c r="C1320" t="str" cm="1">
        <f t="array" aca="1" ref="C1320" ca="1">_FV(A1320,"Ticker symbol",TRUE)</f>
        <v>QS</v>
      </c>
      <c r="D1320" s="4">
        <v>5.83</v>
      </c>
      <c r="E1320" s="50">
        <v>70</v>
      </c>
      <c r="F1320" s="81">
        <f>IF(Table25[[#This Row],[Number of stocks]]&gt;0,Table25[[#This Row],[Number of stocks]],0)</f>
        <v>70</v>
      </c>
      <c r="G1320" s="73">
        <f>Table25[[#This Row],[Bought]]*Table25[[#This Row],[Price]]</f>
        <v>408.1</v>
      </c>
      <c r="H1320">
        <f>SUMIF(Table25[[#All],[Assets]],Table25[[#This Row],[Assets]],Table25[[#All],[Bought]])</f>
        <v>120</v>
      </c>
      <c r="I1320">
        <f>SUMIF(Table25[[#All],[Assets]],Table25[[#This Row],[Assets]],Table25[[#All],[Bought Amount]])</f>
        <v>702.6</v>
      </c>
      <c r="J1320" s="88">
        <f>IF(Table25[[#This Row],[Number of stocks]]&lt;0,Table25[[#This Row],[Number of stocks]],0)</f>
        <v>0</v>
      </c>
      <c r="K1320" s="5">
        <f>Table25[[#This Row],[Sold]]*Table25[[#This Row],[Price]]</f>
        <v>0</v>
      </c>
      <c r="L1320" s="8">
        <f>ABS(SUMIF(Table25[[#All],[Assets]],Table25[[#This Row],[Assets]],Table25[[#All],[Sold]]))</f>
        <v>120</v>
      </c>
      <c r="M1320" s="5">
        <f>ABS(SUMIF(Table25[[#All],[Assets]],Table25[[#This Row],[Assets]],Table25[[#All],[Sold Amount]]))</f>
        <v>1188</v>
      </c>
      <c r="N1320" s="5">
        <f>IFERROR(Table25[[#This Row],[Total sold amount]]/Table25[[#This Row],[Total Sold number of stocks]],"")</f>
        <v>9.9</v>
      </c>
      <c r="O1320" s="4">
        <f>IFERROR(Table25[[#This Row],[Total Amount bought]]/Table25[[#This Row],[Total number bought]],"")</f>
        <v>5.8550000000000004</v>
      </c>
      <c r="P1320" s="4">
        <f>IFERROR((Table25[[#This Row],[Average sell price]]-Table25[[#This Row],[Average buy price]])*Table25[[#This Row],[Total Sold number of stocks]],0)</f>
        <v>485.4</v>
      </c>
      <c r="Q1320" s="85">
        <f>SUMIF(Table25[[#All],[Assets]],Table25[[#This Row],[Assets]],Table25[[#All],[Number of stocks]])</f>
        <v>0</v>
      </c>
    </row>
    <row r="1321" spans="1:17">
      <c r="A1321" t="e" vm="7">
        <v>#VALUE!</v>
      </c>
      <c r="B1321" s="2">
        <v>45834</v>
      </c>
      <c r="C1321" t="str" cm="1">
        <f t="array" aca="1" ref="C1321" ca="1">_FV(A1321,"Ticker symbol",TRUE)</f>
        <v>ONDS</v>
      </c>
      <c r="D1321" s="4">
        <v>1.74</v>
      </c>
      <c r="E1321" s="50">
        <v>145</v>
      </c>
      <c r="F1321" s="81">
        <f>IF(Table25[[#This Row],[Number of stocks]]&gt;0,Table25[[#This Row],[Number of stocks]],0)</f>
        <v>145</v>
      </c>
      <c r="G1321" s="73">
        <f>Table25[[#This Row],[Bought]]*Table25[[#This Row],[Price]]</f>
        <v>252.3</v>
      </c>
      <c r="H1321">
        <f>SUMIF(Table25[[#All],[Assets]],Table25[[#This Row],[Assets]],Table25[[#All],[Bought]])</f>
        <v>295</v>
      </c>
      <c r="I1321">
        <f>SUMIF(Table25[[#All],[Assets]],Table25[[#This Row],[Assets]],Table25[[#All],[Bought Amount]])</f>
        <v>513.29999999999995</v>
      </c>
      <c r="J1321" s="88">
        <f>IF(Table25[[#This Row],[Number of stocks]]&lt;0,Table25[[#This Row],[Number of stocks]],0)</f>
        <v>0</v>
      </c>
      <c r="K1321" s="5">
        <f>Table25[[#This Row],[Sold]]*Table25[[#This Row],[Price]]</f>
        <v>0</v>
      </c>
      <c r="L1321" s="8">
        <f>ABS(SUMIF(Table25[[#All],[Assets]],Table25[[#This Row],[Assets]],Table25[[#All],[Sold]]))</f>
        <v>295</v>
      </c>
      <c r="M1321" s="5">
        <f>ABS(SUMIF(Table25[[#All],[Assets]],Table25[[#This Row],[Assets]],Table25[[#All],[Sold Amount]]))</f>
        <v>1039.55</v>
      </c>
      <c r="N1321" s="5">
        <f>IFERROR(Table25[[#This Row],[Total sold amount]]/Table25[[#This Row],[Total Sold number of stocks]],"")</f>
        <v>3.5238983050847454</v>
      </c>
      <c r="O1321" s="4">
        <f>IFERROR(Table25[[#This Row],[Total Amount bought]]/Table25[[#This Row],[Total number bought]],"")</f>
        <v>1.7399999999999998</v>
      </c>
      <c r="P1321" s="4">
        <f>IFERROR((Table25[[#This Row],[Average sell price]]-Table25[[#This Row],[Average buy price]])*Table25[[#This Row],[Total Sold number of stocks]],0)</f>
        <v>526.25</v>
      </c>
      <c r="Q1321" s="85">
        <f>SUMIF(Table25[[#All],[Assets]],Table25[[#This Row],[Assets]],Table25[[#All],[Number of stocks]])</f>
        <v>0</v>
      </c>
    </row>
    <row r="1322" spans="1:17">
      <c r="A1322" t="e" vm="13">
        <v>#VALUE!</v>
      </c>
      <c r="B1322" s="2">
        <v>45834</v>
      </c>
      <c r="C1322" t="str" cm="1">
        <f t="array" aca="1" ref="C1322" ca="1">_FV(A1322,"Ticker symbol",TRUE)</f>
        <v>ON</v>
      </c>
      <c r="D1322" s="4">
        <v>53.58</v>
      </c>
      <c r="E1322" s="50">
        <v>-17</v>
      </c>
      <c r="F1322" s="81">
        <f>IF(Table25[[#This Row],[Number of stocks]]&gt;0,Table25[[#This Row],[Number of stocks]],0)</f>
        <v>0</v>
      </c>
      <c r="G1322" s="73">
        <f>Table25[[#This Row],[Bought]]*Table25[[#This Row],[Price]]</f>
        <v>0</v>
      </c>
      <c r="H1322">
        <f>SUMIF(Table25[[#All],[Assets]],Table25[[#This Row],[Assets]],Table25[[#All],[Bought]])</f>
        <v>326</v>
      </c>
      <c r="I1322">
        <f>SUMIF(Table25[[#All],[Assets]],Table25[[#This Row],[Assets]],Table25[[#All],[Bought Amount]])</f>
        <v>19172.809999999998</v>
      </c>
      <c r="J1322" s="88">
        <f>IF(Table25[[#This Row],[Number of stocks]]&lt;0,Table25[[#This Row],[Number of stocks]],0)</f>
        <v>-17</v>
      </c>
      <c r="K1322" s="5">
        <f>Table25[[#This Row],[Sold]]*Table25[[#This Row],[Price]]</f>
        <v>-910.86</v>
      </c>
      <c r="L1322" s="8">
        <f>ABS(SUMIF(Table25[[#All],[Assets]],Table25[[#This Row],[Assets]],Table25[[#All],[Sold]]))</f>
        <v>283</v>
      </c>
      <c r="M1322" s="5">
        <f>ABS(SUMIF(Table25[[#All],[Assets]],Table25[[#This Row],[Assets]],Table25[[#All],[Sold Amount]]))</f>
        <v>15700.74</v>
      </c>
      <c r="N1322" s="5">
        <f>IFERROR(Table25[[#This Row],[Total sold amount]]/Table25[[#This Row],[Total Sold number of stocks]],"")</f>
        <v>55.47964664310954</v>
      </c>
      <c r="O1322" s="4">
        <f>IFERROR(Table25[[#This Row],[Total Amount bought]]/Table25[[#This Row],[Total number bought]],"")</f>
        <v>58.812300613496923</v>
      </c>
      <c r="P1322" s="4">
        <f>IFERROR((Table25[[#This Row],[Average sell price]]-Table25[[#This Row],[Average buy price]])*Table25[[#This Row],[Total Sold number of stocks]],0)</f>
        <v>-943.14107361962954</v>
      </c>
      <c r="Q1322" s="85">
        <f>SUMIF(Table25[[#All],[Assets]],Table25[[#This Row],[Assets]],Table25[[#All],[Number of stocks]])</f>
        <v>43</v>
      </c>
    </row>
    <row r="1323" spans="1:17">
      <c r="A1323" t="e" vm="7">
        <v>#VALUE!</v>
      </c>
      <c r="B1323" s="2">
        <v>45834</v>
      </c>
      <c r="C1323" t="str" cm="1">
        <f t="array" aca="1" ref="C1323" ca="1">_FV(A1323,"Ticker symbol",TRUE)</f>
        <v>ONDS</v>
      </c>
      <c r="D1323" s="4">
        <v>1.74</v>
      </c>
      <c r="E1323" s="50">
        <v>150</v>
      </c>
      <c r="F1323" s="81">
        <f>IF(Table25[[#This Row],[Number of stocks]]&gt;0,Table25[[#This Row],[Number of stocks]],0)</f>
        <v>150</v>
      </c>
      <c r="G1323" s="73">
        <f>Table25[[#This Row],[Bought]]*Table25[[#This Row],[Price]]</f>
        <v>261</v>
      </c>
      <c r="H1323">
        <f>SUMIF(Table25[[#All],[Assets]],Table25[[#This Row],[Assets]],Table25[[#All],[Bought]])</f>
        <v>295</v>
      </c>
      <c r="I1323">
        <f>SUMIF(Table25[[#All],[Assets]],Table25[[#This Row],[Assets]],Table25[[#All],[Bought Amount]])</f>
        <v>513.29999999999995</v>
      </c>
      <c r="J1323" s="88">
        <f>IF(Table25[[#This Row],[Number of stocks]]&lt;0,Table25[[#This Row],[Number of stocks]],0)</f>
        <v>0</v>
      </c>
      <c r="K1323" s="5">
        <f>Table25[[#This Row],[Sold]]*Table25[[#This Row],[Price]]</f>
        <v>0</v>
      </c>
      <c r="L1323" s="8">
        <f>ABS(SUMIF(Table25[[#All],[Assets]],Table25[[#This Row],[Assets]],Table25[[#All],[Sold]]))</f>
        <v>295</v>
      </c>
      <c r="M1323" s="5">
        <f>ABS(SUMIF(Table25[[#All],[Assets]],Table25[[#This Row],[Assets]],Table25[[#All],[Sold Amount]]))</f>
        <v>1039.55</v>
      </c>
      <c r="N1323" s="5">
        <f>IFERROR(Table25[[#This Row],[Total sold amount]]/Table25[[#This Row],[Total Sold number of stocks]],"")</f>
        <v>3.5238983050847454</v>
      </c>
      <c r="O1323" s="4">
        <f>IFERROR(Table25[[#This Row],[Total Amount bought]]/Table25[[#This Row],[Total number bought]],"")</f>
        <v>1.7399999999999998</v>
      </c>
      <c r="P1323" s="4">
        <f>IFERROR((Table25[[#This Row],[Average sell price]]-Table25[[#This Row],[Average buy price]])*Table25[[#This Row],[Total Sold number of stocks]],0)</f>
        <v>526.25</v>
      </c>
      <c r="Q1323" s="85">
        <f>SUMIF(Table25[[#All],[Assets]],Table25[[#This Row],[Assets]],Table25[[#All],[Number of stocks]])</f>
        <v>0</v>
      </c>
    </row>
    <row r="1324" spans="1:17">
      <c r="A1324" t="e" vm="91">
        <v>#VALUE!</v>
      </c>
      <c r="B1324" s="2">
        <v>45834</v>
      </c>
      <c r="C1324" t="str" cm="1">
        <f t="array" aca="1" ref="C1324" ca="1">_FV(A1324,"Ticker symbol",TRUE)</f>
        <v>RKLB</v>
      </c>
      <c r="D1324" s="4">
        <v>35.69</v>
      </c>
      <c r="E1324" s="50">
        <v>4</v>
      </c>
      <c r="F1324" s="81">
        <f>IF(Table25[[#This Row],[Number of stocks]]&gt;0,Table25[[#This Row],[Number of stocks]],0)</f>
        <v>4</v>
      </c>
      <c r="G1324" s="73">
        <f>Table25[[#This Row],[Bought]]*Table25[[#This Row],[Price]]</f>
        <v>142.76</v>
      </c>
      <c r="H1324">
        <f>SUMIF(Table25[[#All],[Assets]],Table25[[#This Row],[Assets]],Table25[[#All],[Bought]])</f>
        <v>22</v>
      </c>
      <c r="I1324">
        <f>SUMIF(Table25[[#All],[Assets]],Table25[[#This Row],[Assets]],Table25[[#All],[Bought Amount]])</f>
        <v>1045.0999999999999</v>
      </c>
      <c r="J1324" s="88">
        <f>IF(Table25[[#This Row],[Number of stocks]]&lt;0,Table25[[#This Row],[Number of stocks]],0)</f>
        <v>0</v>
      </c>
      <c r="K1324" s="5">
        <f>Table25[[#This Row],[Sold]]*Table25[[#This Row],[Price]]</f>
        <v>0</v>
      </c>
      <c r="L1324" s="8">
        <f>ABS(SUMIF(Table25[[#All],[Assets]],Table25[[#This Row],[Assets]],Table25[[#All],[Sold]]))</f>
        <v>21</v>
      </c>
      <c r="M1324" s="5">
        <f>ABS(SUMIF(Table25[[#All],[Assets]],Table25[[#This Row],[Assets]],Table25[[#All],[Sold Amount]]))</f>
        <v>1696.64</v>
      </c>
      <c r="N1324" s="5">
        <f>IFERROR(Table25[[#This Row],[Total sold amount]]/Table25[[#This Row],[Total Sold number of stocks]],"")</f>
        <v>80.792380952380952</v>
      </c>
      <c r="O1324" s="4">
        <f>IFERROR(Table25[[#This Row],[Total Amount bought]]/Table25[[#This Row],[Total number bought]],"")</f>
        <v>47.50454545454545</v>
      </c>
      <c r="P1324" s="4">
        <f>IFERROR((Table25[[#This Row],[Average sell price]]-Table25[[#This Row],[Average buy price]])*Table25[[#This Row],[Total Sold number of stocks]],0)</f>
        <v>699.04454545454553</v>
      </c>
      <c r="Q1324" s="85">
        <f>SUMIF(Table25[[#All],[Assets]],Table25[[#This Row],[Assets]],Table25[[#All],[Number of stocks]])</f>
        <v>1</v>
      </c>
    </row>
    <row r="1325" spans="1:17">
      <c r="A1325" t="e" vm="266">
        <v>#VALUE!</v>
      </c>
      <c r="B1325" s="2">
        <v>45834</v>
      </c>
      <c r="C1325" t="str" cm="1">
        <f t="array" aca="1" ref="C1325" ca="1">_FV(A1325,"Ticker symbol",TRUE)</f>
        <v>VERA</v>
      </c>
      <c r="D1325" s="4">
        <v>23.07</v>
      </c>
      <c r="E1325" s="50">
        <v>20</v>
      </c>
      <c r="F1325" s="81">
        <f>IF(Table25[[#This Row],[Number of stocks]]&gt;0,Table25[[#This Row],[Number of stocks]],0)</f>
        <v>20</v>
      </c>
      <c r="G1325" s="73">
        <f>Table25[[#This Row],[Bought]]*Table25[[#This Row],[Price]]</f>
        <v>461.4</v>
      </c>
      <c r="H1325">
        <f>SUMIF(Table25[[#All],[Assets]],Table25[[#This Row],[Assets]],Table25[[#All],[Bought]])</f>
        <v>20</v>
      </c>
      <c r="I1325">
        <f>SUMIF(Table25[[#All],[Assets]],Table25[[#This Row],[Assets]],Table25[[#All],[Bought Amount]])</f>
        <v>461.4</v>
      </c>
      <c r="J1325" s="88">
        <f>IF(Table25[[#This Row],[Number of stocks]]&lt;0,Table25[[#This Row],[Number of stocks]],0)</f>
        <v>0</v>
      </c>
      <c r="K1325" s="5">
        <f>Table25[[#This Row],[Sold]]*Table25[[#This Row],[Price]]</f>
        <v>0</v>
      </c>
      <c r="L1325" s="8">
        <f>ABS(SUMIF(Table25[[#All],[Assets]],Table25[[#This Row],[Assets]],Table25[[#All],[Sold]]))</f>
        <v>20</v>
      </c>
      <c r="M1325" s="5">
        <f>ABS(SUMIF(Table25[[#All],[Assets]],Table25[[#This Row],[Assets]],Table25[[#All],[Sold Amount]]))</f>
        <v>466.59999999999997</v>
      </c>
      <c r="N1325" s="5">
        <f>IFERROR(Table25[[#This Row],[Total sold amount]]/Table25[[#This Row],[Total Sold number of stocks]],"")</f>
        <v>23.33</v>
      </c>
      <c r="O1325" s="4">
        <f>IFERROR(Table25[[#This Row],[Total Amount bought]]/Table25[[#This Row],[Total number bought]],"")</f>
        <v>23.07</v>
      </c>
      <c r="P1325" s="4">
        <f>IFERROR((Table25[[#This Row],[Average sell price]]-Table25[[#This Row],[Average buy price]])*Table25[[#This Row],[Total Sold number of stocks]],0)</f>
        <v>5.1999999999999602</v>
      </c>
      <c r="Q1325" s="85">
        <f>SUMIF(Table25[[#All],[Assets]],Table25[[#This Row],[Assets]],Table25[[#All],[Number of stocks]])</f>
        <v>0</v>
      </c>
    </row>
    <row r="1326" spans="1:17">
      <c r="A1326" t="e" vm="75">
        <v>#VALUE!</v>
      </c>
      <c r="B1326" s="2">
        <v>45835</v>
      </c>
      <c r="C1326" t="str" cm="1">
        <f t="array" aca="1" ref="C1326" ca="1">_FV(A1326,"Ticker symbol",TRUE)</f>
        <v>QTRX</v>
      </c>
      <c r="D1326" s="4">
        <v>6.57</v>
      </c>
      <c r="E1326" s="50">
        <v>60</v>
      </c>
      <c r="F1326" s="81">
        <f>IF(Table25[[#This Row],[Number of stocks]]&gt;0,Table25[[#This Row],[Number of stocks]],0)</f>
        <v>60</v>
      </c>
      <c r="G1326" s="73">
        <f>Table25[[#This Row],[Bought]]*Table25[[#This Row],[Price]]</f>
        <v>394.20000000000005</v>
      </c>
      <c r="H1326">
        <f>SUMIF(Table25[[#All],[Assets]],Table25[[#This Row],[Assets]],Table25[[#All],[Bought]])</f>
        <v>1492</v>
      </c>
      <c r="I1326">
        <f>SUMIF(Table25[[#All],[Assets]],Table25[[#This Row],[Assets]],Table25[[#All],[Bought Amount]])</f>
        <v>10313.249999999998</v>
      </c>
      <c r="J1326" s="88">
        <f>IF(Table25[[#This Row],[Number of stocks]]&lt;0,Table25[[#This Row],[Number of stocks]],0)</f>
        <v>0</v>
      </c>
      <c r="K1326" s="5">
        <f>Table25[[#This Row],[Sold]]*Table25[[#This Row],[Price]]</f>
        <v>0</v>
      </c>
      <c r="L1326" s="8">
        <f>ABS(SUMIF(Table25[[#All],[Assets]],Table25[[#This Row],[Assets]],Table25[[#All],[Sold]]))</f>
        <v>1492</v>
      </c>
      <c r="M1326" s="5">
        <f>ABS(SUMIF(Table25[[#All],[Assets]],Table25[[#This Row],[Assets]],Table25[[#All],[Sold Amount]]))</f>
        <v>8408.35</v>
      </c>
      <c r="N1326" s="5">
        <f>IFERROR(Table25[[#This Row],[Total sold amount]]/Table25[[#This Row],[Total Sold number of stocks]],"")</f>
        <v>5.635623324396783</v>
      </c>
      <c r="O1326" s="4">
        <f>IFERROR(Table25[[#This Row],[Total Amount bought]]/Table25[[#This Row],[Total number bought]],"")</f>
        <v>6.9123659517426264</v>
      </c>
      <c r="P1326" s="4">
        <f>IFERROR((Table25[[#This Row],[Average sell price]]-Table25[[#This Row],[Average buy price]])*Table25[[#This Row],[Total Sold number of stocks]],0)</f>
        <v>-1904.8999999999983</v>
      </c>
      <c r="Q1326" s="85">
        <f>SUMIF(Table25[[#All],[Assets]],Table25[[#This Row],[Assets]],Table25[[#All],[Number of stocks]])</f>
        <v>0</v>
      </c>
    </row>
    <row r="1327" spans="1:17">
      <c r="A1327" t="e" vm="71">
        <v>#VALUE!</v>
      </c>
      <c r="B1327" s="2">
        <v>45835</v>
      </c>
      <c r="C1327" t="str" cm="1">
        <f t="array" aca="1" ref="C1327" ca="1">_FV(A1327,"Ticker symbol",TRUE)</f>
        <v>TKNO</v>
      </c>
      <c r="D1327" s="4">
        <v>5.05</v>
      </c>
      <c r="E1327" s="50">
        <v>-100</v>
      </c>
      <c r="F1327" s="81">
        <f>IF(Table25[[#This Row],[Number of stocks]]&gt;0,Table25[[#This Row],[Number of stocks]],0)</f>
        <v>0</v>
      </c>
      <c r="G1327" s="73">
        <f>Table25[[#This Row],[Bought]]*Table25[[#This Row],[Price]]</f>
        <v>0</v>
      </c>
      <c r="H1327">
        <f>SUMIF(Table25[[#All],[Assets]],Table25[[#This Row],[Assets]],Table25[[#All],[Bought]])</f>
        <v>2166.0267990000002</v>
      </c>
      <c r="I1327">
        <f>SUMIF(Table25[[#All],[Assets]],Table25[[#This Row],[Assets]],Table25[[#All],[Bought Amount]])</f>
        <v>13370.91512648</v>
      </c>
      <c r="J1327" s="88">
        <f>IF(Table25[[#This Row],[Number of stocks]]&lt;0,Table25[[#This Row],[Number of stocks]],0)</f>
        <v>-100</v>
      </c>
      <c r="K1327" s="5">
        <f>Table25[[#This Row],[Sold]]*Table25[[#This Row],[Price]]</f>
        <v>-505</v>
      </c>
      <c r="L1327" s="8">
        <f>ABS(SUMIF(Table25[[#All],[Assets]],Table25[[#This Row],[Assets]],Table25[[#All],[Sold]]))</f>
        <v>2083</v>
      </c>
      <c r="M1327" s="5">
        <f>ABS(SUMIF(Table25[[#All],[Assets]],Table25[[#This Row],[Assets]],Table25[[#All],[Sold Amount]]))</f>
        <v>11153.28</v>
      </c>
      <c r="N1327" s="5">
        <f>IFERROR(Table25[[#This Row],[Total sold amount]]/Table25[[#This Row],[Total Sold number of stocks]],"")</f>
        <v>5.3544311089774368</v>
      </c>
      <c r="O1327" s="4">
        <f>IFERROR(Table25[[#This Row],[Total Amount bought]]/Table25[[#This Row],[Total number bought]],"")</f>
        <v>6.1730146333614213</v>
      </c>
      <c r="P1327" s="4">
        <f>IFERROR((Table25[[#This Row],[Average sell price]]-Table25[[#This Row],[Average buy price]])*Table25[[#This Row],[Total Sold number of stocks]],0)</f>
        <v>-1705.1094812918398</v>
      </c>
      <c r="Q1327" s="85">
        <f>SUMIF(Table25[[#All],[Assets]],Table25[[#This Row],[Assets]],Table25[[#All],[Number of stocks]])</f>
        <v>83.026798999999983</v>
      </c>
    </row>
    <row r="1328" spans="1:17">
      <c r="A1328" t="e" vm="37">
        <v>#VALUE!</v>
      </c>
      <c r="B1328" s="2">
        <v>45835</v>
      </c>
      <c r="C1328" t="str" cm="1">
        <f t="array" aca="1" ref="C1328" ca="1">_FV(A1328,"Ticker symbol",TRUE)</f>
        <v>AMD</v>
      </c>
      <c r="D1328" s="4">
        <v>146.41999999999999</v>
      </c>
      <c r="E1328" s="50">
        <v>-4</v>
      </c>
      <c r="F1328" s="81">
        <f>IF(Table25[[#This Row],[Number of stocks]]&gt;0,Table25[[#This Row],[Number of stocks]],0)</f>
        <v>0</v>
      </c>
      <c r="G1328" s="73">
        <f>Table25[[#This Row],[Bought]]*Table25[[#This Row],[Price]]</f>
        <v>0</v>
      </c>
      <c r="H1328">
        <f>SUMIF(Table25[[#All],[Assets]],Table25[[#This Row],[Assets]],Table25[[#All],[Bought]])</f>
        <v>41</v>
      </c>
      <c r="I1328">
        <f>SUMIF(Table25[[#All],[Assets]],Table25[[#This Row],[Assets]],Table25[[#All],[Bought Amount]])</f>
        <v>5552.8399999999992</v>
      </c>
      <c r="J1328" s="88">
        <f>IF(Table25[[#This Row],[Number of stocks]]&lt;0,Table25[[#This Row],[Number of stocks]],0)</f>
        <v>-4</v>
      </c>
      <c r="K1328" s="5">
        <f>Table25[[#This Row],[Sold]]*Table25[[#This Row],[Price]]</f>
        <v>-585.67999999999995</v>
      </c>
      <c r="L1328" s="8">
        <f>ABS(SUMIF(Table25[[#All],[Assets]],Table25[[#This Row],[Assets]],Table25[[#All],[Sold]]))</f>
        <v>23</v>
      </c>
      <c r="M1328" s="5">
        <f>ABS(SUMIF(Table25[[#All],[Assets]],Table25[[#This Row],[Assets]],Table25[[#All],[Sold Amount]]))</f>
        <v>3203.4199999999996</v>
      </c>
      <c r="N1328" s="5">
        <f>IFERROR(Table25[[#This Row],[Total sold amount]]/Table25[[#This Row],[Total Sold number of stocks]],"")</f>
        <v>139.27913043478259</v>
      </c>
      <c r="O1328" s="4">
        <f>IFERROR(Table25[[#This Row],[Total Amount bought]]/Table25[[#This Row],[Total number bought]],"")</f>
        <v>135.43512195121949</v>
      </c>
      <c r="P1328" s="4">
        <f>IFERROR((Table25[[#This Row],[Average sell price]]-Table25[[#This Row],[Average buy price]])*Table25[[#This Row],[Total Sold number of stocks]],0)</f>
        <v>88.412195121951328</v>
      </c>
      <c r="Q1328" s="85">
        <f>SUMIF(Table25[[#All],[Assets]],Table25[[#This Row],[Assets]],Table25[[#All],[Number of stocks]])</f>
        <v>18</v>
      </c>
    </row>
    <row r="1329" spans="1:17">
      <c r="A1329" t="e" vm="75">
        <v>#VALUE!</v>
      </c>
      <c r="B1329" s="2">
        <v>45835</v>
      </c>
      <c r="C1329" t="str" cm="1">
        <f t="array" aca="1" ref="C1329" ca="1">_FV(A1329,"Ticker symbol",TRUE)</f>
        <v>QTRX</v>
      </c>
      <c r="D1329" s="4">
        <v>6.58</v>
      </c>
      <c r="E1329" s="50">
        <v>97</v>
      </c>
      <c r="F1329" s="81">
        <f>IF(Table25[[#This Row],[Number of stocks]]&gt;0,Table25[[#This Row],[Number of stocks]],0)</f>
        <v>97</v>
      </c>
      <c r="G1329" s="73">
        <f>Table25[[#This Row],[Bought]]*Table25[[#This Row],[Price]]</f>
        <v>638.26</v>
      </c>
      <c r="H1329">
        <f>SUMIF(Table25[[#All],[Assets]],Table25[[#This Row],[Assets]],Table25[[#All],[Bought]])</f>
        <v>1492</v>
      </c>
      <c r="I1329">
        <f>SUMIF(Table25[[#All],[Assets]],Table25[[#This Row],[Assets]],Table25[[#All],[Bought Amount]])</f>
        <v>10313.249999999998</v>
      </c>
      <c r="J1329" s="88">
        <f>IF(Table25[[#This Row],[Number of stocks]]&lt;0,Table25[[#This Row],[Number of stocks]],0)</f>
        <v>0</v>
      </c>
      <c r="K1329" s="5">
        <f>Table25[[#This Row],[Sold]]*Table25[[#This Row],[Price]]</f>
        <v>0</v>
      </c>
      <c r="L1329" s="8">
        <f>ABS(SUMIF(Table25[[#All],[Assets]],Table25[[#This Row],[Assets]],Table25[[#All],[Sold]]))</f>
        <v>1492</v>
      </c>
      <c r="M1329" s="5">
        <f>ABS(SUMIF(Table25[[#All],[Assets]],Table25[[#This Row],[Assets]],Table25[[#All],[Sold Amount]]))</f>
        <v>8408.35</v>
      </c>
      <c r="N1329" s="5">
        <f>IFERROR(Table25[[#This Row],[Total sold amount]]/Table25[[#This Row],[Total Sold number of stocks]],"")</f>
        <v>5.635623324396783</v>
      </c>
      <c r="O1329" s="4">
        <f>IFERROR(Table25[[#This Row],[Total Amount bought]]/Table25[[#This Row],[Total number bought]],"")</f>
        <v>6.9123659517426264</v>
      </c>
      <c r="P1329" s="4">
        <f>IFERROR((Table25[[#This Row],[Average sell price]]-Table25[[#This Row],[Average buy price]])*Table25[[#This Row],[Total Sold number of stocks]],0)</f>
        <v>-1904.8999999999983</v>
      </c>
      <c r="Q1329" s="85">
        <f>SUMIF(Table25[[#All],[Assets]],Table25[[#This Row],[Assets]],Table25[[#All],[Number of stocks]])</f>
        <v>0</v>
      </c>
    </row>
    <row r="1330" spans="1:17">
      <c r="A1330" t="e" vm="64">
        <v>#VALUE!</v>
      </c>
      <c r="B1330" s="2">
        <v>45835</v>
      </c>
      <c r="C1330" t="str" cm="1">
        <f t="array" aca="1" ref="C1330" ca="1">_FV(A1330,"Ticker symbol",TRUE)</f>
        <v>LULU</v>
      </c>
      <c r="D1330" s="4">
        <v>236.13</v>
      </c>
      <c r="E1330" s="50">
        <v>2</v>
      </c>
      <c r="F1330" s="81">
        <f>IF(Table25[[#This Row],[Number of stocks]]&gt;0,Table25[[#This Row],[Number of stocks]],0)</f>
        <v>2</v>
      </c>
      <c r="G1330" s="73">
        <f>Table25[[#This Row],[Bought]]*Table25[[#This Row],[Price]]</f>
        <v>472.26</v>
      </c>
      <c r="H1330">
        <f>SUMIF(Table25[[#All],[Assets]],Table25[[#This Row],[Assets]],Table25[[#All],[Bought]])</f>
        <v>26</v>
      </c>
      <c r="I1330">
        <f>SUMIF(Table25[[#All],[Assets]],Table25[[#This Row],[Assets]],Table25[[#All],[Bought Amount]])</f>
        <v>6272.2400000000007</v>
      </c>
      <c r="J1330" s="88">
        <f>IF(Table25[[#This Row],[Number of stocks]]&lt;0,Table25[[#This Row],[Number of stocks]],0)</f>
        <v>0</v>
      </c>
      <c r="K1330" s="5">
        <f>Table25[[#This Row],[Sold]]*Table25[[#This Row],[Price]]</f>
        <v>0</v>
      </c>
      <c r="L1330" s="8">
        <f>ABS(SUMIF(Table25[[#All],[Assets]],Table25[[#This Row],[Assets]],Table25[[#All],[Sold]]))</f>
        <v>26</v>
      </c>
      <c r="M1330" s="5">
        <f>ABS(SUMIF(Table25[[#All],[Assets]],Table25[[#This Row],[Assets]],Table25[[#All],[Sold Amount]]))</f>
        <v>6958.9199999999992</v>
      </c>
      <c r="N1330" s="5">
        <f>IFERROR(Table25[[#This Row],[Total sold amount]]/Table25[[#This Row],[Total Sold number of stocks]],"")</f>
        <v>267.65076923076919</v>
      </c>
      <c r="O1330" s="4">
        <f>IFERROR(Table25[[#This Row],[Total Amount bought]]/Table25[[#This Row],[Total number bought]],"")</f>
        <v>241.24000000000004</v>
      </c>
      <c r="P1330" s="4">
        <f>IFERROR((Table25[[#This Row],[Average sell price]]-Table25[[#This Row],[Average buy price]])*Table25[[#This Row],[Total Sold number of stocks]],0)</f>
        <v>686.67999999999779</v>
      </c>
      <c r="Q1330" s="85">
        <f>SUMIF(Table25[[#All],[Assets]],Table25[[#This Row],[Assets]],Table25[[#All],[Number of stocks]])</f>
        <v>0</v>
      </c>
    </row>
    <row r="1331" spans="1:17">
      <c r="A1331" t="e" vm="16">
        <v>#VALUE!</v>
      </c>
      <c r="B1331" s="2">
        <v>45835</v>
      </c>
      <c r="C1331" t="str" cm="1">
        <f t="array" aca="1" ref="C1331" ca="1">_FV(A1331,"Ticker symbol",TRUE)</f>
        <v>GOOG</v>
      </c>
      <c r="D1331" s="4">
        <v>174.67</v>
      </c>
      <c r="E1331" s="50">
        <v>4</v>
      </c>
      <c r="F1331" s="81">
        <f>IF(Table25[[#This Row],[Number of stocks]]&gt;0,Table25[[#This Row],[Number of stocks]],0)</f>
        <v>4</v>
      </c>
      <c r="G1331" s="73">
        <f>Table25[[#This Row],[Bought]]*Table25[[#This Row],[Price]]</f>
        <v>698.68</v>
      </c>
      <c r="H1331">
        <f>SUMIF(Table25[[#All],[Assets]],Table25[[#This Row],[Assets]],Table25[[#All],[Bought]])</f>
        <v>24</v>
      </c>
      <c r="I1331">
        <f>SUMIF(Table25[[#All],[Assets]],Table25[[#This Row],[Assets]],Table25[[#All],[Bought Amount]])</f>
        <v>4739.3499999999995</v>
      </c>
      <c r="J1331" s="88">
        <f>IF(Table25[[#This Row],[Number of stocks]]&lt;0,Table25[[#This Row],[Number of stocks]],0)</f>
        <v>0</v>
      </c>
      <c r="K1331" s="5">
        <f>Table25[[#This Row],[Sold]]*Table25[[#This Row],[Price]]</f>
        <v>0</v>
      </c>
      <c r="L1331" s="8">
        <f>ABS(SUMIF(Table25[[#All],[Assets]],Table25[[#This Row],[Assets]],Table25[[#All],[Sold]]))</f>
        <v>1</v>
      </c>
      <c r="M1331" s="5">
        <f>ABS(SUMIF(Table25[[#All],[Assets]],Table25[[#This Row],[Assets]],Table25[[#All],[Sold Amount]]))</f>
        <v>229.13</v>
      </c>
      <c r="N1331" s="5">
        <f>IFERROR(Table25[[#This Row],[Total sold amount]]/Table25[[#This Row],[Total Sold number of stocks]],"")</f>
        <v>229.13</v>
      </c>
      <c r="O1331" s="4">
        <f>IFERROR(Table25[[#This Row],[Total Amount bought]]/Table25[[#This Row],[Total number bought]],"")</f>
        <v>197.47291666666663</v>
      </c>
      <c r="P1331" s="4">
        <f>IFERROR((Table25[[#This Row],[Average sell price]]-Table25[[#This Row],[Average buy price]])*Table25[[#This Row],[Total Sold number of stocks]],0)</f>
        <v>31.657083333333361</v>
      </c>
      <c r="Q1331" s="85">
        <f>SUMIF(Table25[[#All],[Assets]],Table25[[#This Row],[Assets]],Table25[[#All],[Number of stocks]])</f>
        <v>23</v>
      </c>
    </row>
    <row r="1332" spans="1:17">
      <c r="A1332" t="e" vm="256">
        <v>#VALUE!</v>
      </c>
      <c r="B1332" s="2">
        <v>45835</v>
      </c>
      <c r="C1332" t="str" cm="1">
        <f t="array" aca="1" ref="C1332" ca="1">_FV(A1332,"Ticker symbol",TRUE)</f>
        <v>DXPE</v>
      </c>
      <c r="D1332" s="4">
        <v>87.12</v>
      </c>
      <c r="E1332" s="50">
        <v>-6</v>
      </c>
      <c r="F1332" s="81">
        <f>IF(Table25[[#This Row],[Number of stocks]]&gt;0,Table25[[#This Row],[Number of stocks]],0)</f>
        <v>0</v>
      </c>
      <c r="G1332" s="73">
        <f>Table25[[#This Row],[Bought]]*Table25[[#This Row],[Price]]</f>
        <v>0</v>
      </c>
      <c r="H1332">
        <f>SUMIF(Table25[[#All],[Assets]],Table25[[#This Row],[Assets]],Table25[[#All],[Bought]])</f>
        <v>6</v>
      </c>
      <c r="I1332">
        <f>SUMIF(Table25[[#All],[Assets]],Table25[[#This Row],[Assets]],Table25[[#All],[Bought Amount]])</f>
        <v>448.08</v>
      </c>
      <c r="J1332" s="88">
        <f>IF(Table25[[#This Row],[Number of stocks]]&lt;0,Table25[[#This Row],[Number of stocks]],0)</f>
        <v>-6</v>
      </c>
      <c r="K1332" s="5">
        <f>Table25[[#This Row],[Sold]]*Table25[[#This Row],[Price]]</f>
        <v>-522.72</v>
      </c>
      <c r="L1332" s="8">
        <f>ABS(SUMIF(Table25[[#All],[Assets]],Table25[[#This Row],[Assets]],Table25[[#All],[Sold]]))</f>
        <v>6</v>
      </c>
      <c r="M1332" s="5">
        <f>ABS(SUMIF(Table25[[#All],[Assets]],Table25[[#This Row],[Assets]],Table25[[#All],[Sold Amount]]))</f>
        <v>522.72</v>
      </c>
      <c r="N1332" s="5">
        <f>IFERROR(Table25[[#This Row],[Total sold amount]]/Table25[[#This Row],[Total Sold number of stocks]],"")</f>
        <v>87.12</v>
      </c>
      <c r="O1332" s="4">
        <f>IFERROR(Table25[[#This Row],[Total Amount bought]]/Table25[[#This Row],[Total number bought]],"")</f>
        <v>74.679999999999993</v>
      </c>
      <c r="P1332" s="4">
        <f>IFERROR((Table25[[#This Row],[Average sell price]]-Table25[[#This Row],[Average buy price]])*Table25[[#This Row],[Total Sold number of stocks]],0)</f>
        <v>74.640000000000072</v>
      </c>
      <c r="Q1332" s="85">
        <f>SUMIF(Table25[[#All],[Assets]],Table25[[#This Row],[Assets]],Table25[[#All],[Number of stocks]])</f>
        <v>0</v>
      </c>
    </row>
    <row r="1333" spans="1:17">
      <c r="A1333" t="e" vm="88">
        <v>#VALUE!</v>
      </c>
      <c r="B1333" s="2">
        <v>45835</v>
      </c>
      <c r="C1333" t="str" cm="1">
        <f t="array" aca="1" ref="C1333" ca="1">_FV(A1333,"Ticker symbol",TRUE)</f>
        <v>SPIR</v>
      </c>
      <c r="D1333" s="4">
        <v>11.89</v>
      </c>
      <c r="E1333" s="50">
        <v>47</v>
      </c>
      <c r="F1333" s="81">
        <f>IF(Table25[[#This Row],[Number of stocks]]&gt;0,Table25[[#This Row],[Number of stocks]],0)</f>
        <v>47</v>
      </c>
      <c r="G1333" s="73">
        <f>Table25[[#This Row],[Bought]]*Table25[[#This Row],[Price]]</f>
        <v>558.83000000000004</v>
      </c>
      <c r="H1333">
        <f>SUMIF(Table25[[#All],[Assets]],Table25[[#This Row],[Assets]],Table25[[#All],[Bought]])</f>
        <v>173</v>
      </c>
      <c r="I1333">
        <f>SUMIF(Table25[[#All],[Assets]],Table25[[#This Row],[Assets]],Table25[[#All],[Bought Amount]])</f>
        <v>2251.35</v>
      </c>
      <c r="J1333" s="88">
        <f>IF(Table25[[#This Row],[Number of stocks]]&lt;0,Table25[[#This Row],[Number of stocks]],0)</f>
        <v>0</v>
      </c>
      <c r="K1333" s="5">
        <f>Table25[[#This Row],[Sold]]*Table25[[#This Row],[Price]]</f>
        <v>0</v>
      </c>
      <c r="L1333" s="8">
        <f>ABS(SUMIF(Table25[[#All],[Assets]],Table25[[#This Row],[Assets]],Table25[[#All],[Sold]]))</f>
        <v>173</v>
      </c>
      <c r="M1333" s="5">
        <f>ABS(SUMIF(Table25[[#All],[Assets]],Table25[[#This Row],[Assets]],Table25[[#All],[Sold Amount]]))</f>
        <v>2095.02</v>
      </c>
      <c r="N1333" s="5">
        <f>IFERROR(Table25[[#This Row],[Total sold amount]]/Table25[[#This Row],[Total Sold number of stocks]],"")</f>
        <v>12.109942196531792</v>
      </c>
      <c r="O1333" s="4">
        <f>IFERROR(Table25[[#This Row],[Total Amount bought]]/Table25[[#This Row],[Total number bought]],"")</f>
        <v>13.013583815028902</v>
      </c>
      <c r="P1333" s="4">
        <f>IFERROR((Table25[[#This Row],[Average sell price]]-Table25[[#This Row],[Average buy price]])*Table25[[#This Row],[Total Sold number of stocks]],0)</f>
        <v>-156.33000000000001</v>
      </c>
      <c r="Q1333" s="85">
        <f>SUMIF(Table25[[#All],[Assets]],Table25[[#This Row],[Assets]],Table25[[#All],[Number of stocks]])</f>
        <v>0</v>
      </c>
    </row>
    <row r="1334" spans="1:17">
      <c r="A1334" t="e" vm="36">
        <v>#VALUE!</v>
      </c>
      <c r="B1334" s="2">
        <v>45835</v>
      </c>
      <c r="C1334" t="str" cm="1">
        <f t="array" aca="1" ref="C1334" ca="1">_FV(A1334,"Ticker symbol",TRUE)</f>
        <v>CLS</v>
      </c>
      <c r="D1334" s="4">
        <v>154.06</v>
      </c>
      <c r="E1334" s="50">
        <v>-5</v>
      </c>
      <c r="F1334" s="81">
        <f>IF(Table25[[#This Row],[Number of stocks]]&gt;0,Table25[[#This Row],[Number of stocks]],0)</f>
        <v>0</v>
      </c>
      <c r="G1334" s="73">
        <f>Table25[[#This Row],[Bought]]*Table25[[#This Row],[Price]]</f>
        <v>0</v>
      </c>
      <c r="H1334">
        <f>SUMIF(Table25[[#All],[Assets]],Table25[[#This Row],[Assets]],Table25[[#All],[Bought]])</f>
        <v>25</v>
      </c>
      <c r="I1334">
        <f>SUMIF(Table25[[#All],[Assets]],Table25[[#This Row],[Assets]],Table25[[#All],[Bought Amount]])</f>
        <v>1806.25</v>
      </c>
      <c r="J1334" s="88">
        <f>IF(Table25[[#This Row],[Number of stocks]]&lt;0,Table25[[#This Row],[Number of stocks]],0)</f>
        <v>-5</v>
      </c>
      <c r="K1334" s="5">
        <f>Table25[[#This Row],[Sold]]*Table25[[#This Row],[Price]]</f>
        <v>-770.3</v>
      </c>
      <c r="L1334" s="8">
        <f>ABS(SUMIF(Table25[[#All],[Assets]],Table25[[#This Row],[Assets]],Table25[[#All],[Sold]]))</f>
        <v>25</v>
      </c>
      <c r="M1334" s="5">
        <f>ABS(SUMIF(Table25[[#All],[Assets]],Table25[[#This Row],[Assets]],Table25[[#All],[Sold Amount]]))</f>
        <v>2255.6000000000004</v>
      </c>
      <c r="N1334" s="5">
        <f>IFERROR(Table25[[#This Row],[Total sold amount]]/Table25[[#This Row],[Total Sold number of stocks]],"")</f>
        <v>90.224000000000018</v>
      </c>
      <c r="O1334" s="4">
        <f>IFERROR(Table25[[#This Row],[Total Amount bought]]/Table25[[#This Row],[Total number bought]],"")</f>
        <v>72.25</v>
      </c>
      <c r="P1334" s="4">
        <f>IFERROR((Table25[[#This Row],[Average sell price]]-Table25[[#This Row],[Average buy price]])*Table25[[#This Row],[Total Sold number of stocks]],0)</f>
        <v>449.35000000000048</v>
      </c>
      <c r="Q1334" s="85">
        <f>SUMIF(Table25[[#All],[Assets]],Table25[[#This Row],[Assets]],Table25[[#All],[Number of stocks]])</f>
        <v>0</v>
      </c>
    </row>
    <row r="1335" spans="1:17">
      <c r="A1335" t="e" vm="262">
        <v>#VALUE!</v>
      </c>
      <c r="B1335" s="2">
        <v>45835</v>
      </c>
      <c r="C1335" t="str" cm="1">
        <f t="array" aca="1" ref="C1335" ca="1">_FV(A1335,"Ticker symbol",TRUE)</f>
        <v>PROP</v>
      </c>
      <c r="D1335" s="4">
        <v>3.32</v>
      </c>
      <c r="E1335" s="50">
        <v>-60</v>
      </c>
      <c r="F1335" s="81">
        <f>IF(Table25[[#This Row],[Number of stocks]]&gt;0,Table25[[#This Row],[Number of stocks]],0)</f>
        <v>0</v>
      </c>
      <c r="G1335" s="73">
        <f>Table25[[#This Row],[Bought]]*Table25[[#This Row],[Price]]</f>
        <v>0</v>
      </c>
      <c r="H1335">
        <f>SUMIF(Table25[[#All],[Assets]],Table25[[#This Row],[Assets]],Table25[[#All],[Bought]])</f>
        <v>120</v>
      </c>
      <c r="I1335">
        <f>SUMIF(Table25[[#All],[Assets]],Table25[[#This Row],[Assets]],Table25[[#All],[Bought Amount]])</f>
        <v>1031.5</v>
      </c>
      <c r="J1335" s="88">
        <f>IF(Table25[[#This Row],[Number of stocks]]&lt;0,Table25[[#This Row],[Number of stocks]],0)</f>
        <v>-60</v>
      </c>
      <c r="K1335" s="5">
        <f>Table25[[#This Row],[Sold]]*Table25[[#This Row],[Price]]</f>
        <v>-199.2</v>
      </c>
      <c r="L1335" s="8">
        <f>ABS(SUMIF(Table25[[#All],[Assets]],Table25[[#This Row],[Assets]],Table25[[#All],[Sold]]))</f>
        <v>120</v>
      </c>
      <c r="M1335" s="5">
        <f>ABS(SUMIF(Table25[[#All],[Assets]],Table25[[#This Row],[Assets]],Table25[[#All],[Sold Amount]]))</f>
        <v>704.4</v>
      </c>
      <c r="N1335" s="5">
        <f>IFERROR(Table25[[#This Row],[Total sold amount]]/Table25[[#This Row],[Total Sold number of stocks]],"")</f>
        <v>5.87</v>
      </c>
      <c r="O1335" s="4">
        <f>IFERROR(Table25[[#This Row],[Total Amount bought]]/Table25[[#This Row],[Total number bought]],"")</f>
        <v>8.5958333333333332</v>
      </c>
      <c r="P1335" s="4">
        <f>IFERROR((Table25[[#This Row],[Average sell price]]-Table25[[#This Row],[Average buy price]])*Table25[[#This Row],[Total Sold number of stocks]],0)</f>
        <v>-327.09999999999997</v>
      </c>
      <c r="Q1335" s="85">
        <f>SUMIF(Table25[[#All],[Assets]],Table25[[#This Row],[Assets]],Table25[[#All],[Number of stocks]])</f>
        <v>0</v>
      </c>
    </row>
    <row r="1336" spans="1:17">
      <c r="A1336" t="e" vm="265">
        <v>#VALUE!</v>
      </c>
      <c r="B1336" s="2">
        <v>45835</v>
      </c>
      <c r="C1336" t="str" cm="1">
        <f t="array" aca="1" ref="C1336" ca="1">_FV(A1336,"Ticker symbol",TRUE)</f>
        <v>OBIO</v>
      </c>
      <c r="D1336" s="4">
        <v>3.02</v>
      </c>
      <c r="E1336" s="50">
        <v>-50</v>
      </c>
      <c r="F1336" s="81">
        <f>IF(Table25[[#This Row],[Number of stocks]]&gt;0,Table25[[#This Row],[Number of stocks]],0)</f>
        <v>0</v>
      </c>
      <c r="G1336" s="73">
        <f>Table25[[#This Row],[Bought]]*Table25[[#This Row],[Price]]</f>
        <v>0</v>
      </c>
      <c r="H1336">
        <f>SUMIF(Table25[[#All],[Assets]],Table25[[#This Row],[Assets]],Table25[[#All],[Bought]])</f>
        <v>100</v>
      </c>
      <c r="I1336">
        <f>SUMIF(Table25[[#All],[Assets]],Table25[[#This Row],[Assets]],Table25[[#All],[Bought Amount]])</f>
        <v>554</v>
      </c>
      <c r="J1336" s="88">
        <f>IF(Table25[[#This Row],[Number of stocks]]&lt;0,Table25[[#This Row],[Number of stocks]],0)</f>
        <v>-50</v>
      </c>
      <c r="K1336" s="5">
        <f>Table25[[#This Row],[Sold]]*Table25[[#This Row],[Price]]</f>
        <v>-151</v>
      </c>
      <c r="L1336" s="8">
        <f>ABS(SUMIF(Table25[[#All],[Assets]],Table25[[#This Row],[Assets]],Table25[[#All],[Sold]]))</f>
        <v>100</v>
      </c>
      <c r="M1336" s="5">
        <f>ABS(SUMIF(Table25[[#All],[Assets]],Table25[[#This Row],[Assets]],Table25[[#All],[Sold Amount]]))</f>
        <v>349</v>
      </c>
      <c r="N1336" s="5">
        <f>IFERROR(Table25[[#This Row],[Total sold amount]]/Table25[[#This Row],[Total Sold number of stocks]],"")</f>
        <v>3.49</v>
      </c>
      <c r="O1336" s="4">
        <f>IFERROR(Table25[[#This Row],[Total Amount bought]]/Table25[[#This Row],[Total number bought]],"")</f>
        <v>5.54</v>
      </c>
      <c r="P1336" s="4">
        <f>IFERROR((Table25[[#This Row],[Average sell price]]-Table25[[#This Row],[Average buy price]])*Table25[[#This Row],[Total Sold number of stocks]],0)</f>
        <v>-204.99999999999997</v>
      </c>
      <c r="Q1336" s="85">
        <f>SUMIF(Table25[[#All],[Assets]],Table25[[#This Row],[Assets]],Table25[[#All],[Number of stocks]])</f>
        <v>0</v>
      </c>
    </row>
    <row r="1337" spans="1:17">
      <c r="A1337" t="e" vm="227">
        <v>#VALUE!</v>
      </c>
      <c r="B1337" s="2">
        <v>45835</v>
      </c>
      <c r="C1337" t="str" cm="1">
        <f t="array" aca="1" ref="C1337" ca="1">_FV(A1337,"Ticker symbol",TRUE)</f>
        <v>DFDV</v>
      </c>
      <c r="D1337" s="4">
        <v>16.600000000000001</v>
      </c>
      <c r="E1337" s="50">
        <v>65</v>
      </c>
      <c r="F1337" s="81">
        <f>IF(Table25[[#This Row],[Number of stocks]]&gt;0,Table25[[#This Row],[Number of stocks]],0)</f>
        <v>65</v>
      </c>
      <c r="G1337" s="73">
        <f>Table25[[#This Row],[Bought]]*Table25[[#This Row],[Price]]</f>
        <v>1079</v>
      </c>
      <c r="H1337">
        <f>SUMIF(Table25[[#All],[Assets]],Table25[[#This Row],[Assets]],Table25[[#All],[Bought]])</f>
        <v>387</v>
      </c>
      <c r="I1337">
        <f>SUMIF(Table25[[#All],[Assets]],Table25[[#This Row],[Assets]],Table25[[#All],[Bought Amount]])</f>
        <v>6522.1182600000002</v>
      </c>
      <c r="J1337" s="88">
        <f>IF(Table25[[#This Row],[Number of stocks]]&lt;0,Table25[[#This Row],[Number of stocks]],0)</f>
        <v>0</v>
      </c>
      <c r="K1337" s="5">
        <f>Table25[[#This Row],[Sold]]*Table25[[#This Row],[Price]]</f>
        <v>0</v>
      </c>
      <c r="L1337" s="8">
        <f>ABS(SUMIF(Table25[[#All],[Assets]],Table25[[#This Row],[Assets]],Table25[[#All],[Sold]]))</f>
        <v>387</v>
      </c>
      <c r="M1337" s="5">
        <f>ABS(SUMIF(Table25[[#All],[Assets]],Table25[[#This Row],[Assets]],Table25[[#All],[Sold Amount]]))</f>
        <v>7242.64</v>
      </c>
      <c r="N1337" s="5">
        <f>IFERROR(Table25[[#This Row],[Total sold amount]]/Table25[[#This Row],[Total Sold number of stocks]],"")</f>
        <v>18.714832041343669</v>
      </c>
      <c r="O1337" s="4">
        <f>IFERROR(Table25[[#This Row],[Total Amount bought]]/Table25[[#This Row],[Total number bought]],"")</f>
        <v>16.853018759689924</v>
      </c>
      <c r="P1337" s="4">
        <f>IFERROR((Table25[[#This Row],[Average sell price]]-Table25[[#This Row],[Average buy price]])*Table25[[#This Row],[Total Sold number of stocks]],0)</f>
        <v>720.52173999999945</v>
      </c>
      <c r="Q1337" s="85">
        <f>SUMIF(Table25[[#All],[Assets]],Table25[[#This Row],[Assets]],Table25[[#All],[Number of stocks]])</f>
        <v>0</v>
      </c>
    </row>
    <row r="1338" spans="1:17">
      <c r="A1338" t="e" vm="183">
        <v>#VALUE!</v>
      </c>
      <c r="B1338" s="2">
        <v>45835</v>
      </c>
      <c r="C1338" t="str" cm="1">
        <f t="array" aca="1" ref="C1338" ca="1">_FV(A1338,"Ticker symbol",TRUE)</f>
        <v>ESOA</v>
      </c>
      <c r="D1338" s="4">
        <v>9.51</v>
      </c>
      <c r="E1338" s="50">
        <v>27</v>
      </c>
      <c r="F1338" s="81">
        <f>IF(Table25[[#This Row],[Number of stocks]]&gt;0,Table25[[#This Row],[Number of stocks]],0)</f>
        <v>27</v>
      </c>
      <c r="G1338" s="73">
        <f>Table25[[#This Row],[Bought]]*Table25[[#This Row],[Price]]</f>
        <v>256.77</v>
      </c>
      <c r="H1338">
        <f>SUMIF(Table25[[#All],[Assets]],Table25[[#This Row],[Assets]],Table25[[#All],[Bought]])</f>
        <v>1832</v>
      </c>
      <c r="I1338">
        <f>SUMIF(Table25[[#All],[Assets]],Table25[[#This Row],[Assets]],Table25[[#All],[Bought Amount]])</f>
        <v>18152.78</v>
      </c>
      <c r="J1338" s="88">
        <f>IF(Table25[[#This Row],[Number of stocks]]&lt;0,Table25[[#This Row],[Number of stocks]],0)</f>
        <v>0</v>
      </c>
      <c r="K1338" s="5">
        <f>Table25[[#This Row],[Sold]]*Table25[[#This Row],[Price]]</f>
        <v>0</v>
      </c>
      <c r="L1338" s="8">
        <f>ABS(SUMIF(Table25[[#All],[Assets]],Table25[[#This Row],[Assets]],Table25[[#All],[Sold]]))</f>
        <v>1568</v>
      </c>
      <c r="M1338" s="5">
        <f>ABS(SUMIF(Table25[[#All],[Assets]],Table25[[#This Row],[Assets]],Table25[[#All],[Sold Amount]]))</f>
        <v>14668</v>
      </c>
      <c r="N1338" s="5">
        <f>IFERROR(Table25[[#This Row],[Total sold amount]]/Table25[[#This Row],[Total Sold number of stocks]],"")</f>
        <v>9.3545918367346932</v>
      </c>
      <c r="O1338" s="4">
        <f>IFERROR(Table25[[#This Row],[Total Amount bought]]/Table25[[#This Row],[Total number bought]],"")</f>
        <v>9.9087227074235802</v>
      </c>
      <c r="P1338" s="4">
        <f>IFERROR((Table25[[#This Row],[Average sell price]]-Table25[[#This Row],[Average buy price]])*Table25[[#This Row],[Total Sold number of stocks]],0)</f>
        <v>-868.87720524017482</v>
      </c>
      <c r="Q1338" s="85">
        <f>SUMIF(Table25[[#All],[Assets]],Table25[[#This Row],[Assets]],Table25[[#All],[Number of stocks]])</f>
        <v>264</v>
      </c>
    </row>
    <row r="1339" spans="1:17">
      <c r="A1339" t="e" vm="19">
        <v>#VALUE!</v>
      </c>
      <c r="B1339" s="2">
        <v>45835</v>
      </c>
      <c r="C1339" t="str" cm="1">
        <f t="array" aca="1" ref="C1339" ca="1">_FV(A1339,"Ticker symbol",TRUE)</f>
        <v>OUST</v>
      </c>
      <c r="D1339" s="4">
        <v>24.31</v>
      </c>
      <c r="E1339" s="50">
        <v>-25</v>
      </c>
      <c r="F1339" s="81">
        <f>IF(Table25[[#This Row],[Number of stocks]]&gt;0,Table25[[#This Row],[Number of stocks]],0)</f>
        <v>0</v>
      </c>
      <c r="G1339" s="73">
        <f>Table25[[#This Row],[Bought]]*Table25[[#This Row],[Price]]</f>
        <v>0</v>
      </c>
      <c r="H1339">
        <f>SUMIF(Table25[[#All],[Assets]],Table25[[#This Row],[Assets]],Table25[[#All],[Bought]])</f>
        <v>324</v>
      </c>
      <c r="I1339">
        <f>SUMIF(Table25[[#All],[Assets]],Table25[[#This Row],[Assets]],Table25[[#All],[Bought Amount]])</f>
        <v>4403.8500000000004</v>
      </c>
      <c r="J1339" s="88">
        <f>IF(Table25[[#This Row],[Number of stocks]]&lt;0,Table25[[#This Row],[Number of stocks]],0)</f>
        <v>-25</v>
      </c>
      <c r="K1339" s="5">
        <f>Table25[[#This Row],[Sold]]*Table25[[#This Row],[Price]]</f>
        <v>-607.75</v>
      </c>
      <c r="L1339" s="8">
        <f>ABS(SUMIF(Table25[[#All],[Assets]],Table25[[#This Row],[Assets]],Table25[[#All],[Sold]]))</f>
        <v>299</v>
      </c>
      <c r="M1339" s="5">
        <f>ABS(SUMIF(Table25[[#All],[Assets]],Table25[[#This Row],[Assets]],Table25[[#All],[Sold Amount]]))</f>
        <v>6222.84</v>
      </c>
      <c r="N1339" s="5">
        <f>IFERROR(Table25[[#This Row],[Total sold amount]]/Table25[[#This Row],[Total Sold number of stocks]],"")</f>
        <v>20.81217391304348</v>
      </c>
      <c r="O1339" s="4">
        <f>IFERROR(Table25[[#This Row],[Total Amount bought]]/Table25[[#This Row],[Total number bought]],"")</f>
        <v>13.59212962962963</v>
      </c>
      <c r="P1339" s="4">
        <f>IFERROR((Table25[[#This Row],[Average sell price]]-Table25[[#This Row],[Average buy price]])*Table25[[#This Row],[Total Sold number of stocks]],0)</f>
        <v>2158.7932407407411</v>
      </c>
      <c r="Q1339" s="85">
        <f>SUMIF(Table25[[#All],[Assets]],Table25[[#This Row],[Assets]],Table25[[#All],[Number of stocks]])</f>
        <v>25</v>
      </c>
    </row>
    <row r="1340" spans="1:17">
      <c r="A1340" t="e" vm="227">
        <v>#VALUE!</v>
      </c>
      <c r="B1340" s="2">
        <v>45835</v>
      </c>
      <c r="C1340" t="str" cm="1">
        <f t="array" aca="1" ref="C1340" ca="1">_FV(A1340,"Ticker symbol",TRUE)</f>
        <v>DFDV</v>
      </c>
      <c r="D1340" s="4">
        <v>16.62</v>
      </c>
      <c r="E1340" s="50">
        <v>52</v>
      </c>
      <c r="F1340" s="81">
        <f>IF(Table25[[#This Row],[Number of stocks]]&gt;0,Table25[[#This Row],[Number of stocks]],0)</f>
        <v>52</v>
      </c>
      <c r="G1340" s="73">
        <f>Table25[[#This Row],[Bought]]*Table25[[#This Row],[Price]]</f>
        <v>864.24</v>
      </c>
      <c r="H1340">
        <f>SUMIF(Table25[[#All],[Assets]],Table25[[#This Row],[Assets]],Table25[[#All],[Bought]])</f>
        <v>387</v>
      </c>
      <c r="I1340">
        <f>SUMIF(Table25[[#All],[Assets]],Table25[[#This Row],[Assets]],Table25[[#All],[Bought Amount]])</f>
        <v>6522.1182600000002</v>
      </c>
      <c r="J1340" s="88">
        <f>IF(Table25[[#This Row],[Number of stocks]]&lt;0,Table25[[#This Row],[Number of stocks]],0)</f>
        <v>0</v>
      </c>
      <c r="K1340" s="5">
        <f>Table25[[#This Row],[Sold]]*Table25[[#This Row],[Price]]</f>
        <v>0</v>
      </c>
      <c r="L1340" s="8">
        <f>ABS(SUMIF(Table25[[#All],[Assets]],Table25[[#This Row],[Assets]],Table25[[#All],[Sold]]))</f>
        <v>387</v>
      </c>
      <c r="M1340" s="5">
        <f>ABS(SUMIF(Table25[[#All],[Assets]],Table25[[#This Row],[Assets]],Table25[[#All],[Sold Amount]]))</f>
        <v>7242.64</v>
      </c>
      <c r="N1340" s="5">
        <f>IFERROR(Table25[[#This Row],[Total sold amount]]/Table25[[#This Row],[Total Sold number of stocks]],"")</f>
        <v>18.714832041343669</v>
      </c>
      <c r="O1340" s="4">
        <f>IFERROR(Table25[[#This Row],[Total Amount bought]]/Table25[[#This Row],[Total number bought]],"")</f>
        <v>16.853018759689924</v>
      </c>
      <c r="P1340" s="4">
        <f>IFERROR((Table25[[#This Row],[Average sell price]]-Table25[[#This Row],[Average buy price]])*Table25[[#This Row],[Total Sold number of stocks]],0)</f>
        <v>720.52173999999945</v>
      </c>
      <c r="Q1340" s="85">
        <f>SUMIF(Table25[[#All],[Assets]],Table25[[#This Row],[Assets]],Table25[[#All],[Number of stocks]])</f>
        <v>0</v>
      </c>
    </row>
    <row r="1341" spans="1:17">
      <c r="A1341" t="e" vm="267">
        <v>#VALUE!</v>
      </c>
      <c r="B1341" s="2">
        <v>45835</v>
      </c>
      <c r="C1341" t="str" cm="1">
        <f t="array" aca="1" ref="C1341" ca="1">_FV(A1341,"Ticker symbol",TRUE)</f>
        <v>NXL</v>
      </c>
      <c r="D1341" s="4">
        <v>0.90449999999999997</v>
      </c>
      <c r="E1341" s="50">
        <v>-120</v>
      </c>
      <c r="F1341" s="81">
        <f>IF(Table25[[#This Row],[Number of stocks]]&gt;0,Table25[[#This Row],[Number of stocks]],0)</f>
        <v>0</v>
      </c>
      <c r="G1341" s="73">
        <f>Table25[[#This Row],[Bought]]*Table25[[#This Row],[Price]]</f>
        <v>0</v>
      </c>
      <c r="H1341">
        <f>SUMIF(Table25[[#All],[Assets]],Table25[[#This Row],[Assets]],Table25[[#All],[Bought]])</f>
        <v>120</v>
      </c>
      <c r="I1341">
        <f>SUMIF(Table25[[#All],[Assets]],Table25[[#This Row],[Assets]],Table25[[#All],[Bought Amount]])</f>
        <v>318</v>
      </c>
      <c r="J1341" s="88">
        <f>IF(Table25[[#This Row],[Number of stocks]]&lt;0,Table25[[#This Row],[Number of stocks]],0)</f>
        <v>-120</v>
      </c>
      <c r="K1341" s="5">
        <f>Table25[[#This Row],[Sold]]*Table25[[#This Row],[Price]]</f>
        <v>-108.53999999999999</v>
      </c>
      <c r="L1341" s="8">
        <f>ABS(SUMIF(Table25[[#All],[Assets]],Table25[[#This Row],[Assets]],Table25[[#All],[Sold]]))</f>
        <v>120</v>
      </c>
      <c r="M1341" s="5">
        <f>ABS(SUMIF(Table25[[#All],[Assets]],Table25[[#This Row],[Assets]],Table25[[#All],[Sold Amount]]))</f>
        <v>108.53999999999999</v>
      </c>
      <c r="N1341" s="5">
        <f>IFERROR(Table25[[#This Row],[Total sold amount]]/Table25[[#This Row],[Total Sold number of stocks]],"")</f>
        <v>0.90449999999999997</v>
      </c>
      <c r="O1341" s="4">
        <f>IFERROR(Table25[[#This Row],[Total Amount bought]]/Table25[[#This Row],[Total number bought]],"")</f>
        <v>2.65</v>
      </c>
      <c r="P1341" s="4">
        <f>IFERROR((Table25[[#This Row],[Average sell price]]-Table25[[#This Row],[Average buy price]])*Table25[[#This Row],[Total Sold number of stocks]],0)</f>
        <v>-209.45999999999998</v>
      </c>
      <c r="Q1341" s="85">
        <f>SUMIF(Table25[[#All],[Assets]],Table25[[#This Row],[Assets]],Table25[[#All],[Number of stocks]])</f>
        <v>0</v>
      </c>
    </row>
    <row r="1342" spans="1:17">
      <c r="A1342" t="e" vm="260">
        <v>#VALUE!</v>
      </c>
      <c r="B1342" s="2">
        <v>45835</v>
      </c>
      <c r="C1342" t="str" cm="1">
        <f t="array" aca="1" ref="C1342" ca="1">_FV(A1342,"Ticker symbol",TRUE)</f>
        <v>REPL</v>
      </c>
      <c r="D1342" s="4">
        <v>9.31</v>
      </c>
      <c r="E1342" s="50">
        <v>-30</v>
      </c>
      <c r="F1342" s="81">
        <f>IF(Table25[[#This Row],[Number of stocks]]&gt;0,Table25[[#This Row],[Number of stocks]],0)</f>
        <v>0</v>
      </c>
      <c r="G1342" s="73">
        <f>Table25[[#This Row],[Bought]]*Table25[[#This Row],[Price]]</f>
        <v>0</v>
      </c>
      <c r="H1342">
        <f>SUMIF(Table25[[#All],[Assets]],Table25[[#This Row],[Assets]],Table25[[#All],[Bought]])</f>
        <v>30</v>
      </c>
      <c r="I1342">
        <f>SUMIF(Table25[[#All],[Assets]],Table25[[#This Row],[Assets]],Table25[[#All],[Bought Amount]])</f>
        <v>428.4</v>
      </c>
      <c r="J1342" s="88">
        <f>IF(Table25[[#This Row],[Number of stocks]]&lt;0,Table25[[#This Row],[Number of stocks]],0)</f>
        <v>-30</v>
      </c>
      <c r="K1342" s="5">
        <f>Table25[[#This Row],[Sold]]*Table25[[#This Row],[Price]]</f>
        <v>-279.3</v>
      </c>
      <c r="L1342" s="8">
        <f>ABS(SUMIF(Table25[[#All],[Assets]],Table25[[#This Row],[Assets]],Table25[[#All],[Sold]]))</f>
        <v>30</v>
      </c>
      <c r="M1342" s="5">
        <f>ABS(SUMIF(Table25[[#All],[Assets]],Table25[[#This Row],[Assets]],Table25[[#All],[Sold Amount]]))</f>
        <v>279.3</v>
      </c>
      <c r="N1342" s="5">
        <f>IFERROR(Table25[[#This Row],[Total sold amount]]/Table25[[#This Row],[Total Sold number of stocks]],"")</f>
        <v>9.31</v>
      </c>
      <c r="O1342" s="4">
        <f>IFERROR(Table25[[#This Row],[Total Amount bought]]/Table25[[#This Row],[Total number bought]],"")</f>
        <v>14.28</v>
      </c>
      <c r="P1342" s="4">
        <f>IFERROR((Table25[[#This Row],[Average sell price]]-Table25[[#This Row],[Average buy price]])*Table25[[#This Row],[Total Sold number of stocks]],0)</f>
        <v>-149.09999999999997</v>
      </c>
      <c r="Q1342" s="85">
        <f>SUMIF(Table25[[#All],[Assets]],Table25[[#This Row],[Assets]],Table25[[#All],[Number of stocks]])</f>
        <v>0</v>
      </c>
    </row>
    <row r="1343" spans="1:17">
      <c r="A1343" t="e" vm="88">
        <v>#VALUE!</v>
      </c>
      <c r="B1343" s="2">
        <v>45835</v>
      </c>
      <c r="C1343" t="str" cm="1">
        <f t="array" aca="1" ref="C1343" ca="1">_FV(A1343,"Ticker symbol",TRUE)</f>
        <v>SPIR</v>
      </c>
      <c r="D1343" s="4">
        <v>11.52</v>
      </c>
      <c r="E1343" s="50">
        <v>50</v>
      </c>
      <c r="F1343" s="81">
        <f>IF(Table25[[#This Row],[Number of stocks]]&gt;0,Table25[[#This Row],[Number of stocks]],0)</f>
        <v>50</v>
      </c>
      <c r="G1343" s="73">
        <f>Table25[[#This Row],[Bought]]*Table25[[#This Row],[Price]]</f>
        <v>576</v>
      </c>
      <c r="H1343">
        <f>SUMIF(Table25[[#All],[Assets]],Table25[[#This Row],[Assets]],Table25[[#All],[Bought]])</f>
        <v>173</v>
      </c>
      <c r="I1343">
        <f>SUMIF(Table25[[#All],[Assets]],Table25[[#This Row],[Assets]],Table25[[#All],[Bought Amount]])</f>
        <v>2251.35</v>
      </c>
      <c r="J1343" s="88">
        <f>IF(Table25[[#This Row],[Number of stocks]]&lt;0,Table25[[#This Row],[Number of stocks]],0)</f>
        <v>0</v>
      </c>
      <c r="K1343" s="5">
        <f>Table25[[#This Row],[Sold]]*Table25[[#This Row],[Price]]</f>
        <v>0</v>
      </c>
      <c r="L1343" s="8">
        <f>ABS(SUMIF(Table25[[#All],[Assets]],Table25[[#This Row],[Assets]],Table25[[#All],[Sold]]))</f>
        <v>173</v>
      </c>
      <c r="M1343" s="5">
        <f>ABS(SUMIF(Table25[[#All],[Assets]],Table25[[#This Row],[Assets]],Table25[[#All],[Sold Amount]]))</f>
        <v>2095.02</v>
      </c>
      <c r="N1343" s="5">
        <f>IFERROR(Table25[[#This Row],[Total sold amount]]/Table25[[#This Row],[Total Sold number of stocks]],"")</f>
        <v>12.109942196531792</v>
      </c>
      <c r="O1343" s="4">
        <f>IFERROR(Table25[[#This Row],[Total Amount bought]]/Table25[[#This Row],[Total number bought]],"")</f>
        <v>13.013583815028902</v>
      </c>
      <c r="P1343" s="4">
        <f>IFERROR((Table25[[#This Row],[Average sell price]]-Table25[[#This Row],[Average buy price]])*Table25[[#This Row],[Total Sold number of stocks]],0)</f>
        <v>-156.33000000000001</v>
      </c>
      <c r="Q1343" s="85">
        <f>SUMIF(Table25[[#All],[Assets]],Table25[[#This Row],[Assets]],Table25[[#All],[Number of stocks]])</f>
        <v>0</v>
      </c>
    </row>
    <row r="1344" spans="1:17">
      <c r="A1344" t="e" vm="173">
        <v>#VALUE!</v>
      </c>
      <c r="B1344" s="2">
        <v>45838</v>
      </c>
      <c r="C1344" t="str" cm="1">
        <f t="array" aca="1" ref="C1344" ca="1">_FV(A1344,"Ticker symbol",TRUE)</f>
        <v>SNOW</v>
      </c>
      <c r="D1344" s="4">
        <v>224.59</v>
      </c>
      <c r="E1344" s="50">
        <v>-1</v>
      </c>
      <c r="F1344" s="81">
        <f>IF(Table25[[#This Row],[Number of stocks]]&gt;0,Table25[[#This Row],[Number of stocks]],0)</f>
        <v>0</v>
      </c>
      <c r="G1344" s="73">
        <f>Table25[[#This Row],[Bought]]*Table25[[#This Row],[Price]]</f>
        <v>0</v>
      </c>
      <c r="H1344">
        <f>SUMIF(Table25[[#All],[Assets]],Table25[[#This Row],[Assets]],Table25[[#All],[Bought]])</f>
        <v>3</v>
      </c>
      <c r="I1344">
        <f>SUMIF(Table25[[#All],[Assets]],Table25[[#This Row],[Assets]],Table25[[#All],[Bought Amount]])</f>
        <v>545.64</v>
      </c>
      <c r="J1344" s="88">
        <f>IF(Table25[[#This Row],[Number of stocks]]&lt;0,Table25[[#This Row],[Number of stocks]],0)</f>
        <v>-1</v>
      </c>
      <c r="K1344" s="5">
        <f>Table25[[#This Row],[Sold]]*Table25[[#This Row],[Price]]</f>
        <v>-224.59</v>
      </c>
      <c r="L1344" s="8">
        <f>ABS(SUMIF(Table25[[#All],[Assets]],Table25[[#This Row],[Assets]],Table25[[#All],[Sold]]))</f>
        <v>3</v>
      </c>
      <c r="M1344" s="5">
        <f>ABS(SUMIF(Table25[[#All],[Assets]],Table25[[#This Row],[Assets]],Table25[[#All],[Sold Amount]]))</f>
        <v>666.63</v>
      </c>
      <c r="N1344" s="5">
        <f>IFERROR(Table25[[#This Row],[Total sold amount]]/Table25[[#This Row],[Total Sold number of stocks]],"")</f>
        <v>222.21</v>
      </c>
      <c r="O1344" s="4">
        <f>IFERROR(Table25[[#This Row],[Total Amount bought]]/Table25[[#This Row],[Total number bought]],"")</f>
        <v>181.88</v>
      </c>
      <c r="P1344" s="4">
        <f>IFERROR((Table25[[#This Row],[Average sell price]]-Table25[[#This Row],[Average buy price]])*Table25[[#This Row],[Total Sold number of stocks]],0)</f>
        <v>120.99000000000004</v>
      </c>
      <c r="Q1344" s="85">
        <f>SUMIF(Table25[[#All],[Assets]],Table25[[#This Row],[Assets]],Table25[[#All],[Number of stocks]])</f>
        <v>0</v>
      </c>
    </row>
    <row r="1345" spans="1:17">
      <c r="A1345" t="e" vm="183">
        <v>#VALUE!</v>
      </c>
      <c r="B1345" s="2">
        <v>45838</v>
      </c>
      <c r="C1345" t="str" cm="1">
        <f t="array" aca="1" ref="C1345" ca="1">_FV(A1345,"Ticker symbol",TRUE)</f>
        <v>ESOA</v>
      </c>
      <c r="D1345" s="4">
        <v>9.35</v>
      </c>
      <c r="E1345" s="50">
        <v>-60</v>
      </c>
      <c r="F1345" s="81">
        <f>IF(Table25[[#This Row],[Number of stocks]]&gt;0,Table25[[#This Row],[Number of stocks]],0)</f>
        <v>0</v>
      </c>
      <c r="G1345" s="73">
        <f>Table25[[#This Row],[Bought]]*Table25[[#This Row],[Price]]</f>
        <v>0</v>
      </c>
      <c r="H1345">
        <f>SUMIF(Table25[[#All],[Assets]],Table25[[#This Row],[Assets]],Table25[[#All],[Bought]])</f>
        <v>1832</v>
      </c>
      <c r="I1345">
        <f>SUMIF(Table25[[#All],[Assets]],Table25[[#This Row],[Assets]],Table25[[#All],[Bought Amount]])</f>
        <v>18152.78</v>
      </c>
      <c r="J1345" s="88">
        <f>IF(Table25[[#This Row],[Number of stocks]]&lt;0,Table25[[#This Row],[Number of stocks]],0)</f>
        <v>-60</v>
      </c>
      <c r="K1345" s="5">
        <f>Table25[[#This Row],[Sold]]*Table25[[#This Row],[Price]]</f>
        <v>-561</v>
      </c>
      <c r="L1345" s="8">
        <f>ABS(SUMIF(Table25[[#All],[Assets]],Table25[[#This Row],[Assets]],Table25[[#All],[Sold]]))</f>
        <v>1568</v>
      </c>
      <c r="M1345" s="5">
        <f>ABS(SUMIF(Table25[[#All],[Assets]],Table25[[#This Row],[Assets]],Table25[[#All],[Sold Amount]]))</f>
        <v>14668</v>
      </c>
      <c r="N1345" s="5">
        <f>IFERROR(Table25[[#This Row],[Total sold amount]]/Table25[[#This Row],[Total Sold number of stocks]],"")</f>
        <v>9.3545918367346932</v>
      </c>
      <c r="O1345" s="4">
        <f>IFERROR(Table25[[#This Row],[Total Amount bought]]/Table25[[#This Row],[Total number bought]],"")</f>
        <v>9.9087227074235802</v>
      </c>
      <c r="P1345" s="4">
        <f>IFERROR((Table25[[#This Row],[Average sell price]]-Table25[[#This Row],[Average buy price]])*Table25[[#This Row],[Total Sold number of stocks]],0)</f>
        <v>-868.87720524017482</v>
      </c>
      <c r="Q1345" s="85">
        <f>SUMIF(Table25[[#All],[Assets]],Table25[[#This Row],[Assets]],Table25[[#All],[Number of stocks]])</f>
        <v>264</v>
      </c>
    </row>
    <row r="1346" spans="1:17">
      <c r="A1346" t="e" vm="26">
        <v>#VALUE!</v>
      </c>
      <c r="B1346" s="2">
        <v>45838</v>
      </c>
      <c r="C1346" t="str" cm="1">
        <f t="array" aca="1" ref="C1346" ca="1">_FV(A1346,"Ticker symbol",TRUE)</f>
        <v>AEHR</v>
      </c>
      <c r="D1346" s="4">
        <v>12.93</v>
      </c>
      <c r="E1346" s="50">
        <v>12</v>
      </c>
      <c r="F1346" s="81">
        <f>IF(Table25[[#This Row],[Number of stocks]]&gt;0,Table25[[#This Row],[Number of stocks]],0)</f>
        <v>12</v>
      </c>
      <c r="G1346" s="73">
        <f>Table25[[#This Row],[Bought]]*Table25[[#This Row],[Price]]</f>
        <v>155.16</v>
      </c>
      <c r="H1346">
        <f>SUMIF(Table25[[#All],[Assets]],Table25[[#This Row],[Assets]],Table25[[#All],[Bought]])</f>
        <v>559</v>
      </c>
      <c r="I1346">
        <f>SUMIF(Table25[[#All],[Assets]],Table25[[#This Row],[Assets]],Table25[[#All],[Bought Amount]])</f>
        <v>7405.6399999999994</v>
      </c>
      <c r="J1346" s="88">
        <f>IF(Table25[[#This Row],[Number of stocks]]&lt;0,Table25[[#This Row],[Number of stocks]],0)</f>
        <v>0</v>
      </c>
      <c r="K1346" s="5">
        <f>Table25[[#This Row],[Sold]]*Table25[[#This Row],[Price]]</f>
        <v>0</v>
      </c>
      <c r="L1346" s="8">
        <f>ABS(SUMIF(Table25[[#All],[Assets]],Table25[[#This Row],[Assets]],Table25[[#All],[Sold]]))</f>
        <v>539</v>
      </c>
      <c r="M1346" s="5">
        <f>ABS(SUMIF(Table25[[#All],[Assets]],Table25[[#This Row],[Assets]],Table25[[#All],[Sold Amount]]))</f>
        <v>9662.32</v>
      </c>
      <c r="N1346" s="5">
        <f>IFERROR(Table25[[#This Row],[Total sold amount]]/Table25[[#This Row],[Total Sold number of stocks]],"")</f>
        <v>17.92638218923933</v>
      </c>
      <c r="O1346" s="4">
        <f>IFERROR(Table25[[#This Row],[Total Amount bought]]/Table25[[#This Row],[Total number bought]],"")</f>
        <v>13.248014311270124</v>
      </c>
      <c r="P1346" s="4">
        <f>IFERROR((Table25[[#This Row],[Average sell price]]-Table25[[#This Row],[Average buy price]])*Table25[[#This Row],[Total Sold number of stocks]],0)</f>
        <v>2521.6402862254022</v>
      </c>
      <c r="Q1346" s="85">
        <f>SUMIF(Table25[[#All],[Assets]],Table25[[#This Row],[Assets]],Table25[[#All],[Number of stocks]])</f>
        <v>20</v>
      </c>
    </row>
    <row r="1347" spans="1:17">
      <c r="A1347" t="e" vm="84">
        <v>#VALUE!</v>
      </c>
      <c r="B1347" s="2">
        <v>45838</v>
      </c>
      <c r="C1347" t="str" cm="1">
        <f t="array" aca="1" ref="C1347" ca="1">_FV(A1347,"Ticker symbol",TRUE)</f>
        <v>COIN</v>
      </c>
      <c r="D1347" s="4">
        <v>357.69</v>
      </c>
      <c r="E1347" s="50">
        <v>4</v>
      </c>
      <c r="F1347" s="81">
        <f>IF(Table25[[#This Row],[Number of stocks]]&gt;0,Table25[[#This Row],[Number of stocks]],0)</f>
        <v>4</v>
      </c>
      <c r="G1347" s="73">
        <f>Table25[[#This Row],[Bought]]*Table25[[#This Row],[Price]]</f>
        <v>1430.76</v>
      </c>
      <c r="H1347">
        <f>SUMIF(Table25[[#All],[Assets]],Table25[[#This Row],[Assets]],Table25[[#All],[Bought]])</f>
        <v>11</v>
      </c>
      <c r="I1347">
        <f>SUMIF(Table25[[#All],[Assets]],Table25[[#This Row],[Assets]],Table25[[#All],[Bought Amount]])</f>
        <v>3624.34</v>
      </c>
      <c r="J1347" s="88">
        <f>IF(Table25[[#This Row],[Number of stocks]]&lt;0,Table25[[#This Row],[Number of stocks]],0)</f>
        <v>0</v>
      </c>
      <c r="K1347" s="5">
        <f>Table25[[#This Row],[Sold]]*Table25[[#This Row],[Price]]</f>
        <v>0</v>
      </c>
      <c r="L1347" s="8">
        <f>ABS(SUMIF(Table25[[#All],[Assets]],Table25[[#This Row],[Assets]],Table25[[#All],[Sold]]))</f>
        <v>11</v>
      </c>
      <c r="M1347" s="5">
        <f>ABS(SUMIF(Table25[[#All],[Assets]],Table25[[#This Row],[Assets]],Table25[[#All],[Sold Amount]]))</f>
        <v>3399.23</v>
      </c>
      <c r="N1347" s="5">
        <f>IFERROR(Table25[[#This Row],[Total sold amount]]/Table25[[#This Row],[Total Sold number of stocks]],"")</f>
        <v>309.02090909090907</v>
      </c>
      <c r="O1347" s="4">
        <f>IFERROR(Table25[[#This Row],[Total Amount bought]]/Table25[[#This Row],[Total number bought]],"")</f>
        <v>329.48545454545456</v>
      </c>
      <c r="P1347" s="4">
        <f>IFERROR((Table25[[#This Row],[Average sell price]]-Table25[[#This Row],[Average buy price]])*Table25[[#This Row],[Total Sold number of stocks]],0)</f>
        <v>-225.11000000000035</v>
      </c>
      <c r="Q1347" s="85">
        <f>SUMIF(Table25[[#All],[Assets]],Table25[[#This Row],[Assets]],Table25[[#All],[Number of stocks]])</f>
        <v>0</v>
      </c>
    </row>
    <row r="1348" spans="1:17">
      <c r="A1348" t="e" vm="85">
        <v>#VALUE!</v>
      </c>
      <c r="B1348" s="2">
        <v>45838</v>
      </c>
      <c r="C1348" t="str" cm="1">
        <f t="array" aca="1" ref="C1348" ca="1">_FV(A1348,"Ticker symbol",TRUE)</f>
        <v>HOOD</v>
      </c>
      <c r="D1348" s="4">
        <v>87.38</v>
      </c>
      <c r="E1348" s="50">
        <v>12</v>
      </c>
      <c r="F1348" s="81">
        <f>IF(Table25[[#This Row],[Number of stocks]]&gt;0,Table25[[#This Row],[Number of stocks]],0)</f>
        <v>12</v>
      </c>
      <c r="G1348" s="73">
        <f>Table25[[#This Row],[Bought]]*Table25[[#This Row],[Price]]</f>
        <v>1048.56</v>
      </c>
      <c r="H1348">
        <f>SUMIF(Table25[[#All],[Assets]],Table25[[#This Row],[Assets]],Table25[[#All],[Bought]])</f>
        <v>105</v>
      </c>
      <c r="I1348">
        <f>SUMIF(Table25[[#All],[Assets]],Table25[[#This Row],[Assets]],Table25[[#All],[Bought Amount]])</f>
        <v>4056.0900000000006</v>
      </c>
      <c r="J1348" s="88">
        <f>IF(Table25[[#This Row],[Number of stocks]]&lt;0,Table25[[#This Row],[Number of stocks]],0)</f>
        <v>0</v>
      </c>
      <c r="K1348" s="5">
        <f>Table25[[#This Row],[Sold]]*Table25[[#This Row],[Price]]</f>
        <v>0</v>
      </c>
      <c r="L1348" s="8">
        <f>ABS(SUMIF(Table25[[#All],[Assets]],Table25[[#This Row],[Assets]],Table25[[#All],[Sold]]))</f>
        <v>80</v>
      </c>
      <c r="M1348" s="5">
        <f>ABS(SUMIF(Table25[[#All],[Assets]],Table25[[#This Row],[Assets]],Table25[[#All],[Sold Amount]]))</f>
        <v>2255.4300000000003</v>
      </c>
      <c r="N1348" s="5">
        <f>IFERROR(Table25[[#This Row],[Total sold amount]]/Table25[[#This Row],[Total Sold number of stocks]],"")</f>
        <v>28.192875000000004</v>
      </c>
      <c r="O1348" s="4">
        <f>IFERROR(Table25[[#This Row],[Total Amount bought]]/Table25[[#This Row],[Total number bought]],"")</f>
        <v>38.629428571428576</v>
      </c>
      <c r="P1348" s="4">
        <f>IFERROR((Table25[[#This Row],[Average sell price]]-Table25[[#This Row],[Average buy price]])*Table25[[#This Row],[Total Sold number of stocks]],0)</f>
        <v>-834.92428571428582</v>
      </c>
      <c r="Q1348" s="85">
        <f>SUMIF(Table25[[#All],[Assets]],Table25[[#This Row],[Assets]],Table25[[#All],[Number of stocks]])</f>
        <v>25</v>
      </c>
    </row>
    <row r="1349" spans="1:17">
      <c r="A1349" t="e" vm="259">
        <v>#VALUE!</v>
      </c>
      <c r="B1349" s="2">
        <v>45839</v>
      </c>
      <c r="C1349" t="str" cm="1">
        <f t="array" aca="1" ref="C1349" ca="1">_FV(A1349,"Ticker symbol",TRUE)</f>
        <v>GRAL</v>
      </c>
      <c r="D1349" s="4">
        <v>49.29</v>
      </c>
      <c r="E1349" s="50">
        <v>-10</v>
      </c>
      <c r="F1349" s="81">
        <f>IF(Table25[[#This Row],[Number of stocks]]&gt;0,Table25[[#This Row],[Number of stocks]],0)</f>
        <v>0</v>
      </c>
      <c r="G1349" s="73">
        <f>Table25[[#This Row],[Bought]]*Table25[[#This Row],[Price]]</f>
        <v>0</v>
      </c>
      <c r="H1349">
        <f>SUMIF(Table25[[#All],[Assets]],Table25[[#This Row],[Assets]],Table25[[#All],[Bought]])</f>
        <v>100</v>
      </c>
      <c r="I1349">
        <f>SUMIF(Table25[[#All],[Assets]],Table25[[#This Row],[Assets]],Table25[[#All],[Bought Amount]])</f>
        <v>1720.3</v>
      </c>
      <c r="J1349" s="88">
        <f>IF(Table25[[#This Row],[Number of stocks]]&lt;0,Table25[[#This Row],[Number of stocks]],0)</f>
        <v>-10</v>
      </c>
      <c r="K1349" s="5">
        <f>Table25[[#This Row],[Sold]]*Table25[[#This Row],[Price]]</f>
        <v>-492.9</v>
      </c>
      <c r="L1349" s="8">
        <f>ABS(SUMIF(Table25[[#All],[Assets]],Table25[[#This Row],[Assets]],Table25[[#All],[Sold]]))</f>
        <v>100</v>
      </c>
      <c r="M1349" s="5">
        <f>ABS(SUMIF(Table25[[#All],[Assets]],Table25[[#This Row],[Assets]],Table25[[#All],[Sold Amount]]))</f>
        <v>2684.8</v>
      </c>
      <c r="N1349" s="5">
        <f>IFERROR(Table25[[#This Row],[Total sold amount]]/Table25[[#This Row],[Total Sold number of stocks]],"")</f>
        <v>26.848000000000003</v>
      </c>
      <c r="O1349" s="4">
        <f>IFERROR(Table25[[#This Row],[Total Amount bought]]/Table25[[#This Row],[Total number bought]],"")</f>
        <v>17.202999999999999</v>
      </c>
      <c r="P1349" s="4">
        <f>IFERROR((Table25[[#This Row],[Average sell price]]-Table25[[#This Row],[Average buy price]])*Table25[[#This Row],[Total Sold number of stocks]],0)</f>
        <v>964.50000000000034</v>
      </c>
      <c r="Q1349" s="85">
        <f>SUMIF(Table25[[#All],[Assets]],Table25[[#This Row],[Assets]],Table25[[#All],[Number of stocks]])</f>
        <v>0</v>
      </c>
    </row>
    <row r="1350" spans="1:17">
      <c r="A1350" t="e" vm="86">
        <v>#VALUE!</v>
      </c>
      <c r="B1350" s="2">
        <v>45839</v>
      </c>
      <c r="C1350" t="str" cm="1">
        <f t="array" aca="1" ref="C1350" ca="1">_FV(A1350,"Ticker symbol",TRUE)</f>
        <v>BULL</v>
      </c>
      <c r="D1350" s="4">
        <v>12.3</v>
      </c>
      <c r="E1350" s="50">
        <v>40</v>
      </c>
      <c r="F1350" s="81">
        <f>IF(Table25[[#This Row],[Number of stocks]]&gt;0,Table25[[#This Row],[Number of stocks]],0)</f>
        <v>40</v>
      </c>
      <c r="G1350" s="73">
        <f>Table25[[#This Row],[Bought]]*Table25[[#This Row],[Price]]</f>
        <v>492</v>
      </c>
      <c r="H1350">
        <f>SUMIF(Table25[[#All],[Assets]],Table25[[#This Row],[Assets]],Table25[[#All],[Bought]])</f>
        <v>40</v>
      </c>
      <c r="I1350">
        <f>SUMIF(Table25[[#All],[Assets]],Table25[[#This Row],[Assets]],Table25[[#All],[Bought Amount]])</f>
        <v>492</v>
      </c>
      <c r="J1350" s="88">
        <f>IF(Table25[[#This Row],[Number of stocks]]&lt;0,Table25[[#This Row],[Number of stocks]],0)</f>
        <v>0</v>
      </c>
      <c r="K1350" s="5">
        <f>Table25[[#This Row],[Sold]]*Table25[[#This Row],[Price]]</f>
        <v>0</v>
      </c>
      <c r="L1350" s="8">
        <f>ABS(SUMIF(Table25[[#All],[Assets]],Table25[[#This Row],[Assets]],Table25[[#All],[Sold]]))</f>
        <v>40</v>
      </c>
      <c r="M1350" s="5">
        <f>ABS(SUMIF(Table25[[#All],[Assets]],Table25[[#This Row],[Assets]],Table25[[#All],[Sold Amount]]))</f>
        <v>505.20000000000005</v>
      </c>
      <c r="N1350" s="5">
        <f>IFERROR(Table25[[#This Row],[Total sold amount]]/Table25[[#This Row],[Total Sold number of stocks]],"")</f>
        <v>12.63</v>
      </c>
      <c r="O1350" s="4">
        <f>IFERROR(Table25[[#This Row],[Total Amount bought]]/Table25[[#This Row],[Total number bought]],"")</f>
        <v>12.3</v>
      </c>
      <c r="P1350" s="4">
        <f>IFERROR((Table25[[#This Row],[Average sell price]]-Table25[[#This Row],[Average buy price]])*Table25[[#This Row],[Total Sold number of stocks]],0)</f>
        <v>13.200000000000003</v>
      </c>
      <c r="Q1350" s="85">
        <f>SUMIF(Table25[[#All],[Assets]],Table25[[#This Row],[Assets]],Table25[[#All],[Number of stocks]])</f>
        <v>0</v>
      </c>
    </row>
    <row r="1351" spans="1:17">
      <c r="A1351" t="e" vm="41">
        <v>#VALUE!</v>
      </c>
      <c r="B1351" s="2">
        <v>45840</v>
      </c>
      <c r="C1351" t="str" cm="1">
        <f t="array" aca="1" ref="C1351" ca="1">_FV(A1351,"Ticker symbol",TRUE)</f>
        <v>AGX</v>
      </c>
      <c r="D1351" s="4">
        <v>201.99</v>
      </c>
      <c r="E1351" s="50">
        <v>-4</v>
      </c>
      <c r="F1351" s="81">
        <f>IF(Table25[[#This Row],[Number of stocks]]&gt;0,Table25[[#This Row],[Number of stocks]],0)</f>
        <v>0</v>
      </c>
      <c r="G1351" s="73">
        <f>Table25[[#This Row],[Bought]]*Table25[[#This Row],[Price]]</f>
        <v>0</v>
      </c>
      <c r="H1351">
        <f>SUMIF(Table25[[#All],[Assets]],Table25[[#This Row],[Assets]],Table25[[#All],[Bought]])</f>
        <v>18</v>
      </c>
      <c r="I1351">
        <f>SUMIF(Table25[[#All],[Assets]],Table25[[#This Row],[Assets]],Table25[[#All],[Bought Amount]])</f>
        <v>2470.9900000000002</v>
      </c>
      <c r="J1351" s="88">
        <f>IF(Table25[[#This Row],[Number of stocks]]&lt;0,Table25[[#This Row],[Number of stocks]],0)</f>
        <v>-4</v>
      </c>
      <c r="K1351" s="5">
        <f>Table25[[#This Row],[Sold]]*Table25[[#This Row],[Price]]</f>
        <v>-807.96</v>
      </c>
      <c r="L1351" s="8">
        <f>ABS(SUMIF(Table25[[#All],[Assets]],Table25[[#This Row],[Assets]],Table25[[#All],[Sold]]))</f>
        <v>18</v>
      </c>
      <c r="M1351" s="5">
        <f>ABS(SUMIF(Table25[[#All],[Assets]],Table25[[#This Row],[Assets]],Table25[[#All],[Sold Amount]]))</f>
        <v>3587.9800000000005</v>
      </c>
      <c r="N1351" s="5">
        <f>IFERROR(Table25[[#This Row],[Total sold amount]]/Table25[[#This Row],[Total Sold number of stocks]],"")</f>
        <v>199.33222222222224</v>
      </c>
      <c r="O1351" s="4">
        <f>IFERROR(Table25[[#This Row],[Total Amount bought]]/Table25[[#This Row],[Total number bought]],"")</f>
        <v>137.27722222222224</v>
      </c>
      <c r="P1351" s="4">
        <f>IFERROR((Table25[[#This Row],[Average sell price]]-Table25[[#This Row],[Average buy price]])*Table25[[#This Row],[Total Sold number of stocks]],0)</f>
        <v>1116.9900000000002</v>
      </c>
      <c r="Q1351" s="85">
        <f>SUMIF(Table25[[#All],[Assets]],Table25[[#This Row],[Assets]],Table25[[#All],[Number of stocks]])</f>
        <v>0</v>
      </c>
    </row>
    <row r="1352" spans="1:17">
      <c r="A1352" t="e" vm="26">
        <v>#VALUE!</v>
      </c>
      <c r="B1352" s="2">
        <v>45840</v>
      </c>
      <c r="C1352" t="str" cm="1">
        <f t="array" aca="1" ref="C1352" ca="1">_FV(A1352,"Ticker symbol",TRUE)</f>
        <v>AEHR</v>
      </c>
      <c r="D1352" s="4">
        <v>14.73</v>
      </c>
      <c r="E1352" s="50">
        <v>54</v>
      </c>
      <c r="F1352" s="81">
        <f>IF(Table25[[#This Row],[Number of stocks]]&gt;0,Table25[[#This Row],[Number of stocks]],0)</f>
        <v>54</v>
      </c>
      <c r="G1352" s="73">
        <f>Table25[[#This Row],[Bought]]*Table25[[#This Row],[Price]]</f>
        <v>795.42000000000007</v>
      </c>
      <c r="H1352">
        <f>SUMIF(Table25[[#All],[Assets]],Table25[[#This Row],[Assets]],Table25[[#All],[Bought]])</f>
        <v>559</v>
      </c>
      <c r="I1352">
        <f>SUMIF(Table25[[#All],[Assets]],Table25[[#This Row],[Assets]],Table25[[#All],[Bought Amount]])</f>
        <v>7405.6399999999994</v>
      </c>
      <c r="J1352" s="88">
        <f>IF(Table25[[#This Row],[Number of stocks]]&lt;0,Table25[[#This Row],[Number of stocks]],0)</f>
        <v>0</v>
      </c>
      <c r="K1352" s="5">
        <f>Table25[[#This Row],[Sold]]*Table25[[#This Row],[Price]]</f>
        <v>0</v>
      </c>
      <c r="L1352" s="8">
        <f>ABS(SUMIF(Table25[[#All],[Assets]],Table25[[#This Row],[Assets]],Table25[[#All],[Sold]]))</f>
        <v>539</v>
      </c>
      <c r="M1352" s="5">
        <f>ABS(SUMIF(Table25[[#All],[Assets]],Table25[[#This Row],[Assets]],Table25[[#All],[Sold Amount]]))</f>
        <v>9662.32</v>
      </c>
      <c r="N1352" s="5">
        <f>IFERROR(Table25[[#This Row],[Total sold amount]]/Table25[[#This Row],[Total Sold number of stocks]],"")</f>
        <v>17.92638218923933</v>
      </c>
      <c r="O1352" s="4">
        <f>IFERROR(Table25[[#This Row],[Total Amount bought]]/Table25[[#This Row],[Total number bought]],"")</f>
        <v>13.248014311270124</v>
      </c>
      <c r="P1352" s="4">
        <f>IFERROR((Table25[[#This Row],[Average sell price]]-Table25[[#This Row],[Average buy price]])*Table25[[#This Row],[Total Sold number of stocks]],0)</f>
        <v>2521.6402862254022</v>
      </c>
      <c r="Q1352" s="85">
        <f>SUMIF(Table25[[#All],[Assets]],Table25[[#This Row],[Assets]],Table25[[#All],[Number of stocks]])</f>
        <v>20</v>
      </c>
    </row>
    <row r="1353" spans="1:17">
      <c r="A1353" t="e" vm="26">
        <v>#VALUE!</v>
      </c>
      <c r="B1353" s="2">
        <v>45840</v>
      </c>
      <c r="C1353" t="str" cm="1">
        <f t="array" aca="1" ref="C1353" ca="1">_FV(A1353,"Ticker symbol",TRUE)</f>
        <v>AEHR</v>
      </c>
      <c r="D1353" s="4">
        <v>14.94</v>
      </c>
      <c r="E1353" s="50">
        <v>10</v>
      </c>
      <c r="F1353" s="81">
        <f>IF(Table25[[#This Row],[Number of stocks]]&gt;0,Table25[[#This Row],[Number of stocks]],0)</f>
        <v>10</v>
      </c>
      <c r="G1353" s="73">
        <f>Table25[[#This Row],[Bought]]*Table25[[#This Row],[Price]]</f>
        <v>149.4</v>
      </c>
      <c r="H1353">
        <f>SUMIF(Table25[[#All],[Assets]],Table25[[#This Row],[Assets]],Table25[[#All],[Bought]])</f>
        <v>559</v>
      </c>
      <c r="I1353">
        <f>SUMIF(Table25[[#All],[Assets]],Table25[[#This Row],[Assets]],Table25[[#All],[Bought Amount]])</f>
        <v>7405.6399999999994</v>
      </c>
      <c r="J1353" s="88">
        <f>IF(Table25[[#This Row],[Number of stocks]]&lt;0,Table25[[#This Row],[Number of stocks]],0)</f>
        <v>0</v>
      </c>
      <c r="K1353" s="5">
        <f>Table25[[#This Row],[Sold]]*Table25[[#This Row],[Price]]</f>
        <v>0</v>
      </c>
      <c r="L1353" s="8">
        <f>ABS(SUMIF(Table25[[#All],[Assets]],Table25[[#This Row],[Assets]],Table25[[#All],[Sold]]))</f>
        <v>539</v>
      </c>
      <c r="M1353" s="5">
        <f>ABS(SUMIF(Table25[[#All],[Assets]],Table25[[#This Row],[Assets]],Table25[[#All],[Sold Amount]]))</f>
        <v>9662.32</v>
      </c>
      <c r="N1353" s="5">
        <f>IFERROR(Table25[[#This Row],[Total sold amount]]/Table25[[#This Row],[Total Sold number of stocks]],"")</f>
        <v>17.92638218923933</v>
      </c>
      <c r="O1353" s="4">
        <f>IFERROR(Table25[[#This Row],[Total Amount bought]]/Table25[[#This Row],[Total number bought]],"")</f>
        <v>13.248014311270124</v>
      </c>
      <c r="P1353" s="4">
        <f>IFERROR((Table25[[#This Row],[Average sell price]]-Table25[[#This Row],[Average buy price]])*Table25[[#This Row],[Total Sold number of stocks]],0)</f>
        <v>2521.6402862254022</v>
      </c>
      <c r="Q1353" s="85">
        <f>SUMIF(Table25[[#All],[Assets]],Table25[[#This Row],[Assets]],Table25[[#All],[Number of stocks]])</f>
        <v>20</v>
      </c>
    </row>
    <row r="1354" spans="1:17">
      <c r="A1354" t="e" vm="153">
        <v>#VALUE!</v>
      </c>
      <c r="B1354" s="2">
        <v>45841</v>
      </c>
      <c r="C1354" t="str" cm="1">
        <f t="array" aca="1" ref="C1354" ca="1">_FV(A1354,"Ticker symbol",TRUE)</f>
        <v>DDOG</v>
      </c>
      <c r="D1354" s="4">
        <v>148.30000000000001</v>
      </c>
      <c r="E1354" s="50">
        <v>-5</v>
      </c>
      <c r="F1354" s="81">
        <f>IF(Table25[[#This Row],[Number of stocks]]&gt;0,Table25[[#This Row],[Number of stocks]],0)</f>
        <v>0</v>
      </c>
      <c r="G1354" s="73">
        <f>Table25[[#This Row],[Bought]]*Table25[[#This Row],[Price]]</f>
        <v>0</v>
      </c>
      <c r="H1354">
        <f>SUMIF(Table25[[#All],[Assets]],Table25[[#This Row],[Assets]],Table25[[#All],[Bought]])</f>
        <v>5</v>
      </c>
      <c r="I1354">
        <f>SUMIF(Table25[[#All],[Assets]],Table25[[#This Row],[Assets]],Table25[[#All],[Bought Amount]])</f>
        <v>528.45000000000005</v>
      </c>
      <c r="J1354" s="88">
        <f>IF(Table25[[#This Row],[Number of stocks]]&lt;0,Table25[[#This Row],[Number of stocks]],0)</f>
        <v>-5</v>
      </c>
      <c r="K1354" s="5">
        <f>Table25[[#This Row],[Sold]]*Table25[[#This Row],[Price]]</f>
        <v>-741.5</v>
      </c>
      <c r="L1354" s="8">
        <f>ABS(SUMIF(Table25[[#All],[Assets]],Table25[[#This Row],[Assets]],Table25[[#All],[Sold]]))</f>
        <v>5</v>
      </c>
      <c r="M1354" s="5">
        <f>ABS(SUMIF(Table25[[#All],[Assets]],Table25[[#This Row],[Assets]],Table25[[#All],[Sold Amount]]))</f>
        <v>741.5</v>
      </c>
      <c r="N1354" s="5">
        <f>IFERROR(Table25[[#This Row],[Total sold amount]]/Table25[[#This Row],[Total Sold number of stocks]],"")</f>
        <v>148.30000000000001</v>
      </c>
      <c r="O1354" s="4">
        <f>IFERROR(Table25[[#This Row],[Total Amount bought]]/Table25[[#This Row],[Total number bought]],"")</f>
        <v>105.69000000000001</v>
      </c>
      <c r="P1354" s="4">
        <f>IFERROR((Table25[[#This Row],[Average sell price]]-Table25[[#This Row],[Average buy price]])*Table25[[#This Row],[Total Sold number of stocks]],0)</f>
        <v>213.05</v>
      </c>
      <c r="Q1354" s="85">
        <f>SUMIF(Table25[[#All],[Assets]],Table25[[#This Row],[Assets]],Table25[[#All],[Number of stocks]])</f>
        <v>0</v>
      </c>
    </row>
    <row r="1355" spans="1:17">
      <c r="A1355" t="e" vm="565">
        <v>#VALUE!</v>
      </c>
      <c r="B1355" s="2">
        <v>45841</v>
      </c>
      <c r="C1355" t="str" cm="1">
        <f t="array" aca="1" ref="C1355" ca="1">_FV(A1355,"Ticker symbol",TRUE)</f>
        <v>SBET</v>
      </c>
      <c r="D1355" s="4">
        <v>13.92</v>
      </c>
      <c r="E1355" s="50">
        <v>54</v>
      </c>
      <c r="F1355" s="81">
        <f>IF(Table25[[#This Row],[Number of stocks]]&gt;0,Table25[[#This Row],[Number of stocks]],0)</f>
        <v>54</v>
      </c>
      <c r="G1355" s="73">
        <f>Table25[[#This Row],[Bought]]*Table25[[#This Row],[Price]]</f>
        <v>751.68</v>
      </c>
      <c r="H1355">
        <f>SUMIF(Table25[[#All],[Assets]],Table25[[#This Row],[Assets]],Table25[[#All],[Bought]])</f>
        <v>54</v>
      </c>
      <c r="I1355">
        <f>SUMIF(Table25[[#All],[Assets]],Table25[[#This Row],[Assets]],Table25[[#All],[Bought Amount]])</f>
        <v>751.68</v>
      </c>
      <c r="J1355" s="88">
        <f>IF(Table25[[#This Row],[Number of stocks]]&lt;0,Table25[[#This Row],[Number of stocks]],0)</f>
        <v>0</v>
      </c>
      <c r="K1355" s="5">
        <f>Table25[[#This Row],[Sold]]*Table25[[#This Row],[Price]]</f>
        <v>0</v>
      </c>
      <c r="L1355" s="8">
        <f>ABS(SUMIF(Table25[[#All],[Assets]],Table25[[#This Row],[Assets]],Table25[[#All],[Sold]]))</f>
        <v>54</v>
      </c>
      <c r="M1355" s="5">
        <f>ABS(SUMIF(Table25[[#All],[Assets]],Table25[[#This Row],[Assets]],Table25[[#All],[Sold Amount]]))</f>
        <v>1323.46</v>
      </c>
      <c r="N1355" s="5">
        <f>IFERROR(Table25[[#This Row],[Total sold amount]]/Table25[[#This Row],[Total Sold number of stocks]],"")</f>
        <v>24.508518518518517</v>
      </c>
      <c r="O1355" s="4">
        <f>IFERROR(Table25[[#This Row],[Total Amount bought]]/Table25[[#This Row],[Total number bought]],"")</f>
        <v>13.92</v>
      </c>
      <c r="P1355" s="4">
        <f>IFERROR((Table25[[#This Row],[Average sell price]]-Table25[[#This Row],[Average buy price]])*Table25[[#This Row],[Total Sold number of stocks]],0)</f>
        <v>571.78</v>
      </c>
      <c r="Q1355" s="85">
        <f>SUMIF(Table25[[#All],[Assets]],Table25[[#This Row],[Assets]],Table25[[#All],[Number of stocks]])</f>
        <v>0</v>
      </c>
    </row>
    <row r="1356" spans="1:17">
      <c r="A1356" t="e" vm="227">
        <v>#VALUE!</v>
      </c>
      <c r="B1356" s="2">
        <v>45841</v>
      </c>
      <c r="C1356" t="str" cm="1">
        <f t="array" aca="1" ref="C1356" ca="1">_FV(A1356,"Ticker symbol",TRUE)</f>
        <v>DFDV</v>
      </c>
      <c r="D1356" s="4">
        <v>22.63</v>
      </c>
      <c r="E1356" s="50">
        <v>-1</v>
      </c>
      <c r="F1356" s="81">
        <f>IF(Table25[[#This Row],[Number of stocks]]&gt;0,Table25[[#This Row],[Number of stocks]],0)</f>
        <v>0</v>
      </c>
      <c r="G1356" s="73">
        <f>Table25[[#This Row],[Bought]]*Table25[[#This Row],[Price]]</f>
        <v>0</v>
      </c>
      <c r="H1356">
        <f>SUMIF(Table25[[#All],[Assets]],Table25[[#This Row],[Assets]],Table25[[#All],[Bought]])</f>
        <v>387</v>
      </c>
      <c r="I1356">
        <f>SUMIF(Table25[[#All],[Assets]],Table25[[#This Row],[Assets]],Table25[[#All],[Bought Amount]])</f>
        <v>6522.1182600000002</v>
      </c>
      <c r="J1356" s="88">
        <f>IF(Table25[[#This Row],[Number of stocks]]&lt;0,Table25[[#This Row],[Number of stocks]],0)</f>
        <v>-1</v>
      </c>
      <c r="K1356" s="5">
        <f>Table25[[#This Row],[Sold]]*Table25[[#This Row],[Price]]</f>
        <v>-22.63</v>
      </c>
      <c r="L1356" s="8">
        <f>ABS(SUMIF(Table25[[#All],[Assets]],Table25[[#This Row],[Assets]],Table25[[#All],[Sold]]))</f>
        <v>387</v>
      </c>
      <c r="M1356" s="5">
        <f>ABS(SUMIF(Table25[[#All],[Assets]],Table25[[#This Row],[Assets]],Table25[[#All],[Sold Amount]]))</f>
        <v>7242.64</v>
      </c>
      <c r="N1356" s="5">
        <f>IFERROR(Table25[[#This Row],[Total sold amount]]/Table25[[#This Row],[Total Sold number of stocks]],"")</f>
        <v>18.714832041343669</v>
      </c>
      <c r="O1356" s="4">
        <f>IFERROR(Table25[[#This Row],[Total Amount bought]]/Table25[[#This Row],[Total number bought]],"")</f>
        <v>16.853018759689924</v>
      </c>
      <c r="P1356" s="4">
        <f>IFERROR((Table25[[#This Row],[Average sell price]]-Table25[[#This Row],[Average buy price]])*Table25[[#This Row],[Total Sold number of stocks]],0)</f>
        <v>720.52173999999945</v>
      </c>
      <c r="Q1356" s="85">
        <f>SUMIF(Table25[[#All],[Assets]],Table25[[#This Row],[Assets]],Table25[[#All],[Number of stocks]])</f>
        <v>0</v>
      </c>
    </row>
    <row r="1357" spans="1:17">
      <c r="A1357" t="e" vm="173">
        <v>#VALUE!</v>
      </c>
      <c r="B1357" s="2">
        <v>45845</v>
      </c>
      <c r="C1357" t="str" cm="1">
        <f t="array" aca="1" ref="C1357" ca="1">_FV(A1357,"Ticker symbol",TRUE)</f>
        <v>SNOW</v>
      </c>
      <c r="D1357" s="4">
        <v>221.02</v>
      </c>
      <c r="E1357" s="50">
        <v>-2</v>
      </c>
      <c r="F1357" s="81">
        <f>IF(Table25[[#This Row],[Number of stocks]]&gt;0,Table25[[#This Row],[Number of stocks]],0)</f>
        <v>0</v>
      </c>
      <c r="G1357" s="73">
        <f>Table25[[#This Row],[Bought]]*Table25[[#This Row],[Price]]</f>
        <v>0</v>
      </c>
      <c r="H1357">
        <f>SUMIF(Table25[[#All],[Assets]],Table25[[#This Row],[Assets]],Table25[[#All],[Bought]])</f>
        <v>3</v>
      </c>
      <c r="I1357">
        <f>SUMIF(Table25[[#All],[Assets]],Table25[[#This Row],[Assets]],Table25[[#All],[Bought Amount]])</f>
        <v>545.64</v>
      </c>
      <c r="J1357" s="88">
        <f>IF(Table25[[#This Row],[Number of stocks]]&lt;0,Table25[[#This Row],[Number of stocks]],0)</f>
        <v>-2</v>
      </c>
      <c r="K1357" s="5">
        <f>Table25[[#This Row],[Sold]]*Table25[[#This Row],[Price]]</f>
        <v>-442.04</v>
      </c>
      <c r="L1357" s="8">
        <f>ABS(SUMIF(Table25[[#All],[Assets]],Table25[[#This Row],[Assets]],Table25[[#All],[Sold]]))</f>
        <v>3</v>
      </c>
      <c r="M1357" s="5">
        <f>ABS(SUMIF(Table25[[#All],[Assets]],Table25[[#This Row],[Assets]],Table25[[#All],[Sold Amount]]))</f>
        <v>666.63</v>
      </c>
      <c r="N1357" s="5">
        <f>IFERROR(Table25[[#This Row],[Total sold amount]]/Table25[[#This Row],[Total Sold number of stocks]],"")</f>
        <v>222.21</v>
      </c>
      <c r="O1357" s="4">
        <f>IFERROR(Table25[[#This Row],[Total Amount bought]]/Table25[[#This Row],[Total number bought]],"")</f>
        <v>181.88</v>
      </c>
      <c r="P1357" s="4">
        <f>IFERROR((Table25[[#This Row],[Average sell price]]-Table25[[#This Row],[Average buy price]])*Table25[[#This Row],[Total Sold number of stocks]],0)</f>
        <v>120.99000000000004</v>
      </c>
      <c r="Q1357" s="85">
        <f>SUMIF(Table25[[#All],[Assets]],Table25[[#This Row],[Assets]],Table25[[#All],[Number of stocks]])</f>
        <v>0</v>
      </c>
    </row>
    <row r="1358" spans="1:17">
      <c r="A1358" t="e" vm="203">
        <v>#VALUE!</v>
      </c>
      <c r="B1358" s="2">
        <v>45845</v>
      </c>
      <c r="C1358" t="str" cm="1">
        <f t="array" aca="1" ref="C1358" ca="1">_FV(A1358,"Ticker symbol",TRUE)</f>
        <v>TWLO</v>
      </c>
      <c r="D1358" s="4">
        <v>120.67</v>
      </c>
      <c r="E1358" s="50">
        <v>-10</v>
      </c>
      <c r="F1358" s="81">
        <f>IF(Table25[[#This Row],[Number of stocks]]&gt;0,Table25[[#This Row],[Number of stocks]],0)</f>
        <v>0</v>
      </c>
      <c r="G1358" s="73">
        <f>Table25[[#This Row],[Bought]]*Table25[[#This Row],[Price]]</f>
        <v>0</v>
      </c>
      <c r="H1358">
        <f>SUMIF(Table25[[#All],[Assets]],Table25[[#This Row],[Assets]],Table25[[#All],[Bought]])</f>
        <v>64</v>
      </c>
      <c r="I1358">
        <f>SUMIF(Table25[[#All],[Assets]],Table25[[#This Row],[Assets]],Table25[[#All],[Bought Amount]])</f>
        <v>7733.8899999999994</v>
      </c>
      <c r="J1358" s="88">
        <f>IF(Table25[[#This Row],[Number of stocks]]&lt;0,Table25[[#This Row],[Number of stocks]],0)</f>
        <v>-10</v>
      </c>
      <c r="K1358" s="5">
        <f>Table25[[#This Row],[Sold]]*Table25[[#This Row],[Price]]</f>
        <v>-1206.7</v>
      </c>
      <c r="L1358" s="8">
        <f>ABS(SUMIF(Table25[[#All],[Assets]],Table25[[#This Row],[Assets]],Table25[[#All],[Sold]]))</f>
        <v>64</v>
      </c>
      <c r="M1358" s="5">
        <f>ABS(SUMIF(Table25[[#All],[Assets]],Table25[[#This Row],[Assets]],Table25[[#All],[Sold Amount]]))</f>
        <v>7331.26</v>
      </c>
      <c r="N1358" s="5">
        <f>IFERROR(Table25[[#This Row],[Total sold amount]]/Table25[[#This Row],[Total Sold number of stocks]],"")</f>
        <v>114.5509375</v>
      </c>
      <c r="O1358" s="4">
        <f>IFERROR(Table25[[#This Row],[Total Amount bought]]/Table25[[#This Row],[Total number bought]],"")</f>
        <v>120.84203124999999</v>
      </c>
      <c r="P1358" s="4">
        <f>IFERROR((Table25[[#This Row],[Average sell price]]-Table25[[#This Row],[Average buy price]])*Table25[[#This Row],[Total Sold number of stocks]],0)</f>
        <v>-402.6299999999992</v>
      </c>
      <c r="Q1358" s="85">
        <f>SUMIF(Table25[[#All],[Assets]],Table25[[#This Row],[Assets]],Table25[[#All],[Number of stocks]])</f>
        <v>0</v>
      </c>
    </row>
    <row r="1359" spans="1:17">
      <c r="A1359" t="e" vm="26">
        <v>#VALUE!</v>
      </c>
      <c r="B1359" s="2">
        <v>45845</v>
      </c>
      <c r="C1359" t="str" cm="1">
        <f t="array" aca="1" ref="C1359" ca="1">_FV(A1359,"Ticker symbol",TRUE)</f>
        <v>AEHR</v>
      </c>
      <c r="D1359" s="4">
        <v>14.77</v>
      </c>
      <c r="E1359" s="50">
        <v>83</v>
      </c>
      <c r="F1359" s="81">
        <f>IF(Table25[[#This Row],[Number of stocks]]&gt;0,Table25[[#This Row],[Number of stocks]],0)</f>
        <v>83</v>
      </c>
      <c r="G1359" s="73">
        <f>Table25[[#This Row],[Bought]]*Table25[[#This Row],[Price]]</f>
        <v>1225.9099999999999</v>
      </c>
      <c r="H1359">
        <f>SUMIF(Table25[[#All],[Assets]],Table25[[#This Row],[Assets]],Table25[[#All],[Bought]])</f>
        <v>559</v>
      </c>
      <c r="I1359">
        <f>SUMIF(Table25[[#All],[Assets]],Table25[[#This Row],[Assets]],Table25[[#All],[Bought Amount]])</f>
        <v>7405.6399999999994</v>
      </c>
      <c r="J1359" s="88">
        <f>IF(Table25[[#This Row],[Number of stocks]]&lt;0,Table25[[#This Row],[Number of stocks]],0)</f>
        <v>0</v>
      </c>
      <c r="K1359" s="5">
        <f>Table25[[#This Row],[Sold]]*Table25[[#This Row],[Price]]</f>
        <v>0</v>
      </c>
      <c r="L1359" s="8">
        <f>ABS(SUMIF(Table25[[#All],[Assets]],Table25[[#This Row],[Assets]],Table25[[#All],[Sold]]))</f>
        <v>539</v>
      </c>
      <c r="M1359" s="5">
        <f>ABS(SUMIF(Table25[[#All],[Assets]],Table25[[#This Row],[Assets]],Table25[[#All],[Sold Amount]]))</f>
        <v>9662.32</v>
      </c>
      <c r="N1359" s="5">
        <f>IFERROR(Table25[[#This Row],[Total sold amount]]/Table25[[#This Row],[Total Sold number of stocks]],"")</f>
        <v>17.92638218923933</v>
      </c>
      <c r="O1359" s="4">
        <f>IFERROR(Table25[[#This Row],[Total Amount bought]]/Table25[[#This Row],[Total number bought]],"")</f>
        <v>13.248014311270124</v>
      </c>
      <c r="P1359" s="4">
        <f>IFERROR((Table25[[#This Row],[Average sell price]]-Table25[[#This Row],[Average buy price]])*Table25[[#This Row],[Total Sold number of stocks]],0)</f>
        <v>2521.6402862254022</v>
      </c>
      <c r="Q1359" s="85">
        <f>SUMIF(Table25[[#All],[Assets]],Table25[[#This Row],[Assets]],Table25[[#All],[Number of stocks]])</f>
        <v>20</v>
      </c>
    </row>
    <row r="1360" spans="1:17">
      <c r="A1360" t="e" vm="2">
        <v>#VALUE!</v>
      </c>
      <c r="B1360" s="2">
        <v>45845</v>
      </c>
      <c r="C1360" t="str" cm="1">
        <f t="array" aca="1" ref="C1360" ca="1">_FV(A1360,"Ticker symbol",TRUE)</f>
        <v>MPTI</v>
      </c>
      <c r="D1360" s="4">
        <v>40.49</v>
      </c>
      <c r="E1360" s="50">
        <v>-15</v>
      </c>
      <c r="F1360" s="81">
        <f>IF(Table25[[#This Row],[Number of stocks]]&gt;0,Table25[[#This Row],[Number of stocks]],0)</f>
        <v>0</v>
      </c>
      <c r="G1360" s="73">
        <f>Table25[[#This Row],[Bought]]*Table25[[#This Row],[Price]]</f>
        <v>0</v>
      </c>
      <c r="H1360">
        <f>SUMIF(Table25[[#All],[Assets]],Table25[[#This Row],[Assets]],Table25[[#All],[Bought]])</f>
        <v>30</v>
      </c>
      <c r="I1360">
        <f>SUMIF(Table25[[#All],[Assets]],Table25[[#This Row],[Assets]],Table25[[#All],[Bought Amount]])</f>
        <v>1404.3</v>
      </c>
      <c r="J1360" s="88">
        <f>IF(Table25[[#This Row],[Number of stocks]]&lt;0,Table25[[#This Row],[Number of stocks]],0)</f>
        <v>-15</v>
      </c>
      <c r="K1360" s="5">
        <f>Table25[[#This Row],[Sold]]*Table25[[#This Row],[Price]]</f>
        <v>-607.35</v>
      </c>
      <c r="L1360" s="8">
        <f>ABS(SUMIF(Table25[[#All],[Assets]],Table25[[#This Row],[Assets]],Table25[[#All],[Sold]]))</f>
        <v>30</v>
      </c>
      <c r="M1360" s="5">
        <f>ABS(SUMIF(Table25[[#All],[Assets]],Table25[[#This Row],[Assets]],Table25[[#All],[Sold Amount]]))</f>
        <v>1280.5500000000002</v>
      </c>
      <c r="N1360" s="5">
        <f>IFERROR(Table25[[#This Row],[Total sold amount]]/Table25[[#This Row],[Total Sold number of stocks]],"")</f>
        <v>42.685000000000009</v>
      </c>
      <c r="O1360" s="4">
        <f>IFERROR(Table25[[#This Row],[Total Amount bought]]/Table25[[#This Row],[Total number bought]],"")</f>
        <v>46.809999999999995</v>
      </c>
      <c r="P1360" s="4">
        <f>IFERROR((Table25[[#This Row],[Average sell price]]-Table25[[#This Row],[Average buy price]])*Table25[[#This Row],[Total Sold number of stocks]],0)</f>
        <v>-123.74999999999957</v>
      </c>
      <c r="Q1360" s="85">
        <f>SUMIF(Table25[[#All],[Assets]],Table25[[#This Row],[Assets]],Table25[[#All],[Number of stocks]])</f>
        <v>0</v>
      </c>
    </row>
    <row r="1361" spans="1:17">
      <c r="A1361" t="e" vm="193">
        <v>#VALUE!</v>
      </c>
      <c r="B1361" s="2">
        <v>45845</v>
      </c>
      <c r="C1361" t="str" cm="1">
        <f t="array" aca="1" ref="C1361" ca="1">_FV(A1361,"Ticker symbol",TRUE)</f>
        <v>UAVS</v>
      </c>
      <c r="D1361" s="4">
        <v>1.17</v>
      </c>
      <c r="E1361" s="50">
        <v>300</v>
      </c>
      <c r="F1361" s="81">
        <f>IF(Table25[[#This Row],[Number of stocks]]&gt;0,Table25[[#This Row],[Number of stocks]],0)</f>
        <v>300</v>
      </c>
      <c r="G1361" s="73">
        <f>Table25[[#This Row],[Bought]]*Table25[[#This Row],[Price]]</f>
        <v>351</v>
      </c>
      <c r="H1361">
        <f>SUMIF(Table25[[#All],[Assets]],Table25[[#This Row],[Assets]],Table25[[#All],[Bought]])</f>
        <v>1480</v>
      </c>
      <c r="I1361">
        <f>SUMIF(Table25[[#All],[Assets]],Table25[[#This Row],[Assets]],Table25[[#All],[Bought Amount]])</f>
        <v>1868.4090000000001</v>
      </c>
      <c r="J1361" s="88">
        <f>IF(Table25[[#This Row],[Number of stocks]]&lt;0,Table25[[#This Row],[Number of stocks]],0)</f>
        <v>0</v>
      </c>
      <c r="K1361" s="5">
        <f>Table25[[#This Row],[Sold]]*Table25[[#This Row],[Price]]</f>
        <v>0</v>
      </c>
      <c r="L1361" s="8">
        <f>ABS(SUMIF(Table25[[#All],[Assets]],Table25[[#This Row],[Assets]],Table25[[#All],[Sold]]))</f>
        <v>500</v>
      </c>
      <c r="M1361" s="5">
        <f>ABS(SUMIF(Table25[[#All],[Assets]],Table25[[#This Row],[Assets]],Table25[[#All],[Sold Amount]]))</f>
        <v>1198</v>
      </c>
      <c r="N1361" s="5">
        <f>IFERROR(Table25[[#This Row],[Total sold amount]]/Table25[[#This Row],[Total Sold number of stocks]],"")</f>
        <v>2.3959999999999999</v>
      </c>
      <c r="O1361" s="4">
        <f>IFERROR(Table25[[#This Row],[Total Amount bought]]/Table25[[#This Row],[Total number bought]],"")</f>
        <v>1.2624385135135137</v>
      </c>
      <c r="P1361" s="4">
        <f>IFERROR((Table25[[#This Row],[Average sell price]]-Table25[[#This Row],[Average buy price]])*Table25[[#This Row],[Total Sold number of stocks]],0)</f>
        <v>566.78074324324314</v>
      </c>
      <c r="Q1361" s="85">
        <f>SUMIF(Table25[[#All],[Assets]],Table25[[#This Row],[Assets]],Table25[[#All],[Number of stocks]])</f>
        <v>980</v>
      </c>
    </row>
    <row r="1362" spans="1:17">
      <c r="A1362" t="e" vm="44">
        <v>#VALUE!</v>
      </c>
      <c r="B1362" s="2">
        <v>45845</v>
      </c>
      <c r="C1362" t="str" cm="1">
        <f t="array" aca="1" ref="C1362" ca="1">_FV(A1362,"Ticker symbol",TRUE)</f>
        <v>IPWR</v>
      </c>
      <c r="D1362" s="4">
        <v>4.75</v>
      </c>
      <c r="E1362" s="50">
        <v>55</v>
      </c>
      <c r="F1362" s="81">
        <f>IF(Table25[[#This Row],[Number of stocks]]&gt;0,Table25[[#This Row],[Number of stocks]],0)</f>
        <v>55</v>
      </c>
      <c r="G1362" s="73">
        <f>Table25[[#This Row],[Bought]]*Table25[[#This Row],[Price]]</f>
        <v>261.25</v>
      </c>
      <c r="H1362">
        <f>SUMIF(Table25[[#All],[Assets]],Table25[[#This Row],[Assets]],Table25[[#All],[Bought]])</f>
        <v>125</v>
      </c>
      <c r="I1362">
        <f>SUMIF(Table25[[#All],[Assets]],Table25[[#This Row],[Assets]],Table25[[#All],[Bought Amount]])</f>
        <v>593.75</v>
      </c>
      <c r="J1362" s="88">
        <f>IF(Table25[[#This Row],[Number of stocks]]&lt;0,Table25[[#This Row],[Number of stocks]],0)</f>
        <v>0</v>
      </c>
      <c r="K1362" s="5">
        <f>Table25[[#This Row],[Sold]]*Table25[[#This Row],[Price]]</f>
        <v>0</v>
      </c>
      <c r="L1362" s="8">
        <f>ABS(SUMIF(Table25[[#All],[Assets]],Table25[[#This Row],[Assets]],Table25[[#All],[Sold]]))</f>
        <v>125</v>
      </c>
      <c r="M1362" s="5">
        <f>ABS(SUMIF(Table25[[#All],[Assets]],Table25[[#This Row],[Assets]],Table25[[#All],[Sold Amount]]))</f>
        <v>538.75</v>
      </c>
      <c r="N1362" s="5">
        <f>IFERROR(Table25[[#This Row],[Total sold amount]]/Table25[[#This Row],[Total Sold number of stocks]],"")</f>
        <v>4.3099999999999996</v>
      </c>
      <c r="O1362" s="4">
        <f>IFERROR(Table25[[#This Row],[Total Amount bought]]/Table25[[#This Row],[Total number bought]],"")</f>
        <v>4.75</v>
      </c>
      <c r="P1362" s="4">
        <f>IFERROR((Table25[[#This Row],[Average sell price]]-Table25[[#This Row],[Average buy price]])*Table25[[#This Row],[Total Sold number of stocks]],0)</f>
        <v>-55.00000000000005</v>
      </c>
      <c r="Q1362" s="85">
        <f>SUMIF(Table25[[#All],[Assets]],Table25[[#This Row],[Assets]],Table25[[#All],[Number of stocks]])</f>
        <v>0</v>
      </c>
    </row>
    <row r="1363" spans="1:17">
      <c r="A1363" t="e" vm="54">
        <v>#VALUE!</v>
      </c>
      <c r="B1363" s="2">
        <v>45845</v>
      </c>
      <c r="C1363" t="str" cm="1">
        <f t="array" aca="1" ref="C1363" ca="1">_FV(A1363,"Ticker symbol",TRUE)</f>
        <v>AR</v>
      </c>
      <c r="D1363" s="4">
        <v>37.159999999999997</v>
      </c>
      <c r="E1363" s="50">
        <v>-10</v>
      </c>
      <c r="F1363" s="81">
        <f>IF(Table25[[#This Row],[Number of stocks]]&gt;0,Table25[[#This Row],[Number of stocks]],0)</f>
        <v>0</v>
      </c>
      <c r="G1363" s="73">
        <f>Table25[[#This Row],[Bought]]*Table25[[#This Row],[Price]]</f>
        <v>0</v>
      </c>
      <c r="H1363">
        <f>SUMIF(Table25[[#All],[Assets]],Table25[[#This Row],[Assets]],Table25[[#All],[Bought]])</f>
        <v>210</v>
      </c>
      <c r="I1363">
        <f>SUMIF(Table25[[#All],[Assets]],Table25[[#This Row],[Assets]],Table25[[#All],[Bought Amount]])</f>
        <v>6833.5000000000009</v>
      </c>
      <c r="J1363" s="88">
        <f>IF(Table25[[#This Row],[Number of stocks]]&lt;0,Table25[[#This Row],[Number of stocks]],0)</f>
        <v>-10</v>
      </c>
      <c r="K1363" s="5">
        <f>Table25[[#This Row],[Sold]]*Table25[[#This Row],[Price]]</f>
        <v>-371.59999999999997</v>
      </c>
      <c r="L1363" s="8">
        <f>ABS(SUMIF(Table25[[#All],[Assets]],Table25[[#This Row],[Assets]],Table25[[#All],[Sold]]))</f>
        <v>180</v>
      </c>
      <c r="M1363" s="5">
        <f>ABS(SUMIF(Table25[[#All],[Assets]],Table25[[#This Row],[Assets]],Table25[[#All],[Sold Amount]]))</f>
        <v>6156.15</v>
      </c>
      <c r="N1363" s="5">
        <f>IFERROR(Table25[[#This Row],[Total sold amount]]/Table25[[#This Row],[Total Sold number of stocks]],"")</f>
        <v>34.200833333333328</v>
      </c>
      <c r="O1363" s="4">
        <f>IFERROR(Table25[[#This Row],[Total Amount bought]]/Table25[[#This Row],[Total number bought]],"")</f>
        <v>32.540476190476198</v>
      </c>
      <c r="P1363" s="4">
        <f>IFERROR((Table25[[#This Row],[Average sell price]]-Table25[[#This Row],[Average buy price]])*Table25[[#This Row],[Total Sold number of stocks]],0)</f>
        <v>298.86428571428337</v>
      </c>
      <c r="Q1363" s="85">
        <f>SUMIF(Table25[[#All],[Assets]],Table25[[#This Row],[Assets]],Table25[[#All],[Number of stocks]])</f>
        <v>30</v>
      </c>
    </row>
    <row r="1364" spans="1:17">
      <c r="A1364" t="e" vm="44">
        <v>#VALUE!</v>
      </c>
      <c r="B1364" s="2">
        <v>45845</v>
      </c>
      <c r="C1364" t="str" cm="1">
        <f t="array" aca="1" ref="C1364" ca="1">_FV(A1364,"Ticker symbol",TRUE)</f>
        <v>IPWR</v>
      </c>
      <c r="D1364" s="4">
        <v>4.75</v>
      </c>
      <c r="E1364" s="50">
        <v>70</v>
      </c>
      <c r="F1364" s="81">
        <f>IF(Table25[[#This Row],[Number of stocks]]&gt;0,Table25[[#This Row],[Number of stocks]],0)</f>
        <v>70</v>
      </c>
      <c r="G1364" s="73">
        <f>Table25[[#This Row],[Bought]]*Table25[[#This Row],[Price]]</f>
        <v>332.5</v>
      </c>
      <c r="H1364">
        <f>SUMIF(Table25[[#All],[Assets]],Table25[[#This Row],[Assets]],Table25[[#All],[Bought]])</f>
        <v>125</v>
      </c>
      <c r="I1364">
        <f>SUMIF(Table25[[#All],[Assets]],Table25[[#This Row],[Assets]],Table25[[#All],[Bought Amount]])</f>
        <v>593.75</v>
      </c>
      <c r="J1364" s="88">
        <f>IF(Table25[[#This Row],[Number of stocks]]&lt;0,Table25[[#This Row],[Number of stocks]],0)</f>
        <v>0</v>
      </c>
      <c r="K1364" s="5">
        <f>Table25[[#This Row],[Sold]]*Table25[[#This Row],[Price]]</f>
        <v>0</v>
      </c>
      <c r="L1364" s="8">
        <f>ABS(SUMIF(Table25[[#All],[Assets]],Table25[[#This Row],[Assets]],Table25[[#All],[Sold]]))</f>
        <v>125</v>
      </c>
      <c r="M1364" s="5">
        <f>ABS(SUMIF(Table25[[#All],[Assets]],Table25[[#This Row],[Assets]],Table25[[#All],[Sold Amount]]))</f>
        <v>538.75</v>
      </c>
      <c r="N1364" s="5">
        <f>IFERROR(Table25[[#This Row],[Total sold amount]]/Table25[[#This Row],[Total Sold number of stocks]],"")</f>
        <v>4.3099999999999996</v>
      </c>
      <c r="O1364" s="4">
        <f>IFERROR(Table25[[#This Row],[Total Amount bought]]/Table25[[#This Row],[Total number bought]],"")</f>
        <v>4.75</v>
      </c>
      <c r="P1364" s="4">
        <f>IFERROR((Table25[[#This Row],[Average sell price]]-Table25[[#This Row],[Average buy price]])*Table25[[#This Row],[Total Sold number of stocks]],0)</f>
        <v>-55.00000000000005</v>
      </c>
      <c r="Q1364" s="85">
        <f>SUMIF(Table25[[#All],[Assets]],Table25[[#This Row],[Assets]],Table25[[#All],[Number of stocks]])</f>
        <v>0</v>
      </c>
    </row>
    <row r="1365" spans="1:17">
      <c r="A1365" t="e" vm="74">
        <v>#VALUE!</v>
      </c>
      <c r="B1365" s="2">
        <v>45845</v>
      </c>
      <c r="C1365" t="str" cm="1">
        <f t="array" aca="1" ref="C1365" ca="1">_FV(A1365,"Ticker symbol",TRUE)</f>
        <v>XGN</v>
      </c>
      <c r="D1365" s="4">
        <v>6.92</v>
      </c>
      <c r="E1365" s="50">
        <v>-80</v>
      </c>
      <c r="F1365" s="81">
        <f>IF(Table25[[#This Row],[Number of stocks]]&gt;0,Table25[[#This Row],[Number of stocks]],0)</f>
        <v>0</v>
      </c>
      <c r="G1365" s="73">
        <f>Table25[[#This Row],[Bought]]*Table25[[#This Row],[Price]]</f>
        <v>0</v>
      </c>
      <c r="H1365">
        <f>SUMIF(Table25[[#All],[Assets]],Table25[[#This Row],[Assets]],Table25[[#All],[Bought]])</f>
        <v>249</v>
      </c>
      <c r="I1365">
        <f>SUMIF(Table25[[#All],[Assets]],Table25[[#This Row],[Assets]],Table25[[#All],[Bought Amount]])</f>
        <v>1807.8</v>
      </c>
      <c r="J1365" s="88">
        <f>IF(Table25[[#This Row],[Number of stocks]]&lt;0,Table25[[#This Row],[Number of stocks]],0)</f>
        <v>-80</v>
      </c>
      <c r="K1365" s="5">
        <f>Table25[[#This Row],[Sold]]*Table25[[#This Row],[Price]]</f>
        <v>-553.6</v>
      </c>
      <c r="L1365" s="8">
        <f>ABS(SUMIF(Table25[[#All],[Assets]],Table25[[#This Row],[Assets]],Table25[[#All],[Sold]]))</f>
        <v>249</v>
      </c>
      <c r="M1365" s="5">
        <f>ABS(SUMIF(Table25[[#All],[Assets]],Table25[[#This Row],[Assets]],Table25[[#All],[Sold Amount]]))</f>
        <v>2313.8000000000002</v>
      </c>
      <c r="N1365" s="5">
        <f>IFERROR(Table25[[#This Row],[Total sold amount]]/Table25[[#This Row],[Total Sold number of stocks]],"")</f>
        <v>9.292369477911647</v>
      </c>
      <c r="O1365" s="4">
        <f>IFERROR(Table25[[#This Row],[Total Amount bought]]/Table25[[#This Row],[Total number bought]],"")</f>
        <v>7.2602409638554217</v>
      </c>
      <c r="P1365" s="4">
        <f>IFERROR((Table25[[#This Row],[Average sell price]]-Table25[[#This Row],[Average buy price]])*Table25[[#This Row],[Total Sold number of stocks]],0)</f>
        <v>506.00000000000011</v>
      </c>
      <c r="Q1365" s="85">
        <f>SUMIF(Table25[[#All],[Assets]],Table25[[#This Row],[Assets]],Table25[[#All],[Number of stocks]])</f>
        <v>0</v>
      </c>
    </row>
    <row r="1366" spans="1:17">
      <c r="A1366" t="e" vm="54">
        <v>#VALUE!</v>
      </c>
      <c r="B1366" s="2">
        <v>45845</v>
      </c>
      <c r="C1366" t="str" cm="1">
        <f t="array" aca="1" ref="C1366" ca="1">_FV(A1366,"Ticker symbol",TRUE)</f>
        <v>AR</v>
      </c>
      <c r="D1366" s="4">
        <v>37.06</v>
      </c>
      <c r="E1366" s="50">
        <v>-15</v>
      </c>
      <c r="F1366" s="81">
        <f>IF(Table25[[#This Row],[Number of stocks]]&gt;0,Table25[[#This Row],[Number of stocks]],0)</f>
        <v>0</v>
      </c>
      <c r="G1366" s="73">
        <f>Table25[[#This Row],[Bought]]*Table25[[#This Row],[Price]]</f>
        <v>0</v>
      </c>
      <c r="H1366">
        <f>SUMIF(Table25[[#All],[Assets]],Table25[[#This Row],[Assets]],Table25[[#All],[Bought]])</f>
        <v>210</v>
      </c>
      <c r="I1366">
        <f>SUMIF(Table25[[#All],[Assets]],Table25[[#This Row],[Assets]],Table25[[#All],[Bought Amount]])</f>
        <v>6833.5000000000009</v>
      </c>
      <c r="J1366" s="88">
        <f>IF(Table25[[#This Row],[Number of stocks]]&lt;0,Table25[[#This Row],[Number of stocks]],0)</f>
        <v>-15</v>
      </c>
      <c r="K1366" s="5">
        <f>Table25[[#This Row],[Sold]]*Table25[[#This Row],[Price]]</f>
        <v>-555.90000000000009</v>
      </c>
      <c r="L1366" s="8">
        <f>ABS(SUMIF(Table25[[#All],[Assets]],Table25[[#This Row],[Assets]],Table25[[#All],[Sold]]))</f>
        <v>180</v>
      </c>
      <c r="M1366" s="5">
        <f>ABS(SUMIF(Table25[[#All],[Assets]],Table25[[#This Row],[Assets]],Table25[[#All],[Sold Amount]]))</f>
        <v>6156.15</v>
      </c>
      <c r="N1366" s="5">
        <f>IFERROR(Table25[[#This Row],[Total sold amount]]/Table25[[#This Row],[Total Sold number of stocks]],"")</f>
        <v>34.200833333333328</v>
      </c>
      <c r="O1366" s="4">
        <f>IFERROR(Table25[[#This Row],[Total Amount bought]]/Table25[[#This Row],[Total number bought]],"")</f>
        <v>32.540476190476198</v>
      </c>
      <c r="P1366" s="4">
        <f>IFERROR((Table25[[#This Row],[Average sell price]]-Table25[[#This Row],[Average buy price]])*Table25[[#This Row],[Total Sold number of stocks]],0)</f>
        <v>298.86428571428337</v>
      </c>
      <c r="Q1366" s="85">
        <f>SUMIF(Table25[[#All],[Assets]],Table25[[#This Row],[Assets]],Table25[[#All],[Number of stocks]])</f>
        <v>30</v>
      </c>
    </row>
    <row r="1367" spans="1:17">
      <c r="A1367" t="e" vm="55">
        <v>#VALUE!</v>
      </c>
      <c r="B1367" s="2">
        <v>45846</v>
      </c>
      <c r="C1367" t="str" cm="1">
        <f t="array" aca="1" ref="C1367" ca="1">_FV(A1367,"Ticker symbol",TRUE)</f>
        <v>RRC</v>
      </c>
      <c r="D1367" s="4">
        <v>38.74</v>
      </c>
      <c r="E1367" s="50">
        <v>-40</v>
      </c>
      <c r="F1367" s="81">
        <f>IF(Table25[[#This Row],[Number of stocks]]&gt;0,Table25[[#This Row],[Number of stocks]],0)</f>
        <v>0</v>
      </c>
      <c r="G1367" s="73">
        <f>Table25[[#This Row],[Bought]]*Table25[[#This Row],[Price]]</f>
        <v>0</v>
      </c>
      <c r="H1367">
        <f>SUMIF(Table25[[#All],[Assets]],Table25[[#This Row],[Assets]],Table25[[#All],[Bought]])</f>
        <v>40</v>
      </c>
      <c r="I1367">
        <f>SUMIF(Table25[[#All],[Assets]],Table25[[#This Row],[Assets]],Table25[[#All],[Bought Amount]])</f>
        <v>1462.8</v>
      </c>
      <c r="J1367" s="88">
        <f>IF(Table25[[#This Row],[Number of stocks]]&lt;0,Table25[[#This Row],[Number of stocks]],0)</f>
        <v>-40</v>
      </c>
      <c r="K1367" s="5">
        <f>Table25[[#This Row],[Sold]]*Table25[[#This Row],[Price]]</f>
        <v>-1549.6000000000001</v>
      </c>
      <c r="L1367" s="8">
        <f>ABS(SUMIF(Table25[[#All],[Assets]],Table25[[#This Row],[Assets]],Table25[[#All],[Sold]]))</f>
        <v>40</v>
      </c>
      <c r="M1367" s="5">
        <f>ABS(SUMIF(Table25[[#All],[Assets]],Table25[[#This Row],[Assets]],Table25[[#All],[Sold Amount]]))</f>
        <v>1549.6000000000001</v>
      </c>
      <c r="N1367" s="5">
        <f>IFERROR(Table25[[#This Row],[Total sold amount]]/Table25[[#This Row],[Total Sold number of stocks]],"")</f>
        <v>38.74</v>
      </c>
      <c r="O1367" s="4">
        <f>IFERROR(Table25[[#This Row],[Total Amount bought]]/Table25[[#This Row],[Total number bought]],"")</f>
        <v>36.57</v>
      </c>
      <c r="P1367" s="4">
        <f>IFERROR((Table25[[#This Row],[Average sell price]]-Table25[[#This Row],[Average buy price]])*Table25[[#This Row],[Total Sold number of stocks]],0)</f>
        <v>86.800000000000068</v>
      </c>
      <c r="Q1367" s="85">
        <f>SUMIF(Table25[[#All],[Assets]],Table25[[#This Row],[Assets]],Table25[[#All],[Number of stocks]])</f>
        <v>0</v>
      </c>
    </row>
    <row r="1368" spans="1:17">
      <c r="A1368" t="e" vm="19">
        <v>#VALUE!</v>
      </c>
      <c r="B1368" s="2">
        <v>45846</v>
      </c>
      <c r="C1368" t="str" cm="1">
        <f t="array" aca="1" ref="C1368" ca="1">_FV(A1368,"Ticker symbol",TRUE)</f>
        <v>OUST</v>
      </c>
      <c r="D1368" s="4">
        <v>23.12</v>
      </c>
      <c r="E1368" s="50">
        <v>66</v>
      </c>
      <c r="F1368" s="81">
        <f>IF(Table25[[#This Row],[Number of stocks]]&gt;0,Table25[[#This Row],[Number of stocks]],0)</f>
        <v>66</v>
      </c>
      <c r="G1368" s="73">
        <f>Table25[[#This Row],[Bought]]*Table25[[#This Row],[Price]]</f>
        <v>1525.92</v>
      </c>
      <c r="H1368">
        <f>SUMIF(Table25[[#All],[Assets]],Table25[[#This Row],[Assets]],Table25[[#All],[Bought]])</f>
        <v>324</v>
      </c>
      <c r="I1368">
        <f>SUMIF(Table25[[#All],[Assets]],Table25[[#This Row],[Assets]],Table25[[#All],[Bought Amount]])</f>
        <v>4403.8500000000004</v>
      </c>
      <c r="J1368" s="88">
        <f>IF(Table25[[#This Row],[Number of stocks]]&lt;0,Table25[[#This Row],[Number of stocks]],0)</f>
        <v>0</v>
      </c>
      <c r="K1368" s="5">
        <f>Table25[[#This Row],[Sold]]*Table25[[#This Row],[Price]]</f>
        <v>0</v>
      </c>
      <c r="L1368" s="8">
        <f>ABS(SUMIF(Table25[[#All],[Assets]],Table25[[#This Row],[Assets]],Table25[[#All],[Sold]]))</f>
        <v>299</v>
      </c>
      <c r="M1368" s="5">
        <f>ABS(SUMIF(Table25[[#All],[Assets]],Table25[[#This Row],[Assets]],Table25[[#All],[Sold Amount]]))</f>
        <v>6222.84</v>
      </c>
      <c r="N1368" s="5">
        <f>IFERROR(Table25[[#This Row],[Total sold amount]]/Table25[[#This Row],[Total Sold number of stocks]],"")</f>
        <v>20.81217391304348</v>
      </c>
      <c r="O1368" s="4">
        <f>IFERROR(Table25[[#This Row],[Total Amount bought]]/Table25[[#This Row],[Total number bought]],"")</f>
        <v>13.59212962962963</v>
      </c>
      <c r="P1368" s="4">
        <f>IFERROR((Table25[[#This Row],[Average sell price]]-Table25[[#This Row],[Average buy price]])*Table25[[#This Row],[Total Sold number of stocks]],0)</f>
        <v>2158.7932407407411</v>
      </c>
      <c r="Q1368" s="85">
        <f>SUMIF(Table25[[#All],[Assets]],Table25[[#This Row],[Assets]],Table25[[#All],[Number of stocks]])</f>
        <v>25</v>
      </c>
    </row>
    <row r="1369" spans="1:17">
      <c r="A1369" t="e" vm="88">
        <v>#VALUE!</v>
      </c>
      <c r="B1369" s="2">
        <v>45847</v>
      </c>
      <c r="C1369" t="str" cm="1">
        <f t="array" aca="1" ref="C1369" ca="1">_FV(A1369,"Ticker symbol",TRUE)</f>
        <v>SPIR</v>
      </c>
      <c r="D1369" s="4">
        <v>12.1</v>
      </c>
      <c r="E1369" s="50">
        <v>-47</v>
      </c>
      <c r="F1369" s="81">
        <f>IF(Table25[[#This Row],[Number of stocks]]&gt;0,Table25[[#This Row],[Number of stocks]],0)</f>
        <v>0</v>
      </c>
      <c r="G1369" s="73">
        <f>Table25[[#This Row],[Bought]]*Table25[[#This Row],[Price]]</f>
        <v>0</v>
      </c>
      <c r="H1369">
        <f>SUMIF(Table25[[#All],[Assets]],Table25[[#This Row],[Assets]],Table25[[#All],[Bought]])</f>
        <v>173</v>
      </c>
      <c r="I1369">
        <f>SUMIF(Table25[[#All],[Assets]],Table25[[#This Row],[Assets]],Table25[[#All],[Bought Amount]])</f>
        <v>2251.35</v>
      </c>
      <c r="J1369" s="88">
        <f>IF(Table25[[#This Row],[Number of stocks]]&lt;0,Table25[[#This Row],[Number of stocks]],0)</f>
        <v>-47</v>
      </c>
      <c r="K1369" s="5">
        <f>Table25[[#This Row],[Sold]]*Table25[[#This Row],[Price]]</f>
        <v>-568.69999999999993</v>
      </c>
      <c r="L1369" s="8">
        <f>ABS(SUMIF(Table25[[#All],[Assets]],Table25[[#This Row],[Assets]],Table25[[#All],[Sold]]))</f>
        <v>173</v>
      </c>
      <c r="M1369" s="5">
        <f>ABS(SUMIF(Table25[[#All],[Assets]],Table25[[#This Row],[Assets]],Table25[[#All],[Sold Amount]]))</f>
        <v>2095.02</v>
      </c>
      <c r="N1369" s="5">
        <f>IFERROR(Table25[[#This Row],[Total sold amount]]/Table25[[#This Row],[Total Sold number of stocks]],"")</f>
        <v>12.109942196531792</v>
      </c>
      <c r="O1369" s="4">
        <f>IFERROR(Table25[[#This Row],[Total Amount bought]]/Table25[[#This Row],[Total number bought]],"")</f>
        <v>13.013583815028902</v>
      </c>
      <c r="P1369" s="4">
        <f>IFERROR((Table25[[#This Row],[Average sell price]]-Table25[[#This Row],[Average buy price]])*Table25[[#This Row],[Total Sold number of stocks]],0)</f>
        <v>-156.33000000000001</v>
      </c>
      <c r="Q1369" s="85">
        <f>SUMIF(Table25[[#All],[Assets]],Table25[[#This Row],[Assets]],Table25[[#All],[Number of stocks]])</f>
        <v>0</v>
      </c>
    </row>
    <row r="1370" spans="1:17">
      <c r="A1370" t="e" vm="258">
        <v>#VALUE!</v>
      </c>
      <c r="B1370" s="2">
        <v>45848</v>
      </c>
      <c r="C1370" t="str" cm="1">
        <f t="array" aca="1" ref="C1370" ca="1">_FV(A1370,"Ticker symbol",TRUE)</f>
        <v>SERV</v>
      </c>
      <c r="D1370" s="4">
        <v>10.9</v>
      </c>
      <c r="E1370" s="50">
        <v>-10</v>
      </c>
      <c r="F1370" s="81">
        <f>IF(Table25[[#This Row],[Number of stocks]]&gt;0,Table25[[#This Row],[Number of stocks]],0)</f>
        <v>0</v>
      </c>
      <c r="G1370" s="73">
        <f>Table25[[#This Row],[Bought]]*Table25[[#This Row],[Price]]</f>
        <v>0</v>
      </c>
      <c r="H1370">
        <f>SUMIF(Table25[[#All],[Assets]],Table25[[#This Row],[Assets]],Table25[[#All],[Bought]])</f>
        <v>50</v>
      </c>
      <c r="I1370">
        <f>SUMIF(Table25[[#All],[Assets]],Table25[[#This Row],[Assets]],Table25[[#All],[Bought Amount]])</f>
        <v>571</v>
      </c>
      <c r="J1370" s="88">
        <f>IF(Table25[[#This Row],[Number of stocks]]&lt;0,Table25[[#This Row],[Number of stocks]],0)</f>
        <v>-10</v>
      </c>
      <c r="K1370" s="5">
        <f>Table25[[#This Row],[Sold]]*Table25[[#This Row],[Price]]</f>
        <v>-109</v>
      </c>
      <c r="L1370" s="8">
        <f>ABS(SUMIF(Table25[[#All],[Assets]],Table25[[#This Row],[Assets]],Table25[[#All],[Sold]]))</f>
        <v>50</v>
      </c>
      <c r="M1370" s="5">
        <f>ABS(SUMIF(Table25[[#All],[Assets]],Table25[[#This Row],[Assets]],Table25[[#All],[Sold Amount]]))</f>
        <v>570.20000000000005</v>
      </c>
      <c r="N1370" s="5">
        <f>IFERROR(Table25[[#This Row],[Total sold amount]]/Table25[[#This Row],[Total Sold number of stocks]],"")</f>
        <v>11.404000000000002</v>
      </c>
      <c r="O1370" s="4">
        <f>IFERROR(Table25[[#This Row],[Total Amount bought]]/Table25[[#This Row],[Total number bought]],"")</f>
        <v>11.42</v>
      </c>
      <c r="P1370" s="4">
        <f>IFERROR((Table25[[#This Row],[Average sell price]]-Table25[[#This Row],[Average buy price]])*Table25[[#This Row],[Total Sold number of stocks]],0)</f>
        <v>-0.79999999999991189</v>
      </c>
      <c r="Q1370" s="85">
        <f>SUMIF(Table25[[#All],[Assets]],Table25[[#This Row],[Assets]],Table25[[#All],[Number of stocks]])</f>
        <v>0</v>
      </c>
    </row>
    <row r="1371" spans="1:17">
      <c r="A1371" t="e" vm="37">
        <v>#VALUE!</v>
      </c>
      <c r="B1371" s="2">
        <v>45848</v>
      </c>
      <c r="C1371" t="str" cm="1">
        <f t="array" aca="1" ref="C1371" ca="1">_FV(A1371,"Ticker symbol",TRUE)</f>
        <v>AMD</v>
      </c>
      <c r="D1371" s="4">
        <v>144.09</v>
      </c>
      <c r="E1371" s="50">
        <v>-3</v>
      </c>
      <c r="F1371" s="81">
        <f>IF(Table25[[#This Row],[Number of stocks]]&gt;0,Table25[[#This Row],[Number of stocks]],0)</f>
        <v>0</v>
      </c>
      <c r="G1371" s="73">
        <f>Table25[[#This Row],[Bought]]*Table25[[#This Row],[Price]]</f>
        <v>0</v>
      </c>
      <c r="H1371">
        <f>SUMIF(Table25[[#All],[Assets]],Table25[[#This Row],[Assets]],Table25[[#All],[Bought]])</f>
        <v>41</v>
      </c>
      <c r="I1371">
        <f>SUMIF(Table25[[#All],[Assets]],Table25[[#This Row],[Assets]],Table25[[#All],[Bought Amount]])</f>
        <v>5552.8399999999992</v>
      </c>
      <c r="J1371" s="88">
        <f>IF(Table25[[#This Row],[Number of stocks]]&lt;0,Table25[[#This Row],[Number of stocks]],0)</f>
        <v>-3</v>
      </c>
      <c r="K1371" s="5">
        <f>Table25[[#This Row],[Sold]]*Table25[[#This Row],[Price]]</f>
        <v>-432.27</v>
      </c>
      <c r="L1371" s="8">
        <f>ABS(SUMIF(Table25[[#All],[Assets]],Table25[[#This Row],[Assets]],Table25[[#All],[Sold]]))</f>
        <v>23</v>
      </c>
      <c r="M1371" s="5">
        <f>ABS(SUMIF(Table25[[#All],[Assets]],Table25[[#This Row],[Assets]],Table25[[#All],[Sold Amount]]))</f>
        <v>3203.4199999999996</v>
      </c>
      <c r="N1371" s="5">
        <f>IFERROR(Table25[[#This Row],[Total sold amount]]/Table25[[#This Row],[Total Sold number of stocks]],"")</f>
        <v>139.27913043478259</v>
      </c>
      <c r="O1371" s="4">
        <f>IFERROR(Table25[[#This Row],[Total Amount bought]]/Table25[[#This Row],[Total number bought]],"")</f>
        <v>135.43512195121949</v>
      </c>
      <c r="P1371" s="4">
        <f>IFERROR((Table25[[#This Row],[Average sell price]]-Table25[[#This Row],[Average buy price]])*Table25[[#This Row],[Total Sold number of stocks]],0)</f>
        <v>88.412195121951328</v>
      </c>
      <c r="Q1371" s="85">
        <f>SUMIF(Table25[[#All],[Assets]],Table25[[#This Row],[Assets]],Table25[[#All],[Number of stocks]])</f>
        <v>18</v>
      </c>
    </row>
    <row r="1372" spans="1:17">
      <c r="A1372" t="e" vm="99">
        <v>#VALUE!</v>
      </c>
      <c r="B1372" s="2">
        <v>45848</v>
      </c>
      <c r="C1372" t="str" cm="1">
        <f t="array" aca="1" ref="C1372" ca="1">_FV(A1372,"Ticker symbol",TRUE)</f>
        <v>CSCO</v>
      </c>
      <c r="D1372" s="4">
        <v>68.84</v>
      </c>
      <c r="E1372" s="50">
        <v>-3</v>
      </c>
      <c r="F1372" s="81">
        <f>IF(Table25[[#This Row],[Number of stocks]]&gt;0,Table25[[#This Row],[Number of stocks]],0)</f>
        <v>0</v>
      </c>
      <c r="G1372" s="73">
        <f>Table25[[#This Row],[Bought]]*Table25[[#This Row],[Price]]</f>
        <v>0</v>
      </c>
      <c r="H1372">
        <f>SUMIF(Table25[[#All],[Assets]],Table25[[#This Row],[Assets]],Table25[[#All],[Bought]])</f>
        <v>23</v>
      </c>
      <c r="I1372">
        <f>SUMIF(Table25[[#All],[Assets]],Table25[[#This Row],[Assets]],Table25[[#All],[Bought Amount]])</f>
        <v>1173.48</v>
      </c>
      <c r="J1372" s="88">
        <f>IF(Table25[[#This Row],[Number of stocks]]&lt;0,Table25[[#This Row],[Number of stocks]],0)</f>
        <v>-3</v>
      </c>
      <c r="K1372" s="5">
        <f>Table25[[#This Row],[Sold]]*Table25[[#This Row],[Price]]</f>
        <v>-206.52</v>
      </c>
      <c r="L1372" s="8">
        <f>ABS(SUMIF(Table25[[#All],[Assets]],Table25[[#This Row],[Assets]],Table25[[#All],[Sold]]))</f>
        <v>23</v>
      </c>
      <c r="M1372" s="5">
        <f>ABS(SUMIF(Table25[[#All],[Assets]],Table25[[#This Row],[Assets]],Table25[[#All],[Sold Amount]]))</f>
        <v>1405.67</v>
      </c>
      <c r="N1372" s="5">
        <f>IFERROR(Table25[[#This Row],[Total sold amount]]/Table25[[#This Row],[Total Sold number of stocks]],"")</f>
        <v>61.116086956521741</v>
      </c>
      <c r="O1372" s="4">
        <f>IFERROR(Table25[[#This Row],[Total Amount bought]]/Table25[[#This Row],[Total number bought]],"")</f>
        <v>51.020869565217389</v>
      </c>
      <c r="P1372" s="4">
        <f>IFERROR((Table25[[#This Row],[Average sell price]]-Table25[[#This Row],[Average buy price]])*Table25[[#This Row],[Total Sold number of stocks]],0)</f>
        <v>232.19000000000011</v>
      </c>
      <c r="Q1372" s="85">
        <f>SUMIF(Table25[[#All],[Assets]],Table25[[#This Row],[Assets]],Table25[[#All],[Number of stocks]])</f>
        <v>0</v>
      </c>
    </row>
    <row r="1373" spans="1:17">
      <c r="A1373" t="e" vm="567">
        <v>#VALUE!</v>
      </c>
      <c r="B1373" s="2">
        <v>45848</v>
      </c>
      <c r="C1373" t="str" cm="1">
        <f t="array" aca="1" ref="C1373" ca="1">_FV(A1373,"Ticker symbol",TRUE)</f>
        <v>BMNR</v>
      </c>
      <c r="D1373" s="4">
        <v>56.98</v>
      </c>
      <c r="E1373" s="50">
        <v>10</v>
      </c>
      <c r="F1373" s="81">
        <f>IF(Table25[[#This Row],[Number of stocks]]&gt;0,Table25[[#This Row],[Number of stocks]],0)</f>
        <v>10</v>
      </c>
      <c r="G1373" s="73">
        <f>Table25[[#This Row],[Bought]]*Table25[[#This Row],[Price]]</f>
        <v>569.79999999999995</v>
      </c>
      <c r="H1373">
        <f>SUMIF(Table25[[#All],[Assets]],Table25[[#This Row],[Assets]],Table25[[#All],[Bought]])</f>
        <v>38</v>
      </c>
      <c r="I1373">
        <f>SUMIF(Table25[[#All],[Assets]],Table25[[#This Row],[Assets]],Table25[[#All],[Bought Amount]])</f>
        <v>1430.52</v>
      </c>
      <c r="J1373" s="88">
        <f>IF(Table25[[#This Row],[Number of stocks]]&lt;0,Table25[[#This Row],[Number of stocks]],0)</f>
        <v>0</v>
      </c>
      <c r="K1373" s="5">
        <f>Table25[[#This Row],[Sold]]*Table25[[#This Row],[Price]]</f>
        <v>0</v>
      </c>
      <c r="L1373" s="8">
        <f>ABS(SUMIF(Table25[[#All],[Assets]],Table25[[#This Row],[Assets]],Table25[[#All],[Sold]]))</f>
        <v>38</v>
      </c>
      <c r="M1373" s="5">
        <f>ABS(SUMIF(Table25[[#All],[Assets]],Table25[[#This Row],[Assets]],Table25[[#All],[Sold Amount]]))</f>
        <v>2255.36</v>
      </c>
      <c r="N1373" s="5">
        <f>IFERROR(Table25[[#This Row],[Total sold amount]]/Table25[[#This Row],[Total Sold number of stocks]],"")</f>
        <v>59.351578947368424</v>
      </c>
      <c r="O1373" s="4">
        <f>IFERROR(Table25[[#This Row],[Total Amount bought]]/Table25[[#This Row],[Total number bought]],"")</f>
        <v>37.645263157894739</v>
      </c>
      <c r="P1373" s="4">
        <f>IFERROR((Table25[[#This Row],[Average sell price]]-Table25[[#This Row],[Average buy price]])*Table25[[#This Row],[Total Sold number of stocks]],0)</f>
        <v>824.84</v>
      </c>
      <c r="Q1373" s="85">
        <f>SUMIF(Table25[[#All],[Assets]],Table25[[#This Row],[Assets]],Table25[[#All],[Number of stocks]])</f>
        <v>0</v>
      </c>
    </row>
    <row r="1374" spans="1:17">
      <c r="A1374" t="e" vm="71">
        <v>#VALUE!</v>
      </c>
      <c r="B1374" s="2">
        <v>45848</v>
      </c>
      <c r="C1374" t="str" cm="1">
        <f t="array" aca="1" ref="C1374" ca="1">_FV(A1374,"Ticker symbol",TRUE)</f>
        <v>TKNO</v>
      </c>
      <c r="D1374" s="4">
        <v>5.21</v>
      </c>
      <c r="E1374" s="50">
        <v>-500</v>
      </c>
      <c r="F1374" s="81">
        <f>IF(Table25[[#This Row],[Number of stocks]]&gt;0,Table25[[#This Row],[Number of stocks]],0)</f>
        <v>0</v>
      </c>
      <c r="G1374" s="73">
        <f>Table25[[#This Row],[Bought]]*Table25[[#This Row],[Price]]</f>
        <v>0</v>
      </c>
      <c r="H1374">
        <f>SUMIF(Table25[[#All],[Assets]],Table25[[#This Row],[Assets]],Table25[[#All],[Bought]])</f>
        <v>2166.0267990000002</v>
      </c>
      <c r="I1374">
        <f>SUMIF(Table25[[#All],[Assets]],Table25[[#This Row],[Assets]],Table25[[#All],[Bought Amount]])</f>
        <v>13370.91512648</v>
      </c>
      <c r="J1374" s="88">
        <f>IF(Table25[[#This Row],[Number of stocks]]&lt;0,Table25[[#This Row],[Number of stocks]],0)</f>
        <v>-500</v>
      </c>
      <c r="K1374" s="5">
        <f>Table25[[#This Row],[Sold]]*Table25[[#This Row],[Price]]</f>
        <v>-2605</v>
      </c>
      <c r="L1374" s="8">
        <f>ABS(SUMIF(Table25[[#All],[Assets]],Table25[[#This Row],[Assets]],Table25[[#All],[Sold]]))</f>
        <v>2083</v>
      </c>
      <c r="M1374" s="5">
        <f>ABS(SUMIF(Table25[[#All],[Assets]],Table25[[#This Row],[Assets]],Table25[[#All],[Sold Amount]]))</f>
        <v>11153.28</v>
      </c>
      <c r="N1374" s="5">
        <f>IFERROR(Table25[[#This Row],[Total sold amount]]/Table25[[#This Row],[Total Sold number of stocks]],"")</f>
        <v>5.3544311089774368</v>
      </c>
      <c r="O1374" s="4">
        <f>IFERROR(Table25[[#This Row],[Total Amount bought]]/Table25[[#This Row],[Total number bought]],"")</f>
        <v>6.1730146333614213</v>
      </c>
      <c r="P1374" s="4">
        <f>IFERROR((Table25[[#This Row],[Average sell price]]-Table25[[#This Row],[Average buy price]])*Table25[[#This Row],[Total Sold number of stocks]],0)</f>
        <v>-1705.1094812918398</v>
      </c>
      <c r="Q1374" s="85">
        <f>SUMIF(Table25[[#All],[Assets]],Table25[[#This Row],[Assets]],Table25[[#All],[Number of stocks]])</f>
        <v>83.026798999999983</v>
      </c>
    </row>
    <row r="1375" spans="1:17">
      <c r="A1375" t="e" vm="72">
        <v>#VALUE!</v>
      </c>
      <c r="B1375" s="2">
        <v>45848</v>
      </c>
      <c r="C1375" t="str" cm="1">
        <f t="array" aca="1" ref="C1375" ca="1">_FV(A1375,"Ticker symbol",TRUE)</f>
        <v>AIRS</v>
      </c>
      <c r="D1375" s="4">
        <v>5</v>
      </c>
      <c r="E1375" s="50">
        <v>400</v>
      </c>
      <c r="F1375" s="81">
        <f>IF(Table25[[#This Row],[Number of stocks]]&gt;0,Table25[[#This Row],[Number of stocks]],0)</f>
        <v>400</v>
      </c>
      <c r="G1375" s="73">
        <f>Table25[[#This Row],[Bought]]*Table25[[#This Row],[Price]]</f>
        <v>2000</v>
      </c>
      <c r="H1375">
        <f>SUMIF(Table25[[#All],[Assets]],Table25[[#This Row],[Assets]],Table25[[#All],[Bought]])</f>
        <v>2980</v>
      </c>
      <c r="I1375">
        <f>SUMIF(Table25[[#All],[Assets]],Table25[[#This Row],[Assets]],Table25[[#All],[Bought Amount]])</f>
        <v>14267.900000000001</v>
      </c>
      <c r="J1375" s="88">
        <f>IF(Table25[[#This Row],[Number of stocks]]&lt;0,Table25[[#This Row],[Number of stocks]],0)</f>
        <v>0</v>
      </c>
      <c r="K1375" s="5">
        <f>Table25[[#This Row],[Sold]]*Table25[[#This Row],[Price]]</f>
        <v>0</v>
      </c>
      <c r="L1375" s="8">
        <f>ABS(SUMIF(Table25[[#All],[Assets]],Table25[[#This Row],[Assets]],Table25[[#All],[Sold]]))</f>
        <v>2360</v>
      </c>
      <c r="M1375" s="5">
        <f>ABS(SUMIF(Table25[[#All],[Assets]],Table25[[#This Row],[Assets]],Table25[[#All],[Sold Amount]]))</f>
        <v>7796.6</v>
      </c>
      <c r="N1375" s="5">
        <f>IFERROR(Table25[[#This Row],[Total sold amount]]/Table25[[#This Row],[Total Sold number of stocks]],"")</f>
        <v>3.3036440677966104</v>
      </c>
      <c r="O1375" s="4">
        <f>IFERROR(Table25[[#This Row],[Total Amount bought]]/Table25[[#This Row],[Total number bought]],"")</f>
        <v>4.7878859060402688</v>
      </c>
      <c r="P1375" s="4">
        <f>IFERROR((Table25[[#This Row],[Average sell price]]-Table25[[#This Row],[Average buy price]])*Table25[[#This Row],[Total Sold number of stocks]],0)</f>
        <v>-3502.8107382550338</v>
      </c>
      <c r="Q1375" s="85">
        <f>SUMIF(Table25[[#All],[Assets]],Table25[[#This Row],[Assets]],Table25[[#All],[Number of stocks]])</f>
        <v>620</v>
      </c>
    </row>
    <row r="1376" spans="1:17">
      <c r="A1376" t="e" vm="12">
        <v>#VALUE!</v>
      </c>
      <c r="B1376" s="2">
        <v>45848</v>
      </c>
      <c r="C1376" t="str" cm="1">
        <f t="array" aca="1" ref="C1376" ca="1">_FV(A1376,"Ticker symbol",TRUE)</f>
        <v>TER</v>
      </c>
      <c r="D1376" s="4">
        <v>98.67</v>
      </c>
      <c r="E1376" s="50">
        <v>7</v>
      </c>
      <c r="F1376" s="81">
        <f>IF(Table25[[#This Row],[Number of stocks]]&gt;0,Table25[[#This Row],[Number of stocks]],0)</f>
        <v>7</v>
      </c>
      <c r="G1376" s="73">
        <f>Table25[[#This Row],[Bought]]*Table25[[#This Row],[Price]]</f>
        <v>690.69</v>
      </c>
      <c r="H1376">
        <f>SUMIF(Table25[[#All],[Assets]],Table25[[#This Row],[Assets]],Table25[[#All],[Bought]])</f>
        <v>37</v>
      </c>
      <c r="I1376">
        <f>SUMIF(Table25[[#All],[Assets]],Table25[[#This Row],[Assets]],Table25[[#All],[Bought Amount]])</f>
        <v>4100.1100000000006</v>
      </c>
      <c r="J1376" s="88">
        <f>IF(Table25[[#This Row],[Number of stocks]]&lt;0,Table25[[#This Row],[Number of stocks]],0)</f>
        <v>0</v>
      </c>
      <c r="K1376" s="5">
        <f>Table25[[#This Row],[Sold]]*Table25[[#This Row],[Price]]</f>
        <v>0</v>
      </c>
      <c r="L1376" s="8">
        <f>ABS(SUMIF(Table25[[#All],[Assets]],Table25[[#This Row],[Assets]],Table25[[#All],[Sold]]))</f>
        <v>16</v>
      </c>
      <c r="M1376" s="5">
        <f>ABS(SUMIF(Table25[[#All],[Assets]],Table25[[#This Row],[Assets]],Table25[[#All],[Sold Amount]]))</f>
        <v>2853.3999999999996</v>
      </c>
      <c r="N1376" s="5">
        <f>IFERROR(Table25[[#This Row],[Total sold amount]]/Table25[[#This Row],[Total Sold number of stocks]],"")</f>
        <v>178.33749999999998</v>
      </c>
      <c r="O1376" s="4">
        <f>IFERROR(Table25[[#This Row],[Total Amount bought]]/Table25[[#This Row],[Total number bought]],"")</f>
        <v>110.8137837837838</v>
      </c>
      <c r="P1376" s="4">
        <f>IFERROR((Table25[[#This Row],[Average sell price]]-Table25[[#This Row],[Average buy price]])*Table25[[#This Row],[Total Sold number of stocks]],0)</f>
        <v>1080.3794594594588</v>
      </c>
      <c r="Q1376" s="85">
        <f>SUMIF(Table25[[#All],[Assets]],Table25[[#This Row],[Assets]],Table25[[#All],[Number of stocks]])</f>
        <v>21</v>
      </c>
    </row>
    <row r="1377" spans="1:17">
      <c r="A1377" t="e" vm="266">
        <v>#VALUE!</v>
      </c>
      <c r="B1377" s="2">
        <v>45849</v>
      </c>
      <c r="C1377" t="str" cm="1">
        <f t="array" aca="1" ref="C1377" ca="1">_FV(A1377,"Ticker symbol",TRUE)</f>
        <v>VERA</v>
      </c>
      <c r="D1377" s="4">
        <v>24.08</v>
      </c>
      <c r="E1377" s="50">
        <v>-10</v>
      </c>
      <c r="F1377" s="81">
        <f>IF(Table25[[#This Row],[Number of stocks]]&gt;0,Table25[[#This Row],[Number of stocks]],0)</f>
        <v>0</v>
      </c>
      <c r="G1377" s="73">
        <f>Table25[[#This Row],[Bought]]*Table25[[#This Row],[Price]]</f>
        <v>0</v>
      </c>
      <c r="H1377">
        <f>SUMIF(Table25[[#All],[Assets]],Table25[[#This Row],[Assets]],Table25[[#All],[Bought]])</f>
        <v>20</v>
      </c>
      <c r="I1377">
        <f>SUMIF(Table25[[#All],[Assets]],Table25[[#This Row],[Assets]],Table25[[#All],[Bought Amount]])</f>
        <v>461.4</v>
      </c>
      <c r="J1377" s="88">
        <f>IF(Table25[[#This Row],[Number of stocks]]&lt;0,Table25[[#This Row],[Number of stocks]],0)</f>
        <v>-10</v>
      </c>
      <c r="K1377" s="5">
        <f>Table25[[#This Row],[Sold]]*Table25[[#This Row],[Price]]</f>
        <v>-240.79999999999998</v>
      </c>
      <c r="L1377" s="8">
        <f>ABS(SUMIF(Table25[[#All],[Assets]],Table25[[#This Row],[Assets]],Table25[[#All],[Sold]]))</f>
        <v>20</v>
      </c>
      <c r="M1377" s="5">
        <f>ABS(SUMIF(Table25[[#All],[Assets]],Table25[[#This Row],[Assets]],Table25[[#All],[Sold Amount]]))</f>
        <v>466.59999999999997</v>
      </c>
      <c r="N1377" s="5">
        <f>IFERROR(Table25[[#This Row],[Total sold amount]]/Table25[[#This Row],[Total Sold number of stocks]],"")</f>
        <v>23.33</v>
      </c>
      <c r="O1377" s="4">
        <f>IFERROR(Table25[[#This Row],[Total Amount bought]]/Table25[[#This Row],[Total number bought]],"")</f>
        <v>23.07</v>
      </c>
      <c r="P1377" s="4">
        <f>IFERROR((Table25[[#This Row],[Average sell price]]-Table25[[#This Row],[Average buy price]])*Table25[[#This Row],[Total Sold number of stocks]],0)</f>
        <v>5.1999999999999602</v>
      </c>
      <c r="Q1377" s="85">
        <f>SUMIF(Table25[[#All],[Assets]],Table25[[#This Row],[Assets]],Table25[[#All],[Number of stocks]])</f>
        <v>0</v>
      </c>
    </row>
    <row r="1378" spans="1:17">
      <c r="A1378" t="e" vm="75">
        <v>#VALUE!</v>
      </c>
      <c r="B1378" s="2">
        <v>45849</v>
      </c>
      <c r="C1378" t="str" cm="1">
        <f t="array" aca="1" ref="C1378" ca="1">_FV(A1378,"Ticker symbol",TRUE)</f>
        <v>QTRX</v>
      </c>
      <c r="D1378" s="4">
        <v>5.83</v>
      </c>
      <c r="E1378" s="50">
        <v>-47</v>
      </c>
      <c r="F1378" s="81">
        <f>IF(Table25[[#This Row],[Number of stocks]]&gt;0,Table25[[#This Row],[Number of stocks]],0)</f>
        <v>0</v>
      </c>
      <c r="G1378" s="73">
        <f>Table25[[#This Row],[Bought]]*Table25[[#This Row],[Price]]</f>
        <v>0</v>
      </c>
      <c r="H1378">
        <f>SUMIF(Table25[[#All],[Assets]],Table25[[#This Row],[Assets]],Table25[[#All],[Bought]])</f>
        <v>1492</v>
      </c>
      <c r="I1378">
        <f>SUMIF(Table25[[#All],[Assets]],Table25[[#This Row],[Assets]],Table25[[#All],[Bought Amount]])</f>
        <v>10313.249999999998</v>
      </c>
      <c r="J1378" s="88">
        <f>IF(Table25[[#This Row],[Number of stocks]]&lt;0,Table25[[#This Row],[Number of stocks]],0)</f>
        <v>-47</v>
      </c>
      <c r="K1378" s="5">
        <f>Table25[[#This Row],[Sold]]*Table25[[#This Row],[Price]]</f>
        <v>-274.01</v>
      </c>
      <c r="L1378" s="8">
        <f>ABS(SUMIF(Table25[[#All],[Assets]],Table25[[#This Row],[Assets]],Table25[[#All],[Sold]]))</f>
        <v>1492</v>
      </c>
      <c r="M1378" s="5">
        <f>ABS(SUMIF(Table25[[#All],[Assets]],Table25[[#This Row],[Assets]],Table25[[#All],[Sold Amount]]))</f>
        <v>8408.35</v>
      </c>
      <c r="N1378" s="5">
        <f>IFERROR(Table25[[#This Row],[Total sold amount]]/Table25[[#This Row],[Total Sold number of stocks]],"")</f>
        <v>5.635623324396783</v>
      </c>
      <c r="O1378" s="4">
        <f>IFERROR(Table25[[#This Row],[Total Amount bought]]/Table25[[#This Row],[Total number bought]],"")</f>
        <v>6.9123659517426264</v>
      </c>
      <c r="P1378" s="4">
        <f>IFERROR((Table25[[#This Row],[Average sell price]]-Table25[[#This Row],[Average buy price]])*Table25[[#This Row],[Total Sold number of stocks]],0)</f>
        <v>-1904.8999999999983</v>
      </c>
      <c r="Q1378" s="85">
        <f>SUMIF(Table25[[#All],[Assets]],Table25[[#This Row],[Assets]],Table25[[#All],[Number of stocks]])</f>
        <v>0</v>
      </c>
    </row>
    <row r="1379" spans="1:17">
      <c r="A1379" t="e" vm="89">
        <v>#VALUE!</v>
      </c>
      <c r="B1379" s="2">
        <v>45849</v>
      </c>
      <c r="C1379" t="str" cm="1">
        <f t="array" aca="1" ref="C1379" ca="1">_FV(A1379,"Ticker symbol",TRUE)</f>
        <v>BKSY</v>
      </c>
      <c r="D1379" s="4">
        <v>22.79</v>
      </c>
      <c r="E1379" s="50">
        <v>-14</v>
      </c>
      <c r="F1379" s="81">
        <f>IF(Table25[[#This Row],[Number of stocks]]&gt;0,Table25[[#This Row],[Number of stocks]],0)</f>
        <v>0</v>
      </c>
      <c r="G1379" s="73">
        <f>Table25[[#This Row],[Bought]]*Table25[[#This Row],[Price]]</f>
        <v>0</v>
      </c>
      <c r="H1379">
        <f>SUMIF(Table25[[#All],[Assets]],Table25[[#This Row],[Assets]],Table25[[#All],[Bought]])</f>
        <v>78</v>
      </c>
      <c r="I1379">
        <f>SUMIF(Table25[[#All],[Assets]],Table25[[#This Row],[Assets]],Table25[[#All],[Bought Amount]])</f>
        <v>897.78</v>
      </c>
      <c r="J1379" s="88">
        <f>IF(Table25[[#This Row],[Number of stocks]]&lt;0,Table25[[#This Row],[Number of stocks]],0)</f>
        <v>-14</v>
      </c>
      <c r="K1379" s="5">
        <f>Table25[[#This Row],[Sold]]*Table25[[#This Row],[Price]]</f>
        <v>-319.06</v>
      </c>
      <c r="L1379" s="8">
        <f>ABS(SUMIF(Table25[[#All],[Assets]],Table25[[#This Row],[Assets]],Table25[[#All],[Sold]]))</f>
        <v>78</v>
      </c>
      <c r="M1379" s="5">
        <f>ABS(SUMIF(Table25[[#All],[Assets]],Table25[[#This Row],[Assets]],Table25[[#All],[Sold Amount]]))</f>
        <v>1583.33</v>
      </c>
      <c r="N1379" s="5">
        <f>IFERROR(Table25[[#This Row],[Total sold amount]]/Table25[[#This Row],[Total Sold number of stocks]],"")</f>
        <v>20.299102564102562</v>
      </c>
      <c r="O1379" s="4">
        <f>IFERROR(Table25[[#This Row],[Total Amount bought]]/Table25[[#This Row],[Total number bought]],"")</f>
        <v>11.51</v>
      </c>
      <c r="P1379" s="4">
        <f>IFERROR((Table25[[#This Row],[Average sell price]]-Table25[[#This Row],[Average buy price]])*Table25[[#This Row],[Total Sold number of stocks]],0)</f>
        <v>685.54999999999984</v>
      </c>
      <c r="Q1379" s="85">
        <f>SUMIF(Table25[[#All],[Assets]],Table25[[#This Row],[Assets]],Table25[[#All],[Number of stocks]])</f>
        <v>0</v>
      </c>
    </row>
    <row r="1380" spans="1:17">
      <c r="A1380" t="e" vm="12">
        <v>#VALUE!</v>
      </c>
      <c r="B1380" s="2">
        <v>45849</v>
      </c>
      <c r="C1380" t="str" cm="1">
        <f t="array" aca="1" ref="C1380" ca="1">_FV(A1380,"Ticker symbol",TRUE)</f>
        <v>TER</v>
      </c>
      <c r="D1380" s="4">
        <v>97.22</v>
      </c>
      <c r="E1380" s="50">
        <v>5</v>
      </c>
      <c r="F1380" s="81">
        <f>IF(Table25[[#This Row],[Number of stocks]]&gt;0,Table25[[#This Row],[Number of stocks]],0)</f>
        <v>5</v>
      </c>
      <c r="G1380" s="73">
        <f>Table25[[#This Row],[Bought]]*Table25[[#This Row],[Price]]</f>
        <v>486.1</v>
      </c>
      <c r="H1380">
        <f>SUMIF(Table25[[#All],[Assets]],Table25[[#This Row],[Assets]],Table25[[#All],[Bought]])</f>
        <v>37</v>
      </c>
      <c r="I1380">
        <f>SUMIF(Table25[[#All],[Assets]],Table25[[#This Row],[Assets]],Table25[[#All],[Bought Amount]])</f>
        <v>4100.1100000000006</v>
      </c>
      <c r="J1380" s="88">
        <f>IF(Table25[[#This Row],[Number of stocks]]&lt;0,Table25[[#This Row],[Number of stocks]],0)</f>
        <v>0</v>
      </c>
      <c r="K1380" s="5">
        <f>Table25[[#This Row],[Sold]]*Table25[[#This Row],[Price]]</f>
        <v>0</v>
      </c>
      <c r="L1380" s="8">
        <f>ABS(SUMIF(Table25[[#All],[Assets]],Table25[[#This Row],[Assets]],Table25[[#All],[Sold]]))</f>
        <v>16</v>
      </c>
      <c r="M1380" s="5">
        <f>ABS(SUMIF(Table25[[#All],[Assets]],Table25[[#This Row],[Assets]],Table25[[#All],[Sold Amount]]))</f>
        <v>2853.3999999999996</v>
      </c>
      <c r="N1380" s="5">
        <f>IFERROR(Table25[[#This Row],[Total sold amount]]/Table25[[#This Row],[Total Sold number of stocks]],"")</f>
        <v>178.33749999999998</v>
      </c>
      <c r="O1380" s="4">
        <f>IFERROR(Table25[[#This Row],[Total Amount bought]]/Table25[[#This Row],[Total number bought]],"")</f>
        <v>110.8137837837838</v>
      </c>
      <c r="P1380" s="4">
        <f>IFERROR((Table25[[#This Row],[Average sell price]]-Table25[[#This Row],[Average buy price]])*Table25[[#This Row],[Total Sold number of stocks]],0)</f>
        <v>1080.3794594594588</v>
      </c>
      <c r="Q1380" s="85">
        <f>SUMIF(Table25[[#All],[Assets]],Table25[[#This Row],[Assets]],Table25[[#All],[Number of stocks]])</f>
        <v>21</v>
      </c>
    </row>
    <row r="1381" spans="1:17">
      <c r="A1381" t="e" vm="80">
        <v>#VALUE!</v>
      </c>
      <c r="B1381" s="2">
        <v>45852</v>
      </c>
      <c r="C1381" t="str" cm="1">
        <f t="array" aca="1" ref="C1381" ca="1">_FV(A1381,"Ticker symbol",TRUE)</f>
        <v>PYPL</v>
      </c>
      <c r="D1381" s="4">
        <v>74.14</v>
      </c>
      <c r="E1381" s="50">
        <v>-5</v>
      </c>
      <c r="F1381" s="81">
        <f>IF(Table25[[#This Row],[Number of stocks]]&gt;0,Table25[[#This Row],[Number of stocks]],0)</f>
        <v>0</v>
      </c>
      <c r="G1381" s="73">
        <f>Table25[[#This Row],[Bought]]*Table25[[#This Row],[Price]]</f>
        <v>0</v>
      </c>
      <c r="H1381">
        <f>SUMIF(Table25[[#All],[Assets]],Table25[[#This Row],[Assets]],Table25[[#All],[Bought]])</f>
        <v>223</v>
      </c>
      <c r="I1381">
        <f>SUMIF(Table25[[#All],[Assets]],Table25[[#This Row],[Assets]],Table25[[#All],[Bought Amount]])</f>
        <v>14862.050000000003</v>
      </c>
      <c r="J1381" s="88">
        <f>IF(Table25[[#This Row],[Number of stocks]]&lt;0,Table25[[#This Row],[Number of stocks]],0)</f>
        <v>-5</v>
      </c>
      <c r="K1381" s="5">
        <f>Table25[[#This Row],[Sold]]*Table25[[#This Row],[Price]]</f>
        <v>-370.7</v>
      </c>
      <c r="L1381" s="8">
        <f>ABS(SUMIF(Table25[[#All],[Assets]],Table25[[#This Row],[Assets]],Table25[[#All],[Sold]]))</f>
        <v>222</v>
      </c>
      <c r="M1381" s="5">
        <f>ABS(SUMIF(Table25[[#All],[Assets]],Table25[[#This Row],[Assets]],Table25[[#All],[Sold Amount]]))</f>
        <v>15255.44</v>
      </c>
      <c r="N1381" s="5">
        <f>IFERROR(Table25[[#This Row],[Total sold amount]]/Table25[[#This Row],[Total Sold number of stocks]],"")</f>
        <v>68.718198198198195</v>
      </c>
      <c r="O1381" s="4">
        <f>IFERROR(Table25[[#This Row],[Total Amount bought]]/Table25[[#This Row],[Total number bought]],"")</f>
        <v>66.645964125560553</v>
      </c>
      <c r="P1381" s="4">
        <f>IFERROR((Table25[[#This Row],[Average sell price]]-Table25[[#This Row],[Average buy price]])*Table25[[#This Row],[Total Sold number of stocks]],0)</f>
        <v>460.03596412555646</v>
      </c>
      <c r="Q1381" s="85">
        <f>SUMIF(Table25[[#All],[Assets]],Table25[[#This Row],[Assets]],Table25[[#All],[Number of stocks]])</f>
        <v>1</v>
      </c>
    </row>
    <row r="1382" spans="1:17">
      <c r="A1382" t="e" vm="257">
        <v>#VALUE!</v>
      </c>
      <c r="B1382" s="2">
        <v>45852</v>
      </c>
      <c r="C1382" t="str" cm="1">
        <f t="array" aca="1" ref="C1382" ca="1">_FV(A1382,"Ticker symbol",TRUE)</f>
        <v>CRSP</v>
      </c>
      <c r="D1382" s="4">
        <v>55.74</v>
      </c>
      <c r="E1382" s="50">
        <v>-3</v>
      </c>
      <c r="F1382" s="81">
        <f>IF(Table25[[#This Row],[Number of stocks]]&gt;0,Table25[[#This Row],[Number of stocks]],0)</f>
        <v>0</v>
      </c>
      <c r="G1382" s="73">
        <f>Table25[[#This Row],[Bought]]*Table25[[#This Row],[Price]]</f>
        <v>0</v>
      </c>
      <c r="H1382">
        <f>SUMIF(Table25[[#All],[Assets]],Table25[[#This Row],[Assets]],Table25[[#All],[Bought]])</f>
        <v>12</v>
      </c>
      <c r="I1382">
        <f>SUMIF(Table25[[#All],[Assets]],Table25[[#This Row],[Assets]],Table25[[#All],[Bought Amount]])</f>
        <v>558.12</v>
      </c>
      <c r="J1382" s="88">
        <f>IF(Table25[[#This Row],[Number of stocks]]&lt;0,Table25[[#This Row],[Number of stocks]],0)</f>
        <v>-3</v>
      </c>
      <c r="K1382" s="5">
        <f>Table25[[#This Row],[Sold]]*Table25[[#This Row],[Price]]</f>
        <v>-167.22</v>
      </c>
      <c r="L1382" s="8">
        <f>ABS(SUMIF(Table25[[#All],[Assets]],Table25[[#This Row],[Assets]],Table25[[#All],[Sold]]))</f>
        <v>12</v>
      </c>
      <c r="M1382" s="5">
        <f>ABS(SUMIF(Table25[[#All],[Assets]],Table25[[#This Row],[Assets]],Table25[[#All],[Sold Amount]]))</f>
        <v>674.1</v>
      </c>
      <c r="N1382" s="5">
        <f>IFERROR(Table25[[#This Row],[Total sold amount]]/Table25[[#This Row],[Total Sold number of stocks]],"")</f>
        <v>56.175000000000004</v>
      </c>
      <c r="O1382" s="4">
        <f>IFERROR(Table25[[#This Row],[Total Amount bought]]/Table25[[#This Row],[Total number bought]],"")</f>
        <v>46.51</v>
      </c>
      <c r="P1382" s="4">
        <f>IFERROR((Table25[[#This Row],[Average sell price]]-Table25[[#This Row],[Average buy price]])*Table25[[#This Row],[Total Sold number of stocks]],0)</f>
        <v>115.98000000000008</v>
      </c>
      <c r="Q1382" s="85">
        <f>SUMIF(Table25[[#All],[Assets]],Table25[[#This Row],[Assets]],Table25[[#All],[Number of stocks]])</f>
        <v>0</v>
      </c>
    </row>
    <row r="1383" spans="1:17">
      <c r="A1383" t="e" vm="73">
        <v>#VALUE!</v>
      </c>
      <c r="B1383" s="2">
        <v>45852</v>
      </c>
      <c r="C1383" t="str" cm="1">
        <f t="array" aca="1" ref="C1383" ca="1">_FV(A1383,"Ticker symbol",TRUE)</f>
        <v>NOTV</v>
      </c>
      <c r="D1383" s="4">
        <v>1.94</v>
      </c>
      <c r="E1383" s="50">
        <v>-130</v>
      </c>
      <c r="F1383" s="81">
        <f>IF(Table25[[#This Row],[Number of stocks]]&gt;0,Table25[[#This Row],[Number of stocks]],0)</f>
        <v>0</v>
      </c>
      <c r="G1383" s="73">
        <f>Table25[[#This Row],[Bought]]*Table25[[#This Row],[Price]]</f>
        <v>0</v>
      </c>
      <c r="H1383">
        <f>SUMIF(Table25[[#All],[Assets]],Table25[[#This Row],[Assets]],Table25[[#All],[Bought]])</f>
        <v>3556</v>
      </c>
      <c r="I1383">
        <f>SUMIF(Table25[[#All],[Assets]],Table25[[#This Row],[Assets]],Table25[[#All],[Bought Amount]])</f>
        <v>10249.890000000001</v>
      </c>
      <c r="J1383" s="88">
        <f>IF(Table25[[#This Row],[Number of stocks]]&lt;0,Table25[[#This Row],[Number of stocks]],0)</f>
        <v>-130</v>
      </c>
      <c r="K1383" s="5">
        <f>Table25[[#This Row],[Sold]]*Table25[[#This Row],[Price]]</f>
        <v>-252.2</v>
      </c>
      <c r="L1383" s="8">
        <f>ABS(SUMIF(Table25[[#All],[Assets]],Table25[[#This Row],[Assets]],Table25[[#All],[Sold]]))</f>
        <v>2741</v>
      </c>
      <c r="M1383" s="5">
        <f>ABS(SUMIF(Table25[[#All],[Assets]],Table25[[#This Row],[Assets]],Table25[[#All],[Sold Amount]]))</f>
        <v>6559.66</v>
      </c>
      <c r="N1383" s="5">
        <f>IFERROR(Table25[[#This Row],[Total sold amount]]/Table25[[#This Row],[Total Sold number of stocks]],"")</f>
        <v>2.3931630791681866</v>
      </c>
      <c r="O1383" s="4">
        <f>IFERROR(Table25[[#This Row],[Total Amount bought]]/Table25[[#This Row],[Total number bought]],"")</f>
        <v>2.8824212598425198</v>
      </c>
      <c r="P1383" s="4">
        <f>IFERROR((Table25[[#This Row],[Average sell price]]-Table25[[#This Row],[Average buy price]])*Table25[[#This Row],[Total Sold number of stocks]],0)</f>
        <v>-1341.0566732283473</v>
      </c>
      <c r="Q1383" s="85">
        <f>SUMIF(Table25[[#All],[Assets]],Table25[[#This Row],[Assets]],Table25[[#All],[Number of stocks]])</f>
        <v>815</v>
      </c>
    </row>
    <row r="1384" spans="1:17">
      <c r="A1384" t="e" vm="568">
        <v>#VALUE!</v>
      </c>
      <c r="B1384" s="2">
        <v>45852</v>
      </c>
      <c r="C1384" t="str" cm="1">
        <f t="array" aca="1" ref="C1384" ca="1">_FV(A1384,"Ticker symbol",TRUE)</f>
        <v>LRMR</v>
      </c>
      <c r="D1384" s="4">
        <v>3.46</v>
      </c>
      <c r="E1384" s="50">
        <v>130</v>
      </c>
      <c r="F1384" s="81">
        <f>IF(Table25[[#This Row],[Number of stocks]]&gt;0,Table25[[#This Row],[Number of stocks]],0)</f>
        <v>130</v>
      </c>
      <c r="G1384" s="73">
        <f>Table25[[#This Row],[Bought]]*Table25[[#This Row],[Price]]</f>
        <v>449.8</v>
      </c>
      <c r="H1384">
        <f>SUMIF(Table25[[#All],[Assets]],Table25[[#This Row],[Assets]],Table25[[#All],[Bought]])</f>
        <v>130</v>
      </c>
      <c r="I1384">
        <f>SUMIF(Table25[[#All],[Assets]],Table25[[#This Row],[Assets]],Table25[[#All],[Bought Amount]])</f>
        <v>449.8</v>
      </c>
      <c r="J1384" s="88">
        <f>IF(Table25[[#This Row],[Number of stocks]]&lt;0,Table25[[#This Row],[Number of stocks]],0)</f>
        <v>0</v>
      </c>
      <c r="K1384" s="5">
        <f>Table25[[#This Row],[Sold]]*Table25[[#This Row],[Price]]</f>
        <v>0</v>
      </c>
      <c r="L1384" s="8">
        <f>ABS(SUMIF(Table25[[#All],[Assets]],Table25[[#This Row],[Assets]],Table25[[#All],[Sold]]))</f>
        <v>130</v>
      </c>
      <c r="M1384" s="5">
        <f>ABS(SUMIF(Table25[[#All],[Assets]],Table25[[#This Row],[Assets]],Table25[[#All],[Sold Amount]]))</f>
        <v>475.79999999999995</v>
      </c>
      <c r="N1384" s="5">
        <f>IFERROR(Table25[[#This Row],[Total sold amount]]/Table25[[#This Row],[Total Sold number of stocks]],"")</f>
        <v>3.6599999999999997</v>
      </c>
      <c r="O1384" s="4">
        <f>IFERROR(Table25[[#This Row],[Total Amount bought]]/Table25[[#This Row],[Total number bought]],"")</f>
        <v>3.46</v>
      </c>
      <c r="P1384" s="4">
        <f>IFERROR((Table25[[#This Row],[Average sell price]]-Table25[[#This Row],[Average buy price]])*Table25[[#This Row],[Total Sold number of stocks]],0)</f>
        <v>25.999999999999964</v>
      </c>
      <c r="Q1384" s="85">
        <f>SUMIF(Table25[[#All],[Assets]],Table25[[#This Row],[Assets]],Table25[[#All],[Number of stocks]])</f>
        <v>0</v>
      </c>
    </row>
    <row r="1385" spans="1:17">
      <c r="A1385" t="e" vm="86">
        <v>#VALUE!</v>
      </c>
      <c r="B1385" s="2">
        <v>45853</v>
      </c>
      <c r="C1385" t="str" cm="1">
        <f t="array" aca="1" ref="C1385" ca="1">_FV(A1385,"Ticker symbol",TRUE)</f>
        <v>BULL</v>
      </c>
      <c r="D1385" s="4">
        <v>12.63</v>
      </c>
      <c r="E1385" s="50">
        <v>-40</v>
      </c>
      <c r="F1385" s="81">
        <f>IF(Table25[[#This Row],[Number of stocks]]&gt;0,Table25[[#This Row],[Number of stocks]],0)</f>
        <v>0</v>
      </c>
      <c r="G1385" s="73">
        <f>Table25[[#This Row],[Bought]]*Table25[[#This Row],[Price]]</f>
        <v>0</v>
      </c>
      <c r="H1385">
        <f>SUMIF(Table25[[#All],[Assets]],Table25[[#This Row],[Assets]],Table25[[#All],[Bought]])</f>
        <v>40</v>
      </c>
      <c r="I1385">
        <f>SUMIF(Table25[[#All],[Assets]],Table25[[#This Row],[Assets]],Table25[[#All],[Bought Amount]])</f>
        <v>492</v>
      </c>
      <c r="J1385" s="88">
        <f>IF(Table25[[#This Row],[Number of stocks]]&lt;0,Table25[[#This Row],[Number of stocks]],0)</f>
        <v>-40</v>
      </c>
      <c r="K1385" s="5">
        <f>Table25[[#This Row],[Sold]]*Table25[[#This Row],[Price]]</f>
        <v>-505.20000000000005</v>
      </c>
      <c r="L1385" s="8">
        <f>ABS(SUMIF(Table25[[#All],[Assets]],Table25[[#This Row],[Assets]],Table25[[#All],[Sold]]))</f>
        <v>40</v>
      </c>
      <c r="M1385" s="5">
        <f>ABS(SUMIF(Table25[[#All],[Assets]],Table25[[#This Row],[Assets]],Table25[[#All],[Sold Amount]]))</f>
        <v>505.20000000000005</v>
      </c>
      <c r="N1385" s="5">
        <f>IFERROR(Table25[[#This Row],[Total sold amount]]/Table25[[#This Row],[Total Sold number of stocks]],"")</f>
        <v>12.63</v>
      </c>
      <c r="O1385" s="4">
        <f>IFERROR(Table25[[#This Row],[Total Amount bought]]/Table25[[#This Row],[Total number bought]],"")</f>
        <v>12.3</v>
      </c>
      <c r="P1385" s="4">
        <f>IFERROR((Table25[[#This Row],[Average sell price]]-Table25[[#This Row],[Average buy price]])*Table25[[#This Row],[Total Sold number of stocks]],0)</f>
        <v>13.200000000000003</v>
      </c>
      <c r="Q1385" s="85">
        <f>SUMIF(Table25[[#All],[Assets]],Table25[[#This Row],[Assets]],Table25[[#All],[Number of stocks]])</f>
        <v>0</v>
      </c>
    </row>
    <row r="1386" spans="1:17">
      <c r="A1386" t="e" vm="73">
        <v>#VALUE!</v>
      </c>
      <c r="B1386" s="2">
        <v>45853</v>
      </c>
      <c r="C1386" t="str" cm="1">
        <f t="array" aca="1" ref="C1386" ca="1">_FV(A1386,"Ticker symbol",TRUE)</f>
        <v>NOTV</v>
      </c>
      <c r="D1386" s="4">
        <v>1.95</v>
      </c>
      <c r="E1386" s="50">
        <v>-400</v>
      </c>
      <c r="F1386" s="81">
        <f>IF(Table25[[#This Row],[Number of stocks]]&gt;0,Table25[[#This Row],[Number of stocks]],0)</f>
        <v>0</v>
      </c>
      <c r="G1386" s="73">
        <f>Table25[[#This Row],[Bought]]*Table25[[#This Row],[Price]]</f>
        <v>0</v>
      </c>
      <c r="H1386">
        <f>SUMIF(Table25[[#All],[Assets]],Table25[[#This Row],[Assets]],Table25[[#All],[Bought]])</f>
        <v>3556</v>
      </c>
      <c r="I1386">
        <f>SUMIF(Table25[[#All],[Assets]],Table25[[#This Row],[Assets]],Table25[[#All],[Bought Amount]])</f>
        <v>10249.890000000001</v>
      </c>
      <c r="J1386" s="88">
        <f>IF(Table25[[#This Row],[Number of stocks]]&lt;0,Table25[[#This Row],[Number of stocks]],0)</f>
        <v>-400</v>
      </c>
      <c r="K1386" s="5">
        <f>Table25[[#This Row],[Sold]]*Table25[[#This Row],[Price]]</f>
        <v>-780</v>
      </c>
      <c r="L1386" s="8">
        <f>ABS(SUMIF(Table25[[#All],[Assets]],Table25[[#This Row],[Assets]],Table25[[#All],[Sold]]))</f>
        <v>2741</v>
      </c>
      <c r="M1386" s="5">
        <f>ABS(SUMIF(Table25[[#All],[Assets]],Table25[[#This Row],[Assets]],Table25[[#All],[Sold Amount]]))</f>
        <v>6559.66</v>
      </c>
      <c r="N1386" s="5">
        <f>IFERROR(Table25[[#This Row],[Total sold amount]]/Table25[[#This Row],[Total Sold number of stocks]],"")</f>
        <v>2.3931630791681866</v>
      </c>
      <c r="O1386" s="4">
        <f>IFERROR(Table25[[#This Row],[Total Amount bought]]/Table25[[#This Row],[Total number bought]],"")</f>
        <v>2.8824212598425198</v>
      </c>
      <c r="P1386" s="4">
        <f>IFERROR((Table25[[#This Row],[Average sell price]]-Table25[[#This Row],[Average buy price]])*Table25[[#This Row],[Total Sold number of stocks]],0)</f>
        <v>-1341.0566732283473</v>
      </c>
      <c r="Q1386" s="85">
        <f>SUMIF(Table25[[#All],[Assets]],Table25[[#This Row],[Assets]],Table25[[#All],[Number of stocks]])</f>
        <v>815</v>
      </c>
    </row>
    <row r="1387" spans="1:17">
      <c r="A1387" t="e" vm="39">
        <v>#VALUE!</v>
      </c>
      <c r="B1387" s="2">
        <v>45853</v>
      </c>
      <c r="C1387" t="str" cm="1">
        <f t="array" aca="1" ref="C1387" ca="1">_FV(A1387,"Ticker symbol",TRUE)</f>
        <v>AMSC</v>
      </c>
      <c r="D1387" s="4">
        <v>40.86</v>
      </c>
      <c r="E1387" s="50">
        <v>-30</v>
      </c>
      <c r="F1387" s="81">
        <f>IF(Table25[[#This Row],[Number of stocks]]&gt;0,Table25[[#This Row],[Number of stocks]],0)</f>
        <v>0</v>
      </c>
      <c r="G1387" s="73">
        <f>Table25[[#This Row],[Bought]]*Table25[[#This Row],[Price]]</f>
        <v>0</v>
      </c>
      <c r="H1387">
        <f>SUMIF(Table25[[#All],[Assets]],Table25[[#This Row],[Assets]],Table25[[#All],[Bought]])</f>
        <v>812.4</v>
      </c>
      <c r="I1387">
        <f>SUMIF(Table25[[#All],[Assets]],Table25[[#This Row],[Assets]],Table25[[#All],[Bought Amount]])</f>
        <v>24146.880000000001</v>
      </c>
      <c r="J1387" s="88">
        <f>IF(Table25[[#This Row],[Number of stocks]]&lt;0,Table25[[#This Row],[Number of stocks]],0)</f>
        <v>-30</v>
      </c>
      <c r="K1387" s="5">
        <f>Table25[[#This Row],[Sold]]*Table25[[#This Row],[Price]]</f>
        <v>-1225.8</v>
      </c>
      <c r="L1387" s="8">
        <f>ABS(SUMIF(Table25[[#All],[Assets]],Table25[[#This Row],[Assets]],Table25[[#All],[Sold]]))</f>
        <v>535</v>
      </c>
      <c r="M1387" s="5">
        <f>ABS(SUMIF(Table25[[#All],[Assets]],Table25[[#This Row],[Assets]],Table25[[#All],[Sold Amount]]))</f>
        <v>14777.289999999999</v>
      </c>
      <c r="N1387" s="5">
        <f>IFERROR(Table25[[#This Row],[Total sold amount]]/Table25[[#This Row],[Total Sold number of stocks]],"")</f>
        <v>27.621102803738317</v>
      </c>
      <c r="O1387" s="4">
        <f>IFERROR(Table25[[#This Row],[Total Amount bought]]/Table25[[#This Row],[Total number bought]],"")</f>
        <v>29.722895125553915</v>
      </c>
      <c r="P1387" s="4">
        <f>IFERROR((Table25[[#This Row],[Average sell price]]-Table25[[#This Row],[Average buy price]])*Table25[[#This Row],[Total Sold number of stocks]],0)</f>
        <v>-1124.4588921713448</v>
      </c>
      <c r="Q1387" s="85">
        <f>SUMIF(Table25[[#All],[Assets]],Table25[[#This Row],[Assets]],Table25[[#All],[Number of stocks]])</f>
        <v>277.39999999999998</v>
      </c>
    </row>
    <row r="1388" spans="1:17">
      <c r="A1388" t="e" vm="72">
        <v>#VALUE!</v>
      </c>
      <c r="B1388" s="2">
        <v>45853</v>
      </c>
      <c r="C1388" t="str" cm="1">
        <f t="array" aca="1" ref="C1388" ca="1">_FV(A1388,"Ticker symbol",TRUE)</f>
        <v>AIRS</v>
      </c>
      <c r="D1388" s="4">
        <v>5.24</v>
      </c>
      <c r="E1388" s="50">
        <v>-200</v>
      </c>
      <c r="F1388" s="81">
        <f>IF(Table25[[#This Row],[Number of stocks]]&gt;0,Table25[[#This Row],[Number of stocks]],0)</f>
        <v>0</v>
      </c>
      <c r="G1388" s="73">
        <f>Table25[[#This Row],[Bought]]*Table25[[#This Row],[Price]]</f>
        <v>0</v>
      </c>
      <c r="H1388">
        <f>SUMIF(Table25[[#All],[Assets]],Table25[[#This Row],[Assets]],Table25[[#All],[Bought]])</f>
        <v>2980</v>
      </c>
      <c r="I1388">
        <f>SUMIF(Table25[[#All],[Assets]],Table25[[#This Row],[Assets]],Table25[[#All],[Bought Amount]])</f>
        <v>14267.900000000001</v>
      </c>
      <c r="J1388" s="88">
        <f>IF(Table25[[#This Row],[Number of stocks]]&lt;0,Table25[[#This Row],[Number of stocks]],0)</f>
        <v>-200</v>
      </c>
      <c r="K1388" s="5">
        <f>Table25[[#This Row],[Sold]]*Table25[[#This Row],[Price]]</f>
        <v>-1048</v>
      </c>
      <c r="L1388" s="8">
        <f>ABS(SUMIF(Table25[[#All],[Assets]],Table25[[#This Row],[Assets]],Table25[[#All],[Sold]]))</f>
        <v>2360</v>
      </c>
      <c r="M1388" s="5">
        <f>ABS(SUMIF(Table25[[#All],[Assets]],Table25[[#This Row],[Assets]],Table25[[#All],[Sold Amount]]))</f>
        <v>7796.6</v>
      </c>
      <c r="N1388" s="5">
        <f>IFERROR(Table25[[#This Row],[Total sold amount]]/Table25[[#This Row],[Total Sold number of stocks]],"")</f>
        <v>3.3036440677966104</v>
      </c>
      <c r="O1388" s="4">
        <f>IFERROR(Table25[[#This Row],[Total Amount bought]]/Table25[[#This Row],[Total number bought]],"")</f>
        <v>4.7878859060402688</v>
      </c>
      <c r="P1388" s="4">
        <f>IFERROR((Table25[[#This Row],[Average sell price]]-Table25[[#This Row],[Average buy price]])*Table25[[#This Row],[Total Sold number of stocks]],0)</f>
        <v>-3502.8107382550338</v>
      </c>
      <c r="Q1388" s="85">
        <f>SUMIF(Table25[[#All],[Assets]],Table25[[#This Row],[Assets]],Table25[[#All],[Number of stocks]])</f>
        <v>620</v>
      </c>
    </row>
    <row r="1389" spans="1:17">
      <c r="A1389" t="e" vm="80">
        <v>#VALUE!</v>
      </c>
      <c r="B1389" s="2">
        <v>45853</v>
      </c>
      <c r="C1389" t="str" cm="1">
        <f t="array" aca="1" ref="C1389" ca="1">_FV(A1389,"Ticker symbol",TRUE)</f>
        <v>PYPL</v>
      </c>
      <c r="D1389" s="4">
        <v>73.7</v>
      </c>
      <c r="E1389" s="50">
        <v>-10</v>
      </c>
      <c r="F1389" s="81">
        <f>IF(Table25[[#This Row],[Number of stocks]]&gt;0,Table25[[#This Row],[Number of stocks]],0)</f>
        <v>0</v>
      </c>
      <c r="G1389" s="73">
        <f>Table25[[#This Row],[Bought]]*Table25[[#This Row],[Price]]</f>
        <v>0</v>
      </c>
      <c r="H1389">
        <f>SUMIF(Table25[[#All],[Assets]],Table25[[#This Row],[Assets]],Table25[[#All],[Bought]])</f>
        <v>223</v>
      </c>
      <c r="I1389">
        <f>SUMIF(Table25[[#All],[Assets]],Table25[[#This Row],[Assets]],Table25[[#All],[Bought Amount]])</f>
        <v>14862.050000000003</v>
      </c>
      <c r="J1389" s="88">
        <f>IF(Table25[[#This Row],[Number of stocks]]&lt;0,Table25[[#This Row],[Number of stocks]],0)</f>
        <v>-10</v>
      </c>
      <c r="K1389" s="5">
        <f>Table25[[#This Row],[Sold]]*Table25[[#This Row],[Price]]</f>
        <v>-737</v>
      </c>
      <c r="L1389" s="8">
        <f>ABS(SUMIF(Table25[[#All],[Assets]],Table25[[#This Row],[Assets]],Table25[[#All],[Sold]]))</f>
        <v>222</v>
      </c>
      <c r="M1389" s="5">
        <f>ABS(SUMIF(Table25[[#All],[Assets]],Table25[[#This Row],[Assets]],Table25[[#All],[Sold Amount]]))</f>
        <v>15255.44</v>
      </c>
      <c r="N1389" s="5">
        <f>IFERROR(Table25[[#This Row],[Total sold amount]]/Table25[[#This Row],[Total Sold number of stocks]],"")</f>
        <v>68.718198198198195</v>
      </c>
      <c r="O1389" s="4">
        <f>IFERROR(Table25[[#This Row],[Total Amount bought]]/Table25[[#This Row],[Total number bought]],"")</f>
        <v>66.645964125560553</v>
      </c>
      <c r="P1389" s="4">
        <f>IFERROR((Table25[[#This Row],[Average sell price]]-Table25[[#This Row],[Average buy price]])*Table25[[#This Row],[Total Sold number of stocks]],0)</f>
        <v>460.03596412555646</v>
      </c>
      <c r="Q1389" s="85">
        <f>SUMIF(Table25[[#All],[Assets]],Table25[[#This Row],[Assets]],Table25[[#All],[Number of stocks]])</f>
        <v>1</v>
      </c>
    </row>
    <row r="1390" spans="1:17">
      <c r="A1390" t="e" vm="253">
        <v>#VALUE!</v>
      </c>
      <c r="B1390" s="2">
        <v>45853</v>
      </c>
      <c r="C1390" t="str" cm="1">
        <f t="array" aca="1" ref="C1390" ca="1">_FV(A1390,"Ticker symbol",TRUE)</f>
        <v>QS</v>
      </c>
      <c r="D1390" s="4">
        <v>10.78</v>
      </c>
      <c r="E1390" s="50">
        <v>-100</v>
      </c>
      <c r="F1390" s="81">
        <f>IF(Table25[[#This Row],[Number of stocks]]&gt;0,Table25[[#This Row],[Number of stocks]],0)</f>
        <v>0</v>
      </c>
      <c r="G1390" s="73">
        <f>Table25[[#This Row],[Bought]]*Table25[[#This Row],[Price]]</f>
        <v>0</v>
      </c>
      <c r="H1390">
        <f>SUMIF(Table25[[#All],[Assets]],Table25[[#This Row],[Assets]],Table25[[#All],[Bought]])</f>
        <v>120</v>
      </c>
      <c r="I1390">
        <f>SUMIF(Table25[[#All],[Assets]],Table25[[#This Row],[Assets]],Table25[[#All],[Bought Amount]])</f>
        <v>702.6</v>
      </c>
      <c r="J1390" s="88">
        <f>IF(Table25[[#This Row],[Number of stocks]]&lt;0,Table25[[#This Row],[Number of stocks]],0)</f>
        <v>-100</v>
      </c>
      <c r="K1390" s="5">
        <f>Table25[[#This Row],[Sold]]*Table25[[#This Row],[Price]]</f>
        <v>-1078</v>
      </c>
      <c r="L1390" s="8">
        <f>ABS(SUMIF(Table25[[#All],[Assets]],Table25[[#This Row],[Assets]],Table25[[#All],[Sold]]))</f>
        <v>120</v>
      </c>
      <c r="M1390" s="5">
        <f>ABS(SUMIF(Table25[[#All],[Assets]],Table25[[#This Row],[Assets]],Table25[[#All],[Sold Amount]]))</f>
        <v>1188</v>
      </c>
      <c r="N1390" s="5">
        <f>IFERROR(Table25[[#This Row],[Total sold amount]]/Table25[[#This Row],[Total Sold number of stocks]],"")</f>
        <v>9.9</v>
      </c>
      <c r="O1390" s="4">
        <f>IFERROR(Table25[[#This Row],[Total Amount bought]]/Table25[[#This Row],[Total number bought]],"")</f>
        <v>5.8550000000000004</v>
      </c>
      <c r="P1390" s="4">
        <f>IFERROR((Table25[[#This Row],[Average sell price]]-Table25[[#This Row],[Average buy price]])*Table25[[#This Row],[Total Sold number of stocks]],0)</f>
        <v>485.4</v>
      </c>
      <c r="Q1390" s="85">
        <f>SUMIF(Table25[[#All],[Assets]],Table25[[#This Row],[Assets]],Table25[[#All],[Number of stocks]])</f>
        <v>0</v>
      </c>
    </row>
    <row r="1391" spans="1:17">
      <c r="A1391" t="e" vm="200">
        <v>#VALUE!</v>
      </c>
      <c r="B1391" s="2">
        <v>45853</v>
      </c>
      <c r="C1391" t="str" cm="1">
        <f t="array" aca="1" ref="C1391" ca="1">_FV(A1391,"Ticker symbol",TRUE)</f>
        <v>IMSR</v>
      </c>
      <c r="D1391" s="4">
        <v>11.23</v>
      </c>
      <c r="E1391" s="50">
        <v>-40</v>
      </c>
      <c r="F1391" s="81">
        <f>IF(Table25[[#This Row],[Number of stocks]]&gt;0,Table25[[#This Row],[Number of stocks]],0)</f>
        <v>0</v>
      </c>
      <c r="G1391" s="73">
        <f>Table25[[#This Row],[Bought]]*Table25[[#This Row],[Price]]</f>
        <v>0</v>
      </c>
      <c r="H1391">
        <f>SUMIF(Table25[[#All],[Assets]],Table25[[#This Row],[Assets]],Table25[[#All],[Bought]])</f>
        <v>386</v>
      </c>
      <c r="I1391">
        <f>SUMIF(Table25[[#All],[Assets]],Table25[[#This Row],[Assets]],Table25[[#All],[Bought Amount]])</f>
        <v>4519.0499999999993</v>
      </c>
      <c r="J1391" s="88">
        <f>IF(Table25[[#This Row],[Number of stocks]]&lt;0,Table25[[#This Row],[Number of stocks]],0)</f>
        <v>-40</v>
      </c>
      <c r="K1391" s="5">
        <f>Table25[[#This Row],[Sold]]*Table25[[#This Row],[Price]]</f>
        <v>-449.20000000000005</v>
      </c>
      <c r="L1391" s="8">
        <f>ABS(SUMIF(Table25[[#All],[Assets]],Table25[[#This Row],[Assets]],Table25[[#All],[Sold]]))</f>
        <v>288</v>
      </c>
      <c r="M1391" s="5">
        <f>ABS(SUMIF(Table25[[#All],[Assets]],Table25[[#This Row],[Assets]],Table25[[#All],[Sold Amount]]))</f>
        <v>3200.16</v>
      </c>
      <c r="N1391" s="5">
        <f>IFERROR(Table25[[#This Row],[Total sold amount]]/Table25[[#This Row],[Total Sold number of stocks]],"")</f>
        <v>11.111666666666666</v>
      </c>
      <c r="O1391" s="4">
        <f>IFERROR(Table25[[#This Row],[Total Amount bought]]/Table25[[#This Row],[Total number bought]],"")</f>
        <v>11.707383419689117</v>
      </c>
      <c r="P1391" s="4">
        <f>IFERROR((Table25[[#This Row],[Average sell price]]-Table25[[#This Row],[Average buy price]])*Table25[[#This Row],[Total Sold number of stocks]],0)</f>
        <v>-171.56642487046588</v>
      </c>
      <c r="Q1391" s="85">
        <f>SUMIF(Table25[[#All],[Assets]],Table25[[#This Row],[Assets]],Table25[[#All],[Number of stocks]])</f>
        <v>98</v>
      </c>
    </row>
    <row r="1392" spans="1:17">
      <c r="A1392" t="e" vm="239">
        <v>#VALUE!</v>
      </c>
      <c r="B1392" s="2">
        <v>45854</v>
      </c>
      <c r="C1392" t="str" cm="1">
        <f t="array" aca="1" ref="C1392" ca="1">_FV(A1392,"Ticker symbol",TRUE)</f>
        <v>U</v>
      </c>
      <c r="D1392" s="4">
        <v>33.5</v>
      </c>
      <c r="E1392" s="50">
        <v>8</v>
      </c>
      <c r="F1392" s="81">
        <f>IF(Table25[[#This Row],[Number of stocks]]&gt;0,Table25[[#This Row],[Number of stocks]],0)</f>
        <v>8</v>
      </c>
      <c r="G1392" s="73">
        <f>Table25[[#This Row],[Bought]]*Table25[[#This Row],[Price]]</f>
        <v>268</v>
      </c>
      <c r="H1392">
        <f>SUMIF(Table25[[#All],[Assets]],Table25[[#This Row],[Assets]],Table25[[#All],[Bought]])</f>
        <v>36</v>
      </c>
      <c r="I1392">
        <f>SUMIF(Table25[[#All],[Assets]],Table25[[#This Row],[Assets]],Table25[[#All],[Bought Amount]])</f>
        <v>1027.28</v>
      </c>
      <c r="J1392" s="88">
        <f>IF(Table25[[#This Row],[Number of stocks]]&lt;0,Table25[[#This Row],[Number of stocks]],0)</f>
        <v>0</v>
      </c>
      <c r="K1392" s="5">
        <f>Table25[[#This Row],[Sold]]*Table25[[#This Row],[Price]]</f>
        <v>0</v>
      </c>
      <c r="L1392" s="8">
        <f>ABS(SUMIF(Table25[[#All],[Assets]],Table25[[#This Row],[Assets]],Table25[[#All],[Sold]]))</f>
        <v>36</v>
      </c>
      <c r="M1392" s="5">
        <f>ABS(SUMIF(Table25[[#All],[Assets]],Table25[[#This Row],[Assets]],Table25[[#All],[Sold Amount]]))</f>
        <v>1089.8800000000001</v>
      </c>
      <c r="N1392" s="5">
        <f>IFERROR(Table25[[#This Row],[Total sold amount]]/Table25[[#This Row],[Total Sold number of stocks]],"")</f>
        <v>30.274444444444448</v>
      </c>
      <c r="O1392" s="4">
        <f>IFERROR(Table25[[#This Row],[Total Amount bought]]/Table25[[#This Row],[Total number bought]],"")</f>
        <v>28.535555555555554</v>
      </c>
      <c r="P1392" s="4">
        <f>IFERROR((Table25[[#This Row],[Average sell price]]-Table25[[#This Row],[Average buy price]])*Table25[[#This Row],[Total Sold number of stocks]],0)</f>
        <v>62.600000000000193</v>
      </c>
      <c r="Q1392" s="85">
        <f>SUMIF(Table25[[#All],[Assets]],Table25[[#This Row],[Assets]],Table25[[#All],[Number of stocks]])</f>
        <v>0</v>
      </c>
    </row>
    <row r="1393" spans="1:17">
      <c r="A1393" t="e" vm="21">
        <v>#VALUE!</v>
      </c>
      <c r="B1393" s="2">
        <v>45854</v>
      </c>
      <c r="C1393" t="str" cm="1">
        <f t="array" aca="1" ref="C1393" ca="1">_FV(A1393,"Ticker symbol",TRUE)</f>
        <v>INTC</v>
      </c>
      <c r="D1393" s="4">
        <v>22.74</v>
      </c>
      <c r="E1393" s="50">
        <v>-15</v>
      </c>
      <c r="F1393" s="81">
        <f>IF(Table25[[#This Row],[Number of stocks]]&gt;0,Table25[[#This Row],[Number of stocks]],0)</f>
        <v>0</v>
      </c>
      <c r="G1393" s="73">
        <f>Table25[[#This Row],[Bought]]*Table25[[#This Row],[Price]]</f>
        <v>0</v>
      </c>
      <c r="H1393">
        <f>SUMIF(Table25[[#All],[Assets]],Table25[[#This Row],[Assets]],Table25[[#All],[Bought]])</f>
        <v>334.73663899999997</v>
      </c>
      <c r="I1393">
        <f>SUMIF(Table25[[#All],[Assets]],Table25[[#This Row],[Assets]],Table25[[#All],[Bought Amount]])</f>
        <v>9755.9173948600001</v>
      </c>
      <c r="J1393" s="88">
        <f>IF(Table25[[#This Row],[Number of stocks]]&lt;0,Table25[[#This Row],[Number of stocks]],0)</f>
        <v>-15</v>
      </c>
      <c r="K1393" s="5">
        <f>Table25[[#This Row],[Sold]]*Table25[[#This Row],[Price]]</f>
        <v>-341.09999999999997</v>
      </c>
      <c r="L1393" s="8">
        <f>ABS(SUMIF(Table25[[#All],[Assets]],Table25[[#This Row],[Assets]],Table25[[#All],[Sold]]))</f>
        <v>334.74</v>
      </c>
      <c r="M1393" s="5">
        <f>ABS(SUMIF(Table25[[#All],[Assets]],Table25[[#This Row],[Assets]],Table25[[#All],[Sold Amount]]))</f>
        <v>7909.2053999999998</v>
      </c>
      <c r="N1393" s="5">
        <f>IFERROR(Table25[[#This Row],[Total sold amount]]/Table25[[#This Row],[Total Sold number of stocks]],"")</f>
        <v>23.627906434844952</v>
      </c>
      <c r="O1393" s="4">
        <f>IFERROR(Table25[[#This Row],[Total Amount bought]]/Table25[[#This Row],[Total number bought]],"")</f>
        <v>29.145053926588542</v>
      </c>
      <c r="P1393" s="4">
        <f>IFERROR((Table25[[#This Row],[Average sell price]]-Table25[[#This Row],[Average buy price]])*Table25[[#This Row],[Total Sold number of stocks]],0)</f>
        <v>-1846.8099513862492</v>
      </c>
      <c r="Q1393" s="85">
        <f>SUMIF(Table25[[#All],[Assets]],Table25[[#This Row],[Assets]],Table25[[#All],[Number of stocks]])</f>
        <v>-3.3610000000123819E-3</v>
      </c>
    </row>
    <row r="1394" spans="1:17">
      <c r="A1394" t="e" vm="27">
        <v>#VALUE!</v>
      </c>
      <c r="B1394" s="2">
        <v>45854</v>
      </c>
      <c r="C1394" t="str" cm="1">
        <f t="array" aca="1" ref="C1394" ca="1">_FV(A1394,"Ticker symbol",TRUE)</f>
        <v>ASML</v>
      </c>
      <c r="D1394" s="4">
        <v>734.37</v>
      </c>
      <c r="E1394" s="50">
        <v>1</v>
      </c>
      <c r="F1394" s="81">
        <f>IF(Table25[[#This Row],[Number of stocks]]&gt;0,Table25[[#This Row],[Number of stocks]],0)</f>
        <v>1</v>
      </c>
      <c r="G1394" s="73">
        <f>Table25[[#This Row],[Bought]]*Table25[[#This Row],[Price]]</f>
        <v>734.37</v>
      </c>
      <c r="H1394">
        <f>SUMIF(Table25[[#All],[Assets]],Table25[[#This Row],[Assets]],Table25[[#All],[Bought]])</f>
        <v>2</v>
      </c>
      <c r="I1394">
        <f>SUMIF(Table25[[#All],[Assets]],Table25[[#This Row],[Assets]],Table25[[#All],[Bought Amount]])</f>
        <v>1444.51</v>
      </c>
      <c r="J1394" s="88">
        <f>IF(Table25[[#This Row],[Number of stocks]]&lt;0,Table25[[#This Row],[Number of stocks]],0)</f>
        <v>0</v>
      </c>
      <c r="K1394" s="5">
        <f>Table25[[#This Row],[Sold]]*Table25[[#This Row],[Price]]</f>
        <v>0</v>
      </c>
      <c r="L1394" s="8">
        <f>ABS(SUMIF(Table25[[#All],[Assets]],Table25[[#This Row],[Assets]],Table25[[#All],[Sold]]))</f>
        <v>2</v>
      </c>
      <c r="M1394" s="5">
        <f>ABS(SUMIF(Table25[[#All],[Assets]],Table25[[#This Row],[Assets]],Table25[[#All],[Sold Amount]]))</f>
        <v>1468.0900000000001</v>
      </c>
      <c r="N1394" s="5">
        <f>IFERROR(Table25[[#This Row],[Total sold amount]]/Table25[[#This Row],[Total Sold number of stocks]],"")</f>
        <v>734.04500000000007</v>
      </c>
      <c r="O1394" s="4">
        <f>IFERROR(Table25[[#This Row],[Total Amount bought]]/Table25[[#This Row],[Total number bought]],"")</f>
        <v>722.255</v>
      </c>
      <c r="P1394" s="4">
        <f>IFERROR((Table25[[#This Row],[Average sell price]]-Table25[[#This Row],[Average buy price]])*Table25[[#This Row],[Total Sold number of stocks]],0)</f>
        <v>23.580000000000155</v>
      </c>
      <c r="Q1394" s="85">
        <f>SUMIF(Table25[[#All],[Assets]],Table25[[#This Row],[Assets]],Table25[[#All],[Number of stocks]])</f>
        <v>0</v>
      </c>
    </row>
    <row r="1395" spans="1:17">
      <c r="A1395" t="e" vm="239">
        <v>#VALUE!</v>
      </c>
      <c r="B1395" s="2">
        <v>45854</v>
      </c>
      <c r="C1395" t="str" cm="1">
        <f t="array" aca="1" ref="C1395" ca="1">_FV(A1395,"Ticker symbol",TRUE)</f>
        <v>U</v>
      </c>
      <c r="D1395" s="4">
        <v>33.76</v>
      </c>
      <c r="E1395" s="50">
        <v>8</v>
      </c>
      <c r="F1395" s="81">
        <f>IF(Table25[[#This Row],[Number of stocks]]&gt;0,Table25[[#This Row],[Number of stocks]],0)</f>
        <v>8</v>
      </c>
      <c r="G1395" s="73">
        <f>Table25[[#This Row],[Bought]]*Table25[[#This Row],[Price]]</f>
        <v>270.08</v>
      </c>
      <c r="H1395">
        <f>SUMIF(Table25[[#All],[Assets]],Table25[[#This Row],[Assets]],Table25[[#All],[Bought]])</f>
        <v>36</v>
      </c>
      <c r="I1395">
        <f>SUMIF(Table25[[#All],[Assets]],Table25[[#This Row],[Assets]],Table25[[#All],[Bought Amount]])</f>
        <v>1027.28</v>
      </c>
      <c r="J1395" s="88">
        <f>IF(Table25[[#This Row],[Number of stocks]]&lt;0,Table25[[#This Row],[Number of stocks]],0)</f>
        <v>0</v>
      </c>
      <c r="K1395" s="5">
        <f>Table25[[#This Row],[Sold]]*Table25[[#This Row],[Price]]</f>
        <v>0</v>
      </c>
      <c r="L1395" s="8">
        <f>ABS(SUMIF(Table25[[#All],[Assets]],Table25[[#This Row],[Assets]],Table25[[#All],[Sold]]))</f>
        <v>36</v>
      </c>
      <c r="M1395" s="5">
        <f>ABS(SUMIF(Table25[[#All],[Assets]],Table25[[#This Row],[Assets]],Table25[[#All],[Sold Amount]]))</f>
        <v>1089.8800000000001</v>
      </c>
      <c r="N1395" s="5">
        <f>IFERROR(Table25[[#This Row],[Total sold amount]]/Table25[[#This Row],[Total Sold number of stocks]],"")</f>
        <v>30.274444444444448</v>
      </c>
      <c r="O1395" s="4">
        <f>IFERROR(Table25[[#This Row],[Total Amount bought]]/Table25[[#This Row],[Total number bought]],"")</f>
        <v>28.535555555555554</v>
      </c>
      <c r="P1395" s="4">
        <f>IFERROR((Table25[[#This Row],[Average sell price]]-Table25[[#This Row],[Average buy price]])*Table25[[#This Row],[Total Sold number of stocks]],0)</f>
        <v>62.600000000000193</v>
      </c>
      <c r="Q1395" s="85">
        <f>SUMIF(Table25[[#All],[Assets]],Table25[[#This Row],[Assets]],Table25[[#All],[Number of stocks]])</f>
        <v>0</v>
      </c>
    </row>
    <row r="1396" spans="1:17">
      <c r="A1396" t="e" vm="565">
        <v>#VALUE!</v>
      </c>
      <c r="B1396" s="2">
        <v>45854</v>
      </c>
      <c r="C1396" t="str" cm="1">
        <f t="array" aca="1" ref="C1396" ca="1">_FV(A1396,"Ticker symbol",TRUE)</f>
        <v>SBET</v>
      </c>
      <c r="D1396" s="4">
        <v>33.83</v>
      </c>
      <c r="E1396" s="50">
        <v>-10</v>
      </c>
      <c r="F1396" s="81">
        <f>IF(Table25[[#This Row],[Number of stocks]]&gt;0,Table25[[#This Row],[Number of stocks]],0)</f>
        <v>0</v>
      </c>
      <c r="G1396" s="73">
        <f>Table25[[#This Row],[Bought]]*Table25[[#This Row],[Price]]</f>
        <v>0</v>
      </c>
      <c r="H1396">
        <f>SUMIF(Table25[[#All],[Assets]],Table25[[#This Row],[Assets]],Table25[[#All],[Bought]])</f>
        <v>54</v>
      </c>
      <c r="I1396">
        <f>SUMIF(Table25[[#All],[Assets]],Table25[[#This Row],[Assets]],Table25[[#All],[Bought Amount]])</f>
        <v>751.68</v>
      </c>
      <c r="J1396" s="88">
        <f>IF(Table25[[#This Row],[Number of stocks]]&lt;0,Table25[[#This Row],[Number of stocks]],0)</f>
        <v>-10</v>
      </c>
      <c r="K1396" s="5">
        <f>Table25[[#This Row],[Sold]]*Table25[[#This Row],[Price]]</f>
        <v>-338.29999999999995</v>
      </c>
      <c r="L1396" s="8">
        <f>ABS(SUMIF(Table25[[#All],[Assets]],Table25[[#This Row],[Assets]],Table25[[#All],[Sold]]))</f>
        <v>54</v>
      </c>
      <c r="M1396" s="5">
        <f>ABS(SUMIF(Table25[[#All],[Assets]],Table25[[#This Row],[Assets]],Table25[[#All],[Sold Amount]]))</f>
        <v>1323.46</v>
      </c>
      <c r="N1396" s="5">
        <f>IFERROR(Table25[[#This Row],[Total sold amount]]/Table25[[#This Row],[Total Sold number of stocks]],"")</f>
        <v>24.508518518518517</v>
      </c>
      <c r="O1396" s="4">
        <f>IFERROR(Table25[[#This Row],[Total Amount bought]]/Table25[[#This Row],[Total number bought]],"")</f>
        <v>13.92</v>
      </c>
      <c r="P1396" s="4">
        <f>IFERROR((Table25[[#This Row],[Average sell price]]-Table25[[#This Row],[Average buy price]])*Table25[[#This Row],[Total Sold number of stocks]],0)</f>
        <v>571.78</v>
      </c>
      <c r="Q1396" s="85">
        <f>SUMIF(Table25[[#All],[Assets]],Table25[[#This Row],[Assets]],Table25[[#All],[Number of stocks]])</f>
        <v>0</v>
      </c>
    </row>
    <row r="1397" spans="1:17">
      <c r="A1397" t="e" vm="34">
        <v>#VALUE!</v>
      </c>
      <c r="B1397" s="2">
        <v>45854</v>
      </c>
      <c r="C1397" t="str" cm="1">
        <f t="array" aca="1" ref="C1397" ca="1">_FV(A1397,"Ticker symbol",TRUE)</f>
        <v>TSM</v>
      </c>
      <c r="D1397" s="4">
        <v>235.82</v>
      </c>
      <c r="E1397" s="50">
        <v>1</v>
      </c>
      <c r="F1397" s="81">
        <f>IF(Table25[[#This Row],[Number of stocks]]&gt;0,Table25[[#This Row],[Number of stocks]],0)</f>
        <v>1</v>
      </c>
      <c r="G1397" s="73">
        <f>Table25[[#This Row],[Bought]]*Table25[[#This Row],[Price]]</f>
        <v>235.82</v>
      </c>
      <c r="H1397">
        <f>SUMIF(Table25[[#All],[Assets]],Table25[[#This Row],[Assets]],Table25[[#All],[Bought]])</f>
        <v>45</v>
      </c>
      <c r="I1397">
        <f>SUMIF(Table25[[#All],[Assets]],Table25[[#This Row],[Assets]],Table25[[#All],[Bought Amount]])</f>
        <v>7503.4800000000005</v>
      </c>
      <c r="J1397" s="88">
        <f>IF(Table25[[#This Row],[Number of stocks]]&lt;0,Table25[[#This Row],[Number of stocks]],0)</f>
        <v>0</v>
      </c>
      <c r="K1397" s="5">
        <f>Table25[[#This Row],[Sold]]*Table25[[#This Row],[Price]]</f>
        <v>0</v>
      </c>
      <c r="L1397" s="8">
        <f>ABS(SUMIF(Table25[[#All],[Assets]],Table25[[#This Row],[Assets]],Table25[[#All],[Sold]]))</f>
        <v>44</v>
      </c>
      <c r="M1397" s="5">
        <f>ABS(SUMIF(Table25[[#All],[Assets]],Table25[[#This Row],[Assets]],Table25[[#All],[Sold Amount]]))</f>
        <v>7951.28</v>
      </c>
      <c r="N1397" s="5">
        <f>IFERROR(Table25[[#This Row],[Total sold amount]]/Table25[[#This Row],[Total Sold number of stocks]],"")</f>
        <v>180.7109090909091</v>
      </c>
      <c r="O1397" s="4">
        <f>IFERROR(Table25[[#This Row],[Total Amount bought]]/Table25[[#This Row],[Total number bought]],"")</f>
        <v>166.744</v>
      </c>
      <c r="P1397" s="4">
        <f>IFERROR((Table25[[#This Row],[Average sell price]]-Table25[[#This Row],[Average buy price]])*Table25[[#This Row],[Total Sold number of stocks]],0)</f>
        <v>614.54400000000032</v>
      </c>
      <c r="Q1397" s="85">
        <f>SUMIF(Table25[[#All],[Assets]],Table25[[#This Row],[Assets]],Table25[[#All],[Number of stocks]])</f>
        <v>1</v>
      </c>
    </row>
    <row r="1398" spans="1:17">
      <c r="A1398" t="e" vm="569">
        <v>#VALUE!</v>
      </c>
      <c r="B1398" s="2">
        <v>45855</v>
      </c>
      <c r="C1398" t="str" cm="1">
        <f t="array" aca="1" ref="C1398" ca="1">_FV(A1398,"Ticker symbol",TRUE)</f>
        <v>PGR</v>
      </c>
      <c r="D1398" s="4">
        <v>246.04</v>
      </c>
      <c r="E1398" s="50">
        <v>2</v>
      </c>
      <c r="F1398" s="81">
        <f>IF(Table25[[#This Row],[Number of stocks]]&gt;0,Table25[[#This Row],[Number of stocks]],0)</f>
        <v>2</v>
      </c>
      <c r="G1398" s="73">
        <f>Table25[[#This Row],[Bought]]*Table25[[#This Row],[Price]]</f>
        <v>492.08</v>
      </c>
      <c r="H1398">
        <f>SUMIF(Table25[[#All],[Assets]],Table25[[#This Row],[Assets]],Table25[[#All],[Bought]])</f>
        <v>2</v>
      </c>
      <c r="I1398">
        <f>SUMIF(Table25[[#All],[Assets]],Table25[[#This Row],[Assets]],Table25[[#All],[Bought Amount]])</f>
        <v>492.08</v>
      </c>
      <c r="J1398" s="88">
        <f>IF(Table25[[#This Row],[Number of stocks]]&lt;0,Table25[[#This Row],[Number of stocks]],0)</f>
        <v>0</v>
      </c>
      <c r="K1398" s="5">
        <f>Table25[[#This Row],[Sold]]*Table25[[#This Row],[Price]]</f>
        <v>0</v>
      </c>
      <c r="L1398" s="8">
        <f>ABS(SUMIF(Table25[[#All],[Assets]],Table25[[#This Row],[Assets]],Table25[[#All],[Sold]]))</f>
        <v>2</v>
      </c>
      <c r="M1398" s="5">
        <f>ABS(SUMIF(Table25[[#All],[Assets]],Table25[[#This Row],[Assets]],Table25[[#All],[Sold Amount]]))</f>
        <v>495.98</v>
      </c>
      <c r="N1398" s="5">
        <f>IFERROR(Table25[[#This Row],[Total sold amount]]/Table25[[#This Row],[Total Sold number of stocks]],"")</f>
        <v>247.99</v>
      </c>
      <c r="O1398" s="4">
        <f>IFERROR(Table25[[#This Row],[Total Amount bought]]/Table25[[#This Row],[Total number bought]],"")</f>
        <v>246.04</v>
      </c>
      <c r="P1398" s="4">
        <f>IFERROR((Table25[[#This Row],[Average sell price]]-Table25[[#This Row],[Average buy price]])*Table25[[#This Row],[Total Sold number of stocks]],0)</f>
        <v>3.9000000000000341</v>
      </c>
      <c r="Q1398" s="85">
        <f>SUMIF(Table25[[#All],[Assets]],Table25[[#This Row],[Assets]],Table25[[#All],[Number of stocks]])</f>
        <v>0</v>
      </c>
    </row>
    <row r="1399" spans="1:17">
      <c r="A1399" t="e" vm="12">
        <v>#VALUE!</v>
      </c>
      <c r="B1399" s="2">
        <v>45855</v>
      </c>
      <c r="C1399" t="str" cm="1">
        <f t="array" aca="1" ref="C1399" ca="1">_FV(A1399,"Ticker symbol",TRUE)</f>
        <v>TER</v>
      </c>
      <c r="D1399" s="4">
        <v>92.53</v>
      </c>
      <c r="E1399" s="50">
        <v>9</v>
      </c>
      <c r="F1399" s="81">
        <f>IF(Table25[[#This Row],[Number of stocks]]&gt;0,Table25[[#This Row],[Number of stocks]],0)</f>
        <v>9</v>
      </c>
      <c r="G1399" s="73">
        <f>Table25[[#This Row],[Bought]]*Table25[[#This Row],[Price]]</f>
        <v>832.77</v>
      </c>
      <c r="H1399">
        <f>SUMIF(Table25[[#All],[Assets]],Table25[[#This Row],[Assets]],Table25[[#All],[Bought]])</f>
        <v>37</v>
      </c>
      <c r="I1399">
        <f>SUMIF(Table25[[#All],[Assets]],Table25[[#This Row],[Assets]],Table25[[#All],[Bought Amount]])</f>
        <v>4100.1100000000006</v>
      </c>
      <c r="J1399" s="88">
        <f>IF(Table25[[#This Row],[Number of stocks]]&lt;0,Table25[[#This Row],[Number of stocks]],0)</f>
        <v>0</v>
      </c>
      <c r="K1399" s="5">
        <f>Table25[[#This Row],[Sold]]*Table25[[#This Row],[Price]]</f>
        <v>0</v>
      </c>
      <c r="L1399" s="8">
        <f>ABS(SUMIF(Table25[[#All],[Assets]],Table25[[#This Row],[Assets]],Table25[[#All],[Sold]]))</f>
        <v>16</v>
      </c>
      <c r="M1399" s="5">
        <f>ABS(SUMIF(Table25[[#All],[Assets]],Table25[[#This Row],[Assets]],Table25[[#All],[Sold Amount]]))</f>
        <v>2853.3999999999996</v>
      </c>
      <c r="N1399" s="5">
        <f>IFERROR(Table25[[#This Row],[Total sold amount]]/Table25[[#This Row],[Total Sold number of stocks]],"")</f>
        <v>178.33749999999998</v>
      </c>
      <c r="O1399" s="4">
        <f>IFERROR(Table25[[#This Row],[Total Amount bought]]/Table25[[#This Row],[Total number bought]],"")</f>
        <v>110.8137837837838</v>
      </c>
      <c r="P1399" s="4">
        <f>IFERROR((Table25[[#This Row],[Average sell price]]-Table25[[#This Row],[Average buy price]])*Table25[[#This Row],[Total Sold number of stocks]],0)</f>
        <v>1080.3794594594588</v>
      </c>
      <c r="Q1399" s="85">
        <f>SUMIF(Table25[[#All],[Assets]],Table25[[#This Row],[Assets]],Table25[[#All],[Number of stocks]])</f>
        <v>21</v>
      </c>
    </row>
    <row r="1400" spans="1:17">
      <c r="A1400" t="e" vm="19">
        <v>#VALUE!</v>
      </c>
      <c r="B1400" s="2">
        <v>45856</v>
      </c>
      <c r="C1400" t="str" cm="1">
        <f t="array" aca="1" ref="C1400" ca="1">_FV(A1400,"Ticker symbol",TRUE)</f>
        <v>OUST</v>
      </c>
      <c r="D1400" s="4">
        <v>28.39</v>
      </c>
      <c r="E1400" s="50">
        <v>-25</v>
      </c>
      <c r="F1400" s="81">
        <f>IF(Table25[[#This Row],[Number of stocks]]&gt;0,Table25[[#This Row],[Number of stocks]],0)</f>
        <v>0</v>
      </c>
      <c r="G1400" s="73">
        <f>Table25[[#This Row],[Bought]]*Table25[[#This Row],[Price]]</f>
        <v>0</v>
      </c>
      <c r="H1400">
        <f>SUMIF(Table25[[#All],[Assets]],Table25[[#This Row],[Assets]],Table25[[#All],[Bought]])</f>
        <v>324</v>
      </c>
      <c r="I1400">
        <f>SUMIF(Table25[[#All],[Assets]],Table25[[#This Row],[Assets]],Table25[[#All],[Bought Amount]])</f>
        <v>4403.8500000000004</v>
      </c>
      <c r="J1400" s="88">
        <f>IF(Table25[[#This Row],[Number of stocks]]&lt;0,Table25[[#This Row],[Number of stocks]],0)</f>
        <v>-25</v>
      </c>
      <c r="K1400" s="5">
        <f>Table25[[#This Row],[Sold]]*Table25[[#This Row],[Price]]</f>
        <v>-709.75</v>
      </c>
      <c r="L1400" s="8">
        <f>ABS(SUMIF(Table25[[#All],[Assets]],Table25[[#This Row],[Assets]],Table25[[#All],[Sold]]))</f>
        <v>299</v>
      </c>
      <c r="M1400" s="5">
        <f>ABS(SUMIF(Table25[[#All],[Assets]],Table25[[#This Row],[Assets]],Table25[[#All],[Sold Amount]]))</f>
        <v>6222.84</v>
      </c>
      <c r="N1400" s="5">
        <f>IFERROR(Table25[[#This Row],[Total sold amount]]/Table25[[#This Row],[Total Sold number of stocks]],"")</f>
        <v>20.81217391304348</v>
      </c>
      <c r="O1400" s="4">
        <f>IFERROR(Table25[[#This Row],[Total Amount bought]]/Table25[[#This Row],[Total number bought]],"")</f>
        <v>13.59212962962963</v>
      </c>
      <c r="P1400" s="4">
        <f>IFERROR((Table25[[#This Row],[Average sell price]]-Table25[[#This Row],[Average buy price]])*Table25[[#This Row],[Total Sold number of stocks]],0)</f>
        <v>2158.7932407407411</v>
      </c>
      <c r="Q1400" s="85">
        <f>SUMIF(Table25[[#All],[Assets]],Table25[[#This Row],[Assets]],Table25[[#All],[Number of stocks]])</f>
        <v>25</v>
      </c>
    </row>
    <row r="1401" spans="1:17">
      <c r="A1401" t="e" vm="15">
        <v>#VALUE!</v>
      </c>
      <c r="B1401" s="2">
        <v>45856</v>
      </c>
      <c r="C1401" t="str" cm="1">
        <f t="array" aca="1" ref="C1401" ca="1">_FV(A1401,"Ticker symbol",TRUE)</f>
        <v>INDI</v>
      </c>
      <c r="D1401" s="4">
        <v>4.97</v>
      </c>
      <c r="E1401" s="50">
        <v>140</v>
      </c>
      <c r="F1401" s="81">
        <f>IF(Table25[[#This Row],[Number of stocks]]&gt;0,Table25[[#This Row],[Number of stocks]],0)</f>
        <v>140</v>
      </c>
      <c r="G1401" s="73">
        <f>Table25[[#This Row],[Bought]]*Table25[[#This Row],[Price]]</f>
        <v>695.8</v>
      </c>
      <c r="H1401">
        <f>SUMIF(Table25[[#All],[Assets]],Table25[[#This Row],[Assets]],Table25[[#All],[Bought]])</f>
        <v>290</v>
      </c>
      <c r="I1401">
        <f>SUMIF(Table25[[#All],[Assets]],Table25[[#This Row],[Assets]],Table25[[#All],[Bought Amount]])</f>
        <v>1400.8</v>
      </c>
      <c r="J1401" s="88">
        <f>IF(Table25[[#This Row],[Number of stocks]]&lt;0,Table25[[#This Row],[Number of stocks]],0)</f>
        <v>0</v>
      </c>
      <c r="K1401" s="5">
        <f>Table25[[#This Row],[Sold]]*Table25[[#This Row],[Price]]</f>
        <v>0</v>
      </c>
      <c r="L1401" s="8">
        <f>ABS(SUMIF(Table25[[#All],[Assets]],Table25[[#This Row],[Assets]],Table25[[#All],[Sold]]))</f>
        <v>290</v>
      </c>
      <c r="M1401" s="5">
        <f>ABS(SUMIF(Table25[[#All],[Assets]],Table25[[#This Row],[Assets]],Table25[[#All],[Sold Amount]]))</f>
        <v>1202.1999999999998</v>
      </c>
      <c r="N1401" s="5">
        <f>IFERROR(Table25[[#This Row],[Total sold amount]]/Table25[[#This Row],[Total Sold number of stocks]],"")</f>
        <v>4.1455172413793093</v>
      </c>
      <c r="O1401" s="4">
        <f>IFERROR(Table25[[#This Row],[Total Amount bought]]/Table25[[#This Row],[Total number bought]],"")</f>
        <v>4.8303448275862069</v>
      </c>
      <c r="P1401" s="4">
        <f>IFERROR((Table25[[#This Row],[Average sell price]]-Table25[[#This Row],[Average buy price]])*Table25[[#This Row],[Total Sold number of stocks]],0)</f>
        <v>-198.60000000000028</v>
      </c>
      <c r="Q1401" s="85">
        <f>SUMIF(Table25[[#All],[Assets]],Table25[[#This Row],[Assets]],Table25[[#All],[Number of stocks]])</f>
        <v>0</v>
      </c>
    </row>
    <row r="1402" spans="1:17">
      <c r="A1402" t="e" vm="91">
        <v>#VALUE!</v>
      </c>
      <c r="B1402" s="2">
        <v>45856</v>
      </c>
      <c r="C1402" t="str" cm="1">
        <f t="array" aca="1" ref="C1402" ca="1">_FV(A1402,"Ticker symbol",TRUE)</f>
        <v>RKLB</v>
      </c>
      <c r="D1402" s="4">
        <v>49.08</v>
      </c>
      <c r="E1402" s="50">
        <v>-4</v>
      </c>
      <c r="F1402" s="81">
        <f>IF(Table25[[#This Row],[Number of stocks]]&gt;0,Table25[[#This Row],[Number of stocks]],0)</f>
        <v>0</v>
      </c>
      <c r="G1402" s="73">
        <f>Table25[[#This Row],[Bought]]*Table25[[#This Row],[Price]]</f>
        <v>0</v>
      </c>
      <c r="H1402">
        <f>SUMIF(Table25[[#All],[Assets]],Table25[[#This Row],[Assets]],Table25[[#All],[Bought]])</f>
        <v>22</v>
      </c>
      <c r="I1402">
        <f>SUMIF(Table25[[#All],[Assets]],Table25[[#This Row],[Assets]],Table25[[#All],[Bought Amount]])</f>
        <v>1045.0999999999999</v>
      </c>
      <c r="J1402" s="88">
        <f>IF(Table25[[#This Row],[Number of stocks]]&lt;0,Table25[[#This Row],[Number of stocks]],0)</f>
        <v>-4</v>
      </c>
      <c r="K1402" s="5">
        <f>Table25[[#This Row],[Sold]]*Table25[[#This Row],[Price]]</f>
        <v>-196.32</v>
      </c>
      <c r="L1402" s="8">
        <f>ABS(SUMIF(Table25[[#All],[Assets]],Table25[[#This Row],[Assets]],Table25[[#All],[Sold]]))</f>
        <v>21</v>
      </c>
      <c r="M1402" s="5">
        <f>ABS(SUMIF(Table25[[#All],[Assets]],Table25[[#This Row],[Assets]],Table25[[#All],[Sold Amount]]))</f>
        <v>1696.64</v>
      </c>
      <c r="N1402" s="5">
        <f>IFERROR(Table25[[#This Row],[Total sold amount]]/Table25[[#This Row],[Total Sold number of stocks]],"")</f>
        <v>80.792380952380952</v>
      </c>
      <c r="O1402" s="4">
        <f>IFERROR(Table25[[#This Row],[Total Amount bought]]/Table25[[#This Row],[Total number bought]],"")</f>
        <v>47.50454545454545</v>
      </c>
      <c r="P1402" s="4">
        <f>IFERROR((Table25[[#This Row],[Average sell price]]-Table25[[#This Row],[Average buy price]])*Table25[[#This Row],[Total Sold number of stocks]],0)</f>
        <v>699.04454545454553</v>
      </c>
      <c r="Q1402" s="85">
        <f>SUMIF(Table25[[#All],[Assets]],Table25[[#This Row],[Assets]],Table25[[#All],[Number of stocks]])</f>
        <v>1</v>
      </c>
    </row>
    <row r="1403" spans="1:17">
      <c r="A1403" t="e" vm="89">
        <v>#VALUE!</v>
      </c>
      <c r="B1403" s="2">
        <v>45856</v>
      </c>
      <c r="C1403" t="str" cm="1">
        <f t="array" aca="1" ref="C1403" ca="1">_FV(A1403,"Ticker symbol",TRUE)</f>
        <v>BKSY</v>
      </c>
      <c r="D1403" s="4">
        <v>23.43</v>
      </c>
      <c r="E1403" s="50">
        <v>-14</v>
      </c>
      <c r="F1403" s="81">
        <f>IF(Table25[[#This Row],[Number of stocks]]&gt;0,Table25[[#This Row],[Number of stocks]],0)</f>
        <v>0</v>
      </c>
      <c r="G1403" s="73">
        <f>Table25[[#This Row],[Bought]]*Table25[[#This Row],[Price]]</f>
        <v>0</v>
      </c>
      <c r="H1403">
        <f>SUMIF(Table25[[#All],[Assets]],Table25[[#This Row],[Assets]],Table25[[#All],[Bought]])</f>
        <v>78</v>
      </c>
      <c r="I1403">
        <f>SUMIF(Table25[[#All],[Assets]],Table25[[#This Row],[Assets]],Table25[[#All],[Bought Amount]])</f>
        <v>897.78</v>
      </c>
      <c r="J1403" s="88">
        <f>IF(Table25[[#This Row],[Number of stocks]]&lt;0,Table25[[#This Row],[Number of stocks]],0)</f>
        <v>-14</v>
      </c>
      <c r="K1403" s="5">
        <f>Table25[[#This Row],[Sold]]*Table25[[#This Row],[Price]]</f>
        <v>-328.02</v>
      </c>
      <c r="L1403" s="8">
        <f>ABS(SUMIF(Table25[[#All],[Assets]],Table25[[#This Row],[Assets]],Table25[[#All],[Sold]]))</f>
        <v>78</v>
      </c>
      <c r="M1403" s="5">
        <f>ABS(SUMIF(Table25[[#All],[Assets]],Table25[[#This Row],[Assets]],Table25[[#All],[Sold Amount]]))</f>
        <v>1583.33</v>
      </c>
      <c r="N1403" s="5">
        <f>IFERROR(Table25[[#This Row],[Total sold amount]]/Table25[[#This Row],[Total Sold number of stocks]],"")</f>
        <v>20.299102564102562</v>
      </c>
      <c r="O1403" s="4">
        <f>IFERROR(Table25[[#This Row],[Total Amount bought]]/Table25[[#This Row],[Total number bought]],"")</f>
        <v>11.51</v>
      </c>
      <c r="P1403" s="4">
        <f>IFERROR((Table25[[#This Row],[Average sell price]]-Table25[[#This Row],[Average buy price]])*Table25[[#This Row],[Total Sold number of stocks]],0)</f>
        <v>685.54999999999984</v>
      </c>
      <c r="Q1403" s="85">
        <f>SUMIF(Table25[[#All],[Assets]],Table25[[#This Row],[Assets]],Table25[[#All],[Number of stocks]])</f>
        <v>0</v>
      </c>
    </row>
    <row r="1404" spans="1:17">
      <c r="A1404" t="e" vm="570">
        <v>#VALUE!</v>
      </c>
      <c r="B1404" s="2">
        <v>45856</v>
      </c>
      <c r="C1404" t="str" cm="1">
        <f t="array" aca="1" ref="C1404" ca="1">_FV(A1404,"Ticker symbol",TRUE)</f>
        <v>UCTT</v>
      </c>
      <c r="D1404" s="4">
        <v>25.65</v>
      </c>
      <c r="E1404" s="50">
        <v>7</v>
      </c>
      <c r="F1404" s="81">
        <f>IF(Table25[[#This Row],[Number of stocks]]&gt;0,Table25[[#This Row],[Number of stocks]],0)</f>
        <v>7</v>
      </c>
      <c r="G1404" s="73">
        <f>Table25[[#This Row],[Bought]]*Table25[[#This Row],[Price]]</f>
        <v>179.54999999999998</v>
      </c>
      <c r="H1404">
        <f>SUMIF(Table25[[#All],[Assets]],Table25[[#This Row],[Assets]],Table25[[#All],[Bought]])</f>
        <v>37</v>
      </c>
      <c r="I1404">
        <f>SUMIF(Table25[[#All],[Assets]],Table25[[#This Row],[Assets]],Table25[[#All],[Bought Amount]])</f>
        <v>943.35</v>
      </c>
      <c r="J1404" s="88">
        <f>IF(Table25[[#This Row],[Number of stocks]]&lt;0,Table25[[#This Row],[Number of stocks]],0)</f>
        <v>0</v>
      </c>
      <c r="K1404" s="5">
        <f>Table25[[#This Row],[Sold]]*Table25[[#This Row],[Price]]</f>
        <v>0</v>
      </c>
      <c r="L1404" s="8">
        <f>ABS(SUMIF(Table25[[#All],[Assets]],Table25[[#This Row],[Assets]],Table25[[#All],[Sold]]))</f>
        <v>37</v>
      </c>
      <c r="M1404" s="5">
        <f>ABS(SUMIF(Table25[[#All],[Assets]],Table25[[#This Row],[Assets]],Table25[[#All],[Sold Amount]]))</f>
        <v>871.71999999999991</v>
      </c>
      <c r="N1404" s="5">
        <f>IFERROR(Table25[[#This Row],[Total sold amount]]/Table25[[#This Row],[Total Sold number of stocks]],"")</f>
        <v>23.56</v>
      </c>
      <c r="O1404" s="4">
        <f>IFERROR(Table25[[#This Row],[Total Amount bought]]/Table25[[#This Row],[Total number bought]],"")</f>
        <v>25.495945945945948</v>
      </c>
      <c r="P1404" s="4">
        <f>IFERROR((Table25[[#This Row],[Average sell price]]-Table25[[#This Row],[Average buy price]])*Table25[[#This Row],[Total Sold number of stocks]],0)</f>
        <v>-71.630000000000123</v>
      </c>
      <c r="Q1404" s="85">
        <f>SUMIF(Table25[[#All],[Assets]],Table25[[#This Row],[Assets]],Table25[[#All],[Number of stocks]])</f>
        <v>0</v>
      </c>
    </row>
    <row r="1405" spans="1:17">
      <c r="A1405" t="e" vm="251">
        <v>#VALUE!</v>
      </c>
      <c r="B1405" s="2">
        <v>45856</v>
      </c>
      <c r="C1405" t="str" cm="1">
        <f t="array" aca="1" ref="C1405" ca="1">_FV(A1405,"Ticker symbol",TRUE)</f>
        <v>DEA</v>
      </c>
      <c r="D1405" s="4">
        <v>22.51</v>
      </c>
      <c r="E1405" s="50">
        <v>-32</v>
      </c>
      <c r="F1405" s="81">
        <f>IF(Table25[[#This Row],[Number of stocks]]&gt;0,Table25[[#This Row],[Number of stocks]],0)</f>
        <v>0</v>
      </c>
      <c r="G1405" s="73">
        <f>Table25[[#This Row],[Bought]]*Table25[[#This Row],[Price]]</f>
        <v>0</v>
      </c>
      <c r="H1405">
        <f>SUMIF(Table25[[#All],[Assets]],Table25[[#This Row],[Assets]],Table25[[#All],[Bought]])</f>
        <v>32</v>
      </c>
      <c r="I1405">
        <f>SUMIF(Table25[[#All],[Assets]],Table25[[#This Row],[Assets]],Table25[[#All],[Bought Amount]])</f>
        <v>708.8</v>
      </c>
      <c r="J1405" s="88">
        <f>IF(Table25[[#This Row],[Number of stocks]]&lt;0,Table25[[#This Row],[Number of stocks]],0)</f>
        <v>-32</v>
      </c>
      <c r="K1405" s="5">
        <f>Table25[[#This Row],[Sold]]*Table25[[#This Row],[Price]]</f>
        <v>-720.32</v>
      </c>
      <c r="L1405" s="8">
        <f>ABS(SUMIF(Table25[[#All],[Assets]],Table25[[#This Row],[Assets]],Table25[[#All],[Sold]]))</f>
        <v>32</v>
      </c>
      <c r="M1405" s="5">
        <f>ABS(SUMIF(Table25[[#All],[Assets]],Table25[[#This Row],[Assets]],Table25[[#All],[Sold Amount]]))</f>
        <v>720.32</v>
      </c>
      <c r="N1405" s="5">
        <f>IFERROR(Table25[[#This Row],[Total sold amount]]/Table25[[#This Row],[Total Sold number of stocks]],"")</f>
        <v>22.51</v>
      </c>
      <c r="O1405" s="4">
        <f>IFERROR(Table25[[#This Row],[Total Amount bought]]/Table25[[#This Row],[Total number bought]],"")</f>
        <v>22.15</v>
      </c>
      <c r="P1405" s="4">
        <f>IFERROR((Table25[[#This Row],[Average sell price]]-Table25[[#This Row],[Average buy price]])*Table25[[#This Row],[Total Sold number of stocks]],0)</f>
        <v>11.520000000000095</v>
      </c>
      <c r="Q1405" s="85">
        <f>SUMIF(Table25[[#All],[Assets]],Table25[[#This Row],[Assets]],Table25[[#All],[Number of stocks]])</f>
        <v>0</v>
      </c>
    </row>
    <row r="1406" spans="1:17">
      <c r="A1406" t="e" vm="19">
        <v>#VALUE!</v>
      </c>
      <c r="B1406" s="2">
        <v>45859</v>
      </c>
      <c r="C1406" t="str" cm="1">
        <f t="array" aca="1" ref="C1406" ca="1">_FV(A1406,"Ticker symbol",TRUE)</f>
        <v>OUST</v>
      </c>
      <c r="D1406" s="4">
        <v>31.5</v>
      </c>
      <c r="E1406" s="50">
        <v>-49</v>
      </c>
      <c r="F1406" s="81">
        <f>IF(Table25[[#This Row],[Number of stocks]]&gt;0,Table25[[#This Row],[Number of stocks]],0)</f>
        <v>0</v>
      </c>
      <c r="G1406" s="73">
        <f>Table25[[#This Row],[Bought]]*Table25[[#This Row],[Price]]</f>
        <v>0</v>
      </c>
      <c r="H1406">
        <f>SUMIF(Table25[[#All],[Assets]],Table25[[#This Row],[Assets]],Table25[[#All],[Bought]])</f>
        <v>324</v>
      </c>
      <c r="I1406">
        <f>SUMIF(Table25[[#All],[Assets]],Table25[[#This Row],[Assets]],Table25[[#All],[Bought Amount]])</f>
        <v>4403.8500000000004</v>
      </c>
      <c r="J1406" s="88">
        <f>IF(Table25[[#This Row],[Number of stocks]]&lt;0,Table25[[#This Row],[Number of stocks]],0)</f>
        <v>-49</v>
      </c>
      <c r="K1406" s="5">
        <f>Table25[[#This Row],[Sold]]*Table25[[#This Row],[Price]]</f>
        <v>-1543.5</v>
      </c>
      <c r="L1406" s="8">
        <f>ABS(SUMIF(Table25[[#All],[Assets]],Table25[[#This Row],[Assets]],Table25[[#All],[Sold]]))</f>
        <v>299</v>
      </c>
      <c r="M1406" s="5">
        <f>ABS(SUMIF(Table25[[#All],[Assets]],Table25[[#This Row],[Assets]],Table25[[#All],[Sold Amount]]))</f>
        <v>6222.84</v>
      </c>
      <c r="N1406" s="5">
        <f>IFERROR(Table25[[#This Row],[Total sold amount]]/Table25[[#This Row],[Total Sold number of stocks]],"")</f>
        <v>20.81217391304348</v>
      </c>
      <c r="O1406" s="4">
        <f>IFERROR(Table25[[#This Row],[Total Amount bought]]/Table25[[#This Row],[Total number bought]],"")</f>
        <v>13.59212962962963</v>
      </c>
      <c r="P1406" s="4">
        <f>IFERROR((Table25[[#This Row],[Average sell price]]-Table25[[#This Row],[Average buy price]])*Table25[[#This Row],[Total Sold number of stocks]],0)</f>
        <v>2158.7932407407411</v>
      </c>
      <c r="Q1406" s="85">
        <f>SUMIF(Table25[[#All],[Assets]],Table25[[#This Row],[Assets]],Table25[[#All],[Number of stocks]])</f>
        <v>25</v>
      </c>
    </row>
    <row r="1407" spans="1:17">
      <c r="A1407" t="e" vm="15">
        <v>#VALUE!</v>
      </c>
      <c r="B1407" s="2">
        <v>45859</v>
      </c>
      <c r="C1407" t="str" cm="1">
        <f t="array" aca="1" ref="C1407" ca="1">_FV(A1407,"Ticker symbol",TRUE)</f>
        <v>INDI</v>
      </c>
      <c r="D1407" s="4">
        <v>4.7</v>
      </c>
      <c r="E1407" s="50">
        <v>150</v>
      </c>
      <c r="F1407" s="81">
        <f>IF(Table25[[#This Row],[Number of stocks]]&gt;0,Table25[[#This Row],[Number of stocks]],0)</f>
        <v>150</v>
      </c>
      <c r="G1407" s="73">
        <f>Table25[[#This Row],[Bought]]*Table25[[#This Row],[Price]]</f>
        <v>705</v>
      </c>
      <c r="H1407">
        <f>SUMIF(Table25[[#All],[Assets]],Table25[[#This Row],[Assets]],Table25[[#All],[Bought]])</f>
        <v>290</v>
      </c>
      <c r="I1407">
        <f>SUMIF(Table25[[#All],[Assets]],Table25[[#This Row],[Assets]],Table25[[#All],[Bought Amount]])</f>
        <v>1400.8</v>
      </c>
      <c r="J1407" s="88">
        <f>IF(Table25[[#This Row],[Number of stocks]]&lt;0,Table25[[#This Row],[Number of stocks]],0)</f>
        <v>0</v>
      </c>
      <c r="K1407" s="5">
        <f>Table25[[#This Row],[Sold]]*Table25[[#This Row],[Price]]</f>
        <v>0</v>
      </c>
      <c r="L1407" s="8">
        <f>ABS(SUMIF(Table25[[#All],[Assets]],Table25[[#This Row],[Assets]],Table25[[#All],[Sold]]))</f>
        <v>290</v>
      </c>
      <c r="M1407" s="5">
        <f>ABS(SUMIF(Table25[[#All],[Assets]],Table25[[#This Row],[Assets]],Table25[[#All],[Sold Amount]]))</f>
        <v>1202.1999999999998</v>
      </c>
      <c r="N1407" s="5">
        <f>IFERROR(Table25[[#This Row],[Total sold amount]]/Table25[[#This Row],[Total Sold number of stocks]],"")</f>
        <v>4.1455172413793093</v>
      </c>
      <c r="O1407" s="4">
        <f>IFERROR(Table25[[#This Row],[Total Amount bought]]/Table25[[#This Row],[Total number bought]],"")</f>
        <v>4.8303448275862069</v>
      </c>
      <c r="P1407" s="4">
        <f>IFERROR((Table25[[#This Row],[Average sell price]]-Table25[[#This Row],[Average buy price]])*Table25[[#This Row],[Total Sold number of stocks]],0)</f>
        <v>-198.60000000000028</v>
      </c>
      <c r="Q1407" s="85">
        <f>SUMIF(Table25[[#All],[Assets]],Table25[[#This Row],[Assets]],Table25[[#All],[Number of stocks]])</f>
        <v>0</v>
      </c>
    </row>
    <row r="1408" spans="1:17">
      <c r="A1408" t="e" vm="570">
        <v>#VALUE!</v>
      </c>
      <c r="B1408" s="2">
        <v>45859</v>
      </c>
      <c r="C1408" t="str" cm="1">
        <f t="array" aca="1" ref="C1408" ca="1">_FV(A1408,"Ticker symbol",TRUE)</f>
        <v>UCTT</v>
      </c>
      <c r="D1408" s="4">
        <v>25.46</v>
      </c>
      <c r="E1408" s="50">
        <v>30</v>
      </c>
      <c r="F1408" s="81">
        <f>IF(Table25[[#This Row],[Number of stocks]]&gt;0,Table25[[#This Row],[Number of stocks]],0)</f>
        <v>30</v>
      </c>
      <c r="G1408" s="73">
        <f>Table25[[#This Row],[Bought]]*Table25[[#This Row],[Price]]</f>
        <v>763.80000000000007</v>
      </c>
      <c r="H1408">
        <f>SUMIF(Table25[[#All],[Assets]],Table25[[#This Row],[Assets]],Table25[[#All],[Bought]])</f>
        <v>37</v>
      </c>
      <c r="I1408">
        <f>SUMIF(Table25[[#All],[Assets]],Table25[[#This Row],[Assets]],Table25[[#All],[Bought Amount]])</f>
        <v>943.35</v>
      </c>
      <c r="J1408" s="88">
        <f>IF(Table25[[#This Row],[Number of stocks]]&lt;0,Table25[[#This Row],[Number of stocks]],0)</f>
        <v>0</v>
      </c>
      <c r="K1408" s="5">
        <f>Table25[[#This Row],[Sold]]*Table25[[#This Row],[Price]]</f>
        <v>0</v>
      </c>
      <c r="L1408" s="8">
        <f>ABS(SUMIF(Table25[[#All],[Assets]],Table25[[#This Row],[Assets]],Table25[[#All],[Sold]]))</f>
        <v>37</v>
      </c>
      <c r="M1408" s="5">
        <f>ABS(SUMIF(Table25[[#All],[Assets]],Table25[[#This Row],[Assets]],Table25[[#All],[Sold Amount]]))</f>
        <v>871.71999999999991</v>
      </c>
      <c r="N1408" s="5">
        <f>IFERROR(Table25[[#This Row],[Total sold amount]]/Table25[[#This Row],[Total Sold number of stocks]],"")</f>
        <v>23.56</v>
      </c>
      <c r="O1408" s="4">
        <f>IFERROR(Table25[[#This Row],[Total Amount bought]]/Table25[[#This Row],[Total number bought]],"")</f>
        <v>25.495945945945948</v>
      </c>
      <c r="P1408" s="4">
        <f>IFERROR((Table25[[#This Row],[Average sell price]]-Table25[[#This Row],[Average buy price]])*Table25[[#This Row],[Total Sold number of stocks]],0)</f>
        <v>-71.630000000000123</v>
      </c>
      <c r="Q1408" s="85">
        <f>SUMIF(Table25[[#All],[Assets]],Table25[[#This Row],[Assets]],Table25[[#All],[Number of stocks]])</f>
        <v>0</v>
      </c>
    </row>
    <row r="1409" spans="1:17">
      <c r="A1409" t="e" vm="217">
        <v>#VALUE!</v>
      </c>
      <c r="B1409" s="2">
        <v>45859</v>
      </c>
      <c r="C1409" t="str" cm="1">
        <f t="array" aca="1" ref="C1409" ca="1">_FV(A1409,"Ticker symbol",TRUE)</f>
        <v>ALNT</v>
      </c>
      <c r="D1409" s="4">
        <v>39.92</v>
      </c>
      <c r="E1409" s="50">
        <v>11</v>
      </c>
      <c r="F1409" s="81">
        <f>IF(Table25[[#This Row],[Number of stocks]]&gt;0,Table25[[#This Row],[Number of stocks]],0)</f>
        <v>11</v>
      </c>
      <c r="G1409" s="73">
        <f>Table25[[#This Row],[Bought]]*Table25[[#This Row],[Price]]</f>
        <v>439.12</v>
      </c>
      <c r="H1409">
        <f>SUMIF(Table25[[#All],[Assets]],Table25[[#This Row],[Assets]],Table25[[#All],[Bought]])</f>
        <v>11</v>
      </c>
      <c r="I1409">
        <f>SUMIF(Table25[[#All],[Assets]],Table25[[#This Row],[Assets]],Table25[[#All],[Bought Amount]])</f>
        <v>439.12</v>
      </c>
      <c r="J1409" s="88">
        <f>IF(Table25[[#This Row],[Number of stocks]]&lt;0,Table25[[#This Row],[Number of stocks]],0)</f>
        <v>0</v>
      </c>
      <c r="K1409" s="5">
        <f>Table25[[#This Row],[Sold]]*Table25[[#This Row],[Price]]</f>
        <v>0</v>
      </c>
      <c r="L1409" s="8">
        <f>ABS(SUMIF(Table25[[#All],[Assets]],Table25[[#This Row],[Assets]],Table25[[#All],[Sold]]))</f>
        <v>6</v>
      </c>
      <c r="M1409" s="5">
        <f>ABS(SUMIF(Table25[[#All],[Assets]],Table25[[#This Row],[Assets]],Table25[[#All],[Sold Amount]]))</f>
        <v>272.21999999999997</v>
      </c>
      <c r="N1409" s="5">
        <f>IFERROR(Table25[[#This Row],[Total sold amount]]/Table25[[#This Row],[Total Sold number of stocks]],"")</f>
        <v>45.37</v>
      </c>
      <c r="O1409" s="4">
        <f>IFERROR(Table25[[#This Row],[Total Amount bought]]/Table25[[#This Row],[Total number bought]],"")</f>
        <v>39.92</v>
      </c>
      <c r="P1409" s="4">
        <f>IFERROR((Table25[[#This Row],[Average sell price]]-Table25[[#This Row],[Average buy price]])*Table25[[#This Row],[Total Sold number of stocks]],0)</f>
        <v>32.699999999999974</v>
      </c>
      <c r="Q1409" s="85">
        <f>SUMIF(Table25[[#All],[Assets]],Table25[[#This Row],[Assets]],Table25[[#All],[Number of stocks]])</f>
        <v>5</v>
      </c>
    </row>
    <row r="1410" spans="1:17">
      <c r="A1410" t="e" vm="250">
        <v>#VALUE!</v>
      </c>
      <c r="B1410" s="2">
        <v>45859</v>
      </c>
      <c r="C1410" t="str" cm="1">
        <f t="array" aca="1" ref="C1410" ca="1">_FV(A1410,"Ticker symbol",TRUE)</f>
        <v>WRBY</v>
      </c>
      <c r="D1410" s="4">
        <v>23.85</v>
      </c>
      <c r="E1410" s="50">
        <v>-21</v>
      </c>
      <c r="F1410" s="81">
        <f>IF(Table25[[#This Row],[Number of stocks]]&gt;0,Table25[[#This Row],[Number of stocks]],0)</f>
        <v>0</v>
      </c>
      <c r="G1410" s="73">
        <f>Table25[[#This Row],[Bought]]*Table25[[#This Row],[Price]]</f>
        <v>0</v>
      </c>
      <c r="H1410">
        <f>SUMIF(Table25[[#All],[Assets]],Table25[[#This Row],[Assets]],Table25[[#All],[Bought]])</f>
        <v>42</v>
      </c>
      <c r="I1410">
        <f>SUMIF(Table25[[#All],[Assets]],Table25[[#This Row],[Assets]],Table25[[#All],[Bought Amount]])</f>
        <v>846.72</v>
      </c>
      <c r="J1410" s="88">
        <f>IF(Table25[[#This Row],[Number of stocks]]&lt;0,Table25[[#This Row],[Number of stocks]],0)</f>
        <v>-21</v>
      </c>
      <c r="K1410" s="5">
        <f>Table25[[#This Row],[Sold]]*Table25[[#This Row],[Price]]</f>
        <v>-500.85</v>
      </c>
      <c r="L1410" s="8">
        <f>ABS(SUMIF(Table25[[#All],[Assets]],Table25[[#This Row],[Assets]],Table25[[#All],[Sold]]))</f>
        <v>42</v>
      </c>
      <c r="M1410" s="5">
        <f>ABS(SUMIF(Table25[[#All],[Assets]],Table25[[#This Row],[Assets]],Table25[[#All],[Sold Amount]]))</f>
        <v>1014.51</v>
      </c>
      <c r="N1410" s="5">
        <f>IFERROR(Table25[[#This Row],[Total sold amount]]/Table25[[#This Row],[Total Sold number of stocks]],"")</f>
        <v>24.155000000000001</v>
      </c>
      <c r="O1410" s="4">
        <f>IFERROR(Table25[[#This Row],[Total Amount bought]]/Table25[[#This Row],[Total number bought]],"")</f>
        <v>20.16</v>
      </c>
      <c r="P1410" s="4">
        <f>IFERROR((Table25[[#This Row],[Average sell price]]-Table25[[#This Row],[Average buy price]])*Table25[[#This Row],[Total Sold number of stocks]],0)</f>
        <v>167.79000000000005</v>
      </c>
      <c r="Q1410" s="85">
        <f>SUMIF(Table25[[#All],[Assets]],Table25[[#This Row],[Assets]],Table25[[#All],[Number of stocks]])</f>
        <v>0</v>
      </c>
    </row>
    <row r="1411" spans="1:17">
      <c r="A1411" t="e" vm="82">
        <v>#VALUE!</v>
      </c>
      <c r="B1411" s="2">
        <v>45859</v>
      </c>
      <c r="C1411" t="str" cm="1">
        <f t="array" aca="1" ref="C1411" ca="1">_FV(A1411,"Ticker symbol",TRUE)</f>
        <v>XYZ</v>
      </c>
      <c r="D1411" s="4">
        <v>78.819999999999993</v>
      </c>
      <c r="E1411" s="50">
        <v>-5</v>
      </c>
      <c r="F1411" s="81">
        <f>IF(Table25[[#This Row],[Number of stocks]]&gt;0,Table25[[#This Row],[Number of stocks]],0)</f>
        <v>0</v>
      </c>
      <c r="G1411" s="73">
        <f>Table25[[#This Row],[Bought]]*Table25[[#This Row],[Price]]</f>
        <v>0</v>
      </c>
      <c r="H1411">
        <f>SUMIF(Table25[[#All],[Assets]],Table25[[#This Row],[Assets]],Table25[[#All],[Bought]])</f>
        <v>35</v>
      </c>
      <c r="I1411">
        <f>SUMIF(Table25[[#All],[Assets]],Table25[[#This Row],[Assets]],Table25[[#All],[Bought Amount]])</f>
        <v>2551.4399999999996</v>
      </c>
      <c r="J1411" s="88">
        <f>IF(Table25[[#This Row],[Number of stocks]]&lt;0,Table25[[#This Row],[Number of stocks]],0)</f>
        <v>-5</v>
      </c>
      <c r="K1411" s="5">
        <f>Table25[[#This Row],[Sold]]*Table25[[#This Row],[Price]]</f>
        <v>-394.09999999999997</v>
      </c>
      <c r="L1411" s="8">
        <f>ABS(SUMIF(Table25[[#All],[Assets]],Table25[[#This Row],[Assets]],Table25[[#All],[Sold]]))</f>
        <v>35</v>
      </c>
      <c r="M1411" s="5">
        <f>ABS(SUMIF(Table25[[#All],[Assets]],Table25[[#This Row],[Assets]],Table25[[#All],[Sold Amount]]))</f>
        <v>2639.0700000000006</v>
      </c>
      <c r="N1411" s="5">
        <f>IFERROR(Table25[[#This Row],[Total sold amount]]/Table25[[#This Row],[Total Sold number of stocks]],"")</f>
        <v>75.402000000000015</v>
      </c>
      <c r="O1411" s="4">
        <f>IFERROR(Table25[[#This Row],[Total Amount bought]]/Table25[[#This Row],[Total number bought]],"")</f>
        <v>72.898285714285706</v>
      </c>
      <c r="P1411" s="4">
        <f>IFERROR((Table25[[#This Row],[Average sell price]]-Table25[[#This Row],[Average buy price]])*Table25[[#This Row],[Total Sold number of stocks]],0)</f>
        <v>87.630000000000834</v>
      </c>
      <c r="Q1411" s="85">
        <f>SUMIF(Table25[[#All],[Assets]],Table25[[#This Row],[Assets]],Table25[[#All],[Number of stocks]])</f>
        <v>0</v>
      </c>
    </row>
    <row r="1412" spans="1:17">
      <c r="A1412" t="e" vm="71">
        <v>#VALUE!</v>
      </c>
      <c r="B1412" s="2">
        <v>45859</v>
      </c>
      <c r="C1412" t="str" cm="1">
        <f t="array" aca="1" ref="C1412" ca="1">_FV(A1412,"Ticker symbol",TRUE)</f>
        <v>TKNO</v>
      </c>
      <c r="D1412" s="4">
        <v>4.37</v>
      </c>
      <c r="E1412" s="50">
        <v>280</v>
      </c>
      <c r="F1412" s="81">
        <f>IF(Table25[[#This Row],[Number of stocks]]&gt;0,Table25[[#This Row],[Number of stocks]],0)</f>
        <v>280</v>
      </c>
      <c r="G1412" s="73">
        <f>Table25[[#This Row],[Bought]]*Table25[[#This Row],[Price]]</f>
        <v>1223.6000000000001</v>
      </c>
      <c r="H1412">
        <f>SUMIF(Table25[[#All],[Assets]],Table25[[#This Row],[Assets]],Table25[[#All],[Bought]])</f>
        <v>2166.0267990000002</v>
      </c>
      <c r="I1412">
        <f>SUMIF(Table25[[#All],[Assets]],Table25[[#This Row],[Assets]],Table25[[#All],[Bought Amount]])</f>
        <v>13370.91512648</v>
      </c>
      <c r="J1412" s="88">
        <f>IF(Table25[[#This Row],[Number of stocks]]&lt;0,Table25[[#This Row],[Number of stocks]],0)</f>
        <v>0</v>
      </c>
      <c r="K1412" s="5">
        <f>Table25[[#This Row],[Sold]]*Table25[[#This Row],[Price]]</f>
        <v>0</v>
      </c>
      <c r="L1412" s="8">
        <f>ABS(SUMIF(Table25[[#All],[Assets]],Table25[[#This Row],[Assets]],Table25[[#All],[Sold]]))</f>
        <v>2083</v>
      </c>
      <c r="M1412" s="5">
        <f>ABS(SUMIF(Table25[[#All],[Assets]],Table25[[#This Row],[Assets]],Table25[[#All],[Sold Amount]]))</f>
        <v>11153.28</v>
      </c>
      <c r="N1412" s="5">
        <f>IFERROR(Table25[[#This Row],[Total sold amount]]/Table25[[#This Row],[Total Sold number of stocks]],"")</f>
        <v>5.3544311089774368</v>
      </c>
      <c r="O1412" s="4">
        <f>IFERROR(Table25[[#This Row],[Total Amount bought]]/Table25[[#This Row],[Total number bought]],"")</f>
        <v>6.1730146333614213</v>
      </c>
      <c r="P1412" s="4">
        <f>IFERROR((Table25[[#This Row],[Average sell price]]-Table25[[#This Row],[Average buy price]])*Table25[[#This Row],[Total Sold number of stocks]],0)</f>
        <v>-1705.1094812918398</v>
      </c>
      <c r="Q1412" s="85">
        <f>SUMIF(Table25[[#All],[Assets]],Table25[[#This Row],[Assets]],Table25[[#All],[Number of stocks]])</f>
        <v>83.026798999999983</v>
      </c>
    </row>
    <row r="1413" spans="1:17">
      <c r="A1413" t="e" vm="35">
        <v>#VALUE!</v>
      </c>
      <c r="B1413" s="2">
        <v>45859</v>
      </c>
      <c r="C1413" t="str" cm="1">
        <f t="array" aca="1" ref="C1413" ca="1">_FV(A1413,"Ticker symbol",TRUE)</f>
        <v>VRT</v>
      </c>
      <c r="D1413" s="4">
        <v>127.46</v>
      </c>
      <c r="E1413" s="50">
        <v>-7</v>
      </c>
      <c r="F1413" s="81">
        <f>IF(Table25[[#This Row],[Number of stocks]]&gt;0,Table25[[#This Row],[Number of stocks]],0)</f>
        <v>0</v>
      </c>
      <c r="G1413" s="73">
        <f>Table25[[#This Row],[Bought]]*Table25[[#This Row],[Price]]</f>
        <v>0</v>
      </c>
      <c r="H1413">
        <f>SUMIF(Table25[[#All],[Assets]],Table25[[#This Row],[Assets]],Table25[[#All],[Bought]])</f>
        <v>24</v>
      </c>
      <c r="I1413">
        <f>SUMIF(Table25[[#All],[Assets]],Table25[[#This Row],[Assets]],Table25[[#All],[Bought Amount]])</f>
        <v>2071.3599999999997</v>
      </c>
      <c r="J1413" s="88">
        <f>IF(Table25[[#This Row],[Number of stocks]]&lt;0,Table25[[#This Row],[Number of stocks]],0)</f>
        <v>-7</v>
      </c>
      <c r="K1413" s="5">
        <f>Table25[[#This Row],[Sold]]*Table25[[#This Row],[Price]]</f>
        <v>-892.21999999999991</v>
      </c>
      <c r="L1413" s="8">
        <f>ABS(SUMIF(Table25[[#All],[Assets]],Table25[[#This Row],[Assets]],Table25[[#All],[Sold]]))</f>
        <v>24</v>
      </c>
      <c r="M1413" s="5">
        <f>ABS(SUMIF(Table25[[#All],[Assets]],Table25[[#This Row],[Assets]],Table25[[#All],[Sold Amount]]))</f>
        <v>2694.0499999999997</v>
      </c>
      <c r="N1413" s="5">
        <f>IFERROR(Table25[[#This Row],[Total sold amount]]/Table25[[#This Row],[Total Sold number of stocks]],"")</f>
        <v>112.25208333333332</v>
      </c>
      <c r="O1413" s="4">
        <f>IFERROR(Table25[[#This Row],[Total Amount bought]]/Table25[[#This Row],[Total number bought]],"")</f>
        <v>86.306666666666658</v>
      </c>
      <c r="P1413" s="4">
        <f>IFERROR((Table25[[#This Row],[Average sell price]]-Table25[[#This Row],[Average buy price]])*Table25[[#This Row],[Total Sold number of stocks]],0)</f>
        <v>622.68999999999983</v>
      </c>
      <c r="Q1413" s="85">
        <f>SUMIF(Table25[[#All],[Assets]],Table25[[#This Row],[Assets]],Table25[[#All],[Number of stocks]])</f>
        <v>0</v>
      </c>
    </row>
    <row r="1414" spans="1:17">
      <c r="A1414" t="e" vm="95">
        <v>#VALUE!</v>
      </c>
      <c r="B1414" s="2">
        <v>45859</v>
      </c>
      <c r="C1414" t="str" cm="1">
        <f t="array" aca="1" ref="C1414" ca="1">_FV(A1414,"Ticker symbol",TRUE)</f>
        <v>SNAP</v>
      </c>
      <c r="D1414" s="4">
        <v>10.08</v>
      </c>
      <c r="E1414" s="50">
        <v>132</v>
      </c>
      <c r="F1414" s="81">
        <f>IF(Table25[[#This Row],[Number of stocks]]&gt;0,Table25[[#This Row],[Number of stocks]],0)</f>
        <v>132</v>
      </c>
      <c r="G1414" s="73">
        <f>Table25[[#This Row],[Bought]]*Table25[[#This Row],[Price]]</f>
        <v>1330.56</v>
      </c>
      <c r="H1414">
        <f>SUMIF(Table25[[#All],[Assets]],Table25[[#This Row],[Assets]],Table25[[#All],[Bought]])</f>
        <v>132</v>
      </c>
      <c r="I1414">
        <f>SUMIF(Table25[[#All],[Assets]],Table25[[#This Row],[Assets]],Table25[[#All],[Bought Amount]])</f>
        <v>1330.56</v>
      </c>
      <c r="J1414" s="88">
        <f>IF(Table25[[#This Row],[Number of stocks]]&lt;0,Table25[[#This Row],[Number of stocks]],0)</f>
        <v>0</v>
      </c>
      <c r="K1414" s="5">
        <f>Table25[[#This Row],[Sold]]*Table25[[#This Row],[Price]]</f>
        <v>0</v>
      </c>
      <c r="L1414" s="8">
        <f>ABS(SUMIF(Table25[[#All],[Assets]],Table25[[#This Row],[Assets]],Table25[[#All],[Sold]]))</f>
        <v>132</v>
      </c>
      <c r="M1414" s="5">
        <f>ABS(SUMIF(Table25[[#All],[Assets]],Table25[[#This Row],[Assets]],Table25[[#All],[Sold Amount]]))</f>
        <v>1021.6800000000001</v>
      </c>
      <c r="N1414" s="5">
        <f>IFERROR(Table25[[#This Row],[Total sold amount]]/Table25[[#This Row],[Total Sold number of stocks]],"")</f>
        <v>7.74</v>
      </c>
      <c r="O1414" s="4">
        <f>IFERROR(Table25[[#This Row],[Total Amount bought]]/Table25[[#This Row],[Total number bought]],"")</f>
        <v>10.08</v>
      </c>
      <c r="P1414" s="4">
        <f>IFERROR((Table25[[#This Row],[Average sell price]]-Table25[[#This Row],[Average buy price]])*Table25[[#This Row],[Total Sold number of stocks]],0)</f>
        <v>-308.88</v>
      </c>
      <c r="Q1414" s="85">
        <f>SUMIF(Table25[[#All],[Assets]],Table25[[#This Row],[Assets]],Table25[[#All],[Number of stocks]])</f>
        <v>0</v>
      </c>
    </row>
    <row r="1415" spans="1:17">
      <c r="A1415" t="e" vm="6">
        <v>#VALUE!</v>
      </c>
      <c r="B1415" s="2">
        <v>45860</v>
      </c>
      <c r="C1415" t="str" cm="1">
        <f t="array" aca="1" ref="C1415" ca="1">_FV(A1415,"Ticker symbol",TRUE)</f>
        <v>KTOS</v>
      </c>
      <c r="D1415" s="4">
        <v>55.86</v>
      </c>
      <c r="E1415" s="50">
        <v>-44</v>
      </c>
      <c r="F1415" s="81">
        <f>IF(Table25[[#This Row],[Number of stocks]]&gt;0,Table25[[#This Row],[Number of stocks]],0)</f>
        <v>0</v>
      </c>
      <c r="G1415" s="73">
        <f>Table25[[#This Row],[Bought]]*Table25[[#This Row],[Price]]</f>
        <v>0</v>
      </c>
      <c r="H1415">
        <f>SUMIF(Table25[[#All],[Assets]],Table25[[#This Row],[Assets]],Table25[[#All],[Bought]])</f>
        <v>121</v>
      </c>
      <c r="I1415">
        <f>SUMIF(Table25[[#All],[Assets]],Table25[[#This Row],[Assets]],Table25[[#All],[Bought Amount]])</f>
        <v>3826.76</v>
      </c>
      <c r="J1415" s="88">
        <f>IF(Table25[[#This Row],[Number of stocks]]&lt;0,Table25[[#This Row],[Number of stocks]],0)</f>
        <v>-44</v>
      </c>
      <c r="K1415" s="5">
        <f>Table25[[#This Row],[Sold]]*Table25[[#This Row],[Price]]</f>
        <v>-2457.84</v>
      </c>
      <c r="L1415" s="8">
        <f>ABS(SUMIF(Table25[[#All],[Assets]],Table25[[#This Row],[Assets]],Table25[[#All],[Sold]]))</f>
        <v>121</v>
      </c>
      <c r="M1415" s="5">
        <f>ABS(SUMIF(Table25[[#All],[Assets]],Table25[[#This Row],[Assets]],Table25[[#All],[Sold Amount]]))</f>
        <v>8971.93</v>
      </c>
      <c r="N1415" s="5">
        <f>IFERROR(Table25[[#This Row],[Total sold amount]]/Table25[[#This Row],[Total Sold number of stocks]],"")</f>
        <v>74.148181818181826</v>
      </c>
      <c r="O1415" s="4">
        <f>IFERROR(Table25[[#This Row],[Total Amount bought]]/Table25[[#This Row],[Total number bought]],"")</f>
        <v>31.626115702479339</v>
      </c>
      <c r="P1415" s="4">
        <f>IFERROR((Table25[[#This Row],[Average sell price]]-Table25[[#This Row],[Average buy price]])*Table25[[#This Row],[Total Sold number of stocks]],0)</f>
        <v>5145.170000000001</v>
      </c>
      <c r="Q1415" s="85">
        <f>SUMIF(Table25[[#All],[Assets]],Table25[[#This Row],[Assets]],Table25[[#All],[Number of stocks]])</f>
        <v>0</v>
      </c>
    </row>
    <row r="1416" spans="1:17">
      <c r="A1416" t="e" vm="171">
        <v>#VALUE!</v>
      </c>
      <c r="B1416" s="2">
        <v>45860</v>
      </c>
      <c r="C1416" t="str" cm="1">
        <f t="array" aca="1" ref="C1416" ca="1">_FV(A1416,"Ticker symbol",TRUE)</f>
        <v>BIDU</v>
      </c>
      <c r="D1416" s="4">
        <v>89.75</v>
      </c>
      <c r="E1416" s="50">
        <v>20</v>
      </c>
      <c r="F1416" s="81">
        <f>IF(Table25[[#This Row],[Number of stocks]]&gt;0,Table25[[#This Row],[Number of stocks]],0)</f>
        <v>20</v>
      </c>
      <c r="G1416" s="73">
        <f>Table25[[#This Row],[Bought]]*Table25[[#This Row],[Price]]</f>
        <v>1795</v>
      </c>
      <c r="H1416">
        <f>SUMIF(Table25[[#All],[Assets]],Table25[[#This Row],[Assets]],Table25[[#All],[Bought]])</f>
        <v>23</v>
      </c>
      <c r="I1416">
        <f>SUMIF(Table25[[#All],[Assets]],Table25[[#This Row],[Assets]],Table25[[#All],[Bought Amount]])</f>
        <v>2077.9</v>
      </c>
      <c r="J1416" s="88">
        <f>IF(Table25[[#This Row],[Number of stocks]]&lt;0,Table25[[#This Row],[Number of stocks]],0)</f>
        <v>0</v>
      </c>
      <c r="K1416" s="5">
        <f>Table25[[#This Row],[Sold]]*Table25[[#This Row],[Price]]</f>
        <v>0</v>
      </c>
      <c r="L1416" s="8">
        <f>ABS(SUMIF(Table25[[#All],[Assets]],Table25[[#This Row],[Assets]],Table25[[#All],[Sold]]))</f>
        <v>23</v>
      </c>
      <c r="M1416" s="5">
        <f>ABS(SUMIF(Table25[[#All],[Assets]],Table25[[#This Row],[Assets]],Table25[[#All],[Sold Amount]]))</f>
        <v>2134.1499999999996</v>
      </c>
      <c r="N1416" s="5">
        <f>IFERROR(Table25[[#This Row],[Total sold amount]]/Table25[[#This Row],[Total Sold number of stocks]],"")</f>
        <v>92.789130434782592</v>
      </c>
      <c r="O1416" s="4">
        <f>IFERROR(Table25[[#This Row],[Total Amount bought]]/Table25[[#This Row],[Total number bought]],"")</f>
        <v>90.343478260869574</v>
      </c>
      <c r="P1416" s="4">
        <f>IFERROR((Table25[[#This Row],[Average sell price]]-Table25[[#This Row],[Average buy price]])*Table25[[#This Row],[Total Sold number of stocks]],0)</f>
        <v>56.249999999999417</v>
      </c>
      <c r="Q1416" s="85">
        <f>SUMIF(Table25[[#All],[Assets]],Table25[[#This Row],[Assets]],Table25[[#All],[Number of stocks]])</f>
        <v>0</v>
      </c>
    </row>
    <row r="1417" spans="1:17">
      <c r="A1417" t="e" vm="24">
        <v>#VALUE!</v>
      </c>
      <c r="B1417" s="2">
        <v>45860</v>
      </c>
      <c r="C1417" t="str" cm="1">
        <f t="array" aca="1" ref="C1417" ca="1">_FV(A1417,"Ticker symbol",TRUE)</f>
        <v>QCOM</v>
      </c>
      <c r="D1417" s="4">
        <v>157.31</v>
      </c>
      <c r="E1417" s="50">
        <v>-1</v>
      </c>
      <c r="F1417" s="81">
        <f>IF(Table25[[#This Row],[Number of stocks]]&gt;0,Table25[[#This Row],[Number of stocks]],0)</f>
        <v>0</v>
      </c>
      <c r="G1417" s="73">
        <f>Table25[[#This Row],[Bought]]*Table25[[#This Row],[Price]]</f>
        <v>0</v>
      </c>
      <c r="H1417">
        <f>SUMIF(Table25[[#All],[Assets]],Table25[[#This Row],[Assets]],Table25[[#All],[Bought]])</f>
        <v>58</v>
      </c>
      <c r="I1417">
        <f>SUMIF(Table25[[#All],[Assets]],Table25[[#This Row],[Assets]],Table25[[#All],[Bought Amount]])</f>
        <v>9670.27</v>
      </c>
      <c r="J1417" s="88">
        <f>IF(Table25[[#This Row],[Number of stocks]]&lt;0,Table25[[#This Row],[Number of stocks]],0)</f>
        <v>-1</v>
      </c>
      <c r="K1417" s="5">
        <f>Table25[[#This Row],[Sold]]*Table25[[#This Row],[Price]]</f>
        <v>-157.31</v>
      </c>
      <c r="L1417" s="8">
        <f>ABS(SUMIF(Table25[[#All],[Assets]],Table25[[#This Row],[Assets]],Table25[[#All],[Sold]]))</f>
        <v>57</v>
      </c>
      <c r="M1417" s="5">
        <f>ABS(SUMIF(Table25[[#All],[Assets]],Table25[[#This Row],[Assets]],Table25[[#All],[Sold Amount]]))</f>
        <v>8530.1</v>
      </c>
      <c r="N1417" s="5">
        <f>IFERROR(Table25[[#This Row],[Total sold amount]]/Table25[[#This Row],[Total Sold number of stocks]],"")</f>
        <v>149.65087719298245</v>
      </c>
      <c r="O1417" s="4">
        <f>IFERROR(Table25[[#This Row],[Total Amount bought]]/Table25[[#This Row],[Total number bought]],"")</f>
        <v>166.72879310344828</v>
      </c>
      <c r="P1417" s="4">
        <f>IFERROR((Table25[[#This Row],[Average sell price]]-Table25[[#This Row],[Average buy price]])*Table25[[#This Row],[Total Sold number of stocks]],0)</f>
        <v>-973.44120689655256</v>
      </c>
      <c r="Q1417" s="85">
        <f>SUMIF(Table25[[#All],[Assets]],Table25[[#This Row],[Assets]],Table25[[#All],[Number of stocks]])</f>
        <v>1</v>
      </c>
    </row>
    <row r="1418" spans="1:17">
      <c r="A1418" t="e" vm="89">
        <v>#VALUE!</v>
      </c>
      <c r="B1418" s="2">
        <v>45861</v>
      </c>
      <c r="C1418" t="str" cm="1">
        <f t="array" aca="1" ref="C1418" ca="1">_FV(A1418,"Ticker symbol",TRUE)</f>
        <v>BKSY</v>
      </c>
      <c r="D1418" s="4">
        <v>21.13</v>
      </c>
      <c r="E1418" s="50">
        <v>-25</v>
      </c>
      <c r="F1418" s="81">
        <f>IF(Table25[[#This Row],[Number of stocks]]&gt;0,Table25[[#This Row],[Number of stocks]],0)</f>
        <v>0</v>
      </c>
      <c r="G1418" s="73">
        <f>Table25[[#This Row],[Bought]]*Table25[[#This Row],[Price]]</f>
        <v>0</v>
      </c>
      <c r="H1418">
        <f>SUMIF(Table25[[#All],[Assets]],Table25[[#This Row],[Assets]],Table25[[#All],[Bought]])</f>
        <v>78</v>
      </c>
      <c r="I1418">
        <f>SUMIF(Table25[[#All],[Assets]],Table25[[#This Row],[Assets]],Table25[[#All],[Bought Amount]])</f>
        <v>897.78</v>
      </c>
      <c r="J1418" s="88">
        <f>IF(Table25[[#This Row],[Number of stocks]]&lt;0,Table25[[#This Row],[Number of stocks]],0)</f>
        <v>-25</v>
      </c>
      <c r="K1418" s="5">
        <f>Table25[[#This Row],[Sold]]*Table25[[#This Row],[Price]]</f>
        <v>-528.25</v>
      </c>
      <c r="L1418" s="8">
        <f>ABS(SUMIF(Table25[[#All],[Assets]],Table25[[#This Row],[Assets]],Table25[[#All],[Sold]]))</f>
        <v>78</v>
      </c>
      <c r="M1418" s="5">
        <f>ABS(SUMIF(Table25[[#All],[Assets]],Table25[[#This Row],[Assets]],Table25[[#All],[Sold Amount]]))</f>
        <v>1583.33</v>
      </c>
      <c r="N1418" s="5">
        <f>IFERROR(Table25[[#This Row],[Total sold amount]]/Table25[[#This Row],[Total Sold number of stocks]],"")</f>
        <v>20.299102564102562</v>
      </c>
      <c r="O1418" s="4">
        <f>IFERROR(Table25[[#This Row],[Total Amount bought]]/Table25[[#This Row],[Total number bought]],"")</f>
        <v>11.51</v>
      </c>
      <c r="P1418" s="4">
        <f>IFERROR((Table25[[#This Row],[Average sell price]]-Table25[[#This Row],[Average buy price]])*Table25[[#This Row],[Total Sold number of stocks]],0)</f>
        <v>685.54999999999984</v>
      </c>
      <c r="Q1418" s="85">
        <f>SUMIF(Table25[[#All],[Assets]],Table25[[#This Row],[Assets]],Table25[[#All],[Number of stocks]])</f>
        <v>0</v>
      </c>
    </row>
    <row r="1419" spans="1:17">
      <c r="A1419" t="e" vm="241">
        <v>#VALUE!</v>
      </c>
      <c r="B1419" s="2">
        <v>45861</v>
      </c>
      <c r="C1419" t="str" cm="1">
        <f t="array" aca="1" ref="C1419" ca="1">_FV(A1419,"Ticker symbol",TRUE)</f>
        <v>LMT</v>
      </c>
      <c r="D1419" s="4">
        <v>418.6</v>
      </c>
      <c r="E1419" s="50">
        <v>1</v>
      </c>
      <c r="F1419" s="81">
        <f>IF(Table25[[#This Row],[Number of stocks]]&gt;0,Table25[[#This Row],[Number of stocks]],0)</f>
        <v>1</v>
      </c>
      <c r="G1419" s="73">
        <f>Table25[[#This Row],[Bought]]*Table25[[#This Row],[Price]]</f>
        <v>418.6</v>
      </c>
      <c r="H1419">
        <f>SUMIF(Table25[[#All],[Assets]],Table25[[#This Row],[Assets]],Table25[[#All],[Bought]])</f>
        <v>1</v>
      </c>
      <c r="I1419">
        <f>SUMIF(Table25[[#All],[Assets]],Table25[[#This Row],[Assets]],Table25[[#All],[Bought Amount]])</f>
        <v>418.6</v>
      </c>
      <c r="J1419" s="88">
        <f>IF(Table25[[#This Row],[Number of stocks]]&lt;0,Table25[[#This Row],[Number of stocks]],0)</f>
        <v>0</v>
      </c>
      <c r="K1419" s="5">
        <f>Table25[[#This Row],[Sold]]*Table25[[#This Row],[Price]]</f>
        <v>0</v>
      </c>
      <c r="L1419" s="8">
        <f>ABS(SUMIF(Table25[[#All],[Assets]],Table25[[#This Row],[Assets]],Table25[[#All],[Sold]]))</f>
        <v>1</v>
      </c>
      <c r="M1419" s="5">
        <f>ABS(SUMIF(Table25[[#All],[Assets]],Table25[[#This Row],[Assets]],Table25[[#All],[Sold Amount]]))</f>
        <v>471.69</v>
      </c>
      <c r="N1419" s="5">
        <f>IFERROR(Table25[[#This Row],[Total sold amount]]/Table25[[#This Row],[Total Sold number of stocks]],"")</f>
        <v>471.69</v>
      </c>
      <c r="O1419" s="4">
        <f>IFERROR(Table25[[#This Row],[Total Amount bought]]/Table25[[#This Row],[Total number bought]],"")</f>
        <v>418.6</v>
      </c>
      <c r="P1419" s="4">
        <f>IFERROR((Table25[[#This Row],[Average sell price]]-Table25[[#This Row],[Average buy price]])*Table25[[#This Row],[Total Sold number of stocks]],0)</f>
        <v>53.089999999999975</v>
      </c>
      <c r="Q1419" s="85">
        <f>SUMIF(Table25[[#All],[Assets]],Table25[[#This Row],[Assets]],Table25[[#All],[Number of stocks]])</f>
        <v>0</v>
      </c>
    </row>
    <row r="1420" spans="1:17">
      <c r="A1420" t="e" vm="82">
        <v>#VALUE!</v>
      </c>
      <c r="B1420" s="2">
        <v>45861</v>
      </c>
      <c r="C1420" t="str" cm="1">
        <f t="array" aca="1" ref="C1420" ca="1">_FV(A1420,"Ticker symbol",TRUE)</f>
        <v>XYZ</v>
      </c>
      <c r="D1420" s="4">
        <v>78.84</v>
      </c>
      <c r="E1420" s="50">
        <v>-9</v>
      </c>
      <c r="F1420" s="81">
        <f>IF(Table25[[#This Row],[Number of stocks]]&gt;0,Table25[[#This Row],[Number of stocks]],0)</f>
        <v>0</v>
      </c>
      <c r="G1420" s="73">
        <f>Table25[[#This Row],[Bought]]*Table25[[#This Row],[Price]]</f>
        <v>0</v>
      </c>
      <c r="H1420">
        <f>SUMIF(Table25[[#All],[Assets]],Table25[[#This Row],[Assets]],Table25[[#All],[Bought]])</f>
        <v>35</v>
      </c>
      <c r="I1420">
        <f>SUMIF(Table25[[#All],[Assets]],Table25[[#This Row],[Assets]],Table25[[#All],[Bought Amount]])</f>
        <v>2551.4399999999996</v>
      </c>
      <c r="J1420" s="88">
        <f>IF(Table25[[#This Row],[Number of stocks]]&lt;0,Table25[[#This Row],[Number of stocks]],0)</f>
        <v>-9</v>
      </c>
      <c r="K1420" s="5">
        <f>Table25[[#This Row],[Sold]]*Table25[[#This Row],[Price]]</f>
        <v>-709.56000000000006</v>
      </c>
      <c r="L1420" s="8">
        <f>ABS(SUMIF(Table25[[#All],[Assets]],Table25[[#This Row],[Assets]],Table25[[#All],[Sold]]))</f>
        <v>35</v>
      </c>
      <c r="M1420" s="5">
        <f>ABS(SUMIF(Table25[[#All],[Assets]],Table25[[#This Row],[Assets]],Table25[[#All],[Sold Amount]]))</f>
        <v>2639.0700000000006</v>
      </c>
      <c r="N1420" s="5">
        <f>IFERROR(Table25[[#This Row],[Total sold amount]]/Table25[[#This Row],[Total Sold number of stocks]],"")</f>
        <v>75.402000000000015</v>
      </c>
      <c r="O1420" s="4">
        <f>IFERROR(Table25[[#This Row],[Total Amount bought]]/Table25[[#This Row],[Total number bought]],"")</f>
        <v>72.898285714285706</v>
      </c>
      <c r="P1420" s="4">
        <f>IFERROR((Table25[[#This Row],[Average sell price]]-Table25[[#This Row],[Average buy price]])*Table25[[#This Row],[Total Sold number of stocks]],0)</f>
        <v>87.630000000000834</v>
      </c>
      <c r="Q1420" s="85">
        <f>SUMIF(Table25[[#All],[Assets]],Table25[[#This Row],[Assets]],Table25[[#All],[Number of stocks]])</f>
        <v>0</v>
      </c>
    </row>
    <row r="1421" spans="1:17">
      <c r="A1421" t="e" vm="571">
        <v>#VALUE!</v>
      </c>
      <c r="B1421" s="2">
        <v>45861</v>
      </c>
      <c r="C1421" t="str" cm="1">
        <f t="array" aca="1" ref="C1421" ca="1">_FV(A1421,"Ticker symbol",TRUE)</f>
        <v>LCID</v>
      </c>
      <c r="D1421" s="4">
        <v>3.21</v>
      </c>
      <c r="E1421" s="50">
        <v>150</v>
      </c>
      <c r="F1421" s="81">
        <f>IF(Table25[[#This Row],[Number of stocks]]&gt;0,Table25[[#This Row],[Number of stocks]],0)</f>
        <v>150</v>
      </c>
      <c r="G1421" s="73">
        <f>Table25[[#This Row],[Bought]]*Table25[[#This Row],[Price]]</f>
        <v>481.5</v>
      </c>
      <c r="H1421">
        <f>SUMIF(Table25[[#All],[Assets]],Table25[[#This Row],[Assets]],Table25[[#All],[Bought]])</f>
        <v>150</v>
      </c>
      <c r="I1421">
        <f>SUMIF(Table25[[#All],[Assets]],Table25[[#This Row],[Assets]],Table25[[#All],[Bought Amount]])</f>
        <v>481.5</v>
      </c>
      <c r="J1421" s="88">
        <f>IF(Table25[[#This Row],[Number of stocks]]&lt;0,Table25[[#This Row],[Number of stocks]],0)</f>
        <v>0</v>
      </c>
      <c r="K1421" s="5">
        <f>Table25[[#This Row],[Sold]]*Table25[[#This Row],[Price]]</f>
        <v>0</v>
      </c>
      <c r="L1421" s="8">
        <f>ABS(SUMIF(Table25[[#All],[Assets]],Table25[[#This Row],[Assets]],Table25[[#All],[Sold]]))</f>
        <v>150</v>
      </c>
      <c r="M1421" s="5">
        <f>ABS(SUMIF(Table25[[#All],[Assets]],Table25[[#This Row],[Assets]],Table25[[#All],[Sold Amount]]))</f>
        <v>423</v>
      </c>
      <c r="N1421" s="5">
        <f>IFERROR(Table25[[#This Row],[Total sold amount]]/Table25[[#This Row],[Total Sold number of stocks]],"")</f>
        <v>2.82</v>
      </c>
      <c r="O1421" s="4">
        <f>IFERROR(Table25[[#This Row],[Total Amount bought]]/Table25[[#This Row],[Total number bought]],"")</f>
        <v>3.21</v>
      </c>
      <c r="P1421" s="4">
        <f>IFERROR((Table25[[#This Row],[Average sell price]]-Table25[[#This Row],[Average buy price]])*Table25[[#This Row],[Total Sold number of stocks]],0)</f>
        <v>-58.500000000000021</v>
      </c>
      <c r="Q1421" s="85">
        <f>SUMIF(Table25[[#All],[Assets]],Table25[[#This Row],[Assets]],Table25[[#All],[Number of stocks]])</f>
        <v>0</v>
      </c>
    </row>
    <row r="1422" spans="1:17">
      <c r="A1422" t="e" vm="495">
        <v>#VALUE!</v>
      </c>
      <c r="B1422" s="2">
        <v>45861</v>
      </c>
      <c r="C1422" t="str" cm="1">
        <f t="array" aca="1" ref="C1422" ca="1">_FV(A1422,"Ticker symbol",TRUE)</f>
        <v>KSS</v>
      </c>
      <c r="D1422" s="4">
        <v>12.33</v>
      </c>
      <c r="E1422" s="50">
        <v>18</v>
      </c>
      <c r="F1422" s="81">
        <f>IF(Table25[[#This Row],[Number of stocks]]&gt;0,Table25[[#This Row],[Number of stocks]],0)</f>
        <v>18</v>
      </c>
      <c r="G1422" s="73">
        <f>Table25[[#This Row],[Bought]]*Table25[[#This Row],[Price]]</f>
        <v>221.94</v>
      </c>
      <c r="H1422">
        <f>SUMIF(Table25[[#All],[Assets]],Table25[[#This Row],[Assets]],Table25[[#All],[Bought]])</f>
        <v>18</v>
      </c>
      <c r="I1422">
        <f>SUMIF(Table25[[#All],[Assets]],Table25[[#This Row],[Assets]],Table25[[#All],[Bought Amount]])</f>
        <v>221.94</v>
      </c>
      <c r="J1422" s="88">
        <f>IF(Table25[[#This Row],[Number of stocks]]&lt;0,Table25[[#This Row],[Number of stocks]],0)</f>
        <v>0</v>
      </c>
      <c r="K1422" s="5">
        <f>Table25[[#This Row],[Sold]]*Table25[[#This Row],[Price]]</f>
        <v>0</v>
      </c>
      <c r="L1422" s="8">
        <f>ABS(SUMIF(Table25[[#All],[Assets]],Table25[[#This Row],[Assets]],Table25[[#All],[Sold]]))</f>
        <v>18</v>
      </c>
      <c r="M1422" s="5">
        <f>ABS(SUMIF(Table25[[#All],[Assets]],Table25[[#This Row],[Assets]],Table25[[#All],[Sold Amount]]))</f>
        <v>214.74</v>
      </c>
      <c r="N1422" s="5">
        <f>IFERROR(Table25[[#This Row],[Total sold amount]]/Table25[[#This Row],[Total Sold number of stocks]],"")</f>
        <v>11.93</v>
      </c>
      <c r="O1422" s="4">
        <f>IFERROR(Table25[[#This Row],[Total Amount bought]]/Table25[[#This Row],[Total number bought]],"")</f>
        <v>12.33</v>
      </c>
      <c r="P1422" s="4">
        <f>IFERROR((Table25[[#This Row],[Average sell price]]-Table25[[#This Row],[Average buy price]])*Table25[[#This Row],[Total Sold number of stocks]],0)</f>
        <v>-7.2000000000000064</v>
      </c>
      <c r="Q1422" s="85">
        <f>SUMIF(Table25[[#All],[Assets]],Table25[[#This Row],[Assets]],Table25[[#All],[Number of stocks]])</f>
        <v>0</v>
      </c>
    </row>
    <row r="1423" spans="1:17">
      <c r="A1423" t="e" vm="266">
        <v>#VALUE!</v>
      </c>
      <c r="B1423" s="2">
        <v>45861</v>
      </c>
      <c r="C1423" t="str" cm="1">
        <f t="array" aca="1" ref="C1423" ca="1">_FV(A1423,"Ticker symbol",TRUE)</f>
        <v>VERA</v>
      </c>
      <c r="D1423" s="4">
        <v>22.58</v>
      </c>
      <c r="E1423" s="50">
        <v>-10</v>
      </c>
      <c r="F1423" s="81">
        <f>IF(Table25[[#This Row],[Number of stocks]]&gt;0,Table25[[#This Row],[Number of stocks]],0)</f>
        <v>0</v>
      </c>
      <c r="G1423" s="73">
        <f>Table25[[#This Row],[Bought]]*Table25[[#This Row],[Price]]</f>
        <v>0</v>
      </c>
      <c r="H1423">
        <f>SUMIF(Table25[[#All],[Assets]],Table25[[#This Row],[Assets]],Table25[[#All],[Bought]])</f>
        <v>20</v>
      </c>
      <c r="I1423">
        <f>SUMIF(Table25[[#All],[Assets]],Table25[[#This Row],[Assets]],Table25[[#All],[Bought Amount]])</f>
        <v>461.4</v>
      </c>
      <c r="J1423" s="88">
        <f>IF(Table25[[#This Row],[Number of stocks]]&lt;0,Table25[[#This Row],[Number of stocks]],0)</f>
        <v>-10</v>
      </c>
      <c r="K1423" s="5">
        <f>Table25[[#This Row],[Sold]]*Table25[[#This Row],[Price]]</f>
        <v>-225.79999999999998</v>
      </c>
      <c r="L1423" s="8">
        <f>ABS(SUMIF(Table25[[#All],[Assets]],Table25[[#This Row],[Assets]],Table25[[#All],[Sold]]))</f>
        <v>20</v>
      </c>
      <c r="M1423" s="5">
        <f>ABS(SUMIF(Table25[[#All],[Assets]],Table25[[#This Row],[Assets]],Table25[[#All],[Sold Amount]]))</f>
        <v>466.59999999999997</v>
      </c>
      <c r="N1423" s="5">
        <f>IFERROR(Table25[[#This Row],[Total sold amount]]/Table25[[#This Row],[Total Sold number of stocks]],"")</f>
        <v>23.33</v>
      </c>
      <c r="O1423" s="4">
        <f>IFERROR(Table25[[#This Row],[Total Amount bought]]/Table25[[#This Row],[Total number bought]],"")</f>
        <v>23.07</v>
      </c>
      <c r="P1423" s="4">
        <f>IFERROR((Table25[[#This Row],[Average sell price]]-Table25[[#This Row],[Average buy price]])*Table25[[#This Row],[Total Sold number of stocks]],0)</f>
        <v>5.1999999999999602</v>
      </c>
      <c r="Q1423" s="85">
        <f>SUMIF(Table25[[#All],[Assets]],Table25[[#This Row],[Assets]],Table25[[#All],[Number of stocks]])</f>
        <v>0</v>
      </c>
    </row>
    <row r="1424" spans="1:17">
      <c r="A1424" t="e" vm="74">
        <v>#VALUE!</v>
      </c>
      <c r="B1424" s="2">
        <v>45861</v>
      </c>
      <c r="C1424" t="str" cm="1">
        <f t="array" aca="1" ref="C1424" ca="1">_FV(A1424,"Ticker symbol",TRUE)</f>
        <v>XGN</v>
      </c>
      <c r="D1424" s="4">
        <v>7.3</v>
      </c>
      <c r="E1424" s="50">
        <v>32</v>
      </c>
      <c r="F1424" s="81">
        <f>IF(Table25[[#This Row],[Number of stocks]]&gt;0,Table25[[#This Row],[Number of stocks]],0)</f>
        <v>32</v>
      </c>
      <c r="G1424" s="73">
        <f>Table25[[#This Row],[Bought]]*Table25[[#This Row],[Price]]</f>
        <v>233.6</v>
      </c>
      <c r="H1424">
        <f>SUMIF(Table25[[#All],[Assets]],Table25[[#This Row],[Assets]],Table25[[#All],[Bought]])</f>
        <v>249</v>
      </c>
      <c r="I1424">
        <f>SUMIF(Table25[[#All],[Assets]],Table25[[#This Row],[Assets]],Table25[[#All],[Bought Amount]])</f>
        <v>1807.8</v>
      </c>
      <c r="J1424" s="88">
        <f>IF(Table25[[#This Row],[Number of stocks]]&lt;0,Table25[[#This Row],[Number of stocks]],0)</f>
        <v>0</v>
      </c>
      <c r="K1424" s="5">
        <f>Table25[[#This Row],[Sold]]*Table25[[#This Row],[Price]]</f>
        <v>0</v>
      </c>
      <c r="L1424" s="8">
        <f>ABS(SUMIF(Table25[[#All],[Assets]],Table25[[#This Row],[Assets]],Table25[[#All],[Sold]]))</f>
        <v>249</v>
      </c>
      <c r="M1424" s="5">
        <f>ABS(SUMIF(Table25[[#All],[Assets]],Table25[[#This Row],[Assets]],Table25[[#All],[Sold Amount]]))</f>
        <v>2313.8000000000002</v>
      </c>
      <c r="N1424" s="5">
        <f>IFERROR(Table25[[#This Row],[Total sold amount]]/Table25[[#This Row],[Total Sold number of stocks]],"")</f>
        <v>9.292369477911647</v>
      </c>
      <c r="O1424" s="4">
        <f>IFERROR(Table25[[#This Row],[Total Amount bought]]/Table25[[#This Row],[Total number bought]],"")</f>
        <v>7.2602409638554217</v>
      </c>
      <c r="P1424" s="4">
        <f>IFERROR((Table25[[#This Row],[Average sell price]]-Table25[[#This Row],[Average buy price]])*Table25[[#This Row],[Total Sold number of stocks]],0)</f>
        <v>506.00000000000011</v>
      </c>
      <c r="Q1424" s="85">
        <f>SUMIF(Table25[[#All],[Assets]],Table25[[#This Row],[Assets]],Table25[[#All],[Number of stocks]])</f>
        <v>0</v>
      </c>
    </row>
    <row r="1425" spans="1:17">
      <c r="A1425" t="e" vm="565">
        <v>#VALUE!</v>
      </c>
      <c r="B1425" s="2">
        <v>45861</v>
      </c>
      <c r="C1425" t="str" cm="1">
        <f t="array" aca="1" ref="C1425" ca="1">_FV(A1425,"Ticker symbol",TRUE)</f>
        <v>SBET</v>
      </c>
      <c r="D1425" s="4">
        <v>25.68</v>
      </c>
      <c r="E1425" s="50">
        <v>-22</v>
      </c>
      <c r="F1425" s="81">
        <f>IF(Table25[[#This Row],[Number of stocks]]&gt;0,Table25[[#This Row],[Number of stocks]],0)</f>
        <v>0</v>
      </c>
      <c r="G1425" s="73">
        <f>Table25[[#This Row],[Bought]]*Table25[[#This Row],[Price]]</f>
        <v>0</v>
      </c>
      <c r="H1425">
        <f>SUMIF(Table25[[#All],[Assets]],Table25[[#This Row],[Assets]],Table25[[#All],[Bought]])</f>
        <v>54</v>
      </c>
      <c r="I1425">
        <f>SUMIF(Table25[[#All],[Assets]],Table25[[#This Row],[Assets]],Table25[[#All],[Bought Amount]])</f>
        <v>751.68</v>
      </c>
      <c r="J1425" s="88">
        <f>IF(Table25[[#This Row],[Number of stocks]]&lt;0,Table25[[#This Row],[Number of stocks]],0)</f>
        <v>-22</v>
      </c>
      <c r="K1425" s="5">
        <f>Table25[[#This Row],[Sold]]*Table25[[#This Row],[Price]]</f>
        <v>-564.96</v>
      </c>
      <c r="L1425" s="8">
        <f>ABS(SUMIF(Table25[[#All],[Assets]],Table25[[#This Row],[Assets]],Table25[[#All],[Sold]]))</f>
        <v>54</v>
      </c>
      <c r="M1425" s="5">
        <f>ABS(SUMIF(Table25[[#All],[Assets]],Table25[[#This Row],[Assets]],Table25[[#All],[Sold Amount]]))</f>
        <v>1323.46</v>
      </c>
      <c r="N1425" s="5">
        <f>IFERROR(Table25[[#This Row],[Total sold amount]]/Table25[[#This Row],[Total Sold number of stocks]],"")</f>
        <v>24.508518518518517</v>
      </c>
      <c r="O1425" s="4">
        <f>IFERROR(Table25[[#This Row],[Total Amount bought]]/Table25[[#This Row],[Total number bought]],"")</f>
        <v>13.92</v>
      </c>
      <c r="P1425" s="4">
        <f>IFERROR((Table25[[#This Row],[Average sell price]]-Table25[[#This Row],[Average buy price]])*Table25[[#This Row],[Total Sold number of stocks]],0)</f>
        <v>571.78</v>
      </c>
      <c r="Q1425" s="85">
        <f>SUMIF(Table25[[#All],[Assets]],Table25[[#This Row],[Assets]],Table25[[#All],[Number of stocks]])</f>
        <v>0</v>
      </c>
    </row>
    <row r="1426" spans="1:17">
      <c r="A1426" t="e" vm="80">
        <v>#VALUE!</v>
      </c>
      <c r="B1426" s="2">
        <v>45861</v>
      </c>
      <c r="C1426" t="str" cm="1">
        <f t="array" aca="1" ref="C1426" ca="1">_FV(A1426,"Ticker symbol",TRUE)</f>
        <v>PYPL</v>
      </c>
      <c r="D1426" s="4">
        <v>76.91</v>
      </c>
      <c r="E1426" s="50">
        <v>7</v>
      </c>
      <c r="F1426" s="81">
        <f>IF(Table25[[#This Row],[Number of stocks]]&gt;0,Table25[[#This Row],[Number of stocks]],0)</f>
        <v>7</v>
      </c>
      <c r="G1426" s="73">
        <f>Table25[[#This Row],[Bought]]*Table25[[#This Row],[Price]]</f>
        <v>538.37</v>
      </c>
      <c r="H1426">
        <f>SUMIF(Table25[[#All],[Assets]],Table25[[#This Row],[Assets]],Table25[[#All],[Bought]])</f>
        <v>223</v>
      </c>
      <c r="I1426">
        <f>SUMIF(Table25[[#All],[Assets]],Table25[[#This Row],[Assets]],Table25[[#All],[Bought Amount]])</f>
        <v>14862.050000000003</v>
      </c>
      <c r="J1426" s="88">
        <f>IF(Table25[[#This Row],[Number of stocks]]&lt;0,Table25[[#This Row],[Number of stocks]],0)</f>
        <v>0</v>
      </c>
      <c r="K1426" s="5">
        <f>Table25[[#This Row],[Sold]]*Table25[[#This Row],[Price]]</f>
        <v>0</v>
      </c>
      <c r="L1426" s="8">
        <f>ABS(SUMIF(Table25[[#All],[Assets]],Table25[[#This Row],[Assets]],Table25[[#All],[Sold]]))</f>
        <v>222</v>
      </c>
      <c r="M1426" s="5">
        <f>ABS(SUMIF(Table25[[#All],[Assets]],Table25[[#This Row],[Assets]],Table25[[#All],[Sold Amount]]))</f>
        <v>15255.44</v>
      </c>
      <c r="N1426" s="5">
        <f>IFERROR(Table25[[#This Row],[Total sold amount]]/Table25[[#This Row],[Total Sold number of stocks]],"")</f>
        <v>68.718198198198195</v>
      </c>
      <c r="O1426" s="4">
        <f>IFERROR(Table25[[#This Row],[Total Amount bought]]/Table25[[#This Row],[Total number bought]],"")</f>
        <v>66.645964125560553</v>
      </c>
      <c r="P1426" s="4">
        <f>IFERROR((Table25[[#This Row],[Average sell price]]-Table25[[#This Row],[Average buy price]])*Table25[[#This Row],[Total Sold number of stocks]],0)</f>
        <v>460.03596412555646</v>
      </c>
      <c r="Q1426" s="85">
        <f>SUMIF(Table25[[#All],[Assets]],Table25[[#This Row],[Assets]],Table25[[#All],[Number of stocks]])</f>
        <v>1</v>
      </c>
    </row>
    <row r="1427" spans="1:17">
      <c r="A1427" t="e" vm="80">
        <v>#VALUE!</v>
      </c>
      <c r="B1427" s="2">
        <v>45861</v>
      </c>
      <c r="C1427" t="str" cm="1">
        <f t="array" aca="1" ref="C1427" ca="1">_FV(A1427,"Ticker symbol",TRUE)</f>
        <v>PYPL</v>
      </c>
      <c r="D1427" s="4">
        <v>76.89</v>
      </c>
      <c r="E1427" s="50">
        <v>1</v>
      </c>
      <c r="F1427" s="81">
        <f>IF(Table25[[#This Row],[Number of stocks]]&gt;0,Table25[[#This Row],[Number of stocks]],0)</f>
        <v>1</v>
      </c>
      <c r="G1427" s="73">
        <f>Table25[[#This Row],[Bought]]*Table25[[#This Row],[Price]]</f>
        <v>76.89</v>
      </c>
      <c r="H1427">
        <f>SUMIF(Table25[[#All],[Assets]],Table25[[#This Row],[Assets]],Table25[[#All],[Bought]])</f>
        <v>223</v>
      </c>
      <c r="I1427">
        <f>SUMIF(Table25[[#All],[Assets]],Table25[[#This Row],[Assets]],Table25[[#All],[Bought Amount]])</f>
        <v>14862.050000000003</v>
      </c>
      <c r="J1427" s="88">
        <f>IF(Table25[[#This Row],[Number of stocks]]&lt;0,Table25[[#This Row],[Number of stocks]],0)</f>
        <v>0</v>
      </c>
      <c r="K1427" s="5">
        <f>Table25[[#This Row],[Sold]]*Table25[[#This Row],[Price]]</f>
        <v>0</v>
      </c>
      <c r="L1427" s="8">
        <f>ABS(SUMIF(Table25[[#All],[Assets]],Table25[[#This Row],[Assets]],Table25[[#All],[Sold]]))</f>
        <v>222</v>
      </c>
      <c r="M1427" s="5">
        <f>ABS(SUMIF(Table25[[#All],[Assets]],Table25[[#This Row],[Assets]],Table25[[#All],[Sold Amount]]))</f>
        <v>15255.44</v>
      </c>
      <c r="N1427" s="5">
        <f>IFERROR(Table25[[#This Row],[Total sold amount]]/Table25[[#This Row],[Total Sold number of stocks]],"")</f>
        <v>68.718198198198195</v>
      </c>
      <c r="O1427" s="4">
        <f>IFERROR(Table25[[#This Row],[Total Amount bought]]/Table25[[#This Row],[Total number bought]],"")</f>
        <v>66.645964125560553</v>
      </c>
      <c r="P1427" s="4">
        <f>IFERROR((Table25[[#This Row],[Average sell price]]-Table25[[#This Row],[Average buy price]])*Table25[[#This Row],[Total Sold number of stocks]],0)</f>
        <v>460.03596412555646</v>
      </c>
      <c r="Q1427" s="85">
        <f>SUMIF(Table25[[#All],[Assets]],Table25[[#This Row],[Assets]],Table25[[#All],[Number of stocks]])</f>
        <v>1</v>
      </c>
    </row>
    <row r="1428" spans="1:17">
      <c r="A1428" t="e" vm="74">
        <v>#VALUE!</v>
      </c>
      <c r="B1428" s="2">
        <v>45861</v>
      </c>
      <c r="C1428" t="str" cm="1">
        <f t="array" aca="1" ref="C1428" ca="1">_FV(A1428,"Ticker symbol",TRUE)</f>
        <v>XGN</v>
      </c>
      <c r="D1428" s="4">
        <v>7.3</v>
      </c>
      <c r="E1428" s="50">
        <v>7</v>
      </c>
      <c r="F1428" s="81">
        <f>IF(Table25[[#This Row],[Number of stocks]]&gt;0,Table25[[#This Row],[Number of stocks]],0)</f>
        <v>7</v>
      </c>
      <c r="G1428" s="73">
        <f>Table25[[#This Row],[Bought]]*Table25[[#This Row],[Price]]</f>
        <v>51.1</v>
      </c>
      <c r="H1428">
        <f>SUMIF(Table25[[#All],[Assets]],Table25[[#This Row],[Assets]],Table25[[#All],[Bought]])</f>
        <v>249</v>
      </c>
      <c r="I1428">
        <f>SUMIF(Table25[[#All],[Assets]],Table25[[#This Row],[Assets]],Table25[[#All],[Bought Amount]])</f>
        <v>1807.8</v>
      </c>
      <c r="J1428" s="88">
        <f>IF(Table25[[#This Row],[Number of stocks]]&lt;0,Table25[[#This Row],[Number of stocks]],0)</f>
        <v>0</v>
      </c>
      <c r="K1428" s="5">
        <f>Table25[[#This Row],[Sold]]*Table25[[#This Row],[Price]]</f>
        <v>0</v>
      </c>
      <c r="L1428" s="8">
        <f>ABS(SUMIF(Table25[[#All],[Assets]],Table25[[#This Row],[Assets]],Table25[[#All],[Sold]]))</f>
        <v>249</v>
      </c>
      <c r="M1428" s="5">
        <f>ABS(SUMIF(Table25[[#All],[Assets]],Table25[[#This Row],[Assets]],Table25[[#All],[Sold Amount]]))</f>
        <v>2313.8000000000002</v>
      </c>
      <c r="N1428" s="5">
        <f>IFERROR(Table25[[#This Row],[Total sold amount]]/Table25[[#This Row],[Total Sold number of stocks]],"")</f>
        <v>9.292369477911647</v>
      </c>
      <c r="O1428" s="4">
        <f>IFERROR(Table25[[#This Row],[Total Amount bought]]/Table25[[#This Row],[Total number bought]],"")</f>
        <v>7.2602409638554217</v>
      </c>
      <c r="P1428" s="4">
        <f>IFERROR((Table25[[#This Row],[Average sell price]]-Table25[[#This Row],[Average buy price]])*Table25[[#This Row],[Total Sold number of stocks]],0)</f>
        <v>506.00000000000011</v>
      </c>
      <c r="Q1428" s="85">
        <f>SUMIF(Table25[[#All],[Assets]],Table25[[#This Row],[Assets]],Table25[[#All],[Number of stocks]])</f>
        <v>0</v>
      </c>
    </row>
    <row r="1429" spans="1:17">
      <c r="A1429" t="e" vm="193">
        <v>#VALUE!</v>
      </c>
      <c r="B1429" s="2">
        <v>45862</v>
      </c>
      <c r="C1429" t="str" cm="1">
        <f t="array" aca="1" ref="C1429" ca="1">_FV(A1429,"Ticker symbol",TRUE)</f>
        <v>UAVS</v>
      </c>
      <c r="D1429" s="4">
        <v>3.36</v>
      </c>
      <c r="E1429" s="50">
        <v>-150</v>
      </c>
      <c r="F1429" s="81">
        <f>IF(Table25[[#This Row],[Number of stocks]]&gt;0,Table25[[#This Row],[Number of stocks]],0)</f>
        <v>0</v>
      </c>
      <c r="G1429" s="73">
        <f>Table25[[#This Row],[Bought]]*Table25[[#This Row],[Price]]</f>
        <v>0</v>
      </c>
      <c r="H1429">
        <f>SUMIF(Table25[[#All],[Assets]],Table25[[#This Row],[Assets]],Table25[[#All],[Bought]])</f>
        <v>1480</v>
      </c>
      <c r="I1429">
        <f>SUMIF(Table25[[#All],[Assets]],Table25[[#This Row],[Assets]],Table25[[#All],[Bought Amount]])</f>
        <v>1868.4090000000001</v>
      </c>
      <c r="J1429" s="88">
        <f>IF(Table25[[#This Row],[Number of stocks]]&lt;0,Table25[[#This Row],[Number of stocks]],0)</f>
        <v>-150</v>
      </c>
      <c r="K1429" s="5">
        <f>Table25[[#This Row],[Sold]]*Table25[[#This Row],[Price]]</f>
        <v>-504</v>
      </c>
      <c r="L1429" s="8">
        <f>ABS(SUMIF(Table25[[#All],[Assets]],Table25[[#This Row],[Assets]],Table25[[#All],[Sold]]))</f>
        <v>500</v>
      </c>
      <c r="M1429" s="5">
        <f>ABS(SUMIF(Table25[[#All],[Assets]],Table25[[#This Row],[Assets]],Table25[[#All],[Sold Amount]]))</f>
        <v>1198</v>
      </c>
      <c r="N1429" s="5">
        <f>IFERROR(Table25[[#This Row],[Total sold amount]]/Table25[[#This Row],[Total Sold number of stocks]],"")</f>
        <v>2.3959999999999999</v>
      </c>
      <c r="O1429" s="4">
        <f>IFERROR(Table25[[#This Row],[Total Amount bought]]/Table25[[#This Row],[Total number bought]],"")</f>
        <v>1.2624385135135137</v>
      </c>
      <c r="P1429" s="4">
        <f>IFERROR((Table25[[#This Row],[Average sell price]]-Table25[[#This Row],[Average buy price]])*Table25[[#This Row],[Total Sold number of stocks]],0)</f>
        <v>566.78074324324314</v>
      </c>
      <c r="Q1429" s="85">
        <f>SUMIF(Table25[[#All],[Assets]],Table25[[#This Row],[Assets]],Table25[[#All],[Number of stocks]])</f>
        <v>980</v>
      </c>
    </row>
    <row r="1430" spans="1:17">
      <c r="A1430" t="e" vm="80">
        <v>#VALUE!</v>
      </c>
      <c r="B1430" s="2">
        <v>45862</v>
      </c>
      <c r="C1430" t="str" cm="1">
        <f t="array" aca="1" ref="C1430" ca="1">_FV(A1430,"Ticker symbol",TRUE)</f>
        <v>PYPL</v>
      </c>
      <c r="D1430" s="4">
        <v>78.2</v>
      </c>
      <c r="E1430" s="50">
        <v>6</v>
      </c>
      <c r="F1430" s="81">
        <f>IF(Table25[[#This Row],[Number of stocks]]&gt;0,Table25[[#This Row],[Number of stocks]],0)</f>
        <v>6</v>
      </c>
      <c r="G1430" s="73">
        <f>Table25[[#This Row],[Bought]]*Table25[[#This Row],[Price]]</f>
        <v>469.20000000000005</v>
      </c>
      <c r="H1430">
        <f>SUMIF(Table25[[#All],[Assets]],Table25[[#This Row],[Assets]],Table25[[#All],[Bought]])</f>
        <v>223</v>
      </c>
      <c r="I1430">
        <f>SUMIF(Table25[[#All],[Assets]],Table25[[#This Row],[Assets]],Table25[[#All],[Bought Amount]])</f>
        <v>14862.050000000003</v>
      </c>
      <c r="J1430" s="88">
        <f>IF(Table25[[#This Row],[Number of stocks]]&lt;0,Table25[[#This Row],[Number of stocks]],0)</f>
        <v>0</v>
      </c>
      <c r="K1430" s="5">
        <f>Table25[[#This Row],[Sold]]*Table25[[#This Row],[Price]]</f>
        <v>0</v>
      </c>
      <c r="L1430" s="8">
        <f>ABS(SUMIF(Table25[[#All],[Assets]],Table25[[#This Row],[Assets]],Table25[[#All],[Sold]]))</f>
        <v>222</v>
      </c>
      <c r="M1430" s="5">
        <f>ABS(SUMIF(Table25[[#All],[Assets]],Table25[[#This Row],[Assets]],Table25[[#All],[Sold Amount]]))</f>
        <v>15255.44</v>
      </c>
      <c r="N1430" s="5">
        <f>IFERROR(Table25[[#This Row],[Total sold amount]]/Table25[[#This Row],[Total Sold number of stocks]],"")</f>
        <v>68.718198198198195</v>
      </c>
      <c r="O1430" s="4">
        <f>IFERROR(Table25[[#This Row],[Total Amount bought]]/Table25[[#This Row],[Total number bought]],"")</f>
        <v>66.645964125560553</v>
      </c>
      <c r="P1430" s="4">
        <f>IFERROR((Table25[[#This Row],[Average sell price]]-Table25[[#This Row],[Average buy price]])*Table25[[#This Row],[Total Sold number of stocks]],0)</f>
        <v>460.03596412555646</v>
      </c>
      <c r="Q1430" s="85">
        <f>SUMIF(Table25[[#All],[Assets]],Table25[[#This Row],[Assets]],Table25[[#All],[Number of stocks]])</f>
        <v>1</v>
      </c>
    </row>
    <row r="1431" spans="1:17">
      <c r="A1431" t="e" vm="90">
        <v>#VALUE!</v>
      </c>
      <c r="B1431" s="2">
        <v>45862</v>
      </c>
      <c r="C1431" t="str" cm="1">
        <f t="array" aca="1" ref="C1431" ca="1">_FV(A1431,"Ticker symbol",TRUE)</f>
        <v>ASTS</v>
      </c>
      <c r="D1431" s="4">
        <v>59.52</v>
      </c>
      <c r="E1431" s="50">
        <v>-11</v>
      </c>
      <c r="F1431" s="81">
        <f>IF(Table25[[#This Row],[Number of stocks]]&gt;0,Table25[[#This Row],[Number of stocks]],0)</f>
        <v>0</v>
      </c>
      <c r="G1431" s="73">
        <f>Table25[[#This Row],[Bought]]*Table25[[#This Row],[Price]]</f>
        <v>0</v>
      </c>
      <c r="H1431">
        <f>SUMIF(Table25[[#All],[Assets]],Table25[[#This Row],[Assets]],Table25[[#All],[Bought]])</f>
        <v>47</v>
      </c>
      <c r="I1431">
        <f>SUMIF(Table25[[#All],[Assets]],Table25[[#This Row],[Assets]],Table25[[#All],[Bought Amount]])</f>
        <v>1690.75</v>
      </c>
      <c r="J1431" s="88">
        <f>IF(Table25[[#This Row],[Number of stocks]]&lt;0,Table25[[#This Row],[Number of stocks]],0)</f>
        <v>-11</v>
      </c>
      <c r="K1431" s="5">
        <f>Table25[[#This Row],[Sold]]*Table25[[#This Row],[Price]]</f>
        <v>-654.72</v>
      </c>
      <c r="L1431" s="8">
        <f>ABS(SUMIF(Table25[[#All],[Assets]],Table25[[#This Row],[Assets]],Table25[[#All],[Sold]]))</f>
        <v>37</v>
      </c>
      <c r="M1431" s="5">
        <f>ABS(SUMIF(Table25[[#All],[Assets]],Table25[[#This Row],[Assets]],Table25[[#All],[Sold Amount]]))</f>
        <v>2479.08</v>
      </c>
      <c r="N1431" s="5">
        <f>IFERROR(Table25[[#This Row],[Total sold amount]]/Table25[[#This Row],[Total Sold number of stocks]],"")</f>
        <v>67.002162162162165</v>
      </c>
      <c r="O1431" s="4">
        <f>IFERROR(Table25[[#This Row],[Total Amount bought]]/Table25[[#This Row],[Total number bought]],"")</f>
        <v>35.973404255319146</v>
      </c>
      <c r="P1431" s="4">
        <f>IFERROR((Table25[[#This Row],[Average sell price]]-Table25[[#This Row],[Average buy price]])*Table25[[#This Row],[Total Sold number of stocks]],0)</f>
        <v>1148.0640425531917</v>
      </c>
      <c r="Q1431" s="85">
        <f>SUMIF(Table25[[#All],[Assets]],Table25[[#This Row],[Assets]],Table25[[#All],[Number of stocks]])</f>
        <v>10</v>
      </c>
    </row>
    <row r="1432" spans="1:17">
      <c r="A1432" t="e" vm="229">
        <v>#VALUE!</v>
      </c>
      <c r="B1432" s="2">
        <v>45862</v>
      </c>
      <c r="C1432" t="str" cm="1">
        <f t="array" aca="1" ref="C1432" ca="1">_FV(A1432,"Ticker symbol",TRUE)</f>
        <v>AEO</v>
      </c>
      <c r="D1432" s="4">
        <v>11.47</v>
      </c>
      <c r="E1432" s="50">
        <v>60</v>
      </c>
      <c r="F1432" s="81">
        <f>IF(Table25[[#This Row],[Number of stocks]]&gt;0,Table25[[#This Row],[Number of stocks]],0)</f>
        <v>60</v>
      </c>
      <c r="G1432" s="73">
        <f>Table25[[#This Row],[Bought]]*Table25[[#This Row],[Price]]</f>
        <v>688.2</v>
      </c>
      <c r="H1432">
        <f>SUMIF(Table25[[#All],[Assets]],Table25[[#This Row],[Assets]],Table25[[#All],[Bought]])</f>
        <v>105</v>
      </c>
      <c r="I1432">
        <f>SUMIF(Table25[[#All],[Assets]],Table25[[#This Row],[Assets]],Table25[[#All],[Bought Amount]])</f>
        <v>1221.25</v>
      </c>
      <c r="J1432" s="88">
        <f>IF(Table25[[#This Row],[Number of stocks]]&lt;0,Table25[[#This Row],[Number of stocks]],0)</f>
        <v>0</v>
      </c>
      <c r="K1432" s="5">
        <f>Table25[[#This Row],[Sold]]*Table25[[#This Row],[Price]]</f>
        <v>0</v>
      </c>
      <c r="L1432" s="8">
        <f>ABS(SUMIF(Table25[[#All],[Assets]],Table25[[#This Row],[Assets]],Table25[[#All],[Sold]]))</f>
        <v>105</v>
      </c>
      <c r="M1432" s="5">
        <f>ABS(SUMIF(Table25[[#All],[Assets]],Table25[[#This Row],[Assets]],Table25[[#All],[Sold Amount]]))</f>
        <v>2003.4</v>
      </c>
      <c r="N1432" s="5">
        <f>IFERROR(Table25[[#This Row],[Total sold amount]]/Table25[[#This Row],[Total Sold number of stocks]],"")</f>
        <v>19.080000000000002</v>
      </c>
      <c r="O1432" s="4">
        <f>IFERROR(Table25[[#This Row],[Total Amount bought]]/Table25[[#This Row],[Total number bought]],"")</f>
        <v>11.630952380952381</v>
      </c>
      <c r="P1432" s="4">
        <f>IFERROR((Table25[[#This Row],[Average sell price]]-Table25[[#This Row],[Average buy price]])*Table25[[#This Row],[Total Sold number of stocks]],0)</f>
        <v>782.1500000000002</v>
      </c>
      <c r="Q1432" s="85">
        <f>SUMIF(Table25[[#All],[Assets]],Table25[[#This Row],[Assets]],Table25[[#All],[Number of stocks]])</f>
        <v>0</v>
      </c>
    </row>
    <row r="1433" spans="1:17">
      <c r="A1433" t="e" vm="53">
        <v>#VALUE!</v>
      </c>
      <c r="B1433" s="2">
        <v>45863</v>
      </c>
      <c r="C1433" t="str" cm="1">
        <f t="array" aca="1" ref="C1433" ca="1">_FV(A1433,"Ticker symbol",TRUE)</f>
        <v>PESI</v>
      </c>
      <c r="D1433" s="4">
        <v>12.21</v>
      </c>
      <c r="E1433" s="50">
        <v>-80</v>
      </c>
      <c r="F1433" s="81">
        <f>IF(Table25[[#This Row],[Number of stocks]]&gt;0,Table25[[#This Row],[Number of stocks]],0)</f>
        <v>0</v>
      </c>
      <c r="G1433" s="73">
        <f>Table25[[#This Row],[Bought]]*Table25[[#This Row],[Price]]</f>
        <v>0</v>
      </c>
      <c r="H1433">
        <f>SUMIF(Table25[[#All],[Assets]],Table25[[#This Row],[Assets]],Table25[[#All],[Bought]])</f>
        <v>160</v>
      </c>
      <c r="I1433">
        <f>SUMIF(Table25[[#All],[Assets]],Table25[[#This Row],[Assets]],Table25[[#All],[Bought Amount]])</f>
        <v>2058.6</v>
      </c>
      <c r="J1433" s="88">
        <f>IF(Table25[[#This Row],[Number of stocks]]&lt;0,Table25[[#This Row],[Number of stocks]],0)</f>
        <v>-80</v>
      </c>
      <c r="K1433" s="5">
        <f>Table25[[#This Row],[Sold]]*Table25[[#This Row],[Price]]</f>
        <v>-976.80000000000007</v>
      </c>
      <c r="L1433" s="8">
        <f>ABS(SUMIF(Table25[[#All],[Assets]],Table25[[#This Row],[Assets]],Table25[[#All],[Sold]]))</f>
        <v>160</v>
      </c>
      <c r="M1433" s="5">
        <f>ABS(SUMIF(Table25[[#All],[Assets]],Table25[[#This Row],[Assets]],Table25[[#All],[Sold Amount]]))</f>
        <v>1773.6000000000001</v>
      </c>
      <c r="N1433" s="5">
        <f>IFERROR(Table25[[#This Row],[Total sold amount]]/Table25[[#This Row],[Total Sold number of stocks]],"")</f>
        <v>11.085000000000001</v>
      </c>
      <c r="O1433" s="4">
        <f>IFERROR(Table25[[#This Row],[Total Amount bought]]/Table25[[#This Row],[Total number bought]],"")</f>
        <v>12.866249999999999</v>
      </c>
      <c r="P1433" s="4">
        <f>IFERROR((Table25[[#This Row],[Average sell price]]-Table25[[#This Row],[Average buy price]])*Table25[[#This Row],[Total Sold number of stocks]],0)</f>
        <v>-284.99999999999972</v>
      </c>
      <c r="Q1433" s="85">
        <f>SUMIF(Table25[[#All],[Assets]],Table25[[#This Row],[Assets]],Table25[[#All],[Number of stocks]])</f>
        <v>0</v>
      </c>
    </row>
    <row r="1434" spans="1:17">
      <c r="A1434" t="e" vm="17">
        <v>#VALUE!</v>
      </c>
      <c r="B1434" s="2">
        <v>45863</v>
      </c>
      <c r="C1434" t="str" cm="1">
        <f t="array" aca="1" ref="C1434" ca="1">_FV(A1434,"Ticker symbol",TRUE)</f>
        <v>VPG</v>
      </c>
      <c r="D1434" s="4">
        <v>27.35</v>
      </c>
      <c r="E1434" s="50">
        <v>-23</v>
      </c>
      <c r="F1434" s="81">
        <f>IF(Table25[[#This Row],[Number of stocks]]&gt;0,Table25[[#This Row],[Number of stocks]],0)</f>
        <v>0</v>
      </c>
      <c r="G1434" s="73">
        <f>Table25[[#This Row],[Bought]]*Table25[[#This Row],[Price]]</f>
        <v>0</v>
      </c>
      <c r="H1434">
        <f>SUMIF(Table25[[#All],[Assets]],Table25[[#This Row],[Assets]],Table25[[#All],[Bought]])</f>
        <v>23</v>
      </c>
      <c r="I1434">
        <f>SUMIF(Table25[[#All],[Assets]],Table25[[#This Row],[Assets]],Table25[[#All],[Bought Amount]])</f>
        <v>604.01</v>
      </c>
      <c r="J1434" s="88">
        <f>IF(Table25[[#This Row],[Number of stocks]]&lt;0,Table25[[#This Row],[Number of stocks]],0)</f>
        <v>-23</v>
      </c>
      <c r="K1434" s="5">
        <f>Table25[[#This Row],[Sold]]*Table25[[#This Row],[Price]]</f>
        <v>-629.05000000000007</v>
      </c>
      <c r="L1434" s="8">
        <f>ABS(SUMIF(Table25[[#All],[Assets]],Table25[[#This Row],[Assets]],Table25[[#All],[Sold]]))</f>
        <v>23</v>
      </c>
      <c r="M1434" s="5">
        <f>ABS(SUMIF(Table25[[#All],[Assets]],Table25[[#This Row],[Assets]],Table25[[#All],[Sold Amount]]))</f>
        <v>629.05000000000007</v>
      </c>
      <c r="N1434" s="5">
        <f>IFERROR(Table25[[#This Row],[Total sold amount]]/Table25[[#This Row],[Total Sold number of stocks]],"")</f>
        <v>27.35</v>
      </c>
      <c r="O1434" s="4">
        <f>IFERROR(Table25[[#This Row],[Total Amount bought]]/Table25[[#This Row],[Total number bought]],"")</f>
        <v>26.261304347826087</v>
      </c>
      <c r="P1434" s="4">
        <f>IFERROR((Table25[[#This Row],[Average sell price]]-Table25[[#This Row],[Average buy price]])*Table25[[#This Row],[Total Sold number of stocks]],0)</f>
        <v>25.040000000000031</v>
      </c>
      <c r="Q1434" s="85">
        <f>SUMIF(Table25[[#All],[Assets]],Table25[[#This Row],[Assets]],Table25[[#All],[Number of stocks]])</f>
        <v>0</v>
      </c>
    </row>
    <row r="1435" spans="1:17">
      <c r="A1435" t="e" vm="188">
        <v>#VALUE!</v>
      </c>
      <c r="B1435" s="2">
        <v>45863</v>
      </c>
      <c r="C1435" t="str" cm="1">
        <f t="array" aca="1" ref="C1435" ca="1">_FV(A1435,"Ticker symbol",TRUE)</f>
        <v>BE</v>
      </c>
      <c r="D1435" s="4">
        <v>34.51</v>
      </c>
      <c r="E1435" s="50">
        <v>20</v>
      </c>
      <c r="F1435" s="81">
        <f>IF(Table25[[#This Row],[Number of stocks]]&gt;0,Table25[[#This Row],[Number of stocks]],0)</f>
        <v>20</v>
      </c>
      <c r="G1435" s="73">
        <f>Table25[[#This Row],[Bought]]*Table25[[#This Row],[Price]]</f>
        <v>690.19999999999993</v>
      </c>
      <c r="H1435">
        <f>SUMIF(Table25[[#All],[Assets]],Table25[[#This Row],[Assets]],Table25[[#All],[Bought]])</f>
        <v>50</v>
      </c>
      <c r="I1435">
        <f>SUMIF(Table25[[#All],[Assets]],Table25[[#This Row],[Assets]],Table25[[#All],[Bought Amount]])</f>
        <v>2840.05</v>
      </c>
      <c r="J1435" s="88">
        <f>IF(Table25[[#This Row],[Number of stocks]]&lt;0,Table25[[#This Row],[Number of stocks]],0)</f>
        <v>0</v>
      </c>
      <c r="K1435" s="5">
        <f>Table25[[#This Row],[Sold]]*Table25[[#This Row],[Price]]</f>
        <v>0</v>
      </c>
      <c r="L1435" s="8">
        <f>ABS(SUMIF(Table25[[#All],[Assets]],Table25[[#This Row],[Assets]],Table25[[#All],[Sold]]))</f>
        <v>35</v>
      </c>
      <c r="M1435" s="5">
        <f>ABS(SUMIF(Table25[[#All],[Assets]],Table25[[#This Row],[Assets]],Table25[[#All],[Sold Amount]]))</f>
        <v>1872.85</v>
      </c>
      <c r="N1435" s="5">
        <f>IFERROR(Table25[[#This Row],[Total sold amount]]/Table25[[#This Row],[Total Sold number of stocks]],"")</f>
        <v>53.51</v>
      </c>
      <c r="O1435" s="4">
        <f>IFERROR(Table25[[#This Row],[Total Amount bought]]/Table25[[#This Row],[Total number bought]],"")</f>
        <v>56.801000000000002</v>
      </c>
      <c r="P1435" s="4">
        <f>IFERROR((Table25[[#This Row],[Average sell price]]-Table25[[#This Row],[Average buy price]])*Table25[[#This Row],[Total Sold number of stocks]],0)</f>
        <v>-115.18500000000014</v>
      </c>
      <c r="Q1435" s="85">
        <f>SUMIF(Table25[[#All],[Assets]],Table25[[#This Row],[Assets]],Table25[[#All],[Number of stocks]])</f>
        <v>15</v>
      </c>
    </row>
    <row r="1436" spans="1:17">
      <c r="A1436" t="e" vm="34">
        <v>#VALUE!</v>
      </c>
      <c r="B1436" s="2">
        <v>45863</v>
      </c>
      <c r="C1436" t="str" cm="1">
        <f t="array" aca="1" ref="C1436" ca="1">_FV(A1436,"Ticker symbol",TRUE)</f>
        <v>TSM</v>
      </c>
      <c r="D1436" s="4">
        <v>244.1</v>
      </c>
      <c r="E1436" s="50">
        <v>2</v>
      </c>
      <c r="F1436" s="81">
        <f>IF(Table25[[#This Row],[Number of stocks]]&gt;0,Table25[[#This Row],[Number of stocks]],0)</f>
        <v>2</v>
      </c>
      <c r="G1436" s="73">
        <f>Table25[[#This Row],[Bought]]*Table25[[#This Row],[Price]]</f>
        <v>488.2</v>
      </c>
      <c r="H1436">
        <f>SUMIF(Table25[[#All],[Assets]],Table25[[#This Row],[Assets]],Table25[[#All],[Bought]])</f>
        <v>45</v>
      </c>
      <c r="I1436">
        <f>SUMIF(Table25[[#All],[Assets]],Table25[[#This Row],[Assets]],Table25[[#All],[Bought Amount]])</f>
        <v>7503.4800000000005</v>
      </c>
      <c r="J1436" s="88">
        <f>IF(Table25[[#This Row],[Number of stocks]]&lt;0,Table25[[#This Row],[Number of stocks]],0)</f>
        <v>0</v>
      </c>
      <c r="K1436" s="5">
        <f>Table25[[#This Row],[Sold]]*Table25[[#This Row],[Price]]</f>
        <v>0</v>
      </c>
      <c r="L1436" s="8">
        <f>ABS(SUMIF(Table25[[#All],[Assets]],Table25[[#This Row],[Assets]],Table25[[#All],[Sold]]))</f>
        <v>44</v>
      </c>
      <c r="M1436" s="5">
        <f>ABS(SUMIF(Table25[[#All],[Assets]],Table25[[#This Row],[Assets]],Table25[[#All],[Sold Amount]]))</f>
        <v>7951.28</v>
      </c>
      <c r="N1436" s="5">
        <f>IFERROR(Table25[[#This Row],[Total sold amount]]/Table25[[#This Row],[Total Sold number of stocks]],"")</f>
        <v>180.7109090909091</v>
      </c>
      <c r="O1436" s="4">
        <f>IFERROR(Table25[[#This Row],[Total Amount bought]]/Table25[[#This Row],[Total number bought]],"")</f>
        <v>166.744</v>
      </c>
      <c r="P1436" s="4">
        <f>IFERROR((Table25[[#This Row],[Average sell price]]-Table25[[#This Row],[Average buy price]])*Table25[[#This Row],[Total Sold number of stocks]],0)</f>
        <v>614.54400000000032</v>
      </c>
      <c r="Q1436" s="85">
        <f>SUMIF(Table25[[#All],[Assets]],Table25[[#This Row],[Assets]],Table25[[#All],[Number of stocks]])</f>
        <v>1</v>
      </c>
    </row>
    <row r="1437" spans="1:17">
      <c r="A1437" t="e" vm="21">
        <v>#VALUE!</v>
      </c>
      <c r="B1437" s="2">
        <v>45863</v>
      </c>
      <c r="C1437" t="str" cm="1">
        <f t="array" aca="1" ref="C1437" ca="1">_FV(A1437,"Ticker symbol",TRUE)</f>
        <v>INTC</v>
      </c>
      <c r="D1437" s="4">
        <v>20.49</v>
      </c>
      <c r="E1437" s="50">
        <v>-15</v>
      </c>
      <c r="F1437" s="81">
        <f>IF(Table25[[#This Row],[Number of stocks]]&gt;0,Table25[[#This Row],[Number of stocks]],0)</f>
        <v>0</v>
      </c>
      <c r="G1437" s="73">
        <f>Table25[[#This Row],[Bought]]*Table25[[#This Row],[Price]]</f>
        <v>0</v>
      </c>
      <c r="H1437">
        <f>SUMIF(Table25[[#All],[Assets]],Table25[[#This Row],[Assets]],Table25[[#All],[Bought]])</f>
        <v>334.73663899999997</v>
      </c>
      <c r="I1437">
        <f>SUMIF(Table25[[#All],[Assets]],Table25[[#This Row],[Assets]],Table25[[#All],[Bought Amount]])</f>
        <v>9755.9173948600001</v>
      </c>
      <c r="J1437" s="88">
        <f>IF(Table25[[#This Row],[Number of stocks]]&lt;0,Table25[[#This Row],[Number of stocks]],0)</f>
        <v>-15</v>
      </c>
      <c r="K1437" s="5">
        <f>Table25[[#This Row],[Sold]]*Table25[[#This Row],[Price]]</f>
        <v>-307.34999999999997</v>
      </c>
      <c r="L1437" s="8">
        <f>ABS(SUMIF(Table25[[#All],[Assets]],Table25[[#This Row],[Assets]],Table25[[#All],[Sold]]))</f>
        <v>334.74</v>
      </c>
      <c r="M1437" s="5">
        <f>ABS(SUMIF(Table25[[#All],[Assets]],Table25[[#This Row],[Assets]],Table25[[#All],[Sold Amount]]))</f>
        <v>7909.2053999999998</v>
      </c>
      <c r="N1437" s="5">
        <f>IFERROR(Table25[[#This Row],[Total sold amount]]/Table25[[#This Row],[Total Sold number of stocks]],"")</f>
        <v>23.627906434844952</v>
      </c>
      <c r="O1437" s="4">
        <f>IFERROR(Table25[[#This Row],[Total Amount bought]]/Table25[[#This Row],[Total number bought]],"")</f>
        <v>29.145053926588542</v>
      </c>
      <c r="P1437" s="4">
        <f>IFERROR((Table25[[#This Row],[Average sell price]]-Table25[[#This Row],[Average buy price]])*Table25[[#This Row],[Total Sold number of stocks]],0)</f>
        <v>-1846.8099513862492</v>
      </c>
      <c r="Q1437" s="85">
        <f>SUMIF(Table25[[#All],[Assets]],Table25[[#This Row],[Assets]],Table25[[#All],[Number of stocks]])</f>
        <v>-3.3610000000123819E-3</v>
      </c>
    </row>
    <row r="1438" spans="1:17">
      <c r="A1438" t="e" vm="229">
        <v>#VALUE!</v>
      </c>
      <c r="B1438" s="2">
        <v>45863</v>
      </c>
      <c r="C1438" t="str" cm="1">
        <f t="array" aca="1" ref="C1438" ca="1">_FV(A1438,"Ticker symbol",TRUE)</f>
        <v>AEO</v>
      </c>
      <c r="D1438" s="4">
        <v>11.85</v>
      </c>
      <c r="E1438" s="50">
        <v>5</v>
      </c>
      <c r="F1438" s="81">
        <f>IF(Table25[[#This Row],[Number of stocks]]&gt;0,Table25[[#This Row],[Number of stocks]],0)</f>
        <v>5</v>
      </c>
      <c r="G1438" s="73">
        <f>Table25[[#This Row],[Bought]]*Table25[[#This Row],[Price]]</f>
        <v>59.25</v>
      </c>
      <c r="H1438">
        <f>SUMIF(Table25[[#All],[Assets]],Table25[[#This Row],[Assets]],Table25[[#All],[Bought]])</f>
        <v>105</v>
      </c>
      <c r="I1438">
        <f>SUMIF(Table25[[#All],[Assets]],Table25[[#This Row],[Assets]],Table25[[#All],[Bought Amount]])</f>
        <v>1221.25</v>
      </c>
      <c r="J1438" s="88">
        <f>IF(Table25[[#This Row],[Number of stocks]]&lt;0,Table25[[#This Row],[Number of stocks]],0)</f>
        <v>0</v>
      </c>
      <c r="K1438" s="5">
        <f>Table25[[#This Row],[Sold]]*Table25[[#This Row],[Price]]</f>
        <v>0</v>
      </c>
      <c r="L1438" s="8">
        <f>ABS(SUMIF(Table25[[#All],[Assets]],Table25[[#This Row],[Assets]],Table25[[#All],[Sold]]))</f>
        <v>105</v>
      </c>
      <c r="M1438" s="5">
        <f>ABS(SUMIF(Table25[[#All],[Assets]],Table25[[#This Row],[Assets]],Table25[[#All],[Sold Amount]]))</f>
        <v>2003.4</v>
      </c>
      <c r="N1438" s="5">
        <f>IFERROR(Table25[[#This Row],[Total sold amount]]/Table25[[#This Row],[Total Sold number of stocks]],"")</f>
        <v>19.080000000000002</v>
      </c>
      <c r="O1438" s="4">
        <f>IFERROR(Table25[[#This Row],[Total Amount bought]]/Table25[[#This Row],[Total number bought]],"")</f>
        <v>11.630952380952381</v>
      </c>
      <c r="P1438" s="4">
        <f>IFERROR((Table25[[#This Row],[Average sell price]]-Table25[[#This Row],[Average buy price]])*Table25[[#This Row],[Total Sold number of stocks]],0)</f>
        <v>782.1500000000002</v>
      </c>
      <c r="Q1438" s="85">
        <f>SUMIF(Table25[[#All],[Assets]],Table25[[#This Row],[Assets]],Table25[[#All],[Number of stocks]])</f>
        <v>0</v>
      </c>
    </row>
    <row r="1439" spans="1:17">
      <c r="A1439" t="e" vm="195">
        <v>#VALUE!</v>
      </c>
      <c r="B1439" s="2">
        <v>45863</v>
      </c>
      <c r="C1439" t="str" cm="1">
        <f t="array" aca="1" ref="C1439" ca="1">_FV(A1439,"Ticker symbol",TRUE)</f>
        <v>LBRT</v>
      </c>
      <c r="D1439" s="4">
        <v>13.49</v>
      </c>
      <c r="E1439" s="50">
        <v>-11</v>
      </c>
      <c r="F1439" s="81">
        <f>IF(Table25[[#This Row],[Number of stocks]]&gt;0,Table25[[#This Row],[Number of stocks]],0)</f>
        <v>0</v>
      </c>
      <c r="G1439" s="73">
        <f>Table25[[#This Row],[Bought]]*Table25[[#This Row],[Price]]</f>
        <v>0</v>
      </c>
      <c r="H1439">
        <f>SUMIF(Table25[[#All],[Assets]],Table25[[#This Row],[Assets]],Table25[[#All],[Bought]])</f>
        <v>130</v>
      </c>
      <c r="I1439">
        <f>SUMIF(Table25[[#All],[Assets]],Table25[[#This Row],[Assets]],Table25[[#All],[Bought Amount]])</f>
        <v>2190.91</v>
      </c>
      <c r="J1439" s="88">
        <f>IF(Table25[[#This Row],[Number of stocks]]&lt;0,Table25[[#This Row],[Number of stocks]],0)</f>
        <v>-11</v>
      </c>
      <c r="K1439" s="5">
        <f>Table25[[#This Row],[Sold]]*Table25[[#This Row],[Price]]</f>
        <v>-148.39000000000001</v>
      </c>
      <c r="L1439" s="8">
        <f>ABS(SUMIF(Table25[[#All],[Assets]],Table25[[#This Row],[Assets]],Table25[[#All],[Sold]]))</f>
        <v>60</v>
      </c>
      <c r="M1439" s="5">
        <f>ABS(SUMIF(Table25[[#All],[Assets]],Table25[[#This Row],[Assets]],Table25[[#All],[Sold Amount]]))</f>
        <v>982.86</v>
      </c>
      <c r="N1439" s="5">
        <f>IFERROR(Table25[[#This Row],[Total sold amount]]/Table25[[#This Row],[Total Sold number of stocks]],"")</f>
        <v>16.381</v>
      </c>
      <c r="O1439" s="4">
        <f>IFERROR(Table25[[#This Row],[Total Amount bought]]/Table25[[#This Row],[Total number bought]],"")</f>
        <v>16.853153846153845</v>
      </c>
      <c r="P1439" s="4">
        <f>IFERROR((Table25[[#This Row],[Average sell price]]-Table25[[#This Row],[Average buy price]])*Table25[[#This Row],[Total Sold number of stocks]],0)</f>
        <v>-28.329230769230662</v>
      </c>
      <c r="Q1439" s="85">
        <f>SUMIF(Table25[[#All],[Assets]],Table25[[#This Row],[Assets]],Table25[[#All],[Number of stocks]])</f>
        <v>70</v>
      </c>
    </row>
    <row r="1440" spans="1:17">
      <c r="A1440" t="e" vm="81">
        <v>#VALUE!</v>
      </c>
      <c r="B1440" s="2">
        <v>45863</v>
      </c>
      <c r="C1440" t="str" cm="1">
        <f t="array" aca="1" ref="C1440" ca="1">_FV(A1440,"Ticker symbol",TRUE)</f>
        <v>DLO</v>
      </c>
      <c r="D1440" s="4">
        <v>10.8</v>
      </c>
      <c r="E1440" s="50">
        <v>-50</v>
      </c>
      <c r="F1440" s="81">
        <f>IF(Table25[[#This Row],[Number of stocks]]&gt;0,Table25[[#This Row],[Number of stocks]],0)</f>
        <v>0</v>
      </c>
      <c r="G1440" s="73">
        <f>Table25[[#This Row],[Bought]]*Table25[[#This Row],[Price]]</f>
        <v>0</v>
      </c>
      <c r="H1440">
        <f>SUMIF(Table25[[#All],[Assets]],Table25[[#This Row],[Assets]],Table25[[#All],[Bought]])</f>
        <v>436</v>
      </c>
      <c r="I1440">
        <f>SUMIF(Table25[[#All],[Assets]],Table25[[#This Row],[Assets]],Table25[[#All],[Bought Amount]])</f>
        <v>5840.9900000000007</v>
      </c>
      <c r="J1440" s="88">
        <f>IF(Table25[[#This Row],[Number of stocks]]&lt;0,Table25[[#This Row],[Number of stocks]],0)</f>
        <v>-50</v>
      </c>
      <c r="K1440" s="5">
        <f>Table25[[#This Row],[Sold]]*Table25[[#This Row],[Price]]</f>
        <v>-540</v>
      </c>
      <c r="L1440" s="8">
        <f>ABS(SUMIF(Table25[[#All],[Assets]],Table25[[#This Row],[Assets]],Table25[[#All],[Sold]]))</f>
        <v>436</v>
      </c>
      <c r="M1440" s="5">
        <f>ABS(SUMIF(Table25[[#All],[Assets]],Table25[[#This Row],[Assets]],Table25[[#All],[Sold Amount]]))</f>
        <v>5546.6</v>
      </c>
      <c r="N1440" s="5">
        <f>IFERROR(Table25[[#This Row],[Total sold amount]]/Table25[[#This Row],[Total Sold number of stocks]],"")</f>
        <v>12.721559633027523</v>
      </c>
      <c r="O1440" s="4">
        <f>IFERROR(Table25[[#This Row],[Total Amount bought]]/Table25[[#This Row],[Total number bought]],"")</f>
        <v>13.396766055045873</v>
      </c>
      <c r="P1440" s="4">
        <f>IFERROR((Table25[[#This Row],[Average sell price]]-Table25[[#This Row],[Average buy price]])*Table25[[#This Row],[Total Sold number of stocks]],0)</f>
        <v>-294.39000000000073</v>
      </c>
      <c r="Q1440" s="85">
        <f>SUMIF(Table25[[#All],[Assets]],Table25[[#This Row],[Assets]],Table25[[#All],[Number of stocks]])</f>
        <v>0</v>
      </c>
    </row>
    <row r="1441" spans="1:17">
      <c r="A1441" t="e" vm="244">
        <v>#VALUE!</v>
      </c>
      <c r="B1441" s="2">
        <v>45863</v>
      </c>
      <c r="C1441" t="str" cm="1">
        <f t="array" aca="1" ref="C1441" ca="1">_FV(A1441,"Ticker symbol",TRUE)</f>
        <v>APYX</v>
      </c>
      <c r="D1441" s="4">
        <v>2.54</v>
      </c>
      <c r="E1441" s="50">
        <v>275</v>
      </c>
      <c r="F1441" s="81">
        <f>IF(Table25[[#This Row],[Number of stocks]]&gt;0,Table25[[#This Row],[Number of stocks]],0)</f>
        <v>275</v>
      </c>
      <c r="G1441" s="73">
        <f>Table25[[#This Row],[Bought]]*Table25[[#This Row],[Price]]</f>
        <v>698.5</v>
      </c>
      <c r="H1441">
        <f>SUMIF(Table25[[#All],[Assets]],Table25[[#This Row],[Assets]],Table25[[#All],[Bought]])</f>
        <v>275</v>
      </c>
      <c r="I1441">
        <f>SUMIF(Table25[[#All],[Assets]],Table25[[#This Row],[Assets]],Table25[[#All],[Bought Amount]])</f>
        <v>698.5</v>
      </c>
      <c r="J1441" s="88">
        <f>IF(Table25[[#This Row],[Number of stocks]]&lt;0,Table25[[#This Row],[Number of stocks]],0)</f>
        <v>0</v>
      </c>
      <c r="K1441" s="5">
        <f>Table25[[#This Row],[Sold]]*Table25[[#This Row],[Price]]</f>
        <v>0</v>
      </c>
      <c r="L1441" s="8">
        <f>ABS(SUMIF(Table25[[#All],[Assets]],Table25[[#This Row],[Assets]],Table25[[#All],[Sold]]))</f>
        <v>275</v>
      </c>
      <c r="M1441" s="5">
        <f>ABS(SUMIF(Table25[[#All],[Assets]],Table25[[#This Row],[Assets]],Table25[[#All],[Sold Amount]]))</f>
        <v>587.25</v>
      </c>
      <c r="N1441" s="5">
        <f>IFERROR(Table25[[#This Row],[Total sold amount]]/Table25[[#This Row],[Total Sold number of stocks]],"")</f>
        <v>2.1354545454545453</v>
      </c>
      <c r="O1441" s="4">
        <f>IFERROR(Table25[[#This Row],[Total Amount bought]]/Table25[[#This Row],[Total number bought]],"")</f>
        <v>2.54</v>
      </c>
      <c r="P1441" s="4">
        <f>IFERROR((Table25[[#This Row],[Average sell price]]-Table25[[#This Row],[Average buy price]])*Table25[[#This Row],[Total Sold number of stocks]],0)</f>
        <v>-111.25000000000006</v>
      </c>
      <c r="Q1441" s="85">
        <f>SUMIF(Table25[[#All],[Assets]],Table25[[#This Row],[Assets]],Table25[[#All],[Number of stocks]])</f>
        <v>0</v>
      </c>
    </row>
    <row r="1442" spans="1:17">
      <c r="A1442" t="e" vm="21">
        <v>#VALUE!</v>
      </c>
      <c r="B1442" s="2">
        <v>45866</v>
      </c>
      <c r="C1442" t="str" cm="1">
        <f t="array" aca="1" ref="C1442" ca="1">_FV(A1442,"Ticker symbol",TRUE)</f>
        <v>INTC</v>
      </c>
      <c r="D1442" s="4">
        <v>21.15</v>
      </c>
      <c r="E1442" s="50">
        <v>-20</v>
      </c>
      <c r="F1442" s="81">
        <f>IF(Table25[[#This Row],[Number of stocks]]&gt;0,Table25[[#This Row],[Number of stocks]],0)</f>
        <v>0</v>
      </c>
      <c r="G1442" s="73">
        <f>Table25[[#This Row],[Bought]]*Table25[[#This Row],[Price]]</f>
        <v>0</v>
      </c>
      <c r="H1442">
        <f>SUMIF(Table25[[#All],[Assets]],Table25[[#This Row],[Assets]],Table25[[#All],[Bought]])</f>
        <v>334.73663899999997</v>
      </c>
      <c r="I1442">
        <f>SUMIF(Table25[[#All],[Assets]],Table25[[#This Row],[Assets]],Table25[[#All],[Bought Amount]])</f>
        <v>9755.9173948600001</v>
      </c>
      <c r="J1442" s="88">
        <f>IF(Table25[[#This Row],[Number of stocks]]&lt;0,Table25[[#This Row],[Number of stocks]],0)</f>
        <v>-20</v>
      </c>
      <c r="K1442" s="5">
        <f>Table25[[#This Row],[Sold]]*Table25[[#This Row],[Price]]</f>
        <v>-423</v>
      </c>
      <c r="L1442" s="8">
        <f>ABS(SUMIF(Table25[[#All],[Assets]],Table25[[#This Row],[Assets]],Table25[[#All],[Sold]]))</f>
        <v>334.74</v>
      </c>
      <c r="M1442" s="5">
        <f>ABS(SUMIF(Table25[[#All],[Assets]],Table25[[#This Row],[Assets]],Table25[[#All],[Sold Amount]]))</f>
        <v>7909.2053999999998</v>
      </c>
      <c r="N1442" s="5">
        <f>IFERROR(Table25[[#This Row],[Total sold amount]]/Table25[[#This Row],[Total Sold number of stocks]],"")</f>
        <v>23.627906434844952</v>
      </c>
      <c r="O1442" s="4">
        <f>IFERROR(Table25[[#This Row],[Total Amount bought]]/Table25[[#This Row],[Total number bought]],"")</f>
        <v>29.145053926588542</v>
      </c>
      <c r="P1442" s="4">
        <f>IFERROR((Table25[[#This Row],[Average sell price]]-Table25[[#This Row],[Average buy price]])*Table25[[#This Row],[Total Sold number of stocks]],0)</f>
        <v>-1846.8099513862492</v>
      </c>
      <c r="Q1442" s="85">
        <f>SUMIF(Table25[[#All],[Assets]],Table25[[#This Row],[Assets]],Table25[[#All],[Number of stocks]])</f>
        <v>-3.3610000000123819E-3</v>
      </c>
    </row>
    <row r="1443" spans="1:17">
      <c r="A1443" t="e" vm="572">
        <v>#VALUE!</v>
      </c>
      <c r="B1443" s="2">
        <v>45866</v>
      </c>
      <c r="C1443" t="str" cm="1">
        <f t="array" aca="1" ref="C1443" ca="1">_FV(A1443,"Ticker symbol",TRUE)</f>
        <v>SKYT</v>
      </c>
      <c r="D1443" s="4">
        <v>10.26</v>
      </c>
      <c r="E1443" s="50">
        <v>42</v>
      </c>
      <c r="F1443" s="81">
        <f>IF(Table25[[#This Row],[Number of stocks]]&gt;0,Table25[[#This Row],[Number of stocks]],0)</f>
        <v>42</v>
      </c>
      <c r="G1443" s="73">
        <f>Table25[[#This Row],[Bought]]*Table25[[#This Row],[Price]]</f>
        <v>430.92</v>
      </c>
      <c r="H1443">
        <f>SUMIF(Table25[[#All],[Assets]],Table25[[#This Row],[Assets]],Table25[[#All],[Bought]])</f>
        <v>42</v>
      </c>
      <c r="I1443">
        <f>SUMIF(Table25[[#All],[Assets]],Table25[[#This Row],[Assets]],Table25[[#All],[Bought Amount]])</f>
        <v>430.92</v>
      </c>
      <c r="J1443" s="88">
        <f>IF(Table25[[#This Row],[Number of stocks]]&lt;0,Table25[[#This Row],[Number of stocks]],0)</f>
        <v>0</v>
      </c>
      <c r="K1443" s="5">
        <f>Table25[[#This Row],[Sold]]*Table25[[#This Row],[Price]]</f>
        <v>0</v>
      </c>
      <c r="L1443" s="8">
        <f>ABS(SUMIF(Table25[[#All],[Assets]],Table25[[#This Row],[Assets]],Table25[[#All],[Sold]]))</f>
        <v>42</v>
      </c>
      <c r="M1443" s="5">
        <f>ABS(SUMIF(Table25[[#All],[Assets]],Table25[[#This Row],[Assets]],Table25[[#All],[Sold Amount]]))</f>
        <v>390.17999999999995</v>
      </c>
      <c r="N1443" s="5">
        <f>IFERROR(Table25[[#This Row],[Total sold amount]]/Table25[[#This Row],[Total Sold number of stocks]],"")</f>
        <v>9.2899999999999991</v>
      </c>
      <c r="O1443" s="4">
        <f>IFERROR(Table25[[#This Row],[Total Amount bought]]/Table25[[#This Row],[Total number bought]],"")</f>
        <v>10.26</v>
      </c>
      <c r="P1443" s="4">
        <f>IFERROR((Table25[[#This Row],[Average sell price]]-Table25[[#This Row],[Average buy price]])*Table25[[#This Row],[Total Sold number of stocks]],0)</f>
        <v>-40.740000000000023</v>
      </c>
      <c r="Q1443" s="85">
        <f>SUMIF(Table25[[#All],[Assets]],Table25[[#This Row],[Assets]],Table25[[#All],[Number of stocks]])</f>
        <v>0</v>
      </c>
    </row>
    <row r="1444" spans="1:17">
      <c r="A1444" t="e" vm="258">
        <v>#VALUE!</v>
      </c>
      <c r="B1444" s="2">
        <v>45866</v>
      </c>
      <c r="C1444" t="str" cm="1">
        <f t="array" aca="1" ref="C1444" ca="1">_FV(A1444,"Ticker symbol",TRUE)</f>
        <v>SERV</v>
      </c>
      <c r="D1444" s="4">
        <v>11.53</v>
      </c>
      <c r="E1444" s="50">
        <v>-40</v>
      </c>
      <c r="F1444" s="81">
        <f>IF(Table25[[#This Row],[Number of stocks]]&gt;0,Table25[[#This Row],[Number of stocks]],0)</f>
        <v>0</v>
      </c>
      <c r="G1444" s="73">
        <f>Table25[[#This Row],[Bought]]*Table25[[#This Row],[Price]]</f>
        <v>0</v>
      </c>
      <c r="H1444">
        <f>SUMIF(Table25[[#All],[Assets]],Table25[[#This Row],[Assets]],Table25[[#All],[Bought]])</f>
        <v>50</v>
      </c>
      <c r="I1444">
        <f>SUMIF(Table25[[#All],[Assets]],Table25[[#This Row],[Assets]],Table25[[#All],[Bought Amount]])</f>
        <v>571</v>
      </c>
      <c r="J1444" s="88">
        <f>IF(Table25[[#This Row],[Number of stocks]]&lt;0,Table25[[#This Row],[Number of stocks]],0)</f>
        <v>-40</v>
      </c>
      <c r="K1444" s="5">
        <f>Table25[[#This Row],[Sold]]*Table25[[#This Row],[Price]]</f>
        <v>-461.2</v>
      </c>
      <c r="L1444" s="8">
        <f>ABS(SUMIF(Table25[[#All],[Assets]],Table25[[#This Row],[Assets]],Table25[[#All],[Sold]]))</f>
        <v>50</v>
      </c>
      <c r="M1444" s="5">
        <f>ABS(SUMIF(Table25[[#All],[Assets]],Table25[[#This Row],[Assets]],Table25[[#All],[Sold Amount]]))</f>
        <v>570.20000000000005</v>
      </c>
      <c r="N1444" s="5">
        <f>IFERROR(Table25[[#This Row],[Total sold amount]]/Table25[[#This Row],[Total Sold number of stocks]],"")</f>
        <v>11.404000000000002</v>
      </c>
      <c r="O1444" s="4">
        <f>IFERROR(Table25[[#This Row],[Total Amount bought]]/Table25[[#This Row],[Total number bought]],"")</f>
        <v>11.42</v>
      </c>
      <c r="P1444" s="4">
        <f>IFERROR((Table25[[#This Row],[Average sell price]]-Table25[[#This Row],[Average buy price]])*Table25[[#This Row],[Total Sold number of stocks]],0)</f>
        <v>-0.79999999999991189</v>
      </c>
      <c r="Q1444" s="85">
        <f>SUMIF(Table25[[#All],[Assets]],Table25[[#This Row],[Assets]],Table25[[#All],[Number of stocks]])</f>
        <v>0</v>
      </c>
    </row>
    <row r="1445" spans="1:17">
      <c r="A1445" t="e" vm="88">
        <v>#VALUE!</v>
      </c>
      <c r="B1445" s="2">
        <v>45866</v>
      </c>
      <c r="C1445" t="str" cm="1">
        <f t="array" aca="1" ref="C1445" ca="1">_FV(A1445,"Ticker symbol",TRUE)</f>
        <v>SPIR</v>
      </c>
      <c r="D1445" s="4">
        <v>11.04</v>
      </c>
      <c r="E1445" s="50">
        <v>-50</v>
      </c>
      <c r="F1445" s="81">
        <f>IF(Table25[[#This Row],[Number of stocks]]&gt;0,Table25[[#This Row],[Number of stocks]],0)</f>
        <v>0</v>
      </c>
      <c r="G1445" s="73">
        <f>Table25[[#This Row],[Bought]]*Table25[[#This Row],[Price]]</f>
        <v>0</v>
      </c>
      <c r="H1445">
        <f>SUMIF(Table25[[#All],[Assets]],Table25[[#This Row],[Assets]],Table25[[#All],[Bought]])</f>
        <v>173</v>
      </c>
      <c r="I1445">
        <f>SUMIF(Table25[[#All],[Assets]],Table25[[#This Row],[Assets]],Table25[[#All],[Bought Amount]])</f>
        <v>2251.35</v>
      </c>
      <c r="J1445" s="88">
        <f>IF(Table25[[#This Row],[Number of stocks]]&lt;0,Table25[[#This Row],[Number of stocks]],0)</f>
        <v>-50</v>
      </c>
      <c r="K1445" s="5">
        <f>Table25[[#This Row],[Sold]]*Table25[[#This Row],[Price]]</f>
        <v>-552</v>
      </c>
      <c r="L1445" s="8">
        <f>ABS(SUMIF(Table25[[#All],[Assets]],Table25[[#This Row],[Assets]],Table25[[#All],[Sold]]))</f>
        <v>173</v>
      </c>
      <c r="M1445" s="5">
        <f>ABS(SUMIF(Table25[[#All],[Assets]],Table25[[#This Row],[Assets]],Table25[[#All],[Sold Amount]]))</f>
        <v>2095.02</v>
      </c>
      <c r="N1445" s="5">
        <f>IFERROR(Table25[[#This Row],[Total sold amount]]/Table25[[#This Row],[Total Sold number of stocks]],"")</f>
        <v>12.109942196531792</v>
      </c>
      <c r="O1445" s="4">
        <f>IFERROR(Table25[[#This Row],[Total Amount bought]]/Table25[[#This Row],[Total number bought]],"")</f>
        <v>13.013583815028902</v>
      </c>
      <c r="P1445" s="4">
        <f>IFERROR((Table25[[#This Row],[Average sell price]]-Table25[[#This Row],[Average buy price]])*Table25[[#This Row],[Total Sold number of stocks]],0)</f>
        <v>-156.33000000000001</v>
      </c>
      <c r="Q1445" s="85">
        <f>SUMIF(Table25[[#All],[Assets]],Table25[[#This Row],[Assets]],Table25[[#All],[Number of stocks]])</f>
        <v>0</v>
      </c>
    </row>
    <row r="1446" spans="1:17">
      <c r="A1446" t="e" vm="75">
        <v>#VALUE!</v>
      </c>
      <c r="B1446" s="2">
        <v>45866</v>
      </c>
      <c r="C1446" t="str" cm="1">
        <f t="array" aca="1" ref="C1446" ca="1">_FV(A1446,"Ticker symbol",TRUE)</f>
        <v>QTRX</v>
      </c>
      <c r="D1446" s="4">
        <v>6.45</v>
      </c>
      <c r="E1446" s="50">
        <v>155</v>
      </c>
      <c r="F1446" s="81">
        <f>IF(Table25[[#This Row],[Number of stocks]]&gt;0,Table25[[#This Row],[Number of stocks]],0)</f>
        <v>155</v>
      </c>
      <c r="G1446" s="73">
        <f>Table25[[#This Row],[Bought]]*Table25[[#This Row],[Price]]</f>
        <v>999.75</v>
      </c>
      <c r="H1446">
        <f>SUMIF(Table25[[#All],[Assets]],Table25[[#This Row],[Assets]],Table25[[#All],[Bought]])</f>
        <v>1492</v>
      </c>
      <c r="I1446">
        <f>SUMIF(Table25[[#All],[Assets]],Table25[[#This Row],[Assets]],Table25[[#All],[Bought Amount]])</f>
        <v>10313.249999999998</v>
      </c>
      <c r="J1446" s="88">
        <f>IF(Table25[[#This Row],[Number of stocks]]&lt;0,Table25[[#This Row],[Number of stocks]],0)</f>
        <v>0</v>
      </c>
      <c r="K1446" s="5">
        <f>Table25[[#This Row],[Sold]]*Table25[[#This Row],[Price]]</f>
        <v>0</v>
      </c>
      <c r="L1446" s="8">
        <f>ABS(SUMIF(Table25[[#All],[Assets]],Table25[[#This Row],[Assets]],Table25[[#All],[Sold]]))</f>
        <v>1492</v>
      </c>
      <c r="M1446" s="5">
        <f>ABS(SUMIF(Table25[[#All],[Assets]],Table25[[#This Row],[Assets]],Table25[[#All],[Sold Amount]]))</f>
        <v>8408.35</v>
      </c>
      <c r="N1446" s="5">
        <f>IFERROR(Table25[[#This Row],[Total sold amount]]/Table25[[#This Row],[Total Sold number of stocks]],"")</f>
        <v>5.635623324396783</v>
      </c>
      <c r="O1446" s="4">
        <f>IFERROR(Table25[[#This Row],[Total Amount bought]]/Table25[[#This Row],[Total number bought]],"")</f>
        <v>6.9123659517426264</v>
      </c>
      <c r="P1446" s="4">
        <f>IFERROR((Table25[[#This Row],[Average sell price]]-Table25[[#This Row],[Average buy price]])*Table25[[#This Row],[Total Sold number of stocks]],0)</f>
        <v>-1904.8999999999983</v>
      </c>
      <c r="Q1446" s="85">
        <f>SUMIF(Table25[[#All],[Assets]],Table25[[#This Row],[Assets]],Table25[[#All],[Number of stocks]])</f>
        <v>0</v>
      </c>
    </row>
    <row r="1447" spans="1:17">
      <c r="A1447" t="e" vm="571">
        <v>#VALUE!</v>
      </c>
      <c r="B1447" s="2">
        <v>45866</v>
      </c>
      <c r="C1447" t="str" cm="1">
        <f t="array" aca="1" ref="C1447" ca="1">_FV(A1447,"Ticker symbol",TRUE)</f>
        <v>LCID</v>
      </c>
      <c r="D1447" s="4">
        <v>2.82</v>
      </c>
      <c r="E1447" s="50">
        <v>-150</v>
      </c>
      <c r="F1447" s="81">
        <f>IF(Table25[[#This Row],[Number of stocks]]&gt;0,Table25[[#This Row],[Number of stocks]],0)</f>
        <v>0</v>
      </c>
      <c r="G1447" s="73">
        <f>Table25[[#This Row],[Bought]]*Table25[[#This Row],[Price]]</f>
        <v>0</v>
      </c>
      <c r="H1447">
        <f>SUMIF(Table25[[#All],[Assets]],Table25[[#This Row],[Assets]],Table25[[#All],[Bought]])</f>
        <v>150</v>
      </c>
      <c r="I1447">
        <f>SUMIF(Table25[[#All],[Assets]],Table25[[#This Row],[Assets]],Table25[[#All],[Bought Amount]])</f>
        <v>481.5</v>
      </c>
      <c r="J1447" s="88">
        <f>IF(Table25[[#This Row],[Number of stocks]]&lt;0,Table25[[#This Row],[Number of stocks]],0)</f>
        <v>-150</v>
      </c>
      <c r="K1447" s="5">
        <f>Table25[[#This Row],[Sold]]*Table25[[#This Row],[Price]]</f>
        <v>-423</v>
      </c>
      <c r="L1447" s="8">
        <f>ABS(SUMIF(Table25[[#All],[Assets]],Table25[[#This Row],[Assets]],Table25[[#All],[Sold]]))</f>
        <v>150</v>
      </c>
      <c r="M1447" s="5">
        <f>ABS(SUMIF(Table25[[#All],[Assets]],Table25[[#This Row],[Assets]],Table25[[#All],[Sold Amount]]))</f>
        <v>423</v>
      </c>
      <c r="N1447" s="5">
        <f>IFERROR(Table25[[#This Row],[Total sold amount]]/Table25[[#This Row],[Total Sold number of stocks]],"")</f>
        <v>2.82</v>
      </c>
      <c r="O1447" s="4">
        <f>IFERROR(Table25[[#This Row],[Total Amount bought]]/Table25[[#This Row],[Total number bought]],"")</f>
        <v>3.21</v>
      </c>
      <c r="P1447" s="4">
        <f>IFERROR((Table25[[#This Row],[Average sell price]]-Table25[[#This Row],[Average buy price]])*Table25[[#This Row],[Total Sold number of stocks]],0)</f>
        <v>-58.500000000000021</v>
      </c>
      <c r="Q1447" s="85">
        <f>SUMIF(Table25[[#All],[Assets]],Table25[[#This Row],[Assets]],Table25[[#All],[Number of stocks]])</f>
        <v>0</v>
      </c>
    </row>
    <row r="1448" spans="1:17">
      <c r="A1448" t="e" vm="229">
        <v>#VALUE!</v>
      </c>
      <c r="B1448" s="2">
        <v>45866</v>
      </c>
      <c r="C1448" t="str" cm="1">
        <f t="array" aca="1" ref="C1448" ca="1">_FV(A1448,"Ticker symbol",TRUE)</f>
        <v>AEO</v>
      </c>
      <c r="D1448" s="4">
        <v>11.87</v>
      </c>
      <c r="E1448" s="50">
        <v>35</v>
      </c>
      <c r="F1448" s="81">
        <f>IF(Table25[[#This Row],[Number of stocks]]&gt;0,Table25[[#This Row],[Number of stocks]],0)</f>
        <v>35</v>
      </c>
      <c r="G1448" s="73">
        <f>Table25[[#This Row],[Bought]]*Table25[[#This Row],[Price]]</f>
        <v>415.45</v>
      </c>
      <c r="H1448">
        <f>SUMIF(Table25[[#All],[Assets]],Table25[[#This Row],[Assets]],Table25[[#All],[Bought]])</f>
        <v>105</v>
      </c>
      <c r="I1448">
        <f>SUMIF(Table25[[#All],[Assets]],Table25[[#This Row],[Assets]],Table25[[#All],[Bought Amount]])</f>
        <v>1221.25</v>
      </c>
      <c r="J1448" s="88">
        <f>IF(Table25[[#This Row],[Number of stocks]]&lt;0,Table25[[#This Row],[Number of stocks]],0)</f>
        <v>0</v>
      </c>
      <c r="K1448" s="5">
        <f>Table25[[#This Row],[Sold]]*Table25[[#This Row],[Price]]</f>
        <v>0</v>
      </c>
      <c r="L1448" s="8">
        <f>ABS(SUMIF(Table25[[#All],[Assets]],Table25[[#This Row],[Assets]],Table25[[#All],[Sold]]))</f>
        <v>105</v>
      </c>
      <c r="M1448" s="5">
        <f>ABS(SUMIF(Table25[[#All],[Assets]],Table25[[#This Row],[Assets]],Table25[[#All],[Sold Amount]]))</f>
        <v>2003.4</v>
      </c>
      <c r="N1448" s="5">
        <f>IFERROR(Table25[[#This Row],[Total sold amount]]/Table25[[#This Row],[Total Sold number of stocks]],"")</f>
        <v>19.080000000000002</v>
      </c>
      <c r="O1448" s="4">
        <f>IFERROR(Table25[[#This Row],[Total Amount bought]]/Table25[[#This Row],[Total number bought]],"")</f>
        <v>11.630952380952381</v>
      </c>
      <c r="P1448" s="4">
        <f>IFERROR((Table25[[#This Row],[Average sell price]]-Table25[[#This Row],[Average buy price]])*Table25[[#This Row],[Total Sold number of stocks]],0)</f>
        <v>782.1500000000002</v>
      </c>
      <c r="Q1448" s="85">
        <f>SUMIF(Table25[[#All],[Assets]],Table25[[#This Row],[Assets]],Table25[[#All],[Number of stocks]])</f>
        <v>0</v>
      </c>
    </row>
    <row r="1449" spans="1:17">
      <c r="A1449" t="e" vm="171">
        <v>#VALUE!</v>
      </c>
      <c r="B1449" s="2">
        <v>45866</v>
      </c>
      <c r="C1449" t="str" cm="1">
        <f t="array" aca="1" ref="C1449" ca="1">_FV(A1449,"Ticker symbol",TRUE)</f>
        <v>BIDU</v>
      </c>
      <c r="D1449" s="4">
        <v>89.57</v>
      </c>
      <c r="E1449" s="50">
        <v>-20</v>
      </c>
      <c r="F1449" s="81">
        <f>IF(Table25[[#This Row],[Number of stocks]]&gt;0,Table25[[#This Row],[Number of stocks]],0)</f>
        <v>0</v>
      </c>
      <c r="G1449" s="73">
        <f>Table25[[#This Row],[Bought]]*Table25[[#This Row],[Price]]</f>
        <v>0</v>
      </c>
      <c r="H1449">
        <f>SUMIF(Table25[[#All],[Assets]],Table25[[#This Row],[Assets]],Table25[[#All],[Bought]])</f>
        <v>23</v>
      </c>
      <c r="I1449">
        <f>SUMIF(Table25[[#All],[Assets]],Table25[[#This Row],[Assets]],Table25[[#All],[Bought Amount]])</f>
        <v>2077.9</v>
      </c>
      <c r="J1449" s="88">
        <f>IF(Table25[[#This Row],[Number of stocks]]&lt;0,Table25[[#This Row],[Number of stocks]],0)</f>
        <v>-20</v>
      </c>
      <c r="K1449" s="5">
        <f>Table25[[#This Row],[Sold]]*Table25[[#This Row],[Price]]</f>
        <v>-1791.3999999999999</v>
      </c>
      <c r="L1449" s="8">
        <f>ABS(SUMIF(Table25[[#All],[Assets]],Table25[[#This Row],[Assets]],Table25[[#All],[Sold]]))</f>
        <v>23</v>
      </c>
      <c r="M1449" s="5">
        <f>ABS(SUMIF(Table25[[#All],[Assets]],Table25[[#This Row],[Assets]],Table25[[#All],[Sold Amount]]))</f>
        <v>2134.1499999999996</v>
      </c>
      <c r="N1449" s="5">
        <f>IFERROR(Table25[[#This Row],[Total sold amount]]/Table25[[#This Row],[Total Sold number of stocks]],"")</f>
        <v>92.789130434782592</v>
      </c>
      <c r="O1449" s="4">
        <f>IFERROR(Table25[[#This Row],[Total Amount bought]]/Table25[[#This Row],[Total number bought]],"")</f>
        <v>90.343478260869574</v>
      </c>
      <c r="P1449" s="4">
        <f>IFERROR((Table25[[#This Row],[Average sell price]]-Table25[[#This Row],[Average buy price]])*Table25[[#This Row],[Total Sold number of stocks]],0)</f>
        <v>56.249999999999417</v>
      </c>
      <c r="Q1449" s="85">
        <f>SUMIF(Table25[[#All],[Assets]],Table25[[#This Row],[Assets]],Table25[[#All],[Number of stocks]])</f>
        <v>0</v>
      </c>
    </row>
    <row r="1450" spans="1:17">
      <c r="A1450" t="e" vm="64">
        <v>#VALUE!</v>
      </c>
      <c r="B1450" s="2">
        <v>45866</v>
      </c>
      <c r="C1450" t="str" cm="1">
        <f t="array" aca="1" ref="C1450" ca="1">_FV(A1450,"Ticker symbol",TRUE)</f>
        <v>LULU</v>
      </c>
      <c r="D1450" s="4">
        <v>218.93</v>
      </c>
      <c r="E1450" s="50">
        <v>-2</v>
      </c>
      <c r="F1450" s="81">
        <f>IF(Table25[[#This Row],[Number of stocks]]&gt;0,Table25[[#This Row],[Number of stocks]],0)</f>
        <v>0</v>
      </c>
      <c r="G1450" s="73">
        <f>Table25[[#This Row],[Bought]]*Table25[[#This Row],[Price]]</f>
        <v>0</v>
      </c>
      <c r="H1450">
        <f>SUMIF(Table25[[#All],[Assets]],Table25[[#This Row],[Assets]],Table25[[#All],[Bought]])</f>
        <v>26</v>
      </c>
      <c r="I1450">
        <f>SUMIF(Table25[[#All],[Assets]],Table25[[#This Row],[Assets]],Table25[[#All],[Bought Amount]])</f>
        <v>6272.2400000000007</v>
      </c>
      <c r="J1450" s="88">
        <f>IF(Table25[[#This Row],[Number of stocks]]&lt;0,Table25[[#This Row],[Number of stocks]],0)</f>
        <v>-2</v>
      </c>
      <c r="K1450" s="5">
        <f>Table25[[#This Row],[Sold]]*Table25[[#This Row],[Price]]</f>
        <v>-437.86</v>
      </c>
      <c r="L1450" s="8">
        <f>ABS(SUMIF(Table25[[#All],[Assets]],Table25[[#This Row],[Assets]],Table25[[#All],[Sold]]))</f>
        <v>26</v>
      </c>
      <c r="M1450" s="5">
        <f>ABS(SUMIF(Table25[[#All],[Assets]],Table25[[#This Row],[Assets]],Table25[[#All],[Sold Amount]]))</f>
        <v>6958.9199999999992</v>
      </c>
      <c r="N1450" s="5">
        <f>IFERROR(Table25[[#This Row],[Total sold amount]]/Table25[[#This Row],[Total Sold number of stocks]],"")</f>
        <v>267.65076923076919</v>
      </c>
      <c r="O1450" s="4">
        <f>IFERROR(Table25[[#This Row],[Total Amount bought]]/Table25[[#This Row],[Total number bought]],"")</f>
        <v>241.24000000000004</v>
      </c>
      <c r="P1450" s="4">
        <f>IFERROR((Table25[[#This Row],[Average sell price]]-Table25[[#This Row],[Average buy price]])*Table25[[#This Row],[Total Sold number of stocks]],0)</f>
        <v>686.67999999999779</v>
      </c>
      <c r="Q1450" s="85">
        <f>SUMIF(Table25[[#All],[Assets]],Table25[[#This Row],[Assets]],Table25[[#All],[Number of stocks]])</f>
        <v>0</v>
      </c>
    </row>
    <row r="1451" spans="1:17">
      <c r="A1451" t="e" vm="80">
        <v>#VALUE!</v>
      </c>
      <c r="B1451" s="2">
        <v>45867</v>
      </c>
      <c r="C1451" t="str" cm="1">
        <f t="array" aca="1" ref="C1451" ca="1">_FV(A1451,"Ticker symbol",TRUE)</f>
        <v>PYPL</v>
      </c>
      <c r="D1451" s="4">
        <v>71.95</v>
      </c>
      <c r="E1451" s="50">
        <v>-12</v>
      </c>
      <c r="F1451" s="81">
        <f>IF(Table25[[#This Row],[Number of stocks]]&gt;0,Table25[[#This Row],[Number of stocks]],0)</f>
        <v>0</v>
      </c>
      <c r="G1451" s="73">
        <f>Table25[[#This Row],[Bought]]*Table25[[#This Row],[Price]]</f>
        <v>0</v>
      </c>
      <c r="H1451">
        <f>SUMIF(Table25[[#All],[Assets]],Table25[[#This Row],[Assets]],Table25[[#All],[Bought]])</f>
        <v>223</v>
      </c>
      <c r="I1451">
        <f>SUMIF(Table25[[#All],[Assets]],Table25[[#This Row],[Assets]],Table25[[#All],[Bought Amount]])</f>
        <v>14862.050000000003</v>
      </c>
      <c r="J1451" s="88">
        <f>IF(Table25[[#This Row],[Number of stocks]]&lt;0,Table25[[#This Row],[Number of stocks]],0)</f>
        <v>-12</v>
      </c>
      <c r="K1451" s="5">
        <f>Table25[[#This Row],[Sold]]*Table25[[#This Row],[Price]]</f>
        <v>-863.40000000000009</v>
      </c>
      <c r="L1451" s="8">
        <f>ABS(SUMIF(Table25[[#All],[Assets]],Table25[[#This Row],[Assets]],Table25[[#All],[Sold]]))</f>
        <v>222</v>
      </c>
      <c r="M1451" s="5">
        <f>ABS(SUMIF(Table25[[#All],[Assets]],Table25[[#This Row],[Assets]],Table25[[#All],[Sold Amount]]))</f>
        <v>15255.44</v>
      </c>
      <c r="N1451" s="5">
        <f>IFERROR(Table25[[#This Row],[Total sold amount]]/Table25[[#This Row],[Total Sold number of stocks]],"")</f>
        <v>68.718198198198195</v>
      </c>
      <c r="O1451" s="4">
        <f>IFERROR(Table25[[#This Row],[Total Amount bought]]/Table25[[#This Row],[Total number bought]],"")</f>
        <v>66.645964125560553</v>
      </c>
      <c r="P1451" s="4">
        <f>IFERROR((Table25[[#This Row],[Average sell price]]-Table25[[#This Row],[Average buy price]])*Table25[[#This Row],[Total Sold number of stocks]],0)</f>
        <v>460.03596412555646</v>
      </c>
      <c r="Q1451" s="85">
        <f>SUMIF(Table25[[#All],[Assets]],Table25[[#This Row],[Assets]],Table25[[#All],[Number of stocks]])</f>
        <v>1</v>
      </c>
    </row>
    <row r="1452" spans="1:17">
      <c r="A1452" t="e" vm="567">
        <v>#VALUE!</v>
      </c>
      <c r="B1452" s="2">
        <v>45867</v>
      </c>
      <c r="C1452" t="str" cm="1">
        <f t="array" aca="1" ref="C1452" ca="1">_FV(A1452,"Ticker symbol",TRUE)</f>
        <v>BMNR</v>
      </c>
      <c r="D1452" s="4">
        <v>30.74</v>
      </c>
      <c r="E1452" s="50">
        <v>28</v>
      </c>
      <c r="F1452" s="81">
        <f>IF(Table25[[#This Row],[Number of stocks]]&gt;0,Table25[[#This Row],[Number of stocks]],0)</f>
        <v>28</v>
      </c>
      <c r="G1452" s="73">
        <f>Table25[[#This Row],[Bought]]*Table25[[#This Row],[Price]]</f>
        <v>860.71999999999991</v>
      </c>
      <c r="H1452">
        <f>SUMIF(Table25[[#All],[Assets]],Table25[[#This Row],[Assets]],Table25[[#All],[Bought]])</f>
        <v>38</v>
      </c>
      <c r="I1452">
        <f>SUMIF(Table25[[#All],[Assets]],Table25[[#This Row],[Assets]],Table25[[#All],[Bought Amount]])</f>
        <v>1430.52</v>
      </c>
      <c r="J1452" s="88">
        <f>IF(Table25[[#This Row],[Number of stocks]]&lt;0,Table25[[#This Row],[Number of stocks]],0)</f>
        <v>0</v>
      </c>
      <c r="K1452" s="5">
        <f>Table25[[#This Row],[Sold]]*Table25[[#This Row],[Price]]</f>
        <v>0</v>
      </c>
      <c r="L1452" s="8">
        <f>ABS(SUMIF(Table25[[#All],[Assets]],Table25[[#This Row],[Assets]],Table25[[#All],[Sold]]))</f>
        <v>38</v>
      </c>
      <c r="M1452" s="5">
        <f>ABS(SUMIF(Table25[[#All],[Assets]],Table25[[#This Row],[Assets]],Table25[[#All],[Sold Amount]]))</f>
        <v>2255.36</v>
      </c>
      <c r="N1452" s="5">
        <f>IFERROR(Table25[[#This Row],[Total sold amount]]/Table25[[#This Row],[Total Sold number of stocks]],"")</f>
        <v>59.351578947368424</v>
      </c>
      <c r="O1452" s="4">
        <f>IFERROR(Table25[[#This Row],[Total Amount bought]]/Table25[[#This Row],[Total number bought]],"")</f>
        <v>37.645263157894739</v>
      </c>
      <c r="P1452" s="4">
        <f>IFERROR((Table25[[#This Row],[Average sell price]]-Table25[[#This Row],[Average buy price]])*Table25[[#This Row],[Total Sold number of stocks]],0)</f>
        <v>824.84</v>
      </c>
      <c r="Q1452" s="85">
        <f>SUMIF(Table25[[#All],[Assets]],Table25[[#This Row],[Assets]],Table25[[#All],[Number of stocks]])</f>
        <v>0</v>
      </c>
    </row>
    <row r="1453" spans="1:17">
      <c r="A1453" t="e" vm="71">
        <v>#VALUE!</v>
      </c>
      <c r="B1453" s="2">
        <v>45867</v>
      </c>
      <c r="C1453" t="str" cm="1">
        <f t="array" aca="1" ref="C1453" ca="1">_FV(A1453,"Ticker symbol",TRUE)</f>
        <v>TKNO</v>
      </c>
      <c r="D1453" s="4">
        <v>4.8899999999999997</v>
      </c>
      <c r="E1453" s="50">
        <v>-280</v>
      </c>
      <c r="F1453" s="81">
        <f>IF(Table25[[#This Row],[Number of stocks]]&gt;0,Table25[[#This Row],[Number of stocks]],0)</f>
        <v>0</v>
      </c>
      <c r="G1453" s="73">
        <f>Table25[[#This Row],[Bought]]*Table25[[#This Row],[Price]]</f>
        <v>0</v>
      </c>
      <c r="H1453">
        <f>SUMIF(Table25[[#All],[Assets]],Table25[[#This Row],[Assets]],Table25[[#All],[Bought]])</f>
        <v>2166.0267990000002</v>
      </c>
      <c r="I1453">
        <f>SUMIF(Table25[[#All],[Assets]],Table25[[#This Row],[Assets]],Table25[[#All],[Bought Amount]])</f>
        <v>13370.91512648</v>
      </c>
      <c r="J1453" s="88">
        <f>IF(Table25[[#This Row],[Number of stocks]]&lt;0,Table25[[#This Row],[Number of stocks]],0)</f>
        <v>-280</v>
      </c>
      <c r="K1453" s="5">
        <f>Table25[[#This Row],[Sold]]*Table25[[#This Row],[Price]]</f>
        <v>-1369.1999999999998</v>
      </c>
      <c r="L1453" s="8">
        <f>ABS(SUMIF(Table25[[#All],[Assets]],Table25[[#This Row],[Assets]],Table25[[#All],[Sold]]))</f>
        <v>2083</v>
      </c>
      <c r="M1453" s="5">
        <f>ABS(SUMIF(Table25[[#All],[Assets]],Table25[[#This Row],[Assets]],Table25[[#All],[Sold Amount]]))</f>
        <v>11153.28</v>
      </c>
      <c r="N1453" s="5">
        <f>IFERROR(Table25[[#This Row],[Total sold amount]]/Table25[[#This Row],[Total Sold number of stocks]],"")</f>
        <v>5.3544311089774368</v>
      </c>
      <c r="O1453" s="4">
        <f>IFERROR(Table25[[#This Row],[Total Amount bought]]/Table25[[#This Row],[Total number bought]],"")</f>
        <v>6.1730146333614213</v>
      </c>
      <c r="P1453" s="4">
        <f>IFERROR((Table25[[#This Row],[Average sell price]]-Table25[[#This Row],[Average buy price]])*Table25[[#This Row],[Total Sold number of stocks]],0)</f>
        <v>-1705.1094812918398</v>
      </c>
      <c r="Q1453" s="85">
        <f>SUMIF(Table25[[#All],[Assets]],Table25[[#This Row],[Assets]],Table25[[#All],[Number of stocks]])</f>
        <v>83.026798999999983</v>
      </c>
    </row>
    <row r="1454" spans="1:17">
      <c r="A1454" t="e" vm="495">
        <v>#VALUE!</v>
      </c>
      <c r="B1454" s="2">
        <v>45867</v>
      </c>
      <c r="C1454" t="str" cm="1">
        <f t="array" aca="1" ref="C1454" ca="1">_FV(A1454,"Ticker symbol",TRUE)</f>
        <v>KSS</v>
      </c>
      <c r="D1454" s="4">
        <v>11.93</v>
      </c>
      <c r="E1454" s="50">
        <v>-18</v>
      </c>
      <c r="F1454" s="81">
        <f>IF(Table25[[#This Row],[Number of stocks]]&gt;0,Table25[[#This Row],[Number of stocks]],0)</f>
        <v>0</v>
      </c>
      <c r="G1454" s="73">
        <f>Table25[[#This Row],[Bought]]*Table25[[#This Row],[Price]]</f>
        <v>0</v>
      </c>
      <c r="H1454">
        <f>SUMIF(Table25[[#All],[Assets]],Table25[[#This Row],[Assets]],Table25[[#All],[Bought]])</f>
        <v>18</v>
      </c>
      <c r="I1454">
        <f>SUMIF(Table25[[#All],[Assets]],Table25[[#This Row],[Assets]],Table25[[#All],[Bought Amount]])</f>
        <v>221.94</v>
      </c>
      <c r="J1454" s="88">
        <f>IF(Table25[[#This Row],[Number of stocks]]&lt;0,Table25[[#This Row],[Number of stocks]],0)</f>
        <v>-18</v>
      </c>
      <c r="K1454" s="5">
        <f>Table25[[#This Row],[Sold]]*Table25[[#This Row],[Price]]</f>
        <v>-214.74</v>
      </c>
      <c r="L1454" s="8">
        <f>ABS(SUMIF(Table25[[#All],[Assets]],Table25[[#This Row],[Assets]],Table25[[#All],[Sold]]))</f>
        <v>18</v>
      </c>
      <c r="M1454" s="5">
        <f>ABS(SUMIF(Table25[[#All],[Assets]],Table25[[#This Row],[Assets]],Table25[[#All],[Sold Amount]]))</f>
        <v>214.74</v>
      </c>
      <c r="N1454" s="5">
        <f>IFERROR(Table25[[#This Row],[Total sold amount]]/Table25[[#This Row],[Total Sold number of stocks]],"")</f>
        <v>11.93</v>
      </c>
      <c r="O1454" s="4">
        <f>IFERROR(Table25[[#This Row],[Total Amount bought]]/Table25[[#This Row],[Total number bought]],"")</f>
        <v>12.33</v>
      </c>
      <c r="P1454" s="4">
        <f>IFERROR((Table25[[#This Row],[Average sell price]]-Table25[[#This Row],[Average buy price]])*Table25[[#This Row],[Total Sold number of stocks]],0)</f>
        <v>-7.2000000000000064</v>
      </c>
      <c r="Q1454" s="85">
        <f>SUMIF(Table25[[#All],[Assets]],Table25[[#This Row],[Assets]],Table25[[#All],[Number of stocks]])</f>
        <v>0</v>
      </c>
    </row>
    <row r="1455" spans="1:17">
      <c r="A1455" t="e" vm="229">
        <v>#VALUE!</v>
      </c>
      <c r="B1455" s="2">
        <v>45867</v>
      </c>
      <c r="C1455" t="str" cm="1">
        <f t="array" aca="1" ref="C1455" ca="1">_FV(A1455,"Ticker symbol",TRUE)</f>
        <v>AEO</v>
      </c>
      <c r="D1455" s="4">
        <v>11.67</v>
      </c>
      <c r="E1455" s="50">
        <v>5</v>
      </c>
      <c r="F1455" s="81">
        <f>IF(Table25[[#This Row],[Number of stocks]]&gt;0,Table25[[#This Row],[Number of stocks]],0)</f>
        <v>5</v>
      </c>
      <c r="G1455" s="73">
        <f>Table25[[#This Row],[Bought]]*Table25[[#This Row],[Price]]</f>
        <v>58.35</v>
      </c>
      <c r="H1455">
        <f>SUMIF(Table25[[#All],[Assets]],Table25[[#This Row],[Assets]],Table25[[#All],[Bought]])</f>
        <v>105</v>
      </c>
      <c r="I1455">
        <f>SUMIF(Table25[[#All],[Assets]],Table25[[#This Row],[Assets]],Table25[[#All],[Bought Amount]])</f>
        <v>1221.25</v>
      </c>
      <c r="J1455" s="88">
        <f>IF(Table25[[#This Row],[Number of stocks]]&lt;0,Table25[[#This Row],[Number of stocks]],0)</f>
        <v>0</v>
      </c>
      <c r="K1455" s="5">
        <f>Table25[[#This Row],[Sold]]*Table25[[#This Row],[Price]]</f>
        <v>0</v>
      </c>
      <c r="L1455" s="8">
        <f>ABS(SUMIF(Table25[[#All],[Assets]],Table25[[#This Row],[Assets]],Table25[[#All],[Sold]]))</f>
        <v>105</v>
      </c>
      <c r="M1455" s="5">
        <f>ABS(SUMIF(Table25[[#All],[Assets]],Table25[[#This Row],[Assets]],Table25[[#All],[Sold Amount]]))</f>
        <v>2003.4</v>
      </c>
      <c r="N1455" s="5">
        <f>IFERROR(Table25[[#This Row],[Total sold amount]]/Table25[[#This Row],[Total Sold number of stocks]],"")</f>
        <v>19.080000000000002</v>
      </c>
      <c r="O1455" s="4">
        <f>IFERROR(Table25[[#This Row],[Total Amount bought]]/Table25[[#This Row],[Total number bought]],"")</f>
        <v>11.630952380952381</v>
      </c>
      <c r="P1455" s="4">
        <f>IFERROR((Table25[[#This Row],[Average sell price]]-Table25[[#This Row],[Average buy price]])*Table25[[#This Row],[Total Sold number of stocks]],0)</f>
        <v>782.1500000000002</v>
      </c>
      <c r="Q1455" s="85">
        <f>SUMIF(Table25[[#All],[Assets]],Table25[[#This Row],[Assets]],Table25[[#All],[Number of stocks]])</f>
        <v>0</v>
      </c>
    </row>
    <row r="1456" spans="1:17">
      <c r="A1456" t="e" vm="80">
        <v>#VALUE!</v>
      </c>
      <c r="B1456" s="2">
        <v>45867</v>
      </c>
      <c r="C1456" t="str" cm="1">
        <f t="array" aca="1" ref="C1456" ca="1">_FV(A1456,"Ticker symbol",TRUE)</f>
        <v>PYPL</v>
      </c>
      <c r="D1456" s="4">
        <v>71.959999999999994</v>
      </c>
      <c r="E1456" s="50">
        <v>-8</v>
      </c>
      <c r="F1456" s="81">
        <f>IF(Table25[[#This Row],[Number of stocks]]&gt;0,Table25[[#This Row],[Number of stocks]],0)</f>
        <v>0</v>
      </c>
      <c r="G1456" s="73">
        <f>Table25[[#This Row],[Bought]]*Table25[[#This Row],[Price]]</f>
        <v>0</v>
      </c>
      <c r="H1456">
        <f>SUMIF(Table25[[#All],[Assets]],Table25[[#This Row],[Assets]],Table25[[#All],[Bought]])</f>
        <v>223</v>
      </c>
      <c r="I1456">
        <f>SUMIF(Table25[[#All],[Assets]],Table25[[#This Row],[Assets]],Table25[[#All],[Bought Amount]])</f>
        <v>14862.050000000003</v>
      </c>
      <c r="J1456" s="88">
        <f>IF(Table25[[#This Row],[Number of stocks]]&lt;0,Table25[[#This Row],[Number of stocks]],0)</f>
        <v>-8</v>
      </c>
      <c r="K1456" s="5">
        <f>Table25[[#This Row],[Sold]]*Table25[[#This Row],[Price]]</f>
        <v>-575.67999999999995</v>
      </c>
      <c r="L1456" s="8">
        <f>ABS(SUMIF(Table25[[#All],[Assets]],Table25[[#This Row],[Assets]],Table25[[#All],[Sold]]))</f>
        <v>222</v>
      </c>
      <c r="M1456" s="5">
        <f>ABS(SUMIF(Table25[[#All],[Assets]],Table25[[#This Row],[Assets]],Table25[[#All],[Sold Amount]]))</f>
        <v>15255.44</v>
      </c>
      <c r="N1456" s="5">
        <f>IFERROR(Table25[[#This Row],[Total sold amount]]/Table25[[#This Row],[Total Sold number of stocks]],"")</f>
        <v>68.718198198198195</v>
      </c>
      <c r="O1456" s="4">
        <f>IFERROR(Table25[[#This Row],[Total Amount bought]]/Table25[[#This Row],[Total number bought]],"")</f>
        <v>66.645964125560553</v>
      </c>
      <c r="P1456" s="4">
        <f>IFERROR((Table25[[#This Row],[Average sell price]]-Table25[[#This Row],[Average buy price]])*Table25[[#This Row],[Total Sold number of stocks]],0)</f>
        <v>460.03596412555646</v>
      </c>
      <c r="Q1456" s="85">
        <f>SUMIF(Table25[[#All],[Assets]],Table25[[#This Row],[Assets]],Table25[[#All],[Number of stocks]])</f>
        <v>1</v>
      </c>
    </row>
    <row r="1457" spans="1:17">
      <c r="A1457" t="e" vm="227">
        <v>#VALUE!</v>
      </c>
      <c r="B1457" s="2">
        <v>45867</v>
      </c>
      <c r="C1457" t="str" cm="1">
        <f t="array" aca="1" ref="C1457" ca="1">_FV(A1457,"Ticker symbol",TRUE)</f>
        <v>DFDV</v>
      </c>
      <c r="D1457" s="4">
        <v>16.2</v>
      </c>
      <c r="E1457" s="50">
        <v>100</v>
      </c>
      <c r="F1457" s="81">
        <f>IF(Table25[[#This Row],[Number of stocks]]&gt;0,Table25[[#This Row],[Number of stocks]],0)</f>
        <v>100</v>
      </c>
      <c r="G1457" s="73">
        <f>Table25[[#This Row],[Bought]]*Table25[[#This Row],[Price]]</f>
        <v>1620</v>
      </c>
      <c r="H1457">
        <f>SUMIF(Table25[[#All],[Assets]],Table25[[#This Row],[Assets]],Table25[[#All],[Bought]])</f>
        <v>387</v>
      </c>
      <c r="I1457">
        <f>SUMIF(Table25[[#All],[Assets]],Table25[[#This Row],[Assets]],Table25[[#All],[Bought Amount]])</f>
        <v>6522.1182600000002</v>
      </c>
      <c r="J1457" s="88">
        <f>IF(Table25[[#This Row],[Number of stocks]]&lt;0,Table25[[#This Row],[Number of stocks]],0)</f>
        <v>0</v>
      </c>
      <c r="K1457" s="5">
        <f>Table25[[#This Row],[Sold]]*Table25[[#This Row],[Price]]</f>
        <v>0</v>
      </c>
      <c r="L1457" s="8">
        <f>ABS(SUMIF(Table25[[#All],[Assets]],Table25[[#This Row],[Assets]],Table25[[#All],[Sold]]))</f>
        <v>387</v>
      </c>
      <c r="M1457" s="5">
        <f>ABS(SUMIF(Table25[[#All],[Assets]],Table25[[#This Row],[Assets]],Table25[[#All],[Sold Amount]]))</f>
        <v>7242.64</v>
      </c>
      <c r="N1457" s="5">
        <f>IFERROR(Table25[[#This Row],[Total sold amount]]/Table25[[#This Row],[Total Sold number of stocks]],"")</f>
        <v>18.714832041343669</v>
      </c>
      <c r="O1457" s="4">
        <f>IFERROR(Table25[[#This Row],[Total Amount bought]]/Table25[[#This Row],[Total number bought]],"")</f>
        <v>16.853018759689924</v>
      </c>
      <c r="P1457" s="4">
        <f>IFERROR((Table25[[#This Row],[Average sell price]]-Table25[[#This Row],[Average buy price]])*Table25[[#This Row],[Total Sold number of stocks]],0)</f>
        <v>720.52173999999945</v>
      </c>
      <c r="Q1457" s="85">
        <f>SUMIF(Table25[[#All],[Assets]],Table25[[#This Row],[Assets]],Table25[[#All],[Number of stocks]])</f>
        <v>0</v>
      </c>
    </row>
    <row r="1458" spans="1:17">
      <c r="A1458" t="e" vm="233">
        <v>#VALUE!</v>
      </c>
      <c r="B1458" s="2">
        <v>45867</v>
      </c>
      <c r="C1458" t="str" cm="1">
        <f t="array" aca="1" ref="C1458" ca="1">_FV(A1458,"Ticker symbol",TRUE)</f>
        <v>NTGR</v>
      </c>
      <c r="D1458" s="4">
        <v>25.33</v>
      </c>
      <c r="E1458" s="50">
        <v>19</v>
      </c>
      <c r="F1458" s="81">
        <f>IF(Table25[[#This Row],[Number of stocks]]&gt;0,Table25[[#This Row],[Number of stocks]],0)</f>
        <v>19</v>
      </c>
      <c r="G1458" s="73">
        <f>Table25[[#This Row],[Bought]]*Table25[[#This Row],[Price]]</f>
        <v>481.27</v>
      </c>
      <c r="H1458">
        <f>SUMIF(Table25[[#All],[Assets]],Table25[[#This Row],[Assets]],Table25[[#All],[Bought]])</f>
        <v>57</v>
      </c>
      <c r="I1458">
        <f>SUMIF(Table25[[#All],[Assets]],Table25[[#This Row],[Assets]],Table25[[#All],[Bought Amount]])</f>
        <v>1211.07</v>
      </c>
      <c r="J1458" s="88">
        <f>IF(Table25[[#This Row],[Number of stocks]]&lt;0,Table25[[#This Row],[Number of stocks]],0)</f>
        <v>0</v>
      </c>
      <c r="K1458" s="5">
        <f>Table25[[#This Row],[Sold]]*Table25[[#This Row],[Price]]</f>
        <v>0</v>
      </c>
      <c r="L1458" s="8">
        <f>ABS(SUMIF(Table25[[#All],[Assets]],Table25[[#This Row],[Assets]],Table25[[#All],[Sold]]))</f>
        <v>57</v>
      </c>
      <c r="M1458" s="5">
        <f>ABS(SUMIF(Table25[[#All],[Assets]],Table25[[#This Row],[Assets]],Table25[[#All],[Sold Amount]]))</f>
        <v>1382.52</v>
      </c>
      <c r="N1458" s="5">
        <f>IFERROR(Table25[[#This Row],[Total sold amount]]/Table25[[#This Row],[Total Sold number of stocks]],"")</f>
        <v>24.254736842105263</v>
      </c>
      <c r="O1458" s="4">
        <f>IFERROR(Table25[[#This Row],[Total Amount bought]]/Table25[[#This Row],[Total number bought]],"")</f>
        <v>21.246842105263156</v>
      </c>
      <c r="P1458" s="4">
        <f>IFERROR((Table25[[#This Row],[Average sell price]]-Table25[[#This Row],[Average buy price]])*Table25[[#This Row],[Total Sold number of stocks]],0)</f>
        <v>171.45000000000013</v>
      </c>
      <c r="Q1458" s="85">
        <f>SUMIF(Table25[[#All],[Assets]],Table25[[#This Row],[Assets]],Table25[[#All],[Number of stocks]])</f>
        <v>0</v>
      </c>
    </row>
    <row r="1459" spans="1:17">
      <c r="A1459" t="e" vm="73">
        <v>#VALUE!</v>
      </c>
      <c r="B1459" s="2">
        <v>45867</v>
      </c>
      <c r="C1459" t="str" cm="1">
        <f t="array" aca="1" ref="C1459" ca="1">_FV(A1459,"Ticker symbol",TRUE)</f>
        <v>NOTV</v>
      </c>
      <c r="D1459" s="4">
        <v>2.0299999999999998</v>
      </c>
      <c r="E1459" s="50">
        <v>-200</v>
      </c>
      <c r="F1459" s="81">
        <f>IF(Table25[[#This Row],[Number of stocks]]&gt;0,Table25[[#This Row],[Number of stocks]],0)</f>
        <v>0</v>
      </c>
      <c r="G1459" s="73">
        <f>Table25[[#This Row],[Bought]]*Table25[[#This Row],[Price]]</f>
        <v>0</v>
      </c>
      <c r="H1459">
        <f>SUMIF(Table25[[#All],[Assets]],Table25[[#This Row],[Assets]],Table25[[#All],[Bought]])</f>
        <v>3556</v>
      </c>
      <c r="I1459">
        <f>SUMIF(Table25[[#All],[Assets]],Table25[[#This Row],[Assets]],Table25[[#All],[Bought Amount]])</f>
        <v>10249.890000000001</v>
      </c>
      <c r="J1459" s="88">
        <f>IF(Table25[[#This Row],[Number of stocks]]&lt;0,Table25[[#This Row],[Number of stocks]],0)</f>
        <v>-200</v>
      </c>
      <c r="K1459" s="5">
        <f>Table25[[#This Row],[Sold]]*Table25[[#This Row],[Price]]</f>
        <v>-405.99999999999994</v>
      </c>
      <c r="L1459" s="8">
        <f>ABS(SUMIF(Table25[[#All],[Assets]],Table25[[#This Row],[Assets]],Table25[[#All],[Sold]]))</f>
        <v>2741</v>
      </c>
      <c r="M1459" s="5">
        <f>ABS(SUMIF(Table25[[#All],[Assets]],Table25[[#This Row],[Assets]],Table25[[#All],[Sold Amount]]))</f>
        <v>6559.66</v>
      </c>
      <c r="N1459" s="5">
        <f>IFERROR(Table25[[#This Row],[Total sold amount]]/Table25[[#This Row],[Total Sold number of stocks]],"")</f>
        <v>2.3931630791681866</v>
      </c>
      <c r="O1459" s="4">
        <f>IFERROR(Table25[[#This Row],[Total Amount bought]]/Table25[[#This Row],[Total number bought]],"")</f>
        <v>2.8824212598425198</v>
      </c>
      <c r="P1459" s="4">
        <f>IFERROR((Table25[[#This Row],[Average sell price]]-Table25[[#This Row],[Average buy price]])*Table25[[#This Row],[Total Sold number of stocks]],0)</f>
        <v>-1341.0566732283473</v>
      </c>
      <c r="Q1459" s="85">
        <f>SUMIF(Table25[[#All],[Assets]],Table25[[#This Row],[Assets]],Table25[[#All],[Number of stocks]])</f>
        <v>815</v>
      </c>
    </row>
    <row r="1460" spans="1:17">
      <c r="A1460" t="e" vm="568">
        <v>#VALUE!</v>
      </c>
      <c r="B1460" s="2">
        <v>45867</v>
      </c>
      <c r="C1460" t="str" cm="1">
        <f t="array" aca="1" ref="C1460" ca="1">_FV(A1460,"Ticker symbol",TRUE)</f>
        <v>LRMR</v>
      </c>
      <c r="D1460" s="4">
        <v>3.59</v>
      </c>
      <c r="E1460" s="50">
        <v>-65</v>
      </c>
      <c r="F1460" s="81">
        <f>IF(Table25[[#This Row],[Number of stocks]]&gt;0,Table25[[#This Row],[Number of stocks]],0)</f>
        <v>0</v>
      </c>
      <c r="G1460" s="73">
        <f>Table25[[#This Row],[Bought]]*Table25[[#This Row],[Price]]</f>
        <v>0</v>
      </c>
      <c r="H1460">
        <f>SUMIF(Table25[[#All],[Assets]],Table25[[#This Row],[Assets]],Table25[[#All],[Bought]])</f>
        <v>130</v>
      </c>
      <c r="I1460">
        <f>SUMIF(Table25[[#All],[Assets]],Table25[[#This Row],[Assets]],Table25[[#All],[Bought Amount]])</f>
        <v>449.8</v>
      </c>
      <c r="J1460" s="88">
        <f>IF(Table25[[#This Row],[Number of stocks]]&lt;0,Table25[[#This Row],[Number of stocks]],0)</f>
        <v>-65</v>
      </c>
      <c r="K1460" s="5">
        <f>Table25[[#This Row],[Sold]]*Table25[[#This Row],[Price]]</f>
        <v>-233.35</v>
      </c>
      <c r="L1460" s="8">
        <f>ABS(SUMIF(Table25[[#All],[Assets]],Table25[[#This Row],[Assets]],Table25[[#All],[Sold]]))</f>
        <v>130</v>
      </c>
      <c r="M1460" s="5">
        <f>ABS(SUMIF(Table25[[#All],[Assets]],Table25[[#This Row],[Assets]],Table25[[#All],[Sold Amount]]))</f>
        <v>475.79999999999995</v>
      </c>
      <c r="N1460" s="5">
        <f>IFERROR(Table25[[#This Row],[Total sold amount]]/Table25[[#This Row],[Total Sold number of stocks]],"")</f>
        <v>3.6599999999999997</v>
      </c>
      <c r="O1460" s="4">
        <f>IFERROR(Table25[[#This Row],[Total Amount bought]]/Table25[[#This Row],[Total number bought]],"")</f>
        <v>3.46</v>
      </c>
      <c r="P1460" s="4">
        <f>IFERROR((Table25[[#This Row],[Average sell price]]-Table25[[#This Row],[Average buy price]])*Table25[[#This Row],[Total Sold number of stocks]],0)</f>
        <v>25.999999999999964</v>
      </c>
      <c r="Q1460" s="85">
        <f>SUMIF(Table25[[#All],[Assets]],Table25[[#This Row],[Assets]],Table25[[#All],[Number of stocks]])</f>
        <v>0</v>
      </c>
    </row>
    <row r="1461" spans="1:17">
      <c r="A1461" t="e" vm="13">
        <v>#VALUE!</v>
      </c>
      <c r="B1461" s="2">
        <v>45868</v>
      </c>
      <c r="C1461" t="str" cm="1">
        <f t="array" aca="1" ref="C1461" ca="1">_FV(A1461,"Ticker symbol",TRUE)</f>
        <v>ON</v>
      </c>
      <c r="D1461" s="4">
        <v>58.33</v>
      </c>
      <c r="E1461" s="50">
        <v>18</v>
      </c>
      <c r="F1461" s="81">
        <f>IF(Table25[[#This Row],[Number of stocks]]&gt;0,Table25[[#This Row],[Number of stocks]],0)</f>
        <v>18</v>
      </c>
      <c r="G1461" s="73">
        <f>Table25[[#This Row],[Bought]]*Table25[[#This Row],[Price]]</f>
        <v>1049.94</v>
      </c>
      <c r="H1461">
        <f>SUMIF(Table25[[#All],[Assets]],Table25[[#This Row],[Assets]],Table25[[#All],[Bought]])</f>
        <v>326</v>
      </c>
      <c r="I1461">
        <f>SUMIF(Table25[[#All],[Assets]],Table25[[#This Row],[Assets]],Table25[[#All],[Bought Amount]])</f>
        <v>19172.809999999998</v>
      </c>
      <c r="J1461" s="88">
        <f>IF(Table25[[#This Row],[Number of stocks]]&lt;0,Table25[[#This Row],[Number of stocks]],0)</f>
        <v>0</v>
      </c>
      <c r="K1461" s="5">
        <f>Table25[[#This Row],[Sold]]*Table25[[#This Row],[Price]]</f>
        <v>0</v>
      </c>
      <c r="L1461" s="8">
        <f>ABS(SUMIF(Table25[[#All],[Assets]],Table25[[#This Row],[Assets]],Table25[[#All],[Sold]]))</f>
        <v>283</v>
      </c>
      <c r="M1461" s="5">
        <f>ABS(SUMIF(Table25[[#All],[Assets]],Table25[[#This Row],[Assets]],Table25[[#All],[Sold Amount]]))</f>
        <v>15700.74</v>
      </c>
      <c r="N1461" s="5">
        <f>IFERROR(Table25[[#This Row],[Total sold amount]]/Table25[[#This Row],[Total Sold number of stocks]],"")</f>
        <v>55.47964664310954</v>
      </c>
      <c r="O1461" s="4">
        <f>IFERROR(Table25[[#This Row],[Total Amount bought]]/Table25[[#This Row],[Total number bought]],"")</f>
        <v>58.812300613496923</v>
      </c>
      <c r="P1461" s="4">
        <f>IFERROR((Table25[[#This Row],[Average sell price]]-Table25[[#This Row],[Average buy price]])*Table25[[#This Row],[Total Sold number of stocks]],0)</f>
        <v>-943.14107361962954</v>
      </c>
      <c r="Q1461" s="85">
        <f>SUMIF(Table25[[#All],[Assets]],Table25[[#This Row],[Assets]],Table25[[#All],[Number of stocks]])</f>
        <v>43</v>
      </c>
    </row>
    <row r="1462" spans="1:17">
      <c r="A1462" t="e" vm="30">
        <v>#VALUE!</v>
      </c>
      <c r="B1462" s="2">
        <v>45869</v>
      </c>
      <c r="C1462" t="str" cm="1">
        <f t="array" aca="1" ref="C1462" ca="1">_FV(A1462,"Ticker symbol",TRUE)</f>
        <v>NBIS</v>
      </c>
      <c r="D1462" s="4">
        <v>53.89</v>
      </c>
      <c r="E1462" s="50">
        <v>10</v>
      </c>
      <c r="F1462" s="81">
        <f>IF(Table25[[#This Row],[Number of stocks]]&gt;0,Table25[[#This Row],[Number of stocks]],0)</f>
        <v>10</v>
      </c>
      <c r="G1462" s="73">
        <f>Table25[[#This Row],[Bought]]*Table25[[#This Row],[Price]]</f>
        <v>538.9</v>
      </c>
      <c r="H1462">
        <f>SUMIF(Table25[[#All],[Assets]],Table25[[#This Row],[Assets]],Table25[[#All],[Bought]])</f>
        <v>70</v>
      </c>
      <c r="I1462">
        <f>SUMIF(Table25[[#All],[Assets]],Table25[[#This Row],[Assets]],Table25[[#All],[Bought Amount]])</f>
        <v>2691.1</v>
      </c>
      <c r="J1462" s="88">
        <f>IF(Table25[[#This Row],[Number of stocks]]&lt;0,Table25[[#This Row],[Number of stocks]],0)</f>
        <v>0</v>
      </c>
      <c r="K1462" s="5">
        <f>Table25[[#This Row],[Sold]]*Table25[[#This Row],[Price]]</f>
        <v>0</v>
      </c>
      <c r="L1462" s="8">
        <f>ABS(SUMIF(Table25[[#All],[Assets]],Table25[[#This Row],[Assets]],Table25[[#All],[Sold]]))</f>
        <v>30</v>
      </c>
      <c r="M1462" s="5">
        <f>ABS(SUMIF(Table25[[#All],[Assets]],Table25[[#This Row],[Assets]],Table25[[#All],[Sold Amount]]))</f>
        <v>3282.8</v>
      </c>
      <c r="N1462" s="5">
        <f>IFERROR(Table25[[#This Row],[Total sold amount]]/Table25[[#This Row],[Total Sold number of stocks]],"")</f>
        <v>109.42666666666668</v>
      </c>
      <c r="O1462" s="4">
        <f>IFERROR(Table25[[#This Row],[Total Amount bought]]/Table25[[#This Row],[Total number bought]],"")</f>
        <v>38.444285714285712</v>
      </c>
      <c r="P1462" s="4">
        <f>IFERROR((Table25[[#This Row],[Average sell price]]-Table25[[#This Row],[Average buy price]])*Table25[[#This Row],[Total Sold number of stocks]],0)</f>
        <v>2129.471428571429</v>
      </c>
      <c r="Q1462" s="85">
        <f>SUMIF(Table25[[#All],[Assets]],Table25[[#This Row],[Assets]],Table25[[#All],[Number of stocks]])</f>
        <v>40</v>
      </c>
    </row>
    <row r="1463" spans="1:17">
      <c r="A1463" t="e" vm="188">
        <v>#VALUE!</v>
      </c>
      <c r="B1463" s="2">
        <v>45869</v>
      </c>
      <c r="C1463" t="str" cm="1">
        <f t="array" aca="1" ref="C1463" ca="1">_FV(A1463,"Ticker symbol",TRUE)</f>
        <v>BE</v>
      </c>
      <c r="D1463" s="4">
        <v>38.29</v>
      </c>
      <c r="E1463" s="50">
        <v>15</v>
      </c>
      <c r="F1463" s="81">
        <f>IF(Table25[[#This Row],[Number of stocks]]&gt;0,Table25[[#This Row],[Number of stocks]],0)</f>
        <v>15</v>
      </c>
      <c r="G1463" s="73">
        <f>Table25[[#This Row],[Bought]]*Table25[[#This Row],[Price]]</f>
        <v>574.35</v>
      </c>
      <c r="H1463">
        <f>SUMIF(Table25[[#All],[Assets]],Table25[[#This Row],[Assets]],Table25[[#All],[Bought]])</f>
        <v>50</v>
      </c>
      <c r="I1463">
        <f>SUMIF(Table25[[#All],[Assets]],Table25[[#This Row],[Assets]],Table25[[#All],[Bought Amount]])</f>
        <v>2840.05</v>
      </c>
      <c r="J1463" s="88">
        <f>IF(Table25[[#This Row],[Number of stocks]]&lt;0,Table25[[#This Row],[Number of stocks]],0)</f>
        <v>0</v>
      </c>
      <c r="K1463" s="5">
        <f>Table25[[#This Row],[Sold]]*Table25[[#This Row],[Price]]</f>
        <v>0</v>
      </c>
      <c r="L1463" s="8">
        <f>ABS(SUMIF(Table25[[#All],[Assets]],Table25[[#This Row],[Assets]],Table25[[#All],[Sold]]))</f>
        <v>35</v>
      </c>
      <c r="M1463" s="5">
        <f>ABS(SUMIF(Table25[[#All],[Assets]],Table25[[#This Row],[Assets]],Table25[[#All],[Sold Amount]]))</f>
        <v>1872.85</v>
      </c>
      <c r="N1463" s="5">
        <f>IFERROR(Table25[[#This Row],[Total sold amount]]/Table25[[#This Row],[Total Sold number of stocks]],"")</f>
        <v>53.51</v>
      </c>
      <c r="O1463" s="4">
        <f>IFERROR(Table25[[#This Row],[Total Amount bought]]/Table25[[#This Row],[Total number bought]],"")</f>
        <v>56.801000000000002</v>
      </c>
      <c r="P1463" s="4">
        <f>IFERROR((Table25[[#This Row],[Average sell price]]-Table25[[#This Row],[Average buy price]])*Table25[[#This Row],[Total Sold number of stocks]],0)</f>
        <v>-115.18500000000014</v>
      </c>
      <c r="Q1463" s="85">
        <f>SUMIF(Table25[[#All],[Assets]],Table25[[#This Row],[Assets]],Table25[[#All],[Number of stocks]])</f>
        <v>15</v>
      </c>
    </row>
    <row r="1464" spans="1:17">
      <c r="A1464" t="e" vm="78">
        <v>#VALUE!</v>
      </c>
      <c r="B1464" s="2">
        <v>45869</v>
      </c>
      <c r="C1464" t="str" cm="1">
        <f t="array" aca="1" ref="C1464" ca="1">_FV(A1464,"Ticker symbol",TRUE)</f>
        <v>TOI</v>
      </c>
      <c r="D1464" s="4">
        <v>3.78</v>
      </c>
      <c r="E1464" s="50">
        <v>390</v>
      </c>
      <c r="F1464" s="81">
        <f>IF(Table25[[#This Row],[Number of stocks]]&gt;0,Table25[[#This Row],[Number of stocks]],0)</f>
        <v>390</v>
      </c>
      <c r="G1464" s="73">
        <f>Table25[[#This Row],[Bought]]*Table25[[#This Row],[Price]]</f>
        <v>1474.1999999999998</v>
      </c>
      <c r="H1464">
        <f>SUMIF(Table25[[#All],[Assets]],Table25[[#This Row],[Assets]],Table25[[#All],[Bought]])</f>
        <v>2120</v>
      </c>
      <c r="I1464">
        <f>SUMIF(Table25[[#All],[Assets]],Table25[[#This Row],[Assets]],Table25[[#All],[Bought Amount]])</f>
        <v>4215.1000000000004</v>
      </c>
      <c r="J1464" s="88">
        <f>IF(Table25[[#This Row],[Number of stocks]]&lt;0,Table25[[#This Row],[Number of stocks]],0)</f>
        <v>0</v>
      </c>
      <c r="K1464" s="5">
        <f>Table25[[#This Row],[Sold]]*Table25[[#This Row],[Price]]</f>
        <v>0</v>
      </c>
      <c r="L1464" s="8">
        <f>ABS(SUMIF(Table25[[#All],[Assets]],Table25[[#This Row],[Assets]],Table25[[#All],[Sold]]))</f>
        <v>1120</v>
      </c>
      <c r="M1464" s="5">
        <f>ABS(SUMIF(Table25[[#All],[Assets]],Table25[[#This Row],[Assets]],Table25[[#All],[Sold Amount]]))</f>
        <v>3202.4</v>
      </c>
      <c r="N1464" s="5">
        <f>IFERROR(Table25[[#This Row],[Total sold amount]]/Table25[[#This Row],[Total Sold number of stocks]],"")</f>
        <v>2.8592857142857144</v>
      </c>
      <c r="O1464" s="4">
        <f>IFERROR(Table25[[#This Row],[Total Amount bought]]/Table25[[#This Row],[Total number bought]],"")</f>
        <v>1.9882547169811322</v>
      </c>
      <c r="P1464" s="4">
        <f>IFERROR((Table25[[#This Row],[Average sell price]]-Table25[[#This Row],[Average buy price]])*Table25[[#This Row],[Total Sold number of stocks]],0)</f>
        <v>975.55471698113206</v>
      </c>
      <c r="Q1464" s="85">
        <f>SUMIF(Table25[[#All],[Assets]],Table25[[#This Row],[Assets]],Table25[[#All],[Number of stocks]])</f>
        <v>1000</v>
      </c>
    </row>
    <row r="1465" spans="1:17">
      <c r="A1465" t="e" vm="78">
        <v>#VALUE!</v>
      </c>
      <c r="B1465" s="2">
        <v>45869</v>
      </c>
      <c r="C1465" t="str" cm="1">
        <f t="array" aca="1" ref="C1465" ca="1">_FV(A1465,"Ticker symbol",TRUE)</f>
        <v>TOI</v>
      </c>
      <c r="D1465" s="4">
        <v>3.76</v>
      </c>
      <c r="E1465" s="50">
        <v>-80</v>
      </c>
      <c r="F1465" s="81">
        <f>IF(Table25[[#This Row],[Number of stocks]]&gt;0,Table25[[#This Row],[Number of stocks]],0)</f>
        <v>0</v>
      </c>
      <c r="G1465" s="73">
        <f>Table25[[#This Row],[Bought]]*Table25[[#This Row],[Price]]</f>
        <v>0</v>
      </c>
      <c r="H1465">
        <f>SUMIF(Table25[[#All],[Assets]],Table25[[#This Row],[Assets]],Table25[[#All],[Bought]])</f>
        <v>2120</v>
      </c>
      <c r="I1465">
        <f>SUMIF(Table25[[#All],[Assets]],Table25[[#This Row],[Assets]],Table25[[#All],[Bought Amount]])</f>
        <v>4215.1000000000004</v>
      </c>
      <c r="J1465" s="88">
        <f>IF(Table25[[#This Row],[Number of stocks]]&lt;0,Table25[[#This Row],[Number of stocks]],0)</f>
        <v>-80</v>
      </c>
      <c r="K1465" s="5">
        <f>Table25[[#This Row],[Sold]]*Table25[[#This Row],[Price]]</f>
        <v>-300.79999999999995</v>
      </c>
      <c r="L1465" s="8">
        <f>ABS(SUMIF(Table25[[#All],[Assets]],Table25[[#This Row],[Assets]],Table25[[#All],[Sold]]))</f>
        <v>1120</v>
      </c>
      <c r="M1465" s="5">
        <f>ABS(SUMIF(Table25[[#All],[Assets]],Table25[[#This Row],[Assets]],Table25[[#All],[Sold Amount]]))</f>
        <v>3202.4</v>
      </c>
      <c r="N1465" s="5">
        <f>IFERROR(Table25[[#This Row],[Total sold amount]]/Table25[[#This Row],[Total Sold number of stocks]],"")</f>
        <v>2.8592857142857144</v>
      </c>
      <c r="O1465" s="4">
        <f>IFERROR(Table25[[#This Row],[Total Amount bought]]/Table25[[#This Row],[Total number bought]],"")</f>
        <v>1.9882547169811322</v>
      </c>
      <c r="P1465" s="4">
        <f>IFERROR((Table25[[#This Row],[Average sell price]]-Table25[[#This Row],[Average buy price]])*Table25[[#This Row],[Total Sold number of stocks]],0)</f>
        <v>975.55471698113206</v>
      </c>
      <c r="Q1465" s="85">
        <f>SUMIF(Table25[[#All],[Assets]],Table25[[#This Row],[Assets]],Table25[[#All],[Number of stocks]])</f>
        <v>1000</v>
      </c>
    </row>
    <row r="1466" spans="1:17">
      <c r="A1466" t="e" vm="75">
        <v>#VALUE!</v>
      </c>
      <c r="B1466" s="2">
        <v>45869</v>
      </c>
      <c r="C1466" t="str" cm="1">
        <f t="array" aca="1" ref="C1466" ca="1">_FV(A1466,"Ticker symbol",TRUE)</f>
        <v>QTRX</v>
      </c>
      <c r="D1466" s="4">
        <v>6.01</v>
      </c>
      <c r="E1466" s="50">
        <v>50</v>
      </c>
      <c r="F1466" s="81">
        <f>IF(Table25[[#This Row],[Number of stocks]]&gt;0,Table25[[#This Row],[Number of stocks]],0)</f>
        <v>50</v>
      </c>
      <c r="G1466" s="73">
        <f>Table25[[#This Row],[Bought]]*Table25[[#This Row],[Price]]</f>
        <v>300.5</v>
      </c>
      <c r="H1466">
        <f>SUMIF(Table25[[#All],[Assets]],Table25[[#This Row],[Assets]],Table25[[#All],[Bought]])</f>
        <v>1492</v>
      </c>
      <c r="I1466">
        <f>SUMIF(Table25[[#All],[Assets]],Table25[[#This Row],[Assets]],Table25[[#All],[Bought Amount]])</f>
        <v>10313.249999999998</v>
      </c>
      <c r="J1466" s="88">
        <f>IF(Table25[[#This Row],[Number of stocks]]&lt;0,Table25[[#This Row],[Number of stocks]],0)</f>
        <v>0</v>
      </c>
      <c r="K1466" s="5">
        <f>Table25[[#This Row],[Sold]]*Table25[[#This Row],[Price]]</f>
        <v>0</v>
      </c>
      <c r="L1466" s="8">
        <f>ABS(SUMIF(Table25[[#All],[Assets]],Table25[[#This Row],[Assets]],Table25[[#All],[Sold]]))</f>
        <v>1492</v>
      </c>
      <c r="M1466" s="5">
        <f>ABS(SUMIF(Table25[[#All],[Assets]],Table25[[#This Row],[Assets]],Table25[[#All],[Sold Amount]]))</f>
        <v>8408.35</v>
      </c>
      <c r="N1466" s="5">
        <f>IFERROR(Table25[[#This Row],[Total sold amount]]/Table25[[#This Row],[Total Sold number of stocks]],"")</f>
        <v>5.635623324396783</v>
      </c>
      <c r="O1466" s="4">
        <f>IFERROR(Table25[[#This Row],[Total Amount bought]]/Table25[[#This Row],[Total number bought]],"")</f>
        <v>6.9123659517426264</v>
      </c>
      <c r="P1466" s="4">
        <f>IFERROR((Table25[[#This Row],[Average sell price]]-Table25[[#This Row],[Average buy price]])*Table25[[#This Row],[Total Sold number of stocks]],0)</f>
        <v>-1904.8999999999983</v>
      </c>
      <c r="Q1466" s="85">
        <f>SUMIF(Table25[[#All],[Assets]],Table25[[#This Row],[Assets]],Table25[[#All],[Number of stocks]])</f>
        <v>0</v>
      </c>
    </row>
    <row r="1467" spans="1:17">
      <c r="A1467" t="e" vm="572">
        <v>#VALUE!</v>
      </c>
      <c r="B1467" s="2">
        <v>45869</v>
      </c>
      <c r="C1467" t="str" cm="1">
        <f t="array" aca="1" ref="C1467" ca="1">_FV(A1467,"Ticker symbol",TRUE)</f>
        <v>SKYT</v>
      </c>
      <c r="D1467" s="4">
        <v>9.2899999999999991</v>
      </c>
      <c r="E1467" s="50">
        <v>-42</v>
      </c>
      <c r="F1467" s="81">
        <f>IF(Table25[[#This Row],[Number of stocks]]&gt;0,Table25[[#This Row],[Number of stocks]],0)</f>
        <v>0</v>
      </c>
      <c r="G1467" s="73">
        <f>Table25[[#This Row],[Bought]]*Table25[[#This Row],[Price]]</f>
        <v>0</v>
      </c>
      <c r="H1467">
        <f>SUMIF(Table25[[#All],[Assets]],Table25[[#This Row],[Assets]],Table25[[#All],[Bought]])</f>
        <v>42</v>
      </c>
      <c r="I1467">
        <f>SUMIF(Table25[[#All],[Assets]],Table25[[#This Row],[Assets]],Table25[[#All],[Bought Amount]])</f>
        <v>430.92</v>
      </c>
      <c r="J1467" s="88">
        <f>IF(Table25[[#This Row],[Number of stocks]]&lt;0,Table25[[#This Row],[Number of stocks]],0)</f>
        <v>-42</v>
      </c>
      <c r="K1467" s="5">
        <f>Table25[[#This Row],[Sold]]*Table25[[#This Row],[Price]]</f>
        <v>-390.17999999999995</v>
      </c>
      <c r="L1467" s="8">
        <f>ABS(SUMIF(Table25[[#All],[Assets]],Table25[[#This Row],[Assets]],Table25[[#All],[Sold]]))</f>
        <v>42</v>
      </c>
      <c r="M1467" s="5">
        <f>ABS(SUMIF(Table25[[#All],[Assets]],Table25[[#This Row],[Assets]],Table25[[#All],[Sold Amount]]))</f>
        <v>390.17999999999995</v>
      </c>
      <c r="N1467" s="5">
        <f>IFERROR(Table25[[#This Row],[Total sold amount]]/Table25[[#This Row],[Total Sold number of stocks]],"")</f>
        <v>9.2899999999999991</v>
      </c>
      <c r="O1467" s="4">
        <f>IFERROR(Table25[[#This Row],[Total Amount bought]]/Table25[[#This Row],[Total number bought]],"")</f>
        <v>10.26</v>
      </c>
      <c r="P1467" s="4">
        <f>IFERROR((Table25[[#This Row],[Average sell price]]-Table25[[#This Row],[Average buy price]])*Table25[[#This Row],[Total Sold number of stocks]],0)</f>
        <v>-40.740000000000023</v>
      </c>
      <c r="Q1467" s="85">
        <f>SUMIF(Table25[[#All],[Assets]],Table25[[#This Row],[Assets]],Table25[[#All],[Number of stocks]])</f>
        <v>0</v>
      </c>
    </row>
    <row r="1468" spans="1:17">
      <c r="A1468" t="e" vm="233">
        <v>#VALUE!</v>
      </c>
      <c r="B1468" s="2">
        <v>45869</v>
      </c>
      <c r="C1468" t="str" cm="1">
        <f t="array" aca="1" ref="C1468" ca="1">_FV(A1468,"Ticker symbol",TRUE)</f>
        <v>NTGR</v>
      </c>
      <c r="D1468" s="4">
        <v>22</v>
      </c>
      <c r="E1468" s="50">
        <v>18</v>
      </c>
      <c r="F1468" s="81">
        <f>IF(Table25[[#This Row],[Number of stocks]]&gt;0,Table25[[#This Row],[Number of stocks]],0)</f>
        <v>18</v>
      </c>
      <c r="G1468" s="73">
        <f>Table25[[#This Row],[Bought]]*Table25[[#This Row],[Price]]</f>
        <v>396</v>
      </c>
      <c r="H1468">
        <f>SUMIF(Table25[[#All],[Assets]],Table25[[#This Row],[Assets]],Table25[[#All],[Bought]])</f>
        <v>57</v>
      </c>
      <c r="I1468">
        <f>SUMIF(Table25[[#All],[Assets]],Table25[[#This Row],[Assets]],Table25[[#All],[Bought Amount]])</f>
        <v>1211.07</v>
      </c>
      <c r="J1468" s="88">
        <f>IF(Table25[[#This Row],[Number of stocks]]&lt;0,Table25[[#This Row],[Number of stocks]],0)</f>
        <v>0</v>
      </c>
      <c r="K1468" s="5">
        <f>Table25[[#This Row],[Sold]]*Table25[[#This Row],[Price]]</f>
        <v>0</v>
      </c>
      <c r="L1468" s="8">
        <f>ABS(SUMIF(Table25[[#All],[Assets]],Table25[[#This Row],[Assets]],Table25[[#All],[Sold]]))</f>
        <v>57</v>
      </c>
      <c r="M1468" s="5">
        <f>ABS(SUMIF(Table25[[#All],[Assets]],Table25[[#This Row],[Assets]],Table25[[#All],[Sold Amount]]))</f>
        <v>1382.52</v>
      </c>
      <c r="N1468" s="5">
        <f>IFERROR(Table25[[#This Row],[Total sold amount]]/Table25[[#This Row],[Total Sold number of stocks]],"")</f>
        <v>24.254736842105263</v>
      </c>
      <c r="O1468" s="4">
        <f>IFERROR(Table25[[#This Row],[Total Amount bought]]/Table25[[#This Row],[Total number bought]],"")</f>
        <v>21.246842105263156</v>
      </c>
      <c r="P1468" s="4">
        <f>IFERROR((Table25[[#This Row],[Average sell price]]-Table25[[#This Row],[Average buy price]])*Table25[[#This Row],[Total Sold number of stocks]],0)</f>
        <v>171.45000000000013</v>
      </c>
      <c r="Q1468" s="85">
        <f>SUMIF(Table25[[#All],[Assets]],Table25[[#This Row],[Assets]],Table25[[#All],[Number of stocks]])</f>
        <v>0</v>
      </c>
    </row>
    <row r="1469" spans="1:17">
      <c r="A1469" t="e" vm="44">
        <v>#VALUE!</v>
      </c>
      <c r="B1469" s="2">
        <v>45870</v>
      </c>
      <c r="C1469" t="str" cm="1">
        <f t="array" aca="1" ref="C1469" ca="1">_FV(A1469,"Ticker symbol",TRUE)</f>
        <v>IPWR</v>
      </c>
      <c r="D1469" s="4">
        <v>4.3099999999999996</v>
      </c>
      <c r="E1469" s="50">
        <v>-125</v>
      </c>
      <c r="F1469" s="81">
        <f>IF(Table25[[#This Row],[Number of stocks]]&gt;0,Table25[[#This Row],[Number of stocks]],0)</f>
        <v>0</v>
      </c>
      <c r="G1469" s="73">
        <f>Table25[[#This Row],[Bought]]*Table25[[#This Row],[Price]]</f>
        <v>0</v>
      </c>
      <c r="H1469">
        <f>SUMIF(Table25[[#All],[Assets]],Table25[[#This Row],[Assets]],Table25[[#All],[Bought]])</f>
        <v>125</v>
      </c>
      <c r="I1469">
        <f>SUMIF(Table25[[#All],[Assets]],Table25[[#This Row],[Assets]],Table25[[#All],[Bought Amount]])</f>
        <v>593.75</v>
      </c>
      <c r="J1469" s="88">
        <f>IF(Table25[[#This Row],[Number of stocks]]&lt;0,Table25[[#This Row],[Number of stocks]],0)</f>
        <v>-125</v>
      </c>
      <c r="K1469" s="5">
        <f>Table25[[#This Row],[Sold]]*Table25[[#This Row],[Price]]</f>
        <v>-538.75</v>
      </c>
      <c r="L1469" s="8">
        <f>ABS(SUMIF(Table25[[#All],[Assets]],Table25[[#This Row],[Assets]],Table25[[#All],[Sold]]))</f>
        <v>125</v>
      </c>
      <c r="M1469" s="5">
        <f>ABS(SUMIF(Table25[[#All],[Assets]],Table25[[#This Row],[Assets]],Table25[[#All],[Sold Amount]]))</f>
        <v>538.75</v>
      </c>
      <c r="N1469" s="5">
        <f>IFERROR(Table25[[#This Row],[Total sold amount]]/Table25[[#This Row],[Total Sold number of stocks]],"")</f>
        <v>4.3099999999999996</v>
      </c>
      <c r="O1469" s="4">
        <f>IFERROR(Table25[[#This Row],[Total Amount bought]]/Table25[[#This Row],[Total number bought]],"")</f>
        <v>4.75</v>
      </c>
      <c r="P1469" s="4">
        <f>IFERROR((Table25[[#This Row],[Average sell price]]-Table25[[#This Row],[Average buy price]])*Table25[[#This Row],[Total Sold number of stocks]],0)</f>
        <v>-55.00000000000005</v>
      </c>
      <c r="Q1469" s="85">
        <f>SUMIF(Table25[[#All],[Assets]],Table25[[#This Row],[Assets]],Table25[[#All],[Number of stocks]])</f>
        <v>0</v>
      </c>
    </row>
    <row r="1470" spans="1:17">
      <c r="A1470" t="e" vm="85">
        <v>#VALUE!</v>
      </c>
      <c r="B1470" s="2">
        <v>45870</v>
      </c>
      <c r="C1470" t="str" cm="1">
        <f t="array" aca="1" ref="C1470" ca="1">_FV(A1470,"Ticker symbol",TRUE)</f>
        <v>HOOD</v>
      </c>
      <c r="D1470" s="4">
        <v>99.15</v>
      </c>
      <c r="E1470" s="50">
        <v>2</v>
      </c>
      <c r="F1470" s="81">
        <f>IF(Table25[[#This Row],[Number of stocks]]&gt;0,Table25[[#This Row],[Number of stocks]],0)</f>
        <v>2</v>
      </c>
      <c r="G1470" s="73">
        <f>Table25[[#This Row],[Bought]]*Table25[[#This Row],[Price]]</f>
        <v>198.3</v>
      </c>
      <c r="H1470">
        <f>SUMIF(Table25[[#All],[Assets]],Table25[[#This Row],[Assets]],Table25[[#All],[Bought]])</f>
        <v>105</v>
      </c>
      <c r="I1470">
        <f>SUMIF(Table25[[#All],[Assets]],Table25[[#This Row],[Assets]],Table25[[#All],[Bought Amount]])</f>
        <v>4056.0900000000006</v>
      </c>
      <c r="J1470" s="88">
        <f>IF(Table25[[#This Row],[Number of stocks]]&lt;0,Table25[[#This Row],[Number of stocks]],0)</f>
        <v>0</v>
      </c>
      <c r="K1470" s="5">
        <f>Table25[[#This Row],[Sold]]*Table25[[#This Row],[Price]]</f>
        <v>0</v>
      </c>
      <c r="L1470" s="8">
        <f>ABS(SUMIF(Table25[[#All],[Assets]],Table25[[#This Row],[Assets]],Table25[[#All],[Sold]]))</f>
        <v>80</v>
      </c>
      <c r="M1470" s="5">
        <f>ABS(SUMIF(Table25[[#All],[Assets]],Table25[[#This Row],[Assets]],Table25[[#All],[Sold Amount]]))</f>
        <v>2255.4300000000003</v>
      </c>
      <c r="N1470" s="5">
        <f>IFERROR(Table25[[#This Row],[Total sold amount]]/Table25[[#This Row],[Total Sold number of stocks]],"")</f>
        <v>28.192875000000004</v>
      </c>
      <c r="O1470" s="4">
        <f>IFERROR(Table25[[#This Row],[Total Amount bought]]/Table25[[#This Row],[Total number bought]],"")</f>
        <v>38.629428571428576</v>
      </c>
      <c r="P1470" s="4">
        <f>IFERROR((Table25[[#This Row],[Average sell price]]-Table25[[#This Row],[Average buy price]])*Table25[[#This Row],[Total Sold number of stocks]],0)</f>
        <v>-834.92428571428582</v>
      </c>
      <c r="Q1470" s="85">
        <f>SUMIF(Table25[[#All],[Assets]],Table25[[#This Row],[Assets]],Table25[[#All],[Number of stocks]])</f>
        <v>25</v>
      </c>
    </row>
    <row r="1471" spans="1:17">
      <c r="A1471" t="e" vm="12">
        <v>#VALUE!</v>
      </c>
      <c r="B1471" s="2">
        <v>45870</v>
      </c>
      <c r="C1471" t="str" cm="1">
        <f t="array" aca="1" ref="C1471" ca="1">_FV(A1471,"Ticker symbol",TRUE)</f>
        <v>TER</v>
      </c>
      <c r="D1471" s="4">
        <v>103.26</v>
      </c>
      <c r="E1471" s="50">
        <v>-5</v>
      </c>
      <c r="F1471" s="81">
        <f>IF(Table25[[#This Row],[Number of stocks]]&gt;0,Table25[[#This Row],[Number of stocks]],0)</f>
        <v>0</v>
      </c>
      <c r="G1471" s="73">
        <f>Table25[[#This Row],[Bought]]*Table25[[#This Row],[Price]]</f>
        <v>0</v>
      </c>
      <c r="H1471">
        <f>SUMIF(Table25[[#All],[Assets]],Table25[[#This Row],[Assets]],Table25[[#All],[Bought]])</f>
        <v>37</v>
      </c>
      <c r="I1471">
        <f>SUMIF(Table25[[#All],[Assets]],Table25[[#This Row],[Assets]],Table25[[#All],[Bought Amount]])</f>
        <v>4100.1100000000006</v>
      </c>
      <c r="J1471" s="88">
        <f>IF(Table25[[#This Row],[Number of stocks]]&lt;0,Table25[[#This Row],[Number of stocks]],0)</f>
        <v>-5</v>
      </c>
      <c r="K1471" s="5">
        <f>Table25[[#This Row],[Sold]]*Table25[[#This Row],[Price]]</f>
        <v>-516.30000000000007</v>
      </c>
      <c r="L1471" s="8">
        <f>ABS(SUMIF(Table25[[#All],[Assets]],Table25[[#This Row],[Assets]],Table25[[#All],[Sold]]))</f>
        <v>16</v>
      </c>
      <c r="M1471" s="5">
        <f>ABS(SUMIF(Table25[[#All],[Assets]],Table25[[#This Row],[Assets]],Table25[[#All],[Sold Amount]]))</f>
        <v>2853.3999999999996</v>
      </c>
      <c r="N1471" s="5">
        <f>IFERROR(Table25[[#This Row],[Total sold amount]]/Table25[[#This Row],[Total Sold number of stocks]],"")</f>
        <v>178.33749999999998</v>
      </c>
      <c r="O1471" s="4">
        <f>IFERROR(Table25[[#This Row],[Total Amount bought]]/Table25[[#This Row],[Total number bought]],"")</f>
        <v>110.8137837837838</v>
      </c>
      <c r="P1471" s="4">
        <f>IFERROR((Table25[[#This Row],[Average sell price]]-Table25[[#This Row],[Average buy price]])*Table25[[#This Row],[Total Sold number of stocks]],0)</f>
        <v>1080.3794594594588</v>
      </c>
      <c r="Q1471" s="85">
        <f>SUMIF(Table25[[#All],[Assets]],Table25[[#This Row],[Assets]],Table25[[#All],[Number of stocks]])</f>
        <v>21</v>
      </c>
    </row>
    <row r="1472" spans="1:17">
      <c r="A1472" t="e" vm="42">
        <v>#VALUE!</v>
      </c>
      <c r="B1472" s="2">
        <v>45873</v>
      </c>
      <c r="C1472" t="str" cm="1">
        <f t="array" aca="1" ref="C1472" ca="1">_FV(A1472,"Ticker symbol",TRUE)</f>
        <v>FLR</v>
      </c>
      <c r="D1472" s="4">
        <v>40.81</v>
      </c>
      <c r="E1472" s="50">
        <v>12</v>
      </c>
      <c r="F1472" s="81">
        <f>IF(Table25[[#This Row],[Number of stocks]]&gt;0,Table25[[#This Row],[Number of stocks]],0)</f>
        <v>12</v>
      </c>
      <c r="G1472" s="73">
        <f>Table25[[#This Row],[Bought]]*Table25[[#This Row],[Price]]</f>
        <v>489.72</v>
      </c>
      <c r="H1472">
        <f>SUMIF(Table25[[#All],[Assets]],Table25[[#This Row],[Assets]],Table25[[#All],[Bought]])</f>
        <v>91</v>
      </c>
      <c r="I1472">
        <f>SUMIF(Table25[[#All],[Assets]],Table25[[#This Row],[Assets]],Table25[[#All],[Bought Amount]])</f>
        <v>4262.41</v>
      </c>
      <c r="J1472" s="88">
        <f>IF(Table25[[#This Row],[Number of stocks]]&lt;0,Table25[[#This Row],[Number of stocks]],0)</f>
        <v>0</v>
      </c>
      <c r="K1472" s="5">
        <f>Table25[[#This Row],[Sold]]*Table25[[#This Row],[Price]]</f>
        <v>0</v>
      </c>
      <c r="L1472" s="8">
        <f>ABS(SUMIF(Table25[[#All],[Assets]],Table25[[#This Row],[Assets]],Table25[[#All],[Sold]]))</f>
        <v>91</v>
      </c>
      <c r="M1472" s="5">
        <f>ABS(SUMIF(Table25[[#All],[Assets]],Table25[[#This Row],[Assets]],Table25[[#All],[Sold Amount]]))</f>
        <v>4467.7199999999993</v>
      </c>
      <c r="N1472" s="5">
        <f>IFERROR(Table25[[#This Row],[Total sold amount]]/Table25[[#This Row],[Total Sold number of stocks]],"")</f>
        <v>49.09582417582417</v>
      </c>
      <c r="O1472" s="4">
        <f>IFERROR(Table25[[#This Row],[Total Amount bought]]/Table25[[#This Row],[Total number bought]],"")</f>
        <v>46.839670329670327</v>
      </c>
      <c r="P1472" s="4">
        <f>IFERROR((Table25[[#This Row],[Average sell price]]-Table25[[#This Row],[Average buy price]])*Table25[[#This Row],[Total Sold number of stocks]],0)</f>
        <v>205.30999999999975</v>
      </c>
      <c r="Q1472" s="85">
        <f>SUMIF(Table25[[#All],[Assets]],Table25[[#This Row],[Assets]],Table25[[#All],[Number of stocks]])</f>
        <v>0</v>
      </c>
    </row>
    <row r="1473" spans="1:17">
      <c r="A1473" t="e" vm="573">
        <v>#VALUE!</v>
      </c>
      <c r="B1473" s="2">
        <v>45873</v>
      </c>
      <c r="C1473" t="str" cm="1">
        <f t="array" aca="1" ref="C1473" ca="1">_FV(A1473,"Ticker symbol",TRUE)</f>
        <v>GLXY</v>
      </c>
      <c r="D1473" s="4">
        <v>28.1</v>
      </c>
      <c r="E1473" s="50">
        <v>4</v>
      </c>
      <c r="F1473" s="81">
        <f>IF(Table25[[#This Row],[Number of stocks]]&gt;0,Table25[[#This Row],[Number of stocks]],0)</f>
        <v>4</v>
      </c>
      <c r="G1473" s="73">
        <f>Table25[[#This Row],[Bought]]*Table25[[#This Row],[Price]]</f>
        <v>112.4</v>
      </c>
      <c r="H1473">
        <f>SUMIF(Table25[[#All],[Assets]],Table25[[#This Row],[Assets]],Table25[[#All],[Bought]])</f>
        <v>4</v>
      </c>
      <c r="I1473">
        <f>SUMIF(Table25[[#All],[Assets]],Table25[[#This Row],[Assets]],Table25[[#All],[Bought Amount]])</f>
        <v>112.4</v>
      </c>
      <c r="J1473" s="88">
        <f>IF(Table25[[#This Row],[Number of stocks]]&lt;0,Table25[[#This Row],[Number of stocks]],0)</f>
        <v>0</v>
      </c>
      <c r="K1473" s="5">
        <f>Table25[[#This Row],[Sold]]*Table25[[#This Row],[Price]]</f>
        <v>0</v>
      </c>
      <c r="L1473" s="8">
        <f>ABS(SUMIF(Table25[[#All],[Assets]],Table25[[#This Row],[Assets]],Table25[[#All],[Sold]]))</f>
        <v>4</v>
      </c>
      <c r="M1473" s="5">
        <f>ABS(SUMIF(Table25[[#All],[Assets]],Table25[[#This Row],[Assets]],Table25[[#All],[Sold Amount]]))</f>
        <v>93.8</v>
      </c>
      <c r="N1473" s="5">
        <f>IFERROR(Table25[[#This Row],[Total sold amount]]/Table25[[#This Row],[Total Sold number of stocks]],"")</f>
        <v>23.45</v>
      </c>
      <c r="O1473" s="4">
        <f>IFERROR(Table25[[#This Row],[Total Amount bought]]/Table25[[#This Row],[Total number bought]],"")</f>
        <v>28.1</v>
      </c>
      <c r="P1473" s="4">
        <f>IFERROR((Table25[[#This Row],[Average sell price]]-Table25[[#This Row],[Average buy price]])*Table25[[#This Row],[Total Sold number of stocks]],0)</f>
        <v>-18.600000000000009</v>
      </c>
      <c r="Q1473" s="85">
        <f>SUMIF(Table25[[#All],[Assets]],Table25[[#This Row],[Assets]],Table25[[#All],[Number of stocks]])</f>
        <v>0</v>
      </c>
    </row>
    <row r="1474" spans="1:17">
      <c r="A1474" t="e" vm="39">
        <v>#VALUE!</v>
      </c>
      <c r="B1474" s="2">
        <v>45873</v>
      </c>
      <c r="C1474" t="str" cm="1">
        <f t="array" aca="1" ref="C1474" ca="1">_FV(A1474,"Ticker symbol",TRUE)</f>
        <v>AMSC</v>
      </c>
      <c r="D1474" s="4">
        <v>54.04</v>
      </c>
      <c r="E1474" s="50">
        <v>-10</v>
      </c>
      <c r="F1474" s="81">
        <f>IF(Table25[[#This Row],[Number of stocks]]&gt;0,Table25[[#This Row],[Number of stocks]],0)</f>
        <v>0</v>
      </c>
      <c r="G1474" s="73">
        <f>Table25[[#This Row],[Bought]]*Table25[[#This Row],[Price]]</f>
        <v>0</v>
      </c>
      <c r="H1474">
        <f>SUMIF(Table25[[#All],[Assets]],Table25[[#This Row],[Assets]],Table25[[#All],[Bought]])</f>
        <v>812.4</v>
      </c>
      <c r="I1474">
        <f>SUMIF(Table25[[#All],[Assets]],Table25[[#This Row],[Assets]],Table25[[#All],[Bought Amount]])</f>
        <v>24146.880000000001</v>
      </c>
      <c r="J1474" s="88">
        <f>IF(Table25[[#This Row],[Number of stocks]]&lt;0,Table25[[#This Row],[Number of stocks]],0)</f>
        <v>-10</v>
      </c>
      <c r="K1474" s="5">
        <f>Table25[[#This Row],[Sold]]*Table25[[#This Row],[Price]]</f>
        <v>-540.4</v>
      </c>
      <c r="L1474" s="8">
        <f>ABS(SUMIF(Table25[[#All],[Assets]],Table25[[#This Row],[Assets]],Table25[[#All],[Sold]]))</f>
        <v>535</v>
      </c>
      <c r="M1474" s="5">
        <f>ABS(SUMIF(Table25[[#All],[Assets]],Table25[[#This Row],[Assets]],Table25[[#All],[Sold Amount]]))</f>
        <v>14777.289999999999</v>
      </c>
      <c r="N1474" s="5">
        <f>IFERROR(Table25[[#This Row],[Total sold amount]]/Table25[[#This Row],[Total Sold number of stocks]],"")</f>
        <v>27.621102803738317</v>
      </c>
      <c r="O1474" s="4">
        <f>IFERROR(Table25[[#This Row],[Total Amount bought]]/Table25[[#This Row],[Total number bought]],"")</f>
        <v>29.722895125553915</v>
      </c>
      <c r="P1474" s="4">
        <f>IFERROR((Table25[[#This Row],[Average sell price]]-Table25[[#This Row],[Average buy price]])*Table25[[#This Row],[Total Sold number of stocks]],0)</f>
        <v>-1124.4588921713448</v>
      </c>
      <c r="Q1474" s="85">
        <f>SUMIF(Table25[[#All],[Assets]],Table25[[#This Row],[Assets]],Table25[[#All],[Number of stocks]])</f>
        <v>277.39999999999998</v>
      </c>
    </row>
    <row r="1475" spans="1:17">
      <c r="A1475" t="e" vm="81">
        <v>#VALUE!</v>
      </c>
      <c r="B1475" s="2">
        <v>45873</v>
      </c>
      <c r="C1475" t="str" cm="1">
        <f t="array" aca="1" ref="C1475" ca="1">_FV(A1475,"Ticker symbol",TRUE)</f>
        <v>DLO</v>
      </c>
      <c r="D1475" s="4">
        <v>10.4</v>
      </c>
      <c r="E1475" s="50">
        <v>-58</v>
      </c>
      <c r="F1475" s="81">
        <f>IF(Table25[[#This Row],[Number of stocks]]&gt;0,Table25[[#This Row],[Number of stocks]],0)</f>
        <v>0</v>
      </c>
      <c r="G1475" s="73">
        <f>Table25[[#This Row],[Bought]]*Table25[[#This Row],[Price]]</f>
        <v>0</v>
      </c>
      <c r="H1475">
        <f>SUMIF(Table25[[#All],[Assets]],Table25[[#This Row],[Assets]],Table25[[#All],[Bought]])</f>
        <v>436</v>
      </c>
      <c r="I1475">
        <f>SUMIF(Table25[[#All],[Assets]],Table25[[#This Row],[Assets]],Table25[[#All],[Bought Amount]])</f>
        <v>5840.9900000000007</v>
      </c>
      <c r="J1475" s="88">
        <f>IF(Table25[[#This Row],[Number of stocks]]&lt;0,Table25[[#This Row],[Number of stocks]],0)</f>
        <v>-58</v>
      </c>
      <c r="K1475" s="5">
        <f>Table25[[#This Row],[Sold]]*Table25[[#This Row],[Price]]</f>
        <v>-603.20000000000005</v>
      </c>
      <c r="L1475" s="8">
        <f>ABS(SUMIF(Table25[[#All],[Assets]],Table25[[#This Row],[Assets]],Table25[[#All],[Sold]]))</f>
        <v>436</v>
      </c>
      <c r="M1475" s="5">
        <f>ABS(SUMIF(Table25[[#All],[Assets]],Table25[[#This Row],[Assets]],Table25[[#All],[Sold Amount]]))</f>
        <v>5546.6</v>
      </c>
      <c r="N1475" s="5">
        <f>IFERROR(Table25[[#This Row],[Total sold amount]]/Table25[[#This Row],[Total Sold number of stocks]],"")</f>
        <v>12.721559633027523</v>
      </c>
      <c r="O1475" s="4">
        <f>IFERROR(Table25[[#This Row],[Total Amount bought]]/Table25[[#This Row],[Total number bought]],"")</f>
        <v>13.396766055045873</v>
      </c>
      <c r="P1475" s="4">
        <f>IFERROR((Table25[[#This Row],[Average sell price]]-Table25[[#This Row],[Average buy price]])*Table25[[#This Row],[Total Sold number of stocks]],0)</f>
        <v>-294.39000000000073</v>
      </c>
      <c r="Q1475" s="85">
        <f>SUMIF(Table25[[#All],[Assets]],Table25[[#This Row],[Assets]],Table25[[#All],[Number of stocks]])</f>
        <v>0</v>
      </c>
    </row>
    <row r="1476" spans="1:17">
      <c r="A1476" t="e" vm="212">
        <v>#VALUE!</v>
      </c>
      <c r="B1476" s="2">
        <v>45873</v>
      </c>
      <c r="C1476" t="str" cm="1">
        <f t="array" aca="1" ref="C1476" ca="1">_FV(A1476,"Ticker symbol",TRUE)</f>
        <v>ALHC</v>
      </c>
      <c r="D1476" s="4">
        <v>13.66</v>
      </c>
      <c r="E1476" s="50">
        <v>84</v>
      </c>
      <c r="F1476" s="81">
        <f>IF(Table25[[#This Row],[Number of stocks]]&gt;0,Table25[[#This Row],[Number of stocks]],0)</f>
        <v>84</v>
      </c>
      <c r="G1476" s="73">
        <f>Table25[[#This Row],[Bought]]*Table25[[#This Row],[Price]]</f>
        <v>1147.44</v>
      </c>
      <c r="H1476">
        <f>SUMIF(Table25[[#All],[Assets]],Table25[[#This Row],[Assets]],Table25[[#All],[Bought]])</f>
        <v>84</v>
      </c>
      <c r="I1476">
        <f>SUMIF(Table25[[#All],[Assets]],Table25[[#This Row],[Assets]],Table25[[#All],[Bought Amount]])</f>
        <v>1147.44</v>
      </c>
      <c r="J1476" s="88">
        <f>IF(Table25[[#This Row],[Number of stocks]]&lt;0,Table25[[#This Row],[Number of stocks]],0)</f>
        <v>0</v>
      </c>
      <c r="K1476" s="5">
        <f>Table25[[#This Row],[Sold]]*Table25[[#This Row],[Price]]</f>
        <v>0</v>
      </c>
      <c r="L1476" s="8">
        <f>ABS(SUMIF(Table25[[#All],[Assets]],Table25[[#This Row],[Assets]],Table25[[#All],[Sold]]))</f>
        <v>63</v>
      </c>
      <c r="M1476" s="5">
        <f>ABS(SUMIF(Table25[[#All],[Assets]],Table25[[#This Row],[Assets]],Table25[[#All],[Sold Amount]]))</f>
        <v>1046.8500000000001</v>
      </c>
      <c r="N1476" s="5">
        <f>IFERROR(Table25[[#This Row],[Total sold amount]]/Table25[[#This Row],[Total Sold number of stocks]],"")</f>
        <v>16.616666666666667</v>
      </c>
      <c r="O1476" s="4">
        <f>IFERROR(Table25[[#This Row],[Total Amount bought]]/Table25[[#This Row],[Total number bought]],"")</f>
        <v>13.66</v>
      </c>
      <c r="P1476" s="4">
        <f>IFERROR((Table25[[#This Row],[Average sell price]]-Table25[[#This Row],[Average buy price]])*Table25[[#This Row],[Total Sold number of stocks]],0)</f>
        <v>186.27</v>
      </c>
      <c r="Q1476" s="85">
        <f>SUMIF(Table25[[#All],[Assets]],Table25[[#This Row],[Assets]],Table25[[#All],[Number of stocks]])</f>
        <v>21</v>
      </c>
    </row>
    <row r="1477" spans="1:17">
      <c r="A1477" t="e" vm="238">
        <v>#VALUE!</v>
      </c>
      <c r="B1477" s="2">
        <v>45874</v>
      </c>
      <c r="C1477" t="str" cm="1">
        <f t="array" aca="1" ref="C1477" ca="1">_FV(A1477,"Ticker symbol",TRUE)</f>
        <v>AIP</v>
      </c>
      <c r="D1477" s="4">
        <v>13.32</v>
      </c>
      <c r="E1477" s="50">
        <v>75</v>
      </c>
      <c r="F1477" s="81">
        <f>IF(Table25[[#This Row],[Number of stocks]]&gt;0,Table25[[#This Row],[Number of stocks]],0)</f>
        <v>75</v>
      </c>
      <c r="G1477" s="73">
        <f>Table25[[#This Row],[Bought]]*Table25[[#This Row],[Price]]</f>
        <v>999</v>
      </c>
      <c r="H1477">
        <f>SUMIF(Table25[[#All],[Assets]],Table25[[#This Row],[Assets]],Table25[[#All],[Bought]])</f>
        <v>75</v>
      </c>
      <c r="I1477">
        <f>SUMIF(Table25[[#All],[Assets]],Table25[[#This Row],[Assets]],Table25[[#All],[Bought Amount]])</f>
        <v>999</v>
      </c>
      <c r="J1477" s="88">
        <f>IF(Table25[[#This Row],[Number of stocks]]&lt;0,Table25[[#This Row],[Number of stocks]],0)</f>
        <v>0</v>
      </c>
      <c r="K1477" s="5">
        <f>Table25[[#This Row],[Sold]]*Table25[[#This Row],[Price]]</f>
        <v>0</v>
      </c>
      <c r="L1477" s="8">
        <f>ABS(SUMIF(Table25[[#All],[Assets]],Table25[[#This Row],[Assets]],Table25[[#All],[Sold]]))</f>
        <v>75</v>
      </c>
      <c r="M1477" s="5">
        <f>ABS(SUMIF(Table25[[#All],[Assets]],Table25[[#This Row],[Assets]],Table25[[#All],[Sold Amount]]))</f>
        <v>852.45</v>
      </c>
      <c r="N1477" s="5">
        <f>IFERROR(Table25[[#This Row],[Total sold amount]]/Table25[[#This Row],[Total Sold number of stocks]],"")</f>
        <v>11.366000000000001</v>
      </c>
      <c r="O1477" s="4">
        <f>IFERROR(Table25[[#This Row],[Total Amount bought]]/Table25[[#This Row],[Total number bought]],"")</f>
        <v>13.32</v>
      </c>
      <c r="P1477" s="4">
        <f>IFERROR((Table25[[#This Row],[Average sell price]]-Table25[[#This Row],[Average buy price]])*Table25[[#This Row],[Total Sold number of stocks]],0)</f>
        <v>-146.54999999999993</v>
      </c>
      <c r="Q1477" s="85">
        <f>SUMIF(Table25[[#All],[Assets]],Table25[[#This Row],[Assets]],Table25[[#All],[Number of stocks]])</f>
        <v>0</v>
      </c>
    </row>
    <row r="1478" spans="1:17">
      <c r="A1478" t="e" vm="250">
        <v>#VALUE!</v>
      </c>
      <c r="B1478" s="2">
        <v>45874</v>
      </c>
      <c r="C1478" t="str" cm="1">
        <f t="array" aca="1" ref="C1478" ca="1">_FV(A1478,"Ticker symbol",TRUE)</f>
        <v>WRBY</v>
      </c>
      <c r="D1478" s="4">
        <v>24.46</v>
      </c>
      <c r="E1478" s="50">
        <v>-21</v>
      </c>
      <c r="F1478" s="81">
        <f>IF(Table25[[#This Row],[Number of stocks]]&gt;0,Table25[[#This Row],[Number of stocks]],0)</f>
        <v>0</v>
      </c>
      <c r="G1478" s="73">
        <f>Table25[[#This Row],[Bought]]*Table25[[#This Row],[Price]]</f>
        <v>0</v>
      </c>
      <c r="H1478">
        <f>SUMIF(Table25[[#All],[Assets]],Table25[[#This Row],[Assets]],Table25[[#All],[Bought]])</f>
        <v>42</v>
      </c>
      <c r="I1478">
        <f>SUMIF(Table25[[#All],[Assets]],Table25[[#This Row],[Assets]],Table25[[#All],[Bought Amount]])</f>
        <v>846.72</v>
      </c>
      <c r="J1478" s="88">
        <f>IF(Table25[[#This Row],[Number of stocks]]&lt;0,Table25[[#This Row],[Number of stocks]],0)</f>
        <v>-21</v>
      </c>
      <c r="K1478" s="5">
        <f>Table25[[#This Row],[Sold]]*Table25[[#This Row],[Price]]</f>
        <v>-513.66</v>
      </c>
      <c r="L1478" s="8">
        <f>ABS(SUMIF(Table25[[#All],[Assets]],Table25[[#This Row],[Assets]],Table25[[#All],[Sold]]))</f>
        <v>42</v>
      </c>
      <c r="M1478" s="5">
        <f>ABS(SUMIF(Table25[[#All],[Assets]],Table25[[#This Row],[Assets]],Table25[[#All],[Sold Amount]]))</f>
        <v>1014.51</v>
      </c>
      <c r="N1478" s="5">
        <f>IFERROR(Table25[[#This Row],[Total sold amount]]/Table25[[#This Row],[Total Sold number of stocks]],"")</f>
        <v>24.155000000000001</v>
      </c>
      <c r="O1478" s="4">
        <f>IFERROR(Table25[[#This Row],[Total Amount bought]]/Table25[[#This Row],[Total number bought]],"")</f>
        <v>20.16</v>
      </c>
      <c r="P1478" s="4">
        <f>IFERROR((Table25[[#This Row],[Average sell price]]-Table25[[#This Row],[Average buy price]])*Table25[[#This Row],[Total Sold number of stocks]],0)</f>
        <v>167.79000000000005</v>
      </c>
      <c r="Q1478" s="85">
        <f>SUMIF(Table25[[#All],[Assets]],Table25[[#This Row],[Assets]],Table25[[#All],[Number of stocks]])</f>
        <v>0</v>
      </c>
    </row>
    <row r="1479" spans="1:17">
      <c r="A1479" t="e" vm="38">
        <v>#VALUE!</v>
      </c>
      <c r="B1479" s="2">
        <v>45874</v>
      </c>
      <c r="C1479" t="str" cm="1">
        <f t="array" aca="1" ref="C1479" ca="1">_FV(A1479,"Ticker symbol",TRUE)</f>
        <v>FSLR</v>
      </c>
      <c r="D1479" s="4">
        <v>185.18</v>
      </c>
      <c r="E1479" s="50">
        <v>3</v>
      </c>
      <c r="F1479" s="81">
        <f>IF(Table25[[#This Row],[Number of stocks]]&gt;0,Table25[[#This Row],[Number of stocks]],0)</f>
        <v>3</v>
      </c>
      <c r="G1479" s="73">
        <f>Table25[[#This Row],[Bought]]*Table25[[#This Row],[Price]]</f>
        <v>555.54</v>
      </c>
      <c r="H1479">
        <f>SUMIF(Table25[[#All],[Assets]],Table25[[#This Row],[Assets]],Table25[[#All],[Bought]])</f>
        <v>18</v>
      </c>
      <c r="I1479">
        <f>SUMIF(Table25[[#All],[Assets]],Table25[[#This Row],[Assets]],Table25[[#All],[Bought Amount]])</f>
        <v>3079.49</v>
      </c>
      <c r="J1479" s="88">
        <f>IF(Table25[[#This Row],[Number of stocks]]&lt;0,Table25[[#This Row],[Number of stocks]],0)</f>
        <v>0</v>
      </c>
      <c r="K1479" s="5">
        <f>Table25[[#This Row],[Sold]]*Table25[[#This Row],[Price]]</f>
        <v>0</v>
      </c>
      <c r="L1479" s="8">
        <f>ABS(SUMIF(Table25[[#All],[Assets]],Table25[[#This Row],[Assets]],Table25[[#All],[Sold]]))</f>
        <v>18</v>
      </c>
      <c r="M1479" s="5">
        <f>ABS(SUMIF(Table25[[#All],[Assets]],Table25[[#This Row],[Assets]],Table25[[#All],[Sold Amount]]))</f>
        <v>4016.43</v>
      </c>
      <c r="N1479" s="5">
        <f>IFERROR(Table25[[#This Row],[Total sold amount]]/Table25[[#This Row],[Total Sold number of stocks]],"")</f>
        <v>223.13499999999999</v>
      </c>
      <c r="O1479" s="4">
        <f>IFERROR(Table25[[#This Row],[Total Amount bought]]/Table25[[#This Row],[Total number bought]],"")</f>
        <v>171.08277777777778</v>
      </c>
      <c r="P1479" s="4">
        <f>IFERROR((Table25[[#This Row],[Average sell price]]-Table25[[#This Row],[Average buy price]])*Table25[[#This Row],[Total Sold number of stocks]],0)</f>
        <v>936.93999999999983</v>
      </c>
      <c r="Q1479" s="85">
        <f>SUMIF(Table25[[#All],[Assets]],Table25[[#This Row],[Assets]],Table25[[#All],[Number of stocks]])</f>
        <v>0</v>
      </c>
    </row>
    <row r="1480" spans="1:17">
      <c r="A1480" t="e" vm="57">
        <v>#VALUE!</v>
      </c>
      <c r="B1480" s="2">
        <v>45874</v>
      </c>
      <c r="C1480" t="str" cm="1">
        <f t="array" aca="1" ref="C1480" ca="1">_FV(A1480,"Ticker symbol",TRUE)</f>
        <v>EXE</v>
      </c>
      <c r="D1480" s="4">
        <v>99</v>
      </c>
      <c r="E1480" s="50">
        <v>-4</v>
      </c>
      <c r="F1480" s="81">
        <f>IF(Table25[[#This Row],[Number of stocks]]&gt;0,Table25[[#This Row],[Number of stocks]],0)</f>
        <v>0</v>
      </c>
      <c r="G1480" s="73">
        <f>Table25[[#This Row],[Bought]]*Table25[[#This Row],[Price]]</f>
        <v>0</v>
      </c>
      <c r="H1480">
        <f>SUMIF(Table25[[#All],[Assets]],Table25[[#This Row],[Assets]],Table25[[#All],[Bought]])</f>
        <v>4</v>
      </c>
      <c r="I1480">
        <f>SUMIF(Table25[[#All],[Assets]],Table25[[#This Row],[Assets]],Table25[[#All],[Bought Amount]])</f>
        <v>337.48</v>
      </c>
      <c r="J1480" s="88">
        <f>IF(Table25[[#This Row],[Number of stocks]]&lt;0,Table25[[#This Row],[Number of stocks]],0)</f>
        <v>-4</v>
      </c>
      <c r="K1480" s="5">
        <f>Table25[[#This Row],[Sold]]*Table25[[#This Row],[Price]]</f>
        <v>-396</v>
      </c>
      <c r="L1480" s="8">
        <f>ABS(SUMIF(Table25[[#All],[Assets]],Table25[[#This Row],[Assets]],Table25[[#All],[Sold]]))</f>
        <v>4</v>
      </c>
      <c r="M1480" s="5">
        <f>ABS(SUMIF(Table25[[#All],[Assets]],Table25[[#This Row],[Assets]],Table25[[#All],[Sold Amount]]))</f>
        <v>396</v>
      </c>
      <c r="N1480" s="5">
        <f>IFERROR(Table25[[#This Row],[Total sold amount]]/Table25[[#This Row],[Total Sold number of stocks]],"")</f>
        <v>99</v>
      </c>
      <c r="O1480" s="4">
        <f>IFERROR(Table25[[#This Row],[Total Amount bought]]/Table25[[#This Row],[Total number bought]],"")</f>
        <v>84.37</v>
      </c>
      <c r="P1480" s="4">
        <f>IFERROR((Table25[[#This Row],[Average sell price]]-Table25[[#This Row],[Average buy price]])*Table25[[#This Row],[Total Sold number of stocks]],0)</f>
        <v>58.519999999999982</v>
      </c>
      <c r="Q1480" s="85">
        <f>SUMIF(Table25[[#All],[Assets]],Table25[[#This Row],[Assets]],Table25[[#All],[Number of stocks]])</f>
        <v>0</v>
      </c>
    </row>
    <row r="1481" spans="1:17">
      <c r="A1481" t="e" vm="78">
        <v>#VALUE!</v>
      </c>
      <c r="B1481" s="2">
        <v>45874</v>
      </c>
      <c r="C1481" t="str" cm="1">
        <f t="array" aca="1" ref="C1481" ca="1">_FV(A1481,"Ticker symbol",TRUE)</f>
        <v>TOI</v>
      </c>
      <c r="D1481" s="4">
        <v>3.89</v>
      </c>
      <c r="E1481" s="50">
        <v>-240</v>
      </c>
      <c r="F1481" s="81">
        <f>IF(Table25[[#This Row],[Number of stocks]]&gt;0,Table25[[#This Row],[Number of stocks]],0)</f>
        <v>0</v>
      </c>
      <c r="G1481" s="73">
        <f>Table25[[#This Row],[Bought]]*Table25[[#This Row],[Price]]</f>
        <v>0</v>
      </c>
      <c r="H1481">
        <f>SUMIF(Table25[[#All],[Assets]],Table25[[#This Row],[Assets]],Table25[[#All],[Bought]])</f>
        <v>2120</v>
      </c>
      <c r="I1481">
        <f>SUMIF(Table25[[#All],[Assets]],Table25[[#This Row],[Assets]],Table25[[#All],[Bought Amount]])</f>
        <v>4215.1000000000004</v>
      </c>
      <c r="J1481" s="88">
        <f>IF(Table25[[#This Row],[Number of stocks]]&lt;0,Table25[[#This Row],[Number of stocks]],0)</f>
        <v>-240</v>
      </c>
      <c r="K1481" s="5">
        <f>Table25[[#This Row],[Sold]]*Table25[[#This Row],[Price]]</f>
        <v>-933.6</v>
      </c>
      <c r="L1481" s="8">
        <f>ABS(SUMIF(Table25[[#All],[Assets]],Table25[[#This Row],[Assets]],Table25[[#All],[Sold]]))</f>
        <v>1120</v>
      </c>
      <c r="M1481" s="5">
        <f>ABS(SUMIF(Table25[[#All],[Assets]],Table25[[#This Row],[Assets]],Table25[[#All],[Sold Amount]]))</f>
        <v>3202.4</v>
      </c>
      <c r="N1481" s="5">
        <f>IFERROR(Table25[[#This Row],[Total sold amount]]/Table25[[#This Row],[Total Sold number of stocks]],"")</f>
        <v>2.8592857142857144</v>
      </c>
      <c r="O1481" s="4">
        <f>IFERROR(Table25[[#This Row],[Total Amount bought]]/Table25[[#This Row],[Total number bought]],"")</f>
        <v>1.9882547169811322</v>
      </c>
      <c r="P1481" s="4">
        <f>IFERROR((Table25[[#This Row],[Average sell price]]-Table25[[#This Row],[Average buy price]])*Table25[[#This Row],[Total Sold number of stocks]],0)</f>
        <v>975.55471698113206</v>
      </c>
      <c r="Q1481" s="85">
        <f>SUMIF(Table25[[#All],[Assets]],Table25[[#This Row],[Assets]],Table25[[#All],[Number of stocks]])</f>
        <v>1000</v>
      </c>
    </row>
    <row r="1482" spans="1:17">
      <c r="A1482" t="e" vm="232">
        <v>#VALUE!</v>
      </c>
      <c r="B1482" s="2">
        <v>45875</v>
      </c>
      <c r="C1482" t="str" cm="1">
        <f t="array" aca="1" ref="C1482" ca="1">_FV(A1482,"Ticker symbol",TRUE)</f>
        <v>FEIM</v>
      </c>
      <c r="D1482" s="4">
        <v>29.63</v>
      </c>
      <c r="E1482" s="50">
        <v>5</v>
      </c>
      <c r="F1482" s="81">
        <f>IF(Table25[[#This Row],[Number of stocks]]&gt;0,Table25[[#This Row],[Number of stocks]],0)</f>
        <v>5</v>
      </c>
      <c r="G1482" s="73">
        <f>Table25[[#This Row],[Bought]]*Table25[[#This Row],[Price]]</f>
        <v>148.15</v>
      </c>
      <c r="H1482">
        <f>SUMIF(Table25[[#All],[Assets]],Table25[[#This Row],[Assets]],Table25[[#All],[Bought]])</f>
        <v>44</v>
      </c>
      <c r="I1482">
        <f>SUMIF(Table25[[#All],[Assets]],Table25[[#This Row],[Assets]],Table25[[#All],[Bought Amount]])</f>
        <v>1365.1</v>
      </c>
      <c r="J1482" s="88">
        <f>IF(Table25[[#This Row],[Number of stocks]]&lt;0,Table25[[#This Row],[Number of stocks]],0)</f>
        <v>0</v>
      </c>
      <c r="K1482" s="5">
        <f>Table25[[#This Row],[Sold]]*Table25[[#This Row],[Price]]</f>
        <v>0</v>
      </c>
      <c r="L1482" s="8">
        <f>ABS(SUMIF(Table25[[#All],[Assets]],Table25[[#This Row],[Assets]],Table25[[#All],[Sold]]))</f>
        <v>44</v>
      </c>
      <c r="M1482" s="5">
        <f>ABS(SUMIF(Table25[[#All],[Assets]],Table25[[#This Row],[Assets]],Table25[[#All],[Sold Amount]]))</f>
        <v>1369.4299999999998</v>
      </c>
      <c r="N1482" s="5">
        <f>IFERROR(Table25[[#This Row],[Total sold amount]]/Table25[[#This Row],[Total Sold number of stocks]],"")</f>
        <v>31.123409090909089</v>
      </c>
      <c r="O1482" s="4">
        <f>IFERROR(Table25[[#This Row],[Total Amount bought]]/Table25[[#This Row],[Total number bought]],"")</f>
        <v>31.024999999999999</v>
      </c>
      <c r="P1482" s="4">
        <f>IFERROR((Table25[[#This Row],[Average sell price]]-Table25[[#This Row],[Average buy price]])*Table25[[#This Row],[Total Sold number of stocks]],0)</f>
        <v>4.3299999999999699</v>
      </c>
      <c r="Q1482" s="85">
        <f>SUMIF(Table25[[#All],[Assets]],Table25[[#This Row],[Assets]],Table25[[#All],[Number of stocks]])</f>
        <v>0</v>
      </c>
    </row>
    <row r="1483" spans="1:17">
      <c r="A1483" t="e" vm="232">
        <v>#VALUE!</v>
      </c>
      <c r="B1483" s="2">
        <v>45875</v>
      </c>
      <c r="C1483" t="str" cm="1">
        <f t="array" aca="1" ref="C1483" ca="1">_FV(A1483,"Ticker symbol",TRUE)</f>
        <v>FEIM</v>
      </c>
      <c r="D1483" s="4">
        <v>29.55</v>
      </c>
      <c r="E1483" s="50">
        <v>9</v>
      </c>
      <c r="F1483" s="81">
        <f>IF(Table25[[#This Row],[Number of stocks]]&gt;0,Table25[[#This Row],[Number of stocks]],0)</f>
        <v>9</v>
      </c>
      <c r="G1483" s="73">
        <f>Table25[[#This Row],[Bought]]*Table25[[#This Row],[Price]]</f>
        <v>265.95</v>
      </c>
      <c r="H1483">
        <f>SUMIF(Table25[[#All],[Assets]],Table25[[#This Row],[Assets]],Table25[[#All],[Bought]])</f>
        <v>44</v>
      </c>
      <c r="I1483">
        <f>SUMIF(Table25[[#All],[Assets]],Table25[[#This Row],[Assets]],Table25[[#All],[Bought Amount]])</f>
        <v>1365.1</v>
      </c>
      <c r="J1483" s="88">
        <f>IF(Table25[[#This Row],[Number of stocks]]&lt;0,Table25[[#This Row],[Number of stocks]],0)</f>
        <v>0</v>
      </c>
      <c r="K1483" s="5">
        <f>Table25[[#This Row],[Sold]]*Table25[[#This Row],[Price]]</f>
        <v>0</v>
      </c>
      <c r="L1483" s="8">
        <f>ABS(SUMIF(Table25[[#All],[Assets]],Table25[[#This Row],[Assets]],Table25[[#All],[Sold]]))</f>
        <v>44</v>
      </c>
      <c r="M1483" s="5">
        <f>ABS(SUMIF(Table25[[#All],[Assets]],Table25[[#This Row],[Assets]],Table25[[#All],[Sold Amount]]))</f>
        <v>1369.4299999999998</v>
      </c>
      <c r="N1483" s="5">
        <f>IFERROR(Table25[[#This Row],[Total sold amount]]/Table25[[#This Row],[Total Sold number of stocks]],"")</f>
        <v>31.123409090909089</v>
      </c>
      <c r="O1483" s="4">
        <f>IFERROR(Table25[[#This Row],[Total Amount bought]]/Table25[[#This Row],[Total number bought]],"")</f>
        <v>31.024999999999999</v>
      </c>
      <c r="P1483" s="4">
        <f>IFERROR((Table25[[#This Row],[Average sell price]]-Table25[[#This Row],[Average buy price]])*Table25[[#This Row],[Total Sold number of stocks]],0)</f>
        <v>4.3299999999999699</v>
      </c>
      <c r="Q1483" s="85">
        <f>SUMIF(Table25[[#All],[Assets]],Table25[[#This Row],[Assets]],Table25[[#All],[Number of stocks]])</f>
        <v>0</v>
      </c>
    </row>
    <row r="1484" spans="1:17">
      <c r="A1484" t="e" vm="203">
        <v>#VALUE!</v>
      </c>
      <c r="B1484" s="2">
        <v>45877</v>
      </c>
      <c r="C1484" t="str" cm="1">
        <f t="array" aca="1" ref="C1484" ca="1">_FV(A1484,"Ticker symbol",TRUE)</f>
        <v>TWLO</v>
      </c>
      <c r="D1484" s="4">
        <v>100.39</v>
      </c>
      <c r="E1484" s="50">
        <v>-4</v>
      </c>
      <c r="F1484" s="81">
        <f>IF(Table25[[#This Row],[Number of stocks]]&gt;0,Table25[[#This Row],[Number of stocks]],0)</f>
        <v>0</v>
      </c>
      <c r="G1484" s="73">
        <f>Table25[[#This Row],[Bought]]*Table25[[#This Row],[Price]]</f>
        <v>0</v>
      </c>
      <c r="H1484">
        <f>SUMIF(Table25[[#All],[Assets]],Table25[[#This Row],[Assets]],Table25[[#All],[Bought]])</f>
        <v>64</v>
      </c>
      <c r="I1484">
        <f>SUMIF(Table25[[#All],[Assets]],Table25[[#This Row],[Assets]],Table25[[#All],[Bought Amount]])</f>
        <v>7733.8899999999994</v>
      </c>
      <c r="J1484" s="88">
        <f>IF(Table25[[#This Row],[Number of stocks]]&lt;0,Table25[[#This Row],[Number of stocks]],0)</f>
        <v>-4</v>
      </c>
      <c r="K1484" s="5">
        <f>Table25[[#This Row],[Sold]]*Table25[[#This Row],[Price]]</f>
        <v>-401.56</v>
      </c>
      <c r="L1484" s="8">
        <f>ABS(SUMIF(Table25[[#All],[Assets]],Table25[[#This Row],[Assets]],Table25[[#All],[Sold]]))</f>
        <v>64</v>
      </c>
      <c r="M1484" s="5">
        <f>ABS(SUMIF(Table25[[#All],[Assets]],Table25[[#This Row],[Assets]],Table25[[#All],[Sold Amount]]))</f>
        <v>7331.26</v>
      </c>
      <c r="N1484" s="5">
        <f>IFERROR(Table25[[#This Row],[Total sold amount]]/Table25[[#This Row],[Total Sold number of stocks]],"")</f>
        <v>114.5509375</v>
      </c>
      <c r="O1484" s="4">
        <f>IFERROR(Table25[[#This Row],[Total Amount bought]]/Table25[[#This Row],[Total number bought]],"")</f>
        <v>120.84203124999999</v>
      </c>
      <c r="P1484" s="4">
        <f>IFERROR((Table25[[#This Row],[Average sell price]]-Table25[[#This Row],[Average buy price]])*Table25[[#This Row],[Total Sold number of stocks]],0)</f>
        <v>-402.6299999999992</v>
      </c>
      <c r="Q1484" s="85">
        <f>SUMIF(Table25[[#All],[Assets]],Table25[[#This Row],[Assets]],Table25[[#All],[Number of stocks]])</f>
        <v>0</v>
      </c>
    </row>
    <row r="1485" spans="1:17">
      <c r="A1485" t="e" vm="236">
        <v>#VALUE!</v>
      </c>
      <c r="B1485" s="2">
        <v>45877</v>
      </c>
      <c r="C1485" t="str" cm="1">
        <f t="array" aca="1" ref="C1485" ca="1">_FV(A1485,"Ticker symbol",TRUE)</f>
        <v>ESTC</v>
      </c>
      <c r="D1485" s="4">
        <v>72.58</v>
      </c>
      <c r="E1485" s="50">
        <v>-5</v>
      </c>
      <c r="F1485" s="81">
        <f>IF(Table25[[#This Row],[Number of stocks]]&gt;0,Table25[[#This Row],[Number of stocks]],0)</f>
        <v>0</v>
      </c>
      <c r="G1485" s="73">
        <f>Table25[[#This Row],[Bought]]*Table25[[#This Row],[Price]]</f>
        <v>0</v>
      </c>
      <c r="H1485">
        <f>SUMIF(Table25[[#All],[Assets]],Table25[[#This Row],[Assets]],Table25[[#All],[Bought]])</f>
        <v>27</v>
      </c>
      <c r="I1485">
        <f>SUMIF(Table25[[#All],[Assets]],Table25[[#This Row],[Assets]],Table25[[#All],[Bought Amount]])</f>
        <v>2776.75</v>
      </c>
      <c r="J1485" s="88">
        <f>IF(Table25[[#This Row],[Number of stocks]]&lt;0,Table25[[#This Row],[Number of stocks]],0)</f>
        <v>-5</v>
      </c>
      <c r="K1485" s="5">
        <f>Table25[[#This Row],[Sold]]*Table25[[#This Row],[Price]]</f>
        <v>-362.9</v>
      </c>
      <c r="L1485" s="8">
        <f>ABS(SUMIF(Table25[[#All],[Assets]],Table25[[#This Row],[Assets]],Table25[[#All],[Sold]]))</f>
        <v>27</v>
      </c>
      <c r="M1485" s="5">
        <f>ABS(SUMIF(Table25[[#All],[Assets]],Table25[[#This Row],[Assets]],Table25[[#All],[Sold Amount]]))</f>
        <v>2320.58</v>
      </c>
      <c r="N1485" s="5">
        <f>IFERROR(Table25[[#This Row],[Total sold amount]]/Table25[[#This Row],[Total Sold number of stocks]],"")</f>
        <v>85.947407407407411</v>
      </c>
      <c r="O1485" s="4">
        <f>IFERROR(Table25[[#This Row],[Total Amount bought]]/Table25[[#This Row],[Total number bought]],"")</f>
        <v>102.8425925925926</v>
      </c>
      <c r="P1485" s="4">
        <f>IFERROR((Table25[[#This Row],[Average sell price]]-Table25[[#This Row],[Average buy price]])*Table25[[#This Row],[Total Sold number of stocks]],0)</f>
        <v>-456.16999999999996</v>
      </c>
      <c r="Q1485" s="85">
        <f>SUMIF(Table25[[#All],[Assets]],Table25[[#This Row],[Assets]],Table25[[#All],[Number of stocks]])</f>
        <v>0</v>
      </c>
    </row>
    <row r="1486" spans="1:17">
      <c r="A1486" t="e" vm="2">
        <v>#VALUE!</v>
      </c>
      <c r="B1486" s="2">
        <v>45877</v>
      </c>
      <c r="C1486" t="str" cm="1">
        <f t="array" aca="1" ref="C1486" ca="1">_FV(A1486,"Ticker symbol",TRUE)</f>
        <v>MPTI</v>
      </c>
      <c r="D1486" s="4">
        <v>44.88</v>
      </c>
      <c r="E1486" s="50">
        <v>-15</v>
      </c>
      <c r="F1486" s="81">
        <f>IF(Table25[[#This Row],[Number of stocks]]&gt;0,Table25[[#This Row],[Number of stocks]],0)</f>
        <v>0</v>
      </c>
      <c r="G1486" s="73">
        <f>Table25[[#This Row],[Bought]]*Table25[[#This Row],[Price]]</f>
        <v>0</v>
      </c>
      <c r="H1486">
        <f>SUMIF(Table25[[#All],[Assets]],Table25[[#This Row],[Assets]],Table25[[#All],[Bought]])</f>
        <v>30</v>
      </c>
      <c r="I1486">
        <f>SUMIF(Table25[[#All],[Assets]],Table25[[#This Row],[Assets]],Table25[[#All],[Bought Amount]])</f>
        <v>1404.3</v>
      </c>
      <c r="J1486" s="88">
        <f>IF(Table25[[#This Row],[Number of stocks]]&lt;0,Table25[[#This Row],[Number of stocks]],0)</f>
        <v>-15</v>
      </c>
      <c r="K1486" s="5">
        <f>Table25[[#This Row],[Sold]]*Table25[[#This Row],[Price]]</f>
        <v>-673.2</v>
      </c>
      <c r="L1486" s="8">
        <f>ABS(SUMIF(Table25[[#All],[Assets]],Table25[[#This Row],[Assets]],Table25[[#All],[Sold]]))</f>
        <v>30</v>
      </c>
      <c r="M1486" s="5">
        <f>ABS(SUMIF(Table25[[#All],[Assets]],Table25[[#This Row],[Assets]],Table25[[#All],[Sold Amount]]))</f>
        <v>1280.5500000000002</v>
      </c>
      <c r="N1486" s="5">
        <f>IFERROR(Table25[[#This Row],[Total sold amount]]/Table25[[#This Row],[Total Sold number of stocks]],"")</f>
        <v>42.685000000000009</v>
      </c>
      <c r="O1486" s="4">
        <f>IFERROR(Table25[[#This Row],[Total Amount bought]]/Table25[[#This Row],[Total number bought]],"")</f>
        <v>46.809999999999995</v>
      </c>
      <c r="P1486" s="4">
        <f>IFERROR((Table25[[#This Row],[Average sell price]]-Table25[[#This Row],[Average buy price]])*Table25[[#This Row],[Total Sold number of stocks]],0)</f>
        <v>-123.74999999999957</v>
      </c>
      <c r="Q1486" s="85">
        <f>SUMIF(Table25[[#All],[Assets]],Table25[[#This Row],[Assets]],Table25[[#All],[Number of stocks]])</f>
        <v>0</v>
      </c>
    </row>
    <row r="1487" spans="1:17">
      <c r="A1487" t="e" vm="187">
        <v>#VALUE!</v>
      </c>
      <c r="B1487" s="2">
        <v>45877</v>
      </c>
      <c r="C1487" t="str" cm="1">
        <f t="array" aca="1" ref="C1487" ca="1">_FV(A1487,"Ticker symbol",TRUE)</f>
        <v>ZETA</v>
      </c>
      <c r="D1487" s="4">
        <v>18.98</v>
      </c>
      <c r="E1487" s="50">
        <v>34</v>
      </c>
      <c r="F1487" s="81">
        <f>IF(Table25[[#This Row],[Number of stocks]]&gt;0,Table25[[#This Row],[Number of stocks]],0)</f>
        <v>34</v>
      </c>
      <c r="G1487" s="73">
        <f>Table25[[#This Row],[Bought]]*Table25[[#This Row],[Price]]</f>
        <v>645.32000000000005</v>
      </c>
      <c r="H1487">
        <f>SUMIF(Table25[[#All],[Assets]],Table25[[#This Row],[Assets]],Table25[[#All],[Bought]])</f>
        <v>214</v>
      </c>
      <c r="I1487">
        <f>SUMIF(Table25[[#All],[Assets]],Table25[[#This Row],[Assets]],Table25[[#All],[Bought Amount]])</f>
        <v>4123.5200000000004</v>
      </c>
      <c r="J1487" s="88">
        <f>IF(Table25[[#This Row],[Number of stocks]]&lt;0,Table25[[#This Row],[Number of stocks]],0)</f>
        <v>0</v>
      </c>
      <c r="K1487" s="5">
        <f>Table25[[#This Row],[Sold]]*Table25[[#This Row],[Price]]</f>
        <v>0</v>
      </c>
      <c r="L1487" s="8">
        <f>ABS(SUMIF(Table25[[#All],[Assets]],Table25[[#This Row],[Assets]],Table25[[#All],[Sold]]))</f>
        <v>214</v>
      </c>
      <c r="M1487" s="5">
        <f>ABS(SUMIF(Table25[[#All],[Assets]],Table25[[#This Row],[Assets]],Table25[[#All],[Sold Amount]]))</f>
        <v>4425.6400000000003</v>
      </c>
      <c r="N1487" s="5">
        <f>IFERROR(Table25[[#This Row],[Total sold amount]]/Table25[[#This Row],[Total Sold number of stocks]],"")</f>
        <v>20.680560747663552</v>
      </c>
      <c r="O1487" s="4">
        <f>IFERROR(Table25[[#This Row],[Total Amount bought]]/Table25[[#This Row],[Total number bought]],"")</f>
        <v>19.268785046728976</v>
      </c>
      <c r="P1487" s="4">
        <f>IFERROR((Table25[[#This Row],[Average sell price]]-Table25[[#This Row],[Average buy price]])*Table25[[#This Row],[Total Sold number of stocks]],0)</f>
        <v>302.11999999999938</v>
      </c>
      <c r="Q1487" s="85">
        <f>SUMIF(Table25[[#All],[Assets]],Table25[[#This Row],[Assets]],Table25[[#All],[Number of stocks]])</f>
        <v>0</v>
      </c>
    </row>
    <row r="1488" spans="1:17">
      <c r="A1488" t="e" vm="24">
        <v>#VALUE!</v>
      </c>
      <c r="B1488" s="2">
        <v>45877</v>
      </c>
      <c r="C1488" t="str" cm="1">
        <f t="array" aca="1" ref="C1488" ca="1">_FV(A1488,"Ticker symbol",TRUE)</f>
        <v>QCOM</v>
      </c>
      <c r="D1488" s="4">
        <v>147.59</v>
      </c>
      <c r="E1488" s="50">
        <v>-2</v>
      </c>
      <c r="F1488" s="81">
        <f>IF(Table25[[#This Row],[Number of stocks]]&gt;0,Table25[[#This Row],[Number of stocks]],0)</f>
        <v>0</v>
      </c>
      <c r="G1488" s="73">
        <f>Table25[[#This Row],[Bought]]*Table25[[#This Row],[Price]]</f>
        <v>0</v>
      </c>
      <c r="H1488">
        <f>SUMIF(Table25[[#All],[Assets]],Table25[[#This Row],[Assets]],Table25[[#All],[Bought]])</f>
        <v>58</v>
      </c>
      <c r="I1488">
        <f>SUMIF(Table25[[#All],[Assets]],Table25[[#This Row],[Assets]],Table25[[#All],[Bought Amount]])</f>
        <v>9670.27</v>
      </c>
      <c r="J1488" s="88">
        <f>IF(Table25[[#This Row],[Number of stocks]]&lt;0,Table25[[#This Row],[Number of stocks]],0)</f>
        <v>-2</v>
      </c>
      <c r="K1488" s="5">
        <f>Table25[[#This Row],[Sold]]*Table25[[#This Row],[Price]]</f>
        <v>-295.18</v>
      </c>
      <c r="L1488" s="8">
        <f>ABS(SUMIF(Table25[[#All],[Assets]],Table25[[#This Row],[Assets]],Table25[[#All],[Sold]]))</f>
        <v>57</v>
      </c>
      <c r="M1488" s="5">
        <f>ABS(SUMIF(Table25[[#All],[Assets]],Table25[[#This Row],[Assets]],Table25[[#All],[Sold Amount]]))</f>
        <v>8530.1</v>
      </c>
      <c r="N1488" s="5">
        <f>IFERROR(Table25[[#This Row],[Total sold amount]]/Table25[[#This Row],[Total Sold number of stocks]],"")</f>
        <v>149.65087719298245</v>
      </c>
      <c r="O1488" s="4">
        <f>IFERROR(Table25[[#This Row],[Total Amount bought]]/Table25[[#This Row],[Total number bought]],"")</f>
        <v>166.72879310344828</v>
      </c>
      <c r="P1488" s="4">
        <f>IFERROR((Table25[[#This Row],[Average sell price]]-Table25[[#This Row],[Average buy price]])*Table25[[#This Row],[Total Sold number of stocks]],0)</f>
        <v>-973.44120689655256</v>
      </c>
      <c r="Q1488" s="85">
        <f>SUMIF(Table25[[#All],[Assets]],Table25[[#This Row],[Assets]],Table25[[#All],[Number of stocks]])</f>
        <v>1</v>
      </c>
    </row>
    <row r="1489" spans="1:17">
      <c r="A1489" t="e" vm="75">
        <v>#VALUE!</v>
      </c>
      <c r="B1489" s="2">
        <v>45877</v>
      </c>
      <c r="C1489" t="str" cm="1">
        <f t="array" aca="1" ref="C1489" ca="1">_FV(A1489,"Ticker symbol",TRUE)</f>
        <v>QTRX</v>
      </c>
      <c r="D1489" s="4">
        <v>4.6500000000000004</v>
      </c>
      <c r="E1489" s="50">
        <v>-100</v>
      </c>
      <c r="F1489" s="81">
        <f>IF(Table25[[#This Row],[Number of stocks]]&gt;0,Table25[[#This Row],[Number of stocks]],0)</f>
        <v>0</v>
      </c>
      <c r="G1489" s="73">
        <f>Table25[[#This Row],[Bought]]*Table25[[#This Row],[Price]]</f>
        <v>0</v>
      </c>
      <c r="H1489">
        <f>SUMIF(Table25[[#All],[Assets]],Table25[[#This Row],[Assets]],Table25[[#All],[Bought]])</f>
        <v>1492</v>
      </c>
      <c r="I1489">
        <f>SUMIF(Table25[[#All],[Assets]],Table25[[#This Row],[Assets]],Table25[[#All],[Bought Amount]])</f>
        <v>10313.249999999998</v>
      </c>
      <c r="J1489" s="88">
        <f>IF(Table25[[#This Row],[Number of stocks]]&lt;0,Table25[[#This Row],[Number of stocks]],0)</f>
        <v>-100</v>
      </c>
      <c r="K1489" s="5">
        <f>Table25[[#This Row],[Sold]]*Table25[[#This Row],[Price]]</f>
        <v>-465.00000000000006</v>
      </c>
      <c r="L1489" s="8">
        <f>ABS(SUMIF(Table25[[#All],[Assets]],Table25[[#This Row],[Assets]],Table25[[#All],[Sold]]))</f>
        <v>1492</v>
      </c>
      <c r="M1489" s="5">
        <f>ABS(SUMIF(Table25[[#All],[Assets]],Table25[[#This Row],[Assets]],Table25[[#All],[Sold Amount]]))</f>
        <v>8408.35</v>
      </c>
      <c r="N1489" s="5">
        <f>IFERROR(Table25[[#This Row],[Total sold amount]]/Table25[[#This Row],[Total Sold number of stocks]],"")</f>
        <v>5.635623324396783</v>
      </c>
      <c r="O1489" s="4">
        <f>IFERROR(Table25[[#This Row],[Total Amount bought]]/Table25[[#This Row],[Total number bought]],"")</f>
        <v>6.9123659517426264</v>
      </c>
      <c r="P1489" s="4">
        <f>IFERROR((Table25[[#This Row],[Average sell price]]-Table25[[#This Row],[Average buy price]])*Table25[[#This Row],[Total Sold number of stocks]],0)</f>
        <v>-1904.8999999999983</v>
      </c>
      <c r="Q1489" s="85">
        <f>SUMIF(Table25[[#All],[Assets]],Table25[[#This Row],[Assets]],Table25[[#All],[Number of stocks]])</f>
        <v>0</v>
      </c>
    </row>
    <row r="1490" spans="1:17">
      <c r="A1490" t="e" vm="7">
        <v>#VALUE!</v>
      </c>
      <c r="B1490" s="2">
        <v>45877</v>
      </c>
      <c r="C1490" t="str" cm="1">
        <f t="array" aca="1" ref="C1490" ca="1">_FV(A1490,"Ticker symbol",TRUE)</f>
        <v>ONDS</v>
      </c>
      <c r="D1490" s="4">
        <v>3.46</v>
      </c>
      <c r="E1490" s="50">
        <v>-150</v>
      </c>
      <c r="F1490" s="81">
        <f>IF(Table25[[#This Row],[Number of stocks]]&gt;0,Table25[[#This Row],[Number of stocks]],0)</f>
        <v>0</v>
      </c>
      <c r="G1490" s="73">
        <f>Table25[[#This Row],[Bought]]*Table25[[#This Row],[Price]]</f>
        <v>0</v>
      </c>
      <c r="H1490">
        <f>SUMIF(Table25[[#All],[Assets]],Table25[[#This Row],[Assets]],Table25[[#All],[Bought]])</f>
        <v>295</v>
      </c>
      <c r="I1490">
        <f>SUMIF(Table25[[#All],[Assets]],Table25[[#This Row],[Assets]],Table25[[#All],[Bought Amount]])</f>
        <v>513.29999999999995</v>
      </c>
      <c r="J1490" s="88">
        <f>IF(Table25[[#This Row],[Number of stocks]]&lt;0,Table25[[#This Row],[Number of stocks]],0)</f>
        <v>-150</v>
      </c>
      <c r="K1490" s="5">
        <f>Table25[[#This Row],[Sold]]*Table25[[#This Row],[Price]]</f>
        <v>-519</v>
      </c>
      <c r="L1490" s="8">
        <f>ABS(SUMIF(Table25[[#All],[Assets]],Table25[[#This Row],[Assets]],Table25[[#All],[Sold]]))</f>
        <v>295</v>
      </c>
      <c r="M1490" s="5">
        <f>ABS(SUMIF(Table25[[#All],[Assets]],Table25[[#This Row],[Assets]],Table25[[#All],[Sold Amount]]))</f>
        <v>1039.55</v>
      </c>
      <c r="N1490" s="5">
        <f>IFERROR(Table25[[#This Row],[Total sold amount]]/Table25[[#This Row],[Total Sold number of stocks]],"")</f>
        <v>3.5238983050847454</v>
      </c>
      <c r="O1490" s="4">
        <f>IFERROR(Table25[[#This Row],[Total Amount bought]]/Table25[[#This Row],[Total number bought]],"")</f>
        <v>1.7399999999999998</v>
      </c>
      <c r="P1490" s="4">
        <f>IFERROR((Table25[[#This Row],[Average sell price]]-Table25[[#This Row],[Average buy price]])*Table25[[#This Row],[Total Sold number of stocks]],0)</f>
        <v>526.25</v>
      </c>
      <c r="Q1490" s="85">
        <f>SUMIF(Table25[[#All],[Assets]],Table25[[#This Row],[Assets]],Table25[[#All],[Number of stocks]])</f>
        <v>0</v>
      </c>
    </row>
    <row r="1491" spans="1:17">
      <c r="A1491" t="e" vm="187">
        <v>#VALUE!</v>
      </c>
      <c r="B1491" s="2">
        <v>45877</v>
      </c>
      <c r="C1491" t="str" cm="1">
        <f t="array" aca="1" ref="C1491" ca="1">_FV(A1491,"Ticker symbol",TRUE)</f>
        <v>ZETA</v>
      </c>
      <c r="D1491" s="4">
        <v>19.010000000000002</v>
      </c>
      <c r="E1491" s="50">
        <v>60</v>
      </c>
      <c r="F1491" s="81">
        <f>IF(Table25[[#This Row],[Number of stocks]]&gt;0,Table25[[#This Row],[Number of stocks]],0)</f>
        <v>60</v>
      </c>
      <c r="G1491" s="73">
        <f>Table25[[#This Row],[Bought]]*Table25[[#This Row],[Price]]</f>
        <v>1140.6000000000001</v>
      </c>
      <c r="H1491">
        <f>SUMIF(Table25[[#All],[Assets]],Table25[[#This Row],[Assets]],Table25[[#All],[Bought]])</f>
        <v>214</v>
      </c>
      <c r="I1491">
        <f>SUMIF(Table25[[#All],[Assets]],Table25[[#This Row],[Assets]],Table25[[#All],[Bought Amount]])</f>
        <v>4123.5200000000004</v>
      </c>
      <c r="J1491" s="88">
        <f>IF(Table25[[#This Row],[Number of stocks]]&lt;0,Table25[[#This Row],[Number of stocks]],0)</f>
        <v>0</v>
      </c>
      <c r="K1491" s="5">
        <f>Table25[[#This Row],[Sold]]*Table25[[#This Row],[Price]]</f>
        <v>0</v>
      </c>
      <c r="L1491" s="8">
        <f>ABS(SUMIF(Table25[[#All],[Assets]],Table25[[#This Row],[Assets]],Table25[[#All],[Sold]]))</f>
        <v>214</v>
      </c>
      <c r="M1491" s="5">
        <f>ABS(SUMIF(Table25[[#All],[Assets]],Table25[[#This Row],[Assets]],Table25[[#All],[Sold Amount]]))</f>
        <v>4425.6400000000003</v>
      </c>
      <c r="N1491" s="5">
        <f>IFERROR(Table25[[#This Row],[Total sold amount]]/Table25[[#This Row],[Total Sold number of stocks]],"")</f>
        <v>20.680560747663552</v>
      </c>
      <c r="O1491" s="4">
        <f>IFERROR(Table25[[#This Row],[Total Amount bought]]/Table25[[#This Row],[Total number bought]],"")</f>
        <v>19.268785046728976</v>
      </c>
      <c r="P1491" s="4">
        <f>IFERROR((Table25[[#This Row],[Average sell price]]-Table25[[#This Row],[Average buy price]])*Table25[[#This Row],[Total Sold number of stocks]],0)</f>
        <v>302.11999999999938</v>
      </c>
      <c r="Q1491" s="85">
        <f>SUMIF(Table25[[#All],[Assets]],Table25[[#This Row],[Assets]],Table25[[#All],[Number of stocks]])</f>
        <v>0</v>
      </c>
    </row>
    <row r="1492" spans="1:17">
      <c r="A1492" t="e" vm="220">
        <v>#VALUE!</v>
      </c>
      <c r="B1492" s="2">
        <v>45877</v>
      </c>
      <c r="C1492" t="str" cm="1">
        <f t="array" aca="1" ref="C1492" ca="1">_FV(A1492,"Ticker symbol",TRUE)</f>
        <v>SMLR</v>
      </c>
      <c r="D1492" s="4">
        <v>35.94</v>
      </c>
      <c r="E1492" s="50">
        <v>5</v>
      </c>
      <c r="F1492" s="81">
        <f>IF(Table25[[#This Row],[Number of stocks]]&gt;0,Table25[[#This Row],[Number of stocks]],0)</f>
        <v>5</v>
      </c>
      <c r="G1492" s="73">
        <f>Table25[[#This Row],[Bought]]*Table25[[#This Row],[Price]]</f>
        <v>179.7</v>
      </c>
      <c r="H1492">
        <f>SUMIF(Table25[[#All],[Assets]],Table25[[#This Row],[Assets]],Table25[[#All],[Bought]])</f>
        <v>10</v>
      </c>
      <c r="I1492">
        <f>SUMIF(Table25[[#All],[Assets]],Table25[[#This Row],[Assets]],Table25[[#All],[Bought Amount]])</f>
        <v>349.15</v>
      </c>
      <c r="J1492" s="88">
        <f>IF(Table25[[#This Row],[Number of stocks]]&lt;0,Table25[[#This Row],[Number of stocks]],0)</f>
        <v>0</v>
      </c>
      <c r="K1492" s="5">
        <f>Table25[[#This Row],[Sold]]*Table25[[#This Row],[Price]]</f>
        <v>0</v>
      </c>
      <c r="L1492" s="8">
        <f>ABS(SUMIF(Table25[[#All],[Assets]],Table25[[#This Row],[Assets]],Table25[[#All],[Sold]]))</f>
        <v>0</v>
      </c>
      <c r="M1492" s="5">
        <f>ABS(SUMIF(Table25[[#All],[Assets]],Table25[[#This Row],[Assets]],Table25[[#All],[Sold Amount]]))</f>
        <v>0</v>
      </c>
      <c r="N1492" s="5" t="str">
        <f>IFERROR(Table25[[#This Row],[Total sold amount]]/Table25[[#This Row],[Total Sold number of stocks]],"")</f>
        <v/>
      </c>
      <c r="O1492" s="4">
        <f>IFERROR(Table25[[#This Row],[Total Amount bought]]/Table25[[#This Row],[Total number bought]],"")</f>
        <v>34.914999999999999</v>
      </c>
      <c r="P1492" s="4">
        <f>IFERROR((Table25[[#This Row],[Average sell price]]-Table25[[#This Row],[Average buy price]])*Table25[[#This Row],[Total Sold number of stocks]],0)</f>
        <v>0</v>
      </c>
      <c r="Q1492" s="85">
        <f>SUMIF(Table25[[#All],[Assets]],Table25[[#This Row],[Assets]],Table25[[#All],[Number of stocks]])</f>
        <v>10</v>
      </c>
    </row>
    <row r="1493" spans="1:17">
      <c r="A1493" t="e" vm="75">
        <v>#VALUE!</v>
      </c>
      <c r="B1493" s="2">
        <v>45882</v>
      </c>
      <c r="C1493" t="str" cm="1">
        <f t="array" aca="1" ref="C1493" ca="1">_FV(A1493,"Ticker symbol",TRUE)</f>
        <v>QTRX</v>
      </c>
      <c r="D1493" s="4">
        <v>4.8899999999999997</v>
      </c>
      <c r="E1493" s="50">
        <v>-215</v>
      </c>
      <c r="F1493" s="81">
        <f>IF(Table25[[#This Row],[Number of stocks]]&gt;0,Table25[[#This Row],[Number of stocks]],0)</f>
        <v>0</v>
      </c>
      <c r="G1493" s="73">
        <f>Table25[[#This Row],[Bought]]*Table25[[#This Row],[Price]]</f>
        <v>0</v>
      </c>
      <c r="H1493">
        <f>SUMIF(Table25[[#All],[Assets]],Table25[[#This Row],[Assets]],Table25[[#All],[Bought]])</f>
        <v>1492</v>
      </c>
      <c r="I1493">
        <f>SUMIF(Table25[[#All],[Assets]],Table25[[#This Row],[Assets]],Table25[[#All],[Bought Amount]])</f>
        <v>10313.249999999998</v>
      </c>
      <c r="J1493" s="88">
        <f>IF(Table25[[#This Row],[Number of stocks]]&lt;0,Table25[[#This Row],[Number of stocks]],0)</f>
        <v>-215</v>
      </c>
      <c r="K1493" s="5">
        <f>Table25[[#This Row],[Sold]]*Table25[[#This Row],[Price]]</f>
        <v>-1051.3499999999999</v>
      </c>
      <c r="L1493" s="8">
        <f>ABS(SUMIF(Table25[[#All],[Assets]],Table25[[#This Row],[Assets]],Table25[[#All],[Sold]]))</f>
        <v>1492</v>
      </c>
      <c r="M1493" s="5">
        <f>ABS(SUMIF(Table25[[#All],[Assets]],Table25[[#This Row],[Assets]],Table25[[#All],[Sold Amount]]))</f>
        <v>8408.35</v>
      </c>
      <c r="N1493" s="5">
        <f>IFERROR(Table25[[#This Row],[Total sold amount]]/Table25[[#This Row],[Total Sold number of stocks]],"")</f>
        <v>5.635623324396783</v>
      </c>
      <c r="O1493" s="4">
        <f>IFERROR(Table25[[#This Row],[Total Amount bought]]/Table25[[#This Row],[Total number bought]],"")</f>
        <v>6.9123659517426264</v>
      </c>
      <c r="P1493" s="4">
        <f>IFERROR((Table25[[#This Row],[Average sell price]]-Table25[[#This Row],[Average buy price]])*Table25[[#This Row],[Total Sold number of stocks]],0)</f>
        <v>-1904.8999999999983</v>
      </c>
      <c r="Q1493" s="85">
        <f>SUMIF(Table25[[#All],[Assets]],Table25[[#This Row],[Assets]],Table25[[#All],[Number of stocks]])</f>
        <v>0</v>
      </c>
    </row>
    <row r="1494" spans="1:17">
      <c r="A1494" t="e" vm="569">
        <v>#VALUE!</v>
      </c>
      <c r="B1494" s="2">
        <v>45882</v>
      </c>
      <c r="C1494" t="str" cm="1">
        <f t="array" aca="1" ref="C1494" ca="1">_FV(A1494,"Ticker symbol",TRUE)</f>
        <v>PGR</v>
      </c>
      <c r="D1494" s="4">
        <v>247.99</v>
      </c>
      <c r="E1494" s="50">
        <v>-2</v>
      </c>
      <c r="F1494" s="81">
        <f>IF(Table25[[#This Row],[Number of stocks]]&gt;0,Table25[[#This Row],[Number of stocks]],0)</f>
        <v>0</v>
      </c>
      <c r="G1494" s="73">
        <f>Table25[[#This Row],[Bought]]*Table25[[#This Row],[Price]]</f>
        <v>0</v>
      </c>
      <c r="H1494">
        <f>SUMIF(Table25[[#All],[Assets]],Table25[[#This Row],[Assets]],Table25[[#All],[Bought]])</f>
        <v>2</v>
      </c>
      <c r="I1494">
        <f>SUMIF(Table25[[#All],[Assets]],Table25[[#This Row],[Assets]],Table25[[#All],[Bought Amount]])</f>
        <v>492.08</v>
      </c>
      <c r="J1494" s="88">
        <f>IF(Table25[[#This Row],[Number of stocks]]&lt;0,Table25[[#This Row],[Number of stocks]],0)</f>
        <v>-2</v>
      </c>
      <c r="K1494" s="5">
        <f>Table25[[#This Row],[Sold]]*Table25[[#This Row],[Price]]</f>
        <v>-495.98</v>
      </c>
      <c r="L1494" s="8">
        <f>ABS(SUMIF(Table25[[#All],[Assets]],Table25[[#This Row],[Assets]],Table25[[#All],[Sold]]))</f>
        <v>2</v>
      </c>
      <c r="M1494" s="5">
        <f>ABS(SUMIF(Table25[[#All],[Assets]],Table25[[#This Row],[Assets]],Table25[[#All],[Sold Amount]]))</f>
        <v>495.98</v>
      </c>
      <c r="N1494" s="5">
        <f>IFERROR(Table25[[#This Row],[Total sold amount]]/Table25[[#This Row],[Total Sold number of stocks]],"")</f>
        <v>247.99</v>
      </c>
      <c r="O1494" s="4">
        <f>IFERROR(Table25[[#This Row],[Total Amount bought]]/Table25[[#This Row],[Total number bought]],"")</f>
        <v>246.04</v>
      </c>
      <c r="P1494" s="4">
        <f>IFERROR((Table25[[#This Row],[Average sell price]]-Table25[[#This Row],[Average buy price]])*Table25[[#This Row],[Total Sold number of stocks]],0)</f>
        <v>3.9000000000000341</v>
      </c>
      <c r="Q1494" s="85">
        <f>SUMIF(Table25[[#All],[Assets]],Table25[[#This Row],[Assets]],Table25[[#All],[Number of stocks]])</f>
        <v>0</v>
      </c>
    </row>
    <row r="1495" spans="1:17">
      <c r="A1495" t="e" vm="84">
        <v>#VALUE!</v>
      </c>
      <c r="B1495" s="2">
        <v>45882</v>
      </c>
      <c r="C1495" t="str" cm="1">
        <f t="array" aca="1" ref="C1495" ca="1">_FV(A1495,"Ticker symbol",TRUE)</f>
        <v>COIN</v>
      </c>
      <c r="D1495" s="4">
        <v>326.10000000000002</v>
      </c>
      <c r="E1495" s="50">
        <v>-4</v>
      </c>
      <c r="F1495" s="81">
        <f>IF(Table25[[#This Row],[Number of stocks]]&gt;0,Table25[[#This Row],[Number of stocks]],0)</f>
        <v>0</v>
      </c>
      <c r="G1495" s="73">
        <f>Table25[[#This Row],[Bought]]*Table25[[#This Row],[Price]]</f>
        <v>0</v>
      </c>
      <c r="H1495">
        <f>SUMIF(Table25[[#All],[Assets]],Table25[[#This Row],[Assets]],Table25[[#All],[Bought]])</f>
        <v>11</v>
      </c>
      <c r="I1495">
        <f>SUMIF(Table25[[#All],[Assets]],Table25[[#This Row],[Assets]],Table25[[#All],[Bought Amount]])</f>
        <v>3624.34</v>
      </c>
      <c r="J1495" s="88">
        <f>IF(Table25[[#This Row],[Number of stocks]]&lt;0,Table25[[#This Row],[Number of stocks]],0)</f>
        <v>-4</v>
      </c>
      <c r="K1495" s="5">
        <f>Table25[[#This Row],[Sold]]*Table25[[#This Row],[Price]]</f>
        <v>-1304.4000000000001</v>
      </c>
      <c r="L1495" s="8">
        <f>ABS(SUMIF(Table25[[#All],[Assets]],Table25[[#This Row],[Assets]],Table25[[#All],[Sold]]))</f>
        <v>11</v>
      </c>
      <c r="M1495" s="5">
        <f>ABS(SUMIF(Table25[[#All],[Assets]],Table25[[#This Row],[Assets]],Table25[[#All],[Sold Amount]]))</f>
        <v>3399.23</v>
      </c>
      <c r="N1495" s="5">
        <f>IFERROR(Table25[[#This Row],[Total sold amount]]/Table25[[#This Row],[Total Sold number of stocks]],"")</f>
        <v>309.02090909090907</v>
      </c>
      <c r="O1495" s="4">
        <f>IFERROR(Table25[[#This Row],[Total Amount bought]]/Table25[[#This Row],[Total number bought]],"")</f>
        <v>329.48545454545456</v>
      </c>
      <c r="P1495" s="4">
        <f>IFERROR((Table25[[#This Row],[Average sell price]]-Table25[[#This Row],[Average buy price]])*Table25[[#This Row],[Total Sold number of stocks]],0)</f>
        <v>-225.11000000000035</v>
      </c>
      <c r="Q1495" s="85">
        <f>SUMIF(Table25[[#All],[Assets]],Table25[[#This Row],[Assets]],Table25[[#All],[Number of stocks]])</f>
        <v>0</v>
      </c>
    </row>
    <row r="1496" spans="1:17">
      <c r="A1496" t="e" vm="32">
        <v>#VALUE!</v>
      </c>
      <c r="B1496" s="2">
        <v>45882</v>
      </c>
      <c r="C1496" t="str" cm="1">
        <f t="array" aca="1" ref="C1496" ca="1">_FV(A1496,"Ticker symbol",TRUE)</f>
        <v>MU</v>
      </c>
      <c r="D1496" s="4">
        <v>124.18</v>
      </c>
      <c r="E1496" s="50">
        <v>-2</v>
      </c>
      <c r="F1496" s="81">
        <f>IF(Table25[[#This Row],[Number of stocks]]&gt;0,Table25[[#This Row],[Number of stocks]],0)</f>
        <v>0</v>
      </c>
      <c r="G1496" s="73">
        <f>Table25[[#This Row],[Bought]]*Table25[[#This Row],[Price]]</f>
        <v>0</v>
      </c>
      <c r="H1496">
        <f>SUMIF(Table25[[#All],[Assets]],Table25[[#This Row],[Assets]],Table25[[#All],[Bought]])</f>
        <v>59</v>
      </c>
      <c r="I1496">
        <f>SUMIF(Table25[[#All],[Assets]],Table25[[#This Row],[Assets]],Table25[[#All],[Bought Amount]])</f>
        <v>6964.04</v>
      </c>
      <c r="J1496" s="88">
        <f>IF(Table25[[#This Row],[Number of stocks]]&lt;0,Table25[[#This Row],[Number of stocks]],0)</f>
        <v>-2</v>
      </c>
      <c r="K1496" s="5">
        <f>Table25[[#This Row],[Sold]]*Table25[[#This Row],[Price]]</f>
        <v>-248.36</v>
      </c>
      <c r="L1496" s="8">
        <f>ABS(SUMIF(Table25[[#All],[Assets]],Table25[[#This Row],[Assets]],Table25[[#All],[Sold]]))</f>
        <v>58</v>
      </c>
      <c r="M1496" s="5">
        <f>ABS(SUMIF(Table25[[#All],[Assets]],Table25[[#This Row],[Assets]],Table25[[#All],[Sold Amount]]))</f>
        <v>6974.51</v>
      </c>
      <c r="N1496" s="5">
        <f>IFERROR(Table25[[#This Row],[Total sold amount]]/Table25[[#This Row],[Total Sold number of stocks]],"")</f>
        <v>120.25017241379311</v>
      </c>
      <c r="O1496" s="4">
        <f>IFERROR(Table25[[#This Row],[Total Amount bought]]/Table25[[#This Row],[Total number bought]],"")</f>
        <v>118.03457627118644</v>
      </c>
      <c r="P1496" s="4">
        <f>IFERROR((Table25[[#This Row],[Average sell price]]-Table25[[#This Row],[Average buy price]])*Table25[[#This Row],[Total Sold number of stocks]],0)</f>
        <v>128.50457627118692</v>
      </c>
      <c r="Q1496" s="85">
        <f>SUMIF(Table25[[#All],[Assets]],Table25[[#This Row],[Assets]],Table25[[#All],[Number of stocks]])</f>
        <v>1</v>
      </c>
    </row>
    <row r="1497" spans="1:17">
      <c r="A1497" t="e" vm="603">
        <v>#VALUE!</v>
      </c>
      <c r="B1497" s="2">
        <v>45882</v>
      </c>
      <c r="C1497" t="str" cm="1">
        <f t="array" aca="1" ref="C1497" ca="1">_FV(A1497,"Ticker symbol",TRUE)</f>
        <v>INDV</v>
      </c>
      <c r="D1497" s="4">
        <v>22.71</v>
      </c>
      <c r="E1497" s="50">
        <v>-20</v>
      </c>
      <c r="F1497" s="81">
        <f>IF(Table25[[#This Row],[Number of stocks]]&gt;0,Table25[[#This Row],[Number of stocks]],0)</f>
        <v>0</v>
      </c>
      <c r="G1497" s="73">
        <f>Table25[[#This Row],[Bought]]*Table25[[#This Row],[Price]]</f>
        <v>0</v>
      </c>
      <c r="H1497">
        <f>SUMIF(Table25[[#All],[Assets]],Table25[[#This Row],[Assets]],Table25[[#All],[Bought]])</f>
        <v>98</v>
      </c>
      <c r="I1497">
        <f>SUMIF(Table25[[#All],[Assets]],Table25[[#This Row],[Assets]],Table25[[#All],[Bought Amount]])</f>
        <v>1029.82</v>
      </c>
      <c r="J1497" s="88">
        <f>IF(Table25[[#This Row],[Number of stocks]]&lt;0,Table25[[#This Row],[Number of stocks]],0)</f>
        <v>-20</v>
      </c>
      <c r="K1497" s="5">
        <f>Table25[[#This Row],[Sold]]*Table25[[#This Row],[Price]]</f>
        <v>-454.20000000000005</v>
      </c>
      <c r="L1497" s="8">
        <f>ABS(SUMIF(Table25[[#All],[Assets]],Table25[[#This Row],[Assets]],Table25[[#All],[Sold]]))</f>
        <v>98</v>
      </c>
      <c r="M1497" s="5">
        <f>ABS(SUMIF(Table25[[#All],[Assets]],Table25[[#This Row],[Assets]],Table25[[#All],[Sold Amount]]))</f>
        <v>1330.14</v>
      </c>
      <c r="N1497" s="5">
        <f>IFERROR(Table25[[#This Row],[Total sold amount]]/Table25[[#This Row],[Total Sold number of stocks]],"")</f>
        <v>13.572857142857144</v>
      </c>
      <c r="O1497" s="4">
        <f>IFERROR(Table25[[#This Row],[Total Amount bought]]/Table25[[#This Row],[Total number bought]],"")</f>
        <v>10.508367346938774</v>
      </c>
      <c r="P1497" s="4">
        <f>IFERROR((Table25[[#This Row],[Average sell price]]-Table25[[#This Row],[Average buy price]])*Table25[[#This Row],[Total Sold number of stocks]],0)</f>
        <v>300.32000000000022</v>
      </c>
      <c r="Q1497" s="85">
        <f>SUMIF(Table25[[#All],[Assets]],Table25[[#This Row],[Assets]],Table25[[#All],[Number of stocks]])</f>
        <v>0</v>
      </c>
    </row>
    <row r="1498" spans="1:17">
      <c r="A1498" t="e" vm="163">
        <v>#VALUE!</v>
      </c>
      <c r="B1498" s="2">
        <v>45882</v>
      </c>
      <c r="C1498" t="str" cm="1">
        <f t="array" aca="1" ref="C1498" ca="1">_FV(A1498,"Ticker symbol",TRUE)</f>
        <v>LLY</v>
      </c>
      <c r="D1498" s="4">
        <v>659.34</v>
      </c>
      <c r="E1498" s="50">
        <v>1</v>
      </c>
      <c r="F1498" s="81">
        <f>IF(Table25[[#This Row],[Number of stocks]]&gt;0,Table25[[#This Row],[Number of stocks]],0)</f>
        <v>1</v>
      </c>
      <c r="G1498" s="73">
        <f>Table25[[#This Row],[Bought]]*Table25[[#This Row],[Price]]</f>
        <v>659.34</v>
      </c>
      <c r="H1498">
        <f>SUMIF(Table25[[#All],[Assets]],Table25[[#This Row],[Assets]],Table25[[#All],[Bought]])</f>
        <v>3</v>
      </c>
      <c r="I1498">
        <f>SUMIF(Table25[[#All],[Assets]],Table25[[#This Row],[Assets]],Table25[[#All],[Bought Amount]])</f>
        <v>2011.2400000000002</v>
      </c>
      <c r="J1498" s="88">
        <f>IF(Table25[[#This Row],[Number of stocks]]&lt;0,Table25[[#This Row],[Number of stocks]],0)</f>
        <v>0</v>
      </c>
      <c r="K1498" s="5">
        <f>Table25[[#This Row],[Sold]]*Table25[[#This Row],[Price]]</f>
        <v>0</v>
      </c>
      <c r="L1498" s="8">
        <f>ABS(SUMIF(Table25[[#All],[Assets]],Table25[[#This Row],[Assets]],Table25[[#All],[Sold]]))</f>
        <v>1</v>
      </c>
      <c r="M1498" s="5">
        <f>ABS(SUMIF(Table25[[#All],[Assets]],Table25[[#This Row],[Assets]],Table25[[#All],[Sold Amount]]))</f>
        <v>1061</v>
      </c>
      <c r="N1498" s="5">
        <f>IFERROR(Table25[[#This Row],[Total sold amount]]/Table25[[#This Row],[Total Sold number of stocks]],"")</f>
        <v>1061</v>
      </c>
      <c r="O1498" s="4">
        <f>IFERROR(Table25[[#This Row],[Total Amount bought]]/Table25[[#This Row],[Total number bought]],"")</f>
        <v>670.41333333333341</v>
      </c>
      <c r="P1498" s="4">
        <f>IFERROR((Table25[[#This Row],[Average sell price]]-Table25[[#This Row],[Average buy price]])*Table25[[#This Row],[Total Sold number of stocks]],0)</f>
        <v>390.58666666666659</v>
      </c>
      <c r="Q1498" s="85">
        <f>SUMIF(Table25[[#All],[Assets]],Table25[[#This Row],[Assets]],Table25[[#All],[Number of stocks]])</f>
        <v>2</v>
      </c>
    </row>
    <row r="1499" spans="1:17">
      <c r="A1499" t="e" vm="231">
        <v>#VALUE!</v>
      </c>
      <c r="B1499" s="2">
        <v>45882</v>
      </c>
      <c r="C1499" t="str" cm="1">
        <f t="array" aca="1" ref="C1499" ca="1">_FV(A1499,"Ticker symbol",TRUE)</f>
        <v>UNH</v>
      </c>
      <c r="D1499" s="4">
        <v>270.45999999999998</v>
      </c>
      <c r="E1499" s="50">
        <v>2.9</v>
      </c>
      <c r="F1499" s="81">
        <f>IF(Table25[[#This Row],[Number of stocks]]&gt;0,Table25[[#This Row],[Number of stocks]],0)</f>
        <v>2.9</v>
      </c>
      <c r="G1499" s="73">
        <f>Table25[[#This Row],[Bought]]*Table25[[#This Row],[Price]]</f>
        <v>784.33399999999995</v>
      </c>
      <c r="H1499">
        <f>SUMIF(Table25[[#All],[Assets]],Table25[[#This Row],[Assets]],Table25[[#All],[Bought]])</f>
        <v>4.9000000000000004</v>
      </c>
      <c r="I1499">
        <f>SUMIF(Table25[[#All],[Assets]],Table25[[#This Row],[Assets]],Table25[[#All],[Bought Amount]])</f>
        <v>1320.854</v>
      </c>
      <c r="J1499" s="88">
        <f>IF(Table25[[#This Row],[Number of stocks]]&lt;0,Table25[[#This Row],[Number of stocks]],0)</f>
        <v>0</v>
      </c>
      <c r="K1499" s="5">
        <f>Table25[[#This Row],[Sold]]*Table25[[#This Row],[Price]]</f>
        <v>0</v>
      </c>
      <c r="L1499" s="8">
        <f>ABS(SUMIF(Table25[[#All],[Assets]],Table25[[#This Row],[Assets]],Table25[[#All],[Sold]]))</f>
        <v>4.9000000000000004</v>
      </c>
      <c r="M1499" s="5">
        <f>ABS(SUMIF(Table25[[#All],[Assets]],Table25[[#This Row],[Assets]],Table25[[#All],[Sold Amount]]))</f>
        <v>1686.614</v>
      </c>
      <c r="N1499" s="5">
        <f>IFERROR(Table25[[#This Row],[Total sold amount]]/Table25[[#This Row],[Total Sold number of stocks]],"")</f>
        <v>344.2069387755102</v>
      </c>
      <c r="O1499" s="4">
        <f>IFERROR(Table25[[#This Row],[Total Amount bought]]/Table25[[#This Row],[Total number bought]],"")</f>
        <v>269.56204081632654</v>
      </c>
      <c r="P1499" s="4">
        <f>IFERROR((Table25[[#This Row],[Average sell price]]-Table25[[#This Row],[Average buy price]])*Table25[[#This Row],[Total Sold number of stocks]],0)</f>
        <v>365.75999999999993</v>
      </c>
      <c r="Q1499" s="85">
        <f>SUMIF(Table25[[#All],[Assets]],Table25[[#This Row],[Assets]],Table25[[#All],[Number of stocks]])</f>
        <v>0</v>
      </c>
    </row>
    <row r="1500" spans="1:17">
      <c r="A1500" t="e" vm="26">
        <v>#VALUE!</v>
      </c>
      <c r="B1500" s="2">
        <v>45882</v>
      </c>
      <c r="C1500" t="str" cm="1">
        <f t="array" aca="1" ref="C1500" ca="1">_FV(A1500,"Ticker symbol",TRUE)</f>
        <v>AEHR</v>
      </c>
      <c r="D1500" s="4">
        <v>20.04</v>
      </c>
      <c r="E1500" s="50">
        <v>-40</v>
      </c>
      <c r="F1500" s="81">
        <f>IF(Table25[[#This Row],[Number of stocks]]&gt;0,Table25[[#This Row],[Number of stocks]],0)</f>
        <v>0</v>
      </c>
      <c r="G1500" s="73">
        <f>Table25[[#This Row],[Bought]]*Table25[[#This Row],[Price]]</f>
        <v>0</v>
      </c>
      <c r="H1500">
        <f>SUMIF(Table25[[#All],[Assets]],Table25[[#This Row],[Assets]],Table25[[#All],[Bought]])</f>
        <v>559</v>
      </c>
      <c r="I1500">
        <f>SUMIF(Table25[[#All],[Assets]],Table25[[#This Row],[Assets]],Table25[[#All],[Bought Amount]])</f>
        <v>7405.6399999999994</v>
      </c>
      <c r="J1500" s="88">
        <f>IF(Table25[[#This Row],[Number of stocks]]&lt;0,Table25[[#This Row],[Number of stocks]],0)</f>
        <v>-40</v>
      </c>
      <c r="K1500" s="5">
        <f>Table25[[#This Row],[Sold]]*Table25[[#This Row],[Price]]</f>
        <v>-801.59999999999991</v>
      </c>
      <c r="L1500" s="8">
        <f>ABS(SUMIF(Table25[[#All],[Assets]],Table25[[#This Row],[Assets]],Table25[[#All],[Sold]]))</f>
        <v>539</v>
      </c>
      <c r="M1500" s="5">
        <f>ABS(SUMIF(Table25[[#All],[Assets]],Table25[[#This Row],[Assets]],Table25[[#All],[Sold Amount]]))</f>
        <v>9662.32</v>
      </c>
      <c r="N1500" s="5">
        <f>IFERROR(Table25[[#This Row],[Total sold amount]]/Table25[[#This Row],[Total Sold number of stocks]],"")</f>
        <v>17.92638218923933</v>
      </c>
      <c r="O1500" s="4">
        <f>IFERROR(Table25[[#This Row],[Total Amount bought]]/Table25[[#This Row],[Total number bought]],"")</f>
        <v>13.248014311270124</v>
      </c>
      <c r="P1500" s="4">
        <f>IFERROR((Table25[[#This Row],[Average sell price]]-Table25[[#This Row],[Average buy price]])*Table25[[#This Row],[Total Sold number of stocks]],0)</f>
        <v>2521.6402862254022</v>
      </c>
      <c r="Q1500" s="85">
        <f>SUMIF(Table25[[#All],[Assets]],Table25[[#This Row],[Assets]],Table25[[#All],[Number of stocks]])</f>
        <v>20</v>
      </c>
    </row>
    <row r="1501" spans="1:17">
      <c r="A1501" t="e" vm="81">
        <v>#VALUE!</v>
      </c>
      <c r="B1501" s="2">
        <v>45884</v>
      </c>
      <c r="C1501" t="str" cm="1">
        <f t="array" aca="1" ref="C1501" ca="1">_FV(A1501,"Ticker symbol",TRUE)</f>
        <v>DLO</v>
      </c>
      <c r="D1501" s="4">
        <v>15.79</v>
      </c>
      <c r="E1501" s="50">
        <v>60</v>
      </c>
      <c r="F1501" s="81">
        <f>IF(Table25[[#This Row],[Number of stocks]]&gt;0,Table25[[#This Row],[Number of stocks]],0)</f>
        <v>60</v>
      </c>
      <c r="G1501" s="73">
        <f>Table25[[#This Row],[Bought]]*Table25[[#This Row],[Price]]</f>
        <v>947.4</v>
      </c>
      <c r="H1501">
        <f>SUMIF(Table25[[#All],[Assets]],Table25[[#This Row],[Assets]],Table25[[#All],[Bought]])</f>
        <v>436</v>
      </c>
      <c r="I1501">
        <f>SUMIF(Table25[[#All],[Assets]],Table25[[#This Row],[Assets]],Table25[[#All],[Bought Amount]])</f>
        <v>5840.9900000000007</v>
      </c>
      <c r="J1501" s="88">
        <f>IF(Table25[[#This Row],[Number of stocks]]&lt;0,Table25[[#This Row],[Number of stocks]],0)</f>
        <v>0</v>
      </c>
      <c r="K1501" s="5">
        <f>Table25[[#This Row],[Sold]]*Table25[[#This Row],[Price]]</f>
        <v>0</v>
      </c>
      <c r="L1501" s="8">
        <f>ABS(SUMIF(Table25[[#All],[Assets]],Table25[[#This Row],[Assets]],Table25[[#All],[Sold]]))</f>
        <v>436</v>
      </c>
      <c r="M1501" s="5">
        <f>ABS(SUMIF(Table25[[#All],[Assets]],Table25[[#This Row],[Assets]],Table25[[#All],[Sold Amount]]))</f>
        <v>5546.6</v>
      </c>
      <c r="N1501" s="5">
        <f>IFERROR(Table25[[#This Row],[Total sold amount]]/Table25[[#This Row],[Total Sold number of stocks]],"")</f>
        <v>12.721559633027523</v>
      </c>
      <c r="O1501" s="4">
        <f>IFERROR(Table25[[#This Row],[Total Amount bought]]/Table25[[#This Row],[Total number bought]],"")</f>
        <v>13.396766055045873</v>
      </c>
      <c r="P1501" s="4">
        <f>IFERROR((Table25[[#This Row],[Average sell price]]-Table25[[#This Row],[Average buy price]])*Table25[[#This Row],[Total Sold number of stocks]],0)</f>
        <v>-294.39000000000073</v>
      </c>
      <c r="Q1501" s="85">
        <f>SUMIF(Table25[[#All],[Assets]],Table25[[#This Row],[Assets]],Table25[[#All],[Number of stocks]])</f>
        <v>0</v>
      </c>
    </row>
    <row r="1502" spans="1:17">
      <c r="A1502" t="e" vm="227">
        <v>#VALUE!</v>
      </c>
      <c r="B1502" s="2">
        <v>45884</v>
      </c>
      <c r="C1502" t="str" cm="1">
        <f t="array" aca="1" ref="C1502" ca="1">_FV(A1502,"Ticker symbol",TRUE)</f>
        <v>DFDV</v>
      </c>
      <c r="D1502" s="4">
        <v>18.5</v>
      </c>
      <c r="E1502" s="50">
        <v>-45</v>
      </c>
      <c r="F1502" s="81">
        <f>IF(Table25[[#This Row],[Number of stocks]]&gt;0,Table25[[#This Row],[Number of stocks]],0)</f>
        <v>0</v>
      </c>
      <c r="G1502" s="73">
        <f>Table25[[#This Row],[Bought]]*Table25[[#This Row],[Price]]</f>
        <v>0</v>
      </c>
      <c r="H1502">
        <f>SUMIF(Table25[[#All],[Assets]],Table25[[#This Row],[Assets]],Table25[[#All],[Bought]])</f>
        <v>387</v>
      </c>
      <c r="I1502">
        <f>SUMIF(Table25[[#All],[Assets]],Table25[[#This Row],[Assets]],Table25[[#All],[Bought Amount]])</f>
        <v>6522.1182600000002</v>
      </c>
      <c r="J1502" s="88">
        <f>IF(Table25[[#This Row],[Number of stocks]]&lt;0,Table25[[#This Row],[Number of stocks]],0)</f>
        <v>-45</v>
      </c>
      <c r="K1502" s="5">
        <f>Table25[[#This Row],[Sold]]*Table25[[#This Row],[Price]]</f>
        <v>-832.5</v>
      </c>
      <c r="L1502" s="8">
        <f>ABS(SUMIF(Table25[[#All],[Assets]],Table25[[#This Row],[Assets]],Table25[[#All],[Sold]]))</f>
        <v>387</v>
      </c>
      <c r="M1502" s="5">
        <f>ABS(SUMIF(Table25[[#All],[Assets]],Table25[[#This Row],[Assets]],Table25[[#All],[Sold Amount]]))</f>
        <v>7242.64</v>
      </c>
      <c r="N1502" s="5">
        <f>IFERROR(Table25[[#This Row],[Total sold amount]]/Table25[[#This Row],[Total Sold number of stocks]],"")</f>
        <v>18.714832041343669</v>
      </c>
      <c r="O1502" s="4">
        <f>IFERROR(Table25[[#This Row],[Total Amount bought]]/Table25[[#This Row],[Total number bought]],"")</f>
        <v>16.853018759689924</v>
      </c>
      <c r="P1502" s="4">
        <f>IFERROR((Table25[[#This Row],[Average sell price]]-Table25[[#This Row],[Average buy price]])*Table25[[#This Row],[Total Sold number of stocks]],0)</f>
        <v>720.52173999999945</v>
      </c>
      <c r="Q1502" s="85">
        <f>SUMIF(Table25[[#All],[Assets]],Table25[[#This Row],[Assets]],Table25[[#All],[Number of stocks]])</f>
        <v>0</v>
      </c>
    </row>
    <row r="1503" spans="1:17">
      <c r="A1503" t="e" vm="81">
        <v>#VALUE!</v>
      </c>
      <c r="B1503" s="2">
        <v>45884</v>
      </c>
      <c r="C1503" t="str" cm="1">
        <f t="array" aca="1" ref="C1503" ca="1">_FV(A1503,"Ticker symbol",TRUE)</f>
        <v>DLO</v>
      </c>
      <c r="D1503" s="4">
        <v>15.89</v>
      </c>
      <c r="E1503" s="50">
        <v>53</v>
      </c>
      <c r="F1503" s="81">
        <f>IF(Table25[[#This Row],[Number of stocks]]&gt;0,Table25[[#This Row],[Number of stocks]],0)</f>
        <v>53</v>
      </c>
      <c r="G1503" s="73">
        <f>Table25[[#This Row],[Bought]]*Table25[[#This Row],[Price]]</f>
        <v>842.17000000000007</v>
      </c>
      <c r="H1503">
        <f>SUMIF(Table25[[#All],[Assets]],Table25[[#This Row],[Assets]],Table25[[#All],[Bought]])</f>
        <v>436</v>
      </c>
      <c r="I1503">
        <f>SUMIF(Table25[[#All],[Assets]],Table25[[#This Row],[Assets]],Table25[[#All],[Bought Amount]])</f>
        <v>5840.9900000000007</v>
      </c>
      <c r="J1503" s="88">
        <f>IF(Table25[[#This Row],[Number of stocks]]&lt;0,Table25[[#This Row],[Number of stocks]],0)</f>
        <v>0</v>
      </c>
      <c r="K1503" s="5">
        <f>Table25[[#This Row],[Sold]]*Table25[[#This Row],[Price]]</f>
        <v>0</v>
      </c>
      <c r="L1503" s="8">
        <f>ABS(SUMIF(Table25[[#All],[Assets]],Table25[[#This Row],[Assets]],Table25[[#All],[Sold]]))</f>
        <v>436</v>
      </c>
      <c r="M1503" s="5">
        <f>ABS(SUMIF(Table25[[#All],[Assets]],Table25[[#This Row],[Assets]],Table25[[#All],[Sold Amount]]))</f>
        <v>5546.6</v>
      </c>
      <c r="N1503" s="5">
        <f>IFERROR(Table25[[#This Row],[Total sold amount]]/Table25[[#This Row],[Total Sold number of stocks]],"")</f>
        <v>12.721559633027523</v>
      </c>
      <c r="O1503" s="4">
        <f>IFERROR(Table25[[#This Row],[Total Amount bought]]/Table25[[#This Row],[Total number bought]],"")</f>
        <v>13.396766055045873</v>
      </c>
      <c r="P1503" s="4">
        <f>IFERROR((Table25[[#This Row],[Average sell price]]-Table25[[#This Row],[Average buy price]])*Table25[[#This Row],[Total Sold number of stocks]],0)</f>
        <v>-294.39000000000073</v>
      </c>
      <c r="Q1503" s="85">
        <f>SUMIF(Table25[[#All],[Assets]],Table25[[#This Row],[Assets]],Table25[[#All],[Number of stocks]])</f>
        <v>0</v>
      </c>
    </row>
    <row r="1504" spans="1:17">
      <c r="A1504" t="e" vm="95">
        <v>#VALUE!</v>
      </c>
      <c r="B1504" s="2">
        <v>45876</v>
      </c>
      <c r="C1504" t="str" cm="1">
        <f t="array" aca="1" ref="C1504" ca="1">_FV(A1504,"Ticker symbol",TRUE)</f>
        <v>SNAP</v>
      </c>
      <c r="D1504" s="4">
        <v>7.74</v>
      </c>
      <c r="E1504" s="50">
        <v>-132</v>
      </c>
      <c r="F1504" s="81">
        <f>IF(Table25[[#This Row],[Number of stocks]]&gt;0,Table25[[#This Row],[Number of stocks]],0)</f>
        <v>0</v>
      </c>
      <c r="G1504" s="73">
        <f>Table25[[#This Row],[Bought]]*Table25[[#This Row],[Price]]</f>
        <v>0</v>
      </c>
      <c r="H1504">
        <f>SUMIF(Table25[[#All],[Assets]],Table25[[#This Row],[Assets]],Table25[[#All],[Bought]])</f>
        <v>132</v>
      </c>
      <c r="I1504">
        <f>SUMIF(Table25[[#All],[Assets]],Table25[[#This Row],[Assets]],Table25[[#All],[Bought Amount]])</f>
        <v>1330.56</v>
      </c>
      <c r="J1504" s="88">
        <f>IF(Table25[[#This Row],[Number of stocks]]&lt;0,Table25[[#This Row],[Number of stocks]],0)</f>
        <v>-132</v>
      </c>
      <c r="K1504" s="5">
        <f>Table25[[#This Row],[Sold]]*Table25[[#This Row],[Price]]</f>
        <v>-1021.6800000000001</v>
      </c>
      <c r="L1504" s="8">
        <f>ABS(SUMIF(Table25[[#All],[Assets]],Table25[[#This Row],[Assets]],Table25[[#All],[Sold]]))</f>
        <v>132</v>
      </c>
      <c r="M1504" s="5">
        <f>ABS(SUMIF(Table25[[#All],[Assets]],Table25[[#This Row],[Assets]],Table25[[#All],[Sold Amount]]))</f>
        <v>1021.6800000000001</v>
      </c>
      <c r="N1504" s="5">
        <f>IFERROR(Table25[[#This Row],[Total sold amount]]/Table25[[#This Row],[Total Sold number of stocks]],"")</f>
        <v>7.74</v>
      </c>
      <c r="O1504" s="4">
        <f>IFERROR(Table25[[#This Row],[Total Amount bought]]/Table25[[#This Row],[Total number bought]],"")</f>
        <v>10.08</v>
      </c>
      <c r="P1504" s="4">
        <f>IFERROR((Table25[[#This Row],[Average sell price]]-Table25[[#This Row],[Average buy price]])*Table25[[#This Row],[Total Sold number of stocks]],0)</f>
        <v>-308.88</v>
      </c>
      <c r="Q1504" s="85">
        <f>SUMIF(Table25[[#All],[Assets]],Table25[[#This Row],[Assets]],Table25[[#All],[Number of stocks]])</f>
        <v>0</v>
      </c>
    </row>
    <row r="1505" spans="1:17">
      <c r="A1505" t="e" vm="83">
        <v>#VALUE!</v>
      </c>
      <c r="B1505" s="2">
        <v>45876</v>
      </c>
      <c r="C1505" t="str" cm="1">
        <f t="array" aca="1" ref="C1505" ca="1">_FV(A1505,"Ticker symbol",TRUE)</f>
        <v>FOA</v>
      </c>
      <c r="D1505" s="4">
        <v>24.54</v>
      </c>
      <c r="E1505" s="50">
        <v>45</v>
      </c>
      <c r="F1505" s="81">
        <f>IF(Table25[[#This Row],[Number of stocks]]&gt;0,Table25[[#This Row],[Number of stocks]],0)</f>
        <v>45</v>
      </c>
      <c r="G1505" s="73">
        <f>Table25[[#This Row],[Bought]]*Table25[[#This Row],[Price]]</f>
        <v>1104.3</v>
      </c>
      <c r="H1505">
        <f>SUMIF(Table25[[#All],[Assets]],Table25[[#This Row],[Assets]],Table25[[#All],[Bought]])</f>
        <v>203</v>
      </c>
      <c r="I1505">
        <f>SUMIF(Table25[[#All],[Assets]],Table25[[#This Row],[Assets]],Table25[[#All],[Bought Amount]])</f>
        <v>4881.38</v>
      </c>
      <c r="J1505" s="88">
        <f>IF(Table25[[#This Row],[Number of stocks]]&lt;0,Table25[[#This Row],[Number of stocks]],0)</f>
        <v>0</v>
      </c>
      <c r="K1505" s="5">
        <f>Table25[[#This Row],[Sold]]*Table25[[#This Row],[Price]]</f>
        <v>0</v>
      </c>
      <c r="L1505" s="8">
        <f>ABS(SUMIF(Table25[[#All],[Assets]],Table25[[#This Row],[Assets]],Table25[[#All],[Sold]]))</f>
        <v>203</v>
      </c>
      <c r="M1505" s="5">
        <f>ABS(SUMIF(Table25[[#All],[Assets]],Table25[[#This Row],[Assets]],Table25[[#All],[Sold Amount]]))</f>
        <v>4534.54</v>
      </c>
      <c r="N1505" s="5">
        <f>IFERROR(Table25[[#This Row],[Total sold amount]]/Table25[[#This Row],[Total Sold number of stocks]],"")</f>
        <v>22.337635467980295</v>
      </c>
      <c r="O1505" s="4">
        <f>IFERROR(Table25[[#This Row],[Total Amount bought]]/Table25[[#This Row],[Total number bought]],"")</f>
        <v>24.046206896551723</v>
      </c>
      <c r="P1505" s="4">
        <f>IFERROR((Table25[[#This Row],[Average sell price]]-Table25[[#This Row],[Average buy price]])*Table25[[#This Row],[Total Sold number of stocks]],0)</f>
        <v>-346.83999999999992</v>
      </c>
      <c r="Q1505" s="85">
        <f>SUMIF(Table25[[#All],[Assets]],Table25[[#This Row],[Assets]],Table25[[#All],[Number of stocks]])</f>
        <v>0</v>
      </c>
    </row>
    <row r="1506" spans="1:17">
      <c r="A1506" t="e" vm="172">
        <v>#VALUE!</v>
      </c>
      <c r="B1506" s="2">
        <v>45876</v>
      </c>
      <c r="C1506" t="str" cm="1">
        <f t="array" aca="1" ref="C1506" ca="1">_FV(A1506,"Ticker symbol",TRUE)</f>
        <v>WOLF</v>
      </c>
      <c r="D1506" s="4">
        <v>1.54</v>
      </c>
      <c r="E1506" s="50">
        <v>330</v>
      </c>
      <c r="F1506" s="81">
        <f>IF(Table25[[#This Row],[Number of stocks]]&gt;0,Table25[[#This Row],[Number of stocks]],0)</f>
        <v>330</v>
      </c>
      <c r="G1506" s="73">
        <f>Table25[[#This Row],[Bought]]*Table25[[#This Row],[Price]]</f>
        <v>508.2</v>
      </c>
      <c r="H1506">
        <f>SUMIF(Table25[[#All],[Assets]],Table25[[#This Row],[Assets]],Table25[[#All],[Bought]])</f>
        <v>900</v>
      </c>
      <c r="I1506">
        <f>SUMIF(Table25[[#All],[Assets]],Table25[[#This Row],[Assets]],Table25[[#All],[Bought Amount]])</f>
        <v>3579</v>
      </c>
      <c r="J1506" s="88">
        <f>IF(Table25[[#This Row],[Number of stocks]]&lt;0,Table25[[#This Row],[Number of stocks]],0)</f>
        <v>0</v>
      </c>
      <c r="K1506" s="5">
        <f>Table25[[#This Row],[Sold]]*Table25[[#This Row],[Price]]</f>
        <v>0</v>
      </c>
      <c r="L1506" s="8">
        <f>ABS(SUMIF(Table25[[#All],[Assets]],Table25[[#This Row],[Assets]],Table25[[#All],[Sold]]))</f>
        <v>900</v>
      </c>
      <c r="M1506" s="5">
        <f>ABS(SUMIF(Table25[[#All],[Assets]],Table25[[#This Row],[Assets]],Table25[[#All],[Sold Amount]]))</f>
        <v>3724.3</v>
      </c>
      <c r="N1506" s="5">
        <f>IFERROR(Table25[[#This Row],[Total sold amount]]/Table25[[#This Row],[Total Sold number of stocks]],"")</f>
        <v>4.1381111111111117</v>
      </c>
      <c r="O1506" s="4">
        <f>IFERROR(Table25[[#This Row],[Total Amount bought]]/Table25[[#This Row],[Total number bought]],"")</f>
        <v>3.9766666666666666</v>
      </c>
      <c r="P1506" s="4">
        <f>IFERROR((Table25[[#This Row],[Average sell price]]-Table25[[#This Row],[Average buy price]])*Table25[[#This Row],[Total Sold number of stocks]],0)</f>
        <v>145.30000000000064</v>
      </c>
      <c r="Q1506" s="85">
        <f>SUMIF(Table25[[#All],[Assets]],Table25[[#This Row],[Assets]],Table25[[#All],[Number of stocks]])</f>
        <v>0</v>
      </c>
    </row>
    <row r="1507" spans="1:17">
      <c r="A1507" t="e" vm="231">
        <v>#VALUE!</v>
      </c>
      <c r="B1507" s="2">
        <v>45876</v>
      </c>
      <c r="C1507" t="str" cm="1">
        <f t="array" aca="1" ref="C1507" ca="1">_FV(A1507,"Ticker symbol",TRUE)</f>
        <v>UNH</v>
      </c>
      <c r="D1507" s="4">
        <v>241.9</v>
      </c>
      <c r="E1507" s="50">
        <v>1</v>
      </c>
      <c r="F1507" s="81">
        <f>IF(Table25[[#This Row],[Number of stocks]]&gt;0,Table25[[#This Row],[Number of stocks]],0)</f>
        <v>1</v>
      </c>
      <c r="G1507" s="73">
        <f>Table25[[#This Row],[Bought]]*Table25[[#This Row],[Price]]</f>
        <v>241.9</v>
      </c>
      <c r="H1507">
        <f>SUMIF(Table25[[#All],[Assets]],Table25[[#This Row],[Assets]],Table25[[#All],[Bought]])</f>
        <v>4.9000000000000004</v>
      </c>
      <c r="I1507">
        <f>SUMIF(Table25[[#All],[Assets]],Table25[[#This Row],[Assets]],Table25[[#All],[Bought Amount]])</f>
        <v>1320.854</v>
      </c>
      <c r="J1507" s="88">
        <f>IF(Table25[[#This Row],[Number of stocks]]&lt;0,Table25[[#This Row],[Number of stocks]],0)</f>
        <v>0</v>
      </c>
      <c r="K1507" s="5">
        <f>Table25[[#This Row],[Sold]]*Table25[[#This Row],[Price]]</f>
        <v>0</v>
      </c>
      <c r="L1507" s="8">
        <f>ABS(SUMIF(Table25[[#All],[Assets]],Table25[[#This Row],[Assets]],Table25[[#All],[Sold]]))</f>
        <v>4.9000000000000004</v>
      </c>
      <c r="M1507" s="5">
        <f>ABS(SUMIF(Table25[[#All],[Assets]],Table25[[#This Row],[Assets]],Table25[[#All],[Sold Amount]]))</f>
        <v>1686.614</v>
      </c>
      <c r="N1507" s="5">
        <f>IFERROR(Table25[[#This Row],[Total sold amount]]/Table25[[#This Row],[Total Sold number of stocks]],"")</f>
        <v>344.2069387755102</v>
      </c>
      <c r="O1507" s="4">
        <f>IFERROR(Table25[[#This Row],[Total Amount bought]]/Table25[[#This Row],[Total number bought]],"")</f>
        <v>269.56204081632654</v>
      </c>
      <c r="P1507" s="4">
        <f>IFERROR((Table25[[#This Row],[Average sell price]]-Table25[[#This Row],[Average buy price]])*Table25[[#This Row],[Total Sold number of stocks]],0)</f>
        <v>365.75999999999993</v>
      </c>
      <c r="Q1507" s="85">
        <f>SUMIF(Table25[[#All],[Assets]],Table25[[#This Row],[Assets]],Table25[[#All],[Number of stocks]])</f>
        <v>0</v>
      </c>
    </row>
    <row r="1508" spans="1:17">
      <c r="A1508" t="e" vm="77">
        <v>#VALUE!</v>
      </c>
      <c r="B1508" s="2">
        <v>45876</v>
      </c>
      <c r="C1508" t="str" cm="1">
        <f t="array" aca="1" ref="C1508" ca="1">_FV(A1508,"Ticker symbol",TRUE)</f>
        <v>STIM</v>
      </c>
      <c r="D1508" s="4">
        <v>4.17</v>
      </c>
      <c r="E1508" s="50">
        <v>-440</v>
      </c>
      <c r="F1508" s="81">
        <f>IF(Table25[[#This Row],[Number of stocks]]&gt;0,Table25[[#This Row],[Number of stocks]],0)</f>
        <v>0</v>
      </c>
      <c r="G1508" s="73">
        <f>Table25[[#This Row],[Bought]]*Table25[[#This Row],[Price]]</f>
        <v>0</v>
      </c>
      <c r="H1508">
        <f>SUMIF(Table25[[#All],[Assets]],Table25[[#This Row],[Assets]],Table25[[#All],[Bought]])</f>
        <v>7036.45</v>
      </c>
      <c r="I1508">
        <f>SUMIF(Table25[[#All],[Assets]],Table25[[#This Row],[Assets]],Table25[[#All],[Bought Amount]])</f>
        <v>19162.260000000002</v>
      </c>
      <c r="J1508" s="88">
        <f>IF(Table25[[#This Row],[Number of stocks]]&lt;0,Table25[[#This Row],[Number of stocks]],0)</f>
        <v>-440</v>
      </c>
      <c r="K1508" s="5">
        <f>Table25[[#This Row],[Sold]]*Table25[[#This Row],[Price]]</f>
        <v>-1834.8</v>
      </c>
      <c r="L1508" s="8">
        <f>ABS(SUMIF(Table25[[#All],[Assets]],Table25[[#This Row],[Assets]],Table25[[#All],[Sold]]))</f>
        <v>6686.45</v>
      </c>
      <c r="M1508" s="5">
        <f>ABS(SUMIF(Table25[[#All],[Assets]],Table25[[#This Row],[Assets]],Table25[[#All],[Sold Amount]]))</f>
        <v>19226.484999999997</v>
      </c>
      <c r="N1508" s="5">
        <f>IFERROR(Table25[[#This Row],[Total sold amount]]/Table25[[#This Row],[Total Sold number of stocks]],"")</f>
        <v>2.8754398821497205</v>
      </c>
      <c r="O1508" s="4">
        <f>IFERROR(Table25[[#This Row],[Total Amount bought]]/Table25[[#This Row],[Total number bought]],"")</f>
        <v>2.7232851793162749</v>
      </c>
      <c r="P1508" s="4">
        <f>IFERROR((Table25[[#This Row],[Average sell price]]-Table25[[#This Row],[Average buy price]])*Table25[[#This Row],[Total Sold number of stocks]],0)</f>
        <v>1017.3748127606921</v>
      </c>
      <c r="Q1508" s="85">
        <f>SUMIF(Table25[[#All],[Assets]],Table25[[#This Row],[Assets]],Table25[[#All],[Number of stocks]])</f>
        <v>349.99999999999977</v>
      </c>
    </row>
    <row r="1509" spans="1:17">
      <c r="A1509" t="e" vm="83">
        <v>#VALUE!</v>
      </c>
      <c r="B1509" s="2">
        <v>45876</v>
      </c>
      <c r="C1509" t="str" cm="1">
        <f t="array" aca="1" ref="C1509" ca="1">_FV(A1509,"Ticker symbol",TRUE)</f>
        <v>FOA</v>
      </c>
      <c r="D1509" s="4">
        <v>24.1</v>
      </c>
      <c r="E1509" s="50">
        <v>60</v>
      </c>
      <c r="F1509" s="81">
        <f>IF(Table25[[#This Row],[Number of stocks]]&gt;0,Table25[[#This Row],[Number of stocks]],0)</f>
        <v>60</v>
      </c>
      <c r="G1509" s="73">
        <f>Table25[[#This Row],[Bought]]*Table25[[#This Row],[Price]]</f>
        <v>1446</v>
      </c>
      <c r="H1509">
        <f>SUMIF(Table25[[#All],[Assets]],Table25[[#This Row],[Assets]],Table25[[#All],[Bought]])</f>
        <v>203</v>
      </c>
      <c r="I1509">
        <f>SUMIF(Table25[[#All],[Assets]],Table25[[#This Row],[Assets]],Table25[[#All],[Bought Amount]])</f>
        <v>4881.38</v>
      </c>
      <c r="J1509" s="88">
        <f>IF(Table25[[#This Row],[Number of stocks]]&lt;0,Table25[[#This Row],[Number of stocks]],0)</f>
        <v>0</v>
      </c>
      <c r="K1509" s="5">
        <f>Table25[[#This Row],[Sold]]*Table25[[#This Row],[Price]]</f>
        <v>0</v>
      </c>
      <c r="L1509" s="8">
        <f>ABS(SUMIF(Table25[[#All],[Assets]],Table25[[#This Row],[Assets]],Table25[[#All],[Sold]]))</f>
        <v>203</v>
      </c>
      <c r="M1509" s="5">
        <f>ABS(SUMIF(Table25[[#All],[Assets]],Table25[[#This Row],[Assets]],Table25[[#All],[Sold Amount]]))</f>
        <v>4534.54</v>
      </c>
      <c r="N1509" s="5">
        <f>IFERROR(Table25[[#This Row],[Total sold amount]]/Table25[[#This Row],[Total Sold number of stocks]],"")</f>
        <v>22.337635467980295</v>
      </c>
      <c r="O1509" s="4">
        <f>IFERROR(Table25[[#This Row],[Total Amount bought]]/Table25[[#This Row],[Total number bought]],"")</f>
        <v>24.046206896551723</v>
      </c>
      <c r="P1509" s="4">
        <f>IFERROR((Table25[[#This Row],[Average sell price]]-Table25[[#This Row],[Average buy price]])*Table25[[#This Row],[Total Sold number of stocks]],0)</f>
        <v>-346.83999999999992</v>
      </c>
      <c r="Q1509" s="85">
        <f>SUMIF(Table25[[#All],[Assets]],Table25[[#This Row],[Assets]],Table25[[#All],[Number of stocks]])</f>
        <v>0</v>
      </c>
    </row>
    <row r="1510" spans="1:17">
      <c r="A1510" t="e" vm="73">
        <v>#VALUE!</v>
      </c>
      <c r="B1510" s="2">
        <v>45876</v>
      </c>
      <c r="C1510" t="str" cm="1">
        <f t="array" aca="1" ref="C1510" ca="1">_FV(A1510,"Ticker symbol",TRUE)</f>
        <v>NOTV</v>
      </c>
      <c r="D1510" s="4">
        <v>1.86</v>
      </c>
      <c r="E1510" s="50">
        <v>-448</v>
      </c>
      <c r="F1510" s="81">
        <f>IF(Table25[[#This Row],[Number of stocks]]&gt;0,Table25[[#This Row],[Number of stocks]],0)</f>
        <v>0</v>
      </c>
      <c r="G1510" s="73">
        <f>Table25[[#This Row],[Bought]]*Table25[[#This Row],[Price]]</f>
        <v>0</v>
      </c>
      <c r="H1510">
        <f>SUMIF(Table25[[#All],[Assets]],Table25[[#This Row],[Assets]],Table25[[#All],[Bought]])</f>
        <v>3556</v>
      </c>
      <c r="I1510">
        <f>SUMIF(Table25[[#All],[Assets]],Table25[[#This Row],[Assets]],Table25[[#All],[Bought Amount]])</f>
        <v>10249.890000000001</v>
      </c>
      <c r="J1510" s="88">
        <f>IF(Table25[[#This Row],[Number of stocks]]&lt;0,Table25[[#This Row],[Number of stocks]],0)</f>
        <v>-448</v>
      </c>
      <c r="K1510" s="5">
        <f>Table25[[#This Row],[Sold]]*Table25[[#This Row],[Price]]</f>
        <v>-833.28000000000009</v>
      </c>
      <c r="L1510" s="8">
        <f>ABS(SUMIF(Table25[[#All],[Assets]],Table25[[#This Row],[Assets]],Table25[[#All],[Sold]]))</f>
        <v>2741</v>
      </c>
      <c r="M1510" s="5">
        <f>ABS(SUMIF(Table25[[#All],[Assets]],Table25[[#This Row],[Assets]],Table25[[#All],[Sold Amount]]))</f>
        <v>6559.66</v>
      </c>
      <c r="N1510" s="5">
        <f>IFERROR(Table25[[#This Row],[Total sold amount]]/Table25[[#This Row],[Total Sold number of stocks]],"")</f>
        <v>2.3931630791681866</v>
      </c>
      <c r="O1510" s="4">
        <f>IFERROR(Table25[[#This Row],[Total Amount bought]]/Table25[[#This Row],[Total number bought]],"")</f>
        <v>2.8824212598425198</v>
      </c>
      <c r="P1510" s="4">
        <f>IFERROR((Table25[[#This Row],[Average sell price]]-Table25[[#This Row],[Average buy price]])*Table25[[#This Row],[Total Sold number of stocks]],0)</f>
        <v>-1341.0566732283473</v>
      </c>
      <c r="Q1510" s="85">
        <f>SUMIF(Table25[[#All],[Assets]],Table25[[#This Row],[Assets]],Table25[[#All],[Number of stocks]])</f>
        <v>815</v>
      </c>
    </row>
    <row r="1511" spans="1:17">
      <c r="A1511" t="e" vm="24">
        <v>#VALUE!</v>
      </c>
      <c r="B1511" s="2">
        <v>45876</v>
      </c>
      <c r="C1511" t="str" cm="1">
        <f t="array" aca="1" ref="C1511" ca="1">_FV(A1511,"Ticker symbol",TRUE)</f>
        <v>QCOM</v>
      </c>
      <c r="D1511" s="4">
        <v>145.59</v>
      </c>
      <c r="E1511" s="50">
        <v>-4</v>
      </c>
      <c r="F1511" s="81">
        <f>IF(Table25[[#This Row],[Number of stocks]]&gt;0,Table25[[#This Row],[Number of stocks]],0)</f>
        <v>0</v>
      </c>
      <c r="G1511" s="73">
        <f>Table25[[#This Row],[Bought]]*Table25[[#This Row],[Price]]</f>
        <v>0</v>
      </c>
      <c r="H1511">
        <f>SUMIF(Table25[[#All],[Assets]],Table25[[#This Row],[Assets]],Table25[[#All],[Bought]])</f>
        <v>58</v>
      </c>
      <c r="I1511">
        <f>SUMIF(Table25[[#All],[Assets]],Table25[[#This Row],[Assets]],Table25[[#All],[Bought Amount]])</f>
        <v>9670.27</v>
      </c>
      <c r="J1511" s="88">
        <f>IF(Table25[[#This Row],[Number of stocks]]&lt;0,Table25[[#This Row],[Number of stocks]],0)</f>
        <v>-4</v>
      </c>
      <c r="K1511" s="5">
        <f>Table25[[#This Row],[Sold]]*Table25[[#This Row],[Price]]</f>
        <v>-582.36</v>
      </c>
      <c r="L1511" s="8">
        <f>ABS(SUMIF(Table25[[#All],[Assets]],Table25[[#This Row],[Assets]],Table25[[#All],[Sold]]))</f>
        <v>57</v>
      </c>
      <c r="M1511" s="5">
        <f>ABS(SUMIF(Table25[[#All],[Assets]],Table25[[#This Row],[Assets]],Table25[[#All],[Sold Amount]]))</f>
        <v>8530.1</v>
      </c>
      <c r="N1511" s="5">
        <f>IFERROR(Table25[[#This Row],[Total sold amount]]/Table25[[#This Row],[Total Sold number of stocks]],"")</f>
        <v>149.65087719298245</v>
      </c>
      <c r="O1511" s="4">
        <f>IFERROR(Table25[[#This Row],[Total Amount bought]]/Table25[[#This Row],[Total number bought]],"")</f>
        <v>166.72879310344828</v>
      </c>
      <c r="P1511" s="4">
        <f>IFERROR((Table25[[#This Row],[Average sell price]]-Table25[[#This Row],[Average buy price]])*Table25[[#This Row],[Total Sold number of stocks]],0)</f>
        <v>-973.44120689655256</v>
      </c>
      <c r="Q1511" s="85">
        <f>SUMIF(Table25[[#All],[Assets]],Table25[[#This Row],[Assets]],Table25[[#All],[Number of stocks]])</f>
        <v>1</v>
      </c>
    </row>
    <row r="1512" spans="1:17">
      <c r="A1512" t="e" vm="81">
        <v>#VALUE!</v>
      </c>
      <c r="B1512" s="2">
        <v>45876</v>
      </c>
      <c r="C1512" t="str" cm="1">
        <f t="array" aca="1" ref="C1512" ca="1">_FV(A1512,"Ticker symbol",TRUE)</f>
        <v>DLO</v>
      </c>
      <c r="D1512" s="4">
        <v>10.6</v>
      </c>
      <c r="E1512" s="50">
        <v>-60</v>
      </c>
      <c r="F1512" s="81">
        <f>IF(Table25[[#This Row],[Number of stocks]]&gt;0,Table25[[#This Row],[Number of stocks]],0)</f>
        <v>0</v>
      </c>
      <c r="G1512" s="73">
        <f>Table25[[#This Row],[Bought]]*Table25[[#This Row],[Price]]</f>
        <v>0</v>
      </c>
      <c r="H1512">
        <f>SUMIF(Table25[[#All],[Assets]],Table25[[#This Row],[Assets]],Table25[[#All],[Bought]])</f>
        <v>436</v>
      </c>
      <c r="I1512">
        <f>SUMIF(Table25[[#All],[Assets]],Table25[[#This Row],[Assets]],Table25[[#All],[Bought Amount]])</f>
        <v>5840.9900000000007</v>
      </c>
      <c r="J1512" s="88">
        <f>IF(Table25[[#This Row],[Number of stocks]]&lt;0,Table25[[#This Row],[Number of stocks]],0)</f>
        <v>-60</v>
      </c>
      <c r="K1512" s="5">
        <f>Table25[[#This Row],[Sold]]*Table25[[#This Row],[Price]]</f>
        <v>-636</v>
      </c>
      <c r="L1512" s="8">
        <f>ABS(SUMIF(Table25[[#All],[Assets]],Table25[[#This Row],[Assets]],Table25[[#All],[Sold]]))</f>
        <v>436</v>
      </c>
      <c r="M1512" s="5">
        <f>ABS(SUMIF(Table25[[#All],[Assets]],Table25[[#This Row],[Assets]],Table25[[#All],[Sold Amount]]))</f>
        <v>5546.6</v>
      </c>
      <c r="N1512" s="5">
        <f>IFERROR(Table25[[#This Row],[Total sold amount]]/Table25[[#This Row],[Total Sold number of stocks]],"")</f>
        <v>12.721559633027523</v>
      </c>
      <c r="O1512" s="4">
        <f>IFERROR(Table25[[#This Row],[Total Amount bought]]/Table25[[#This Row],[Total number bought]],"")</f>
        <v>13.396766055045873</v>
      </c>
      <c r="P1512" s="4">
        <f>IFERROR((Table25[[#This Row],[Average sell price]]-Table25[[#This Row],[Average buy price]])*Table25[[#This Row],[Total Sold number of stocks]],0)</f>
        <v>-294.39000000000073</v>
      </c>
      <c r="Q1512" s="85">
        <f>SUMIF(Table25[[#All],[Assets]],Table25[[#This Row],[Assets]],Table25[[#All],[Number of stocks]])</f>
        <v>0</v>
      </c>
    </row>
    <row r="1513" spans="1:17">
      <c r="A1513" t="e" vm="576">
        <v>#VALUE!</v>
      </c>
      <c r="B1513" s="2">
        <v>45876</v>
      </c>
      <c r="C1513" t="str" cm="1">
        <f t="array" aca="1" ref="C1513" ca="1">_FV(A1513,"Ticker symbol",TRUE)</f>
        <v>DUOL</v>
      </c>
      <c r="D1513" s="4">
        <v>394.41</v>
      </c>
      <c r="E1513" s="50">
        <v>1</v>
      </c>
      <c r="F1513" s="81">
        <f>IF(Table25[[#This Row],[Number of stocks]]&gt;0,Table25[[#This Row],[Number of stocks]],0)</f>
        <v>1</v>
      </c>
      <c r="G1513" s="73">
        <f>Table25[[#This Row],[Bought]]*Table25[[#This Row],[Price]]</f>
        <v>394.41</v>
      </c>
      <c r="H1513">
        <f>SUMIF(Table25[[#All],[Assets]],Table25[[#This Row],[Assets]],Table25[[#All],[Bought]])</f>
        <v>33</v>
      </c>
      <c r="I1513">
        <f>SUMIF(Table25[[#All],[Assets]],Table25[[#This Row],[Assets]],Table25[[#All],[Bought Amount]])</f>
        <v>8243.81</v>
      </c>
      <c r="J1513" s="88">
        <f>IF(Table25[[#This Row],[Number of stocks]]&lt;0,Table25[[#This Row],[Number of stocks]],0)</f>
        <v>0</v>
      </c>
      <c r="K1513" s="5">
        <f>Table25[[#This Row],[Sold]]*Table25[[#This Row],[Price]]</f>
        <v>0</v>
      </c>
      <c r="L1513" s="8">
        <f>ABS(SUMIF(Table25[[#All],[Assets]],Table25[[#This Row],[Assets]],Table25[[#All],[Sold]]))</f>
        <v>43</v>
      </c>
      <c r="M1513" s="5">
        <f>ABS(SUMIF(Table25[[#All],[Assets]],Table25[[#This Row],[Assets]],Table25[[#All],[Sold Amount]]))</f>
        <v>8577.89</v>
      </c>
      <c r="N1513" s="5">
        <f>IFERROR(Table25[[#This Row],[Total sold amount]]/Table25[[#This Row],[Total Sold number of stocks]],"")</f>
        <v>199.48581395348836</v>
      </c>
      <c r="O1513" s="4">
        <f>IFERROR(Table25[[#This Row],[Total Amount bought]]/Table25[[#This Row],[Total number bought]],"")</f>
        <v>249.81242424242421</v>
      </c>
      <c r="P1513" s="4">
        <f>IFERROR((Table25[[#This Row],[Average sell price]]-Table25[[#This Row],[Average buy price]])*Table25[[#This Row],[Total Sold number of stocks]],0)</f>
        <v>-2164.0442424242419</v>
      </c>
      <c r="Q1513" s="85">
        <f>SUMIF(Table25[[#All],[Assets]],Table25[[#This Row],[Assets]],Table25[[#All],[Number of stocks]])</f>
        <v>-10</v>
      </c>
    </row>
    <row r="1514" spans="1:17">
      <c r="A1514" t="e" vm="230">
        <v>#VALUE!</v>
      </c>
      <c r="B1514" s="2">
        <v>45876</v>
      </c>
      <c r="C1514" t="str" cm="1">
        <f t="array" aca="1" ref="C1514" ca="1">_FV(A1514,"Ticker symbol",TRUE)</f>
        <v>UTI</v>
      </c>
      <c r="D1514" s="4">
        <v>27.16</v>
      </c>
      <c r="E1514" s="50">
        <v>35</v>
      </c>
      <c r="F1514" s="81">
        <f>IF(Table25[[#This Row],[Number of stocks]]&gt;0,Table25[[#This Row],[Number of stocks]],0)</f>
        <v>35</v>
      </c>
      <c r="G1514" s="73">
        <f>Table25[[#This Row],[Bought]]*Table25[[#This Row],[Price]]</f>
        <v>950.6</v>
      </c>
      <c r="H1514">
        <f>SUMIF(Table25[[#All],[Assets]],Table25[[#This Row],[Assets]],Table25[[#All],[Bought]])</f>
        <v>49</v>
      </c>
      <c r="I1514">
        <f>SUMIF(Table25[[#All],[Assets]],Table25[[#This Row],[Assets]],Table25[[#All],[Bought Amount]])</f>
        <v>1318.38</v>
      </c>
      <c r="J1514" s="88">
        <f>IF(Table25[[#This Row],[Number of stocks]]&lt;0,Table25[[#This Row],[Number of stocks]],0)</f>
        <v>0</v>
      </c>
      <c r="K1514" s="5">
        <f>Table25[[#This Row],[Sold]]*Table25[[#This Row],[Price]]</f>
        <v>0</v>
      </c>
      <c r="L1514" s="8">
        <f>ABS(SUMIF(Table25[[#All],[Assets]],Table25[[#This Row],[Assets]],Table25[[#All],[Sold]]))</f>
        <v>49</v>
      </c>
      <c r="M1514" s="5">
        <f>ABS(SUMIF(Table25[[#All],[Assets]],Table25[[#This Row],[Assets]],Table25[[#All],[Sold Amount]]))</f>
        <v>1422.44</v>
      </c>
      <c r="N1514" s="5">
        <f>IFERROR(Table25[[#This Row],[Total sold amount]]/Table25[[#This Row],[Total Sold number of stocks]],"")</f>
        <v>29.029387755102043</v>
      </c>
      <c r="O1514" s="4">
        <f>IFERROR(Table25[[#This Row],[Total Amount bought]]/Table25[[#This Row],[Total number bought]],"")</f>
        <v>26.905714285714289</v>
      </c>
      <c r="P1514" s="4">
        <f>IFERROR((Table25[[#This Row],[Average sell price]]-Table25[[#This Row],[Average buy price]])*Table25[[#This Row],[Total Sold number of stocks]],0)</f>
        <v>104.05999999999993</v>
      </c>
      <c r="Q1514" s="85">
        <f>SUMIF(Table25[[#All],[Assets]],Table25[[#This Row],[Assets]],Table25[[#All],[Number of stocks]])</f>
        <v>0</v>
      </c>
    </row>
    <row r="1515" spans="1:17">
      <c r="A1515" t="e" vm="261">
        <v>#VALUE!</v>
      </c>
      <c r="B1515" s="2">
        <v>45877</v>
      </c>
      <c r="C1515" t="str" cm="1">
        <f t="array" aca="1" ref="C1515" ca="1">_FV(A1515,"Ticker symbol",TRUE)</f>
        <v>OM</v>
      </c>
      <c r="D1515" s="4">
        <v>13.86</v>
      </c>
      <c r="E1515" s="50">
        <v>-29</v>
      </c>
      <c r="F1515" s="81">
        <f>IF(Table25[[#This Row],[Number of stocks]]&gt;0,Table25[[#This Row],[Number of stocks]],0)</f>
        <v>0</v>
      </c>
      <c r="G1515" s="73">
        <f>Table25[[#This Row],[Bought]]*Table25[[#This Row],[Price]]</f>
        <v>0</v>
      </c>
      <c r="H1515">
        <f>SUMIF(Table25[[#All],[Assets]],Table25[[#This Row],[Assets]],Table25[[#All],[Bought]])</f>
        <v>29</v>
      </c>
      <c r="I1515">
        <f>SUMIF(Table25[[#All],[Assets]],Table25[[#This Row],[Assets]],Table25[[#All],[Bought Amount]])</f>
        <v>512.43000000000006</v>
      </c>
      <c r="J1515" s="88">
        <f>IF(Table25[[#This Row],[Number of stocks]]&lt;0,Table25[[#This Row],[Number of stocks]],0)</f>
        <v>-29</v>
      </c>
      <c r="K1515" s="5">
        <f>Table25[[#This Row],[Sold]]*Table25[[#This Row],[Price]]</f>
        <v>-401.94</v>
      </c>
      <c r="L1515" s="8">
        <f>ABS(SUMIF(Table25[[#All],[Assets]],Table25[[#This Row],[Assets]],Table25[[#All],[Sold]]))</f>
        <v>29</v>
      </c>
      <c r="M1515" s="5">
        <f>ABS(SUMIF(Table25[[#All],[Assets]],Table25[[#This Row],[Assets]],Table25[[#All],[Sold Amount]]))</f>
        <v>401.94</v>
      </c>
      <c r="N1515" s="5">
        <f>IFERROR(Table25[[#This Row],[Total sold amount]]/Table25[[#This Row],[Total Sold number of stocks]],"")</f>
        <v>13.86</v>
      </c>
      <c r="O1515" s="4">
        <f>IFERROR(Table25[[#This Row],[Total Amount bought]]/Table25[[#This Row],[Total number bought]],"")</f>
        <v>17.670000000000002</v>
      </c>
      <c r="P1515" s="4">
        <f>IFERROR((Table25[[#This Row],[Average sell price]]-Table25[[#This Row],[Average buy price]])*Table25[[#This Row],[Total Sold number of stocks]],0)</f>
        <v>-110.49000000000007</v>
      </c>
      <c r="Q1515" s="85">
        <f>SUMIF(Table25[[#All],[Assets]],Table25[[#This Row],[Assets]],Table25[[#All],[Number of stocks]])</f>
        <v>0</v>
      </c>
    </row>
    <row r="1516" spans="1:17">
      <c r="A1516" t="e" vm="428">
        <v>#VALUE!</v>
      </c>
      <c r="B1516" s="2">
        <v>45877</v>
      </c>
      <c r="C1516" t="str" cm="1">
        <f t="array" aca="1" ref="C1516" ca="1">_FV(A1516,"Ticker symbol",TRUE)</f>
        <v>PCRX</v>
      </c>
      <c r="D1516" s="4">
        <v>24.06</v>
      </c>
      <c r="E1516" s="50">
        <v>-10</v>
      </c>
      <c r="F1516" s="81">
        <f>IF(Table25[[#This Row],[Number of stocks]]&gt;0,Table25[[#This Row],[Number of stocks]],0)</f>
        <v>0</v>
      </c>
      <c r="G1516" s="73">
        <f>Table25[[#This Row],[Bought]]*Table25[[#This Row],[Price]]</f>
        <v>0</v>
      </c>
      <c r="H1516">
        <f>SUMIF(Table25[[#All],[Assets]],Table25[[#This Row],[Assets]],Table25[[#All],[Bought]])</f>
        <v>10</v>
      </c>
      <c r="I1516">
        <f>SUMIF(Table25[[#All],[Assets]],Table25[[#This Row],[Assets]],Table25[[#All],[Bought Amount]])</f>
        <v>268.09999999999997</v>
      </c>
      <c r="J1516" s="88">
        <f>IF(Table25[[#This Row],[Number of stocks]]&lt;0,Table25[[#This Row],[Number of stocks]],0)</f>
        <v>-10</v>
      </c>
      <c r="K1516" s="5">
        <f>Table25[[#This Row],[Sold]]*Table25[[#This Row],[Price]]</f>
        <v>-240.6</v>
      </c>
      <c r="L1516" s="8">
        <f>ABS(SUMIF(Table25[[#All],[Assets]],Table25[[#This Row],[Assets]],Table25[[#All],[Sold]]))</f>
        <v>10</v>
      </c>
      <c r="M1516" s="5">
        <f>ABS(SUMIF(Table25[[#All],[Assets]],Table25[[#This Row],[Assets]],Table25[[#All],[Sold Amount]]))</f>
        <v>240.6</v>
      </c>
      <c r="N1516" s="5">
        <f>IFERROR(Table25[[#This Row],[Total sold amount]]/Table25[[#This Row],[Total Sold number of stocks]],"")</f>
        <v>24.06</v>
      </c>
      <c r="O1516" s="4">
        <f>IFERROR(Table25[[#This Row],[Total Amount bought]]/Table25[[#This Row],[Total number bought]],"")</f>
        <v>26.809999999999995</v>
      </c>
      <c r="P1516" s="4">
        <f>IFERROR((Table25[[#This Row],[Average sell price]]-Table25[[#This Row],[Average buy price]])*Table25[[#This Row],[Total Sold number of stocks]],0)</f>
        <v>-27.499999999999964</v>
      </c>
      <c r="Q1516" s="85">
        <f>SUMIF(Table25[[#All],[Assets]],Table25[[#This Row],[Assets]],Table25[[#All],[Number of stocks]])</f>
        <v>0</v>
      </c>
    </row>
    <row r="1517" spans="1:17">
      <c r="A1517" t="e" vm="226">
        <v>#VALUE!</v>
      </c>
      <c r="B1517" s="2">
        <v>45877</v>
      </c>
      <c r="C1517" t="str" cm="1">
        <f t="array" aca="1" ref="C1517" ca="1">_FV(A1517,"Ticker symbol",TRUE)</f>
        <v>WGHTQ</v>
      </c>
      <c r="D1517" s="4">
        <v>8.44</v>
      </c>
      <c r="E1517" s="50">
        <v>25</v>
      </c>
      <c r="F1517" s="81">
        <f>IF(Table25[[#This Row],[Number of stocks]]&gt;0,Table25[[#This Row],[Number of stocks]],0)</f>
        <v>25</v>
      </c>
      <c r="G1517" s="73">
        <f>Table25[[#This Row],[Bought]]*Table25[[#This Row],[Price]]</f>
        <v>211</v>
      </c>
      <c r="H1517">
        <f>SUMIF(Table25[[#All],[Assets]],Table25[[#This Row],[Assets]],Table25[[#All],[Bought]])</f>
        <v>172</v>
      </c>
      <c r="I1517">
        <f>SUMIF(Table25[[#All],[Assets]],Table25[[#This Row],[Assets]],Table25[[#All],[Bought Amount]])</f>
        <v>5307.8900000000012</v>
      </c>
      <c r="J1517" s="88">
        <f>IF(Table25[[#This Row],[Number of stocks]]&lt;0,Table25[[#This Row],[Number of stocks]],0)</f>
        <v>0</v>
      </c>
      <c r="K1517" s="5">
        <f>Table25[[#This Row],[Sold]]*Table25[[#This Row],[Price]]</f>
        <v>0</v>
      </c>
      <c r="L1517" s="8">
        <f>ABS(SUMIF(Table25[[#All],[Assets]],Table25[[#This Row],[Assets]],Table25[[#All],[Sold]]))</f>
        <v>168</v>
      </c>
      <c r="M1517" s="5">
        <f>ABS(SUMIF(Table25[[#All],[Assets]],Table25[[#This Row],[Assets]],Table25[[#All],[Sold Amount]]))</f>
        <v>4668.4199999999992</v>
      </c>
      <c r="N1517" s="5">
        <f>IFERROR(Table25[[#This Row],[Total sold amount]]/Table25[[#This Row],[Total Sold number of stocks]],"")</f>
        <v>27.788214285714282</v>
      </c>
      <c r="O1517" s="4">
        <f>IFERROR(Table25[[#This Row],[Total Amount bought]]/Table25[[#This Row],[Total number bought]],"")</f>
        <v>30.859825581395356</v>
      </c>
      <c r="P1517" s="4">
        <f>IFERROR((Table25[[#This Row],[Average sell price]]-Table25[[#This Row],[Average buy price]])*Table25[[#This Row],[Total Sold number of stocks]],0)</f>
        <v>-516.03069767442025</v>
      </c>
      <c r="Q1517" s="85">
        <f>SUMIF(Table25[[#All],[Assets]],Table25[[#This Row],[Assets]],Table25[[#All],[Number of stocks]])</f>
        <v>4</v>
      </c>
    </row>
    <row r="1518" spans="1:17">
      <c r="A1518" t="e" vm="89">
        <v>#VALUE!</v>
      </c>
      <c r="B1518" s="2">
        <v>45877</v>
      </c>
      <c r="C1518" t="str" cm="1">
        <f t="array" aca="1" ref="C1518" ca="1">_FV(A1518,"Ticker symbol",TRUE)</f>
        <v>BKSY</v>
      </c>
      <c r="D1518" s="4">
        <v>16.32</v>
      </c>
      <c r="E1518" s="50">
        <v>-25</v>
      </c>
      <c r="F1518" s="81">
        <f>IF(Table25[[#This Row],[Number of stocks]]&gt;0,Table25[[#This Row],[Number of stocks]],0)</f>
        <v>0</v>
      </c>
      <c r="G1518" s="73">
        <f>Table25[[#This Row],[Bought]]*Table25[[#This Row],[Price]]</f>
        <v>0</v>
      </c>
      <c r="H1518">
        <f>SUMIF(Table25[[#All],[Assets]],Table25[[#This Row],[Assets]],Table25[[#All],[Bought]])</f>
        <v>78</v>
      </c>
      <c r="I1518">
        <f>SUMIF(Table25[[#All],[Assets]],Table25[[#This Row],[Assets]],Table25[[#All],[Bought Amount]])</f>
        <v>897.78</v>
      </c>
      <c r="J1518" s="88">
        <f>IF(Table25[[#This Row],[Number of stocks]]&lt;0,Table25[[#This Row],[Number of stocks]],0)</f>
        <v>-25</v>
      </c>
      <c r="K1518" s="5">
        <f>Table25[[#This Row],[Sold]]*Table25[[#This Row],[Price]]</f>
        <v>-408</v>
      </c>
      <c r="L1518" s="8">
        <f>ABS(SUMIF(Table25[[#All],[Assets]],Table25[[#This Row],[Assets]],Table25[[#All],[Sold]]))</f>
        <v>78</v>
      </c>
      <c r="M1518" s="5">
        <f>ABS(SUMIF(Table25[[#All],[Assets]],Table25[[#This Row],[Assets]],Table25[[#All],[Sold Amount]]))</f>
        <v>1583.33</v>
      </c>
      <c r="N1518" s="5">
        <f>IFERROR(Table25[[#This Row],[Total sold amount]]/Table25[[#This Row],[Total Sold number of stocks]],"")</f>
        <v>20.299102564102562</v>
      </c>
      <c r="O1518" s="4">
        <f>IFERROR(Table25[[#This Row],[Total Amount bought]]/Table25[[#This Row],[Total number bought]],"")</f>
        <v>11.51</v>
      </c>
      <c r="P1518" s="4">
        <f>IFERROR((Table25[[#This Row],[Average sell price]]-Table25[[#This Row],[Average buy price]])*Table25[[#This Row],[Total Sold number of stocks]],0)</f>
        <v>685.54999999999984</v>
      </c>
      <c r="Q1518" s="85">
        <f>SUMIF(Table25[[#All],[Assets]],Table25[[#This Row],[Assets]],Table25[[#All],[Number of stocks]])</f>
        <v>0</v>
      </c>
    </row>
    <row r="1519" spans="1:17">
      <c r="A1519" t="e" vm="71">
        <v>#VALUE!</v>
      </c>
      <c r="B1519" s="2">
        <v>45877</v>
      </c>
      <c r="C1519" t="str" cm="1">
        <f t="array" aca="1" ref="C1519" ca="1">_FV(A1519,"Ticker symbol",TRUE)</f>
        <v>TKNO</v>
      </c>
      <c r="D1519" s="4">
        <v>4.7</v>
      </c>
      <c r="E1519" s="50">
        <v>-120</v>
      </c>
      <c r="F1519" s="81">
        <f>IF(Table25[[#This Row],[Number of stocks]]&gt;0,Table25[[#This Row],[Number of stocks]],0)</f>
        <v>0</v>
      </c>
      <c r="G1519" s="73">
        <f>Table25[[#This Row],[Bought]]*Table25[[#This Row],[Price]]</f>
        <v>0</v>
      </c>
      <c r="H1519">
        <f>SUMIF(Table25[[#All],[Assets]],Table25[[#This Row],[Assets]],Table25[[#All],[Bought]])</f>
        <v>2166.0267990000002</v>
      </c>
      <c r="I1519">
        <f>SUMIF(Table25[[#All],[Assets]],Table25[[#This Row],[Assets]],Table25[[#All],[Bought Amount]])</f>
        <v>13370.91512648</v>
      </c>
      <c r="J1519" s="88">
        <f>IF(Table25[[#This Row],[Number of stocks]]&lt;0,Table25[[#This Row],[Number of stocks]],0)</f>
        <v>-120</v>
      </c>
      <c r="K1519" s="5">
        <f>Table25[[#This Row],[Sold]]*Table25[[#This Row],[Price]]</f>
        <v>-564</v>
      </c>
      <c r="L1519" s="8">
        <f>ABS(SUMIF(Table25[[#All],[Assets]],Table25[[#This Row],[Assets]],Table25[[#All],[Sold]]))</f>
        <v>2083</v>
      </c>
      <c r="M1519" s="5">
        <f>ABS(SUMIF(Table25[[#All],[Assets]],Table25[[#This Row],[Assets]],Table25[[#All],[Sold Amount]]))</f>
        <v>11153.28</v>
      </c>
      <c r="N1519" s="5">
        <f>IFERROR(Table25[[#This Row],[Total sold amount]]/Table25[[#This Row],[Total Sold number of stocks]],"")</f>
        <v>5.3544311089774368</v>
      </c>
      <c r="O1519" s="4">
        <f>IFERROR(Table25[[#This Row],[Total Amount bought]]/Table25[[#This Row],[Total number bought]],"")</f>
        <v>6.1730146333614213</v>
      </c>
      <c r="P1519" s="4">
        <f>IFERROR((Table25[[#This Row],[Average sell price]]-Table25[[#This Row],[Average buy price]])*Table25[[#This Row],[Total Sold number of stocks]],0)</f>
        <v>-1705.1094812918398</v>
      </c>
      <c r="Q1519" s="85">
        <f>SUMIF(Table25[[#All],[Assets]],Table25[[#This Row],[Assets]],Table25[[#All],[Number of stocks]])</f>
        <v>83.026798999999983</v>
      </c>
    </row>
    <row r="1520" spans="1:17">
      <c r="A1520" t="e" vm="237">
        <v>#VALUE!</v>
      </c>
      <c r="B1520" s="2">
        <v>45877</v>
      </c>
      <c r="C1520" t="str" cm="1">
        <f t="array" aca="1" ref="C1520" ca="1">_FV(A1520,"Ticker symbol",TRUE)</f>
        <v>SNWV</v>
      </c>
      <c r="D1520" s="4">
        <v>39.25</v>
      </c>
      <c r="E1520" s="50">
        <v>17</v>
      </c>
      <c r="F1520" s="81">
        <f>IF(Table25[[#This Row],[Number of stocks]]&gt;0,Table25[[#This Row],[Number of stocks]],0)</f>
        <v>17</v>
      </c>
      <c r="G1520" s="73">
        <f>Table25[[#This Row],[Bought]]*Table25[[#This Row],[Price]]</f>
        <v>667.25</v>
      </c>
      <c r="H1520">
        <f>SUMIF(Table25[[#All],[Assets]],Table25[[#This Row],[Assets]],Table25[[#All],[Bought]])</f>
        <v>17</v>
      </c>
      <c r="I1520">
        <f>SUMIF(Table25[[#All],[Assets]],Table25[[#This Row],[Assets]],Table25[[#All],[Bought Amount]])</f>
        <v>667.25</v>
      </c>
      <c r="J1520" s="88">
        <f>IF(Table25[[#This Row],[Number of stocks]]&lt;0,Table25[[#This Row],[Number of stocks]],0)</f>
        <v>0</v>
      </c>
      <c r="K1520" s="5">
        <f>Table25[[#This Row],[Sold]]*Table25[[#This Row],[Price]]</f>
        <v>0</v>
      </c>
      <c r="L1520" s="8">
        <f>ABS(SUMIF(Table25[[#All],[Assets]],Table25[[#This Row],[Assets]],Table25[[#All],[Sold]]))</f>
        <v>17</v>
      </c>
      <c r="M1520" s="5">
        <f>ABS(SUMIF(Table25[[#All],[Assets]],Table25[[#This Row],[Assets]],Table25[[#All],[Sold Amount]]))</f>
        <v>594.66</v>
      </c>
      <c r="N1520" s="5">
        <f>IFERROR(Table25[[#This Row],[Total sold amount]]/Table25[[#This Row],[Total Sold number of stocks]],"")</f>
        <v>34.979999999999997</v>
      </c>
      <c r="O1520" s="4">
        <f>IFERROR(Table25[[#This Row],[Total Amount bought]]/Table25[[#This Row],[Total number bought]],"")</f>
        <v>39.25</v>
      </c>
      <c r="P1520" s="4">
        <f>IFERROR((Table25[[#This Row],[Average sell price]]-Table25[[#This Row],[Average buy price]])*Table25[[#This Row],[Total Sold number of stocks]],0)</f>
        <v>-72.59000000000006</v>
      </c>
      <c r="Q1520" s="85">
        <f>SUMIF(Table25[[#All],[Assets]],Table25[[#This Row],[Assets]],Table25[[#All],[Number of stocks]])</f>
        <v>0</v>
      </c>
    </row>
    <row r="1521" spans="1:17">
      <c r="A1521" t="e" vm="15">
        <v>#VALUE!</v>
      </c>
      <c r="B1521" s="2">
        <v>45877</v>
      </c>
      <c r="C1521" t="str" cm="1">
        <f t="array" aca="1" ref="C1521" ca="1">_FV(A1521,"Ticker symbol",TRUE)</f>
        <v>INDI</v>
      </c>
      <c r="D1521" s="4">
        <v>3.88</v>
      </c>
      <c r="E1521" s="50">
        <v>-150</v>
      </c>
      <c r="F1521" s="81">
        <f>IF(Table25[[#This Row],[Number of stocks]]&gt;0,Table25[[#This Row],[Number of stocks]],0)</f>
        <v>0</v>
      </c>
      <c r="G1521" s="73">
        <f>Table25[[#This Row],[Bought]]*Table25[[#This Row],[Price]]</f>
        <v>0</v>
      </c>
      <c r="H1521">
        <f>SUMIF(Table25[[#All],[Assets]],Table25[[#This Row],[Assets]],Table25[[#All],[Bought]])</f>
        <v>290</v>
      </c>
      <c r="I1521">
        <f>SUMIF(Table25[[#All],[Assets]],Table25[[#This Row],[Assets]],Table25[[#All],[Bought Amount]])</f>
        <v>1400.8</v>
      </c>
      <c r="J1521" s="88">
        <f>IF(Table25[[#This Row],[Number of stocks]]&lt;0,Table25[[#This Row],[Number of stocks]],0)</f>
        <v>-150</v>
      </c>
      <c r="K1521" s="5">
        <f>Table25[[#This Row],[Sold]]*Table25[[#This Row],[Price]]</f>
        <v>-582</v>
      </c>
      <c r="L1521" s="8">
        <f>ABS(SUMIF(Table25[[#All],[Assets]],Table25[[#This Row],[Assets]],Table25[[#All],[Sold]]))</f>
        <v>290</v>
      </c>
      <c r="M1521" s="5">
        <f>ABS(SUMIF(Table25[[#All],[Assets]],Table25[[#This Row],[Assets]],Table25[[#All],[Sold Amount]]))</f>
        <v>1202.1999999999998</v>
      </c>
      <c r="N1521" s="5">
        <f>IFERROR(Table25[[#This Row],[Total sold amount]]/Table25[[#This Row],[Total Sold number of stocks]],"")</f>
        <v>4.1455172413793093</v>
      </c>
      <c r="O1521" s="4">
        <f>IFERROR(Table25[[#This Row],[Total Amount bought]]/Table25[[#This Row],[Total number bought]],"")</f>
        <v>4.8303448275862069</v>
      </c>
      <c r="P1521" s="4">
        <f>IFERROR((Table25[[#This Row],[Average sell price]]-Table25[[#This Row],[Average buy price]])*Table25[[#This Row],[Total Sold number of stocks]],0)</f>
        <v>-198.60000000000028</v>
      </c>
      <c r="Q1521" s="85">
        <f>SUMIF(Table25[[#All],[Assets]],Table25[[#This Row],[Assets]],Table25[[#All],[Number of stocks]])</f>
        <v>0</v>
      </c>
    </row>
    <row r="1522" spans="1:17">
      <c r="A1522" t="e" vm="18">
        <v>#VALUE!</v>
      </c>
      <c r="B1522" s="2">
        <v>45877</v>
      </c>
      <c r="C1522" t="str" cm="1">
        <f t="array" aca="1" ref="C1522" ca="1">_FV(A1522,"Ticker symbol",TRUE)</f>
        <v>ST</v>
      </c>
      <c r="D1522" s="4">
        <v>29.43</v>
      </c>
      <c r="E1522" s="50">
        <v>-13</v>
      </c>
      <c r="F1522" s="81">
        <f>IF(Table25[[#This Row],[Number of stocks]]&gt;0,Table25[[#This Row],[Number of stocks]],0)</f>
        <v>0</v>
      </c>
      <c r="G1522" s="73">
        <f>Table25[[#This Row],[Bought]]*Table25[[#This Row],[Price]]</f>
        <v>0</v>
      </c>
      <c r="H1522">
        <f>SUMIF(Table25[[#All],[Assets]],Table25[[#This Row],[Assets]],Table25[[#All],[Bought]])</f>
        <v>13</v>
      </c>
      <c r="I1522">
        <f>SUMIF(Table25[[#All],[Assets]],Table25[[#This Row],[Assets]],Table25[[#All],[Bought Amount]])</f>
        <v>361.29999999999995</v>
      </c>
      <c r="J1522" s="88">
        <f>IF(Table25[[#This Row],[Number of stocks]]&lt;0,Table25[[#This Row],[Number of stocks]],0)</f>
        <v>-13</v>
      </c>
      <c r="K1522" s="5">
        <f>Table25[[#This Row],[Sold]]*Table25[[#This Row],[Price]]</f>
        <v>-382.59</v>
      </c>
      <c r="L1522" s="8">
        <f>ABS(SUMIF(Table25[[#All],[Assets]],Table25[[#This Row],[Assets]],Table25[[#All],[Sold]]))</f>
        <v>13</v>
      </c>
      <c r="M1522" s="5">
        <f>ABS(SUMIF(Table25[[#All],[Assets]],Table25[[#This Row],[Assets]],Table25[[#All],[Sold Amount]]))</f>
        <v>382.59</v>
      </c>
      <c r="N1522" s="5">
        <f>IFERROR(Table25[[#This Row],[Total sold amount]]/Table25[[#This Row],[Total Sold number of stocks]],"")</f>
        <v>29.43</v>
      </c>
      <c r="O1522" s="4">
        <f>IFERROR(Table25[[#This Row],[Total Amount bought]]/Table25[[#This Row],[Total number bought]],"")</f>
        <v>27.792307692307688</v>
      </c>
      <c r="P1522" s="4">
        <f>IFERROR((Table25[[#This Row],[Average sell price]]-Table25[[#This Row],[Average buy price]])*Table25[[#This Row],[Total Sold number of stocks]],0)</f>
        <v>21.290000000000056</v>
      </c>
      <c r="Q1522" s="85">
        <f>SUMIF(Table25[[#All],[Assets]],Table25[[#This Row],[Assets]],Table25[[#All],[Number of stocks]])</f>
        <v>0</v>
      </c>
    </row>
    <row r="1523" spans="1:17">
      <c r="A1523" t="e" vm="187">
        <v>#VALUE!</v>
      </c>
      <c r="B1523" s="2">
        <v>45877</v>
      </c>
      <c r="C1523" t="str" cm="1">
        <f t="array" aca="1" ref="C1523" ca="1">_FV(A1523,"Ticker symbol",TRUE)</f>
        <v>ZETA</v>
      </c>
      <c r="D1523" s="4">
        <v>18.95</v>
      </c>
      <c r="E1523" s="50">
        <v>50</v>
      </c>
      <c r="F1523" s="81">
        <f>IF(Table25[[#This Row],[Number of stocks]]&gt;0,Table25[[#This Row],[Number of stocks]],0)</f>
        <v>50</v>
      </c>
      <c r="G1523" s="73">
        <f>Table25[[#This Row],[Bought]]*Table25[[#This Row],[Price]]</f>
        <v>947.5</v>
      </c>
      <c r="H1523">
        <f>SUMIF(Table25[[#All],[Assets]],Table25[[#This Row],[Assets]],Table25[[#All],[Bought]])</f>
        <v>214</v>
      </c>
      <c r="I1523">
        <f>SUMIF(Table25[[#All],[Assets]],Table25[[#This Row],[Assets]],Table25[[#All],[Bought Amount]])</f>
        <v>4123.5200000000004</v>
      </c>
      <c r="J1523" s="88">
        <f>IF(Table25[[#This Row],[Number of stocks]]&lt;0,Table25[[#This Row],[Number of stocks]],0)</f>
        <v>0</v>
      </c>
      <c r="K1523" s="5">
        <f>Table25[[#This Row],[Sold]]*Table25[[#This Row],[Price]]</f>
        <v>0</v>
      </c>
      <c r="L1523" s="8">
        <f>ABS(SUMIF(Table25[[#All],[Assets]],Table25[[#This Row],[Assets]],Table25[[#All],[Sold]]))</f>
        <v>214</v>
      </c>
      <c r="M1523" s="5">
        <f>ABS(SUMIF(Table25[[#All],[Assets]],Table25[[#This Row],[Assets]],Table25[[#All],[Sold Amount]]))</f>
        <v>4425.6400000000003</v>
      </c>
      <c r="N1523" s="5">
        <f>IFERROR(Table25[[#This Row],[Total sold amount]]/Table25[[#This Row],[Total Sold number of stocks]],"")</f>
        <v>20.680560747663552</v>
      </c>
      <c r="O1523" s="4">
        <f>IFERROR(Table25[[#This Row],[Total Amount bought]]/Table25[[#This Row],[Total number bought]],"")</f>
        <v>19.268785046728976</v>
      </c>
      <c r="P1523" s="4">
        <f>IFERROR((Table25[[#This Row],[Average sell price]]-Table25[[#This Row],[Average buy price]])*Table25[[#This Row],[Total Sold number of stocks]],0)</f>
        <v>302.11999999999938</v>
      </c>
      <c r="Q1523" s="85">
        <f>SUMIF(Table25[[#All],[Assets]],Table25[[#This Row],[Assets]],Table25[[#All],[Number of stocks]])</f>
        <v>0</v>
      </c>
    </row>
    <row r="1524" spans="1:17">
      <c r="A1524" t="e" vm="227">
        <v>#VALUE!</v>
      </c>
      <c r="B1524" s="2">
        <v>45880</v>
      </c>
      <c r="C1524" t="str" cm="1">
        <f t="array" aca="1" ref="C1524" ca="1">_FV(A1524,"Ticker symbol",TRUE)</f>
        <v>DFDV</v>
      </c>
      <c r="D1524" s="4">
        <v>15.23</v>
      </c>
      <c r="E1524" s="50">
        <v>-50</v>
      </c>
      <c r="F1524" s="81">
        <f>IF(Table25[[#This Row],[Number of stocks]]&gt;0,Table25[[#This Row],[Number of stocks]],0)</f>
        <v>0</v>
      </c>
      <c r="G1524" s="73">
        <f>Table25[[#This Row],[Bought]]*Table25[[#This Row],[Price]]</f>
        <v>0</v>
      </c>
      <c r="H1524">
        <f>SUMIF(Table25[[#All],[Assets]],Table25[[#This Row],[Assets]],Table25[[#All],[Bought]])</f>
        <v>387</v>
      </c>
      <c r="I1524">
        <f>SUMIF(Table25[[#All],[Assets]],Table25[[#This Row],[Assets]],Table25[[#All],[Bought Amount]])</f>
        <v>6522.1182600000002</v>
      </c>
      <c r="J1524" s="88">
        <f>IF(Table25[[#This Row],[Number of stocks]]&lt;0,Table25[[#This Row],[Number of stocks]],0)</f>
        <v>-50</v>
      </c>
      <c r="K1524" s="5">
        <f>Table25[[#This Row],[Sold]]*Table25[[#This Row],[Price]]</f>
        <v>-761.5</v>
      </c>
      <c r="L1524" s="8">
        <f>ABS(SUMIF(Table25[[#All],[Assets]],Table25[[#This Row],[Assets]],Table25[[#All],[Sold]]))</f>
        <v>387</v>
      </c>
      <c r="M1524" s="5">
        <f>ABS(SUMIF(Table25[[#All],[Assets]],Table25[[#This Row],[Assets]],Table25[[#All],[Sold Amount]]))</f>
        <v>7242.64</v>
      </c>
      <c r="N1524" s="5">
        <f>IFERROR(Table25[[#This Row],[Total sold amount]]/Table25[[#This Row],[Total Sold number of stocks]],"")</f>
        <v>18.714832041343669</v>
      </c>
      <c r="O1524" s="4">
        <f>IFERROR(Table25[[#This Row],[Total Amount bought]]/Table25[[#This Row],[Total number bought]],"")</f>
        <v>16.853018759689924</v>
      </c>
      <c r="P1524" s="4">
        <f>IFERROR((Table25[[#This Row],[Average sell price]]-Table25[[#This Row],[Average buy price]])*Table25[[#This Row],[Total Sold number of stocks]],0)</f>
        <v>720.52173999999945</v>
      </c>
      <c r="Q1524" s="85">
        <f>SUMIF(Table25[[#All],[Assets]],Table25[[#This Row],[Assets]],Table25[[#All],[Number of stocks]])</f>
        <v>0</v>
      </c>
    </row>
    <row r="1525" spans="1:17">
      <c r="A1525" t="e" vm="226">
        <v>#VALUE!</v>
      </c>
      <c r="B1525" s="2">
        <v>45880</v>
      </c>
      <c r="C1525" t="str" cm="1">
        <f t="array" aca="1" ref="C1525" ca="1">_FV(A1525,"Ticker symbol",TRUE)</f>
        <v>WGHTQ</v>
      </c>
      <c r="D1525" s="4">
        <v>34.630000000000003</v>
      </c>
      <c r="E1525" s="50">
        <v>22</v>
      </c>
      <c r="F1525" s="81">
        <f>IF(Table25[[#This Row],[Number of stocks]]&gt;0,Table25[[#This Row],[Number of stocks]],0)</f>
        <v>22</v>
      </c>
      <c r="G1525" s="73">
        <f>Table25[[#This Row],[Bought]]*Table25[[#This Row],[Price]]</f>
        <v>761.86</v>
      </c>
      <c r="H1525">
        <f>SUMIF(Table25[[#All],[Assets]],Table25[[#This Row],[Assets]],Table25[[#All],[Bought]])</f>
        <v>172</v>
      </c>
      <c r="I1525">
        <f>SUMIF(Table25[[#All],[Assets]],Table25[[#This Row],[Assets]],Table25[[#All],[Bought Amount]])</f>
        <v>5307.8900000000012</v>
      </c>
      <c r="J1525" s="88">
        <f>IF(Table25[[#This Row],[Number of stocks]]&lt;0,Table25[[#This Row],[Number of stocks]],0)</f>
        <v>0</v>
      </c>
      <c r="K1525" s="5">
        <f>Table25[[#This Row],[Sold]]*Table25[[#This Row],[Price]]</f>
        <v>0</v>
      </c>
      <c r="L1525" s="8">
        <f>ABS(SUMIF(Table25[[#All],[Assets]],Table25[[#This Row],[Assets]],Table25[[#All],[Sold]]))</f>
        <v>168</v>
      </c>
      <c r="M1525" s="5">
        <f>ABS(SUMIF(Table25[[#All],[Assets]],Table25[[#This Row],[Assets]],Table25[[#All],[Sold Amount]]))</f>
        <v>4668.4199999999992</v>
      </c>
      <c r="N1525" s="5">
        <f>IFERROR(Table25[[#This Row],[Total sold amount]]/Table25[[#This Row],[Total Sold number of stocks]],"")</f>
        <v>27.788214285714282</v>
      </c>
      <c r="O1525" s="4">
        <f>IFERROR(Table25[[#This Row],[Total Amount bought]]/Table25[[#This Row],[Total number bought]],"")</f>
        <v>30.859825581395356</v>
      </c>
      <c r="P1525" s="4">
        <f>IFERROR((Table25[[#This Row],[Average sell price]]-Table25[[#This Row],[Average buy price]])*Table25[[#This Row],[Total Sold number of stocks]],0)</f>
        <v>-516.03069767442025</v>
      </c>
      <c r="Q1525" s="85">
        <f>SUMIF(Table25[[#All],[Assets]],Table25[[#This Row],[Assets]],Table25[[#All],[Number of stocks]])</f>
        <v>4</v>
      </c>
    </row>
    <row r="1526" spans="1:17">
      <c r="A1526" t="e" vm="227">
        <v>#VALUE!</v>
      </c>
      <c r="B1526" s="2">
        <v>45880</v>
      </c>
      <c r="C1526" t="str" cm="1">
        <f t="array" aca="1" ref="C1526" ca="1">_FV(A1526,"Ticker symbol",TRUE)</f>
        <v>DFDV</v>
      </c>
      <c r="D1526" s="4">
        <v>15.14</v>
      </c>
      <c r="E1526" s="50">
        <v>-20</v>
      </c>
      <c r="F1526" s="81">
        <f>IF(Table25[[#This Row],[Number of stocks]]&gt;0,Table25[[#This Row],[Number of stocks]],0)</f>
        <v>0</v>
      </c>
      <c r="G1526" s="73">
        <f>Table25[[#This Row],[Bought]]*Table25[[#This Row],[Price]]</f>
        <v>0</v>
      </c>
      <c r="H1526">
        <f>SUMIF(Table25[[#All],[Assets]],Table25[[#This Row],[Assets]],Table25[[#All],[Bought]])</f>
        <v>387</v>
      </c>
      <c r="I1526">
        <f>SUMIF(Table25[[#All],[Assets]],Table25[[#This Row],[Assets]],Table25[[#All],[Bought Amount]])</f>
        <v>6522.1182600000002</v>
      </c>
      <c r="J1526" s="88">
        <f>IF(Table25[[#This Row],[Number of stocks]]&lt;0,Table25[[#This Row],[Number of stocks]],0)</f>
        <v>-20</v>
      </c>
      <c r="K1526" s="5">
        <f>Table25[[#This Row],[Sold]]*Table25[[#This Row],[Price]]</f>
        <v>-302.8</v>
      </c>
      <c r="L1526" s="8">
        <f>ABS(SUMIF(Table25[[#All],[Assets]],Table25[[#This Row],[Assets]],Table25[[#All],[Sold]]))</f>
        <v>387</v>
      </c>
      <c r="M1526" s="5">
        <f>ABS(SUMIF(Table25[[#All],[Assets]],Table25[[#This Row],[Assets]],Table25[[#All],[Sold Amount]]))</f>
        <v>7242.64</v>
      </c>
      <c r="N1526" s="5">
        <f>IFERROR(Table25[[#This Row],[Total sold amount]]/Table25[[#This Row],[Total Sold number of stocks]],"")</f>
        <v>18.714832041343669</v>
      </c>
      <c r="O1526" s="4">
        <f>IFERROR(Table25[[#This Row],[Total Amount bought]]/Table25[[#This Row],[Total number bought]],"")</f>
        <v>16.853018759689924</v>
      </c>
      <c r="P1526" s="4">
        <f>IFERROR((Table25[[#This Row],[Average sell price]]-Table25[[#This Row],[Average buy price]])*Table25[[#This Row],[Total Sold number of stocks]],0)</f>
        <v>720.52173999999945</v>
      </c>
      <c r="Q1526" s="85">
        <f>SUMIF(Table25[[#All],[Assets]],Table25[[#This Row],[Assets]],Table25[[#All],[Number of stocks]])</f>
        <v>0</v>
      </c>
    </row>
    <row r="1527" spans="1:17">
      <c r="A1527" t="e" vm="227">
        <v>#VALUE!</v>
      </c>
      <c r="B1527" s="2">
        <v>45881</v>
      </c>
      <c r="C1527" t="str" cm="1">
        <f t="array" aca="1" ref="C1527" ca="1">_FV(A1527,"Ticker symbol",TRUE)</f>
        <v>DFDV</v>
      </c>
      <c r="D1527" s="4">
        <v>15</v>
      </c>
      <c r="E1527" s="50">
        <v>-31</v>
      </c>
      <c r="F1527" s="81">
        <f>IF(Table25[[#This Row],[Number of stocks]]&gt;0,Table25[[#This Row],[Number of stocks]],0)</f>
        <v>0</v>
      </c>
      <c r="G1527" s="73">
        <f>Table25[[#This Row],[Bought]]*Table25[[#This Row],[Price]]</f>
        <v>0</v>
      </c>
      <c r="H1527">
        <f>SUMIF(Table25[[#All],[Assets]],Table25[[#This Row],[Assets]],Table25[[#All],[Bought]])</f>
        <v>387</v>
      </c>
      <c r="I1527">
        <f>SUMIF(Table25[[#All],[Assets]],Table25[[#This Row],[Assets]],Table25[[#All],[Bought Amount]])</f>
        <v>6522.1182600000002</v>
      </c>
      <c r="J1527" s="88">
        <f>IF(Table25[[#This Row],[Number of stocks]]&lt;0,Table25[[#This Row],[Number of stocks]],0)</f>
        <v>-31</v>
      </c>
      <c r="K1527" s="5">
        <f>Table25[[#This Row],[Sold]]*Table25[[#This Row],[Price]]</f>
        <v>-465</v>
      </c>
      <c r="L1527" s="8">
        <f>ABS(SUMIF(Table25[[#All],[Assets]],Table25[[#This Row],[Assets]],Table25[[#All],[Sold]]))</f>
        <v>387</v>
      </c>
      <c r="M1527" s="5">
        <f>ABS(SUMIF(Table25[[#All],[Assets]],Table25[[#This Row],[Assets]],Table25[[#All],[Sold Amount]]))</f>
        <v>7242.64</v>
      </c>
      <c r="N1527" s="5">
        <f>IFERROR(Table25[[#This Row],[Total sold amount]]/Table25[[#This Row],[Total Sold number of stocks]],"")</f>
        <v>18.714832041343669</v>
      </c>
      <c r="O1527" s="4">
        <f>IFERROR(Table25[[#This Row],[Total Amount bought]]/Table25[[#This Row],[Total number bought]],"")</f>
        <v>16.853018759689924</v>
      </c>
      <c r="P1527" s="4">
        <f>IFERROR((Table25[[#This Row],[Average sell price]]-Table25[[#This Row],[Average buy price]])*Table25[[#This Row],[Total Sold number of stocks]],0)</f>
        <v>720.52173999999945</v>
      </c>
      <c r="Q1527" s="85">
        <f>SUMIF(Table25[[#All],[Assets]],Table25[[#This Row],[Assets]],Table25[[#All],[Number of stocks]])</f>
        <v>0</v>
      </c>
    </row>
    <row r="1528" spans="1:17">
      <c r="A1528" t="e" vm="90">
        <v>#VALUE!</v>
      </c>
      <c r="B1528" s="2">
        <v>45881</v>
      </c>
      <c r="C1528" t="str" cm="1">
        <f t="array" aca="1" ref="C1528" ca="1">_FV(A1528,"Ticker symbol",TRUE)</f>
        <v>ASTS</v>
      </c>
      <c r="D1528" s="4">
        <v>54.65</v>
      </c>
      <c r="E1528" s="50">
        <v>8</v>
      </c>
      <c r="F1528" s="81">
        <f>IF(Table25[[#This Row],[Number of stocks]]&gt;0,Table25[[#This Row],[Number of stocks]],0)</f>
        <v>8</v>
      </c>
      <c r="G1528" s="73">
        <f>Table25[[#This Row],[Bought]]*Table25[[#This Row],[Price]]</f>
        <v>437.2</v>
      </c>
      <c r="H1528">
        <f>SUMIF(Table25[[#All],[Assets]],Table25[[#This Row],[Assets]],Table25[[#All],[Bought]])</f>
        <v>47</v>
      </c>
      <c r="I1528">
        <f>SUMIF(Table25[[#All],[Assets]],Table25[[#This Row],[Assets]],Table25[[#All],[Bought Amount]])</f>
        <v>1690.75</v>
      </c>
      <c r="J1528" s="88">
        <f>IF(Table25[[#This Row],[Number of stocks]]&lt;0,Table25[[#This Row],[Number of stocks]],0)</f>
        <v>0</v>
      </c>
      <c r="K1528" s="5">
        <f>Table25[[#This Row],[Sold]]*Table25[[#This Row],[Price]]</f>
        <v>0</v>
      </c>
      <c r="L1528" s="8">
        <f>ABS(SUMIF(Table25[[#All],[Assets]],Table25[[#This Row],[Assets]],Table25[[#All],[Sold]]))</f>
        <v>37</v>
      </c>
      <c r="M1528" s="5">
        <f>ABS(SUMIF(Table25[[#All],[Assets]],Table25[[#This Row],[Assets]],Table25[[#All],[Sold Amount]]))</f>
        <v>2479.08</v>
      </c>
      <c r="N1528" s="5">
        <f>IFERROR(Table25[[#This Row],[Total sold amount]]/Table25[[#This Row],[Total Sold number of stocks]],"")</f>
        <v>67.002162162162165</v>
      </c>
      <c r="O1528" s="4">
        <f>IFERROR(Table25[[#This Row],[Total Amount bought]]/Table25[[#This Row],[Total number bought]],"")</f>
        <v>35.973404255319146</v>
      </c>
      <c r="P1528" s="4">
        <f>IFERROR((Table25[[#This Row],[Average sell price]]-Table25[[#This Row],[Average buy price]])*Table25[[#This Row],[Total Sold number of stocks]],0)</f>
        <v>1148.0640425531917</v>
      </c>
      <c r="Q1528" s="85">
        <f>SUMIF(Table25[[#All],[Assets]],Table25[[#This Row],[Assets]],Table25[[#All],[Number of stocks]])</f>
        <v>10</v>
      </c>
    </row>
    <row r="1529" spans="1:17">
      <c r="A1529" t="e" vm="257">
        <v>#VALUE!</v>
      </c>
      <c r="B1529" s="2">
        <v>45881</v>
      </c>
      <c r="C1529" t="str" cm="1">
        <f t="array" aca="1" ref="C1529" ca="1">_FV(A1529,"Ticker symbol",TRUE)</f>
        <v>CRSP</v>
      </c>
      <c r="D1529" s="4">
        <v>56.32</v>
      </c>
      <c r="E1529" s="50">
        <v>-9</v>
      </c>
      <c r="F1529" s="81">
        <f>IF(Table25[[#This Row],[Number of stocks]]&gt;0,Table25[[#This Row],[Number of stocks]],0)</f>
        <v>0</v>
      </c>
      <c r="G1529" s="73">
        <f>Table25[[#This Row],[Bought]]*Table25[[#This Row],[Price]]</f>
        <v>0</v>
      </c>
      <c r="H1529">
        <f>SUMIF(Table25[[#All],[Assets]],Table25[[#This Row],[Assets]],Table25[[#All],[Bought]])</f>
        <v>12</v>
      </c>
      <c r="I1529">
        <f>SUMIF(Table25[[#All],[Assets]],Table25[[#This Row],[Assets]],Table25[[#All],[Bought Amount]])</f>
        <v>558.12</v>
      </c>
      <c r="J1529" s="88">
        <f>IF(Table25[[#This Row],[Number of stocks]]&lt;0,Table25[[#This Row],[Number of stocks]],0)</f>
        <v>-9</v>
      </c>
      <c r="K1529" s="5">
        <f>Table25[[#This Row],[Sold]]*Table25[[#This Row],[Price]]</f>
        <v>-506.88</v>
      </c>
      <c r="L1529" s="8">
        <f>ABS(SUMIF(Table25[[#All],[Assets]],Table25[[#This Row],[Assets]],Table25[[#All],[Sold]]))</f>
        <v>12</v>
      </c>
      <c r="M1529" s="5">
        <f>ABS(SUMIF(Table25[[#All],[Assets]],Table25[[#This Row],[Assets]],Table25[[#All],[Sold Amount]]))</f>
        <v>674.1</v>
      </c>
      <c r="N1529" s="5">
        <f>IFERROR(Table25[[#This Row],[Total sold amount]]/Table25[[#This Row],[Total Sold number of stocks]],"")</f>
        <v>56.175000000000004</v>
      </c>
      <c r="O1529" s="4">
        <f>IFERROR(Table25[[#This Row],[Total Amount bought]]/Table25[[#This Row],[Total number bought]],"")</f>
        <v>46.51</v>
      </c>
      <c r="P1529" s="4">
        <f>IFERROR((Table25[[#This Row],[Average sell price]]-Table25[[#This Row],[Average buy price]])*Table25[[#This Row],[Total Sold number of stocks]],0)</f>
        <v>115.98000000000008</v>
      </c>
      <c r="Q1529" s="85">
        <f>SUMIF(Table25[[#All],[Assets]],Table25[[#This Row],[Assets]],Table25[[#All],[Number of stocks]])</f>
        <v>0</v>
      </c>
    </row>
    <row r="1530" spans="1:17">
      <c r="A1530" t="e" vm="76">
        <v>#VALUE!</v>
      </c>
      <c r="B1530" s="2">
        <v>45881</v>
      </c>
      <c r="C1530" t="str" cm="1">
        <f t="array" aca="1" ref="C1530" ca="1">_FV(A1530,"Ticker symbol",TRUE)</f>
        <v>TEM</v>
      </c>
      <c r="D1530" s="4">
        <v>62.82</v>
      </c>
      <c r="E1530" s="50">
        <v>8</v>
      </c>
      <c r="F1530" s="81">
        <f>IF(Table25[[#This Row],[Number of stocks]]&gt;0,Table25[[#This Row],[Number of stocks]],0)</f>
        <v>8</v>
      </c>
      <c r="G1530" s="73">
        <f>Table25[[#This Row],[Bought]]*Table25[[#This Row],[Price]]</f>
        <v>502.56</v>
      </c>
      <c r="H1530">
        <f>SUMIF(Table25[[#All],[Assets]],Table25[[#This Row],[Assets]],Table25[[#All],[Bought]])</f>
        <v>29</v>
      </c>
      <c r="I1530">
        <f>SUMIF(Table25[[#All],[Assets]],Table25[[#This Row],[Assets]],Table25[[#All],[Bought Amount]])</f>
        <v>1735.3899999999999</v>
      </c>
      <c r="J1530" s="88">
        <f>IF(Table25[[#This Row],[Number of stocks]]&lt;0,Table25[[#This Row],[Number of stocks]],0)</f>
        <v>0</v>
      </c>
      <c r="K1530" s="5">
        <f>Table25[[#This Row],[Sold]]*Table25[[#This Row],[Price]]</f>
        <v>0</v>
      </c>
      <c r="L1530" s="8">
        <f>ABS(SUMIF(Table25[[#All],[Assets]],Table25[[#This Row],[Assets]],Table25[[#All],[Sold]]))</f>
        <v>29</v>
      </c>
      <c r="M1530" s="5">
        <f>ABS(SUMIF(Table25[[#All],[Assets]],Table25[[#This Row],[Assets]],Table25[[#All],[Sold Amount]]))</f>
        <v>1886.1999999999998</v>
      </c>
      <c r="N1530" s="5">
        <f>IFERROR(Table25[[#This Row],[Total sold amount]]/Table25[[#This Row],[Total Sold number of stocks]],"")</f>
        <v>65.041379310344823</v>
      </c>
      <c r="O1530" s="4">
        <f>IFERROR(Table25[[#This Row],[Total Amount bought]]/Table25[[#This Row],[Total number bought]],"")</f>
        <v>59.841034482758616</v>
      </c>
      <c r="P1530" s="4">
        <f>IFERROR((Table25[[#This Row],[Average sell price]]-Table25[[#This Row],[Average buy price]])*Table25[[#This Row],[Total Sold number of stocks]],0)</f>
        <v>150.81</v>
      </c>
      <c r="Q1530" s="85">
        <f>SUMIF(Table25[[#All],[Assets]],Table25[[#This Row],[Assets]],Table25[[#All],[Number of stocks]])</f>
        <v>0</v>
      </c>
    </row>
    <row r="1531" spans="1:17">
      <c r="A1531" t="e" vm="76">
        <v>#VALUE!</v>
      </c>
      <c r="B1531" s="2">
        <v>45881</v>
      </c>
      <c r="C1531" t="str" cm="1">
        <f t="array" aca="1" ref="C1531" ca="1">_FV(A1531,"Ticker symbol",TRUE)</f>
        <v>TEM</v>
      </c>
      <c r="D1531" s="4">
        <v>63.45</v>
      </c>
      <c r="E1531" s="50">
        <v>3</v>
      </c>
      <c r="F1531" s="81">
        <f>IF(Table25[[#This Row],[Number of stocks]]&gt;0,Table25[[#This Row],[Number of stocks]],0)</f>
        <v>3</v>
      </c>
      <c r="G1531" s="73">
        <f>Table25[[#This Row],[Bought]]*Table25[[#This Row],[Price]]</f>
        <v>190.35000000000002</v>
      </c>
      <c r="H1531">
        <f>SUMIF(Table25[[#All],[Assets]],Table25[[#This Row],[Assets]],Table25[[#All],[Bought]])</f>
        <v>29</v>
      </c>
      <c r="I1531">
        <f>SUMIF(Table25[[#All],[Assets]],Table25[[#This Row],[Assets]],Table25[[#All],[Bought Amount]])</f>
        <v>1735.3899999999999</v>
      </c>
      <c r="J1531" s="88">
        <f>IF(Table25[[#This Row],[Number of stocks]]&lt;0,Table25[[#This Row],[Number of stocks]],0)</f>
        <v>0</v>
      </c>
      <c r="K1531" s="5">
        <f>Table25[[#This Row],[Sold]]*Table25[[#This Row],[Price]]</f>
        <v>0</v>
      </c>
      <c r="L1531" s="8">
        <f>ABS(SUMIF(Table25[[#All],[Assets]],Table25[[#This Row],[Assets]],Table25[[#All],[Sold]]))</f>
        <v>29</v>
      </c>
      <c r="M1531" s="5">
        <f>ABS(SUMIF(Table25[[#All],[Assets]],Table25[[#This Row],[Assets]],Table25[[#All],[Sold Amount]]))</f>
        <v>1886.1999999999998</v>
      </c>
      <c r="N1531" s="5">
        <f>IFERROR(Table25[[#This Row],[Total sold amount]]/Table25[[#This Row],[Total Sold number of stocks]],"")</f>
        <v>65.041379310344823</v>
      </c>
      <c r="O1531" s="4">
        <f>IFERROR(Table25[[#This Row],[Total Amount bought]]/Table25[[#This Row],[Total number bought]],"")</f>
        <v>59.841034482758616</v>
      </c>
      <c r="P1531" s="4">
        <f>IFERROR((Table25[[#This Row],[Average sell price]]-Table25[[#This Row],[Average buy price]])*Table25[[#This Row],[Total Sold number of stocks]],0)</f>
        <v>150.81</v>
      </c>
      <c r="Q1531" s="85">
        <f>SUMIF(Table25[[#All],[Assets]],Table25[[#This Row],[Assets]],Table25[[#All],[Number of stocks]])</f>
        <v>0</v>
      </c>
    </row>
    <row r="1532" spans="1:17">
      <c r="A1532" t="e" vm="91">
        <v>#VALUE!</v>
      </c>
      <c r="B1532" s="2">
        <v>45881</v>
      </c>
      <c r="C1532" t="str" cm="1">
        <f t="array" aca="1" ref="C1532" ca="1">_FV(A1532,"Ticker symbol",TRUE)</f>
        <v>RKLB</v>
      </c>
      <c r="D1532" s="4">
        <v>44.88</v>
      </c>
      <c r="E1532" s="50">
        <v>1</v>
      </c>
      <c r="F1532" s="81">
        <f>IF(Table25[[#This Row],[Number of stocks]]&gt;0,Table25[[#This Row],[Number of stocks]],0)</f>
        <v>1</v>
      </c>
      <c r="G1532" s="73">
        <f>Table25[[#This Row],[Bought]]*Table25[[#This Row],[Price]]</f>
        <v>44.88</v>
      </c>
      <c r="H1532">
        <f>SUMIF(Table25[[#All],[Assets]],Table25[[#This Row],[Assets]],Table25[[#All],[Bought]])</f>
        <v>22</v>
      </c>
      <c r="I1532">
        <f>SUMIF(Table25[[#All],[Assets]],Table25[[#This Row],[Assets]],Table25[[#All],[Bought Amount]])</f>
        <v>1045.0999999999999</v>
      </c>
      <c r="J1532" s="88">
        <f>IF(Table25[[#This Row],[Number of stocks]]&lt;0,Table25[[#This Row],[Number of stocks]],0)</f>
        <v>0</v>
      </c>
      <c r="K1532" s="5">
        <f>Table25[[#This Row],[Sold]]*Table25[[#This Row],[Price]]</f>
        <v>0</v>
      </c>
      <c r="L1532" s="8">
        <f>ABS(SUMIF(Table25[[#All],[Assets]],Table25[[#This Row],[Assets]],Table25[[#All],[Sold]]))</f>
        <v>21</v>
      </c>
      <c r="M1532" s="5">
        <f>ABS(SUMIF(Table25[[#All],[Assets]],Table25[[#This Row],[Assets]],Table25[[#All],[Sold Amount]]))</f>
        <v>1696.64</v>
      </c>
      <c r="N1532" s="5">
        <f>IFERROR(Table25[[#This Row],[Total sold amount]]/Table25[[#This Row],[Total Sold number of stocks]],"")</f>
        <v>80.792380952380952</v>
      </c>
      <c r="O1532" s="4">
        <f>IFERROR(Table25[[#This Row],[Total Amount bought]]/Table25[[#This Row],[Total number bought]],"")</f>
        <v>47.50454545454545</v>
      </c>
      <c r="P1532" s="4">
        <f>IFERROR((Table25[[#This Row],[Average sell price]]-Table25[[#This Row],[Average buy price]])*Table25[[#This Row],[Total Sold number of stocks]],0)</f>
        <v>699.04454545454553</v>
      </c>
      <c r="Q1532" s="85">
        <f>SUMIF(Table25[[#All],[Assets]],Table25[[#This Row],[Assets]],Table25[[#All],[Number of stocks]])</f>
        <v>1</v>
      </c>
    </row>
    <row r="1533" spans="1:17">
      <c r="A1533" t="e" vm="568">
        <v>#VALUE!</v>
      </c>
      <c r="B1533" s="2">
        <v>45881</v>
      </c>
      <c r="C1533" t="str" cm="1">
        <f t="array" aca="1" ref="C1533" ca="1">_FV(A1533,"Ticker symbol",TRUE)</f>
        <v>LRMR</v>
      </c>
      <c r="D1533" s="4">
        <v>3.73</v>
      </c>
      <c r="E1533" s="50">
        <v>-65</v>
      </c>
      <c r="F1533" s="81">
        <f>IF(Table25[[#This Row],[Number of stocks]]&gt;0,Table25[[#This Row],[Number of stocks]],0)</f>
        <v>0</v>
      </c>
      <c r="G1533" s="73">
        <f>Table25[[#This Row],[Bought]]*Table25[[#This Row],[Price]]</f>
        <v>0</v>
      </c>
      <c r="H1533">
        <f>SUMIF(Table25[[#All],[Assets]],Table25[[#This Row],[Assets]],Table25[[#All],[Bought]])</f>
        <v>130</v>
      </c>
      <c r="I1533">
        <f>SUMIF(Table25[[#All],[Assets]],Table25[[#This Row],[Assets]],Table25[[#All],[Bought Amount]])</f>
        <v>449.8</v>
      </c>
      <c r="J1533" s="88">
        <f>IF(Table25[[#This Row],[Number of stocks]]&lt;0,Table25[[#This Row],[Number of stocks]],0)</f>
        <v>-65</v>
      </c>
      <c r="K1533" s="5">
        <f>Table25[[#This Row],[Sold]]*Table25[[#This Row],[Price]]</f>
        <v>-242.45</v>
      </c>
      <c r="L1533" s="8">
        <f>ABS(SUMIF(Table25[[#All],[Assets]],Table25[[#This Row],[Assets]],Table25[[#All],[Sold]]))</f>
        <v>130</v>
      </c>
      <c r="M1533" s="5">
        <f>ABS(SUMIF(Table25[[#All],[Assets]],Table25[[#This Row],[Assets]],Table25[[#All],[Sold Amount]]))</f>
        <v>475.79999999999995</v>
      </c>
      <c r="N1533" s="5">
        <f>IFERROR(Table25[[#This Row],[Total sold amount]]/Table25[[#This Row],[Total Sold number of stocks]],"")</f>
        <v>3.6599999999999997</v>
      </c>
      <c r="O1533" s="4">
        <f>IFERROR(Table25[[#This Row],[Total Amount bought]]/Table25[[#This Row],[Total number bought]],"")</f>
        <v>3.46</v>
      </c>
      <c r="P1533" s="4">
        <f>IFERROR((Table25[[#This Row],[Average sell price]]-Table25[[#This Row],[Average buy price]])*Table25[[#This Row],[Total Sold number of stocks]],0)</f>
        <v>25.999999999999964</v>
      </c>
      <c r="Q1533" s="85">
        <f>SUMIF(Table25[[#All],[Assets]],Table25[[#This Row],[Assets]],Table25[[#All],[Number of stocks]])</f>
        <v>0</v>
      </c>
    </row>
    <row r="1534" spans="1:17">
      <c r="A1534" t="e" vm="15">
        <v>#VALUE!</v>
      </c>
      <c r="B1534" s="2">
        <v>45881</v>
      </c>
      <c r="C1534" t="str" cm="1">
        <f t="array" aca="1" ref="C1534" ca="1">_FV(A1534,"Ticker symbol",TRUE)</f>
        <v>INDI</v>
      </c>
      <c r="D1534" s="4">
        <v>4.43</v>
      </c>
      <c r="E1534" s="50">
        <v>-140</v>
      </c>
      <c r="F1534" s="81">
        <f>IF(Table25[[#This Row],[Number of stocks]]&gt;0,Table25[[#This Row],[Number of stocks]],0)</f>
        <v>0</v>
      </c>
      <c r="G1534" s="73">
        <f>Table25[[#This Row],[Bought]]*Table25[[#This Row],[Price]]</f>
        <v>0</v>
      </c>
      <c r="H1534">
        <f>SUMIF(Table25[[#All],[Assets]],Table25[[#This Row],[Assets]],Table25[[#All],[Bought]])</f>
        <v>290</v>
      </c>
      <c r="I1534">
        <f>SUMIF(Table25[[#All],[Assets]],Table25[[#This Row],[Assets]],Table25[[#All],[Bought Amount]])</f>
        <v>1400.8</v>
      </c>
      <c r="J1534" s="88">
        <f>IF(Table25[[#This Row],[Number of stocks]]&lt;0,Table25[[#This Row],[Number of stocks]],0)</f>
        <v>-140</v>
      </c>
      <c r="K1534" s="5">
        <f>Table25[[#This Row],[Sold]]*Table25[[#This Row],[Price]]</f>
        <v>-620.19999999999993</v>
      </c>
      <c r="L1534" s="8">
        <f>ABS(SUMIF(Table25[[#All],[Assets]],Table25[[#This Row],[Assets]],Table25[[#All],[Sold]]))</f>
        <v>290</v>
      </c>
      <c r="M1534" s="5">
        <f>ABS(SUMIF(Table25[[#All],[Assets]],Table25[[#This Row],[Assets]],Table25[[#All],[Sold Amount]]))</f>
        <v>1202.1999999999998</v>
      </c>
      <c r="N1534" s="5">
        <f>IFERROR(Table25[[#This Row],[Total sold amount]]/Table25[[#This Row],[Total Sold number of stocks]],"")</f>
        <v>4.1455172413793093</v>
      </c>
      <c r="O1534" s="4">
        <f>IFERROR(Table25[[#This Row],[Total Amount bought]]/Table25[[#This Row],[Total number bought]],"")</f>
        <v>4.8303448275862069</v>
      </c>
      <c r="P1534" s="4">
        <f>IFERROR((Table25[[#This Row],[Average sell price]]-Table25[[#This Row],[Average buy price]])*Table25[[#This Row],[Total Sold number of stocks]],0)</f>
        <v>-198.60000000000028</v>
      </c>
      <c r="Q1534" s="85">
        <f>SUMIF(Table25[[#All],[Assets]],Table25[[#This Row],[Assets]],Table25[[#All],[Number of stocks]])</f>
        <v>0</v>
      </c>
    </row>
    <row r="1535" spans="1:17">
      <c r="A1535" t="e" vm="200">
        <v>#VALUE!</v>
      </c>
      <c r="B1535" s="2">
        <v>45881</v>
      </c>
      <c r="C1535" t="str" cm="1">
        <f t="array" aca="1" ref="C1535" ca="1">_FV(A1535,"Ticker symbol",TRUE)</f>
        <v>IMSR</v>
      </c>
      <c r="D1535" s="4">
        <v>11.68</v>
      </c>
      <c r="E1535" s="50">
        <v>73</v>
      </c>
      <c r="F1535" s="81">
        <f>IF(Table25[[#This Row],[Number of stocks]]&gt;0,Table25[[#This Row],[Number of stocks]],0)</f>
        <v>73</v>
      </c>
      <c r="G1535" s="73">
        <f>Table25[[#This Row],[Bought]]*Table25[[#This Row],[Price]]</f>
        <v>852.64</v>
      </c>
      <c r="H1535">
        <f>SUMIF(Table25[[#All],[Assets]],Table25[[#This Row],[Assets]],Table25[[#All],[Bought]])</f>
        <v>386</v>
      </c>
      <c r="I1535">
        <f>SUMIF(Table25[[#All],[Assets]],Table25[[#This Row],[Assets]],Table25[[#All],[Bought Amount]])</f>
        <v>4519.0499999999993</v>
      </c>
      <c r="J1535" s="88">
        <f>IF(Table25[[#This Row],[Number of stocks]]&lt;0,Table25[[#This Row],[Number of stocks]],0)</f>
        <v>0</v>
      </c>
      <c r="K1535" s="5">
        <f>Table25[[#This Row],[Sold]]*Table25[[#This Row],[Price]]</f>
        <v>0</v>
      </c>
      <c r="L1535" s="8">
        <f>ABS(SUMIF(Table25[[#All],[Assets]],Table25[[#This Row],[Assets]],Table25[[#All],[Sold]]))</f>
        <v>288</v>
      </c>
      <c r="M1535" s="5">
        <f>ABS(SUMIF(Table25[[#All],[Assets]],Table25[[#This Row],[Assets]],Table25[[#All],[Sold Amount]]))</f>
        <v>3200.16</v>
      </c>
      <c r="N1535" s="5">
        <f>IFERROR(Table25[[#This Row],[Total sold amount]]/Table25[[#This Row],[Total Sold number of stocks]],"")</f>
        <v>11.111666666666666</v>
      </c>
      <c r="O1535" s="4">
        <f>IFERROR(Table25[[#This Row],[Total Amount bought]]/Table25[[#This Row],[Total number bought]],"")</f>
        <v>11.707383419689117</v>
      </c>
      <c r="P1535" s="4">
        <f>IFERROR((Table25[[#This Row],[Average sell price]]-Table25[[#This Row],[Average buy price]])*Table25[[#This Row],[Total Sold number of stocks]],0)</f>
        <v>-171.56642487046588</v>
      </c>
      <c r="Q1535" s="85">
        <f>SUMIF(Table25[[#All],[Assets]],Table25[[#This Row],[Assets]],Table25[[#All],[Number of stocks]])</f>
        <v>98</v>
      </c>
    </row>
    <row r="1536" spans="1:17">
      <c r="A1536" t="e" vm="200">
        <v>#VALUE!</v>
      </c>
      <c r="B1536" s="2">
        <v>45881</v>
      </c>
      <c r="C1536" t="str" cm="1">
        <f t="array" aca="1" ref="C1536" ca="1">_FV(A1536,"Ticker symbol",TRUE)</f>
        <v>IMSR</v>
      </c>
      <c r="D1536" s="4">
        <v>11.85</v>
      </c>
      <c r="E1536" s="50">
        <v>25</v>
      </c>
      <c r="F1536" s="81">
        <f>IF(Table25[[#This Row],[Number of stocks]]&gt;0,Table25[[#This Row],[Number of stocks]],0)</f>
        <v>25</v>
      </c>
      <c r="G1536" s="73">
        <f>Table25[[#This Row],[Bought]]*Table25[[#This Row],[Price]]</f>
        <v>296.25</v>
      </c>
      <c r="H1536">
        <f>SUMIF(Table25[[#All],[Assets]],Table25[[#This Row],[Assets]],Table25[[#All],[Bought]])</f>
        <v>386</v>
      </c>
      <c r="I1536">
        <f>SUMIF(Table25[[#All],[Assets]],Table25[[#This Row],[Assets]],Table25[[#All],[Bought Amount]])</f>
        <v>4519.0499999999993</v>
      </c>
      <c r="J1536" s="88">
        <f>IF(Table25[[#This Row],[Number of stocks]]&lt;0,Table25[[#This Row],[Number of stocks]],0)</f>
        <v>0</v>
      </c>
      <c r="K1536" s="5">
        <f>Table25[[#This Row],[Sold]]*Table25[[#This Row],[Price]]</f>
        <v>0</v>
      </c>
      <c r="L1536" s="8">
        <f>ABS(SUMIF(Table25[[#All],[Assets]],Table25[[#This Row],[Assets]],Table25[[#All],[Sold]]))</f>
        <v>288</v>
      </c>
      <c r="M1536" s="5">
        <f>ABS(SUMIF(Table25[[#All],[Assets]],Table25[[#This Row],[Assets]],Table25[[#All],[Sold Amount]]))</f>
        <v>3200.16</v>
      </c>
      <c r="N1536" s="5">
        <f>IFERROR(Table25[[#This Row],[Total sold amount]]/Table25[[#This Row],[Total Sold number of stocks]],"")</f>
        <v>11.111666666666666</v>
      </c>
      <c r="O1536" s="4">
        <f>IFERROR(Table25[[#This Row],[Total Amount bought]]/Table25[[#This Row],[Total number bought]],"")</f>
        <v>11.707383419689117</v>
      </c>
      <c r="P1536" s="4">
        <f>IFERROR((Table25[[#This Row],[Average sell price]]-Table25[[#This Row],[Average buy price]])*Table25[[#This Row],[Total Sold number of stocks]],0)</f>
        <v>-171.56642487046588</v>
      </c>
      <c r="Q1536" s="85">
        <f>SUMIF(Table25[[#All],[Assets]],Table25[[#This Row],[Assets]],Table25[[#All],[Number of stocks]])</f>
        <v>98</v>
      </c>
    </row>
    <row r="1537" spans="1:17">
      <c r="A1537" t="e" vm="232">
        <v>#VALUE!</v>
      </c>
      <c r="B1537" s="2">
        <v>45882</v>
      </c>
      <c r="C1537" t="str" cm="1">
        <f t="array" aca="1" ref="C1537" ca="1">_FV(A1537,"Ticker symbol",TRUE)</f>
        <v>FEIM</v>
      </c>
      <c r="D1537" s="4">
        <v>31.3</v>
      </c>
      <c r="E1537" s="50">
        <v>20</v>
      </c>
      <c r="F1537" s="81">
        <f>IF(Table25[[#This Row],[Number of stocks]]&gt;0,Table25[[#This Row],[Number of stocks]],0)</f>
        <v>20</v>
      </c>
      <c r="G1537" s="73">
        <f>Table25[[#This Row],[Bought]]*Table25[[#This Row],[Price]]</f>
        <v>626</v>
      </c>
      <c r="H1537">
        <f>SUMIF(Table25[[#All],[Assets]],Table25[[#This Row],[Assets]],Table25[[#All],[Bought]])</f>
        <v>44</v>
      </c>
      <c r="I1537">
        <f>SUMIF(Table25[[#All],[Assets]],Table25[[#This Row],[Assets]],Table25[[#All],[Bought Amount]])</f>
        <v>1365.1</v>
      </c>
      <c r="J1537" s="88">
        <f>IF(Table25[[#This Row],[Number of stocks]]&lt;0,Table25[[#This Row],[Number of stocks]],0)</f>
        <v>0</v>
      </c>
      <c r="K1537" s="5">
        <f>Table25[[#This Row],[Sold]]*Table25[[#This Row],[Price]]</f>
        <v>0</v>
      </c>
      <c r="L1537" s="8">
        <f>ABS(SUMIF(Table25[[#All],[Assets]],Table25[[#This Row],[Assets]],Table25[[#All],[Sold]]))</f>
        <v>44</v>
      </c>
      <c r="M1537" s="5">
        <f>ABS(SUMIF(Table25[[#All],[Assets]],Table25[[#This Row],[Assets]],Table25[[#All],[Sold Amount]]))</f>
        <v>1369.4299999999998</v>
      </c>
      <c r="N1537" s="5">
        <f>IFERROR(Table25[[#This Row],[Total sold amount]]/Table25[[#This Row],[Total Sold number of stocks]],"")</f>
        <v>31.123409090909089</v>
      </c>
      <c r="O1537" s="4">
        <f>IFERROR(Table25[[#This Row],[Total Amount bought]]/Table25[[#This Row],[Total number bought]],"")</f>
        <v>31.024999999999999</v>
      </c>
      <c r="P1537" s="4">
        <f>IFERROR((Table25[[#This Row],[Average sell price]]-Table25[[#This Row],[Average buy price]])*Table25[[#This Row],[Total Sold number of stocks]],0)</f>
        <v>4.3299999999999699</v>
      </c>
      <c r="Q1537" s="85">
        <f>SUMIF(Table25[[#All],[Assets]],Table25[[#This Row],[Assets]],Table25[[#All],[Number of stocks]])</f>
        <v>0</v>
      </c>
    </row>
    <row r="1538" spans="1:17">
      <c r="A1538" t="e" vm="26">
        <v>#VALUE!</v>
      </c>
      <c r="B1538" s="2">
        <v>45882</v>
      </c>
      <c r="C1538" t="str" cm="1">
        <f t="array" aca="1" ref="C1538" ca="1">_FV(A1538,"Ticker symbol",TRUE)</f>
        <v>AEHR</v>
      </c>
      <c r="D1538" s="4">
        <v>19.940000000000001</v>
      </c>
      <c r="E1538" s="50">
        <v>-46</v>
      </c>
      <c r="F1538" s="81">
        <f>IF(Table25[[#This Row],[Number of stocks]]&gt;0,Table25[[#This Row],[Number of stocks]],0)</f>
        <v>0</v>
      </c>
      <c r="G1538" s="73">
        <f>Table25[[#This Row],[Bought]]*Table25[[#This Row],[Price]]</f>
        <v>0</v>
      </c>
      <c r="H1538">
        <f>SUMIF(Table25[[#All],[Assets]],Table25[[#This Row],[Assets]],Table25[[#All],[Bought]])</f>
        <v>559</v>
      </c>
      <c r="I1538">
        <f>SUMIF(Table25[[#All],[Assets]],Table25[[#This Row],[Assets]],Table25[[#All],[Bought Amount]])</f>
        <v>7405.6399999999994</v>
      </c>
      <c r="J1538" s="88">
        <f>IF(Table25[[#This Row],[Number of stocks]]&lt;0,Table25[[#This Row],[Number of stocks]],0)</f>
        <v>-46</v>
      </c>
      <c r="K1538" s="5">
        <f>Table25[[#This Row],[Sold]]*Table25[[#This Row],[Price]]</f>
        <v>-917.24</v>
      </c>
      <c r="L1538" s="8">
        <f>ABS(SUMIF(Table25[[#All],[Assets]],Table25[[#This Row],[Assets]],Table25[[#All],[Sold]]))</f>
        <v>539</v>
      </c>
      <c r="M1538" s="5">
        <f>ABS(SUMIF(Table25[[#All],[Assets]],Table25[[#This Row],[Assets]],Table25[[#All],[Sold Amount]]))</f>
        <v>9662.32</v>
      </c>
      <c r="N1538" s="5">
        <f>IFERROR(Table25[[#This Row],[Total sold amount]]/Table25[[#This Row],[Total Sold number of stocks]],"")</f>
        <v>17.92638218923933</v>
      </c>
      <c r="O1538" s="4">
        <f>IFERROR(Table25[[#This Row],[Total Amount bought]]/Table25[[#This Row],[Total number bought]],"")</f>
        <v>13.248014311270124</v>
      </c>
      <c r="P1538" s="4">
        <f>IFERROR((Table25[[#This Row],[Average sell price]]-Table25[[#This Row],[Average buy price]])*Table25[[#This Row],[Total Sold number of stocks]],0)</f>
        <v>2521.6402862254022</v>
      </c>
      <c r="Q1538" s="85">
        <f>SUMIF(Table25[[#All],[Assets]],Table25[[#This Row],[Assets]],Table25[[#All],[Number of stocks]])</f>
        <v>20</v>
      </c>
    </row>
    <row r="1539" spans="1:17">
      <c r="A1539" t="e" vm="7">
        <v>#VALUE!</v>
      </c>
      <c r="B1539" s="2">
        <v>45882</v>
      </c>
      <c r="C1539" t="str" cm="1">
        <f t="array" aca="1" ref="C1539" ca="1">_FV(A1539,"Ticker symbol",TRUE)</f>
        <v>ONDS</v>
      </c>
      <c r="D1539" s="4">
        <v>3.59</v>
      </c>
      <c r="E1539" s="50">
        <v>-145</v>
      </c>
      <c r="F1539" s="81">
        <f>IF(Table25[[#This Row],[Number of stocks]]&gt;0,Table25[[#This Row],[Number of stocks]],0)</f>
        <v>0</v>
      </c>
      <c r="G1539" s="73">
        <f>Table25[[#This Row],[Bought]]*Table25[[#This Row],[Price]]</f>
        <v>0</v>
      </c>
      <c r="H1539">
        <f>SUMIF(Table25[[#All],[Assets]],Table25[[#This Row],[Assets]],Table25[[#All],[Bought]])</f>
        <v>295</v>
      </c>
      <c r="I1539">
        <f>SUMIF(Table25[[#All],[Assets]],Table25[[#This Row],[Assets]],Table25[[#All],[Bought Amount]])</f>
        <v>513.29999999999995</v>
      </c>
      <c r="J1539" s="88">
        <f>IF(Table25[[#This Row],[Number of stocks]]&lt;0,Table25[[#This Row],[Number of stocks]],0)</f>
        <v>-145</v>
      </c>
      <c r="K1539" s="5">
        <f>Table25[[#This Row],[Sold]]*Table25[[#This Row],[Price]]</f>
        <v>-520.54999999999995</v>
      </c>
      <c r="L1539" s="8">
        <f>ABS(SUMIF(Table25[[#All],[Assets]],Table25[[#This Row],[Assets]],Table25[[#All],[Sold]]))</f>
        <v>295</v>
      </c>
      <c r="M1539" s="5">
        <f>ABS(SUMIF(Table25[[#All],[Assets]],Table25[[#This Row],[Assets]],Table25[[#All],[Sold Amount]]))</f>
        <v>1039.55</v>
      </c>
      <c r="N1539" s="5">
        <f>IFERROR(Table25[[#This Row],[Total sold amount]]/Table25[[#This Row],[Total Sold number of stocks]],"")</f>
        <v>3.5238983050847454</v>
      </c>
      <c r="O1539" s="4">
        <f>IFERROR(Table25[[#This Row],[Total Amount bought]]/Table25[[#This Row],[Total number bought]],"")</f>
        <v>1.7399999999999998</v>
      </c>
      <c r="P1539" s="4">
        <f>IFERROR((Table25[[#This Row],[Average sell price]]-Table25[[#This Row],[Average buy price]])*Table25[[#This Row],[Total Sold number of stocks]],0)</f>
        <v>526.25</v>
      </c>
      <c r="Q1539" s="85">
        <f>SUMIF(Table25[[#All],[Assets]],Table25[[#This Row],[Assets]],Table25[[#All],[Number of stocks]])</f>
        <v>0</v>
      </c>
    </row>
    <row r="1540" spans="1:17">
      <c r="A1540" t="e" vm="11">
        <v>#VALUE!</v>
      </c>
      <c r="B1540" s="2">
        <v>45883</v>
      </c>
      <c r="C1540" t="str" cm="1">
        <f t="array" aca="1" ref="C1540" ca="1">_FV(A1540,"Ticker symbol",TRUE)</f>
        <v>AMZN</v>
      </c>
      <c r="D1540" s="4">
        <v>229.74</v>
      </c>
      <c r="E1540" s="50">
        <v>2</v>
      </c>
      <c r="F1540" s="81">
        <f>IF(Table25[[#This Row],[Number of stocks]]&gt;0,Table25[[#This Row],[Number of stocks]],0)</f>
        <v>2</v>
      </c>
      <c r="G1540" s="73">
        <f>Table25[[#This Row],[Bought]]*Table25[[#This Row],[Price]]</f>
        <v>459.48</v>
      </c>
      <c r="H1540">
        <f>SUMIF(Table25[[#All],[Assets]],Table25[[#This Row],[Assets]],Table25[[#All],[Bought]])</f>
        <v>14</v>
      </c>
      <c r="I1540">
        <f>SUMIF(Table25[[#All],[Assets]],Table25[[#This Row],[Assets]],Table25[[#All],[Bought Amount]])</f>
        <v>2779.23</v>
      </c>
      <c r="J1540" s="88">
        <f>IF(Table25[[#This Row],[Number of stocks]]&lt;0,Table25[[#This Row],[Number of stocks]],0)</f>
        <v>0</v>
      </c>
      <c r="K1540" s="5">
        <f>Table25[[#This Row],[Sold]]*Table25[[#This Row],[Price]]</f>
        <v>0</v>
      </c>
      <c r="L1540" s="8">
        <f>ABS(SUMIF(Table25[[#All],[Assets]],Table25[[#This Row],[Assets]],Table25[[#All],[Sold]]))</f>
        <v>9</v>
      </c>
      <c r="M1540" s="5">
        <f>ABS(SUMIF(Table25[[#All],[Assets]],Table25[[#This Row],[Assets]],Table25[[#All],[Sold Amount]]))</f>
        <v>1854.81</v>
      </c>
      <c r="N1540" s="5">
        <f>IFERROR(Table25[[#This Row],[Total sold amount]]/Table25[[#This Row],[Total Sold number of stocks]],"")</f>
        <v>206.09</v>
      </c>
      <c r="O1540" s="4">
        <f>IFERROR(Table25[[#This Row],[Total Amount bought]]/Table25[[#This Row],[Total number bought]],"")</f>
        <v>198.51642857142858</v>
      </c>
      <c r="P1540" s="4">
        <f>IFERROR((Table25[[#This Row],[Average sell price]]-Table25[[#This Row],[Average buy price]])*Table25[[#This Row],[Total Sold number of stocks]],0)</f>
        <v>68.16214285714284</v>
      </c>
      <c r="Q1540" s="85">
        <f>SUMIF(Table25[[#All],[Assets]],Table25[[#This Row],[Assets]],Table25[[#All],[Number of stocks]])</f>
        <v>5</v>
      </c>
    </row>
    <row r="1541" spans="1:17">
      <c r="A1541" t="e" vm="91">
        <v>#VALUE!</v>
      </c>
      <c r="B1541" s="2">
        <v>45883</v>
      </c>
      <c r="C1541" t="str" cm="1">
        <f t="array" aca="1" ref="C1541" ca="1">_FV(A1541,"Ticker symbol",TRUE)</f>
        <v>RKLB</v>
      </c>
      <c r="D1541" s="4">
        <v>45.09</v>
      </c>
      <c r="E1541" s="50">
        <v>5</v>
      </c>
      <c r="F1541" s="81">
        <f>IF(Table25[[#This Row],[Number of stocks]]&gt;0,Table25[[#This Row],[Number of stocks]],0)</f>
        <v>5</v>
      </c>
      <c r="G1541" s="73">
        <f>Table25[[#This Row],[Bought]]*Table25[[#This Row],[Price]]</f>
        <v>225.45000000000002</v>
      </c>
      <c r="H1541">
        <f>SUMIF(Table25[[#All],[Assets]],Table25[[#This Row],[Assets]],Table25[[#All],[Bought]])</f>
        <v>22</v>
      </c>
      <c r="I1541">
        <f>SUMIF(Table25[[#All],[Assets]],Table25[[#This Row],[Assets]],Table25[[#All],[Bought Amount]])</f>
        <v>1045.0999999999999</v>
      </c>
      <c r="J1541" s="88">
        <f>IF(Table25[[#This Row],[Number of stocks]]&lt;0,Table25[[#This Row],[Number of stocks]],0)</f>
        <v>0</v>
      </c>
      <c r="K1541" s="5">
        <f>Table25[[#This Row],[Sold]]*Table25[[#This Row],[Price]]</f>
        <v>0</v>
      </c>
      <c r="L1541" s="8">
        <f>ABS(SUMIF(Table25[[#All],[Assets]],Table25[[#This Row],[Assets]],Table25[[#All],[Sold]]))</f>
        <v>21</v>
      </c>
      <c r="M1541" s="5">
        <f>ABS(SUMIF(Table25[[#All],[Assets]],Table25[[#This Row],[Assets]],Table25[[#All],[Sold Amount]]))</f>
        <v>1696.64</v>
      </c>
      <c r="N1541" s="5">
        <f>IFERROR(Table25[[#This Row],[Total sold amount]]/Table25[[#This Row],[Total Sold number of stocks]],"")</f>
        <v>80.792380952380952</v>
      </c>
      <c r="O1541" s="4">
        <f>IFERROR(Table25[[#This Row],[Total Amount bought]]/Table25[[#This Row],[Total number bought]],"")</f>
        <v>47.50454545454545</v>
      </c>
      <c r="P1541" s="4">
        <f>IFERROR((Table25[[#This Row],[Average sell price]]-Table25[[#This Row],[Average buy price]])*Table25[[#This Row],[Total Sold number of stocks]],0)</f>
        <v>699.04454545454553</v>
      </c>
      <c r="Q1541" s="85">
        <f>SUMIF(Table25[[#All],[Assets]],Table25[[#This Row],[Assets]],Table25[[#All],[Number of stocks]])</f>
        <v>1</v>
      </c>
    </row>
    <row r="1542" spans="1:17">
      <c r="A1542" t="e" vm="163">
        <v>#VALUE!</v>
      </c>
      <c r="B1542" s="2">
        <v>45883</v>
      </c>
      <c r="C1542" t="str" cm="1">
        <f t="array" aca="1" ref="C1542" ca="1">_FV(A1542,"Ticker symbol",TRUE)</f>
        <v>LLY</v>
      </c>
      <c r="D1542" s="4">
        <v>675.95</v>
      </c>
      <c r="E1542" s="50">
        <v>2</v>
      </c>
      <c r="F1542" s="81">
        <f>IF(Table25[[#This Row],[Number of stocks]]&gt;0,Table25[[#This Row],[Number of stocks]],0)</f>
        <v>2</v>
      </c>
      <c r="G1542" s="73">
        <f>Table25[[#This Row],[Bought]]*Table25[[#This Row],[Price]]</f>
        <v>1351.9</v>
      </c>
      <c r="H1542">
        <f>SUMIF(Table25[[#All],[Assets]],Table25[[#This Row],[Assets]],Table25[[#All],[Bought]])</f>
        <v>3</v>
      </c>
      <c r="I1542">
        <f>SUMIF(Table25[[#All],[Assets]],Table25[[#This Row],[Assets]],Table25[[#All],[Bought Amount]])</f>
        <v>2011.2400000000002</v>
      </c>
      <c r="J1542" s="88">
        <f>IF(Table25[[#This Row],[Number of stocks]]&lt;0,Table25[[#This Row],[Number of stocks]],0)</f>
        <v>0</v>
      </c>
      <c r="K1542" s="5">
        <f>Table25[[#This Row],[Sold]]*Table25[[#This Row],[Price]]</f>
        <v>0</v>
      </c>
      <c r="L1542" s="8">
        <f>ABS(SUMIF(Table25[[#All],[Assets]],Table25[[#This Row],[Assets]],Table25[[#All],[Sold]]))</f>
        <v>1</v>
      </c>
      <c r="M1542" s="5">
        <f>ABS(SUMIF(Table25[[#All],[Assets]],Table25[[#This Row],[Assets]],Table25[[#All],[Sold Amount]]))</f>
        <v>1061</v>
      </c>
      <c r="N1542" s="5">
        <f>IFERROR(Table25[[#This Row],[Total sold amount]]/Table25[[#This Row],[Total Sold number of stocks]],"")</f>
        <v>1061</v>
      </c>
      <c r="O1542" s="4">
        <f>IFERROR(Table25[[#This Row],[Total Amount bought]]/Table25[[#This Row],[Total number bought]],"")</f>
        <v>670.41333333333341</v>
      </c>
      <c r="P1542" s="4">
        <f>IFERROR((Table25[[#This Row],[Average sell price]]-Table25[[#This Row],[Average buy price]])*Table25[[#This Row],[Total Sold number of stocks]],0)</f>
        <v>390.58666666666659</v>
      </c>
      <c r="Q1542" s="85">
        <f>SUMIF(Table25[[#All],[Assets]],Table25[[#This Row],[Assets]],Table25[[#All],[Number of stocks]])</f>
        <v>2</v>
      </c>
    </row>
    <row r="1543" spans="1:17">
      <c r="A1543" t="e" vm="39">
        <v>#VALUE!</v>
      </c>
      <c r="B1543" s="2">
        <v>45884</v>
      </c>
      <c r="C1543" t="str" cm="1">
        <f t="array" aca="1" ref="C1543" ca="1">_FV(A1543,"Ticker symbol",TRUE)</f>
        <v>AMSC</v>
      </c>
      <c r="D1543" s="4">
        <v>50.82</v>
      </c>
      <c r="E1543" s="50">
        <v>-20</v>
      </c>
      <c r="F1543" s="81">
        <f>IF(Table25[[#This Row],[Number of stocks]]&gt;0,Table25[[#This Row],[Number of stocks]],0)</f>
        <v>0</v>
      </c>
      <c r="G1543" s="73">
        <f>Table25[[#This Row],[Bought]]*Table25[[#This Row],[Price]]</f>
        <v>0</v>
      </c>
      <c r="H1543">
        <f>SUMIF(Table25[[#All],[Assets]],Table25[[#This Row],[Assets]],Table25[[#All],[Bought]])</f>
        <v>812.4</v>
      </c>
      <c r="I1543">
        <f>SUMIF(Table25[[#All],[Assets]],Table25[[#This Row],[Assets]],Table25[[#All],[Bought Amount]])</f>
        <v>24146.880000000001</v>
      </c>
      <c r="J1543" s="88">
        <f>IF(Table25[[#This Row],[Number of stocks]]&lt;0,Table25[[#This Row],[Number of stocks]],0)</f>
        <v>-20</v>
      </c>
      <c r="K1543" s="5">
        <f>Table25[[#This Row],[Sold]]*Table25[[#This Row],[Price]]</f>
        <v>-1016.4</v>
      </c>
      <c r="L1543" s="8">
        <f>ABS(SUMIF(Table25[[#All],[Assets]],Table25[[#This Row],[Assets]],Table25[[#All],[Sold]]))</f>
        <v>535</v>
      </c>
      <c r="M1543" s="5">
        <f>ABS(SUMIF(Table25[[#All],[Assets]],Table25[[#This Row],[Assets]],Table25[[#All],[Sold Amount]]))</f>
        <v>14777.289999999999</v>
      </c>
      <c r="N1543" s="5">
        <f>IFERROR(Table25[[#This Row],[Total sold amount]]/Table25[[#This Row],[Total Sold number of stocks]],"")</f>
        <v>27.621102803738317</v>
      </c>
      <c r="O1543" s="4">
        <f>IFERROR(Table25[[#This Row],[Total Amount bought]]/Table25[[#This Row],[Total number bought]],"")</f>
        <v>29.722895125553915</v>
      </c>
      <c r="P1543" s="4">
        <f>IFERROR((Table25[[#This Row],[Average sell price]]-Table25[[#This Row],[Average buy price]])*Table25[[#This Row],[Total Sold number of stocks]],0)</f>
        <v>-1124.4588921713448</v>
      </c>
      <c r="Q1543" s="85">
        <f>SUMIF(Table25[[#All],[Assets]],Table25[[#This Row],[Assets]],Table25[[#All],[Number of stocks]])</f>
        <v>277.39999999999998</v>
      </c>
    </row>
    <row r="1544" spans="1:17">
      <c r="A1544" t="e" vm="588">
        <v>#VALUE!</v>
      </c>
      <c r="B1544" s="2">
        <v>45884</v>
      </c>
      <c r="C1544" t="str" cm="1">
        <f t="array" aca="1" ref="C1544" ca="1">_FV(A1544,"Ticker symbol",TRUE)</f>
        <v>RIGL</v>
      </c>
      <c r="D1544" s="4">
        <v>38.24</v>
      </c>
      <c r="E1544" s="50">
        <v>15</v>
      </c>
      <c r="F1544" s="81">
        <f>IF(Table25[[#This Row],[Number of stocks]]&gt;0,Table25[[#This Row],[Number of stocks]],0)</f>
        <v>15</v>
      </c>
      <c r="G1544" s="73">
        <f>Table25[[#This Row],[Bought]]*Table25[[#This Row],[Price]]</f>
        <v>573.6</v>
      </c>
      <c r="H1544">
        <f>SUMIF(Table25[[#All],[Assets]],Table25[[#This Row],[Assets]],Table25[[#All],[Bought]])</f>
        <v>22.708109999999998</v>
      </c>
      <c r="I1544">
        <f>SUMIF(Table25[[#All],[Assets]],Table25[[#This Row],[Assets]],Table25[[#All],[Bought Amount]])</f>
        <v>873.59964119999995</v>
      </c>
      <c r="J1544" s="88">
        <f>IF(Table25[[#This Row],[Number of stocks]]&lt;0,Table25[[#This Row],[Number of stocks]],0)</f>
        <v>0</v>
      </c>
      <c r="K1544" s="5">
        <f>Table25[[#This Row],[Sold]]*Table25[[#This Row],[Price]]</f>
        <v>0</v>
      </c>
      <c r="L1544" s="8">
        <f>ABS(SUMIF(Table25[[#All],[Assets]],Table25[[#This Row],[Assets]],Table25[[#All],[Sold]]))</f>
        <v>22.708110000000001</v>
      </c>
      <c r="M1544" s="5">
        <f>ABS(SUMIF(Table25[[#All],[Assets]],Table25[[#This Row],[Assets]],Table25[[#All],[Sold Amount]]))</f>
        <v>806.13790500000005</v>
      </c>
      <c r="N1544" s="5">
        <f>IFERROR(Table25[[#This Row],[Total sold amount]]/Table25[[#This Row],[Total Sold number of stocks]],"")</f>
        <v>35.5</v>
      </c>
      <c r="O1544" s="4">
        <f>IFERROR(Table25[[#This Row],[Total Amount bought]]/Table25[[#This Row],[Total number bought]],"")</f>
        <v>38.470821270462402</v>
      </c>
      <c r="P1544" s="4">
        <f>IFERROR((Table25[[#This Row],[Average sell price]]-Table25[[#This Row],[Average buy price]])*Table25[[#This Row],[Total Sold number of stocks]],0)</f>
        <v>-67.461736199999976</v>
      </c>
      <c r="Q1544" s="85">
        <f>SUMIF(Table25[[#All],[Assets]],Table25[[#This Row],[Assets]],Table25[[#All],[Number of stocks]])</f>
        <v>-3.5527136788005009E-15</v>
      </c>
    </row>
    <row r="1545" spans="1:17">
      <c r="A1545" t="e" vm="54">
        <v>#VALUE!</v>
      </c>
      <c r="B1545" s="2">
        <v>45884</v>
      </c>
      <c r="C1545" t="str" cm="1">
        <f t="array" aca="1" ref="C1545" ca="1">_FV(A1545,"Ticker symbol",TRUE)</f>
        <v>AR</v>
      </c>
      <c r="D1545" s="4">
        <v>32.61</v>
      </c>
      <c r="E1545" s="50">
        <v>-25</v>
      </c>
      <c r="F1545" s="81">
        <f>IF(Table25[[#This Row],[Number of stocks]]&gt;0,Table25[[#This Row],[Number of stocks]],0)</f>
        <v>0</v>
      </c>
      <c r="G1545" s="73">
        <f>Table25[[#This Row],[Bought]]*Table25[[#This Row],[Price]]</f>
        <v>0</v>
      </c>
      <c r="H1545">
        <f>SUMIF(Table25[[#All],[Assets]],Table25[[#This Row],[Assets]],Table25[[#All],[Bought]])</f>
        <v>210</v>
      </c>
      <c r="I1545">
        <f>SUMIF(Table25[[#All],[Assets]],Table25[[#This Row],[Assets]],Table25[[#All],[Bought Amount]])</f>
        <v>6833.5000000000009</v>
      </c>
      <c r="J1545" s="88">
        <f>IF(Table25[[#This Row],[Number of stocks]]&lt;0,Table25[[#This Row],[Number of stocks]],0)</f>
        <v>-25</v>
      </c>
      <c r="K1545" s="5">
        <f>Table25[[#This Row],[Sold]]*Table25[[#This Row],[Price]]</f>
        <v>-815.25</v>
      </c>
      <c r="L1545" s="8">
        <f>ABS(SUMIF(Table25[[#All],[Assets]],Table25[[#This Row],[Assets]],Table25[[#All],[Sold]]))</f>
        <v>180</v>
      </c>
      <c r="M1545" s="5">
        <f>ABS(SUMIF(Table25[[#All],[Assets]],Table25[[#This Row],[Assets]],Table25[[#All],[Sold Amount]]))</f>
        <v>6156.15</v>
      </c>
      <c r="N1545" s="5">
        <f>IFERROR(Table25[[#This Row],[Total sold amount]]/Table25[[#This Row],[Total Sold number of stocks]],"")</f>
        <v>34.200833333333328</v>
      </c>
      <c r="O1545" s="4">
        <f>IFERROR(Table25[[#This Row],[Total Amount bought]]/Table25[[#This Row],[Total number bought]],"")</f>
        <v>32.540476190476198</v>
      </c>
      <c r="P1545" s="4">
        <f>IFERROR((Table25[[#This Row],[Average sell price]]-Table25[[#This Row],[Average buy price]])*Table25[[#This Row],[Total Sold number of stocks]],0)</f>
        <v>298.86428571428337</v>
      </c>
      <c r="Q1545" s="85">
        <f>SUMIF(Table25[[#All],[Assets]],Table25[[#This Row],[Assets]],Table25[[#All],[Number of stocks]])</f>
        <v>30</v>
      </c>
    </row>
    <row r="1546" spans="1:17">
      <c r="A1546" t="e" vm="74">
        <v>#VALUE!</v>
      </c>
      <c r="B1546" s="2">
        <v>45884</v>
      </c>
      <c r="C1546" t="str" cm="1">
        <f t="array" aca="1" ref="C1546" ca="1">_FV(A1546,"Ticker symbol",TRUE)</f>
        <v>XGN</v>
      </c>
      <c r="D1546" s="4">
        <v>9.6199999999999992</v>
      </c>
      <c r="E1546" s="50">
        <v>-32</v>
      </c>
      <c r="F1546" s="81">
        <f>IF(Table25[[#This Row],[Number of stocks]]&gt;0,Table25[[#This Row],[Number of stocks]],0)</f>
        <v>0</v>
      </c>
      <c r="G1546" s="73">
        <f>Table25[[#This Row],[Bought]]*Table25[[#This Row],[Price]]</f>
        <v>0</v>
      </c>
      <c r="H1546">
        <f>SUMIF(Table25[[#All],[Assets]],Table25[[#This Row],[Assets]],Table25[[#All],[Bought]])</f>
        <v>249</v>
      </c>
      <c r="I1546">
        <f>SUMIF(Table25[[#All],[Assets]],Table25[[#This Row],[Assets]],Table25[[#All],[Bought Amount]])</f>
        <v>1807.8</v>
      </c>
      <c r="J1546" s="88">
        <f>IF(Table25[[#This Row],[Number of stocks]]&lt;0,Table25[[#This Row],[Number of stocks]],0)</f>
        <v>-32</v>
      </c>
      <c r="K1546" s="5">
        <f>Table25[[#This Row],[Sold]]*Table25[[#This Row],[Price]]</f>
        <v>-307.83999999999997</v>
      </c>
      <c r="L1546" s="8">
        <f>ABS(SUMIF(Table25[[#All],[Assets]],Table25[[#This Row],[Assets]],Table25[[#All],[Sold]]))</f>
        <v>249</v>
      </c>
      <c r="M1546" s="5">
        <f>ABS(SUMIF(Table25[[#All],[Assets]],Table25[[#This Row],[Assets]],Table25[[#All],[Sold Amount]]))</f>
        <v>2313.8000000000002</v>
      </c>
      <c r="N1546" s="5">
        <f>IFERROR(Table25[[#This Row],[Total sold amount]]/Table25[[#This Row],[Total Sold number of stocks]],"")</f>
        <v>9.292369477911647</v>
      </c>
      <c r="O1546" s="4">
        <f>IFERROR(Table25[[#This Row],[Total Amount bought]]/Table25[[#This Row],[Total number bought]],"")</f>
        <v>7.2602409638554217</v>
      </c>
      <c r="P1546" s="4">
        <f>IFERROR((Table25[[#This Row],[Average sell price]]-Table25[[#This Row],[Average buy price]])*Table25[[#This Row],[Total Sold number of stocks]],0)</f>
        <v>506.00000000000011</v>
      </c>
      <c r="Q1546" s="85">
        <f>SUMIF(Table25[[#All],[Assets]],Table25[[#This Row],[Assets]],Table25[[#All],[Number of stocks]])</f>
        <v>0</v>
      </c>
    </row>
    <row r="1547" spans="1:17">
      <c r="A1547" t="e" vm="588">
        <v>#VALUE!</v>
      </c>
      <c r="B1547" s="2">
        <v>45884</v>
      </c>
      <c r="C1547" t="str" cm="1">
        <f t="array" aca="1" ref="C1547" ca="1">_FV(A1547,"Ticker symbol",TRUE)</f>
        <v>RIGL</v>
      </c>
      <c r="D1547" s="4">
        <v>38.92</v>
      </c>
      <c r="E1547" s="50">
        <v>7.7081099999999996</v>
      </c>
      <c r="F1547" s="81">
        <f>IF(Table25[[#This Row],[Number of stocks]]&gt;0,Table25[[#This Row],[Number of stocks]],0)</f>
        <v>7.7081099999999996</v>
      </c>
      <c r="G1547" s="73">
        <f>Table25[[#This Row],[Bought]]*Table25[[#This Row],[Price]]</f>
        <v>299.99964119999999</v>
      </c>
      <c r="H1547">
        <f>SUMIF(Table25[[#All],[Assets]],Table25[[#This Row],[Assets]],Table25[[#All],[Bought]])</f>
        <v>22.708109999999998</v>
      </c>
      <c r="I1547">
        <f>SUMIF(Table25[[#All],[Assets]],Table25[[#This Row],[Assets]],Table25[[#All],[Bought Amount]])</f>
        <v>873.59964119999995</v>
      </c>
      <c r="J1547" s="88">
        <f>IF(Table25[[#This Row],[Number of stocks]]&lt;0,Table25[[#This Row],[Number of stocks]],0)</f>
        <v>0</v>
      </c>
      <c r="K1547" s="5">
        <f>Table25[[#This Row],[Sold]]*Table25[[#This Row],[Price]]</f>
        <v>0</v>
      </c>
      <c r="L1547" s="8">
        <f>ABS(SUMIF(Table25[[#All],[Assets]],Table25[[#This Row],[Assets]],Table25[[#All],[Sold]]))</f>
        <v>22.708110000000001</v>
      </c>
      <c r="M1547" s="5">
        <f>ABS(SUMIF(Table25[[#All],[Assets]],Table25[[#This Row],[Assets]],Table25[[#All],[Sold Amount]]))</f>
        <v>806.13790500000005</v>
      </c>
      <c r="N1547" s="5">
        <f>IFERROR(Table25[[#This Row],[Total sold amount]]/Table25[[#This Row],[Total Sold number of stocks]],"")</f>
        <v>35.5</v>
      </c>
      <c r="O1547" s="4">
        <f>IFERROR(Table25[[#This Row],[Total Amount bought]]/Table25[[#This Row],[Total number bought]],"")</f>
        <v>38.470821270462402</v>
      </c>
      <c r="P1547" s="4">
        <f>IFERROR((Table25[[#This Row],[Average sell price]]-Table25[[#This Row],[Average buy price]])*Table25[[#This Row],[Total Sold number of stocks]],0)</f>
        <v>-67.461736199999976</v>
      </c>
      <c r="Q1547" s="85">
        <f>SUMIF(Table25[[#All],[Assets]],Table25[[#This Row],[Assets]],Table25[[#All],[Number of stocks]])</f>
        <v>-3.5527136788005009E-15</v>
      </c>
    </row>
    <row r="1548" spans="1:17">
      <c r="A1548" t="e" vm="551">
        <v>#VALUE!</v>
      </c>
      <c r="B1548" s="2">
        <v>45884</v>
      </c>
      <c r="C1548" t="str" cm="1">
        <f t="array" aca="1" ref="C1548" ca="1">_FV(A1548,"Ticker symbol",TRUE)</f>
        <v>KYIV</v>
      </c>
      <c r="D1548" s="4">
        <v>12.24</v>
      </c>
      <c r="E1548" s="50">
        <v>30</v>
      </c>
      <c r="F1548" s="81">
        <f>IF(Table25[[#This Row],[Number of stocks]]&gt;0,Table25[[#This Row],[Number of stocks]],0)</f>
        <v>30</v>
      </c>
      <c r="G1548" s="73">
        <f>Table25[[#This Row],[Bought]]*Table25[[#This Row],[Price]]</f>
        <v>367.2</v>
      </c>
      <c r="H1548">
        <f>SUMIF(Table25[[#All],[Assets]],Table25[[#This Row],[Assets]],Table25[[#All],[Bought]])</f>
        <v>76</v>
      </c>
      <c r="I1548">
        <f>SUMIF(Table25[[#All],[Assets]],Table25[[#This Row],[Assets]],Table25[[#All],[Bought Amount]])</f>
        <v>931.88000000000011</v>
      </c>
      <c r="J1548" s="88">
        <f>IF(Table25[[#This Row],[Number of stocks]]&lt;0,Table25[[#This Row],[Number of stocks]],0)</f>
        <v>0</v>
      </c>
      <c r="K1548" s="5">
        <f>Table25[[#This Row],[Sold]]*Table25[[#This Row],[Price]]</f>
        <v>0</v>
      </c>
      <c r="L1548" s="8">
        <f>ABS(SUMIF(Table25[[#All],[Assets]],Table25[[#This Row],[Assets]],Table25[[#All],[Sold]]))</f>
        <v>76</v>
      </c>
      <c r="M1548" s="5">
        <f>ABS(SUMIF(Table25[[#All],[Assets]],Table25[[#This Row],[Assets]],Table25[[#All],[Sold Amount]]))</f>
        <v>1007.24</v>
      </c>
      <c r="N1548" s="5">
        <f>IFERROR(Table25[[#This Row],[Total sold amount]]/Table25[[#This Row],[Total Sold number of stocks]],"")</f>
        <v>13.253157894736843</v>
      </c>
      <c r="O1548" s="4">
        <f>IFERROR(Table25[[#This Row],[Total Amount bought]]/Table25[[#This Row],[Total number bought]],"")</f>
        <v>12.261578947368422</v>
      </c>
      <c r="P1548" s="4">
        <f>IFERROR((Table25[[#This Row],[Average sell price]]-Table25[[#This Row],[Average buy price]])*Table25[[#This Row],[Total Sold number of stocks]],0)</f>
        <v>75.359999999999971</v>
      </c>
      <c r="Q1548" s="85">
        <f>SUMIF(Table25[[#All],[Assets]],Table25[[#This Row],[Assets]],Table25[[#All],[Number of stocks]])</f>
        <v>0</v>
      </c>
    </row>
    <row r="1549" spans="1:17">
      <c r="A1549" t="e" vm="199">
        <v>#VALUE!</v>
      </c>
      <c r="B1549" s="2">
        <v>45884</v>
      </c>
      <c r="C1549" t="str" cm="1">
        <f t="array" aca="1" ref="C1549" ca="1">_FV(A1549,"Ticker symbol",TRUE)</f>
        <v>HROW</v>
      </c>
      <c r="D1549" s="4">
        <v>38.97</v>
      </c>
      <c r="E1549" s="50">
        <v>9</v>
      </c>
      <c r="F1549" s="81">
        <f>IF(Table25[[#This Row],[Number of stocks]]&gt;0,Table25[[#This Row],[Number of stocks]],0)</f>
        <v>9</v>
      </c>
      <c r="G1549" s="73">
        <f>Table25[[#This Row],[Bought]]*Table25[[#This Row],[Price]]</f>
        <v>350.73</v>
      </c>
      <c r="H1549">
        <f>SUMIF(Table25[[#All],[Assets]],Table25[[#This Row],[Assets]],Table25[[#All],[Bought]])</f>
        <v>55</v>
      </c>
      <c r="I1549">
        <f>SUMIF(Table25[[#All],[Assets]],Table25[[#This Row],[Assets]],Table25[[#All],[Bought Amount]])</f>
        <v>2004.09</v>
      </c>
      <c r="J1549" s="88">
        <f>IF(Table25[[#This Row],[Number of stocks]]&lt;0,Table25[[#This Row],[Number of stocks]],0)</f>
        <v>0</v>
      </c>
      <c r="K1549" s="5">
        <f>Table25[[#This Row],[Sold]]*Table25[[#This Row],[Price]]</f>
        <v>0</v>
      </c>
      <c r="L1549" s="8">
        <f>ABS(SUMIF(Table25[[#All],[Assets]],Table25[[#This Row],[Assets]],Table25[[#All],[Sold]]))</f>
        <v>55</v>
      </c>
      <c r="M1549" s="5">
        <f>ABS(SUMIF(Table25[[#All],[Assets]],Table25[[#This Row],[Assets]],Table25[[#All],[Sold Amount]]))</f>
        <v>2792.46</v>
      </c>
      <c r="N1549" s="5">
        <f>IFERROR(Table25[[#This Row],[Total sold amount]]/Table25[[#This Row],[Total Sold number of stocks]],"")</f>
        <v>50.771999999999998</v>
      </c>
      <c r="O1549" s="4">
        <f>IFERROR(Table25[[#This Row],[Total Amount bought]]/Table25[[#This Row],[Total number bought]],"")</f>
        <v>36.437999999999995</v>
      </c>
      <c r="P1549" s="4">
        <f>IFERROR((Table25[[#This Row],[Average sell price]]-Table25[[#This Row],[Average buy price]])*Table25[[#This Row],[Total Sold number of stocks]],0)</f>
        <v>788.37000000000012</v>
      </c>
      <c r="Q1549" s="85">
        <f>SUMIF(Table25[[#All],[Assets]],Table25[[#This Row],[Assets]],Table25[[#All],[Number of stocks]])</f>
        <v>0</v>
      </c>
    </row>
    <row r="1550" spans="1:17">
      <c r="A1550" t="e" vm="567">
        <v>#VALUE!</v>
      </c>
      <c r="B1550" s="2">
        <v>45887</v>
      </c>
      <c r="C1550" t="str" cm="1">
        <f t="array" aca="1" ref="C1550" ca="1">_FV(A1550,"Ticker symbol",TRUE)</f>
        <v>BMNR</v>
      </c>
      <c r="D1550" s="4">
        <v>53.28</v>
      </c>
      <c r="E1550" s="50">
        <v>-10</v>
      </c>
      <c r="F1550" s="81">
        <f>IF(Table25[[#This Row],[Number of stocks]]&gt;0,Table25[[#This Row],[Number of stocks]],0)</f>
        <v>0</v>
      </c>
      <c r="G1550" s="73">
        <f>Table25[[#This Row],[Bought]]*Table25[[#This Row],[Price]]</f>
        <v>0</v>
      </c>
      <c r="H1550">
        <f>SUMIF(Table25[[#All],[Assets]],Table25[[#This Row],[Assets]],Table25[[#All],[Bought]])</f>
        <v>38</v>
      </c>
      <c r="I1550">
        <f>SUMIF(Table25[[#All],[Assets]],Table25[[#This Row],[Assets]],Table25[[#All],[Bought Amount]])</f>
        <v>1430.52</v>
      </c>
      <c r="J1550" s="88">
        <f>IF(Table25[[#This Row],[Number of stocks]]&lt;0,Table25[[#This Row],[Number of stocks]],0)</f>
        <v>-10</v>
      </c>
      <c r="K1550" s="5">
        <f>Table25[[#This Row],[Sold]]*Table25[[#This Row],[Price]]</f>
        <v>-532.79999999999995</v>
      </c>
      <c r="L1550" s="8">
        <f>ABS(SUMIF(Table25[[#All],[Assets]],Table25[[#This Row],[Assets]],Table25[[#All],[Sold]]))</f>
        <v>38</v>
      </c>
      <c r="M1550" s="5">
        <f>ABS(SUMIF(Table25[[#All],[Assets]],Table25[[#This Row],[Assets]],Table25[[#All],[Sold Amount]]))</f>
        <v>2255.36</v>
      </c>
      <c r="N1550" s="5">
        <f>IFERROR(Table25[[#This Row],[Total sold amount]]/Table25[[#This Row],[Total Sold number of stocks]],"")</f>
        <v>59.351578947368424</v>
      </c>
      <c r="O1550" s="4">
        <f>IFERROR(Table25[[#This Row],[Total Amount bought]]/Table25[[#This Row],[Total number bought]],"")</f>
        <v>37.645263157894739</v>
      </c>
      <c r="P1550" s="4">
        <f>IFERROR((Table25[[#This Row],[Average sell price]]-Table25[[#This Row],[Average buy price]])*Table25[[#This Row],[Total Sold number of stocks]],0)</f>
        <v>824.84</v>
      </c>
      <c r="Q1550" s="85">
        <f>SUMIF(Table25[[#All],[Assets]],Table25[[#This Row],[Assets]],Table25[[#All],[Number of stocks]])</f>
        <v>0</v>
      </c>
    </row>
    <row r="1551" spans="1:17">
      <c r="A1551" t="e" vm="565">
        <v>#VALUE!</v>
      </c>
      <c r="B1551" s="2">
        <v>45887</v>
      </c>
      <c r="C1551" t="str" cm="1">
        <f t="array" aca="1" ref="C1551" ca="1">_FV(A1551,"Ticker symbol",TRUE)</f>
        <v>SBET</v>
      </c>
      <c r="D1551" s="4">
        <v>19.100000000000001</v>
      </c>
      <c r="E1551" s="50">
        <v>-22</v>
      </c>
      <c r="F1551" s="81">
        <f>IF(Table25[[#This Row],[Number of stocks]]&gt;0,Table25[[#This Row],[Number of stocks]],0)</f>
        <v>0</v>
      </c>
      <c r="G1551" s="73">
        <f>Table25[[#This Row],[Bought]]*Table25[[#This Row],[Price]]</f>
        <v>0</v>
      </c>
      <c r="H1551">
        <f>SUMIF(Table25[[#All],[Assets]],Table25[[#This Row],[Assets]],Table25[[#All],[Bought]])</f>
        <v>54</v>
      </c>
      <c r="I1551">
        <f>SUMIF(Table25[[#All],[Assets]],Table25[[#This Row],[Assets]],Table25[[#All],[Bought Amount]])</f>
        <v>751.68</v>
      </c>
      <c r="J1551" s="88">
        <f>IF(Table25[[#This Row],[Number of stocks]]&lt;0,Table25[[#This Row],[Number of stocks]],0)</f>
        <v>-22</v>
      </c>
      <c r="K1551" s="5">
        <f>Table25[[#This Row],[Sold]]*Table25[[#This Row],[Price]]</f>
        <v>-420.20000000000005</v>
      </c>
      <c r="L1551" s="8">
        <f>ABS(SUMIF(Table25[[#All],[Assets]],Table25[[#This Row],[Assets]],Table25[[#All],[Sold]]))</f>
        <v>54</v>
      </c>
      <c r="M1551" s="5">
        <f>ABS(SUMIF(Table25[[#All],[Assets]],Table25[[#This Row],[Assets]],Table25[[#All],[Sold Amount]]))</f>
        <v>1323.46</v>
      </c>
      <c r="N1551" s="5">
        <f>IFERROR(Table25[[#This Row],[Total sold amount]]/Table25[[#This Row],[Total Sold number of stocks]],"")</f>
        <v>24.508518518518517</v>
      </c>
      <c r="O1551" s="4">
        <f>IFERROR(Table25[[#This Row],[Total Amount bought]]/Table25[[#This Row],[Total number bought]],"")</f>
        <v>13.92</v>
      </c>
      <c r="P1551" s="4">
        <f>IFERROR((Table25[[#This Row],[Average sell price]]-Table25[[#This Row],[Average buy price]])*Table25[[#This Row],[Total Sold number of stocks]],0)</f>
        <v>571.78</v>
      </c>
      <c r="Q1551" s="85">
        <f>SUMIF(Table25[[#All],[Assets]],Table25[[#This Row],[Assets]],Table25[[#All],[Number of stocks]])</f>
        <v>0</v>
      </c>
    </row>
    <row r="1552" spans="1:17">
      <c r="A1552" t="e" vm="263">
        <v>#VALUE!</v>
      </c>
      <c r="B1552" s="2">
        <v>45887</v>
      </c>
      <c r="C1552" t="str" cm="1">
        <f t="array" aca="1" ref="C1552" ca="1">_FV(A1552,"Ticker symbol",TRUE)</f>
        <v>GDRX</v>
      </c>
      <c r="D1552" s="4">
        <v>4.7300000000000004</v>
      </c>
      <c r="E1552" s="50">
        <v>200</v>
      </c>
      <c r="F1552" s="81">
        <f>IF(Table25[[#This Row],[Number of stocks]]&gt;0,Table25[[#This Row],[Number of stocks]],0)</f>
        <v>200</v>
      </c>
      <c r="G1552" s="73">
        <f>Table25[[#This Row],[Bought]]*Table25[[#This Row],[Price]]</f>
        <v>946.00000000000011</v>
      </c>
      <c r="H1552">
        <f>SUMIF(Table25[[#All],[Assets]],Table25[[#This Row],[Assets]],Table25[[#All],[Bought]])</f>
        <v>420</v>
      </c>
      <c r="I1552">
        <f>SUMIF(Table25[[#All],[Assets]],Table25[[#This Row],[Assets]],Table25[[#All],[Bought Amount]])</f>
        <v>1907.8000000000002</v>
      </c>
      <c r="J1552" s="88">
        <f>IF(Table25[[#This Row],[Number of stocks]]&lt;0,Table25[[#This Row],[Number of stocks]],0)</f>
        <v>0</v>
      </c>
      <c r="K1552" s="5">
        <f>Table25[[#This Row],[Sold]]*Table25[[#This Row],[Price]]</f>
        <v>0</v>
      </c>
      <c r="L1552" s="8">
        <f>ABS(SUMIF(Table25[[#All],[Assets]],Table25[[#This Row],[Assets]],Table25[[#All],[Sold]]))</f>
        <v>420</v>
      </c>
      <c r="M1552" s="5">
        <f>ABS(SUMIF(Table25[[#All],[Assets]],Table25[[#This Row],[Assets]],Table25[[#All],[Sold Amount]]))</f>
        <v>1792.2000000000003</v>
      </c>
      <c r="N1552" s="5">
        <f>IFERROR(Table25[[#This Row],[Total sold amount]]/Table25[[#This Row],[Total Sold number of stocks]],"")</f>
        <v>4.2671428571428578</v>
      </c>
      <c r="O1552" s="4">
        <f>IFERROR(Table25[[#This Row],[Total Amount bought]]/Table25[[#This Row],[Total number bought]],"")</f>
        <v>4.5423809523809524</v>
      </c>
      <c r="P1552" s="4">
        <f>IFERROR((Table25[[#This Row],[Average sell price]]-Table25[[#This Row],[Average buy price]])*Table25[[#This Row],[Total Sold number of stocks]],0)</f>
        <v>-115.59999999999974</v>
      </c>
      <c r="Q1552" s="85">
        <f>SUMIF(Table25[[#All],[Assets]],Table25[[#This Row],[Assets]],Table25[[#All],[Number of stocks]])</f>
        <v>0</v>
      </c>
    </row>
    <row r="1553" spans="1:17">
      <c r="A1553" t="e" vm="222">
        <v>#VALUE!</v>
      </c>
      <c r="B1553" s="2">
        <v>45887</v>
      </c>
      <c r="C1553" t="str" cm="1">
        <f t="array" aca="1" ref="C1553" ca="1">_FV(A1553,"Ticker symbol",TRUE)</f>
        <v>LUMN</v>
      </c>
      <c r="D1553" s="4">
        <v>4.7</v>
      </c>
      <c r="E1553" s="50">
        <v>17</v>
      </c>
      <c r="F1553" s="81">
        <f>IF(Table25[[#This Row],[Number of stocks]]&gt;0,Table25[[#This Row],[Number of stocks]],0)</f>
        <v>17</v>
      </c>
      <c r="G1553" s="73">
        <f>Table25[[#This Row],[Bought]]*Table25[[#This Row],[Price]]</f>
        <v>79.900000000000006</v>
      </c>
      <c r="H1553">
        <f>SUMIF(Table25[[#All],[Assets]],Table25[[#This Row],[Assets]],Table25[[#All],[Bought]])</f>
        <v>17</v>
      </c>
      <c r="I1553">
        <f>SUMIF(Table25[[#All],[Assets]],Table25[[#This Row],[Assets]],Table25[[#All],[Bought Amount]])</f>
        <v>79.900000000000006</v>
      </c>
      <c r="J1553" s="88">
        <f>IF(Table25[[#This Row],[Number of stocks]]&lt;0,Table25[[#This Row],[Number of stocks]],0)</f>
        <v>0</v>
      </c>
      <c r="K1553" s="5">
        <f>Table25[[#This Row],[Sold]]*Table25[[#This Row],[Price]]</f>
        <v>0</v>
      </c>
      <c r="L1553" s="8">
        <f>ABS(SUMIF(Table25[[#All],[Assets]],Table25[[#This Row],[Assets]],Table25[[#All],[Sold]]))</f>
        <v>0</v>
      </c>
      <c r="M1553" s="5">
        <f>ABS(SUMIF(Table25[[#All],[Assets]],Table25[[#This Row],[Assets]],Table25[[#All],[Sold Amount]]))</f>
        <v>0</v>
      </c>
      <c r="N1553" s="5" t="str">
        <f>IFERROR(Table25[[#This Row],[Total sold amount]]/Table25[[#This Row],[Total Sold number of stocks]],"")</f>
        <v/>
      </c>
      <c r="O1553" s="4">
        <f>IFERROR(Table25[[#This Row],[Total Amount bought]]/Table25[[#This Row],[Total number bought]],"")</f>
        <v>4.7</v>
      </c>
      <c r="P1553" s="4">
        <f>IFERROR((Table25[[#This Row],[Average sell price]]-Table25[[#This Row],[Average buy price]])*Table25[[#This Row],[Total Sold number of stocks]],0)</f>
        <v>0</v>
      </c>
      <c r="Q1553" s="85">
        <f>SUMIF(Table25[[#All],[Assets]],Table25[[#This Row],[Assets]],Table25[[#All],[Number of stocks]])</f>
        <v>17</v>
      </c>
    </row>
    <row r="1554" spans="1:17">
      <c r="A1554" t="e" vm="82">
        <v>#VALUE!</v>
      </c>
      <c r="B1554" s="2">
        <v>45887</v>
      </c>
      <c r="C1554" t="str" cm="1">
        <f t="array" aca="1" ref="C1554" ca="1">_FV(A1554,"Ticker symbol",TRUE)</f>
        <v>XYZ</v>
      </c>
      <c r="D1554" s="4">
        <v>76.010000000000005</v>
      </c>
      <c r="E1554" s="50">
        <v>-5</v>
      </c>
      <c r="F1554" s="81">
        <f>IF(Table25[[#This Row],[Number of stocks]]&gt;0,Table25[[#This Row],[Number of stocks]],0)</f>
        <v>0</v>
      </c>
      <c r="G1554" s="73">
        <f>Table25[[#This Row],[Bought]]*Table25[[#This Row],[Price]]</f>
        <v>0</v>
      </c>
      <c r="H1554">
        <f>SUMIF(Table25[[#All],[Assets]],Table25[[#This Row],[Assets]],Table25[[#All],[Bought]])</f>
        <v>35</v>
      </c>
      <c r="I1554">
        <f>SUMIF(Table25[[#All],[Assets]],Table25[[#This Row],[Assets]],Table25[[#All],[Bought Amount]])</f>
        <v>2551.4399999999996</v>
      </c>
      <c r="J1554" s="88">
        <f>IF(Table25[[#This Row],[Number of stocks]]&lt;0,Table25[[#This Row],[Number of stocks]],0)</f>
        <v>-5</v>
      </c>
      <c r="K1554" s="5">
        <f>Table25[[#This Row],[Sold]]*Table25[[#This Row],[Price]]</f>
        <v>-380.05</v>
      </c>
      <c r="L1554" s="8">
        <f>ABS(SUMIF(Table25[[#All],[Assets]],Table25[[#This Row],[Assets]],Table25[[#All],[Sold]]))</f>
        <v>35</v>
      </c>
      <c r="M1554" s="5">
        <f>ABS(SUMIF(Table25[[#All],[Assets]],Table25[[#This Row],[Assets]],Table25[[#All],[Sold Amount]]))</f>
        <v>2639.0700000000006</v>
      </c>
      <c r="N1554" s="5">
        <f>IFERROR(Table25[[#This Row],[Total sold amount]]/Table25[[#This Row],[Total Sold number of stocks]],"")</f>
        <v>75.402000000000015</v>
      </c>
      <c r="O1554" s="4">
        <f>IFERROR(Table25[[#This Row],[Total Amount bought]]/Table25[[#This Row],[Total number bought]],"")</f>
        <v>72.898285714285706</v>
      </c>
      <c r="P1554" s="4">
        <f>IFERROR((Table25[[#This Row],[Average sell price]]-Table25[[#This Row],[Average buy price]])*Table25[[#This Row],[Total Sold number of stocks]],0)</f>
        <v>87.630000000000834</v>
      </c>
      <c r="Q1554" s="85">
        <f>SUMIF(Table25[[#All],[Assets]],Table25[[#This Row],[Assets]],Table25[[#All],[Number of stocks]])</f>
        <v>0</v>
      </c>
    </row>
    <row r="1555" spans="1:17">
      <c r="A1555" t="e" vm="79">
        <v>#VALUE!</v>
      </c>
      <c r="B1555" s="2">
        <v>45894</v>
      </c>
      <c r="C1555" t="str" cm="1">
        <f t="array" aca="1" ref="C1555" ca="1">_FV(A1555,"Ticker symbol",TRUE)</f>
        <v>PACB</v>
      </c>
      <c r="D1555" s="4">
        <v>1.34</v>
      </c>
      <c r="E1555" s="50">
        <v>-400</v>
      </c>
      <c r="F1555" s="81">
        <f>IF(Table25[[#This Row],[Number of stocks]]&gt;0,Table25[[#This Row],[Number of stocks]],0)</f>
        <v>0</v>
      </c>
      <c r="G1555" s="73">
        <f>Table25[[#This Row],[Bought]]*Table25[[#This Row],[Price]]</f>
        <v>0</v>
      </c>
      <c r="H1555">
        <f>SUMIF(Table25[[#All],[Assets]],Table25[[#This Row],[Assets]],Table25[[#All],[Bought]])</f>
        <v>750</v>
      </c>
      <c r="I1555">
        <f>SUMIF(Table25[[#All],[Assets]],Table25[[#This Row],[Assets]],Table25[[#All],[Bought Amount]])</f>
        <v>1042.5</v>
      </c>
      <c r="J1555" s="88">
        <f>IF(Table25[[#This Row],[Number of stocks]]&lt;0,Table25[[#This Row],[Number of stocks]],0)</f>
        <v>-400</v>
      </c>
      <c r="K1555" s="5">
        <f>Table25[[#This Row],[Sold]]*Table25[[#This Row],[Price]]</f>
        <v>-536</v>
      </c>
      <c r="L1555" s="8">
        <f>ABS(SUMIF(Table25[[#All],[Assets]],Table25[[#This Row],[Assets]],Table25[[#All],[Sold]]))</f>
        <v>750</v>
      </c>
      <c r="M1555" s="5">
        <f>ABS(SUMIF(Table25[[#All],[Assets]],Table25[[#This Row],[Assets]],Table25[[#All],[Sold Amount]]))</f>
        <v>931.5</v>
      </c>
      <c r="N1555" s="5">
        <f>IFERROR(Table25[[#This Row],[Total sold amount]]/Table25[[#This Row],[Total Sold number of stocks]],"")</f>
        <v>1.242</v>
      </c>
      <c r="O1555" s="4">
        <f>IFERROR(Table25[[#This Row],[Total Amount bought]]/Table25[[#This Row],[Total number bought]],"")</f>
        <v>1.39</v>
      </c>
      <c r="P1555" s="4">
        <f>IFERROR((Table25[[#This Row],[Average sell price]]-Table25[[#This Row],[Average buy price]])*Table25[[#This Row],[Total Sold number of stocks]],0)</f>
        <v>-110.99999999999993</v>
      </c>
      <c r="Q1555" s="85">
        <f>SUMIF(Table25[[#All],[Assets]],Table25[[#This Row],[Assets]],Table25[[#All],[Number of stocks]])</f>
        <v>0</v>
      </c>
    </row>
    <row r="1556" spans="1:17">
      <c r="A1556" t="e" vm="193">
        <v>#VALUE!</v>
      </c>
      <c r="B1556" s="2">
        <v>45894</v>
      </c>
      <c r="C1556" t="str" cm="1">
        <f t="array" aca="1" ref="C1556" ca="1">_FV(A1556,"Ticker symbol",TRUE)</f>
        <v>UAVS</v>
      </c>
      <c r="D1556" s="4">
        <v>1.92</v>
      </c>
      <c r="E1556" s="50">
        <v>-150</v>
      </c>
      <c r="F1556" s="81">
        <f>IF(Table25[[#This Row],[Number of stocks]]&gt;0,Table25[[#This Row],[Number of stocks]],0)</f>
        <v>0</v>
      </c>
      <c r="G1556" s="73">
        <f>Table25[[#This Row],[Bought]]*Table25[[#This Row],[Price]]</f>
        <v>0</v>
      </c>
      <c r="H1556">
        <f>SUMIF(Table25[[#All],[Assets]],Table25[[#This Row],[Assets]],Table25[[#All],[Bought]])</f>
        <v>1480</v>
      </c>
      <c r="I1556">
        <f>SUMIF(Table25[[#All],[Assets]],Table25[[#This Row],[Assets]],Table25[[#All],[Bought Amount]])</f>
        <v>1868.4090000000001</v>
      </c>
      <c r="J1556" s="88">
        <f>IF(Table25[[#This Row],[Number of stocks]]&lt;0,Table25[[#This Row],[Number of stocks]],0)</f>
        <v>-150</v>
      </c>
      <c r="K1556" s="5">
        <f>Table25[[#This Row],[Sold]]*Table25[[#This Row],[Price]]</f>
        <v>-288</v>
      </c>
      <c r="L1556" s="8">
        <f>ABS(SUMIF(Table25[[#All],[Assets]],Table25[[#This Row],[Assets]],Table25[[#All],[Sold]]))</f>
        <v>500</v>
      </c>
      <c r="M1556" s="5">
        <f>ABS(SUMIF(Table25[[#All],[Assets]],Table25[[#This Row],[Assets]],Table25[[#All],[Sold Amount]]))</f>
        <v>1198</v>
      </c>
      <c r="N1556" s="5">
        <f>IFERROR(Table25[[#This Row],[Total sold amount]]/Table25[[#This Row],[Total Sold number of stocks]],"")</f>
        <v>2.3959999999999999</v>
      </c>
      <c r="O1556" s="4">
        <f>IFERROR(Table25[[#This Row],[Total Amount bought]]/Table25[[#This Row],[Total number bought]],"")</f>
        <v>1.2624385135135137</v>
      </c>
      <c r="P1556" s="4">
        <f>IFERROR((Table25[[#This Row],[Average sell price]]-Table25[[#This Row],[Average buy price]])*Table25[[#This Row],[Total Sold number of stocks]],0)</f>
        <v>566.78074324324314</v>
      </c>
      <c r="Q1556" s="85">
        <f>SUMIF(Table25[[#All],[Assets]],Table25[[#This Row],[Assets]],Table25[[#All],[Number of stocks]])</f>
        <v>980</v>
      </c>
    </row>
    <row r="1557" spans="1:17">
      <c r="A1557" t="e" vm="159">
        <v>#VALUE!</v>
      </c>
      <c r="B1557" s="2">
        <v>45894</v>
      </c>
      <c r="C1557" t="str" cm="1">
        <f t="array" aca="1" ref="C1557" ca="1">_FV(A1557,"Ticker symbol",TRUE)</f>
        <v>BABA</v>
      </c>
      <c r="D1557" s="4">
        <v>125.41</v>
      </c>
      <c r="E1557" s="50">
        <v>4</v>
      </c>
      <c r="F1557" s="81">
        <f>IF(Table25[[#This Row],[Number of stocks]]&gt;0,Table25[[#This Row],[Number of stocks]],0)</f>
        <v>4</v>
      </c>
      <c r="G1557" s="73">
        <f>Table25[[#This Row],[Bought]]*Table25[[#This Row],[Price]]</f>
        <v>501.64</v>
      </c>
      <c r="H1557">
        <f>SUMIF(Table25[[#All],[Assets]],Table25[[#This Row],[Assets]],Table25[[#All],[Bought]])</f>
        <v>128</v>
      </c>
      <c r="I1557">
        <f>SUMIF(Table25[[#All],[Assets]],Table25[[#This Row],[Assets]],Table25[[#All],[Bought Amount]])</f>
        <v>12533.52</v>
      </c>
      <c r="J1557" s="88">
        <f>IF(Table25[[#This Row],[Number of stocks]]&lt;0,Table25[[#This Row],[Number of stocks]],0)</f>
        <v>0</v>
      </c>
      <c r="K1557" s="5">
        <f>Table25[[#This Row],[Sold]]*Table25[[#This Row],[Price]]</f>
        <v>0</v>
      </c>
      <c r="L1557" s="8">
        <f>ABS(SUMIF(Table25[[#All],[Assets]],Table25[[#This Row],[Assets]],Table25[[#All],[Sold]]))</f>
        <v>128</v>
      </c>
      <c r="M1557" s="5">
        <f>ABS(SUMIF(Table25[[#All],[Assets]],Table25[[#This Row],[Assets]],Table25[[#All],[Sold Amount]]))</f>
        <v>17148.419999999998</v>
      </c>
      <c r="N1557" s="5">
        <f>IFERROR(Table25[[#This Row],[Total sold amount]]/Table25[[#This Row],[Total Sold number of stocks]],"")</f>
        <v>133.97203124999999</v>
      </c>
      <c r="O1557" s="4">
        <f>IFERROR(Table25[[#This Row],[Total Amount bought]]/Table25[[#This Row],[Total number bought]],"")</f>
        <v>97.918125000000003</v>
      </c>
      <c r="P1557" s="4">
        <f>IFERROR((Table25[[#This Row],[Average sell price]]-Table25[[#This Row],[Average buy price]])*Table25[[#This Row],[Total Sold number of stocks]],0)</f>
        <v>4614.8999999999978</v>
      </c>
      <c r="Q1557" s="85">
        <f>SUMIF(Table25[[#All],[Assets]],Table25[[#This Row],[Assets]],Table25[[#All],[Number of stocks]])</f>
        <v>0</v>
      </c>
    </row>
    <row r="1558" spans="1:17">
      <c r="A1558" t="e" vm="570">
        <v>#VALUE!</v>
      </c>
      <c r="B1558" s="2">
        <v>45894</v>
      </c>
      <c r="C1558" t="str" cm="1">
        <f t="array" aca="1" ref="C1558" ca="1">_FV(A1558,"Ticker symbol",TRUE)</f>
        <v>UCTT</v>
      </c>
      <c r="D1558" s="4">
        <v>23.56</v>
      </c>
      <c r="E1558" s="50">
        <v>-37</v>
      </c>
      <c r="F1558" s="81">
        <f>IF(Table25[[#This Row],[Number of stocks]]&gt;0,Table25[[#This Row],[Number of stocks]],0)</f>
        <v>0</v>
      </c>
      <c r="G1558" s="73">
        <f>Table25[[#This Row],[Bought]]*Table25[[#This Row],[Price]]</f>
        <v>0</v>
      </c>
      <c r="H1558">
        <f>SUMIF(Table25[[#All],[Assets]],Table25[[#This Row],[Assets]],Table25[[#All],[Bought]])</f>
        <v>37</v>
      </c>
      <c r="I1558">
        <f>SUMIF(Table25[[#All],[Assets]],Table25[[#This Row],[Assets]],Table25[[#All],[Bought Amount]])</f>
        <v>943.35</v>
      </c>
      <c r="J1558" s="88">
        <f>IF(Table25[[#This Row],[Number of stocks]]&lt;0,Table25[[#This Row],[Number of stocks]],0)</f>
        <v>-37</v>
      </c>
      <c r="K1558" s="5">
        <f>Table25[[#This Row],[Sold]]*Table25[[#This Row],[Price]]</f>
        <v>-871.71999999999991</v>
      </c>
      <c r="L1558" s="8">
        <f>ABS(SUMIF(Table25[[#All],[Assets]],Table25[[#This Row],[Assets]],Table25[[#All],[Sold]]))</f>
        <v>37</v>
      </c>
      <c r="M1558" s="5">
        <f>ABS(SUMIF(Table25[[#All],[Assets]],Table25[[#This Row],[Assets]],Table25[[#All],[Sold Amount]]))</f>
        <v>871.71999999999991</v>
      </c>
      <c r="N1558" s="5">
        <f>IFERROR(Table25[[#This Row],[Total sold amount]]/Table25[[#This Row],[Total Sold number of stocks]],"")</f>
        <v>23.56</v>
      </c>
      <c r="O1558" s="4">
        <f>IFERROR(Table25[[#This Row],[Total Amount bought]]/Table25[[#This Row],[Total number bought]],"")</f>
        <v>25.495945945945948</v>
      </c>
      <c r="P1558" s="4">
        <f>IFERROR((Table25[[#This Row],[Average sell price]]-Table25[[#This Row],[Average buy price]])*Table25[[#This Row],[Total Sold number of stocks]],0)</f>
        <v>-71.630000000000123</v>
      </c>
      <c r="Q1558" s="85">
        <f>SUMIF(Table25[[#All],[Assets]],Table25[[#This Row],[Assets]],Table25[[#All],[Number of stocks]])</f>
        <v>0</v>
      </c>
    </row>
    <row r="1559" spans="1:17">
      <c r="A1559" t="e" vm="71">
        <v>#VALUE!</v>
      </c>
      <c r="B1559" s="2">
        <v>45894</v>
      </c>
      <c r="C1559" t="str" cm="1">
        <f t="array" aca="1" ref="C1559" ca="1">_FV(A1559,"Ticker symbol",TRUE)</f>
        <v>TKNO</v>
      </c>
      <c r="D1559" s="4">
        <v>4.53</v>
      </c>
      <c r="E1559" s="50">
        <v>-100</v>
      </c>
      <c r="F1559" s="81">
        <f>IF(Table25[[#This Row],[Number of stocks]]&gt;0,Table25[[#This Row],[Number of stocks]],0)</f>
        <v>0</v>
      </c>
      <c r="G1559" s="73">
        <f>Table25[[#This Row],[Bought]]*Table25[[#This Row],[Price]]</f>
        <v>0</v>
      </c>
      <c r="H1559">
        <f>SUMIF(Table25[[#All],[Assets]],Table25[[#This Row],[Assets]],Table25[[#All],[Bought]])</f>
        <v>2166.0267990000002</v>
      </c>
      <c r="I1559">
        <f>SUMIF(Table25[[#All],[Assets]],Table25[[#This Row],[Assets]],Table25[[#All],[Bought Amount]])</f>
        <v>13370.91512648</v>
      </c>
      <c r="J1559" s="88">
        <f>IF(Table25[[#This Row],[Number of stocks]]&lt;0,Table25[[#This Row],[Number of stocks]],0)</f>
        <v>-100</v>
      </c>
      <c r="K1559" s="5">
        <f>Table25[[#This Row],[Sold]]*Table25[[#This Row],[Price]]</f>
        <v>-453</v>
      </c>
      <c r="L1559" s="8">
        <f>ABS(SUMIF(Table25[[#All],[Assets]],Table25[[#This Row],[Assets]],Table25[[#All],[Sold]]))</f>
        <v>2083</v>
      </c>
      <c r="M1559" s="5">
        <f>ABS(SUMIF(Table25[[#All],[Assets]],Table25[[#This Row],[Assets]],Table25[[#All],[Sold Amount]]))</f>
        <v>11153.28</v>
      </c>
      <c r="N1559" s="5">
        <f>IFERROR(Table25[[#This Row],[Total sold amount]]/Table25[[#This Row],[Total Sold number of stocks]],"")</f>
        <v>5.3544311089774368</v>
      </c>
      <c r="O1559" s="4">
        <f>IFERROR(Table25[[#This Row],[Total Amount bought]]/Table25[[#This Row],[Total number bought]],"")</f>
        <v>6.1730146333614213</v>
      </c>
      <c r="P1559" s="4">
        <f>IFERROR((Table25[[#This Row],[Average sell price]]-Table25[[#This Row],[Average buy price]])*Table25[[#This Row],[Total Sold number of stocks]],0)</f>
        <v>-1705.1094812918398</v>
      </c>
      <c r="Q1559" s="85">
        <f>SUMIF(Table25[[#All],[Assets]],Table25[[#This Row],[Assets]],Table25[[#All],[Number of stocks]])</f>
        <v>83.026798999999983</v>
      </c>
    </row>
    <row r="1560" spans="1:17">
      <c r="A1560" t="e" vm="235">
        <v>#VALUE!</v>
      </c>
      <c r="B1560" s="2">
        <v>45894</v>
      </c>
      <c r="C1560" t="str" cm="1">
        <f t="array" aca="1" ref="C1560" ca="1">_FV(A1560,"Ticker symbol",TRUE)</f>
        <v>MBOT</v>
      </c>
      <c r="D1560" s="4">
        <v>4.25</v>
      </c>
      <c r="E1560" s="50">
        <v>200</v>
      </c>
      <c r="F1560" s="81">
        <f>IF(Table25[[#This Row],[Number of stocks]]&gt;0,Table25[[#This Row],[Number of stocks]],0)</f>
        <v>200</v>
      </c>
      <c r="G1560" s="73">
        <f>Table25[[#This Row],[Bought]]*Table25[[#This Row],[Price]]</f>
        <v>850</v>
      </c>
      <c r="H1560">
        <f>SUMIF(Table25[[#All],[Assets]],Table25[[#This Row],[Assets]],Table25[[#All],[Bought]])</f>
        <v>200</v>
      </c>
      <c r="I1560">
        <f>SUMIF(Table25[[#All],[Assets]],Table25[[#This Row],[Assets]],Table25[[#All],[Bought Amount]])</f>
        <v>850</v>
      </c>
      <c r="J1560" s="88">
        <f>IF(Table25[[#This Row],[Number of stocks]]&lt;0,Table25[[#This Row],[Number of stocks]],0)</f>
        <v>0</v>
      </c>
      <c r="K1560" s="5">
        <f>Table25[[#This Row],[Sold]]*Table25[[#This Row],[Price]]</f>
        <v>0</v>
      </c>
      <c r="L1560" s="8">
        <f>ABS(SUMIF(Table25[[#All],[Assets]],Table25[[#This Row],[Assets]],Table25[[#All],[Sold]]))</f>
        <v>200</v>
      </c>
      <c r="M1560" s="5">
        <f>ABS(SUMIF(Table25[[#All],[Assets]],Table25[[#This Row],[Assets]],Table25[[#All],[Sold Amount]]))</f>
        <v>587.5</v>
      </c>
      <c r="N1560" s="5">
        <f>IFERROR(Table25[[#This Row],[Total sold amount]]/Table25[[#This Row],[Total Sold number of stocks]],"")</f>
        <v>2.9375</v>
      </c>
      <c r="O1560" s="4">
        <f>IFERROR(Table25[[#This Row],[Total Amount bought]]/Table25[[#This Row],[Total number bought]],"")</f>
        <v>4.25</v>
      </c>
      <c r="P1560" s="4">
        <f>IFERROR((Table25[[#This Row],[Average sell price]]-Table25[[#This Row],[Average buy price]])*Table25[[#This Row],[Total Sold number of stocks]],0)</f>
        <v>-262.5</v>
      </c>
      <c r="Q1560" s="85">
        <f>SUMIF(Table25[[#All],[Assets]],Table25[[#This Row],[Assets]],Table25[[#All],[Number of stocks]])</f>
        <v>0</v>
      </c>
    </row>
    <row r="1561" spans="1:17">
      <c r="A1561" t="e" vm="242">
        <v>#VALUE!</v>
      </c>
      <c r="B1561" s="2">
        <v>45894</v>
      </c>
      <c r="C1561" t="str" cm="1">
        <f t="array" aca="1" ref="C1561" ca="1">_FV(A1561,"Ticker symbol",TRUE)</f>
        <v>RKT</v>
      </c>
      <c r="D1561" s="4">
        <v>18.850000000000001</v>
      </c>
      <c r="E1561" s="50">
        <v>25</v>
      </c>
      <c r="F1561" s="81">
        <f>IF(Table25[[#This Row],[Number of stocks]]&gt;0,Table25[[#This Row],[Number of stocks]],0)</f>
        <v>25</v>
      </c>
      <c r="G1561" s="73">
        <f>Table25[[#This Row],[Bought]]*Table25[[#This Row],[Price]]</f>
        <v>471.25000000000006</v>
      </c>
      <c r="H1561">
        <f>SUMIF(Table25[[#All],[Assets]],Table25[[#This Row],[Assets]],Table25[[#All],[Bought]])</f>
        <v>116</v>
      </c>
      <c r="I1561">
        <f>SUMIF(Table25[[#All],[Assets]],Table25[[#This Row],[Assets]],Table25[[#All],[Bought Amount]])</f>
        <v>2236.0100000000002</v>
      </c>
      <c r="J1561" s="88">
        <f>IF(Table25[[#This Row],[Number of stocks]]&lt;0,Table25[[#This Row],[Number of stocks]],0)</f>
        <v>0</v>
      </c>
      <c r="K1561" s="5">
        <f>Table25[[#This Row],[Sold]]*Table25[[#This Row],[Price]]</f>
        <v>0</v>
      </c>
      <c r="L1561" s="8">
        <f>ABS(SUMIF(Table25[[#All],[Assets]],Table25[[#This Row],[Assets]],Table25[[#All],[Sold]]))</f>
        <v>116</v>
      </c>
      <c r="M1561" s="5">
        <f>ABS(SUMIF(Table25[[#All],[Assets]],Table25[[#This Row],[Assets]],Table25[[#All],[Sold Amount]]))</f>
        <v>1947.1000000000001</v>
      </c>
      <c r="N1561" s="5">
        <f>IFERROR(Table25[[#This Row],[Total sold amount]]/Table25[[#This Row],[Total Sold number of stocks]],"")</f>
        <v>16.785344827586208</v>
      </c>
      <c r="O1561" s="4">
        <f>IFERROR(Table25[[#This Row],[Total Amount bought]]/Table25[[#This Row],[Total number bought]],"")</f>
        <v>19.275948275862071</v>
      </c>
      <c r="P1561" s="4">
        <f>IFERROR((Table25[[#This Row],[Average sell price]]-Table25[[#This Row],[Average buy price]])*Table25[[#This Row],[Total Sold number of stocks]],0)</f>
        <v>-288.91000000000008</v>
      </c>
      <c r="Q1561" s="85">
        <f>SUMIF(Table25[[#All],[Assets]],Table25[[#This Row],[Assets]],Table25[[#All],[Number of stocks]])</f>
        <v>0</v>
      </c>
    </row>
    <row r="1562" spans="1:17">
      <c r="A1562" t="e" vm="228">
        <v>#VALUE!</v>
      </c>
      <c r="B1562" s="2">
        <v>45897</v>
      </c>
      <c r="C1562" t="str" cm="1">
        <f t="array" aca="1" ref="C1562" ca="1">_FV(A1562,"Ticker symbol",TRUE)</f>
        <v>BILL</v>
      </c>
      <c r="D1562" s="4">
        <v>45.64</v>
      </c>
      <c r="E1562" s="50">
        <v>16</v>
      </c>
      <c r="F1562" s="81">
        <f>IF(Table25[[#This Row],[Number of stocks]]&gt;0,Table25[[#This Row],[Number of stocks]],0)</f>
        <v>16</v>
      </c>
      <c r="G1562" s="73">
        <f>Table25[[#This Row],[Bought]]*Table25[[#This Row],[Price]]</f>
        <v>730.24</v>
      </c>
      <c r="H1562">
        <f>SUMIF(Table25[[#All],[Assets]],Table25[[#This Row],[Assets]],Table25[[#All],[Bought]])</f>
        <v>101</v>
      </c>
      <c r="I1562">
        <f>SUMIF(Table25[[#All],[Assets]],Table25[[#This Row],[Assets]],Table25[[#All],[Bought Amount]])</f>
        <v>5292.3600000000006</v>
      </c>
      <c r="J1562" s="88">
        <f>IF(Table25[[#This Row],[Number of stocks]]&lt;0,Table25[[#This Row],[Number of stocks]],0)</f>
        <v>0</v>
      </c>
      <c r="K1562" s="5">
        <f>Table25[[#This Row],[Sold]]*Table25[[#This Row],[Price]]</f>
        <v>0</v>
      </c>
      <c r="L1562" s="8">
        <f>ABS(SUMIF(Table25[[#All],[Assets]],Table25[[#This Row],[Assets]],Table25[[#All],[Sold]]))</f>
        <v>101</v>
      </c>
      <c r="M1562" s="5">
        <f>ABS(SUMIF(Table25[[#All],[Assets]],Table25[[#This Row],[Assets]],Table25[[#All],[Sold Amount]]))</f>
        <v>5973.49</v>
      </c>
      <c r="N1562" s="5">
        <f>IFERROR(Table25[[#This Row],[Total sold amount]]/Table25[[#This Row],[Total Sold number of stocks]],"")</f>
        <v>59.143465346534654</v>
      </c>
      <c r="O1562" s="4">
        <f>IFERROR(Table25[[#This Row],[Total Amount bought]]/Table25[[#This Row],[Total number bought]],"")</f>
        <v>52.399603960396043</v>
      </c>
      <c r="P1562" s="4">
        <f>IFERROR((Table25[[#This Row],[Average sell price]]-Table25[[#This Row],[Average buy price]])*Table25[[#This Row],[Total Sold number of stocks]],0)</f>
        <v>681.12999999999977</v>
      </c>
      <c r="Q1562" s="85">
        <f>SUMIF(Table25[[#All],[Assets]],Table25[[#This Row],[Assets]],Table25[[#All],[Number of stocks]])</f>
        <v>0</v>
      </c>
    </row>
    <row r="1563" spans="1:17">
      <c r="A1563" t="e" vm="27">
        <v>#VALUE!</v>
      </c>
      <c r="B1563" s="2">
        <v>45897</v>
      </c>
      <c r="C1563" t="str" cm="1">
        <f t="array" aca="1" ref="C1563" ca="1">_FV(A1563,"Ticker symbol",TRUE)</f>
        <v>ASML</v>
      </c>
      <c r="D1563" s="4">
        <v>772.02</v>
      </c>
      <c r="E1563" s="50">
        <v>-1</v>
      </c>
      <c r="F1563" s="81">
        <f>IF(Table25[[#This Row],[Number of stocks]]&gt;0,Table25[[#This Row],[Number of stocks]],0)</f>
        <v>0</v>
      </c>
      <c r="G1563" s="73">
        <f>Table25[[#This Row],[Bought]]*Table25[[#This Row],[Price]]</f>
        <v>0</v>
      </c>
      <c r="H1563">
        <f>SUMIF(Table25[[#All],[Assets]],Table25[[#This Row],[Assets]],Table25[[#All],[Bought]])</f>
        <v>2</v>
      </c>
      <c r="I1563">
        <f>SUMIF(Table25[[#All],[Assets]],Table25[[#This Row],[Assets]],Table25[[#All],[Bought Amount]])</f>
        <v>1444.51</v>
      </c>
      <c r="J1563" s="88">
        <f>IF(Table25[[#This Row],[Number of stocks]]&lt;0,Table25[[#This Row],[Number of stocks]],0)</f>
        <v>-1</v>
      </c>
      <c r="K1563" s="5">
        <f>Table25[[#This Row],[Sold]]*Table25[[#This Row],[Price]]</f>
        <v>-772.02</v>
      </c>
      <c r="L1563" s="8">
        <f>ABS(SUMIF(Table25[[#All],[Assets]],Table25[[#This Row],[Assets]],Table25[[#All],[Sold]]))</f>
        <v>2</v>
      </c>
      <c r="M1563" s="5">
        <f>ABS(SUMIF(Table25[[#All],[Assets]],Table25[[#This Row],[Assets]],Table25[[#All],[Sold Amount]]))</f>
        <v>1468.0900000000001</v>
      </c>
      <c r="N1563" s="5">
        <f>IFERROR(Table25[[#This Row],[Total sold amount]]/Table25[[#This Row],[Total Sold number of stocks]],"")</f>
        <v>734.04500000000007</v>
      </c>
      <c r="O1563" s="4">
        <f>IFERROR(Table25[[#This Row],[Total Amount bought]]/Table25[[#This Row],[Total number bought]],"")</f>
        <v>722.255</v>
      </c>
      <c r="P1563" s="4">
        <f>IFERROR((Table25[[#This Row],[Average sell price]]-Table25[[#This Row],[Average buy price]])*Table25[[#This Row],[Total Sold number of stocks]],0)</f>
        <v>23.580000000000155</v>
      </c>
      <c r="Q1563" s="85">
        <f>SUMIF(Table25[[#All],[Assets]],Table25[[#This Row],[Assets]],Table25[[#All],[Number of stocks]])</f>
        <v>0</v>
      </c>
    </row>
    <row r="1564" spans="1:17">
      <c r="A1564" t="e" vm="243">
        <v>#VALUE!</v>
      </c>
      <c r="B1564" s="2">
        <v>45897</v>
      </c>
      <c r="C1564" t="str" cm="1">
        <f t="array" aca="1" ref="C1564" ca="1">_FV(A1564,"Ticker symbol",TRUE)</f>
        <v>CRWD</v>
      </c>
      <c r="D1564" s="4">
        <v>429.27</v>
      </c>
      <c r="E1564" s="50">
        <v>1</v>
      </c>
      <c r="F1564" s="81">
        <f>IF(Table25[[#This Row],[Number of stocks]]&gt;0,Table25[[#This Row],[Number of stocks]],0)</f>
        <v>1</v>
      </c>
      <c r="G1564" s="73">
        <f>Table25[[#This Row],[Bought]]*Table25[[#This Row],[Price]]</f>
        <v>429.27</v>
      </c>
      <c r="H1564">
        <f>SUMIF(Table25[[#All],[Assets]],Table25[[#This Row],[Assets]],Table25[[#All],[Bought]])</f>
        <v>1</v>
      </c>
      <c r="I1564">
        <f>SUMIF(Table25[[#All],[Assets]],Table25[[#This Row],[Assets]],Table25[[#All],[Bought Amount]])</f>
        <v>429.27</v>
      </c>
      <c r="J1564" s="88">
        <f>IF(Table25[[#This Row],[Number of stocks]]&lt;0,Table25[[#This Row],[Number of stocks]],0)</f>
        <v>0</v>
      </c>
      <c r="K1564" s="5">
        <f>Table25[[#This Row],[Sold]]*Table25[[#This Row],[Price]]</f>
        <v>0</v>
      </c>
      <c r="L1564" s="8">
        <f>ABS(SUMIF(Table25[[#All],[Assets]],Table25[[#This Row],[Assets]],Table25[[#All],[Sold]]))</f>
        <v>1</v>
      </c>
      <c r="M1564" s="5">
        <f>ABS(SUMIF(Table25[[#All],[Assets]],Table25[[#This Row],[Assets]],Table25[[#All],[Sold Amount]]))</f>
        <v>499.25</v>
      </c>
      <c r="N1564" s="5">
        <f>IFERROR(Table25[[#This Row],[Total sold amount]]/Table25[[#This Row],[Total Sold number of stocks]],"")</f>
        <v>499.25</v>
      </c>
      <c r="O1564" s="4">
        <f>IFERROR(Table25[[#This Row],[Total Amount bought]]/Table25[[#This Row],[Total number bought]],"")</f>
        <v>429.27</v>
      </c>
      <c r="P1564" s="4">
        <f>IFERROR((Table25[[#This Row],[Average sell price]]-Table25[[#This Row],[Average buy price]])*Table25[[#This Row],[Total Sold number of stocks]],0)</f>
        <v>69.980000000000018</v>
      </c>
      <c r="Q1564" s="85">
        <f>SUMIF(Table25[[#All],[Assets]],Table25[[#This Row],[Assets]],Table25[[#All],[Number of stocks]])</f>
        <v>0</v>
      </c>
    </row>
    <row r="1565" spans="1:17">
      <c r="A1565" t="e" vm="200">
        <v>#VALUE!</v>
      </c>
      <c r="B1565" s="2">
        <v>45897</v>
      </c>
      <c r="C1565" t="str" cm="1">
        <f t="array" aca="1" ref="C1565" ca="1">_FV(A1565,"Ticker symbol",TRUE)</f>
        <v>IMSR</v>
      </c>
      <c r="D1565" s="4">
        <v>11.72</v>
      </c>
      <c r="E1565" s="50">
        <v>28</v>
      </c>
      <c r="F1565" s="81">
        <f>IF(Table25[[#This Row],[Number of stocks]]&gt;0,Table25[[#This Row],[Number of stocks]],0)</f>
        <v>28</v>
      </c>
      <c r="G1565" s="73">
        <f>Table25[[#This Row],[Bought]]*Table25[[#This Row],[Price]]</f>
        <v>328.16</v>
      </c>
      <c r="H1565">
        <f>SUMIF(Table25[[#All],[Assets]],Table25[[#This Row],[Assets]],Table25[[#All],[Bought]])</f>
        <v>386</v>
      </c>
      <c r="I1565">
        <f>SUMIF(Table25[[#All],[Assets]],Table25[[#This Row],[Assets]],Table25[[#All],[Bought Amount]])</f>
        <v>4519.0499999999993</v>
      </c>
      <c r="J1565" s="88">
        <f>IF(Table25[[#This Row],[Number of stocks]]&lt;0,Table25[[#This Row],[Number of stocks]],0)</f>
        <v>0</v>
      </c>
      <c r="K1565" s="5">
        <f>Table25[[#This Row],[Sold]]*Table25[[#This Row],[Price]]</f>
        <v>0</v>
      </c>
      <c r="L1565" s="8">
        <f>ABS(SUMIF(Table25[[#All],[Assets]],Table25[[#This Row],[Assets]],Table25[[#All],[Sold]]))</f>
        <v>288</v>
      </c>
      <c r="M1565" s="5">
        <f>ABS(SUMIF(Table25[[#All],[Assets]],Table25[[#This Row],[Assets]],Table25[[#All],[Sold Amount]]))</f>
        <v>3200.16</v>
      </c>
      <c r="N1565" s="5">
        <f>IFERROR(Table25[[#This Row],[Total sold amount]]/Table25[[#This Row],[Total Sold number of stocks]],"")</f>
        <v>11.111666666666666</v>
      </c>
      <c r="O1565" s="4">
        <f>IFERROR(Table25[[#This Row],[Total Amount bought]]/Table25[[#This Row],[Total number bought]],"")</f>
        <v>11.707383419689117</v>
      </c>
      <c r="P1565" s="4">
        <f>IFERROR((Table25[[#This Row],[Average sell price]]-Table25[[#This Row],[Average buy price]])*Table25[[#This Row],[Total Sold number of stocks]],0)</f>
        <v>-171.56642487046588</v>
      </c>
      <c r="Q1565" s="85">
        <f>SUMIF(Table25[[#All],[Assets]],Table25[[#This Row],[Assets]],Table25[[#All],[Number of stocks]])</f>
        <v>98</v>
      </c>
    </row>
    <row r="1566" spans="1:17">
      <c r="A1566" t="e" vm="228">
        <v>#VALUE!</v>
      </c>
      <c r="B1566" s="2">
        <v>45897</v>
      </c>
      <c r="C1566" t="str" cm="1">
        <f t="array" aca="1" ref="C1566" ca="1">_FV(A1566,"Ticker symbol",TRUE)</f>
        <v>BILL</v>
      </c>
      <c r="D1566" s="4">
        <v>46</v>
      </c>
      <c r="E1566" s="50">
        <v>12</v>
      </c>
      <c r="F1566" s="81">
        <f>IF(Table25[[#This Row],[Number of stocks]]&gt;0,Table25[[#This Row],[Number of stocks]],0)</f>
        <v>12</v>
      </c>
      <c r="G1566" s="73">
        <f>Table25[[#This Row],[Bought]]*Table25[[#This Row],[Price]]</f>
        <v>552</v>
      </c>
      <c r="H1566">
        <f>SUMIF(Table25[[#All],[Assets]],Table25[[#This Row],[Assets]],Table25[[#All],[Bought]])</f>
        <v>101</v>
      </c>
      <c r="I1566">
        <f>SUMIF(Table25[[#All],[Assets]],Table25[[#This Row],[Assets]],Table25[[#All],[Bought Amount]])</f>
        <v>5292.3600000000006</v>
      </c>
      <c r="J1566" s="88">
        <f>IF(Table25[[#This Row],[Number of stocks]]&lt;0,Table25[[#This Row],[Number of stocks]],0)</f>
        <v>0</v>
      </c>
      <c r="K1566" s="5">
        <f>Table25[[#This Row],[Sold]]*Table25[[#This Row],[Price]]</f>
        <v>0</v>
      </c>
      <c r="L1566" s="8">
        <f>ABS(SUMIF(Table25[[#All],[Assets]],Table25[[#This Row],[Assets]],Table25[[#All],[Sold]]))</f>
        <v>101</v>
      </c>
      <c r="M1566" s="5">
        <f>ABS(SUMIF(Table25[[#All],[Assets]],Table25[[#This Row],[Assets]],Table25[[#All],[Sold Amount]]))</f>
        <v>5973.49</v>
      </c>
      <c r="N1566" s="5">
        <f>IFERROR(Table25[[#This Row],[Total sold amount]]/Table25[[#This Row],[Total Sold number of stocks]],"")</f>
        <v>59.143465346534654</v>
      </c>
      <c r="O1566" s="4">
        <f>IFERROR(Table25[[#This Row],[Total Amount bought]]/Table25[[#This Row],[Total number bought]],"")</f>
        <v>52.399603960396043</v>
      </c>
      <c r="P1566" s="4">
        <f>IFERROR((Table25[[#This Row],[Average sell price]]-Table25[[#This Row],[Average buy price]])*Table25[[#This Row],[Total Sold number of stocks]],0)</f>
        <v>681.12999999999977</v>
      </c>
      <c r="Q1566" s="85">
        <f>SUMIF(Table25[[#All],[Assets]],Table25[[#This Row],[Assets]],Table25[[#All],[Number of stocks]])</f>
        <v>0</v>
      </c>
    </row>
    <row r="1567" spans="1:17">
      <c r="A1567" t="e" vm="263">
        <v>#VALUE!</v>
      </c>
      <c r="B1567" s="2">
        <v>45897</v>
      </c>
      <c r="C1567" t="str" cm="1">
        <f t="array" aca="1" ref="C1567" ca="1">_FV(A1567,"Ticker symbol",TRUE)</f>
        <v>GDRX</v>
      </c>
      <c r="D1567" s="4">
        <v>4.4400000000000004</v>
      </c>
      <c r="E1567" s="50">
        <v>-200</v>
      </c>
      <c r="F1567" s="81">
        <f>IF(Table25[[#This Row],[Number of stocks]]&gt;0,Table25[[#This Row],[Number of stocks]],0)</f>
        <v>0</v>
      </c>
      <c r="G1567" s="73">
        <f>Table25[[#This Row],[Bought]]*Table25[[#This Row],[Price]]</f>
        <v>0</v>
      </c>
      <c r="H1567">
        <f>SUMIF(Table25[[#All],[Assets]],Table25[[#This Row],[Assets]],Table25[[#All],[Bought]])</f>
        <v>420</v>
      </c>
      <c r="I1567">
        <f>SUMIF(Table25[[#All],[Assets]],Table25[[#This Row],[Assets]],Table25[[#All],[Bought Amount]])</f>
        <v>1907.8000000000002</v>
      </c>
      <c r="J1567" s="88">
        <f>IF(Table25[[#This Row],[Number of stocks]]&lt;0,Table25[[#This Row],[Number of stocks]],0)</f>
        <v>-200</v>
      </c>
      <c r="K1567" s="5">
        <f>Table25[[#This Row],[Sold]]*Table25[[#This Row],[Price]]</f>
        <v>-888.00000000000011</v>
      </c>
      <c r="L1567" s="8">
        <f>ABS(SUMIF(Table25[[#All],[Assets]],Table25[[#This Row],[Assets]],Table25[[#All],[Sold]]))</f>
        <v>420</v>
      </c>
      <c r="M1567" s="5">
        <f>ABS(SUMIF(Table25[[#All],[Assets]],Table25[[#This Row],[Assets]],Table25[[#All],[Sold Amount]]))</f>
        <v>1792.2000000000003</v>
      </c>
      <c r="N1567" s="5">
        <f>IFERROR(Table25[[#This Row],[Total sold amount]]/Table25[[#This Row],[Total Sold number of stocks]],"")</f>
        <v>4.2671428571428578</v>
      </c>
      <c r="O1567" s="4">
        <f>IFERROR(Table25[[#This Row],[Total Amount bought]]/Table25[[#This Row],[Total number bought]],"")</f>
        <v>4.5423809523809524</v>
      </c>
      <c r="P1567" s="4">
        <f>IFERROR((Table25[[#This Row],[Average sell price]]-Table25[[#This Row],[Average buy price]])*Table25[[#This Row],[Total Sold number of stocks]],0)</f>
        <v>-115.59999999999974</v>
      </c>
      <c r="Q1567" s="85">
        <f>SUMIF(Table25[[#All],[Assets]],Table25[[#This Row],[Assets]],Table25[[#All],[Number of stocks]])</f>
        <v>0</v>
      </c>
    </row>
    <row r="1568" spans="1:17">
      <c r="A1568" t="e" vm="226">
        <v>#VALUE!</v>
      </c>
      <c r="B1568" s="2">
        <v>45897</v>
      </c>
      <c r="C1568" t="str" cm="1">
        <f t="array" aca="1" ref="C1568" ca="1">_FV(A1568,"Ticker symbol",TRUE)</f>
        <v>WGHTQ</v>
      </c>
      <c r="D1568" s="4">
        <v>33.21</v>
      </c>
      <c r="E1568" s="50">
        <v>2</v>
      </c>
      <c r="F1568" s="81">
        <f>IF(Table25[[#This Row],[Number of stocks]]&gt;0,Table25[[#This Row],[Number of stocks]],0)</f>
        <v>2</v>
      </c>
      <c r="G1568" s="73">
        <f>Table25[[#This Row],[Bought]]*Table25[[#This Row],[Price]]</f>
        <v>66.42</v>
      </c>
      <c r="H1568">
        <f>SUMIF(Table25[[#All],[Assets]],Table25[[#This Row],[Assets]],Table25[[#All],[Bought]])</f>
        <v>172</v>
      </c>
      <c r="I1568">
        <f>SUMIF(Table25[[#All],[Assets]],Table25[[#This Row],[Assets]],Table25[[#All],[Bought Amount]])</f>
        <v>5307.8900000000012</v>
      </c>
      <c r="J1568" s="88">
        <f>IF(Table25[[#This Row],[Number of stocks]]&lt;0,Table25[[#This Row],[Number of stocks]],0)</f>
        <v>0</v>
      </c>
      <c r="K1568" s="5">
        <f>Table25[[#This Row],[Sold]]*Table25[[#This Row],[Price]]</f>
        <v>0</v>
      </c>
      <c r="L1568" s="8">
        <f>ABS(SUMIF(Table25[[#All],[Assets]],Table25[[#This Row],[Assets]],Table25[[#All],[Sold]]))</f>
        <v>168</v>
      </c>
      <c r="M1568" s="5">
        <f>ABS(SUMIF(Table25[[#All],[Assets]],Table25[[#This Row],[Assets]],Table25[[#All],[Sold Amount]]))</f>
        <v>4668.4199999999992</v>
      </c>
      <c r="N1568" s="5">
        <f>IFERROR(Table25[[#This Row],[Total sold amount]]/Table25[[#This Row],[Total Sold number of stocks]],"")</f>
        <v>27.788214285714282</v>
      </c>
      <c r="O1568" s="4">
        <f>IFERROR(Table25[[#This Row],[Total Amount bought]]/Table25[[#This Row],[Total number bought]],"")</f>
        <v>30.859825581395356</v>
      </c>
      <c r="P1568" s="4">
        <f>IFERROR((Table25[[#This Row],[Average sell price]]-Table25[[#This Row],[Average buy price]])*Table25[[#This Row],[Total Sold number of stocks]],0)</f>
        <v>-516.03069767442025</v>
      </c>
      <c r="Q1568" s="85">
        <f>SUMIF(Table25[[#All],[Assets]],Table25[[#This Row],[Assets]],Table25[[#All],[Number of stocks]])</f>
        <v>4</v>
      </c>
    </row>
    <row r="1569" spans="1:17">
      <c r="A1569" t="e" vm="172">
        <v>#VALUE!</v>
      </c>
      <c r="B1569" s="2">
        <v>45897</v>
      </c>
      <c r="C1569" t="str" cm="1">
        <f t="array" aca="1" ref="C1569" ca="1">_FV(A1569,"Ticker symbol",TRUE)</f>
        <v>WOLF</v>
      </c>
      <c r="D1569" s="4">
        <v>1.28</v>
      </c>
      <c r="E1569" s="50">
        <v>-330</v>
      </c>
      <c r="F1569" s="81">
        <f>IF(Table25[[#This Row],[Number of stocks]]&gt;0,Table25[[#This Row],[Number of stocks]],0)</f>
        <v>0</v>
      </c>
      <c r="G1569" s="73">
        <f>Table25[[#This Row],[Bought]]*Table25[[#This Row],[Price]]</f>
        <v>0</v>
      </c>
      <c r="H1569">
        <f>SUMIF(Table25[[#All],[Assets]],Table25[[#This Row],[Assets]],Table25[[#All],[Bought]])</f>
        <v>900</v>
      </c>
      <c r="I1569">
        <f>SUMIF(Table25[[#All],[Assets]],Table25[[#This Row],[Assets]],Table25[[#All],[Bought Amount]])</f>
        <v>3579</v>
      </c>
      <c r="J1569" s="88">
        <f>IF(Table25[[#This Row],[Number of stocks]]&lt;0,Table25[[#This Row],[Number of stocks]],0)</f>
        <v>-330</v>
      </c>
      <c r="K1569" s="5">
        <f>Table25[[#This Row],[Sold]]*Table25[[#This Row],[Price]]</f>
        <v>-422.40000000000003</v>
      </c>
      <c r="L1569" s="8">
        <f>ABS(SUMIF(Table25[[#All],[Assets]],Table25[[#This Row],[Assets]],Table25[[#All],[Sold]]))</f>
        <v>900</v>
      </c>
      <c r="M1569" s="5">
        <f>ABS(SUMIF(Table25[[#All],[Assets]],Table25[[#This Row],[Assets]],Table25[[#All],[Sold Amount]]))</f>
        <v>3724.3</v>
      </c>
      <c r="N1569" s="5">
        <f>IFERROR(Table25[[#This Row],[Total sold amount]]/Table25[[#This Row],[Total Sold number of stocks]],"")</f>
        <v>4.1381111111111117</v>
      </c>
      <c r="O1569" s="4">
        <f>IFERROR(Table25[[#This Row],[Total Amount bought]]/Table25[[#This Row],[Total number bought]],"")</f>
        <v>3.9766666666666666</v>
      </c>
      <c r="P1569" s="4">
        <f>IFERROR((Table25[[#This Row],[Average sell price]]-Table25[[#This Row],[Average buy price]])*Table25[[#This Row],[Total Sold number of stocks]],0)</f>
        <v>145.30000000000064</v>
      </c>
      <c r="Q1569" s="85">
        <f>SUMIF(Table25[[#All],[Assets]],Table25[[#This Row],[Assets]],Table25[[#All],[Number of stocks]])</f>
        <v>0</v>
      </c>
    </row>
    <row r="1570" spans="1:17">
      <c r="A1570" t="e" vm="188">
        <v>#VALUE!</v>
      </c>
      <c r="B1570" s="2">
        <v>45897</v>
      </c>
      <c r="C1570" t="str" cm="1">
        <f t="array" aca="1" ref="C1570" ca="1">_FV(A1570,"Ticker symbol",TRUE)</f>
        <v>BE</v>
      </c>
      <c r="D1570" s="4">
        <v>53.51</v>
      </c>
      <c r="E1570" s="50">
        <v>-35</v>
      </c>
      <c r="F1570" s="81">
        <f>IF(Table25[[#This Row],[Number of stocks]]&gt;0,Table25[[#This Row],[Number of stocks]],0)</f>
        <v>0</v>
      </c>
      <c r="G1570" s="73">
        <f>Table25[[#This Row],[Bought]]*Table25[[#This Row],[Price]]</f>
        <v>0</v>
      </c>
      <c r="H1570">
        <f>SUMIF(Table25[[#All],[Assets]],Table25[[#This Row],[Assets]],Table25[[#All],[Bought]])</f>
        <v>50</v>
      </c>
      <c r="I1570">
        <f>SUMIF(Table25[[#All],[Assets]],Table25[[#This Row],[Assets]],Table25[[#All],[Bought Amount]])</f>
        <v>2840.05</v>
      </c>
      <c r="J1570" s="88">
        <f>IF(Table25[[#This Row],[Number of stocks]]&lt;0,Table25[[#This Row],[Number of stocks]],0)</f>
        <v>-35</v>
      </c>
      <c r="K1570" s="5">
        <f>Table25[[#This Row],[Sold]]*Table25[[#This Row],[Price]]</f>
        <v>-1872.85</v>
      </c>
      <c r="L1570" s="8">
        <f>ABS(SUMIF(Table25[[#All],[Assets]],Table25[[#This Row],[Assets]],Table25[[#All],[Sold]]))</f>
        <v>35</v>
      </c>
      <c r="M1570" s="5">
        <f>ABS(SUMIF(Table25[[#All],[Assets]],Table25[[#This Row],[Assets]],Table25[[#All],[Sold Amount]]))</f>
        <v>1872.85</v>
      </c>
      <c r="N1570" s="5">
        <f>IFERROR(Table25[[#This Row],[Total sold amount]]/Table25[[#This Row],[Total Sold number of stocks]],"")</f>
        <v>53.51</v>
      </c>
      <c r="O1570" s="4">
        <f>IFERROR(Table25[[#This Row],[Total Amount bought]]/Table25[[#This Row],[Total number bought]],"")</f>
        <v>56.801000000000002</v>
      </c>
      <c r="P1570" s="4">
        <f>IFERROR((Table25[[#This Row],[Average sell price]]-Table25[[#This Row],[Average buy price]])*Table25[[#This Row],[Total Sold number of stocks]],0)</f>
        <v>-115.18500000000014</v>
      </c>
      <c r="Q1570" s="85">
        <f>SUMIF(Table25[[#All],[Assets]],Table25[[#This Row],[Assets]],Table25[[#All],[Number of stocks]])</f>
        <v>15</v>
      </c>
    </row>
    <row r="1571" spans="1:17">
      <c r="A1571" t="e" vm="236">
        <v>#VALUE!</v>
      </c>
      <c r="B1571" s="2">
        <v>45898</v>
      </c>
      <c r="C1571" t="str" cm="1">
        <f t="array" aca="1" ref="C1571" ca="1">_FV(A1571,"Ticker symbol",TRUE)</f>
        <v>ESTC</v>
      </c>
      <c r="D1571" s="4">
        <v>87.72</v>
      </c>
      <c r="E1571" s="50">
        <v>9</v>
      </c>
      <c r="F1571" s="81">
        <f>IF(Table25[[#This Row],[Number of stocks]]&gt;0,Table25[[#This Row],[Number of stocks]],0)</f>
        <v>9</v>
      </c>
      <c r="G1571" s="73">
        <f>Table25[[#This Row],[Bought]]*Table25[[#This Row],[Price]]</f>
        <v>789.48</v>
      </c>
      <c r="H1571">
        <f>SUMIF(Table25[[#All],[Assets]],Table25[[#This Row],[Assets]],Table25[[#All],[Bought]])</f>
        <v>27</v>
      </c>
      <c r="I1571">
        <f>SUMIF(Table25[[#All],[Assets]],Table25[[#This Row],[Assets]],Table25[[#All],[Bought Amount]])</f>
        <v>2776.75</v>
      </c>
      <c r="J1571" s="88">
        <f>IF(Table25[[#This Row],[Number of stocks]]&lt;0,Table25[[#This Row],[Number of stocks]],0)</f>
        <v>0</v>
      </c>
      <c r="K1571" s="5">
        <f>Table25[[#This Row],[Sold]]*Table25[[#This Row],[Price]]</f>
        <v>0</v>
      </c>
      <c r="L1571" s="8">
        <f>ABS(SUMIF(Table25[[#All],[Assets]],Table25[[#This Row],[Assets]],Table25[[#All],[Sold]]))</f>
        <v>27</v>
      </c>
      <c r="M1571" s="5">
        <f>ABS(SUMIF(Table25[[#All],[Assets]],Table25[[#This Row],[Assets]],Table25[[#All],[Sold Amount]]))</f>
        <v>2320.58</v>
      </c>
      <c r="N1571" s="5">
        <f>IFERROR(Table25[[#This Row],[Total sold amount]]/Table25[[#This Row],[Total Sold number of stocks]],"")</f>
        <v>85.947407407407411</v>
      </c>
      <c r="O1571" s="4">
        <f>IFERROR(Table25[[#This Row],[Total Amount bought]]/Table25[[#This Row],[Total number bought]],"")</f>
        <v>102.8425925925926</v>
      </c>
      <c r="P1571" s="4">
        <f>IFERROR((Table25[[#This Row],[Average sell price]]-Table25[[#This Row],[Average buy price]])*Table25[[#This Row],[Total Sold number of stocks]],0)</f>
        <v>-456.16999999999996</v>
      </c>
      <c r="Q1571" s="85">
        <f>SUMIF(Table25[[#All],[Assets]],Table25[[#This Row],[Assets]],Table25[[#All],[Number of stocks]])</f>
        <v>0</v>
      </c>
    </row>
    <row r="1572" spans="1:17">
      <c r="A1572" t="e" vm="42">
        <v>#VALUE!</v>
      </c>
      <c r="B1572" s="2">
        <v>45902</v>
      </c>
      <c r="C1572" t="str" cm="1">
        <f t="array" aca="1" ref="C1572" ca="1">_FV(A1572,"Ticker symbol",TRUE)</f>
        <v>FLR</v>
      </c>
      <c r="D1572" s="4">
        <v>40.01</v>
      </c>
      <c r="E1572" s="50">
        <v>-12</v>
      </c>
      <c r="F1572" s="81">
        <f>IF(Table25[[#This Row],[Number of stocks]]&gt;0,Table25[[#This Row],[Number of stocks]],0)</f>
        <v>0</v>
      </c>
      <c r="G1572" s="73">
        <f>Table25[[#This Row],[Bought]]*Table25[[#This Row],[Price]]</f>
        <v>0</v>
      </c>
      <c r="H1572">
        <f>SUMIF(Table25[[#All],[Assets]],Table25[[#This Row],[Assets]],Table25[[#All],[Bought]])</f>
        <v>91</v>
      </c>
      <c r="I1572">
        <f>SUMIF(Table25[[#All],[Assets]],Table25[[#This Row],[Assets]],Table25[[#All],[Bought Amount]])</f>
        <v>4262.41</v>
      </c>
      <c r="J1572" s="88">
        <f>IF(Table25[[#This Row],[Number of stocks]]&lt;0,Table25[[#This Row],[Number of stocks]],0)</f>
        <v>-12</v>
      </c>
      <c r="K1572" s="5">
        <f>Table25[[#This Row],[Sold]]*Table25[[#This Row],[Price]]</f>
        <v>-480.12</v>
      </c>
      <c r="L1572" s="8">
        <f>ABS(SUMIF(Table25[[#All],[Assets]],Table25[[#This Row],[Assets]],Table25[[#All],[Sold]]))</f>
        <v>91</v>
      </c>
      <c r="M1572" s="5">
        <f>ABS(SUMIF(Table25[[#All],[Assets]],Table25[[#This Row],[Assets]],Table25[[#All],[Sold Amount]]))</f>
        <v>4467.7199999999993</v>
      </c>
      <c r="N1572" s="5">
        <f>IFERROR(Table25[[#This Row],[Total sold amount]]/Table25[[#This Row],[Total Sold number of stocks]],"")</f>
        <v>49.09582417582417</v>
      </c>
      <c r="O1572" s="4">
        <f>IFERROR(Table25[[#This Row],[Total Amount bought]]/Table25[[#This Row],[Total number bought]],"")</f>
        <v>46.839670329670327</v>
      </c>
      <c r="P1572" s="4">
        <f>IFERROR((Table25[[#This Row],[Average sell price]]-Table25[[#This Row],[Average buy price]])*Table25[[#This Row],[Total Sold number of stocks]],0)</f>
        <v>205.30999999999975</v>
      </c>
      <c r="Q1572" s="85">
        <f>SUMIF(Table25[[#All],[Assets]],Table25[[#This Row],[Assets]],Table25[[#All],[Number of stocks]])</f>
        <v>0</v>
      </c>
    </row>
    <row r="1573" spans="1:17">
      <c r="A1573" t="e" vm="34">
        <v>#VALUE!</v>
      </c>
      <c r="B1573" s="2">
        <v>45902</v>
      </c>
      <c r="C1573" t="str" cm="1">
        <f t="array" aca="1" ref="C1573" ca="1">_FV(A1573,"Ticker symbol",TRUE)</f>
        <v>TSM</v>
      </c>
      <c r="D1573" s="4">
        <v>227.68</v>
      </c>
      <c r="E1573" s="50">
        <v>-3</v>
      </c>
      <c r="F1573" s="81">
        <f>IF(Table25[[#This Row],[Number of stocks]]&gt;0,Table25[[#This Row],[Number of stocks]],0)</f>
        <v>0</v>
      </c>
      <c r="G1573" s="73">
        <f>Table25[[#This Row],[Bought]]*Table25[[#This Row],[Price]]</f>
        <v>0</v>
      </c>
      <c r="H1573">
        <f>SUMIF(Table25[[#All],[Assets]],Table25[[#This Row],[Assets]],Table25[[#All],[Bought]])</f>
        <v>45</v>
      </c>
      <c r="I1573">
        <f>SUMIF(Table25[[#All],[Assets]],Table25[[#This Row],[Assets]],Table25[[#All],[Bought Amount]])</f>
        <v>7503.4800000000005</v>
      </c>
      <c r="J1573" s="88">
        <f>IF(Table25[[#This Row],[Number of stocks]]&lt;0,Table25[[#This Row],[Number of stocks]],0)</f>
        <v>-3</v>
      </c>
      <c r="K1573" s="5">
        <f>Table25[[#This Row],[Sold]]*Table25[[#This Row],[Price]]</f>
        <v>-683.04</v>
      </c>
      <c r="L1573" s="8">
        <f>ABS(SUMIF(Table25[[#All],[Assets]],Table25[[#This Row],[Assets]],Table25[[#All],[Sold]]))</f>
        <v>44</v>
      </c>
      <c r="M1573" s="5">
        <f>ABS(SUMIF(Table25[[#All],[Assets]],Table25[[#This Row],[Assets]],Table25[[#All],[Sold Amount]]))</f>
        <v>7951.28</v>
      </c>
      <c r="N1573" s="5">
        <f>IFERROR(Table25[[#This Row],[Total sold amount]]/Table25[[#This Row],[Total Sold number of stocks]],"")</f>
        <v>180.7109090909091</v>
      </c>
      <c r="O1573" s="4">
        <f>IFERROR(Table25[[#This Row],[Total Amount bought]]/Table25[[#This Row],[Total number bought]],"")</f>
        <v>166.744</v>
      </c>
      <c r="P1573" s="4">
        <f>IFERROR((Table25[[#This Row],[Average sell price]]-Table25[[#This Row],[Average buy price]])*Table25[[#This Row],[Total Sold number of stocks]],0)</f>
        <v>614.54400000000032</v>
      </c>
      <c r="Q1573" s="85">
        <f>SUMIF(Table25[[#All],[Assets]],Table25[[#This Row],[Assets]],Table25[[#All],[Number of stocks]])</f>
        <v>1</v>
      </c>
    </row>
    <row r="1574" spans="1:17">
      <c r="A1574" t="e" vm="573">
        <v>#VALUE!</v>
      </c>
      <c r="B1574" s="2">
        <v>45902</v>
      </c>
      <c r="C1574" t="str" cm="1">
        <f t="array" aca="1" ref="C1574" ca="1">_FV(A1574,"Ticker symbol",TRUE)</f>
        <v>GLXY</v>
      </c>
      <c r="D1574" s="4">
        <v>23.45</v>
      </c>
      <c r="E1574" s="50">
        <v>-4</v>
      </c>
      <c r="F1574" s="81">
        <f>IF(Table25[[#This Row],[Number of stocks]]&gt;0,Table25[[#This Row],[Number of stocks]],0)</f>
        <v>0</v>
      </c>
      <c r="G1574" s="73">
        <f>Table25[[#This Row],[Bought]]*Table25[[#This Row],[Price]]</f>
        <v>0</v>
      </c>
      <c r="H1574">
        <f>SUMIF(Table25[[#All],[Assets]],Table25[[#This Row],[Assets]],Table25[[#All],[Bought]])</f>
        <v>4</v>
      </c>
      <c r="I1574">
        <f>SUMIF(Table25[[#All],[Assets]],Table25[[#This Row],[Assets]],Table25[[#All],[Bought Amount]])</f>
        <v>112.4</v>
      </c>
      <c r="J1574" s="88">
        <f>IF(Table25[[#This Row],[Number of stocks]]&lt;0,Table25[[#This Row],[Number of stocks]],0)</f>
        <v>-4</v>
      </c>
      <c r="K1574" s="5">
        <f>Table25[[#This Row],[Sold]]*Table25[[#This Row],[Price]]</f>
        <v>-93.8</v>
      </c>
      <c r="L1574" s="8">
        <f>ABS(SUMIF(Table25[[#All],[Assets]],Table25[[#This Row],[Assets]],Table25[[#All],[Sold]]))</f>
        <v>4</v>
      </c>
      <c r="M1574" s="5">
        <f>ABS(SUMIF(Table25[[#All],[Assets]],Table25[[#This Row],[Assets]],Table25[[#All],[Sold Amount]]))</f>
        <v>93.8</v>
      </c>
      <c r="N1574" s="5">
        <f>IFERROR(Table25[[#This Row],[Total sold amount]]/Table25[[#This Row],[Total Sold number of stocks]],"")</f>
        <v>23.45</v>
      </c>
      <c r="O1574" s="4">
        <f>IFERROR(Table25[[#This Row],[Total Amount bought]]/Table25[[#This Row],[Total number bought]],"")</f>
        <v>28.1</v>
      </c>
      <c r="P1574" s="4">
        <f>IFERROR((Table25[[#This Row],[Average sell price]]-Table25[[#This Row],[Average buy price]])*Table25[[#This Row],[Total Sold number of stocks]],0)</f>
        <v>-18.600000000000009</v>
      </c>
      <c r="Q1574" s="85">
        <f>SUMIF(Table25[[#All],[Assets]],Table25[[#This Row],[Assets]],Table25[[#All],[Number of stocks]])</f>
        <v>0</v>
      </c>
    </row>
    <row r="1575" spans="1:17">
      <c r="A1575" t="e" vm="32">
        <v>#VALUE!</v>
      </c>
      <c r="B1575" s="2">
        <v>45902</v>
      </c>
      <c r="C1575" t="str" cm="1">
        <f t="array" aca="1" ref="C1575" ca="1">_FV(A1575,"Ticker symbol",TRUE)</f>
        <v>MU</v>
      </c>
      <c r="D1575" s="4">
        <v>116.25</v>
      </c>
      <c r="E1575" s="50">
        <v>-3</v>
      </c>
      <c r="F1575" s="81">
        <f>IF(Table25[[#This Row],[Number of stocks]]&gt;0,Table25[[#This Row],[Number of stocks]],0)</f>
        <v>0</v>
      </c>
      <c r="G1575" s="73">
        <f>Table25[[#This Row],[Bought]]*Table25[[#This Row],[Price]]</f>
        <v>0</v>
      </c>
      <c r="H1575">
        <f>SUMIF(Table25[[#All],[Assets]],Table25[[#This Row],[Assets]],Table25[[#All],[Bought]])</f>
        <v>59</v>
      </c>
      <c r="I1575">
        <f>SUMIF(Table25[[#All],[Assets]],Table25[[#This Row],[Assets]],Table25[[#All],[Bought Amount]])</f>
        <v>6964.04</v>
      </c>
      <c r="J1575" s="88">
        <f>IF(Table25[[#This Row],[Number of stocks]]&lt;0,Table25[[#This Row],[Number of stocks]],0)</f>
        <v>-3</v>
      </c>
      <c r="K1575" s="5">
        <f>Table25[[#This Row],[Sold]]*Table25[[#This Row],[Price]]</f>
        <v>-348.75</v>
      </c>
      <c r="L1575" s="8">
        <f>ABS(SUMIF(Table25[[#All],[Assets]],Table25[[#This Row],[Assets]],Table25[[#All],[Sold]]))</f>
        <v>58</v>
      </c>
      <c r="M1575" s="5">
        <f>ABS(SUMIF(Table25[[#All],[Assets]],Table25[[#This Row],[Assets]],Table25[[#All],[Sold Amount]]))</f>
        <v>6974.51</v>
      </c>
      <c r="N1575" s="5">
        <f>IFERROR(Table25[[#This Row],[Total sold amount]]/Table25[[#This Row],[Total Sold number of stocks]],"")</f>
        <v>120.25017241379311</v>
      </c>
      <c r="O1575" s="4">
        <f>IFERROR(Table25[[#This Row],[Total Amount bought]]/Table25[[#This Row],[Total number bought]],"")</f>
        <v>118.03457627118644</v>
      </c>
      <c r="P1575" s="4">
        <f>IFERROR((Table25[[#This Row],[Average sell price]]-Table25[[#This Row],[Average buy price]])*Table25[[#This Row],[Total Sold number of stocks]],0)</f>
        <v>128.50457627118692</v>
      </c>
      <c r="Q1575" s="85">
        <f>SUMIF(Table25[[#All],[Assets]],Table25[[#This Row],[Assets]],Table25[[#All],[Number of stocks]])</f>
        <v>1</v>
      </c>
    </row>
    <row r="1576" spans="1:17">
      <c r="A1576" t="e" vm="28">
        <v>#VALUE!</v>
      </c>
      <c r="B1576" s="2">
        <v>45902</v>
      </c>
      <c r="C1576" t="str" cm="1">
        <f t="array" aca="1" ref="C1576" ca="1">_FV(A1576,"Ticker symbol",TRUE)</f>
        <v>NXPI</v>
      </c>
      <c r="D1576" s="4">
        <v>228.53</v>
      </c>
      <c r="E1576" s="50">
        <v>-3</v>
      </c>
      <c r="F1576" s="81">
        <f>IF(Table25[[#This Row],[Number of stocks]]&gt;0,Table25[[#This Row],[Number of stocks]],0)</f>
        <v>0</v>
      </c>
      <c r="G1576" s="73">
        <f>Table25[[#This Row],[Bought]]*Table25[[#This Row],[Price]]</f>
        <v>0</v>
      </c>
      <c r="H1576">
        <f>SUMIF(Table25[[#All],[Assets]],Table25[[#This Row],[Assets]],Table25[[#All],[Bought]])</f>
        <v>5</v>
      </c>
      <c r="I1576">
        <f>SUMIF(Table25[[#All],[Assets]],Table25[[#This Row],[Assets]],Table25[[#All],[Bought Amount]])</f>
        <v>1018.3499999999999</v>
      </c>
      <c r="J1576" s="88">
        <f>IF(Table25[[#This Row],[Number of stocks]]&lt;0,Table25[[#This Row],[Number of stocks]],0)</f>
        <v>-3</v>
      </c>
      <c r="K1576" s="5">
        <f>Table25[[#This Row],[Sold]]*Table25[[#This Row],[Price]]</f>
        <v>-685.59</v>
      </c>
      <c r="L1576" s="8">
        <f>ABS(SUMIF(Table25[[#All],[Assets]],Table25[[#This Row],[Assets]],Table25[[#All],[Sold]]))</f>
        <v>5</v>
      </c>
      <c r="M1576" s="5">
        <f>ABS(SUMIF(Table25[[#All],[Assets]],Table25[[#This Row],[Assets]],Table25[[#All],[Sold Amount]]))</f>
        <v>1071.8499999999999</v>
      </c>
      <c r="N1576" s="5">
        <f>IFERROR(Table25[[#This Row],[Total sold amount]]/Table25[[#This Row],[Total Sold number of stocks]],"")</f>
        <v>214.36999999999998</v>
      </c>
      <c r="O1576" s="4">
        <f>IFERROR(Table25[[#This Row],[Total Amount bought]]/Table25[[#This Row],[Total number bought]],"")</f>
        <v>203.67</v>
      </c>
      <c r="P1576" s="4">
        <f>IFERROR((Table25[[#This Row],[Average sell price]]-Table25[[#This Row],[Average buy price]])*Table25[[#This Row],[Total Sold number of stocks]],0)</f>
        <v>53.499999999999943</v>
      </c>
      <c r="Q1576" s="85">
        <f>SUMIF(Table25[[#All],[Assets]],Table25[[#This Row],[Assets]],Table25[[#All],[Number of stocks]])</f>
        <v>0</v>
      </c>
    </row>
    <row r="1577" spans="1:17">
      <c r="A1577" t="e" vm="567">
        <v>#VALUE!</v>
      </c>
      <c r="B1577" s="2">
        <v>45883</v>
      </c>
      <c r="C1577" t="str" cm="1">
        <f t="array" aca="1" ref="C1577" ca="1">_FV(A1577,"Ticker symbol",TRUE)</f>
        <v>BMNR</v>
      </c>
      <c r="D1577" s="4">
        <v>61.52</v>
      </c>
      <c r="E1577" s="50">
        <v>-28</v>
      </c>
      <c r="F1577" s="81">
        <f>IF(Table25[[#This Row],[Number of stocks]]&gt;0,Table25[[#This Row],[Number of stocks]],0)</f>
        <v>0</v>
      </c>
      <c r="G1577" s="73">
        <f>Table25[[#This Row],[Bought]]*Table25[[#This Row],[Price]]</f>
        <v>0</v>
      </c>
      <c r="H1577">
        <f>SUMIF(Table25[[#All],[Assets]],Table25[[#This Row],[Assets]],Table25[[#All],[Bought]])</f>
        <v>38</v>
      </c>
      <c r="I1577">
        <f>SUMIF(Table25[[#All],[Assets]],Table25[[#This Row],[Assets]],Table25[[#All],[Bought Amount]])</f>
        <v>1430.52</v>
      </c>
      <c r="J1577" s="88">
        <f>IF(Table25[[#This Row],[Number of stocks]]&lt;0,Table25[[#This Row],[Number of stocks]],0)</f>
        <v>-28</v>
      </c>
      <c r="K1577" s="5">
        <f>Table25[[#This Row],[Sold]]*Table25[[#This Row],[Price]]</f>
        <v>-1722.5600000000002</v>
      </c>
      <c r="L1577" s="8">
        <f>ABS(SUMIF(Table25[[#All],[Assets]],Table25[[#This Row],[Assets]],Table25[[#All],[Sold]]))</f>
        <v>38</v>
      </c>
      <c r="M1577" s="5">
        <f>ABS(SUMIF(Table25[[#All],[Assets]],Table25[[#This Row],[Assets]],Table25[[#All],[Sold Amount]]))</f>
        <v>2255.36</v>
      </c>
      <c r="N1577" s="5">
        <f>IFERROR(Table25[[#This Row],[Total sold amount]]/Table25[[#This Row],[Total Sold number of stocks]],"")</f>
        <v>59.351578947368424</v>
      </c>
      <c r="O1577" s="4">
        <f>IFERROR(Table25[[#This Row],[Total Amount bought]]/Table25[[#This Row],[Total number bought]],"")</f>
        <v>37.645263157894739</v>
      </c>
      <c r="P1577" s="4">
        <f>IFERROR((Table25[[#This Row],[Average sell price]]-Table25[[#This Row],[Average buy price]])*Table25[[#This Row],[Total Sold number of stocks]],0)</f>
        <v>824.84</v>
      </c>
      <c r="Q1577" s="85">
        <f>SUMIF(Table25[[#All],[Assets]],Table25[[#This Row],[Assets]],Table25[[#All],[Number of stocks]])</f>
        <v>0</v>
      </c>
    </row>
    <row r="1578" spans="1:17">
      <c r="A1578" t="e" vm="240">
        <v>#VALUE!</v>
      </c>
      <c r="B1578" s="2">
        <v>45887</v>
      </c>
      <c r="C1578" t="str" cm="1">
        <f t="array" aca="1" ref="C1578" ca="1">_FV(A1578,"Ticker symbol",TRUE)</f>
        <v>SBSW</v>
      </c>
      <c r="D1578" s="4">
        <v>8.09</v>
      </c>
      <c r="E1578" s="50">
        <v>26</v>
      </c>
      <c r="F1578" s="81">
        <f>IF(Table25[[#This Row],[Number of stocks]]&gt;0,Table25[[#This Row],[Number of stocks]],0)</f>
        <v>26</v>
      </c>
      <c r="G1578" s="73">
        <f>Table25[[#This Row],[Bought]]*Table25[[#This Row],[Price]]</f>
        <v>210.34</v>
      </c>
      <c r="H1578">
        <f>SUMIF(Table25[[#All],[Assets]],Table25[[#This Row],[Assets]],Table25[[#All],[Bought]])</f>
        <v>187</v>
      </c>
      <c r="I1578">
        <f>SUMIF(Table25[[#All],[Assets]],Table25[[#This Row],[Assets]],Table25[[#All],[Bought Amount]])</f>
        <v>1654.1</v>
      </c>
      <c r="J1578" s="88">
        <f>IF(Table25[[#This Row],[Number of stocks]]&lt;0,Table25[[#This Row],[Number of stocks]],0)</f>
        <v>0</v>
      </c>
      <c r="K1578" s="5">
        <f>Table25[[#This Row],[Sold]]*Table25[[#This Row],[Price]]</f>
        <v>0</v>
      </c>
      <c r="L1578" s="8">
        <f>ABS(SUMIF(Table25[[#All],[Assets]],Table25[[#This Row],[Assets]],Table25[[#All],[Sold]]))</f>
        <v>139</v>
      </c>
      <c r="M1578" s="5">
        <f>ABS(SUMIF(Table25[[#All],[Assets]],Table25[[#This Row],[Assets]],Table25[[#All],[Sold Amount]]))</f>
        <v>909.86999999999989</v>
      </c>
      <c r="N1578" s="5">
        <f>IFERROR(Table25[[#This Row],[Total sold amount]]/Table25[[#This Row],[Total Sold number of stocks]],"")</f>
        <v>6.545827338129496</v>
      </c>
      <c r="O1578" s="4">
        <f>IFERROR(Table25[[#This Row],[Total Amount bought]]/Table25[[#This Row],[Total number bought]],"")</f>
        <v>8.8454545454545457</v>
      </c>
      <c r="P1578" s="4">
        <f>IFERROR((Table25[[#This Row],[Average sell price]]-Table25[[#This Row],[Average buy price]])*Table25[[#This Row],[Total Sold number of stocks]],0)</f>
        <v>-319.64818181818191</v>
      </c>
      <c r="Q1578" s="85">
        <f>SUMIF(Table25[[#All],[Assets]],Table25[[#This Row],[Assets]],Table25[[#All],[Number of stocks]])</f>
        <v>48</v>
      </c>
    </row>
    <row r="1579" spans="1:17">
      <c r="A1579" t="e" vm="183">
        <v>#VALUE!</v>
      </c>
      <c r="B1579" s="2">
        <v>45887</v>
      </c>
      <c r="C1579" t="str" cm="1">
        <f t="array" aca="1" ref="C1579" ca="1">_FV(A1579,"Ticker symbol",TRUE)</f>
        <v>ESOA</v>
      </c>
      <c r="D1579" s="4">
        <v>9.24</v>
      </c>
      <c r="E1579" s="50">
        <v>-300</v>
      </c>
      <c r="F1579" s="81">
        <f>IF(Table25[[#This Row],[Number of stocks]]&gt;0,Table25[[#This Row],[Number of stocks]],0)</f>
        <v>0</v>
      </c>
      <c r="G1579" s="73">
        <f>Table25[[#This Row],[Bought]]*Table25[[#This Row],[Price]]</f>
        <v>0</v>
      </c>
      <c r="H1579">
        <f>SUMIF(Table25[[#All],[Assets]],Table25[[#This Row],[Assets]],Table25[[#All],[Bought]])</f>
        <v>1832</v>
      </c>
      <c r="I1579">
        <f>SUMIF(Table25[[#All],[Assets]],Table25[[#This Row],[Assets]],Table25[[#All],[Bought Amount]])</f>
        <v>18152.78</v>
      </c>
      <c r="J1579" s="88">
        <f>IF(Table25[[#This Row],[Number of stocks]]&lt;0,Table25[[#This Row],[Number of stocks]],0)</f>
        <v>-300</v>
      </c>
      <c r="K1579" s="5">
        <f>Table25[[#This Row],[Sold]]*Table25[[#This Row],[Price]]</f>
        <v>-2772</v>
      </c>
      <c r="L1579" s="8">
        <f>ABS(SUMIF(Table25[[#All],[Assets]],Table25[[#This Row],[Assets]],Table25[[#All],[Sold]]))</f>
        <v>1568</v>
      </c>
      <c r="M1579" s="5">
        <f>ABS(SUMIF(Table25[[#All],[Assets]],Table25[[#This Row],[Assets]],Table25[[#All],[Sold Amount]]))</f>
        <v>14668</v>
      </c>
      <c r="N1579" s="5">
        <f>IFERROR(Table25[[#This Row],[Total sold amount]]/Table25[[#This Row],[Total Sold number of stocks]],"")</f>
        <v>9.3545918367346932</v>
      </c>
      <c r="O1579" s="4">
        <f>IFERROR(Table25[[#This Row],[Total Amount bought]]/Table25[[#This Row],[Total number bought]],"")</f>
        <v>9.9087227074235802</v>
      </c>
      <c r="P1579" s="4">
        <f>IFERROR((Table25[[#This Row],[Average sell price]]-Table25[[#This Row],[Average buy price]])*Table25[[#This Row],[Total Sold number of stocks]],0)</f>
        <v>-868.87720524017482</v>
      </c>
      <c r="Q1579" s="85">
        <f>SUMIF(Table25[[#All],[Assets]],Table25[[#This Row],[Assets]],Table25[[#All],[Number of stocks]])</f>
        <v>264</v>
      </c>
    </row>
    <row r="1580" spans="1:17">
      <c r="A1580" t="e" vm="54">
        <v>#VALUE!</v>
      </c>
      <c r="B1580" s="2">
        <v>45887</v>
      </c>
      <c r="C1580" t="str" cm="1">
        <f t="array" aca="1" ref="C1580" ca="1">_FV(A1580,"Ticker symbol",TRUE)</f>
        <v>AR</v>
      </c>
      <c r="D1580" s="4">
        <v>30.21</v>
      </c>
      <c r="E1580" s="50">
        <v>-40</v>
      </c>
      <c r="F1580" s="81">
        <f>IF(Table25[[#This Row],[Number of stocks]]&gt;0,Table25[[#This Row],[Number of stocks]],0)</f>
        <v>0</v>
      </c>
      <c r="G1580" s="73">
        <f>Table25[[#This Row],[Bought]]*Table25[[#This Row],[Price]]</f>
        <v>0</v>
      </c>
      <c r="H1580">
        <f>SUMIF(Table25[[#All],[Assets]],Table25[[#This Row],[Assets]],Table25[[#All],[Bought]])</f>
        <v>210</v>
      </c>
      <c r="I1580">
        <f>SUMIF(Table25[[#All],[Assets]],Table25[[#This Row],[Assets]],Table25[[#All],[Bought Amount]])</f>
        <v>6833.5000000000009</v>
      </c>
      <c r="J1580" s="88">
        <f>IF(Table25[[#This Row],[Number of stocks]]&lt;0,Table25[[#This Row],[Number of stocks]],0)</f>
        <v>-40</v>
      </c>
      <c r="K1580" s="5">
        <f>Table25[[#This Row],[Sold]]*Table25[[#This Row],[Price]]</f>
        <v>-1208.4000000000001</v>
      </c>
      <c r="L1580" s="8">
        <f>ABS(SUMIF(Table25[[#All],[Assets]],Table25[[#This Row],[Assets]],Table25[[#All],[Sold]]))</f>
        <v>180</v>
      </c>
      <c r="M1580" s="5">
        <f>ABS(SUMIF(Table25[[#All],[Assets]],Table25[[#This Row],[Assets]],Table25[[#All],[Sold Amount]]))</f>
        <v>6156.15</v>
      </c>
      <c r="N1580" s="5">
        <f>IFERROR(Table25[[#This Row],[Total sold amount]]/Table25[[#This Row],[Total Sold number of stocks]],"")</f>
        <v>34.200833333333328</v>
      </c>
      <c r="O1580" s="4">
        <f>IFERROR(Table25[[#This Row],[Total Amount bought]]/Table25[[#This Row],[Total number bought]],"")</f>
        <v>32.540476190476198</v>
      </c>
      <c r="P1580" s="4">
        <f>IFERROR((Table25[[#This Row],[Average sell price]]-Table25[[#This Row],[Average buy price]])*Table25[[#This Row],[Total Sold number of stocks]],0)</f>
        <v>298.86428571428337</v>
      </c>
      <c r="Q1580" s="85">
        <f>SUMIF(Table25[[#All],[Assets]],Table25[[#This Row],[Assets]],Table25[[#All],[Number of stocks]])</f>
        <v>30</v>
      </c>
    </row>
    <row r="1581" spans="1:17">
      <c r="A1581" t="e" vm="240">
        <v>#VALUE!</v>
      </c>
      <c r="B1581" s="2">
        <v>45887</v>
      </c>
      <c r="C1581" t="str" cm="1">
        <f t="array" aca="1" ref="C1581" ca="1">_FV(A1581,"Ticker symbol",TRUE)</f>
        <v>SBSW</v>
      </c>
      <c r="D1581" s="4">
        <v>8.09</v>
      </c>
      <c r="E1581" s="50">
        <v>18</v>
      </c>
      <c r="F1581" s="81">
        <f>IF(Table25[[#This Row],[Number of stocks]]&gt;0,Table25[[#This Row],[Number of stocks]],0)</f>
        <v>18</v>
      </c>
      <c r="G1581" s="73">
        <f>Table25[[#This Row],[Bought]]*Table25[[#This Row],[Price]]</f>
        <v>145.62</v>
      </c>
      <c r="H1581">
        <f>SUMIF(Table25[[#All],[Assets]],Table25[[#This Row],[Assets]],Table25[[#All],[Bought]])</f>
        <v>187</v>
      </c>
      <c r="I1581">
        <f>SUMIF(Table25[[#All],[Assets]],Table25[[#This Row],[Assets]],Table25[[#All],[Bought Amount]])</f>
        <v>1654.1</v>
      </c>
      <c r="J1581" s="88">
        <f>IF(Table25[[#This Row],[Number of stocks]]&lt;0,Table25[[#This Row],[Number of stocks]],0)</f>
        <v>0</v>
      </c>
      <c r="K1581" s="5">
        <f>Table25[[#This Row],[Sold]]*Table25[[#This Row],[Price]]</f>
        <v>0</v>
      </c>
      <c r="L1581" s="8">
        <f>ABS(SUMIF(Table25[[#All],[Assets]],Table25[[#This Row],[Assets]],Table25[[#All],[Sold]]))</f>
        <v>139</v>
      </c>
      <c r="M1581" s="5">
        <f>ABS(SUMIF(Table25[[#All],[Assets]],Table25[[#This Row],[Assets]],Table25[[#All],[Sold Amount]]))</f>
        <v>909.86999999999989</v>
      </c>
      <c r="N1581" s="5">
        <f>IFERROR(Table25[[#This Row],[Total sold amount]]/Table25[[#This Row],[Total Sold number of stocks]],"")</f>
        <v>6.545827338129496</v>
      </c>
      <c r="O1581" s="4">
        <f>IFERROR(Table25[[#This Row],[Total Amount bought]]/Table25[[#This Row],[Total number bought]],"")</f>
        <v>8.8454545454545457</v>
      </c>
      <c r="P1581" s="4">
        <f>IFERROR((Table25[[#This Row],[Average sell price]]-Table25[[#This Row],[Average buy price]])*Table25[[#This Row],[Total Sold number of stocks]],0)</f>
        <v>-319.64818181818191</v>
      </c>
      <c r="Q1581" s="85">
        <f>SUMIF(Table25[[#All],[Assets]],Table25[[#This Row],[Assets]],Table25[[#All],[Number of stocks]])</f>
        <v>48</v>
      </c>
    </row>
    <row r="1582" spans="1:17">
      <c r="A1582" t="e" vm="576">
        <v>#VALUE!</v>
      </c>
      <c r="B1582" s="2">
        <v>45887</v>
      </c>
      <c r="C1582" t="str" cm="1">
        <f t="array" aca="1" ref="C1582" ca="1">_FV(A1582,"Ticker symbol",TRUE)</f>
        <v>DUOL</v>
      </c>
      <c r="D1582" s="4">
        <v>370.13</v>
      </c>
      <c r="E1582" s="50">
        <v>-1</v>
      </c>
      <c r="F1582" s="81">
        <f>IF(Table25[[#This Row],[Number of stocks]]&gt;0,Table25[[#This Row],[Number of stocks]],0)</f>
        <v>0</v>
      </c>
      <c r="G1582" s="73">
        <f>Table25[[#This Row],[Bought]]*Table25[[#This Row],[Price]]</f>
        <v>0</v>
      </c>
      <c r="H1582">
        <f>SUMIF(Table25[[#All],[Assets]],Table25[[#This Row],[Assets]],Table25[[#All],[Bought]])</f>
        <v>33</v>
      </c>
      <c r="I1582">
        <f>SUMIF(Table25[[#All],[Assets]],Table25[[#This Row],[Assets]],Table25[[#All],[Bought Amount]])</f>
        <v>8243.81</v>
      </c>
      <c r="J1582" s="88">
        <f>IF(Table25[[#This Row],[Number of stocks]]&lt;0,Table25[[#This Row],[Number of stocks]],0)</f>
        <v>-1</v>
      </c>
      <c r="K1582" s="5">
        <f>Table25[[#This Row],[Sold]]*Table25[[#This Row],[Price]]</f>
        <v>-370.13</v>
      </c>
      <c r="L1582" s="8">
        <f>ABS(SUMIF(Table25[[#All],[Assets]],Table25[[#This Row],[Assets]],Table25[[#All],[Sold]]))</f>
        <v>43</v>
      </c>
      <c r="M1582" s="5">
        <f>ABS(SUMIF(Table25[[#All],[Assets]],Table25[[#This Row],[Assets]],Table25[[#All],[Sold Amount]]))</f>
        <v>8577.89</v>
      </c>
      <c r="N1582" s="5">
        <f>IFERROR(Table25[[#This Row],[Total sold amount]]/Table25[[#This Row],[Total Sold number of stocks]],"")</f>
        <v>199.48581395348836</v>
      </c>
      <c r="O1582" s="4">
        <f>IFERROR(Table25[[#This Row],[Total Amount bought]]/Table25[[#This Row],[Total number bought]],"")</f>
        <v>249.81242424242421</v>
      </c>
      <c r="P1582" s="4">
        <f>IFERROR((Table25[[#This Row],[Average sell price]]-Table25[[#This Row],[Average buy price]])*Table25[[#This Row],[Total Sold number of stocks]],0)</f>
        <v>-2164.0442424242419</v>
      </c>
      <c r="Q1582" s="85">
        <f>SUMIF(Table25[[#All],[Assets]],Table25[[#This Row],[Assets]],Table25[[#All],[Number of stocks]])</f>
        <v>-10</v>
      </c>
    </row>
    <row r="1583" spans="1:17">
      <c r="A1583" t="e" vm="230">
        <v>#VALUE!</v>
      </c>
      <c r="B1583" s="2">
        <v>45887</v>
      </c>
      <c r="C1583" t="str" cm="1">
        <f t="array" aca="1" ref="C1583" ca="1">_FV(A1583,"Ticker symbol",TRUE)</f>
        <v>UTI</v>
      </c>
      <c r="D1583" s="4">
        <v>26.27</v>
      </c>
      <c r="E1583" s="50">
        <v>14</v>
      </c>
      <c r="F1583" s="81">
        <f>IF(Table25[[#This Row],[Number of stocks]]&gt;0,Table25[[#This Row],[Number of stocks]],0)</f>
        <v>14</v>
      </c>
      <c r="G1583" s="73">
        <f>Table25[[#This Row],[Bought]]*Table25[[#This Row],[Price]]</f>
        <v>367.78</v>
      </c>
      <c r="H1583">
        <f>SUMIF(Table25[[#All],[Assets]],Table25[[#This Row],[Assets]],Table25[[#All],[Bought]])</f>
        <v>49</v>
      </c>
      <c r="I1583">
        <f>SUMIF(Table25[[#All],[Assets]],Table25[[#This Row],[Assets]],Table25[[#All],[Bought Amount]])</f>
        <v>1318.38</v>
      </c>
      <c r="J1583" s="88">
        <f>IF(Table25[[#This Row],[Number of stocks]]&lt;0,Table25[[#This Row],[Number of stocks]],0)</f>
        <v>0</v>
      </c>
      <c r="K1583" s="5">
        <f>Table25[[#This Row],[Sold]]*Table25[[#This Row],[Price]]</f>
        <v>0</v>
      </c>
      <c r="L1583" s="8">
        <f>ABS(SUMIF(Table25[[#All],[Assets]],Table25[[#This Row],[Assets]],Table25[[#All],[Sold]]))</f>
        <v>49</v>
      </c>
      <c r="M1583" s="5">
        <f>ABS(SUMIF(Table25[[#All],[Assets]],Table25[[#This Row],[Assets]],Table25[[#All],[Sold Amount]]))</f>
        <v>1422.44</v>
      </c>
      <c r="N1583" s="5">
        <f>IFERROR(Table25[[#This Row],[Total sold amount]]/Table25[[#This Row],[Total Sold number of stocks]],"")</f>
        <v>29.029387755102043</v>
      </c>
      <c r="O1583" s="4">
        <f>IFERROR(Table25[[#This Row],[Total Amount bought]]/Table25[[#This Row],[Total number bought]],"")</f>
        <v>26.905714285714289</v>
      </c>
      <c r="P1583" s="4">
        <f>IFERROR((Table25[[#This Row],[Average sell price]]-Table25[[#This Row],[Average buy price]])*Table25[[#This Row],[Total Sold number of stocks]],0)</f>
        <v>104.05999999999993</v>
      </c>
      <c r="Q1583" s="85">
        <f>SUMIF(Table25[[#All],[Assets]],Table25[[#This Row],[Assets]],Table25[[#All],[Number of stocks]])</f>
        <v>0</v>
      </c>
    </row>
    <row r="1584" spans="1:17">
      <c r="A1584" t="e" vm="220">
        <v>#VALUE!</v>
      </c>
      <c r="B1584" s="2">
        <v>45887</v>
      </c>
      <c r="C1584" t="str" cm="1">
        <f t="array" aca="1" ref="C1584" ca="1">_FV(A1584,"Ticker symbol",TRUE)</f>
        <v>SMLR</v>
      </c>
      <c r="D1584" s="4">
        <v>33.89</v>
      </c>
      <c r="E1584" s="50">
        <v>5</v>
      </c>
      <c r="F1584" s="81">
        <f>IF(Table25[[#This Row],[Number of stocks]]&gt;0,Table25[[#This Row],[Number of stocks]],0)</f>
        <v>5</v>
      </c>
      <c r="G1584" s="73">
        <f>Table25[[#This Row],[Bought]]*Table25[[#This Row],[Price]]</f>
        <v>169.45</v>
      </c>
      <c r="H1584">
        <f>SUMIF(Table25[[#All],[Assets]],Table25[[#This Row],[Assets]],Table25[[#All],[Bought]])</f>
        <v>10</v>
      </c>
      <c r="I1584">
        <f>SUMIF(Table25[[#All],[Assets]],Table25[[#This Row],[Assets]],Table25[[#All],[Bought Amount]])</f>
        <v>349.15</v>
      </c>
      <c r="J1584" s="88">
        <f>IF(Table25[[#This Row],[Number of stocks]]&lt;0,Table25[[#This Row],[Number of stocks]],0)</f>
        <v>0</v>
      </c>
      <c r="K1584" s="5">
        <f>Table25[[#This Row],[Sold]]*Table25[[#This Row],[Price]]</f>
        <v>0</v>
      </c>
      <c r="L1584" s="8">
        <f>ABS(SUMIF(Table25[[#All],[Assets]],Table25[[#This Row],[Assets]],Table25[[#All],[Sold]]))</f>
        <v>0</v>
      </c>
      <c r="M1584" s="5">
        <f>ABS(SUMIF(Table25[[#All],[Assets]],Table25[[#This Row],[Assets]],Table25[[#All],[Sold Amount]]))</f>
        <v>0</v>
      </c>
      <c r="N1584" s="5" t="str">
        <f>IFERROR(Table25[[#This Row],[Total sold amount]]/Table25[[#This Row],[Total Sold number of stocks]],"")</f>
        <v/>
      </c>
      <c r="O1584" s="4">
        <f>IFERROR(Table25[[#This Row],[Total Amount bought]]/Table25[[#This Row],[Total number bought]],"")</f>
        <v>34.914999999999999</v>
      </c>
      <c r="P1584" s="4">
        <f>IFERROR((Table25[[#This Row],[Average sell price]]-Table25[[#This Row],[Average buy price]])*Table25[[#This Row],[Total Sold number of stocks]],0)</f>
        <v>0</v>
      </c>
      <c r="Q1584" s="85">
        <f>SUMIF(Table25[[#All],[Assets]],Table25[[#This Row],[Assets]],Table25[[#All],[Number of stocks]])</f>
        <v>10</v>
      </c>
    </row>
    <row r="1585" spans="1:17">
      <c r="A1585" t="e" vm="244">
        <v>#VALUE!</v>
      </c>
      <c r="B1585" s="2">
        <v>45887</v>
      </c>
      <c r="C1585" t="str" cm="1">
        <f t="array" aca="1" ref="C1585" ca="1">_FV(A1585,"Ticker symbol",TRUE)</f>
        <v>APYX</v>
      </c>
      <c r="D1585" s="4">
        <v>2.19</v>
      </c>
      <c r="E1585" s="50">
        <v>-150</v>
      </c>
      <c r="F1585" s="81">
        <f>IF(Table25[[#This Row],[Number of stocks]]&gt;0,Table25[[#This Row],[Number of stocks]],0)</f>
        <v>0</v>
      </c>
      <c r="G1585" s="73">
        <f>Table25[[#This Row],[Bought]]*Table25[[#This Row],[Price]]</f>
        <v>0</v>
      </c>
      <c r="H1585">
        <f>SUMIF(Table25[[#All],[Assets]],Table25[[#This Row],[Assets]],Table25[[#All],[Bought]])</f>
        <v>275</v>
      </c>
      <c r="I1585">
        <f>SUMIF(Table25[[#All],[Assets]],Table25[[#This Row],[Assets]],Table25[[#All],[Bought Amount]])</f>
        <v>698.5</v>
      </c>
      <c r="J1585" s="88">
        <f>IF(Table25[[#This Row],[Number of stocks]]&lt;0,Table25[[#This Row],[Number of stocks]],0)</f>
        <v>-150</v>
      </c>
      <c r="K1585" s="5">
        <f>Table25[[#This Row],[Sold]]*Table25[[#This Row],[Price]]</f>
        <v>-328.5</v>
      </c>
      <c r="L1585" s="8">
        <f>ABS(SUMIF(Table25[[#All],[Assets]],Table25[[#This Row],[Assets]],Table25[[#All],[Sold]]))</f>
        <v>275</v>
      </c>
      <c r="M1585" s="5">
        <f>ABS(SUMIF(Table25[[#All],[Assets]],Table25[[#This Row],[Assets]],Table25[[#All],[Sold Amount]]))</f>
        <v>587.25</v>
      </c>
      <c r="N1585" s="5">
        <f>IFERROR(Table25[[#This Row],[Total sold amount]]/Table25[[#This Row],[Total Sold number of stocks]],"")</f>
        <v>2.1354545454545453</v>
      </c>
      <c r="O1585" s="4">
        <f>IFERROR(Table25[[#This Row],[Total Amount bought]]/Table25[[#This Row],[Total number bought]],"")</f>
        <v>2.54</v>
      </c>
      <c r="P1585" s="4">
        <f>IFERROR((Table25[[#This Row],[Average sell price]]-Table25[[#This Row],[Average buy price]])*Table25[[#This Row],[Total Sold number of stocks]],0)</f>
        <v>-111.25000000000006</v>
      </c>
      <c r="Q1585" s="85">
        <f>SUMIF(Table25[[#All],[Assets]],Table25[[#This Row],[Assets]],Table25[[#All],[Number of stocks]])</f>
        <v>0</v>
      </c>
    </row>
    <row r="1586" spans="1:17">
      <c r="A1586" t="e" vm="240">
        <v>#VALUE!</v>
      </c>
      <c r="B1586" s="2">
        <v>45887</v>
      </c>
      <c r="C1586" t="str" cm="1">
        <f t="array" aca="1" ref="C1586" ca="1">_FV(A1586,"Ticker symbol",TRUE)</f>
        <v>SBSW</v>
      </c>
      <c r="D1586" s="4">
        <v>8.1</v>
      </c>
      <c r="E1586" s="50">
        <v>15</v>
      </c>
      <c r="F1586" s="81">
        <f>IF(Table25[[#This Row],[Number of stocks]]&gt;0,Table25[[#This Row],[Number of stocks]],0)</f>
        <v>15</v>
      </c>
      <c r="G1586" s="73">
        <f>Table25[[#This Row],[Bought]]*Table25[[#This Row],[Price]]</f>
        <v>121.5</v>
      </c>
      <c r="H1586">
        <f>SUMIF(Table25[[#All],[Assets]],Table25[[#This Row],[Assets]],Table25[[#All],[Bought]])</f>
        <v>187</v>
      </c>
      <c r="I1586">
        <f>SUMIF(Table25[[#All],[Assets]],Table25[[#This Row],[Assets]],Table25[[#All],[Bought Amount]])</f>
        <v>1654.1</v>
      </c>
      <c r="J1586" s="88">
        <f>IF(Table25[[#This Row],[Number of stocks]]&lt;0,Table25[[#This Row],[Number of stocks]],0)</f>
        <v>0</v>
      </c>
      <c r="K1586" s="5">
        <f>Table25[[#This Row],[Sold]]*Table25[[#This Row],[Price]]</f>
        <v>0</v>
      </c>
      <c r="L1586" s="8">
        <f>ABS(SUMIF(Table25[[#All],[Assets]],Table25[[#This Row],[Assets]],Table25[[#All],[Sold]]))</f>
        <v>139</v>
      </c>
      <c r="M1586" s="5">
        <f>ABS(SUMIF(Table25[[#All],[Assets]],Table25[[#This Row],[Assets]],Table25[[#All],[Sold Amount]]))</f>
        <v>909.86999999999989</v>
      </c>
      <c r="N1586" s="5">
        <f>IFERROR(Table25[[#This Row],[Total sold amount]]/Table25[[#This Row],[Total Sold number of stocks]],"")</f>
        <v>6.545827338129496</v>
      </c>
      <c r="O1586" s="4">
        <f>IFERROR(Table25[[#This Row],[Total Amount bought]]/Table25[[#This Row],[Total number bought]],"")</f>
        <v>8.8454545454545457</v>
      </c>
      <c r="P1586" s="4">
        <f>IFERROR((Table25[[#This Row],[Average sell price]]-Table25[[#This Row],[Average buy price]])*Table25[[#This Row],[Total Sold number of stocks]],0)</f>
        <v>-319.64818181818191</v>
      </c>
      <c r="Q1586" s="85">
        <f>SUMIF(Table25[[#All],[Assets]],Table25[[#This Row],[Assets]],Table25[[#All],[Number of stocks]])</f>
        <v>48</v>
      </c>
    </row>
    <row r="1587" spans="1:17">
      <c r="A1587" t="e" vm="216">
        <v>#VALUE!</v>
      </c>
      <c r="B1587" s="2">
        <v>45888</v>
      </c>
      <c r="C1587" t="str" cm="1">
        <f t="array" aca="1" ref="C1587" ca="1">_FV(A1587,"Ticker symbol",TRUE)</f>
        <v>INSG</v>
      </c>
      <c r="D1587" s="4">
        <v>9.9700000000000006</v>
      </c>
      <c r="E1587" s="50">
        <v>160</v>
      </c>
      <c r="F1587" s="81">
        <f>IF(Table25[[#This Row],[Number of stocks]]&gt;0,Table25[[#This Row],[Number of stocks]],0)</f>
        <v>160</v>
      </c>
      <c r="G1587" s="73">
        <f>Table25[[#This Row],[Bought]]*Table25[[#This Row],[Price]]</f>
        <v>1595.2</v>
      </c>
      <c r="H1587">
        <f>SUMIF(Table25[[#All],[Assets]],Table25[[#This Row],[Assets]],Table25[[#All],[Bought]])</f>
        <v>310</v>
      </c>
      <c r="I1587">
        <f>SUMIF(Table25[[#All],[Assets]],Table25[[#This Row],[Assets]],Table25[[#All],[Bought Amount]])</f>
        <v>3450.2</v>
      </c>
      <c r="J1587" s="88">
        <f>IF(Table25[[#This Row],[Number of stocks]]&lt;0,Table25[[#This Row],[Number of stocks]],0)</f>
        <v>0</v>
      </c>
      <c r="K1587" s="5">
        <f>Table25[[#This Row],[Sold]]*Table25[[#This Row],[Price]]</f>
        <v>0</v>
      </c>
      <c r="L1587" s="8">
        <f>ABS(SUMIF(Table25[[#All],[Assets]],Table25[[#This Row],[Assets]],Table25[[#All],[Sold]]))</f>
        <v>310</v>
      </c>
      <c r="M1587" s="5">
        <f>ABS(SUMIF(Table25[[#All],[Assets]],Table25[[#This Row],[Assets]],Table25[[#All],[Sold Amount]]))</f>
        <v>3081.5</v>
      </c>
      <c r="N1587" s="5">
        <f>IFERROR(Table25[[#This Row],[Total sold amount]]/Table25[[#This Row],[Total Sold number of stocks]],"")</f>
        <v>9.9403225806451605</v>
      </c>
      <c r="O1587" s="4">
        <f>IFERROR(Table25[[#This Row],[Total Amount bought]]/Table25[[#This Row],[Total number bought]],"")</f>
        <v>11.129677419354838</v>
      </c>
      <c r="P1587" s="4">
        <f>IFERROR((Table25[[#This Row],[Average sell price]]-Table25[[#This Row],[Average buy price]])*Table25[[#This Row],[Total Sold number of stocks]],0)</f>
        <v>-368.70000000000005</v>
      </c>
      <c r="Q1587" s="85">
        <f>SUMIF(Table25[[#All],[Assets]],Table25[[#This Row],[Assets]],Table25[[#All],[Number of stocks]])</f>
        <v>0</v>
      </c>
    </row>
    <row r="1588" spans="1:17">
      <c r="A1588" t="e" vm="19">
        <v>#VALUE!</v>
      </c>
      <c r="B1588" s="2">
        <v>45888</v>
      </c>
      <c r="C1588" t="str" cm="1">
        <f t="array" aca="1" ref="C1588" ca="1">_FV(A1588,"Ticker symbol",TRUE)</f>
        <v>OUST</v>
      </c>
      <c r="D1588" s="4">
        <v>29.95</v>
      </c>
      <c r="E1588" s="50">
        <v>-25</v>
      </c>
      <c r="F1588" s="81">
        <f>IF(Table25[[#This Row],[Number of stocks]]&gt;0,Table25[[#This Row],[Number of stocks]],0)</f>
        <v>0</v>
      </c>
      <c r="G1588" s="73">
        <f>Table25[[#This Row],[Bought]]*Table25[[#This Row],[Price]]</f>
        <v>0</v>
      </c>
      <c r="H1588">
        <f>SUMIF(Table25[[#All],[Assets]],Table25[[#This Row],[Assets]],Table25[[#All],[Bought]])</f>
        <v>324</v>
      </c>
      <c r="I1588">
        <f>SUMIF(Table25[[#All],[Assets]],Table25[[#This Row],[Assets]],Table25[[#All],[Bought Amount]])</f>
        <v>4403.8500000000004</v>
      </c>
      <c r="J1588" s="88">
        <f>IF(Table25[[#This Row],[Number of stocks]]&lt;0,Table25[[#This Row],[Number of stocks]],0)</f>
        <v>-25</v>
      </c>
      <c r="K1588" s="5">
        <f>Table25[[#This Row],[Sold]]*Table25[[#This Row],[Price]]</f>
        <v>-748.75</v>
      </c>
      <c r="L1588" s="8">
        <f>ABS(SUMIF(Table25[[#All],[Assets]],Table25[[#This Row],[Assets]],Table25[[#All],[Sold]]))</f>
        <v>299</v>
      </c>
      <c r="M1588" s="5">
        <f>ABS(SUMIF(Table25[[#All],[Assets]],Table25[[#This Row],[Assets]],Table25[[#All],[Sold Amount]]))</f>
        <v>6222.84</v>
      </c>
      <c r="N1588" s="5">
        <f>IFERROR(Table25[[#This Row],[Total sold amount]]/Table25[[#This Row],[Total Sold number of stocks]],"")</f>
        <v>20.81217391304348</v>
      </c>
      <c r="O1588" s="4">
        <f>IFERROR(Table25[[#This Row],[Total Amount bought]]/Table25[[#This Row],[Total number bought]],"")</f>
        <v>13.59212962962963</v>
      </c>
      <c r="P1588" s="4">
        <f>IFERROR((Table25[[#This Row],[Average sell price]]-Table25[[#This Row],[Average buy price]])*Table25[[#This Row],[Total Sold number of stocks]],0)</f>
        <v>2158.7932407407411</v>
      </c>
      <c r="Q1588" s="85">
        <f>SUMIF(Table25[[#All],[Assets]],Table25[[#This Row],[Assets]],Table25[[#All],[Number of stocks]])</f>
        <v>25</v>
      </c>
    </row>
    <row r="1589" spans="1:17">
      <c r="A1589" t="e" vm="226">
        <v>#VALUE!</v>
      </c>
      <c r="B1589" s="2">
        <v>45888</v>
      </c>
      <c r="C1589" t="str" cm="1">
        <f t="array" aca="1" ref="C1589" ca="1">_FV(A1589,"Ticker symbol",TRUE)</f>
        <v>WGHTQ</v>
      </c>
      <c r="D1589" s="4">
        <v>33.35</v>
      </c>
      <c r="E1589" s="50">
        <v>21</v>
      </c>
      <c r="F1589" s="81">
        <f>IF(Table25[[#This Row],[Number of stocks]]&gt;0,Table25[[#This Row],[Number of stocks]],0)</f>
        <v>21</v>
      </c>
      <c r="G1589" s="73">
        <f>Table25[[#This Row],[Bought]]*Table25[[#This Row],[Price]]</f>
        <v>700.35</v>
      </c>
      <c r="H1589">
        <f>SUMIF(Table25[[#All],[Assets]],Table25[[#This Row],[Assets]],Table25[[#All],[Bought]])</f>
        <v>172</v>
      </c>
      <c r="I1589">
        <f>SUMIF(Table25[[#All],[Assets]],Table25[[#This Row],[Assets]],Table25[[#All],[Bought Amount]])</f>
        <v>5307.8900000000012</v>
      </c>
      <c r="J1589" s="88">
        <f>IF(Table25[[#This Row],[Number of stocks]]&lt;0,Table25[[#This Row],[Number of stocks]],0)</f>
        <v>0</v>
      </c>
      <c r="K1589" s="5">
        <f>Table25[[#This Row],[Sold]]*Table25[[#This Row],[Price]]</f>
        <v>0</v>
      </c>
      <c r="L1589" s="8">
        <f>ABS(SUMIF(Table25[[#All],[Assets]],Table25[[#This Row],[Assets]],Table25[[#All],[Sold]]))</f>
        <v>168</v>
      </c>
      <c r="M1589" s="5">
        <f>ABS(SUMIF(Table25[[#All],[Assets]],Table25[[#This Row],[Assets]],Table25[[#All],[Sold Amount]]))</f>
        <v>4668.4199999999992</v>
      </c>
      <c r="N1589" s="5">
        <f>IFERROR(Table25[[#This Row],[Total sold amount]]/Table25[[#This Row],[Total Sold number of stocks]],"")</f>
        <v>27.788214285714282</v>
      </c>
      <c r="O1589" s="4">
        <f>IFERROR(Table25[[#This Row],[Total Amount bought]]/Table25[[#This Row],[Total number bought]],"")</f>
        <v>30.859825581395356</v>
      </c>
      <c r="P1589" s="4">
        <f>IFERROR((Table25[[#This Row],[Average sell price]]-Table25[[#This Row],[Average buy price]])*Table25[[#This Row],[Total Sold number of stocks]],0)</f>
        <v>-516.03069767442025</v>
      </c>
      <c r="Q1589" s="85">
        <f>SUMIF(Table25[[#All],[Assets]],Table25[[#This Row],[Assets]],Table25[[#All],[Number of stocks]])</f>
        <v>4</v>
      </c>
    </row>
    <row r="1590" spans="1:17">
      <c r="A1590" t="e" vm="227">
        <v>#VALUE!</v>
      </c>
      <c r="B1590" s="2">
        <v>45888</v>
      </c>
      <c r="C1590" t="str" cm="1">
        <f t="array" aca="1" ref="C1590" ca="1">_FV(A1590,"Ticker symbol",TRUE)</f>
        <v>DFDV</v>
      </c>
      <c r="D1590" s="4">
        <v>15.14</v>
      </c>
      <c r="E1590" s="50">
        <v>-50</v>
      </c>
      <c r="F1590" s="81">
        <f>IF(Table25[[#This Row],[Number of stocks]]&gt;0,Table25[[#This Row],[Number of stocks]],0)</f>
        <v>0</v>
      </c>
      <c r="G1590" s="73">
        <f>Table25[[#This Row],[Bought]]*Table25[[#This Row],[Price]]</f>
        <v>0</v>
      </c>
      <c r="H1590">
        <f>SUMIF(Table25[[#All],[Assets]],Table25[[#This Row],[Assets]],Table25[[#All],[Bought]])</f>
        <v>387</v>
      </c>
      <c r="I1590">
        <f>SUMIF(Table25[[#All],[Assets]],Table25[[#This Row],[Assets]],Table25[[#All],[Bought Amount]])</f>
        <v>6522.1182600000002</v>
      </c>
      <c r="J1590" s="88">
        <f>IF(Table25[[#This Row],[Number of stocks]]&lt;0,Table25[[#This Row],[Number of stocks]],0)</f>
        <v>-50</v>
      </c>
      <c r="K1590" s="5">
        <f>Table25[[#This Row],[Sold]]*Table25[[#This Row],[Price]]</f>
        <v>-757</v>
      </c>
      <c r="L1590" s="8">
        <f>ABS(SUMIF(Table25[[#All],[Assets]],Table25[[#This Row],[Assets]],Table25[[#All],[Sold]]))</f>
        <v>387</v>
      </c>
      <c r="M1590" s="5">
        <f>ABS(SUMIF(Table25[[#All],[Assets]],Table25[[#This Row],[Assets]],Table25[[#All],[Sold Amount]]))</f>
        <v>7242.64</v>
      </c>
      <c r="N1590" s="5">
        <f>IFERROR(Table25[[#This Row],[Total sold amount]]/Table25[[#This Row],[Total Sold number of stocks]],"")</f>
        <v>18.714832041343669</v>
      </c>
      <c r="O1590" s="4">
        <f>IFERROR(Table25[[#This Row],[Total Amount bought]]/Table25[[#This Row],[Total number bought]],"")</f>
        <v>16.853018759689924</v>
      </c>
      <c r="P1590" s="4">
        <f>IFERROR((Table25[[#This Row],[Average sell price]]-Table25[[#This Row],[Average buy price]])*Table25[[#This Row],[Total Sold number of stocks]],0)</f>
        <v>720.52173999999945</v>
      </c>
      <c r="Q1590" s="85">
        <f>SUMIF(Table25[[#All],[Assets]],Table25[[#This Row],[Assets]],Table25[[#All],[Number of stocks]])</f>
        <v>0</v>
      </c>
    </row>
    <row r="1591" spans="1:17">
      <c r="A1591" t="e" vm="16">
        <v>#VALUE!</v>
      </c>
      <c r="B1591" s="2">
        <v>45888</v>
      </c>
      <c r="C1591" t="str" cm="1">
        <f t="array" aca="1" ref="C1591" ca="1">_FV(A1591,"Ticker symbol",TRUE)</f>
        <v>GOOG</v>
      </c>
      <c r="D1591" s="4">
        <v>200.97</v>
      </c>
      <c r="E1591" s="50">
        <v>1</v>
      </c>
      <c r="F1591" s="81">
        <f>IF(Table25[[#This Row],[Number of stocks]]&gt;0,Table25[[#This Row],[Number of stocks]],0)</f>
        <v>1</v>
      </c>
      <c r="G1591" s="73">
        <f>Table25[[#This Row],[Bought]]*Table25[[#This Row],[Price]]</f>
        <v>200.97</v>
      </c>
      <c r="H1591">
        <f>SUMIF(Table25[[#All],[Assets]],Table25[[#This Row],[Assets]],Table25[[#All],[Bought]])</f>
        <v>24</v>
      </c>
      <c r="I1591">
        <f>SUMIF(Table25[[#All],[Assets]],Table25[[#This Row],[Assets]],Table25[[#All],[Bought Amount]])</f>
        <v>4739.3499999999995</v>
      </c>
      <c r="J1591" s="88">
        <f>IF(Table25[[#This Row],[Number of stocks]]&lt;0,Table25[[#This Row],[Number of stocks]],0)</f>
        <v>0</v>
      </c>
      <c r="K1591" s="5">
        <f>Table25[[#This Row],[Sold]]*Table25[[#This Row],[Price]]</f>
        <v>0</v>
      </c>
      <c r="L1591" s="8">
        <f>ABS(SUMIF(Table25[[#All],[Assets]],Table25[[#This Row],[Assets]],Table25[[#All],[Sold]]))</f>
        <v>1</v>
      </c>
      <c r="M1591" s="5">
        <f>ABS(SUMIF(Table25[[#All],[Assets]],Table25[[#This Row],[Assets]],Table25[[#All],[Sold Amount]]))</f>
        <v>229.13</v>
      </c>
      <c r="N1591" s="5">
        <f>IFERROR(Table25[[#This Row],[Total sold amount]]/Table25[[#This Row],[Total Sold number of stocks]],"")</f>
        <v>229.13</v>
      </c>
      <c r="O1591" s="4">
        <f>IFERROR(Table25[[#This Row],[Total Amount bought]]/Table25[[#This Row],[Total number bought]],"")</f>
        <v>197.47291666666663</v>
      </c>
      <c r="P1591" s="4">
        <f>IFERROR((Table25[[#This Row],[Average sell price]]-Table25[[#This Row],[Average buy price]])*Table25[[#This Row],[Total Sold number of stocks]],0)</f>
        <v>31.657083333333361</v>
      </c>
      <c r="Q1591" s="85">
        <f>SUMIF(Table25[[#All],[Assets]],Table25[[#This Row],[Assets]],Table25[[#All],[Number of stocks]])</f>
        <v>23</v>
      </c>
    </row>
    <row r="1592" spans="1:17">
      <c r="A1592" t="e" vm="21">
        <v>#VALUE!</v>
      </c>
      <c r="B1592" s="2">
        <v>45888</v>
      </c>
      <c r="C1592" t="str" cm="1">
        <f t="array" aca="1" ref="C1592" ca="1">_FV(A1592,"Ticker symbol",TRUE)</f>
        <v>INTC</v>
      </c>
      <c r="D1592" s="4">
        <v>25.52</v>
      </c>
      <c r="E1592" s="50">
        <v>6</v>
      </c>
      <c r="F1592" s="81">
        <f>IF(Table25[[#This Row],[Number of stocks]]&gt;0,Table25[[#This Row],[Number of stocks]],0)</f>
        <v>6</v>
      </c>
      <c r="G1592" s="73">
        <f>Table25[[#This Row],[Bought]]*Table25[[#This Row],[Price]]</f>
        <v>153.12</v>
      </c>
      <c r="H1592">
        <f>SUMIF(Table25[[#All],[Assets]],Table25[[#This Row],[Assets]],Table25[[#All],[Bought]])</f>
        <v>334.73663899999997</v>
      </c>
      <c r="I1592">
        <f>SUMIF(Table25[[#All],[Assets]],Table25[[#This Row],[Assets]],Table25[[#All],[Bought Amount]])</f>
        <v>9755.9173948600001</v>
      </c>
      <c r="J1592" s="88">
        <f>IF(Table25[[#This Row],[Number of stocks]]&lt;0,Table25[[#This Row],[Number of stocks]],0)</f>
        <v>0</v>
      </c>
      <c r="K1592" s="5">
        <f>Table25[[#This Row],[Sold]]*Table25[[#This Row],[Price]]</f>
        <v>0</v>
      </c>
      <c r="L1592" s="8">
        <f>ABS(SUMIF(Table25[[#All],[Assets]],Table25[[#This Row],[Assets]],Table25[[#All],[Sold]]))</f>
        <v>334.74</v>
      </c>
      <c r="M1592" s="5">
        <f>ABS(SUMIF(Table25[[#All],[Assets]],Table25[[#This Row],[Assets]],Table25[[#All],[Sold Amount]]))</f>
        <v>7909.2053999999998</v>
      </c>
      <c r="N1592" s="5">
        <f>IFERROR(Table25[[#This Row],[Total sold amount]]/Table25[[#This Row],[Total Sold number of stocks]],"")</f>
        <v>23.627906434844952</v>
      </c>
      <c r="O1592" s="4">
        <f>IFERROR(Table25[[#This Row],[Total Amount bought]]/Table25[[#This Row],[Total number bought]],"")</f>
        <v>29.145053926588542</v>
      </c>
      <c r="P1592" s="4">
        <f>IFERROR((Table25[[#This Row],[Average sell price]]-Table25[[#This Row],[Average buy price]])*Table25[[#This Row],[Total Sold number of stocks]],0)</f>
        <v>-1846.8099513862492</v>
      </c>
      <c r="Q1592" s="85">
        <f>SUMIF(Table25[[#All],[Assets]],Table25[[#This Row],[Assets]],Table25[[#All],[Number of stocks]])</f>
        <v>-3.3610000000123819E-3</v>
      </c>
    </row>
    <row r="1593" spans="1:17">
      <c r="A1593" t="e" vm="37">
        <v>#VALUE!</v>
      </c>
      <c r="B1593" s="2">
        <v>45888</v>
      </c>
      <c r="C1593" t="str" cm="1">
        <f t="array" aca="1" ref="C1593" ca="1">_FV(A1593,"Ticker symbol",TRUE)</f>
        <v>AMD</v>
      </c>
      <c r="D1593" s="4">
        <v>167.39</v>
      </c>
      <c r="E1593" s="50">
        <v>3</v>
      </c>
      <c r="F1593" s="81">
        <f>IF(Table25[[#This Row],[Number of stocks]]&gt;0,Table25[[#This Row],[Number of stocks]],0)</f>
        <v>3</v>
      </c>
      <c r="G1593" s="73">
        <f>Table25[[#This Row],[Bought]]*Table25[[#This Row],[Price]]</f>
        <v>502.16999999999996</v>
      </c>
      <c r="H1593">
        <f>SUMIF(Table25[[#All],[Assets]],Table25[[#This Row],[Assets]],Table25[[#All],[Bought]])</f>
        <v>41</v>
      </c>
      <c r="I1593">
        <f>SUMIF(Table25[[#All],[Assets]],Table25[[#This Row],[Assets]],Table25[[#All],[Bought Amount]])</f>
        <v>5552.8399999999992</v>
      </c>
      <c r="J1593" s="88">
        <f>IF(Table25[[#This Row],[Number of stocks]]&lt;0,Table25[[#This Row],[Number of stocks]],0)</f>
        <v>0</v>
      </c>
      <c r="K1593" s="5">
        <f>Table25[[#This Row],[Sold]]*Table25[[#This Row],[Price]]</f>
        <v>0</v>
      </c>
      <c r="L1593" s="8">
        <f>ABS(SUMIF(Table25[[#All],[Assets]],Table25[[#This Row],[Assets]],Table25[[#All],[Sold]]))</f>
        <v>23</v>
      </c>
      <c r="M1593" s="5">
        <f>ABS(SUMIF(Table25[[#All],[Assets]],Table25[[#This Row],[Assets]],Table25[[#All],[Sold Amount]]))</f>
        <v>3203.4199999999996</v>
      </c>
      <c r="N1593" s="5">
        <f>IFERROR(Table25[[#This Row],[Total sold amount]]/Table25[[#This Row],[Total Sold number of stocks]],"")</f>
        <v>139.27913043478259</v>
      </c>
      <c r="O1593" s="4">
        <f>IFERROR(Table25[[#This Row],[Total Amount bought]]/Table25[[#This Row],[Total number bought]],"")</f>
        <v>135.43512195121949</v>
      </c>
      <c r="P1593" s="4">
        <f>IFERROR((Table25[[#This Row],[Average sell price]]-Table25[[#This Row],[Average buy price]])*Table25[[#This Row],[Total Sold number of stocks]],0)</f>
        <v>88.412195121951328</v>
      </c>
      <c r="Q1593" s="85">
        <f>SUMIF(Table25[[#All],[Assets]],Table25[[#This Row],[Assets]],Table25[[#All],[Number of stocks]])</f>
        <v>18</v>
      </c>
    </row>
    <row r="1594" spans="1:17">
      <c r="A1594" t="e" vm="214">
        <v>#VALUE!</v>
      </c>
      <c r="B1594" s="2">
        <v>45888</v>
      </c>
      <c r="C1594" t="str" cm="1">
        <f t="array" aca="1" ref="C1594" ca="1">_FV(A1594,"Ticker symbol",TRUE)</f>
        <v>CGNX</v>
      </c>
      <c r="D1594" s="4">
        <v>43.26</v>
      </c>
      <c r="E1594" s="50">
        <v>20</v>
      </c>
      <c r="F1594" s="81">
        <f>IF(Table25[[#This Row],[Number of stocks]]&gt;0,Table25[[#This Row],[Number of stocks]],0)</f>
        <v>20</v>
      </c>
      <c r="G1594" s="73">
        <f>Table25[[#This Row],[Bought]]*Table25[[#This Row],[Price]]</f>
        <v>865.19999999999993</v>
      </c>
      <c r="H1594">
        <f>SUMIF(Table25[[#All],[Assets]],Table25[[#This Row],[Assets]],Table25[[#All],[Bought]])</f>
        <v>20</v>
      </c>
      <c r="I1594">
        <f>SUMIF(Table25[[#All],[Assets]],Table25[[#This Row],[Assets]],Table25[[#All],[Bought Amount]])</f>
        <v>865.19999999999993</v>
      </c>
      <c r="J1594" s="88">
        <f>IF(Table25[[#This Row],[Number of stocks]]&lt;0,Table25[[#This Row],[Number of stocks]],0)</f>
        <v>0</v>
      </c>
      <c r="K1594" s="5">
        <f>Table25[[#This Row],[Sold]]*Table25[[#This Row],[Price]]</f>
        <v>0</v>
      </c>
      <c r="L1594" s="8">
        <f>ABS(SUMIF(Table25[[#All],[Assets]],Table25[[#This Row],[Assets]],Table25[[#All],[Sold]]))</f>
        <v>20</v>
      </c>
      <c r="M1594" s="5">
        <f>ABS(SUMIF(Table25[[#All],[Assets]],Table25[[#This Row],[Assets]],Table25[[#All],[Sold Amount]]))</f>
        <v>852</v>
      </c>
      <c r="N1594" s="5">
        <f>IFERROR(Table25[[#This Row],[Total sold amount]]/Table25[[#This Row],[Total Sold number of stocks]],"")</f>
        <v>42.6</v>
      </c>
      <c r="O1594" s="4">
        <f>IFERROR(Table25[[#This Row],[Total Amount bought]]/Table25[[#This Row],[Total number bought]],"")</f>
        <v>43.26</v>
      </c>
      <c r="P1594" s="4">
        <f>IFERROR((Table25[[#This Row],[Average sell price]]-Table25[[#This Row],[Average buy price]])*Table25[[#This Row],[Total Sold number of stocks]],0)</f>
        <v>-13.199999999999932</v>
      </c>
      <c r="Q1594" s="85">
        <f>SUMIF(Table25[[#All],[Assets]],Table25[[#This Row],[Assets]],Table25[[#All],[Number of stocks]])</f>
        <v>0</v>
      </c>
    </row>
    <row r="1595" spans="1:17">
      <c r="A1595" t="e" vm="234">
        <v>#VALUE!</v>
      </c>
      <c r="B1595" s="2">
        <v>45888</v>
      </c>
      <c r="C1595" t="str" cm="1">
        <f t="array" aca="1" ref="C1595" ca="1">_FV(A1595,"Ticker symbol",TRUE)</f>
        <v>XPOF</v>
      </c>
      <c r="D1595" s="4">
        <v>9.08</v>
      </c>
      <c r="E1595" s="50">
        <v>96</v>
      </c>
      <c r="F1595" s="81">
        <f>IF(Table25[[#This Row],[Number of stocks]]&gt;0,Table25[[#This Row],[Number of stocks]],0)</f>
        <v>96</v>
      </c>
      <c r="G1595" s="73">
        <f>Table25[[#This Row],[Bought]]*Table25[[#This Row],[Price]]</f>
        <v>871.68000000000006</v>
      </c>
      <c r="H1595">
        <f>SUMIF(Table25[[#All],[Assets]],Table25[[#This Row],[Assets]],Table25[[#All],[Bought]])</f>
        <v>96</v>
      </c>
      <c r="I1595">
        <f>SUMIF(Table25[[#All],[Assets]],Table25[[#This Row],[Assets]],Table25[[#All],[Bought Amount]])</f>
        <v>871.68000000000006</v>
      </c>
      <c r="J1595" s="88">
        <f>IF(Table25[[#This Row],[Number of stocks]]&lt;0,Table25[[#This Row],[Number of stocks]],0)</f>
        <v>0</v>
      </c>
      <c r="K1595" s="5">
        <f>Table25[[#This Row],[Sold]]*Table25[[#This Row],[Price]]</f>
        <v>0</v>
      </c>
      <c r="L1595" s="8">
        <f>ABS(SUMIF(Table25[[#All],[Assets]],Table25[[#This Row],[Assets]],Table25[[#All],[Sold]]))</f>
        <v>96</v>
      </c>
      <c r="M1595" s="5">
        <f>ABS(SUMIF(Table25[[#All],[Assets]],Table25[[#This Row],[Assets]],Table25[[#All],[Sold Amount]]))</f>
        <v>810.24</v>
      </c>
      <c r="N1595" s="5">
        <f>IFERROR(Table25[[#This Row],[Total sold amount]]/Table25[[#This Row],[Total Sold number of stocks]],"")</f>
        <v>8.44</v>
      </c>
      <c r="O1595" s="4">
        <f>IFERROR(Table25[[#This Row],[Total Amount bought]]/Table25[[#This Row],[Total number bought]],"")</f>
        <v>9.08</v>
      </c>
      <c r="P1595" s="4">
        <f>IFERROR((Table25[[#This Row],[Average sell price]]-Table25[[#This Row],[Average buy price]])*Table25[[#This Row],[Total Sold number of stocks]],0)</f>
        <v>-61.440000000000055</v>
      </c>
      <c r="Q1595" s="85">
        <f>SUMIF(Table25[[#All],[Assets]],Table25[[#This Row],[Assets]],Table25[[#All],[Number of stocks]])</f>
        <v>0</v>
      </c>
    </row>
    <row r="1596" spans="1:17">
      <c r="A1596" t="e" vm="228">
        <v>#VALUE!</v>
      </c>
      <c r="B1596" s="2">
        <v>45890</v>
      </c>
      <c r="C1596" t="str" cm="1">
        <f t="array" aca="1" ref="C1596" ca="1">_FV(A1596,"Ticker symbol",TRUE)</f>
        <v>BILL</v>
      </c>
      <c r="D1596" s="4">
        <v>40.630000000000003</v>
      </c>
      <c r="E1596" s="50">
        <v>2</v>
      </c>
      <c r="F1596" s="81">
        <f>IF(Table25[[#This Row],[Number of stocks]]&gt;0,Table25[[#This Row],[Number of stocks]],0)</f>
        <v>2</v>
      </c>
      <c r="G1596" s="73">
        <f>Table25[[#This Row],[Bought]]*Table25[[#This Row],[Price]]</f>
        <v>81.260000000000005</v>
      </c>
      <c r="H1596">
        <f>SUMIF(Table25[[#All],[Assets]],Table25[[#This Row],[Assets]],Table25[[#All],[Bought]])</f>
        <v>101</v>
      </c>
      <c r="I1596">
        <f>SUMIF(Table25[[#All],[Assets]],Table25[[#This Row],[Assets]],Table25[[#All],[Bought Amount]])</f>
        <v>5292.3600000000006</v>
      </c>
      <c r="J1596" s="88">
        <f>IF(Table25[[#This Row],[Number of stocks]]&lt;0,Table25[[#This Row],[Number of stocks]],0)</f>
        <v>0</v>
      </c>
      <c r="K1596" s="5">
        <f>Table25[[#This Row],[Sold]]*Table25[[#This Row],[Price]]</f>
        <v>0</v>
      </c>
      <c r="L1596" s="8">
        <f>ABS(SUMIF(Table25[[#All],[Assets]],Table25[[#This Row],[Assets]],Table25[[#All],[Sold]]))</f>
        <v>101</v>
      </c>
      <c r="M1596" s="5">
        <f>ABS(SUMIF(Table25[[#All],[Assets]],Table25[[#This Row],[Assets]],Table25[[#All],[Sold Amount]]))</f>
        <v>5973.49</v>
      </c>
      <c r="N1596" s="5">
        <f>IFERROR(Table25[[#This Row],[Total sold amount]]/Table25[[#This Row],[Total Sold number of stocks]],"")</f>
        <v>59.143465346534654</v>
      </c>
      <c r="O1596" s="4">
        <f>IFERROR(Table25[[#This Row],[Total Amount bought]]/Table25[[#This Row],[Total number bought]],"")</f>
        <v>52.399603960396043</v>
      </c>
      <c r="P1596" s="4">
        <f>IFERROR((Table25[[#This Row],[Average sell price]]-Table25[[#This Row],[Average buy price]])*Table25[[#This Row],[Total Sold number of stocks]],0)</f>
        <v>681.12999999999977</v>
      </c>
      <c r="Q1596" s="85">
        <f>SUMIF(Table25[[#All],[Assets]],Table25[[#This Row],[Assets]],Table25[[#All],[Number of stocks]])</f>
        <v>0</v>
      </c>
    </row>
    <row r="1597" spans="1:17">
      <c r="A1597" t="e" vm="192">
        <v>#VALUE!</v>
      </c>
      <c r="B1597" s="2">
        <v>45890</v>
      </c>
      <c r="C1597" t="str" cm="1">
        <f t="array" aca="1" ref="C1597" ca="1">_FV(A1597,"Ticker symbol",TRUE)</f>
        <v>NUTX</v>
      </c>
      <c r="D1597" s="4">
        <v>100.19</v>
      </c>
      <c r="E1597" s="50">
        <v>4</v>
      </c>
      <c r="F1597" s="81">
        <f>IF(Table25[[#This Row],[Number of stocks]]&gt;0,Table25[[#This Row],[Number of stocks]],0)</f>
        <v>4</v>
      </c>
      <c r="G1597" s="73">
        <f>Table25[[#This Row],[Bought]]*Table25[[#This Row],[Price]]</f>
        <v>400.76</v>
      </c>
      <c r="H1597">
        <f>SUMIF(Table25[[#All],[Assets]],Table25[[#This Row],[Assets]],Table25[[#All],[Bought]])</f>
        <v>14</v>
      </c>
      <c r="I1597">
        <f>SUMIF(Table25[[#All],[Assets]],Table25[[#This Row],[Assets]],Table25[[#All],[Bought Amount]])</f>
        <v>1201.06</v>
      </c>
      <c r="J1597" s="88">
        <f>IF(Table25[[#This Row],[Number of stocks]]&lt;0,Table25[[#This Row],[Number of stocks]],0)</f>
        <v>0</v>
      </c>
      <c r="K1597" s="5">
        <f>Table25[[#This Row],[Sold]]*Table25[[#This Row],[Price]]</f>
        <v>0</v>
      </c>
      <c r="L1597" s="8">
        <f>ABS(SUMIF(Table25[[#All],[Assets]],Table25[[#This Row],[Assets]],Table25[[#All],[Sold]]))</f>
        <v>7</v>
      </c>
      <c r="M1597" s="5">
        <f>ABS(SUMIF(Table25[[#All],[Assets]],Table25[[#This Row],[Assets]],Table25[[#All],[Sold Amount]]))</f>
        <v>816.18000000000006</v>
      </c>
      <c r="N1597" s="5">
        <f>IFERROR(Table25[[#This Row],[Total sold amount]]/Table25[[#This Row],[Total Sold number of stocks]],"")</f>
        <v>116.59714285714287</v>
      </c>
      <c r="O1597" s="4">
        <f>IFERROR(Table25[[#This Row],[Total Amount bought]]/Table25[[#This Row],[Total number bought]],"")</f>
        <v>85.789999999999992</v>
      </c>
      <c r="P1597" s="4">
        <f>IFERROR((Table25[[#This Row],[Average sell price]]-Table25[[#This Row],[Average buy price]])*Table25[[#This Row],[Total Sold number of stocks]],0)</f>
        <v>215.65000000000015</v>
      </c>
      <c r="Q1597" s="85">
        <f>SUMIF(Table25[[#All],[Assets]],Table25[[#This Row],[Assets]],Table25[[#All],[Number of stocks]])</f>
        <v>7</v>
      </c>
    </row>
    <row r="1598" spans="1:17">
      <c r="A1598" t="e" vm="226">
        <v>#VALUE!</v>
      </c>
      <c r="B1598" s="2">
        <v>45890</v>
      </c>
      <c r="C1598" t="str" cm="1">
        <f t="array" aca="1" ref="C1598" ca="1">_FV(A1598,"Ticker symbol",TRUE)</f>
        <v>WGHTQ</v>
      </c>
      <c r="D1598" s="4">
        <v>33.43</v>
      </c>
      <c r="E1598" s="50">
        <v>7</v>
      </c>
      <c r="F1598" s="81">
        <f>IF(Table25[[#This Row],[Number of stocks]]&gt;0,Table25[[#This Row],[Number of stocks]],0)</f>
        <v>7</v>
      </c>
      <c r="G1598" s="73">
        <f>Table25[[#This Row],[Bought]]*Table25[[#This Row],[Price]]</f>
        <v>234.01</v>
      </c>
      <c r="H1598">
        <f>SUMIF(Table25[[#All],[Assets]],Table25[[#This Row],[Assets]],Table25[[#All],[Bought]])</f>
        <v>172</v>
      </c>
      <c r="I1598">
        <f>SUMIF(Table25[[#All],[Assets]],Table25[[#This Row],[Assets]],Table25[[#All],[Bought Amount]])</f>
        <v>5307.8900000000012</v>
      </c>
      <c r="J1598" s="88">
        <f>IF(Table25[[#This Row],[Number of stocks]]&lt;0,Table25[[#This Row],[Number of stocks]],0)</f>
        <v>0</v>
      </c>
      <c r="K1598" s="5">
        <f>Table25[[#This Row],[Sold]]*Table25[[#This Row],[Price]]</f>
        <v>0</v>
      </c>
      <c r="L1598" s="8">
        <f>ABS(SUMIF(Table25[[#All],[Assets]],Table25[[#This Row],[Assets]],Table25[[#All],[Sold]]))</f>
        <v>168</v>
      </c>
      <c r="M1598" s="5">
        <f>ABS(SUMIF(Table25[[#All],[Assets]],Table25[[#This Row],[Assets]],Table25[[#All],[Sold Amount]]))</f>
        <v>4668.4199999999992</v>
      </c>
      <c r="N1598" s="5">
        <f>IFERROR(Table25[[#This Row],[Total sold amount]]/Table25[[#This Row],[Total Sold number of stocks]],"")</f>
        <v>27.788214285714282</v>
      </c>
      <c r="O1598" s="4">
        <f>IFERROR(Table25[[#This Row],[Total Amount bought]]/Table25[[#This Row],[Total number bought]],"")</f>
        <v>30.859825581395356</v>
      </c>
      <c r="P1598" s="4">
        <f>IFERROR((Table25[[#This Row],[Average sell price]]-Table25[[#This Row],[Average buy price]])*Table25[[#This Row],[Total Sold number of stocks]],0)</f>
        <v>-516.03069767442025</v>
      </c>
      <c r="Q1598" s="85">
        <f>SUMIF(Table25[[#All],[Assets]],Table25[[#This Row],[Assets]],Table25[[#All],[Number of stocks]])</f>
        <v>4</v>
      </c>
    </row>
    <row r="1599" spans="1:17">
      <c r="A1599" t="e" vm="551">
        <v>#VALUE!</v>
      </c>
      <c r="B1599" s="2">
        <v>45891</v>
      </c>
      <c r="C1599" t="str" cm="1">
        <f t="array" aca="1" ref="C1599" ca="1">_FV(A1599,"Ticker symbol",TRUE)</f>
        <v>KYIV</v>
      </c>
      <c r="D1599" s="4">
        <v>13.68</v>
      </c>
      <c r="E1599" s="50">
        <v>-30</v>
      </c>
      <c r="F1599" s="81">
        <f>IF(Table25[[#This Row],[Number of stocks]]&gt;0,Table25[[#This Row],[Number of stocks]],0)</f>
        <v>0</v>
      </c>
      <c r="G1599" s="73">
        <f>Table25[[#This Row],[Bought]]*Table25[[#This Row],[Price]]</f>
        <v>0</v>
      </c>
      <c r="H1599">
        <f>SUMIF(Table25[[#All],[Assets]],Table25[[#This Row],[Assets]],Table25[[#All],[Bought]])</f>
        <v>76</v>
      </c>
      <c r="I1599">
        <f>SUMIF(Table25[[#All],[Assets]],Table25[[#This Row],[Assets]],Table25[[#All],[Bought Amount]])</f>
        <v>931.88000000000011</v>
      </c>
      <c r="J1599" s="88">
        <f>IF(Table25[[#This Row],[Number of stocks]]&lt;0,Table25[[#This Row],[Number of stocks]],0)</f>
        <v>-30</v>
      </c>
      <c r="K1599" s="5">
        <f>Table25[[#This Row],[Sold]]*Table25[[#This Row],[Price]]</f>
        <v>-410.4</v>
      </c>
      <c r="L1599" s="8">
        <f>ABS(SUMIF(Table25[[#All],[Assets]],Table25[[#This Row],[Assets]],Table25[[#All],[Sold]]))</f>
        <v>76</v>
      </c>
      <c r="M1599" s="5">
        <f>ABS(SUMIF(Table25[[#All],[Assets]],Table25[[#This Row],[Assets]],Table25[[#All],[Sold Amount]]))</f>
        <v>1007.24</v>
      </c>
      <c r="N1599" s="5">
        <f>IFERROR(Table25[[#This Row],[Total sold amount]]/Table25[[#This Row],[Total Sold number of stocks]],"")</f>
        <v>13.253157894736843</v>
      </c>
      <c r="O1599" s="4">
        <f>IFERROR(Table25[[#This Row],[Total Amount bought]]/Table25[[#This Row],[Total number bought]],"")</f>
        <v>12.261578947368422</v>
      </c>
      <c r="P1599" s="4">
        <f>IFERROR((Table25[[#This Row],[Average sell price]]-Table25[[#This Row],[Average buy price]])*Table25[[#This Row],[Total Sold number of stocks]],0)</f>
        <v>75.359999999999971</v>
      </c>
      <c r="Q1599" s="85">
        <f>SUMIF(Table25[[#All],[Assets]],Table25[[#This Row],[Assets]],Table25[[#All],[Number of stocks]])</f>
        <v>0</v>
      </c>
    </row>
    <row r="1600" spans="1:17">
      <c r="A1600" t="e" vm="187">
        <v>#VALUE!</v>
      </c>
      <c r="B1600" s="2">
        <v>45891</v>
      </c>
      <c r="C1600" t="str" cm="1">
        <f t="array" aca="1" ref="C1600" ca="1">_FV(A1600,"Ticker symbol",TRUE)</f>
        <v>ZETA</v>
      </c>
      <c r="D1600" s="4">
        <v>19.63</v>
      </c>
      <c r="E1600" s="50">
        <v>20</v>
      </c>
      <c r="F1600" s="81">
        <f>IF(Table25[[#This Row],[Number of stocks]]&gt;0,Table25[[#This Row],[Number of stocks]],0)</f>
        <v>20</v>
      </c>
      <c r="G1600" s="73">
        <f>Table25[[#This Row],[Bought]]*Table25[[#This Row],[Price]]</f>
        <v>392.59999999999997</v>
      </c>
      <c r="H1600">
        <f>SUMIF(Table25[[#All],[Assets]],Table25[[#This Row],[Assets]],Table25[[#All],[Bought]])</f>
        <v>214</v>
      </c>
      <c r="I1600">
        <f>SUMIF(Table25[[#All],[Assets]],Table25[[#This Row],[Assets]],Table25[[#All],[Bought Amount]])</f>
        <v>4123.5200000000004</v>
      </c>
      <c r="J1600" s="88">
        <f>IF(Table25[[#This Row],[Number of stocks]]&lt;0,Table25[[#This Row],[Number of stocks]],0)</f>
        <v>0</v>
      </c>
      <c r="K1600" s="5">
        <f>Table25[[#This Row],[Sold]]*Table25[[#This Row],[Price]]</f>
        <v>0</v>
      </c>
      <c r="L1600" s="8">
        <f>ABS(SUMIF(Table25[[#All],[Assets]],Table25[[#This Row],[Assets]],Table25[[#All],[Sold]]))</f>
        <v>214</v>
      </c>
      <c r="M1600" s="5">
        <f>ABS(SUMIF(Table25[[#All],[Assets]],Table25[[#This Row],[Assets]],Table25[[#All],[Sold Amount]]))</f>
        <v>4425.6400000000003</v>
      </c>
      <c r="N1600" s="5">
        <f>IFERROR(Table25[[#This Row],[Total sold amount]]/Table25[[#This Row],[Total Sold number of stocks]],"")</f>
        <v>20.680560747663552</v>
      </c>
      <c r="O1600" s="4">
        <f>IFERROR(Table25[[#This Row],[Total Amount bought]]/Table25[[#This Row],[Total number bought]],"")</f>
        <v>19.268785046728976</v>
      </c>
      <c r="P1600" s="4">
        <f>IFERROR((Table25[[#This Row],[Average sell price]]-Table25[[#This Row],[Average buy price]])*Table25[[#This Row],[Total Sold number of stocks]],0)</f>
        <v>302.11999999999938</v>
      </c>
      <c r="Q1600" s="85">
        <f>SUMIF(Table25[[#All],[Assets]],Table25[[#This Row],[Assets]],Table25[[#All],[Number of stocks]])</f>
        <v>0</v>
      </c>
    </row>
    <row r="1601" spans="1:17">
      <c r="A1601" t="e" vm="16">
        <v>#VALUE!</v>
      </c>
      <c r="B1601" s="2">
        <v>45891</v>
      </c>
      <c r="C1601" t="str" cm="1">
        <f t="array" aca="1" ref="C1601" ca="1">_FV(A1601,"Ticker symbol",TRUE)</f>
        <v>GOOG</v>
      </c>
      <c r="D1601" s="4">
        <v>208.95</v>
      </c>
      <c r="E1601" s="50">
        <v>16</v>
      </c>
      <c r="F1601" s="81">
        <f>IF(Table25[[#This Row],[Number of stocks]]&gt;0,Table25[[#This Row],[Number of stocks]],0)</f>
        <v>16</v>
      </c>
      <c r="G1601" s="73">
        <f>Table25[[#This Row],[Bought]]*Table25[[#This Row],[Price]]</f>
        <v>3343.2</v>
      </c>
      <c r="H1601">
        <f>SUMIF(Table25[[#All],[Assets]],Table25[[#This Row],[Assets]],Table25[[#All],[Bought]])</f>
        <v>24</v>
      </c>
      <c r="I1601">
        <f>SUMIF(Table25[[#All],[Assets]],Table25[[#This Row],[Assets]],Table25[[#All],[Bought Amount]])</f>
        <v>4739.3499999999995</v>
      </c>
      <c r="J1601" s="88">
        <f>IF(Table25[[#This Row],[Number of stocks]]&lt;0,Table25[[#This Row],[Number of stocks]],0)</f>
        <v>0</v>
      </c>
      <c r="K1601" s="5">
        <f>Table25[[#This Row],[Sold]]*Table25[[#This Row],[Price]]</f>
        <v>0</v>
      </c>
      <c r="L1601" s="8">
        <f>ABS(SUMIF(Table25[[#All],[Assets]],Table25[[#This Row],[Assets]],Table25[[#All],[Sold]]))</f>
        <v>1</v>
      </c>
      <c r="M1601" s="5">
        <f>ABS(SUMIF(Table25[[#All],[Assets]],Table25[[#This Row],[Assets]],Table25[[#All],[Sold Amount]]))</f>
        <v>229.13</v>
      </c>
      <c r="N1601" s="5">
        <f>IFERROR(Table25[[#This Row],[Total sold amount]]/Table25[[#This Row],[Total Sold number of stocks]],"")</f>
        <v>229.13</v>
      </c>
      <c r="O1601" s="4">
        <f>IFERROR(Table25[[#This Row],[Total Amount bought]]/Table25[[#This Row],[Total number bought]],"")</f>
        <v>197.47291666666663</v>
      </c>
      <c r="P1601" s="4">
        <f>IFERROR((Table25[[#This Row],[Average sell price]]-Table25[[#This Row],[Average buy price]])*Table25[[#This Row],[Total Sold number of stocks]],0)</f>
        <v>31.657083333333361</v>
      </c>
      <c r="Q1601" s="85">
        <f>SUMIF(Table25[[#All],[Assets]],Table25[[#This Row],[Assets]],Table25[[#All],[Number of stocks]])</f>
        <v>23</v>
      </c>
    </row>
    <row r="1602" spans="1:17">
      <c r="A1602" t="e" vm="226">
        <v>#VALUE!</v>
      </c>
      <c r="B1602" s="2">
        <v>45891</v>
      </c>
      <c r="C1602" t="str" cm="1">
        <f t="array" aca="1" ref="C1602" ca="1">_FV(A1602,"Ticker symbol",TRUE)</f>
        <v>WGHTQ</v>
      </c>
      <c r="D1602" s="4">
        <v>31.37</v>
      </c>
      <c r="E1602" s="50">
        <v>5</v>
      </c>
      <c r="F1602" s="81">
        <f>IF(Table25[[#This Row],[Number of stocks]]&gt;0,Table25[[#This Row],[Number of stocks]],0)</f>
        <v>5</v>
      </c>
      <c r="G1602" s="73">
        <f>Table25[[#This Row],[Bought]]*Table25[[#This Row],[Price]]</f>
        <v>156.85</v>
      </c>
      <c r="H1602">
        <f>SUMIF(Table25[[#All],[Assets]],Table25[[#This Row],[Assets]],Table25[[#All],[Bought]])</f>
        <v>172</v>
      </c>
      <c r="I1602">
        <f>SUMIF(Table25[[#All],[Assets]],Table25[[#This Row],[Assets]],Table25[[#All],[Bought Amount]])</f>
        <v>5307.8900000000012</v>
      </c>
      <c r="J1602" s="88">
        <f>IF(Table25[[#This Row],[Number of stocks]]&lt;0,Table25[[#This Row],[Number of stocks]],0)</f>
        <v>0</v>
      </c>
      <c r="K1602" s="5">
        <f>Table25[[#This Row],[Sold]]*Table25[[#This Row],[Price]]</f>
        <v>0</v>
      </c>
      <c r="L1602" s="8">
        <f>ABS(SUMIF(Table25[[#All],[Assets]],Table25[[#This Row],[Assets]],Table25[[#All],[Sold]]))</f>
        <v>168</v>
      </c>
      <c r="M1602" s="5">
        <f>ABS(SUMIF(Table25[[#All],[Assets]],Table25[[#This Row],[Assets]],Table25[[#All],[Sold Amount]]))</f>
        <v>4668.4199999999992</v>
      </c>
      <c r="N1602" s="5">
        <f>IFERROR(Table25[[#This Row],[Total sold amount]]/Table25[[#This Row],[Total Sold number of stocks]],"")</f>
        <v>27.788214285714282</v>
      </c>
      <c r="O1602" s="4">
        <f>IFERROR(Table25[[#This Row],[Total Amount bought]]/Table25[[#This Row],[Total number bought]],"")</f>
        <v>30.859825581395356</v>
      </c>
      <c r="P1602" s="4">
        <f>IFERROR((Table25[[#This Row],[Average sell price]]-Table25[[#This Row],[Average buy price]])*Table25[[#This Row],[Total Sold number of stocks]],0)</f>
        <v>-516.03069767442025</v>
      </c>
      <c r="Q1602" s="85">
        <f>SUMIF(Table25[[#All],[Assets]],Table25[[#This Row],[Assets]],Table25[[#All],[Number of stocks]])</f>
        <v>4</v>
      </c>
    </row>
    <row r="1603" spans="1:17">
      <c r="A1603" t="e" vm="206">
        <v>#VALUE!</v>
      </c>
      <c r="B1603" s="2">
        <v>45894</v>
      </c>
      <c r="C1603" t="str" cm="1">
        <f t="array" aca="1" ref="C1603" ca="1">_FV(A1603,"Ticker symbol",TRUE)</f>
        <v>MOB</v>
      </c>
      <c r="D1603" s="4">
        <v>4.91</v>
      </c>
      <c r="E1603" s="50">
        <v>192</v>
      </c>
      <c r="F1603" s="81">
        <f>IF(Table25[[#This Row],[Number of stocks]]&gt;0,Table25[[#This Row],[Number of stocks]],0)</f>
        <v>192</v>
      </c>
      <c r="G1603" s="73">
        <f>Table25[[#This Row],[Bought]]*Table25[[#This Row],[Price]]</f>
        <v>942.72</v>
      </c>
      <c r="H1603">
        <f>SUMIF(Table25[[#All],[Assets]],Table25[[#This Row],[Assets]],Table25[[#All],[Bought]])</f>
        <v>192</v>
      </c>
      <c r="I1603">
        <f>SUMIF(Table25[[#All],[Assets]],Table25[[#This Row],[Assets]],Table25[[#All],[Bought Amount]])</f>
        <v>942.72</v>
      </c>
      <c r="J1603" s="88">
        <f>IF(Table25[[#This Row],[Number of stocks]]&lt;0,Table25[[#This Row],[Number of stocks]],0)</f>
        <v>0</v>
      </c>
      <c r="K1603" s="5">
        <f>Table25[[#This Row],[Sold]]*Table25[[#This Row],[Price]]</f>
        <v>0</v>
      </c>
      <c r="L1603" s="8">
        <f>ABS(SUMIF(Table25[[#All],[Assets]],Table25[[#This Row],[Assets]],Table25[[#All],[Sold]]))</f>
        <v>92</v>
      </c>
      <c r="M1603" s="5">
        <f>ABS(SUMIF(Table25[[#All],[Assets]],Table25[[#This Row],[Assets]],Table25[[#All],[Sold Amount]]))</f>
        <v>657.16</v>
      </c>
      <c r="N1603" s="5">
        <f>IFERROR(Table25[[#This Row],[Total sold amount]]/Table25[[#This Row],[Total Sold number of stocks]],"")</f>
        <v>7.1430434782608696</v>
      </c>
      <c r="O1603" s="4">
        <f>IFERROR(Table25[[#This Row],[Total Amount bought]]/Table25[[#This Row],[Total number bought]],"")</f>
        <v>4.91</v>
      </c>
      <c r="P1603" s="4">
        <f>IFERROR((Table25[[#This Row],[Average sell price]]-Table25[[#This Row],[Average buy price]])*Table25[[#This Row],[Total Sold number of stocks]],0)</f>
        <v>205.44</v>
      </c>
      <c r="Q1603" s="85">
        <f>SUMIF(Table25[[#All],[Assets]],Table25[[#This Row],[Assets]],Table25[[#All],[Number of stocks]])</f>
        <v>100</v>
      </c>
    </row>
    <row r="1604" spans="1:17">
      <c r="A1604" t="e" vm="245">
        <v>#VALUE!</v>
      </c>
      <c r="B1604" s="2">
        <v>45894</v>
      </c>
      <c r="C1604" t="str" cm="1">
        <f t="array" aca="1" ref="C1604" ca="1">_FV(A1604,"Ticker symbol",TRUE)</f>
        <v>ANGI</v>
      </c>
      <c r="D1604" s="4">
        <v>18.21</v>
      </c>
      <c r="E1604" s="50">
        <v>12</v>
      </c>
      <c r="F1604" s="81">
        <f>IF(Table25[[#This Row],[Number of stocks]]&gt;0,Table25[[#This Row],[Number of stocks]],0)</f>
        <v>12</v>
      </c>
      <c r="G1604" s="73">
        <f>Table25[[#This Row],[Bought]]*Table25[[#This Row],[Price]]</f>
        <v>218.52</v>
      </c>
      <c r="H1604">
        <f>SUMIF(Table25[[#All],[Assets]],Table25[[#This Row],[Assets]],Table25[[#All],[Bought]])</f>
        <v>12</v>
      </c>
      <c r="I1604">
        <f>SUMIF(Table25[[#All],[Assets]],Table25[[#This Row],[Assets]],Table25[[#All],[Bought Amount]])</f>
        <v>218.52</v>
      </c>
      <c r="J1604" s="88">
        <f>IF(Table25[[#This Row],[Number of stocks]]&lt;0,Table25[[#This Row],[Number of stocks]],0)</f>
        <v>0</v>
      </c>
      <c r="K1604" s="5">
        <f>Table25[[#This Row],[Sold]]*Table25[[#This Row],[Price]]</f>
        <v>0</v>
      </c>
      <c r="L1604" s="8">
        <f>ABS(SUMIF(Table25[[#All],[Assets]],Table25[[#This Row],[Assets]],Table25[[#All],[Sold]]))</f>
        <v>12</v>
      </c>
      <c r="M1604" s="5">
        <f>ABS(SUMIF(Table25[[#All],[Assets]],Table25[[#This Row],[Assets]],Table25[[#All],[Sold Amount]]))</f>
        <v>219.48</v>
      </c>
      <c r="N1604" s="5">
        <f>IFERROR(Table25[[#This Row],[Total sold amount]]/Table25[[#This Row],[Total Sold number of stocks]],"")</f>
        <v>18.29</v>
      </c>
      <c r="O1604" s="4">
        <f>IFERROR(Table25[[#This Row],[Total Amount bought]]/Table25[[#This Row],[Total number bought]],"")</f>
        <v>18.21</v>
      </c>
      <c r="P1604" s="4">
        <f>IFERROR((Table25[[#This Row],[Average sell price]]-Table25[[#This Row],[Average buy price]])*Table25[[#This Row],[Total Sold number of stocks]],0)</f>
        <v>0.95999999999997954</v>
      </c>
      <c r="Q1604" s="85">
        <f>SUMIF(Table25[[#All],[Assets]],Table25[[#This Row],[Assets]],Table25[[#All],[Number of stocks]])</f>
        <v>0</v>
      </c>
    </row>
    <row r="1605" spans="1:17">
      <c r="A1605" t="e" vm="186">
        <v>#VALUE!</v>
      </c>
      <c r="B1605" s="2">
        <v>45895</v>
      </c>
      <c r="C1605" t="str" cm="1">
        <f t="array" aca="1" ref="C1605" ca="1">_FV(A1605,"Ticker symbol",TRUE)</f>
        <v>TSEM</v>
      </c>
      <c r="D1605" s="4">
        <v>60.14</v>
      </c>
      <c r="E1605" s="50">
        <v>20</v>
      </c>
      <c r="F1605" s="81">
        <f>IF(Table25[[#This Row],[Number of stocks]]&gt;0,Table25[[#This Row],[Number of stocks]],0)</f>
        <v>20</v>
      </c>
      <c r="G1605" s="73">
        <f>Table25[[#This Row],[Bought]]*Table25[[#This Row],[Price]]</f>
        <v>1202.8</v>
      </c>
      <c r="H1605">
        <f>SUMIF(Table25[[#All],[Assets]],Table25[[#This Row],[Assets]],Table25[[#All],[Bought]])</f>
        <v>39</v>
      </c>
      <c r="I1605">
        <f>SUMIF(Table25[[#All],[Assets]],Table25[[#This Row],[Assets]],Table25[[#All],[Bought Amount]])</f>
        <v>2694.3</v>
      </c>
      <c r="J1605" s="88">
        <f>IF(Table25[[#This Row],[Number of stocks]]&lt;0,Table25[[#This Row],[Number of stocks]],0)</f>
        <v>0</v>
      </c>
      <c r="K1605" s="5">
        <f>Table25[[#This Row],[Sold]]*Table25[[#This Row],[Price]]</f>
        <v>0</v>
      </c>
      <c r="L1605" s="8">
        <f>ABS(SUMIF(Table25[[#All],[Assets]],Table25[[#This Row],[Assets]],Table25[[#All],[Sold]]))</f>
        <v>19</v>
      </c>
      <c r="M1605" s="5">
        <f>ABS(SUMIF(Table25[[#All],[Assets]],Table25[[#This Row],[Assets]],Table25[[#All],[Sold Amount]]))</f>
        <v>1894.3</v>
      </c>
      <c r="N1605" s="5">
        <f>IFERROR(Table25[[#This Row],[Total sold amount]]/Table25[[#This Row],[Total Sold number of stocks]],"")</f>
        <v>99.7</v>
      </c>
      <c r="O1605" s="4">
        <f>IFERROR(Table25[[#This Row],[Total Amount bought]]/Table25[[#This Row],[Total number bought]],"")</f>
        <v>69.08461538461539</v>
      </c>
      <c r="P1605" s="4">
        <f>IFERROR((Table25[[#This Row],[Average sell price]]-Table25[[#This Row],[Average buy price]])*Table25[[#This Row],[Total Sold number of stocks]],0)</f>
        <v>581.69230769230762</v>
      </c>
      <c r="Q1605" s="85">
        <f>SUMIF(Table25[[#All],[Assets]],Table25[[#This Row],[Assets]],Table25[[#All],[Number of stocks]])</f>
        <v>20</v>
      </c>
    </row>
    <row r="1606" spans="1:17">
      <c r="A1606" t="e" vm="77">
        <v>#VALUE!</v>
      </c>
      <c r="B1606" s="2">
        <v>45895</v>
      </c>
      <c r="C1606" t="str" cm="1">
        <f t="array" aca="1" ref="C1606" ca="1">_FV(A1606,"Ticker symbol",TRUE)</f>
        <v>STIM</v>
      </c>
      <c r="D1606" s="4">
        <v>3.35</v>
      </c>
      <c r="E1606" s="50">
        <v>145</v>
      </c>
      <c r="F1606" s="81">
        <f>IF(Table25[[#This Row],[Number of stocks]]&gt;0,Table25[[#This Row],[Number of stocks]],0)</f>
        <v>145</v>
      </c>
      <c r="G1606" s="73">
        <f>Table25[[#This Row],[Bought]]*Table25[[#This Row],[Price]]</f>
        <v>485.75</v>
      </c>
      <c r="H1606">
        <f>SUMIF(Table25[[#All],[Assets]],Table25[[#This Row],[Assets]],Table25[[#All],[Bought]])</f>
        <v>7036.45</v>
      </c>
      <c r="I1606">
        <f>SUMIF(Table25[[#All],[Assets]],Table25[[#This Row],[Assets]],Table25[[#All],[Bought Amount]])</f>
        <v>19162.260000000002</v>
      </c>
      <c r="J1606" s="88">
        <f>IF(Table25[[#This Row],[Number of stocks]]&lt;0,Table25[[#This Row],[Number of stocks]],0)</f>
        <v>0</v>
      </c>
      <c r="K1606" s="5">
        <f>Table25[[#This Row],[Sold]]*Table25[[#This Row],[Price]]</f>
        <v>0</v>
      </c>
      <c r="L1606" s="8">
        <f>ABS(SUMIF(Table25[[#All],[Assets]],Table25[[#This Row],[Assets]],Table25[[#All],[Sold]]))</f>
        <v>6686.45</v>
      </c>
      <c r="M1606" s="5">
        <f>ABS(SUMIF(Table25[[#All],[Assets]],Table25[[#This Row],[Assets]],Table25[[#All],[Sold Amount]]))</f>
        <v>19226.484999999997</v>
      </c>
      <c r="N1606" s="5">
        <f>IFERROR(Table25[[#This Row],[Total sold amount]]/Table25[[#This Row],[Total Sold number of stocks]],"")</f>
        <v>2.8754398821497205</v>
      </c>
      <c r="O1606" s="4">
        <f>IFERROR(Table25[[#This Row],[Total Amount bought]]/Table25[[#This Row],[Total number bought]],"")</f>
        <v>2.7232851793162749</v>
      </c>
      <c r="P1606" s="4">
        <f>IFERROR((Table25[[#This Row],[Average sell price]]-Table25[[#This Row],[Average buy price]])*Table25[[#This Row],[Total Sold number of stocks]],0)</f>
        <v>1017.3748127606921</v>
      </c>
      <c r="Q1606" s="85">
        <f>SUMIF(Table25[[#All],[Assets]],Table25[[#This Row],[Assets]],Table25[[#All],[Number of stocks]])</f>
        <v>349.99999999999977</v>
      </c>
    </row>
    <row r="1607" spans="1:17">
      <c r="A1607" t="e" vm="77">
        <v>#VALUE!</v>
      </c>
      <c r="B1607" s="2">
        <v>45896</v>
      </c>
      <c r="C1607" t="str" cm="1">
        <f t="array" aca="1" ref="C1607" ca="1">_FV(A1607,"Ticker symbol",TRUE)</f>
        <v>STIM</v>
      </c>
      <c r="D1607" s="4">
        <v>3.41</v>
      </c>
      <c r="E1607" s="50">
        <v>288</v>
      </c>
      <c r="F1607" s="81">
        <f>IF(Table25[[#This Row],[Number of stocks]]&gt;0,Table25[[#This Row],[Number of stocks]],0)</f>
        <v>288</v>
      </c>
      <c r="G1607" s="73">
        <f>Table25[[#This Row],[Bought]]*Table25[[#This Row],[Price]]</f>
        <v>982.08</v>
      </c>
      <c r="H1607">
        <f>SUMIF(Table25[[#All],[Assets]],Table25[[#This Row],[Assets]],Table25[[#All],[Bought]])</f>
        <v>7036.45</v>
      </c>
      <c r="I1607">
        <f>SUMIF(Table25[[#All],[Assets]],Table25[[#This Row],[Assets]],Table25[[#All],[Bought Amount]])</f>
        <v>19162.260000000002</v>
      </c>
      <c r="J1607" s="88">
        <f>IF(Table25[[#This Row],[Number of stocks]]&lt;0,Table25[[#This Row],[Number of stocks]],0)</f>
        <v>0</v>
      </c>
      <c r="K1607" s="5">
        <f>Table25[[#This Row],[Sold]]*Table25[[#This Row],[Price]]</f>
        <v>0</v>
      </c>
      <c r="L1607" s="8">
        <f>ABS(SUMIF(Table25[[#All],[Assets]],Table25[[#This Row],[Assets]],Table25[[#All],[Sold]]))</f>
        <v>6686.45</v>
      </c>
      <c r="M1607" s="5">
        <f>ABS(SUMIF(Table25[[#All],[Assets]],Table25[[#This Row],[Assets]],Table25[[#All],[Sold Amount]]))</f>
        <v>19226.484999999997</v>
      </c>
      <c r="N1607" s="5">
        <f>IFERROR(Table25[[#This Row],[Total sold amount]]/Table25[[#This Row],[Total Sold number of stocks]],"")</f>
        <v>2.8754398821497205</v>
      </c>
      <c r="O1607" s="4">
        <f>IFERROR(Table25[[#This Row],[Total Amount bought]]/Table25[[#This Row],[Total number bought]],"")</f>
        <v>2.7232851793162749</v>
      </c>
      <c r="P1607" s="4">
        <f>IFERROR((Table25[[#This Row],[Average sell price]]-Table25[[#This Row],[Average buy price]])*Table25[[#This Row],[Total Sold number of stocks]],0)</f>
        <v>1017.3748127606921</v>
      </c>
      <c r="Q1607" s="85">
        <f>SUMIF(Table25[[#All],[Assets]],Table25[[#This Row],[Assets]],Table25[[#All],[Number of stocks]])</f>
        <v>349.99999999999977</v>
      </c>
    </row>
    <row r="1608" spans="1:17">
      <c r="A1608" t="e" vm="77">
        <v>#VALUE!</v>
      </c>
      <c r="B1608" s="2">
        <v>45902</v>
      </c>
      <c r="C1608" t="str" cm="1">
        <f t="array" aca="1" ref="C1608" ca="1">_FV(A1608,"Ticker symbol",TRUE)</f>
        <v>STIM</v>
      </c>
      <c r="D1608" s="4">
        <v>2.7</v>
      </c>
      <c r="E1608" s="50">
        <v>-904.45</v>
      </c>
      <c r="F1608" s="81">
        <f>IF(Table25[[#This Row],[Number of stocks]]&gt;0,Table25[[#This Row],[Number of stocks]],0)</f>
        <v>0</v>
      </c>
      <c r="G1608" s="73">
        <f>Table25[[#This Row],[Bought]]*Table25[[#This Row],[Price]]</f>
        <v>0</v>
      </c>
      <c r="H1608">
        <f>SUMIF(Table25[[#All],[Assets]],Table25[[#This Row],[Assets]],Table25[[#All],[Bought]])</f>
        <v>7036.45</v>
      </c>
      <c r="I1608">
        <f>SUMIF(Table25[[#All],[Assets]],Table25[[#This Row],[Assets]],Table25[[#All],[Bought Amount]])</f>
        <v>19162.260000000002</v>
      </c>
      <c r="J1608" s="88">
        <f>IF(Table25[[#This Row],[Number of stocks]]&lt;0,Table25[[#This Row],[Number of stocks]],0)</f>
        <v>-904.45</v>
      </c>
      <c r="K1608" s="5">
        <f>Table25[[#This Row],[Sold]]*Table25[[#This Row],[Price]]</f>
        <v>-2442.0150000000003</v>
      </c>
      <c r="L1608" s="8">
        <f>ABS(SUMIF(Table25[[#All],[Assets]],Table25[[#This Row],[Assets]],Table25[[#All],[Sold]]))</f>
        <v>6686.45</v>
      </c>
      <c r="M1608" s="5">
        <f>ABS(SUMIF(Table25[[#All],[Assets]],Table25[[#This Row],[Assets]],Table25[[#All],[Sold Amount]]))</f>
        <v>19226.484999999997</v>
      </c>
      <c r="N1608" s="5">
        <f>IFERROR(Table25[[#This Row],[Total sold amount]]/Table25[[#This Row],[Total Sold number of stocks]],"")</f>
        <v>2.8754398821497205</v>
      </c>
      <c r="O1608" s="4">
        <f>IFERROR(Table25[[#This Row],[Total Amount bought]]/Table25[[#This Row],[Total number bought]],"")</f>
        <v>2.7232851793162749</v>
      </c>
      <c r="P1608" s="4">
        <f>IFERROR((Table25[[#This Row],[Average sell price]]-Table25[[#This Row],[Average buy price]])*Table25[[#This Row],[Total Sold number of stocks]],0)</f>
        <v>1017.3748127606921</v>
      </c>
      <c r="Q1608" s="85">
        <f>SUMIF(Table25[[#All],[Assets]],Table25[[#This Row],[Assets]],Table25[[#All],[Number of stocks]])</f>
        <v>349.99999999999977</v>
      </c>
    </row>
    <row r="1609" spans="1:17">
      <c r="A1609" t="e" vm="198">
        <v>#VALUE!</v>
      </c>
      <c r="B1609" s="2">
        <v>45903</v>
      </c>
      <c r="C1609" t="str" cm="1">
        <f t="array" aca="1" ref="C1609" ca="1">_FV(A1609,"Ticker symbol",TRUE)</f>
        <v>INDV</v>
      </c>
      <c r="D1609" s="4">
        <v>24.76</v>
      </c>
      <c r="E1609" s="50">
        <v>10</v>
      </c>
      <c r="F1609" s="81">
        <f>IF(Table25[[#This Row],[Number of stocks]]&gt;0,Table25[[#This Row],[Number of stocks]],0)</f>
        <v>10</v>
      </c>
      <c r="G1609" s="73">
        <f>Table25[[#This Row],[Bought]]*Table25[[#This Row],[Price]]</f>
        <v>247.60000000000002</v>
      </c>
      <c r="H1609">
        <f>SUMIF(Table25[[#All],[Assets]],Table25[[#This Row],[Assets]],Table25[[#All],[Bought]])</f>
        <v>58</v>
      </c>
      <c r="I1609">
        <f>SUMIF(Table25[[#All],[Assets]],Table25[[#This Row],[Assets]],Table25[[#All],[Bought Amount]])</f>
        <v>1433.8400000000001</v>
      </c>
      <c r="J1609" s="88">
        <f>IF(Table25[[#This Row],[Number of stocks]]&lt;0,Table25[[#This Row],[Number of stocks]],0)</f>
        <v>0</v>
      </c>
      <c r="K1609" s="5">
        <f>Table25[[#This Row],[Sold]]*Table25[[#This Row],[Price]]</f>
        <v>0</v>
      </c>
      <c r="L1609" s="8">
        <f>ABS(SUMIF(Table25[[#All],[Assets]],Table25[[#This Row],[Assets]],Table25[[#All],[Sold]]))</f>
        <v>58</v>
      </c>
      <c r="M1609" s="5">
        <f>ABS(SUMIF(Table25[[#All],[Assets]],Table25[[#This Row],[Assets]],Table25[[#All],[Sold Amount]]))</f>
        <v>2022.2799999999997</v>
      </c>
      <c r="N1609" s="5">
        <f>IFERROR(Table25[[#This Row],[Total sold amount]]/Table25[[#This Row],[Total Sold number of stocks]],"")</f>
        <v>34.866896551724132</v>
      </c>
      <c r="O1609" s="4">
        <f>IFERROR(Table25[[#This Row],[Total Amount bought]]/Table25[[#This Row],[Total number bought]],"")</f>
        <v>24.72137931034483</v>
      </c>
      <c r="P1609" s="4">
        <f>IFERROR((Table25[[#This Row],[Average sell price]]-Table25[[#This Row],[Average buy price]])*Table25[[#This Row],[Total Sold number of stocks]],0)</f>
        <v>588.43999999999949</v>
      </c>
      <c r="Q1609" s="85">
        <f>SUMIF(Table25[[#All],[Assets]],Table25[[#This Row],[Assets]],Table25[[#All],[Number of stocks]])</f>
        <v>0</v>
      </c>
    </row>
    <row r="1610" spans="1:17">
      <c r="A1610" t="e" vm="13">
        <v>#VALUE!</v>
      </c>
      <c r="B1610" s="2">
        <v>45903</v>
      </c>
      <c r="C1610" t="str" cm="1">
        <f t="array" aca="1" ref="C1610" ca="1">_FV(A1610,"Ticker symbol",TRUE)</f>
        <v>ON</v>
      </c>
      <c r="D1610" s="4">
        <v>49.31</v>
      </c>
      <c r="E1610" s="50">
        <v>-18</v>
      </c>
      <c r="F1610" s="81">
        <f>IF(Table25[[#This Row],[Number of stocks]]&gt;0,Table25[[#This Row],[Number of stocks]],0)</f>
        <v>0</v>
      </c>
      <c r="G1610" s="73">
        <f>Table25[[#This Row],[Bought]]*Table25[[#This Row],[Price]]</f>
        <v>0</v>
      </c>
      <c r="H1610">
        <f>SUMIF(Table25[[#All],[Assets]],Table25[[#This Row],[Assets]],Table25[[#All],[Bought]])</f>
        <v>326</v>
      </c>
      <c r="I1610">
        <f>SUMIF(Table25[[#All],[Assets]],Table25[[#This Row],[Assets]],Table25[[#All],[Bought Amount]])</f>
        <v>19172.809999999998</v>
      </c>
      <c r="J1610" s="88">
        <f>IF(Table25[[#This Row],[Number of stocks]]&lt;0,Table25[[#This Row],[Number of stocks]],0)</f>
        <v>-18</v>
      </c>
      <c r="K1610" s="5">
        <f>Table25[[#This Row],[Sold]]*Table25[[#This Row],[Price]]</f>
        <v>-887.58</v>
      </c>
      <c r="L1610" s="8">
        <f>ABS(SUMIF(Table25[[#All],[Assets]],Table25[[#This Row],[Assets]],Table25[[#All],[Sold]]))</f>
        <v>283</v>
      </c>
      <c r="M1610" s="5">
        <f>ABS(SUMIF(Table25[[#All],[Assets]],Table25[[#This Row],[Assets]],Table25[[#All],[Sold Amount]]))</f>
        <v>15700.74</v>
      </c>
      <c r="N1610" s="5">
        <f>IFERROR(Table25[[#This Row],[Total sold amount]]/Table25[[#This Row],[Total Sold number of stocks]],"")</f>
        <v>55.47964664310954</v>
      </c>
      <c r="O1610" s="4">
        <f>IFERROR(Table25[[#This Row],[Total Amount bought]]/Table25[[#This Row],[Total number bought]],"")</f>
        <v>58.812300613496923</v>
      </c>
      <c r="P1610" s="4">
        <f>IFERROR((Table25[[#This Row],[Average sell price]]-Table25[[#This Row],[Average buy price]])*Table25[[#This Row],[Total Sold number of stocks]],0)</f>
        <v>-943.14107361962954</v>
      </c>
      <c r="Q1610" s="85">
        <f>SUMIF(Table25[[#All],[Assets]],Table25[[#This Row],[Assets]],Table25[[#All],[Number of stocks]])</f>
        <v>43</v>
      </c>
    </row>
    <row r="1611" spans="1:17">
      <c r="A1611" t="e" vm="16">
        <v>#VALUE!</v>
      </c>
      <c r="B1611" s="2">
        <v>45903</v>
      </c>
      <c r="C1611" t="str" cm="1">
        <f t="array" aca="1" ref="C1611" ca="1">_FV(A1611,"Ticker symbol",TRUE)</f>
        <v>GOOG</v>
      </c>
      <c r="D1611" s="4">
        <v>229.13</v>
      </c>
      <c r="E1611" s="50">
        <v>-1</v>
      </c>
      <c r="F1611" s="81">
        <f>IF(Table25[[#This Row],[Number of stocks]]&gt;0,Table25[[#This Row],[Number of stocks]],0)</f>
        <v>0</v>
      </c>
      <c r="G1611" s="73">
        <f>Table25[[#This Row],[Bought]]*Table25[[#This Row],[Price]]</f>
        <v>0</v>
      </c>
      <c r="H1611">
        <f>SUMIF(Table25[[#All],[Assets]],Table25[[#This Row],[Assets]],Table25[[#All],[Bought]])</f>
        <v>24</v>
      </c>
      <c r="I1611">
        <f>SUMIF(Table25[[#All],[Assets]],Table25[[#This Row],[Assets]],Table25[[#All],[Bought Amount]])</f>
        <v>4739.3499999999995</v>
      </c>
      <c r="J1611" s="88">
        <f>IF(Table25[[#This Row],[Number of stocks]]&lt;0,Table25[[#This Row],[Number of stocks]],0)</f>
        <v>-1</v>
      </c>
      <c r="K1611" s="5">
        <f>Table25[[#This Row],[Sold]]*Table25[[#This Row],[Price]]</f>
        <v>-229.13</v>
      </c>
      <c r="L1611" s="8">
        <f>ABS(SUMIF(Table25[[#All],[Assets]],Table25[[#This Row],[Assets]],Table25[[#All],[Sold]]))</f>
        <v>1</v>
      </c>
      <c r="M1611" s="5">
        <f>ABS(SUMIF(Table25[[#All],[Assets]],Table25[[#This Row],[Assets]],Table25[[#All],[Sold Amount]]))</f>
        <v>229.13</v>
      </c>
      <c r="N1611" s="5">
        <f>IFERROR(Table25[[#This Row],[Total sold amount]]/Table25[[#This Row],[Total Sold number of stocks]],"")</f>
        <v>229.13</v>
      </c>
      <c r="O1611" s="4">
        <f>IFERROR(Table25[[#This Row],[Total Amount bought]]/Table25[[#This Row],[Total number bought]],"")</f>
        <v>197.47291666666663</v>
      </c>
      <c r="P1611" s="4">
        <f>IFERROR((Table25[[#This Row],[Average sell price]]-Table25[[#This Row],[Average buy price]])*Table25[[#This Row],[Total Sold number of stocks]],0)</f>
        <v>31.657083333333361</v>
      </c>
      <c r="Q1611" s="85">
        <f>SUMIF(Table25[[#All],[Assets]],Table25[[#This Row],[Assets]],Table25[[#All],[Number of stocks]])</f>
        <v>23</v>
      </c>
    </row>
    <row r="1612" spans="1:17">
      <c r="A1612" t="e" vm="198">
        <v>#VALUE!</v>
      </c>
      <c r="B1612" s="2">
        <v>45903</v>
      </c>
      <c r="C1612" t="str" cm="1">
        <f t="array" aca="1" ref="C1612" ca="1">_FV(A1612,"Ticker symbol",TRUE)</f>
        <v>INDV</v>
      </c>
      <c r="D1612" s="4">
        <v>24.62</v>
      </c>
      <c r="E1612" s="50">
        <v>40</v>
      </c>
      <c r="F1612" s="81">
        <f>IF(Table25[[#This Row],[Number of stocks]]&gt;0,Table25[[#This Row],[Number of stocks]],0)</f>
        <v>40</v>
      </c>
      <c r="G1612" s="73">
        <f>Table25[[#This Row],[Bought]]*Table25[[#This Row],[Price]]</f>
        <v>984.80000000000007</v>
      </c>
      <c r="H1612">
        <f>SUMIF(Table25[[#All],[Assets]],Table25[[#This Row],[Assets]],Table25[[#All],[Bought]])</f>
        <v>58</v>
      </c>
      <c r="I1612">
        <f>SUMIF(Table25[[#All],[Assets]],Table25[[#This Row],[Assets]],Table25[[#All],[Bought Amount]])</f>
        <v>1433.8400000000001</v>
      </c>
      <c r="J1612" s="88">
        <f>IF(Table25[[#This Row],[Number of stocks]]&lt;0,Table25[[#This Row],[Number of stocks]],0)</f>
        <v>0</v>
      </c>
      <c r="K1612" s="5">
        <f>Table25[[#This Row],[Sold]]*Table25[[#This Row],[Price]]</f>
        <v>0</v>
      </c>
      <c r="L1612" s="8">
        <f>ABS(SUMIF(Table25[[#All],[Assets]],Table25[[#This Row],[Assets]],Table25[[#All],[Sold]]))</f>
        <v>58</v>
      </c>
      <c r="M1612" s="5">
        <f>ABS(SUMIF(Table25[[#All],[Assets]],Table25[[#This Row],[Assets]],Table25[[#All],[Sold Amount]]))</f>
        <v>2022.2799999999997</v>
      </c>
      <c r="N1612" s="5">
        <f>IFERROR(Table25[[#This Row],[Total sold amount]]/Table25[[#This Row],[Total Sold number of stocks]],"")</f>
        <v>34.866896551724132</v>
      </c>
      <c r="O1612" s="4">
        <f>IFERROR(Table25[[#This Row],[Total Amount bought]]/Table25[[#This Row],[Total number bought]],"")</f>
        <v>24.72137931034483</v>
      </c>
      <c r="P1612" s="4">
        <f>IFERROR((Table25[[#This Row],[Average sell price]]-Table25[[#This Row],[Average buy price]])*Table25[[#This Row],[Total Sold number of stocks]],0)</f>
        <v>588.43999999999949</v>
      </c>
      <c r="Q1612" s="85">
        <f>SUMIF(Table25[[#All],[Assets]],Table25[[#This Row],[Assets]],Table25[[#All],[Number of stocks]])</f>
        <v>0</v>
      </c>
    </row>
    <row r="1613" spans="1:17">
      <c r="A1613" t="e" vm="192">
        <v>#VALUE!</v>
      </c>
      <c r="B1613" s="2">
        <v>45903</v>
      </c>
      <c r="C1613" t="str" cm="1">
        <f t="array" aca="1" ref="C1613" ca="1">_FV(A1613,"Ticker symbol",TRUE)</f>
        <v>NUTX</v>
      </c>
      <c r="D1613" s="4">
        <v>80.03</v>
      </c>
      <c r="E1613" s="50">
        <v>10</v>
      </c>
      <c r="F1613" s="81">
        <f>IF(Table25[[#This Row],[Number of stocks]]&gt;0,Table25[[#This Row],[Number of stocks]],0)</f>
        <v>10</v>
      </c>
      <c r="G1613" s="73">
        <f>Table25[[#This Row],[Bought]]*Table25[[#This Row],[Price]]</f>
        <v>800.3</v>
      </c>
      <c r="H1613">
        <f>SUMIF(Table25[[#All],[Assets]],Table25[[#This Row],[Assets]],Table25[[#All],[Bought]])</f>
        <v>14</v>
      </c>
      <c r="I1613">
        <f>SUMIF(Table25[[#All],[Assets]],Table25[[#This Row],[Assets]],Table25[[#All],[Bought Amount]])</f>
        <v>1201.06</v>
      </c>
      <c r="J1613" s="88">
        <f>IF(Table25[[#This Row],[Number of stocks]]&lt;0,Table25[[#This Row],[Number of stocks]],0)</f>
        <v>0</v>
      </c>
      <c r="K1613" s="5">
        <f>Table25[[#This Row],[Sold]]*Table25[[#This Row],[Price]]</f>
        <v>0</v>
      </c>
      <c r="L1613" s="8">
        <f>ABS(SUMIF(Table25[[#All],[Assets]],Table25[[#This Row],[Assets]],Table25[[#All],[Sold]]))</f>
        <v>7</v>
      </c>
      <c r="M1613" s="5">
        <f>ABS(SUMIF(Table25[[#All],[Assets]],Table25[[#This Row],[Assets]],Table25[[#All],[Sold Amount]]))</f>
        <v>816.18000000000006</v>
      </c>
      <c r="N1613" s="5">
        <f>IFERROR(Table25[[#This Row],[Total sold amount]]/Table25[[#This Row],[Total Sold number of stocks]],"")</f>
        <v>116.59714285714287</v>
      </c>
      <c r="O1613" s="4">
        <f>IFERROR(Table25[[#This Row],[Total Amount bought]]/Table25[[#This Row],[Total number bought]],"")</f>
        <v>85.789999999999992</v>
      </c>
      <c r="P1613" s="4">
        <f>IFERROR((Table25[[#This Row],[Average sell price]]-Table25[[#This Row],[Average buy price]])*Table25[[#This Row],[Total Sold number of stocks]],0)</f>
        <v>215.65000000000015</v>
      </c>
      <c r="Q1613" s="85">
        <f>SUMIF(Table25[[#All],[Assets]],Table25[[#This Row],[Assets]],Table25[[#All],[Number of stocks]])</f>
        <v>7</v>
      </c>
    </row>
    <row r="1614" spans="1:17">
      <c r="A1614" t="e" vm="199">
        <v>#VALUE!</v>
      </c>
      <c r="B1614" s="2">
        <v>45903</v>
      </c>
      <c r="C1614" t="str" cm="1">
        <f t="array" aca="1" ref="C1614" ca="1">_FV(A1614,"Ticker symbol",TRUE)</f>
        <v>HROW</v>
      </c>
      <c r="D1614" s="4">
        <v>37.31</v>
      </c>
      <c r="E1614" s="50">
        <v>9</v>
      </c>
      <c r="F1614" s="81">
        <f>IF(Table25[[#This Row],[Number of stocks]]&gt;0,Table25[[#This Row],[Number of stocks]],0)</f>
        <v>9</v>
      </c>
      <c r="G1614" s="73">
        <f>Table25[[#This Row],[Bought]]*Table25[[#This Row],[Price]]</f>
        <v>335.79</v>
      </c>
      <c r="H1614">
        <f>SUMIF(Table25[[#All],[Assets]],Table25[[#This Row],[Assets]],Table25[[#All],[Bought]])</f>
        <v>55</v>
      </c>
      <c r="I1614">
        <f>SUMIF(Table25[[#All],[Assets]],Table25[[#This Row],[Assets]],Table25[[#All],[Bought Amount]])</f>
        <v>2004.09</v>
      </c>
      <c r="J1614" s="88">
        <f>IF(Table25[[#This Row],[Number of stocks]]&lt;0,Table25[[#This Row],[Number of stocks]],0)</f>
        <v>0</v>
      </c>
      <c r="K1614" s="5">
        <f>Table25[[#This Row],[Sold]]*Table25[[#This Row],[Price]]</f>
        <v>0</v>
      </c>
      <c r="L1614" s="8">
        <f>ABS(SUMIF(Table25[[#All],[Assets]],Table25[[#This Row],[Assets]],Table25[[#All],[Sold]]))</f>
        <v>55</v>
      </c>
      <c r="M1614" s="5">
        <f>ABS(SUMIF(Table25[[#All],[Assets]],Table25[[#This Row],[Assets]],Table25[[#All],[Sold Amount]]))</f>
        <v>2792.46</v>
      </c>
      <c r="N1614" s="5">
        <f>IFERROR(Table25[[#This Row],[Total sold amount]]/Table25[[#This Row],[Total Sold number of stocks]],"")</f>
        <v>50.771999999999998</v>
      </c>
      <c r="O1614" s="4">
        <f>IFERROR(Table25[[#This Row],[Total Amount bought]]/Table25[[#This Row],[Total number bought]],"")</f>
        <v>36.437999999999995</v>
      </c>
      <c r="P1614" s="4">
        <f>IFERROR((Table25[[#This Row],[Average sell price]]-Table25[[#This Row],[Average buy price]])*Table25[[#This Row],[Total Sold number of stocks]],0)</f>
        <v>788.37000000000012</v>
      </c>
      <c r="Q1614" s="85">
        <f>SUMIF(Table25[[#All],[Assets]],Table25[[#This Row],[Assets]],Table25[[#All],[Number of stocks]])</f>
        <v>0</v>
      </c>
    </row>
    <row r="1615" spans="1:17">
      <c r="A1615" t="e" vm="242">
        <v>#VALUE!</v>
      </c>
      <c r="B1615" s="2">
        <v>45904</v>
      </c>
      <c r="C1615" t="str" cm="1">
        <f t="array" aca="1" ref="C1615" ca="1">_FV(A1615,"Ticker symbol",TRUE)</f>
        <v>RKT</v>
      </c>
      <c r="D1615" s="4">
        <v>18.489999999999998</v>
      </c>
      <c r="E1615" s="50">
        <v>20</v>
      </c>
      <c r="F1615" s="81">
        <f>IF(Table25[[#This Row],[Number of stocks]]&gt;0,Table25[[#This Row],[Number of stocks]],0)</f>
        <v>20</v>
      </c>
      <c r="G1615" s="73">
        <f>Table25[[#This Row],[Bought]]*Table25[[#This Row],[Price]]</f>
        <v>369.79999999999995</v>
      </c>
      <c r="H1615">
        <f>SUMIF(Table25[[#All],[Assets]],Table25[[#This Row],[Assets]],Table25[[#All],[Bought]])</f>
        <v>116</v>
      </c>
      <c r="I1615">
        <f>SUMIF(Table25[[#All],[Assets]],Table25[[#This Row],[Assets]],Table25[[#All],[Bought Amount]])</f>
        <v>2236.0100000000002</v>
      </c>
      <c r="J1615" s="88">
        <f>IF(Table25[[#This Row],[Number of stocks]]&lt;0,Table25[[#This Row],[Number of stocks]],0)</f>
        <v>0</v>
      </c>
      <c r="K1615" s="5">
        <f>Table25[[#This Row],[Sold]]*Table25[[#This Row],[Price]]</f>
        <v>0</v>
      </c>
      <c r="L1615" s="8">
        <f>ABS(SUMIF(Table25[[#All],[Assets]],Table25[[#This Row],[Assets]],Table25[[#All],[Sold]]))</f>
        <v>116</v>
      </c>
      <c r="M1615" s="5">
        <f>ABS(SUMIF(Table25[[#All],[Assets]],Table25[[#This Row],[Assets]],Table25[[#All],[Sold Amount]]))</f>
        <v>1947.1000000000001</v>
      </c>
      <c r="N1615" s="5">
        <f>IFERROR(Table25[[#This Row],[Total sold amount]]/Table25[[#This Row],[Total Sold number of stocks]],"")</f>
        <v>16.785344827586208</v>
      </c>
      <c r="O1615" s="4">
        <f>IFERROR(Table25[[#This Row],[Total Amount bought]]/Table25[[#This Row],[Total number bought]],"")</f>
        <v>19.275948275862071</v>
      </c>
      <c r="P1615" s="4">
        <f>IFERROR((Table25[[#This Row],[Average sell price]]-Table25[[#This Row],[Average buy price]])*Table25[[#This Row],[Total Sold number of stocks]],0)</f>
        <v>-288.91000000000008</v>
      </c>
      <c r="Q1615" s="85">
        <f>SUMIF(Table25[[#All],[Assets]],Table25[[#This Row],[Assets]],Table25[[#All],[Number of stocks]])</f>
        <v>0</v>
      </c>
    </row>
    <row r="1616" spans="1:17">
      <c r="A1616" t="e" vm="81">
        <v>#VALUE!</v>
      </c>
      <c r="B1616" s="2">
        <v>45904</v>
      </c>
      <c r="C1616" t="str" cm="1">
        <f t="array" aca="1" ref="C1616" ca="1">_FV(A1616,"Ticker symbol",TRUE)</f>
        <v>DLO</v>
      </c>
      <c r="D1616" s="4">
        <v>13.02</v>
      </c>
      <c r="E1616" s="50">
        <v>27</v>
      </c>
      <c r="F1616" s="81">
        <f>IF(Table25[[#This Row],[Number of stocks]]&gt;0,Table25[[#This Row],[Number of stocks]],0)</f>
        <v>27</v>
      </c>
      <c r="G1616" s="73">
        <f>Table25[[#This Row],[Bought]]*Table25[[#This Row],[Price]]</f>
        <v>351.53999999999996</v>
      </c>
      <c r="H1616">
        <f>SUMIF(Table25[[#All],[Assets]],Table25[[#This Row],[Assets]],Table25[[#All],[Bought]])</f>
        <v>436</v>
      </c>
      <c r="I1616">
        <f>SUMIF(Table25[[#All],[Assets]],Table25[[#This Row],[Assets]],Table25[[#All],[Bought Amount]])</f>
        <v>5840.9900000000007</v>
      </c>
      <c r="J1616" s="88">
        <f>IF(Table25[[#This Row],[Number of stocks]]&lt;0,Table25[[#This Row],[Number of stocks]],0)</f>
        <v>0</v>
      </c>
      <c r="K1616" s="5">
        <f>Table25[[#This Row],[Sold]]*Table25[[#This Row],[Price]]</f>
        <v>0</v>
      </c>
      <c r="L1616" s="8">
        <f>ABS(SUMIF(Table25[[#All],[Assets]],Table25[[#This Row],[Assets]],Table25[[#All],[Sold]]))</f>
        <v>436</v>
      </c>
      <c r="M1616" s="5">
        <f>ABS(SUMIF(Table25[[#All],[Assets]],Table25[[#This Row],[Assets]],Table25[[#All],[Sold Amount]]))</f>
        <v>5546.6</v>
      </c>
      <c r="N1616" s="5">
        <f>IFERROR(Table25[[#This Row],[Total sold amount]]/Table25[[#This Row],[Total Sold number of stocks]],"")</f>
        <v>12.721559633027523</v>
      </c>
      <c r="O1616" s="4">
        <f>IFERROR(Table25[[#This Row],[Total Amount bought]]/Table25[[#This Row],[Total number bought]],"")</f>
        <v>13.396766055045873</v>
      </c>
      <c r="P1616" s="4">
        <f>IFERROR((Table25[[#This Row],[Average sell price]]-Table25[[#This Row],[Average buy price]])*Table25[[#This Row],[Total Sold number of stocks]],0)</f>
        <v>-294.39000000000073</v>
      </c>
      <c r="Q1616" s="85">
        <f>SUMIF(Table25[[#All],[Assets]],Table25[[#This Row],[Assets]],Table25[[#All],[Number of stocks]])</f>
        <v>0</v>
      </c>
    </row>
    <row r="1617" spans="1:17">
      <c r="A1617" t="e" vm="291">
        <v>#VALUE!</v>
      </c>
      <c r="B1617" s="2">
        <v>45904</v>
      </c>
      <c r="C1617" t="str" cm="1">
        <f t="array" aca="1" ref="C1617" ca="1">_FV(A1617,"Ticker symbol",TRUE)</f>
        <v>HIMS</v>
      </c>
      <c r="D1617" s="4">
        <v>47.88</v>
      </c>
      <c r="E1617" s="50">
        <v>6</v>
      </c>
      <c r="F1617" s="81">
        <f>IF(Table25[[#This Row],[Number of stocks]]&gt;0,Table25[[#This Row],[Number of stocks]],0)</f>
        <v>6</v>
      </c>
      <c r="G1617" s="73">
        <f>Table25[[#This Row],[Bought]]*Table25[[#This Row],[Price]]</f>
        <v>287.28000000000003</v>
      </c>
      <c r="H1617">
        <f>SUMIF(Table25[[#All],[Assets]],Table25[[#This Row],[Assets]],Table25[[#All],[Bought]])</f>
        <v>6</v>
      </c>
      <c r="I1617">
        <f>SUMIF(Table25[[#All],[Assets]],Table25[[#This Row],[Assets]],Table25[[#All],[Bought Amount]])</f>
        <v>287.28000000000003</v>
      </c>
      <c r="J1617" s="88">
        <f>IF(Table25[[#This Row],[Number of stocks]]&lt;0,Table25[[#This Row],[Number of stocks]],0)</f>
        <v>0</v>
      </c>
      <c r="K1617" s="5">
        <f>Table25[[#This Row],[Sold]]*Table25[[#This Row],[Price]]</f>
        <v>0</v>
      </c>
      <c r="L1617" s="8">
        <f>ABS(SUMIF(Table25[[#All],[Assets]],Table25[[#This Row],[Assets]],Table25[[#All],[Sold]]))</f>
        <v>6</v>
      </c>
      <c r="M1617" s="5">
        <f>ABS(SUMIF(Table25[[#All],[Assets]],Table25[[#This Row],[Assets]],Table25[[#All],[Sold Amount]]))</f>
        <v>350.21999999999997</v>
      </c>
      <c r="N1617" s="5">
        <f>IFERROR(Table25[[#This Row],[Total sold amount]]/Table25[[#This Row],[Total Sold number of stocks]],"")</f>
        <v>58.37</v>
      </c>
      <c r="O1617" s="4">
        <f>IFERROR(Table25[[#This Row],[Total Amount bought]]/Table25[[#This Row],[Total number bought]],"")</f>
        <v>47.88</v>
      </c>
      <c r="P1617" s="4">
        <f>IFERROR((Table25[[#This Row],[Average sell price]]-Table25[[#This Row],[Average buy price]])*Table25[[#This Row],[Total Sold number of stocks]],0)</f>
        <v>62.939999999999969</v>
      </c>
      <c r="Q1617" s="85">
        <f>SUMIF(Table25[[#All],[Assets]],Table25[[#This Row],[Assets]],Table25[[#All],[Number of stocks]])</f>
        <v>0</v>
      </c>
    </row>
    <row r="1618" spans="1:17">
      <c r="A1618" t="e" vm="76">
        <v>#VALUE!</v>
      </c>
      <c r="B1618" s="2">
        <v>45904</v>
      </c>
      <c r="C1618" t="str" cm="1">
        <f t="array" aca="1" ref="C1618" ca="1">_FV(A1618,"Ticker symbol",TRUE)</f>
        <v>TEM</v>
      </c>
      <c r="D1618" s="4">
        <v>78</v>
      </c>
      <c r="E1618" s="50">
        <v>-6</v>
      </c>
      <c r="F1618" s="81">
        <f>IF(Table25[[#This Row],[Number of stocks]]&gt;0,Table25[[#This Row],[Number of stocks]],0)</f>
        <v>0</v>
      </c>
      <c r="G1618" s="73">
        <f>Table25[[#This Row],[Bought]]*Table25[[#This Row],[Price]]</f>
        <v>0</v>
      </c>
      <c r="H1618">
        <f>SUMIF(Table25[[#All],[Assets]],Table25[[#This Row],[Assets]],Table25[[#All],[Bought]])</f>
        <v>29</v>
      </c>
      <c r="I1618">
        <f>SUMIF(Table25[[#All],[Assets]],Table25[[#This Row],[Assets]],Table25[[#All],[Bought Amount]])</f>
        <v>1735.3899999999999</v>
      </c>
      <c r="J1618" s="88">
        <f>IF(Table25[[#This Row],[Number of stocks]]&lt;0,Table25[[#This Row],[Number of stocks]],0)</f>
        <v>-6</v>
      </c>
      <c r="K1618" s="5">
        <f>Table25[[#This Row],[Sold]]*Table25[[#This Row],[Price]]</f>
        <v>-468</v>
      </c>
      <c r="L1618" s="8">
        <f>ABS(SUMIF(Table25[[#All],[Assets]],Table25[[#This Row],[Assets]],Table25[[#All],[Sold]]))</f>
        <v>29</v>
      </c>
      <c r="M1618" s="5">
        <f>ABS(SUMIF(Table25[[#All],[Assets]],Table25[[#This Row],[Assets]],Table25[[#All],[Sold Amount]]))</f>
        <v>1886.1999999999998</v>
      </c>
      <c r="N1618" s="5">
        <f>IFERROR(Table25[[#This Row],[Total sold amount]]/Table25[[#This Row],[Total Sold number of stocks]],"")</f>
        <v>65.041379310344823</v>
      </c>
      <c r="O1618" s="4">
        <f>IFERROR(Table25[[#This Row],[Total Amount bought]]/Table25[[#This Row],[Total number bought]],"")</f>
        <v>59.841034482758616</v>
      </c>
      <c r="P1618" s="4">
        <f>IFERROR((Table25[[#This Row],[Average sell price]]-Table25[[#This Row],[Average buy price]])*Table25[[#This Row],[Total Sold number of stocks]],0)</f>
        <v>150.81</v>
      </c>
      <c r="Q1618" s="85">
        <f>SUMIF(Table25[[#All],[Assets]],Table25[[#This Row],[Assets]],Table25[[#All],[Number of stocks]])</f>
        <v>0</v>
      </c>
    </row>
    <row r="1619" spans="1:17">
      <c r="A1619" t="e" vm="242">
        <v>#VALUE!</v>
      </c>
      <c r="B1619" s="2">
        <v>45904</v>
      </c>
      <c r="C1619" t="str" cm="1">
        <f t="array" aca="1" ref="C1619" ca="1">_FV(A1619,"Ticker symbol",TRUE)</f>
        <v>RKT</v>
      </c>
      <c r="D1619" s="4">
        <v>18.760000000000002</v>
      </c>
      <c r="E1619" s="50">
        <v>26</v>
      </c>
      <c r="F1619" s="81">
        <f>IF(Table25[[#This Row],[Number of stocks]]&gt;0,Table25[[#This Row],[Number of stocks]],0)</f>
        <v>26</v>
      </c>
      <c r="G1619" s="73">
        <f>Table25[[#This Row],[Bought]]*Table25[[#This Row],[Price]]</f>
        <v>487.76000000000005</v>
      </c>
      <c r="H1619">
        <f>SUMIF(Table25[[#All],[Assets]],Table25[[#This Row],[Assets]],Table25[[#All],[Bought]])</f>
        <v>116</v>
      </c>
      <c r="I1619">
        <f>SUMIF(Table25[[#All],[Assets]],Table25[[#This Row],[Assets]],Table25[[#All],[Bought Amount]])</f>
        <v>2236.0100000000002</v>
      </c>
      <c r="J1619" s="88">
        <f>IF(Table25[[#This Row],[Number of stocks]]&lt;0,Table25[[#This Row],[Number of stocks]],0)</f>
        <v>0</v>
      </c>
      <c r="K1619" s="5">
        <f>Table25[[#This Row],[Sold]]*Table25[[#This Row],[Price]]</f>
        <v>0</v>
      </c>
      <c r="L1619" s="8">
        <f>ABS(SUMIF(Table25[[#All],[Assets]],Table25[[#This Row],[Assets]],Table25[[#All],[Sold]]))</f>
        <v>116</v>
      </c>
      <c r="M1619" s="5">
        <f>ABS(SUMIF(Table25[[#All],[Assets]],Table25[[#This Row],[Assets]],Table25[[#All],[Sold Amount]]))</f>
        <v>1947.1000000000001</v>
      </c>
      <c r="N1619" s="5">
        <f>IFERROR(Table25[[#This Row],[Total sold amount]]/Table25[[#This Row],[Total Sold number of stocks]],"")</f>
        <v>16.785344827586208</v>
      </c>
      <c r="O1619" s="4">
        <f>IFERROR(Table25[[#This Row],[Total Amount bought]]/Table25[[#This Row],[Total number bought]],"")</f>
        <v>19.275948275862071</v>
      </c>
      <c r="P1619" s="4">
        <f>IFERROR((Table25[[#This Row],[Average sell price]]-Table25[[#This Row],[Average buy price]])*Table25[[#This Row],[Total Sold number of stocks]],0)</f>
        <v>-288.91000000000008</v>
      </c>
      <c r="Q1619" s="85">
        <f>SUMIF(Table25[[#All],[Assets]],Table25[[#This Row],[Assets]],Table25[[#All],[Number of stocks]])</f>
        <v>0</v>
      </c>
    </row>
    <row r="1620" spans="1:17">
      <c r="A1620" t="e" vm="229">
        <v>#VALUE!</v>
      </c>
      <c r="B1620" s="2">
        <v>45905</v>
      </c>
      <c r="C1620" t="str" cm="1">
        <f t="array" aca="1" ref="C1620" ca="1">_FV(A1620,"Ticker symbol",TRUE)</f>
        <v>AEO</v>
      </c>
      <c r="D1620" s="4">
        <v>18.64</v>
      </c>
      <c r="E1620" s="50">
        <v>-50</v>
      </c>
      <c r="F1620" s="81">
        <f>IF(Table25[[#This Row],[Number of stocks]]&gt;0,Table25[[#This Row],[Number of stocks]],0)</f>
        <v>0</v>
      </c>
      <c r="G1620" s="73">
        <f>Table25[[#This Row],[Bought]]*Table25[[#This Row],[Price]]</f>
        <v>0</v>
      </c>
      <c r="H1620">
        <f>SUMIF(Table25[[#All],[Assets]],Table25[[#This Row],[Assets]],Table25[[#All],[Bought]])</f>
        <v>105</v>
      </c>
      <c r="I1620">
        <f>SUMIF(Table25[[#All],[Assets]],Table25[[#This Row],[Assets]],Table25[[#All],[Bought Amount]])</f>
        <v>1221.25</v>
      </c>
      <c r="J1620" s="88">
        <f>IF(Table25[[#This Row],[Number of stocks]]&lt;0,Table25[[#This Row],[Number of stocks]],0)</f>
        <v>-50</v>
      </c>
      <c r="K1620" s="5">
        <f>Table25[[#This Row],[Sold]]*Table25[[#This Row],[Price]]</f>
        <v>-932</v>
      </c>
      <c r="L1620" s="8">
        <f>ABS(SUMIF(Table25[[#All],[Assets]],Table25[[#This Row],[Assets]],Table25[[#All],[Sold]]))</f>
        <v>105</v>
      </c>
      <c r="M1620" s="5">
        <f>ABS(SUMIF(Table25[[#All],[Assets]],Table25[[#This Row],[Assets]],Table25[[#All],[Sold Amount]]))</f>
        <v>2003.4</v>
      </c>
      <c r="N1620" s="5">
        <f>IFERROR(Table25[[#This Row],[Total sold amount]]/Table25[[#This Row],[Total Sold number of stocks]],"")</f>
        <v>19.080000000000002</v>
      </c>
      <c r="O1620" s="4">
        <f>IFERROR(Table25[[#This Row],[Total Amount bought]]/Table25[[#This Row],[Total number bought]],"")</f>
        <v>11.630952380952381</v>
      </c>
      <c r="P1620" s="4">
        <f>IFERROR((Table25[[#This Row],[Average sell price]]-Table25[[#This Row],[Average buy price]])*Table25[[#This Row],[Total Sold number of stocks]],0)</f>
        <v>782.1500000000002</v>
      </c>
      <c r="Q1620" s="85">
        <f>SUMIF(Table25[[#All],[Assets]],Table25[[#This Row],[Assets]],Table25[[#All],[Number of stocks]])</f>
        <v>0</v>
      </c>
    </row>
    <row r="1621" spans="1:17">
      <c r="A1621" t="e" vm="242">
        <v>#VALUE!</v>
      </c>
      <c r="B1621" s="2">
        <v>45905</v>
      </c>
      <c r="C1621" t="str" cm="1">
        <f t="array" aca="1" ref="C1621" ca="1">_FV(A1621,"Ticker symbol",TRUE)</f>
        <v>RKT</v>
      </c>
      <c r="D1621" s="4">
        <v>20.16</v>
      </c>
      <c r="E1621" s="50">
        <v>45</v>
      </c>
      <c r="F1621" s="81">
        <f>IF(Table25[[#This Row],[Number of stocks]]&gt;0,Table25[[#This Row],[Number of stocks]],0)</f>
        <v>45</v>
      </c>
      <c r="G1621" s="73">
        <f>Table25[[#This Row],[Bought]]*Table25[[#This Row],[Price]]</f>
        <v>907.2</v>
      </c>
      <c r="H1621">
        <f>SUMIF(Table25[[#All],[Assets]],Table25[[#This Row],[Assets]],Table25[[#All],[Bought]])</f>
        <v>116</v>
      </c>
      <c r="I1621">
        <f>SUMIF(Table25[[#All],[Assets]],Table25[[#This Row],[Assets]],Table25[[#All],[Bought Amount]])</f>
        <v>2236.0100000000002</v>
      </c>
      <c r="J1621" s="88">
        <f>IF(Table25[[#This Row],[Number of stocks]]&lt;0,Table25[[#This Row],[Number of stocks]],0)</f>
        <v>0</v>
      </c>
      <c r="K1621" s="5">
        <f>Table25[[#This Row],[Sold]]*Table25[[#This Row],[Price]]</f>
        <v>0</v>
      </c>
      <c r="L1621" s="8">
        <f>ABS(SUMIF(Table25[[#All],[Assets]],Table25[[#This Row],[Assets]],Table25[[#All],[Sold]]))</f>
        <v>116</v>
      </c>
      <c r="M1621" s="5">
        <f>ABS(SUMIF(Table25[[#All],[Assets]],Table25[[#This Row],[Assets]],Table25[[#All],[Sold Amount]]))</f>
        <v>1947.1000000000001</v>
      </c>
      <c r="N1621" s="5">
        <f>IFERROR(Table25[[#This Row],[Total sold amount]]/Table25[[#This Row],[Total Sold number of stocks]],"")</f>
        <v>16.785344827586208</v>
      </c>
      <c r="O1621" s="4">
        <f>IFERROR(Table25[[#This Row],[Total Amount bought]]/Table25[[#This Row],[Total number bought]],"")</f>
        <v>19.275948275862071</v>
      </c>
      <c r="P1621" s="4">
        <f>IFERROR((Table25[[#This Row],[Average sell price]]-Table25[[#This Row],[Average buy price]])*Table25[[#This Row],[Total Sold number of stocks]],0)</f>
        <v>-288.91000000000008</v>
      </c>
      <c r="Q1621" s="85">
        <f>SUMIF(Table25[[#All],[Assets]],Table25[[#This Row],[Assets]],Table25[[#All],[Number of stocks]])</f>
        <v>0</v>
      </c>
    </row>
    <row r="1622" spans="1:17">
      <c r="A1622" t="e" vm="26">
        <v>#VALUE!</v>
      </c>
      <c r="B1622" s="2">
        <v>45905</v>
      </c>
      <c r="C1622" t="str" cm="1">
        <f t="array" aca="1" ref="C1622" ca="1">_FV(A1622,"Ticker symbol",TRUE)</f>
        <v>AEHR</v>
      </c>
      <c r="D1622" s="4">
        <v>25.56</v>
      </c>
      <c r="E1622" s="50">
        <v>-40</v>
      </c>
      <c r="F1622" s="81">
        <f>IF(Table25[[#This Row],[Number of stocks]]&gt;0,Table25[[#This Row],[Number of stocks]],0)</f>
        <v>0</v>
      </c>
      <c r="G1622" s="73">
        <f>Table25[[#This Row],[Bought]]*Table25[[#This Row],[Price]]</f>
        <v>0</v>
      </c>
      <c r="H1622">
        <f>SUMIF(Table25[[#All],[Assets]],Table25[[#This Row],[Assets]],Table25[[#All],[Bought]])</f>
        <v>559</v>
      </c>
      <c r="I1622">
        <f>SUMIF(Table25[[#All],[Assets]],Table25[[#This Row],[Assets]],Table25[[#All],[Bought Amount]])</f>
        <v>7405.6399999999994</v>
      </c>
      <c r="J1622" s="88">
        <f>IF(Table25[[#This Row],[Number of stocks]]&lt;0,Table25[[#This Row],[Number of stocks]],0)</f>
        <v>-40</v>
      </c>
      <c r="K1622" s="5">
        <f>Table25[[#This Row],[Sold]]*Table25[[#This Row],[Price]]</f>
        <v>-1022.4</v>
      </c>
      <c r="L1622" s="8">
        <f>ABS(SUMIF(Table25[[#All],[Assets]],Table25[[#This Row],[Assets]],Table25[[#All],[Sold]]))</f>
        <v>539</v>
      </c>
      <c r="M1622" s="5">
        <f>ABS(SUMIF(Table25[[#All],[Assets]],Table25[[#This Row],[Assets]],Table25[[#All],[Sold Amount]]))</f>
        <v>9662.32</v>
      </c>
      <c r="N1622" s="5">
        <f>IFERROR(Table25[[#This Row],[Total sold amount]]/Table25[[#This Row],[Total Sold number of stocks]],"")</f>
        <v>17.92638218923933</v>
      </c>
      <c r="O1622" s="4">
        <f>IFERROR(Table25[[#This Row],[Total Amount bought]]/Table25[[#This Row],[Total number bought]],"")</f>
        <v>13.248014311270124</v>
      </c>
      <c r="P1622" s="4">
        <f>IFERROR((Table25[[#This Row],[Average sell price]]-Table25[[#This Row],[Average buy price]])*Table25[[#This Row],[Total Sold number of stocks]],0)</f>
        <v>2521.6402862254022</v>
      </c>
      <c r="Q1622" s="85">
        <f>SUMIF(Table25[[#All],[Assets]],Table25[[#This Row],[Assets]],Table25[[#All],[Number of stocks]])</f>
        <v>20</v>
      </c>
    </row>
    <row r="1623" spans="1:17">
      <c r="A1623" t="e" vm="13">
        <v>#VALUE!</v>
      </c>
      <c r="B1623" s="2">
        <v>45905</v>
      </c>
      <c r="C1623" t="str" cm="1">
        <f t="array" aca="1" ref="C1623" ca="1">_FV(A1623,"Ticker symbol",TRUE)</f>
        <v>ON</v>
      </c>
      <c r="D1623" s="4">
        <v>49.11</v>
      </c>
      <c r="E1623" s="50">
        <v>-12</v>
      </c>
      <c r="F1623" s="81">
        <f>IF(Table25[[#This Row],[Number of stocks]]&gt;0,Table25[[#This Row],[Number of stocks]],0)</f>
        <v>0</v>
      </c>
      <c r="G1623" s="73">
        <f>Table25[[#This Row],[Bought]]*Table25[[#This Row],[Price]]</f>
        <v>0</v>
      </c>
      <c r="H1623">
        <f>SUMIF(Table25[[#All],[Assets]],Table25[[#This Row],[Assets]],Table25[[#All],[Bought]])</f>
        <v>326</v>
      </c>
      <c r="I1623">
        <f>SUMIF(Table25[[#All],[Assets]],Table25[[#This Row],[Assets]],Table25[[#All],[Bought Amount]])</f>
        <v>19172.809999999998</v>
      </c>
      <c r="J1623" s="88">
        <f>IF(Table25[[#This Row],[Number of stocks]]&lt;0,Table25[[#This Row],[Number of stocks]],0)</f>
        <v>-12</v>
      </c>
      <c r="K1623" s="5">
        <f>Table25[[#This Row],[Sold]]*Table25[[#This Row],[Price]]</f>
        <v>-589.31999999999994</v>
      </c>
      <c r="L1623" s="8">
        <f>ABS(SUMIF(Table25[[#All],[Assets]],Table25[[#This Row],[Assets]],Table25[[#All],[Sold]]))</f>
        <v>283</v>
      </c>
      <c r="M1623" s="5">
        <f>ABS(SUMIF(Table25[[#All],[Assets]],Table25[[#This Row],[Assets]],Table25[[#All],[Sold Amount]]))</f>
        <v>15700.74</v>
      </c>
      <c r="N1623" s="5">
        <f>IFERROR(Table25[[#This Row],[Total sold amount]]/Table25[[#This Row],[Total Sold number of stocks]],"")</f>
        <v>55.47964664310954</v>
      </c>
      <c r="O1623" s="4">
        <f>IFERROR(Table25[[#This Row],[Total Amount bought]]/Table25[[#This Row],[Total number bought]],"")</f>
        <v>58.812300613496923</v>
      </c>
      <c r="P1623" s="4">
        <f>IFERROR((Table25[[#This Row],[Average sell price]]-Table25[[#This Row],[Average buy price]])*Table25[[#This Row],[Total Sold number of stocks]],0)</f>
        <v>-943.14107361962954</v>
      </c>
      <c r="Q1623" s="85">
        <f>SUMIF(Table25[[#All],[Assets]],Table25[[#This Row],[Assets]],Table25[[#All],[Number of stocks]])</f>
        <v>43</v>
      </c>
    </row>
    <row r="1624" spans="1:17">
      <c r="A1624" t="e" vm="198">
        <v>#VALUE!</v>
      </c>
      <c r="B1624" s="2">
        <v>45905</v>
      </c>
      <c r="C1624" t="str" cm="1">
        <f t="array" aca="1" ref="C1624" ca="1">_FV(A1624,"Ticker symbol",TRUE)</f>
        <v>INDV</v>
      </c>
      <c r="D1624" s="4">
        <v>25.18</v>
      </c>
      <c r="E1624" s="50">
        <v>8</v>
      </c>
      <c r="F1624" s="81">
        <f>IF(Table25[[#This Row],[Number of stocks]]&gt;0,Table25[[#This Row],[Number of stocks]],0)</f>
        <v>8</v>
      </c>
      <c r="G1624" s="73">
        <f>Table25[[#This Row],[Bought]]*Table25[[#This Row],[Price]]</f>
        <v>201.44</v>
      </c>
      <c r="H1624">
        <f>SUMIF(Table25[[#All],[Assets]],Table25[[#This Row],[Assets]],Table25[[#All],[Bought]])</f>
        <v>58</v>
      </c>
      <c r="I1624">
        <f>SUMIF(Table25[[#All],[Assets]],Table25[[#This Row],[Assets]],Table25[[#All],[Bought Amount]])</f>
        <v>1433.8400000000001</v>
      </c>
      <c r="J1624" s="88">
        <f>IF(Table25[[#This Row],[Number of stocks]]&lt;0,Table25[[#This Row],[Number of stocks]],0)</f>
        <v>0</v>
      </c>
      <c r="K1624" s="5">
        <f>Table25[[#This Row],[Sold]]*Table25[[#This Row],[Price]]</f>
        <v>0</v>
      </c>
      <c r="L1624" s="8">
        <f>ABS(SUMIF(Table25[[#All],[Assets]],Table25[[#This Row],[Assets]],Table25[[#All],[Sold]]))</f>
        <v>58</v>
      </c>
      <c r="M1624" s="5">
        <f>ABS(SUMIF(Table25[[#All],[Assets]],Table25[[#This Row],[Assets]],Table25[[#All],[Sold Amount]]))</f>
        <v>2022.2799999999997</v>
      </c>
      <c r="N1624" s="5">
        <f>IFERROR(Table25[[#This Row],[Total sold amount]]/Table25[[#This Row],[Total Sold number of stocks]],"")</f>
        <v>34.866896551724132</v>
      </c>
      <c r="O1624" s="4">
        <f>IFERROR(Table25[[#This Row],[Total Amount bought]]/Table25[[#This Row],[Total number bought]],"")</f>
        <v>24.72137931034483</v>
      </c>
      <c r="P1624" s="4">
        <f>IFERROR((Table25[[#This Row],[Average sell price]]-Table25[[#This Row],[Average buy price]])*Table25[[#This Row],[Total Sold number of stocks]],0)</f>
        <v>588.43999999999949</v>
      </c>
      <c r="Q1624" s="85">
        <f>SUMIF(Table25[[#All],[Assets]],Table25[[#This Row],[Assets]],Table25[[#All],[Number of stocks]])</f>
        <v>0</v>
      </c>
    </row>
    <row r="1625" spans="1:17">
      <c r="A1625" t="e" vm="54">
        <v>#VALUE!</v>
      </c>
      <c r="B1625" s="2">
        <v>45925</v>
      </c>
      <c r="C1625" t="str" cm="1">
        <f t="array" aca="1" ref="C1625" ca="1">_FV(A1625,"Ticker symbol",TRUE)</f>
        <v>AR</v>
      </c>
      <c r="D1625" s="4">
        <v>34.409999999999997</v>
      </c>
      <c r="E1625" s="50">
        <v>30</v>
      </c>
      <c r="F1625" s="81">
        <f>IF(Table25[[#This Row],[Number of stocks]]&gt;0,Table25[[#This Row],[Number of stocks]],0)</f>
        <v>30</v>
      </c>
      <c r="G1625" s="73">
        <f>Table25[[#This Row],[Bought]]*Table25[[#This Row],[Price]]</f>
        <v>1032.3</v>
      </c>
      <c r="H1625">
        <f>SUMIF(Table25[[#All],[Assets]],Table25[[#This Row],[Assets]],Table25[[#All],[Bought]])</f>
        <v>210</v>
      </c>
      <c r="I1625">
        <f>SUMIF(Table25[[#All],[Assets]],Table25[[#This Row],[Assets]],Table25[[#All],[Bought Amount]])</f>
        <v>6833.5000000000009</v>
      </c>
      <c r="J1625" s="88">
        <f>IF(Table25[[#This Row],[Number of stocks]]&lt;0,Table25[[#This Row],[Number of stocks]],0)</f>
        <v>0</v>
      </c>
      <c r="K1625" s="5">
        <f>Table25[[#This Row],[Sold]]*Table25[[#This Row],[Price]]</f>
        <v>0</v>
      </c>
      <c r="L1625" s="8">
        <f>ABS(SUMIF(Table25[[#All],[Assets]],Table25[[#This Row],[Assets]],Table25[[#All],[Sold]]))</f>
        <v>180</v>
      </c>
      <c r="M1625" s="5">
        <f>ABS(SUMIF(Table25[[#All],[Assets]],Table25[[#This Row],[Assets]],Table25[[#All],[Sold Amount]]))</f>
        <v>6156.15</v>
      </c>
      <c r="N1625" s="5">
        <f>IFERROR(Table25[[#This Row],[Total sold amount]]/Table25[[#This Row],[Total Sold number of stocks]],"")</f>
        <v>34.200833333333328</v>
      </c>
      <c r="O1625" s="4">
        <f>IFERROR(Table25[[#This Row],[Total Amount bought]]/Table25[[#This Row],[Total number bought]],"")</f>
        <v>32.540476190476198</v>
      </c>
      <c r="P1625" s="4">
        <f>IFERROR((Table25[[#This Row],[Average sell price]]-Table25[[#This Row],[Average buy price]])*Table25[[#This Row],[Total Sold number of stocks]],0)</f>
        <v>298.86428571428337</v>
      </c>
      <c r="Q1625" s="85">
        <f>SUMIF(Table25[[#All],[Assets]],Table25[[#This Row],[Assets]],Table25[[#All],[Number of stocks]])</f>
        <v>30</v>
      </c>
    </row>
    <row r="1626" spans="1:17">
      <c r="A1626" t="e" vm="199">
        <v>#VALUE!</v>
      </c>
      <c r="B1626" s="2">
        <v>45929</v>
      </c>
      <c r="C1626" t="str" cm="1">
        <f t="array" aca="1" ref="C1626" ca="1">_FV(A1626,"Ticker symbol",TRUE)</f>
        <v>HROW</v>
      </c>
      <c r="D1626" s="4">
        <v>48.02</v>
      </c>
      <c r="E1626" s="50">
        <v>-9</v>
      </c>
      <c r="F1626" s="81">
        <f>IF(Table25[[#This Row],[Number of stocks]]&gt;0,Table25[[#This Row],[Number of stocks]],0)</f>
        <v>0</v>
      </c>
      <c r="G1626" s="73">
        <f>Table25[[#This Row],[Bought]]*Table25[[#This Row],[Price]]</f>
        <v>0</v>
      </c>
      <c r="H1626">
        <f>SUMIF(Table25[[#All],[Assets]],Table25[[#This Row],[Assets]],Table25[[#All],[Bought]])</f>
        <v>55</v>
      </c>
      <c r="I1626">
        <f>SUMIF(Table25[[#All],[Assets]],Table25[[#This Row],[Assets]],Table25[[#All],[Bought Amount]])</f>
        <v>2004.09</v>
      </c>
      <c r="J1626" s="88">
        <f>IF(Table25[[#This Row],[Number of stocks]]&lt;0,Table25[[#This Row],[Number of stocks]],0)</f>
        <v>-9</v>
      </c>
      <c r="K1626" s="5">
        <f>Table25[[#This Row],[Sold]]*Table25[[#This Row],[Price]]</f>
        <v>-432.18</v>
      </c>
      <c r="L1626" s="8">
        <f>ABS(SUMIF(Table25[[#All],[Assets]],Table25[[#This Row],[Assets]],Table25[[#All],[Sold]]))</f>
        <v>55</v>
      </c>
      <c r="M1626" s="5">
        <f>ABS(SUMIF(Table25[[#All],[Assets]],Table25[[#This Row],[Assets]],Table25[[#All],[Sold Amount]]))</f>
        <v>2792.46</v>
      </c>
      <c r="N1626" s="5">
        <f>IFERROR(Table25[[#This Row],[Total sold amount]]/Table25[[#This Row],[Total Sold number of stocks]],"")</f>
        <v>50.771999999999998</v>
      </c>
      <c r="O1626" s="4">
        <f>IFERROR(Table25[[#This Row],[Total Amount bought]]/Table25[[#This Row],[Total number bought]],"")</f>
        <v>36.437999999999995</v>
      </c>
      <c r="P1626" s="4">
        <f>IFERROR((Table25[[#This Row],[Average sell price]]-Table25[[#This Row],[Average buy price]])*Table25[[#This Row],[Total Sold number of stocks]],0)</f>
        <v>788.37000000000012</v>
      </c>
      <c r="Q1626" s="85">
        <f>SUMIF(Table25[[#All],[Assets]],Table25[[#This Row],[Assets]],Table25[[#All],[Number of stocks]])</f>
        <v>0</v>
      </c>
    </row>
    <row r="1627" spans="1:17">
      <c r="A1627" t="e" vm="236">
        <v>#VALUE!</v>
      </c>
      <c r="B1627" s="2">
        <v>45929</v>
      </c>
      <c r="C1627" t="str" cm="1">
        <f t="array" aca="1" ref="C1627" ca="1">_FV(A1627,"Ticker symbol",TRUE)</f>
        <v>ESTC</v>
      </c>
      <c r="D1627" s="4">
        <v>87.04</v>
      </c>
      <c r="E1627" s="50">
        <v>-9</v>
      </c>
      <c r="F1627" s="81">
        <f>IF(Table25[[#This Row],[Number of stocks]]&gt;0,Table25[[#This Row],[Number of stocks]],0)</f>
        <v>0</v>
      </c>
      <c r="G1627" s="73">
        <f>Table25[[#This Row],[Bought]]*Table25[[#This Row],[Price]]</f>
        <v>0</v>
      </c>
      <c r="H1627">
        <f>SUMIF(Table25[[#All],[Assets]],Table25[[#This Row],[Assets]],Table25[[#All],[Bought]])</f>
        <v>27</v>
      </c>
      <c r="I1627">
        <f>SUMIF(Table25[[#All],[Assets]],Table25[[#This Row],[Assets]],Table25[[#All],[Bought Amount]])</f>
        <v>2776.75</v>
      </c>
      <c r="J1627" s="88">
        <f>IF(Table25[[#This Row],[Number of stocks]]&lt;0,Table25[[#This Row],[Number of stocks]],0)</f>
        <v>-9</v>
      </c>
      <c r="K1627" s="5">
        <f>Table25[[#This Row],[Sold]]*Table25[[#This Row],[Price]]</f>
        <v>-783.36</v>
      </c>
      <c r="L1627" s="8">
        <f>ABS(SUMIF(Table25[[#All],[Assets]],Table25[[#This Row],[Assets]],Table25[[#All],[Sold]]))</f>
        <v>27</v>
      </c>
      <c r="M1627" s="5">
        <f>ABS(SUMIF(Table25[[#All],[Assets]],Table25[[#This Row],[Assets]],Table25[[#All],[Sold Amount]]))</f>
        <v>2320.58</v>
      </c>
      <c r="N1627" s="5">
        <f>IFERROR(Table25[[#This Row],[Total sold amount]]/Table25[[#This Row],[Total Sold number of stocks]],"")</f>
        <v>85.947407407407411</v>
      </c>
      <c r="O1627" s="4">
        <f>IFERROR(Table25[[#This Row],[Total Amount bought]]/Table25[[#This Row],[Total number bought]],"")</f>
        <v>102.8425925925926</v>
      </c>
      <c r="P1627" s="4">
        <f>IFERROR((Table25[[#This Row],[Average sell price]]-Table25[[#This Row],[Average buy price]])*Table25[[#This Row],[Total Sold number of stocks]],0)</f>
        <v>-456.16999999999996</v>
      </c>
      <c r="Q1627" s="85">
        <f>SUMIF(Table25[[#All],[Assets]],Table25[[#This Row],[Assets]],Table25[[#All],[Number of stocks]])</f>
        <v>0</v>
      </c>
    </row>
    <row r="1628" spans="1:17">
      <c r="A1628" t="e" vm="32">
        <v>#VALUE!</v>
      </c>
      <c r="B1628" s="2">
        <v>45929</v>
      </c>
      <c r="C1628" t="str" cm="1">
        <f t="array" aca="1" ref="C1628" ca="1">_FV(A1628,"Ticker symbol",TRUE)</f>
        <v>MU</v>
      </c>
      <c r="D1628" s="4">
        <v>163.18</v>
      </c>
      <c r="E1628" s="50">
        <v>4</v>
      </c>
      <c r="F1628" s="81">
        <f>IF(Table25[[#This Row],[Number of stocks]]&gt;0,Table25[[#This Row],[Number of stocks]],0)</f>
        <v>4</v>
      </c>
      <c r="G1628" s="73">
        <f>Table25[[#This Row],[Bought]]*Table25[[#This Row],[Price]]</f>
        <v>652.72</v>
      </c>
      <c r="H1628">
        <f>SUMIF(Table25[[#All],[Assets]],Table25[[#This Row],[Assets]],Table25[[#All],[Bought]])</f>
        <v>59</v>
      </c>
      <c r="I1628">
        <f>SUMIF(Table25[[#All],[Assets]],Table25[[#This Row],[Assets]],Table25[[#All],[Bought Amount]])</f>
        <v>6964.04</v>
      </c>
      <c r="J1628" s="88">
        <f>IF(Table25[[#This Row],[Number of stocks]]&lt;0,Table25[[#This Row],[Number of stocks]],0)</f>
        <v>0</v>
      </c>
      <c r="K1628" s="5">
        <f>Table25[[#This Row],[Sold]]*Table25[[#This Row],[Price]]</f>
        <v>0</v>
      </c>
      <c r="L1628" s="8">
        <f>ABS(SUMIF(Table25[[#All],[Assets]],Table25[[#This Row],[Assets]],Table25[[#All],[Sold]]))</f>
        <v>58</v>
      </c>
      <c r="M1628" s="5">
        <f>ABS(SUMIF(Table25[[#All],[Assets]],Table25[[#This Row],[Assets]],Table25[[#All],[Sold Amount]]))</f>
        <v>6974.51</v>
      </c>
      <c r="N1628" s="5">
        <f>IFERROR(Table25[[#This Row],[Total sold amount]]/Table25[[#This Row],[Total Sold number of stocks]],"")</f>
        <v>120.25017241379311</v>
      </c>
      <c r="O1628" s="4">
        <f>IFERROR(Table25[[#This Row],[Total Amount bought]]/Table25[[#This Row],[Total number bought]],"")</f>
        <v>118.03457627118644</v>
      </c>
      <c r="P1628" s="4">
        <f>IFERROR((Table25[[#This Row],[Average sell price]]-Table25[[#This Row],[Average buy price]])*Table25[[#This Row],[Total Sold number of stocks]],0)</f>
        <v>128.50457627118692</v>
      </c>
      <c r="Q1628" s="85">
        <f>SUMIF(Table25[[#All],[Assets]],Table25[[#This Row],[Assets]],Table25[[#All],[Number of stocks]])</f>
        <v>1</v>
      </c>
    </row>
    <row r="1629" spans="1:17">
      <c r="A1629" t="e" vm="30">
        <v>#VALUE!</v>
      </c>
      <c r="B1629" s="2">
        <v>45938</v>
      </c>
      <c r="C1629" t="str" cm="1">
        <f t="array" aca="1" ref="C1629" ca="1">_FV(A1629,"Ticker symbol",TRUE)</f>
        <v>NBIS</v>
      </c>
      <c r="D1629" s="4">
        <v>120.22</v>
      </c>
      <c r="E1629" s="50">
        <v>-10</v>
      </c>
      <c r="F1629" s="81">
        <f>IF(Table25[[#This Row],[Number of stocks]]&gt;0,Table25[[#This Row],[Number of stocks]],0)</f>
        <v>0</v>
      </c>
      <c r="G1629" s="73">
        <f>Table25[[#This Row],[Bought]]*Table25[[#This Row],[Price]]</f>
        <v>0</v>
      </c>
      <c r="H1629">
        <f>SUMIF(Table25[[#All],[Assets]],Table25[[#This Row],[Assets]],Table25[[#All],[Bought]])</f>
        <v>70</v>
      </c>
      <c r="I1629">
        <f>SUMIF(Table25[[#All],[Assets]],Table25[[#This Row],[Assets]],Table25[[#All],[Bought Amount]])</f>
        <v>2691.1</v>
      </c>
      <c r="J1629" s="88">
        <f>IF(Table25[[#This Row],[Number of stocks]]&lt;0,Table25[[#This Row],[Number of stocks]],0)</f>
        <v>-10</v>
      </c>
      <c r="K1629" s="5">
        <f>Table25[[#This Row],[Sold]]*Table25[[#This Row],[Price]]</f>
        <v>-1202.2</v>
      </c>
      <c r="L1629" s="8">
        <f>ABS(SUMIF(Table25[[#All],[Assets]],Table25[[#This Row],[Assets]],Table25[[#All],[Sold]]))</f>
        <v>30</v>
      </c>
      <c r="M1629" s="5">
        <f>ABS(SUMIF(Table25[[#All],[Assets]],Table25[[#This Row],[Assets]],Table25[[#All],[Sold Amount]]))</f>
        <v>3282.8</v>
      </c>
      <c r="N1629" s="5">
        <f>IFERROR(Table25[[#This Row],[Total sold amount]]/Table25[[#This Row],[Total Sold number of stocks]],"")</f>
        <v>109.42666666666668</v>
      </c>
      <c r="O1629" s="4">
        <f>IFERROR(Table25[[#This Row],[Total Amount bought]]/Table25[[#This Row],[Total number bought]],"")</f>
        <v>38.444285714285712</v>
      </c>
      <c r="P1629" s="4">
        <f>IFERROR((Table25[[#This Row],[Average sell price]]-Table25[[#This Row],[Average buy price]])*Table25[[#This Row],[Total Sold number of stocks]],0)</f>
        <v>2129.471428571429</v>
      </c>
      <c r="Q1629" s="85">
        <f>SUMIF(Table25[[#All],[Assets]],Table25[[#This Row],[Assets]],Table25[[#All],[Number of stocks]])</f>
        <v>40</v>
      </c>
    </row>
    <row r="1630" spans="1:17">
      <c r="A1630" t="e" vm="172">
        <v>#VALUE!</v>
      </c>
      <c r="B1630" s="2">
        <v>45938</v>
      </c>
      <c r="C1630" t="str" cm="1">
        <f t="array" aca="1" ref="C1630" ca="1">_FV(A1630,"Ticker symbol",TRUE)</f>
        <v>WOLF</v>
      </c>
      <c r="D1630" s="4">
        <v>29.45</v>
      </c>
      <c r="E1630" s="50">
        <v>40</v>
      </c>
      <c r="F1630" s="81">
        <f>IF(Table25[[#This Row],[Number of stocks]]&gt;0,Table25[[#This Row],[Number of stocks]],0)</f>
        <v>40</v>
      </c>
      <c r="G1630" s="73">
        <f>Table25[[#This Row],[Bought]]*Table25[[#This Row],[Price]]</f>
        <v>1178</v>
      </c>
      <c r="H1630">
        <f>SUMIF(Table25[[#All],[Assets]],Table25[[#This Row],[Assets]],Table25[[#All],[Bought]])</f>
        <v>900</v>
      </c>
      <c r="I1630">
        <f>SUMIF(Table25[[#All],[Assets]],Table25[[#This Row],[Assets]],Table25[[#All],[Bought Amount]])</f>
        <v>3579</v>
      </c>
      <c r="J1630" s="88">
        <f>IF(Table25[[#This Row],[Number of stocks]]&lt;0,Table25[[#This Row],[Number of stocks]],0)</f>
        <v>0</v>
      </c>
      <c r="K1630" s="5">
        <f>Table25[[#This Row],[Sold]]*Table25[[#This Row],[Price]]</f>
        <v>0</v>
      </c>
      <c r="L1630" s="8">
        <f>ABS(SUMIF(Table25[[#All],[Assets]],Table25[[#This Row],[Assets]],Table25[[#All],[Sold]]))</f>
        <v>900</v>
      </c>
      <c r="M1630" s="5">
        <f>ABS(SUMIF(Table25[[#All],[Assets]],Table25[[#This Row],[Assets]],Table25[[#All],[Sold Amount]]))</f>
        <v>3724.3</v>
      </c>
      <c r="N1630" s="5">
        <f>IFERROR(Table25[[#This Row],[Total sold amount]]/Table25[[#This Row],[Total Sold number of stocks]],"")</f>
        <v>4.1381111111111117</v>
      </c>
      <c r="O1630" s="4">
        <f>IFERROR(Table25[[#This Row],[Total Amount bought]]/Table25[[#This Row],[Total number bought]],"")</f>
        <v>3.9766666666666666</v>
      </c>
      <c r="P1630" s="4">
        <f>IFERROR((Table25[[#This Row],[Average sell price]]-Table25[[#This Row],[Average buy price]])*Table25[[#This Row],[Total Sold number of stocks]],0)</f>
        <v>145.30000000000064</v>
      </c>
      <c r="Q1630" s="85">
        <f>SUMIF(Table25[[#All],[Assets]],Table25[[#This Row],[Assets]],Table25[[#All],[Number of stocks]])</f>
        <v>0</v>
      </c>
    </row>
    <row r="1631" spans="1:17">
      <c r="A1631" t="e" vm="187">
        <v>#VALUE!</v>
      </c>
      <c r="B1631" s="2">
        <v>45938</v>
      </c>
      <c r="C1631" t="str" cm="1">
        <f t="array" aca="1" ref="C1631" ca="1">_FV(A1631,"Ticker symbol",TRUE)</f>
        <v>ZETA</v>
      </c>
      <c r="D1631" s="4">
        <v>19.91</v>
      </c>
      <c r="E1631" s="50">
        <v>-57</v>
      </c>
      <c r="F1631" s="81">
        <f>IF(Table25[[#This Row],[Number of stocks]]&gt;0,Table25[[#This Row],[Number of stocks]],0)</f>
        <v>0</v>
      </c>
      <c r="G1631" s="73">
        <f>Table25[[#This Row],[Bought]]*Table25[[#This Row],[Price]]</f>
        <v>0</v>
      </c>
      <c r="H1631">
        <f>SUMIF(Table25[[#All],[Assets]],Table25[[#This Row],[Assets]],Table25[[#All],[Bought]])</f>
        <v>214</v>
      </c>
      <c r="I1631">
        <f>SUMIF(Table25[[#All],[Assets]],Table25[[#This Row],[Assets]],Table25[[#All],[Bought Amount]])</f>
        <v>4123.5200000000004</v>
      </c>
      <c r="J1631" s="88">
        <f>IF(Table25[[#This Row],[Number of stocks]]&lt;0,Table25[[#This Row],[Number of stocks]],0)</f>
        <v>-57</v>
      </c>
      <c r="K1631" s="5">
        <f>Table25[[#This Row],[Sold]]*Table25[[#This Row],[Price]]</f>
        <v>-1134.8700000000001</v>
      </c>
      <c r="L1631" s="8">
        <f>ABS(SUMIF(Table25[[#All],[Assets]],Table25[[#This Row],[Assets]],Table25[[#All],[Sold]]))</f>
        <v>214</v>
      </c>
      <c r="M1631" s="5">
        <f>ABS(SUMIF(Table25[[#All],[Assets]],Table25[[#This Row],[Assets]],Table25[[#All],[Sold Amount]]))</f>
        <v>4425.6400000000003</v>
      </c>
      <c r="N1631" s="5">
        <f>IFERROR(Table25[[#This Row],[Total sold amount]]/Table25[[#This Row],[Total Sold number of stocks]],"")</f>
        <v>20.680560747663552</v>
      </c>
      <c r="O1631" s="4">
        <f>IFERROR(Table25[[#This Row],[Total Amount bought]]/Table25[[#This Row],[Total number bought]],"")</f>
        <v>19.268785046728976</v>
      </c>
      <c r="P1631" s="4">
        <f>IFERROR((Table25[[#This Row],[Average sell price]]-Table25[[#This Row],[Average buy price]])*Table25[[#This Row],[Total Sold number of stocks]],0)</f>
        <v>302.11999999999938</v>
      </c>
      <c r="Q1631" s="85">
        <f>SUMIF(Table25[[#All],[Assets]],Table25[[#This Row],[Assets]],Table25[[#All],[Number of stocks]])</f>
        <v>0</v>
      </c>
    </row>
    <row r="1632" spans="1:17">
      <c r="A1632" t="e" vm="342">
        <v>#VALUE!</v>
      </c>
      <c r="B1632" s="2">
        <v>45938</v>
      </c>
      <c r="C1632" t="str" cm="1">
        <f t="array" aca="1" ref="C1632" ca="1">_FV(A1632,"Ticker symbol",TRUE)</f>
        <v>VKTX</v>
      </c>
      <c r="D1632" s="4">
        <v>33.58</v>
      </c>
      <c r="E1632" s="50">
        <v>30</v>
      </c>
      <c r="F1632" s="81">
        <f>IF(Table25[[#This Row],[Number of stocks]]&gt;0,Table25[[#This Row],[Number of stocks]],0)</f>
        <v>30</v>
      </c>
      <c r="G1632" s="73">
        <f>Table25[[#This Row],[Bought]]*Table25[[#This Row],[Price]]</f>
        <v>1007.4</v>
      </c>
      <c r="H1632">
        <f>SUMIF(Table25[[#All],[Assets]],Table25[[#This Row],[Assets]],Table25[[#All],[Bought]])</f>
        <v>37</v>
      </c>
      <c r="I1632">
        <f>SUMIF(Table25[[#All],[Assets]],Table25[[#This Row],[Assets]],Table25[[#All],[Bought Amount]])</f>
        <v>1461.42</v>
      </c>
      <c r="J1632" s="88">
        <f>IF(Table25[[#This Row],[Number of stocks]]&lt;0,Table25[[#This Row],[Number of stocks]],0)</f>
        <v>0</v>
      </c>
      <c r="K1632" s="5">
        <f>Table25[[#This Row],[Sold]]*Table25[[#This Row],[Price]]</f>
        <v>0</v>
      </c>
      <c r="L1632" s="8">
        <f>ABS(SUMIF(Table25[[#All],[Assets]],Table25[[#This Row],[Assets]],Table25[[#All],[Sold]]))</f>
        <v>37</v>
      </c>
      <c r="M1632" s="5">
        <f>ABS(SUMIF(Table25[[#All],[Assets]],Table25[[#This Row],[Assets]],Table25[[#All],[Sold Amount]]))</f>
        <v>1546.19</v>
      </c>
      <c r="N1632" s="5">
        <f>IFERROR(Table25[[#This Row],[Total sold amount]]/Table25[[#This Row],[Total Sold number of stocks]],"")</f>
        <v>41.788918918918924</v>
      </c>
      <c r="O1632" s="4">
        <f>IFERROR(Table25[[#This Row],[Total Amount bought]]/Table25[[#This Row],[Total number bought]],"")</f>
        <v>39.497837837837842</v>
      </c>
      <c r="P1632" s="4">
        <f>IFERROR((Table25[[#This Row],[Average sell price]]-Table25[[#This Row],[Average buy price]])*Table25[[#This Row],[Total Sold number of stocks]],0)</f>
        <v>84.77000000000001</v>
      </c>
      <c r="Q1632" s="85">
        <f>SUMIF(Table25[[#All],[Assets]],Table25[[#This Row],[Assets]],Table25[[#All],[Number of stocks]])</f>
        <v>0</v>
      </c>
    </row>
    <row r="1633" spans="1:17">
      <c r="A1633" t="e" vm="159">
        <v>#VALUE!</v>
      </c>
      <c r="B1633" s="2">
        <v>45908</v>
      </c>
      <c r="C1633" t="str" cm="1">
        <f t="array" aca="1" ref="C1633" ca="1">_FV(A1633,"Ticker symbol",TRUE)</f>
        <v>BABA</v>
      </c>
      <c r="D1633" s="4">
        <v>139.82</v>
      </c>
      <c r="E1633" s="50">
        <v>12</v>
      </c>
      <c r="F1633" s="81">
        <f>IF(Table25[[#This Row],[Number of stocks]]&gt;0,Table25[[#This Row],[Number of stocks]],0)</f>
        <v>12</v>
      </c>
      <c r="G1633" s="73">
        <f>Table25[[#This Row],[Bought]]*Table25[[#This Row],[Price]]</f>
        <v>1677.84</v>
      </c>
      <c r="H1633">
        <f>SUMIF(Table25[[#All],[Assets]],Table25[[#This Row],[Assets]],Table25[[#All],[Bought]])</f>
        <v>128</v>
      </c>
      <c r="I1633">
        <f>SUMIF(Table25[[#All],[Assets]],Table25[[#This Row],[Assets]],Table25[[#All],[Bought Amount]])</f>
        <v>12533.52</v>
      </c>
      <c r="J1633" s="88">
        <f>IF(Table25[[#This Row],[Number of stocks]]&lt;0,Table25[[#This Row],[Number of stocks]],0)</f>
        <v>0</v>
      </c>
      <c r="K1633" s="5">
        <f>Table25[[#This Row],[Sold]]*Table25[[#This Row],[Price]]</f>
        <v>0</v>
      </c>
      <c r="L1633" s="8">
        <f>ABS(SUMIF(Table25[[#All],[Assets]],Table25[[#This Row],[Assets]],Table25[[#All],[Sold]]))</f>
        <v>128</v>
      </c>
      <c r="M1633" s="5">
        <f>ABS(SUMIF(Table25[[#All],[Assets]],Table25[[#This Row],[Assets]],Table25[[#All],[Sold Amount]]))</f>
        <v>17148.419999999998</v>
      </c>
      <c r="N1633" s="5">
        <f>IFERROR(Table25[[#This Row],[Total sold amount]]/Table25[[#This Row],[Total Sold number of stocks]],"")</f>
        <v>133.97203124999999</v>
      </c>
      <c r="O1633" s="4">
        <f>IFERROR(Table25[[#This Row],[Total Amount bought]]/Table25[[#This Row],[Total number bought]],"")</f>
        <v>97.918125000000003</v>
      </c>
      <c r="P1633" s="4">
        <f>IFERROR((Table25[[#This Row],[Average sell price]]-Table25[[#This Row],[Average buy price]])*Table25[[#This Row],[Total Sold number of stocks]],0)</f>
        <v>4614.8999999999978</v>
      </c>
      <c r="Q1633" s="85">
        <f>SUMIF(Table25[[#All],[Assets]],Table25[[#This Row],[Assets]],Table25[[#All],[Number of stocks]])</f>
        <v>0</v>
      </c>
    </row>
    <row r="1634" spans="1:17">
      <c r="A1634" t="e" vm="217">
        <v>#VALUE!</v>
      </c>
      <c r="B1634" s="2">
        <v>45909</v>
      </c>
      <c r="C1634" t="str" cm="1">
        <f t="array" aca="1" ref="C1634" ca="1">_FV(A1634,"Ticker symbol",TRUE)</f>
        <v>ALNT</v>
      </c>
      <c r="D1634" s="4">
        <v>45.37</v>
      </c>
      <c r="E1634" s="50">
        <v>-6</v>
      </c>
      <c r="F1634" s="81">
        <f>IF(Table25[[#This Row],[Number of stocks]]&gt;0,Table25[[#This Row],[Number of stocks]],0)</f>
        <v>0</v>
      </c>
      <c r="G1634" s="73">
        <f>Table25[[#This Row],[Bought]]*Table25[[#This Row],[Price]]</f>
        <v>0</v>
      </c>
      <c r="H1634">
        <f>SUMIF(Table25[[#All],[Assets]],Table25[[#This Row],[Assets]],Table25[[#All],[Bought]])</f>
        <v>11</v>
      </c>
      <c r="I1634">
        <f>SUMIF(Table25[[#All],[Assets]],Table25[[#This Row],[Assets]],Table25[[#All],[Bought Amount]])</f>
        <v>439.12</v>
      </c>
      <c r="J1634" s="88">
        <f>IF(Table25[[#This Row],[Number of stocks]]&lt;0,Table25[[#This Row],[Number of stocks]],0)</f>
        <v>-6</v>
      </c>
      <c r="K1634" s="5">
        <f>Table25[[#This Row],[Sold]]*Table25[[#This Row],[Price]]</f>
        <v>-272.21999999999997</v>
      </c>
      <c r="L1634" s="8">
        <f>ABS(SUMIF(Table25[[#All],[Assets]],Table25[[#This Row],[Assets]],Table25[[#All],[Sold]]))</f>
        <v>6</v>
      </c>
      <c r="M1634" s="5">
        <f>ABS(SUMIF(Table25[[#All],[Assets]],Table25[[#This Row],[Assets]],Table25[[#All],[Sold Amount]]))</f>
        <v>272.21999999999997</v>
      </c>
      <c r="N1634" s="5">
        <f>IFERROR(Table25[[#This Row],[Total sold amount]]/Table25[[#This Row],[Total Sold number of stocks]],"")</f>
        <v>45.37</v>
      </c>
      <c r="O1634" s="4">
        <f>IFERROR(Table25[[#This Row],[Total Amount bought]]/Table25[[#This Row],[Total number bought]],"")</f>
        <v>39.92</v>
      </c>
      <c r="P1634" s="4">
        <f>IFERROR((Table25[[#This Row],[Average sell price]]-Table25[[#This Row],[Average buy price]])*Table25[[#This Row],[Total Sold number of stocks]],0)</f>
        <v>32.699999999999974</v>
      </c>
      <c r="Q1634" s="85">
        <f>SUMIF(Table25[[#All],[Assets]],Table25[[#This Row],[Assets]],Table25[[#All],[Number of stocks]])</f>
        <v>5</v>
      </c>
    </row>
    <row r="1635" spans="1:17">
      <c r="A1635" t="e" vm="214">
        <v>#VALUE!</v>
      </c>
      <c r="B1635" s="2">
        <v>45909</v>
      </c>
      <c r="C1635" t="str" cm="1">
        <f t="array" aca="1" ref="C1635" ca="1">_FV(A1635,"Ticker symbol",TRUE)</f>
        <v>CGNX</v>
      </c>
      <c r="D1635" s="4">
        <v>44.49</v>
      </c>
      <c r="E1635" s="50">
        <v>-10</v>
      </c>
      <c r="F1635" s="81">
        <f>IF(Table25[[#This Row],[Number of stocks]]&gt;0,Table25[[#This Row],[Number of stocks]],0)</f>
        <v>0</v>
      </c>
      <c r="G1635" s="73">
        <f>Table25[[#This Row],[Bought]]*Table25[[#This Row],[Price]]</f>
        <v>0</v>
      </c>
      <c r="H1635">
        <f>SUMIF(Table25[[#All],[Assets]],Table25[[#This Row],[Assets]],Table25[[#All],[Bought]])</f>
        <v>20</v>
      </c>
      <c r="I1635">
        <f>SUMIF(Table25[[#All],[Assets]],Table25[[#This Row],[Assets]],Table25[[#All],[Bought Amount]])</f>
        <v>865.19999999999993</v>
      </c>
      <c r="J1635" s="88">
        <f>IF(Table25[[#This Row],[Number of stocks]]&lt;0,Table25[[#This Row],[Number of stocks]],0)</f>
        <v>-10</v>
      </c>
      <c r="K1635" s="5">
        <f>Table25[[#This Row],[Sold]]*Table25[[#This Row],[Price]]</f>
        <v>-444.90000000000003</v>
      </c>
      <c r="L1635" s="8">
        <f>ABS(SUMIF(Table25[[#All],[Assets]],Table25[[#This Row],[Assets]],Table25[[#All],[Sold]]))</f>
        <v>20</v>
      </c>
      <c r="M1635" s="5">
        <f>ABS(SUMIF(Table25[[#All],[Assets]],Table25[[#This Row],[Assets]],Table25[[#All],[Sold Amount]]))</f>
        <v>852</v>
      </c>
      <c r="N1635" s="5">
        <f>IFERROR(Table25[[#This Row],[Total sold amount]]/Table25[[#This Row],[Total Sold number of stocks]],"")</f>
        <v>42.6</v>
      </c>
      <c r="O1635" s="4">
        <f>IFERROR(Table25[[#This Row],[Total Amount bought]]/Table25[[#This Row],[Total number bought]],"")</f>
        <v>43.26</v>
      </c>
      <c r="P1635" s="4">
        <f>IFERROR((Table25[[#This Row],[Average sell price]]-Table25[[#This Row],[Average buy price]])*Table25[[#This Row],[Total Sold number of stocks]],0)</f>
        <v>-13.199999999999932</v>
      </c>
      <c r="Q1635" s="85">
        <f>SUMIF(Table25[[#All],[Assets]],Table25[[#This Row],[Assets]],Table25[[#All],[Number of stocks]])</f>
        <v>0</v>
      </c>
    </row>
    <row r="1636" spans="1:17">
      <c r="A1636" t="e" vm="228">
        <v>#VALUE!</v>
      </c>
      <c r="B1636" s="2">
        <v>45909</v>
      </c>
      <c r="C1636" t="str" cm="1">
        <f t="array" aca="1" ref="C1636" ca="1">_FV(A1636,"Ticker symbol",TRUE)</f>
        <v>BILL</v>
      </c>
      <c r="D1636" s="4">
        <v>50.79</v>
      </c>
      <c r="E1636" s="50">
        <v>-14</v>
      </c>
      <c r="F1636" s="81">
        <f>IF(Table25[[#This Row],[Number of stocks]]&gt;0,Table25[[#This Row],[Number of stocks]],0)</f>
        <v>0</v>
      </c>
      <c r="G1636" s="73">
        <f>Table25[[#This Row],[Bought]]*Table25[[#This Row],[Price]]</f>
        <v>0</v>
      </c>
      <c r="H1636">
        <f>SUMIF(Table25[[#All],[Assets]],Table25[[#This Row],[Assets]],Table25[[#All],[Bought]])</f>
        <v>101</v>
      </c>
      <c r="I1636">
        <f>SUMIF(Table25[[#All],[Assets]],Table25[[#This Row],[Assets]],Table25[[#All],[Bought Amount]])</f>
        <v>5292.3600000000006</v>
      </c>
      <c r="J1636" s="88">
        <f>IF(Table25[[#This Row],[Number of stocks]]&lt;0,Table25[[#This Row],[Number of stocks]],0)</f>
        <v>-14</v>
      </c>
      <c r="K1636" s="5">
        <f>Table25[[#This Row],[Sold]]*Table25[[#This Row],[Price]]</f>
        <v>-711.06</v>
      </c>
      <c r="L1636" s="8">
        <f>ABS(SUMIF(Table25[[#All],[Assets]],Table25[[#This Row],[Assets]],Table25[[#All],[Sold]]))</f>
        <v>101</v>
      </c>
      <c r="M1636" s="5">
        <f>ABS(SUMIF(Table25[[#All],[Assets]],Table25[[#This Row],[Assets]],Table25[[#All],[Sold Amount]]))</f>
        <v>5973.49</v>
      </c>
      <c r="N1636" s="5">
        <f>IFERROR(Table25[[#This Row],[Total sold amount]]/Table25[[#This Row],[Total Sold number of stocks]],"")</f>
        <v>59.143465346534654</v>
      </c>
      <c r="O1636" s="4">
        <f>IFERROR(Table25[[#This Row],[Total Amount bought]]/Table25[[#This Row],[Total number bought]],"")</f>
        <v>52.399603960396043</v>
      </c>
      <c r="P1636" s="4">
        <f>IFERROR((Table25[[#This Row],[Average sell price]]-Table25[[#This Row],[Average buy price]])*Table25[[#This Row],[Total Sold number of stocks]],0)</f>
        <v>681.12999999999977</v>
      </c>
      <c r="Q1636" s="85">
        <f>SUMIF(Table25[[#All],[Assets]],Table25[[#This Row],[Assets]],Table25[[#All],[Number of stocks]])</f>
        <v>0</v>
      </c>
    </row>
    <row r="1637" spans="1:17">
      <c r="A1637" t="e" vm="244">
        <v>#VALUE!</v>
      </c>
      <c r="B1637" s="2">
        <v>45909</v>
      </c>
      <c r="C1637" t="str" cm="1">
        <f t="array" aca="1" ref="C1637" ca="1">_FV(A1637,"Ticker symbol",TRUE)</f>
        <v>APYX</v>
      </c>
      <c r="D1637" s="4">
        <v>2.0699999999999998</v>
      </c>
      <c r="E1637" s="50">
        <v>-125</v>
      </c>
      <c r="F1637" s="81">
        <f>IF(Table25[[#This Row],[Number of stocks]]&gt;0,Table25[[#This Row],[Number of stocks]],0)</f>
        <v>0</v>
      </c>
      <c r="G1637" s="73">
        <f>Table25[[#This Row],[Bought]]*Table25[[#This Row],[Price]]</f>
        <v>0</v>
      </c>
      <c r="H1637">
        <f>SUMIF(Table25[[#All],[Assets]],Table25[[#This Row],[Assets]],Table25[[#All],[Bought]])</f>
        <v>275</v>
      </c>
      <c r="I1637">
        <f>SUMIF(Table25[[#All],[Assets]],Table25[[#This Row],[Assets]],Table25[[#All],[Bought Amount]])</f>
        <v>698.5</v>
      </c>
      <c r="J1637" s="88">
        <f>IF(Table25[[#This Row],[Number of stocks]]&lt;0,Table25[[#This Row],[Number of stocks]],0)</f>
        <v>-125</v>
      </c>
      <c r="K1637" s="5">
        <f>Table25[[#This Row],[Sold]]*Table25[[#This Row],[Price]]</f>
        <v>-258.75</v>
      </c>
      <c r="L1637" s="8">
        <f>ABS(SUMIF(Table25[[#All],[Assets]],Table25[[#This Row],[Assets]],Table25[[#All],[Sold]]))</f>
        <v>275</v>
      </c>
      <c r="M1637" s="5">
        <f>ABS(SUMIF(Table25[[#All],[Assets]],Table25[[#This Row],[Assets]],Table25[[#All],[Sold Amount]]))</f>
        <v>587.25</v>
      </c>
      <c r="N1637" s="5">
        <f>IFERROR(Table25[[#This Row],[Total sold amount]]/Table25[[#This Row],[Total Sold number of stocks]],"")</f>
        <v>2.1354545454545453</v>
      </c>
      <c r="O1637" s="4">
        <f>IFERROR(Table25[[#This Row],[Total Amount bought]]/Table25[[#This Row],[Total number bought]],"")</f>
        <v>2.54</v>
      </c>
      <c r="P1637" s="4">
        <f>IFERROR((Table25[[#This Row],[Average sell price]]-Table25[[#This Row],[Average buy price]])*Table25[[#This Row],[Total Sold number of stocks]],0)</f>
        <v>-111.25000000000006</v>
      </c>
      <c r="Q1637" s="85">
        <f>SUMIF(Table25[[#All],[Assets]],Table25[[#This Row],[Assets]],Table25[[#All],[Number of stocks]])</f>
        <v>0</v>
      </c>
    </row>
    <row r="1638" spans="1:17">
      <c r="A1638" t="e" vm="82">
        <v>#VALUE!</v>
      </c>
      <c r="B1638" s="2">
        <v>45909</v>
      </c>
      <c r="C1638" t="str" cm="1">
        <f t="array" aca="1" ref="C1638" ca="1">_FV(A1638,"Ticker symbol",TRUE)</f>
        <v>XYZ</v>
      </c>
      <c r="D1638" s="4">
        <v>75.59</v>
      </c>
      <c r="E1638" s="50">
        <v>-5</v>
      </c>
      <c r="F1638" s="81">
        <f>IF(Table25[[#This Row],[Number of stocks]]&gt;0,Table25[[#This Row],[Number of stocks]],0)</f>
        <v>0</v>
      </c>
      <c r="G1638" s="73">
        <f>Table25[[#This Row],[Bought]]*Table25[[#This Row],[Price]]</f>
        <v>0</v>
      </c>
      <c r="H1638">
        <f>SUMIF(Table25[[#All],[Assets]],Table25[[#This Row],[Assets]],Table25[[#All],[Bought]])</f>
        <v>35</v>
      </c>
      <c r="I1638">
        <f>SUMIF(Table25[[#All],[Assets]],Table25[[#This Row],[Assets]],Table25[[#All],[Bought Amount]])</f>
        <v>2551.4399999999996</v>
      </c>
      <c r="J1638" s="88">
        <f>IF(Table25[[#This Row],[Number of stocks]]&lt;0,Table25[[#This Row],[Number of stocks]],0)</f>
        <v>-5</v>
      </c>
      <c r="K1638" s="5">
        <f>Table25[[#This Row],[Sold]]*Table25[[#This Row],[Price]]</f>
        <v>-377.95000000000005</v>
      </c>
      <c r="L1638" s="8">
        <f>ABS(SUMIF(Table25[[#All],[Assets]],Table25[[#This Row],[Assets]],Table25[[#All],[Sold]]))</f>
        <v>35</v>
      </c>
      <c r="M1638" s="5">
        <f>ABS(SUMIF(Table25[[#All],[Assets]],Table25[[#This Row],[Assets]],Table25[[#All],[Sold Amount]]))</f>
        <v>2639.0700000000006</v>
      </c>
      <c r="N1638" s="5">
        <f>IFERROR(Table25[[#This Row],[Total sold amount]]/Table25[[#This Row],[Total Sold number of stocks]],"")</f>
        <v>75.402000000000015</v>
      </c>
      <c r="O1638" s="4">
        <f>IFERROR(Table25[[#This Row],[Total Amount bought]]/Table25[[#This Row],[Total number bought]],"")</f>
        <v>72.898285714285706</v>
      </c>
      <c r="P1638" s="4">
        <f>IFERROR((Table25[[#This Row],[Average sell price]]-Table25[[#This Row],[Average buy price]])*Table25[[#This Row],[Total Sold number of stocks]],0)</f>
        <v>87.630000000000834</v>
      </c>
      <c r="Q1638" s="85">
        <f>SUMIF(Table25[[#All],[Assets]],Table25[[#This Row],[Assets]],Table25[[#All],[Number of stocks]])</f>
        <v>0</v>
      </c>
    </row>
    <row r="1639" spans="1:17">
      <c r="A1639" t="e" vm="184">
        <v>#VALUE!</v>
      </c>
      <c r="B1639" s="2">
        <v>45909</v>
      </c>
      <c r="C1639" t="str" cm="1">
        <f t="array" aca="1" ref="C1639" ca="1">_FV(A1639,"Ticker symbol",TRUE)</f>
        <v>LPTH</v>
      </c>
      <c r="D1639" s="4">
        <v>5.55</v>
      </c>
      <c r="E1639" s="50">
        <v>88</v>
      </c>
      <c r="F1639" s="81">
        <f>IF(Table25[[#This Row],[Number of stocks]]&gt;0,Table25[[#This Row],[Number of stocks]],0)</f>
        <v>88</v>
      </c>
      <c r="G1639" s="73">
        <f>Table25[[#This Row],[Bought]]*Table25[[#This Row],[Price]]</f>
        <v>488.4</v>
      </c>
      <c r="H1639">
        <f>SUMIF(Table25[[#All],[Assets]],Table25[[#This Row],[Assets]],Table25[[#All],[Bought]])</f>
        <v>215</v>
      </c>
      <c r="I1639">
        <f>SUMIF(Table25[[#All],[Assets]],Table25[[#This Row],[Assets]],Table25[[#All],[Bought Amount]])</f>
        <v>1449.79</v>
      </c>
      <c r="J1639" s="88">
        <f>IF(Table25[[#This Row],[Number of stocks]]&lt;0,Table25[[#This Row],[Number of stocks]],0)</f>
        <v>0</v>
      </c>
      <c r="K1639" s="5">
        <f>Table25[[#This Row],[Sold]]*Table25[[#This Row],[Price]]</f>
        <v>0</v>
      </c>
      <c r="L1639" s="8">
        <f>ABS(SUMIF(Table25[[#All],[Assets]],Table25[[#This Row],[Assets]],Table25[[#All],[Sold]]))</f>
        <v>0</v>
      </c>
      <c r="M1639" s="5">
        <f>ABS(SUMIF(Table25[[#All],[Assets]],Table25[[#This Row],[Assets]],Table25[[#All],[Sold Amount]]))</f>
        <v>0</v>
      </c>
      <c r="N1639" s="5" t="str">
        <f>IFERROR(Table25[[#This Row],[Total sold amount]]/Table25[[#This Row],[Total Sold number of stocks]],"")</f>
        <v/>
      </c>
      <c r="O1639" s="4">
        <f>IFERROR(Table25[[#This Row],[Total Amount bought]]/Table25[[#This Row],[Total number bought]],"")</f>
        <v>6.7432093023255808</v>
      </c>
      <c r="P1639" s="4">
        <f>IFERROR((Table25[[#This Row],[Average sell price]]-Table25[[#This Row],[Average buy price]])*Table25[[#This Row],[Total Sold number of stocks]],0)</f>
        <v>0</v>
      </c>
      <c r="Q1639" s="85">
        <f>SUMIF(Table25[[#All],[Assets]],Table25[[#This Row],[Assets]],Table25[[#All],[Number of stocks]])</f>
        <v>215</v>
      </c>
    </row>
    <row r="1640" spans="1:17">
      <c r="A1640" t="e" vm="38">
        <v>#VALUE!</v>
      </c>
      <c r="B1640" s="2">
        <v>45909</v>
      </c>
      <c r="C1640" t="str" cm="1">
        <f t="array" aca="1" ref="C1640" ca="1">_FV(A1640,"Ticker symbol",TRUE)</f>
        <v>FSLR</v>
      </c>
      <c r="D1640" s="4">
        <v>202.22</v>
      </c>
      <c r="E1640" s="50">
        <v>-1</v>
      </c>
      <c r="F1640" s="81">
        <f>IF(Table25[[#This Row],[Number of stocks]]&gt;0,Table25[[#This Row],[Number of stocks]],0)</f>
        <v>0</v>
      </c>
      <c r="G1640" s="73">
        <f>Table25[[#This Row],[Bought]]*Table25[[#This Row],[Price]]</f>
        <v>0</v>
      </c>
      <c r="H1640">
        <f>SUMIF(Table25[[#All],[Assets]],Table25[[#This Row],[Assets]],Table25[[#All],[Bought]])</f>
        <v>18</v>
      </c>
      <c r="I1640">
        <f>SUMIF(Table25[[#All],[Assets]],Table25[[#This Row],[Assets]],Table25[[#All],[Bought Amount]])</f>
        <v>3079.49</v>
      </c>
      <c r="J1640" s="88">
        <f>IF(Table25[[#This Row],[Number of stocks]]&lt;0,Table25[[#This Row],[Number of stocks]],0)</f>
        <v>-1</v>
      </c>
      <c r="K1640" s="5">
        <f>Table25[[#This Row],[Sold]]*Table25[[#This Row],[Price]]</f>
        <v>-202.22</v>
      </c>
      <c r="L1640" s="8">
        <f>ABS(SUMIF(Table25[[#All],[Assets]],Table25[[#This Row],[Assets]],Table25[[#All],[Sold]]))</f>
        <v>18</v>
      </c>
      <c r="M1640" s="5">
        <f>ABS(SUMIF(Table25[[#All],[Assets]],Table25[[#This Row],[Assets]],Table25[[#All],[Sold Amount]]))</f>
        <v>4016.43</v>
      </c>
      <c r="N1640" s="5">
        <f>IFERROR(Table25[[#This Row],[Total sold amount]]/Table25[[#This Row],[Total Sold number of stocks]],"")</f>
        <v>223.13499999999999</v>
      </c>
      <c r="O1640" s="4">
        <f>IFERROR(Table25[[#This Row],[Total Amount bought]]/Table25[[#This Row],[Total number bought]],"")</f>
        <v>171.08277777777778</v>
      </c>
      <c r="P1640" s="4">
        <f>IFERROR((Table25[[#This Row],[Average sell price]]-Table25[[#This Row],[Average buy price]])*Table25[[#This Row],[Total Sold number of stocks]],0)</f>
        <v>936.93999999999983</v>
      </c>
      <c r="Q1640" s="85">
        <f>SUMIF(Table25[[#All],[Assets]],Table25[[#This Row],[Assets]],Table25[[#All],[Number of stocks]])</f>
        <v>0</v>
      </c>
    </row>
    <row r="1641" spans="1:17">
      <c r="A1641" t="e" vm="576">
        <v>#VALUE!</v>
      </c>
      <c r="B1641" s="2">
        <v>45910</v>
      </c>
      <c r="C1641" t="str" cm="1">
        <f t="array" aca="1" ref="C1641" ca="1">_FV(A1641,"Ticker symbol",TRUE)</f>
        <v>DUOL</v>
      </c>
      <c r="D1641" s="4">
        <v>285.27999999999997</v>
      </c>
      <c r="E1641" s="50">
        <v>5</v>
      </c>
      <c r="F1641" s="81">
        <f>IF(Table25[[#This Row],[Number of stocks]]&gt;0,Table25[[#This Row],[Number of stocks]],0)</f>
        <v>5</v>
      </c>
      <c r="G1641" s="73">
        <f>Table25[[#This Row],[Bought]]*Table25[[#This Row],[Price]]</f>
        <v>1426.3999999999999</v>
      </c>
      <c r="H1641">
        <f>SUMIF(Table25[[#All],[Assets]],Table25[[#This Row],[Assets]],Table25[[#All],[Bought]])</f>
        <v>33</v>
      </c>
      <c r="I1641">
        <f>SUMIF(Table25[[#All],[Assets]],Table25[[#This Row],[Assets]],Table25[[#All],[Bought Amount]])</f>
        <v>8243.81</v>
      </c>
      <c r="J1641" s="88">
        <f>IF(Table25[[#This Row],[Number of stocks]]&lt;0,Table25[[#This Row],[Number of stocks]],0)</f>
        <v>0</v>
      </c>
      <c r="K1641" s="5">
        <f>Table25[[#This Row],[Sold]]*Table25[[#This Row],[Price]]</f>
        <v>0</v>
      </c>
      <c r="L1641" s="8">
        <f>ABS(SUMIF(Table25[[#All],[Assets]],Table25[[#This Row],[Assets]],Table25[[#All],[Sold]]))</f>
        <v>43</v>
      </c>
      <c r="M1641" s="5">
        <f>ABS(SUMIF(Table25[[#All],[Assets]],Table25[[#This Row],[Assets]],Table25[[#All],[Sold Amount]]))</f>
        <v>8577.89</v>
      </c>
      <c r="N1641" s="5">
        <f>IFERROR(Table25[[#This Row],[Total sold amount]]/Table25[[#This Row],[Total Sold number of stocks]],"")</f>
        <v>199.48581395348836</v>
      </c>
      <c r="O1641" s="4">
        <f>IFERROR(Table25[[#This Row],[Total Amount bought]]/Table25[[#This Row],[Total number bought]],"")</f>
        <v>249.81242424242421</v>
      </c>
      <c r="P1641" s="4">
        <f>IFERROR((Table25[[#This Row],[Average sell price]]-Table25[[#This Row],[Average buy price]])*Table25[[#This Row],[Total Sold number of stocks]],0)</f>
        <v>-2164.0442424242419</v>
      </c>
      <c r="Q1641" s="85">
        <f>SUMIF(Table25[[#All],[Assets]],Table25[[#This Row],[Assets]],Table25[[#All],[Number of stocks]])</f>
        <v>-10</v>
      </c>
    </row>
    <row r="1642" spans="1:17">
      <c r="A1642" t="e" vm="64">
        <v>#VALUE!</v>
      </c>
      <c r="B1642" s="2">
        <v>45911</v>
      </c>
      <c r="C1642" t="str" cm="1">
        <f t="array" aca="1" ref="C1642" ca="1">_FV(A1642,"Ticker symbol",TRUE)</f>
        <v>LULU</v>
      </c>
      <c r="D1642" s="4">
        <v>165.33</v>
      </c>
      <c r="E1642" s="50">
        <v>1</v>
      </c>
      <c r="F1642" s="81">
        <f>IF(Table25[[#This Row],[Number of stocks]]&gt;0,Table25[[#This Row],[Number of stocks]],0)</f>
        <v>1</v>
      </c>
      <c r="G1642" s="73">
        <f>Table25[[#This Row],[Bought]]*Table25[[#This Row],[Price]]</f>
        <v>165.33</v>
      </c>
      <c r="H1642">
        <f>SUMIF(Table25[[#All],[Assets]],Table25[[#This Row],[Assets]],Table25[[#All],[Bought]])</f>
        <v>26</v>
      </c>
      <c r="I1642">
        <f>SUMIF(Table25[[#All],[Assets]],Table25[[#This Row],[Assets]],Table25[[#All],[Bought Amount]])</f>
        <v>6272.2400000000007</v>
      </c>
      <c r="J1642" s="88">
        <f>IF(Table25[[#This Row],[Number of stocks]]&lt;0,Table25[[#This Row],[Number of stocks]],0)</f>
        <v>0</v>
      </c>
      <c r="K1642" s="5">
        <f>Table25[[#This Row],[Sold]]*Table25[[#This Row],[Price]]</f>
        <v>0</v>
      </c>
      <c r="L1642" s="8">
        <f>ABS(SUMIF(Table25[[#All],[Assets]],Table25[[#This Row],[Assets]],Table25[[#All],[Sold]]))</f>
        <v>26</v>
      </c>
      <c r="M1642" s="5">
        <f>ABS(SUMIF(Table25[[#All],[Assets]],Table25[[#This Row],[Assets]],Table25[[#All],[Sold Amount]]))</f>
        <v>6958.9199999999992</v>
      </c>
      <c r="N1642" s="5">
        <f>IFERROR(Table25[[#This Row],[Total sold amount]]/Table25[[#This Row],[Total Sold number of stocks]],"")</f>
        <v>267.65076923076919</v>
      </c>
      <c r="O1642" s="4">
        <f>IFERROR(Table25[[#This Row],[Total Amount bought]]/Table25[[#This Row],[Total number bought]],"")</f>
        <v>241.24000000000004</v>
      </c>
      <c r="P1642" s="4">
        <f>IFERROR((Table25[[#This Row],[Average sell price]]-Table25[[#This Row],[Average buy price]])*Table25[[#This Row],[Total Sold number of stocks]],0)</f>
        <v>686.67999999999779</v>
      </c>
      <c r="Q1642" s="85">
        <f>SUMIF(Table25[[#All],[Assets]],Table25[[#This Row],[Assets]],Table25[[#All],[Number of stocks]])</f>
        <v>0</v>
      </c>
    </row>
    <row r="1643" spans="1:17">
      <c r="A1643" t="e" vm="37">
        <v>#VALUE!</v>
      </c>
      <c r="B1643" s="2">
        <v>45911</v>
      </c>
      <c r="C1643" t="str" cm="1">
        <f t="array" aca="1" ref="C1643" ca="1">_FV(A1643,"Ticker symbol",TRUE)</f>
        <v>AMD</v>
      </c>
      <c r="D1643" s="4">
        <v>155.59</v>
      </c>
      <c r="E1643" s="50">
        <v>-5</v>
      </c>
      <c r="F1643" s="81">
        <f>IF(Table25[[#This Row],[Number of stocks]]&gt;0,Table25[[#This Row],[Number of stocks]],0)</f>
        <v>0</v>
      </c>
      <c r="G1643" s="73">
        <f>Table25[[#This Row],[Bought]]*Table25[[#This Row],[Price]]</f>
        <v>0</v>
      </c>
      <c r="H1643">
        <f>SUMIF(Table25[[#All],[Assets]],Table25[[#This Row],[Assets]],Table25[[#All],[Bought]])</f>
        <v>41</v>
      </c>
      <c r="I1643">
        <f>SUMIF(Table25[[#All],[Assets]],Table25[[#This Row],[Assets]],Table25[[#All],[Bought Amount]])</f>
        <v>5552.8399999999992</v>
      </c>
      <c r="J1643" s="88">
        <f>IF(Table25[[#This Row],[Number of stocks]]&lt;0,Table25[[#This Row],[Number of stocks]],0)</f>
        <v>-5</v>
      </c>
      <c r="K1643" s="5">
        <f>Table25[[#This Row],[Sold]]*Table25[[#This Row],[Price]]</f>
        <v>-777.95</v>
      </c>
      <c r="L1643" s="8">
        <f>ABS(SUMIF(Table25[[#All],[Assets]],Table25[[#This Row],[Assets]],Table25[[#All],[Sold]]))</f>
        <v>23</v>
      </c>
      <c r="M1643" s="5">
        <f>ABS(SUMIF(Table25[[#All],[Assets]],Table25[[#This Row],[Assets]],Table25[[#All],[Sold Amount]]))</f>
        <v>3203.4199999999996</v>
      </c>
      <c r="N1643" s="5">
        <f>IFERROR(Table25[[#This Row],[Total sold amount]]/Table25[[#This Row],[Total Sold number of stocks]],"")</f>
        <v>139.27913043478259</v>
      </c>
      <c r="O1643" s="4">
        <f>IFERROR(Table25[[#This Row],[Total Amount bought]]/Table25[[#This Row],[Total number bought]],"")</f>
        <v>135.43512195121949</v>
      </c>
      <c r="P1643" s="4">
        <f>IFERROR((Table25[[#This Row],[Average sell price]]-Table25[[#This Row],[Average buy price]])*Table25[[#This Row],[Total Sold number of stocks]],0)</f>
        <v>88.412195121951328</v>
      </c>
      <c r="Q1643" s="85">
        <f>SUMIF(Table25[[#All],[Assets]],Table25[[#This Row],[Assets]],Table25[[#All],[Number of stocks]])</f>
        <v>18</v>
      </c>
    </row>
    <row r="1644" spans="1:17">
      <c r="A1644" t="e" vm="578">
        <v>#VALUE!</v>
      </c>
      <c r="B1644" s="2">
        <v>45911</v>
      </c>
      <c r="C1644" t="str" cm="1">
        <f t="array" aca="1" ref="C1644" ca="1">_FV(A1644,"Ticker symbol",TRUE)</f>
        <v>ASYS</v>
      </c>
      <c r="D1644" s="4">
        <v>9.14</v>
      </c>
      <c r="E1644" s="50">
        <v>105</v>
      </c>
      <c r="F1644" s="81">
        <f>IF(Table25[[#This Row],[Number of stocks]]&gt;0,Table25[[#This Row],[Number of stocks]],0)</f>
        <v>105</v>
      </c>
      <c r="G1644" s="73">
        <f>Table25[[#This Row],[Bought]]*Table25[[#This Row],[Price]]</f>
        <v>959.7</v>
      </c>
      <c r="H1644">
        <f>SUMIF(Table25[[#All],[Assets]],Table25[[#This Row],[Assets]],Table25[[#All],[Bought]])</f>
        <v>105</v>
      </c>
      <c r="I1644">
        <f>SUMIF(Table25[[#All],[Assets]],Table25[[#This Row],[Assets]],Table25[[#All],[Bought Amount]])</f>
        <v>959.7</v>
      </c>
      <c r="J1644" s="88">
        <f>IF(Table25[[#This Row],[Number of stocks]]&lt;0,Table25[[#This Row],[Number of stocks]],0)</f>
        <v>0</v>
      </c>
      <c r="K1644" s="5">
        <f>Table25[[#This Row],[Sold]]*Table25[[#This Row],[Price]]</f>
        <v>0</v>
      </c>
      <c r="L1644" s="8">
        <f>ABS(SUMIF(Table25[[#All],[Assets]],Table25[[#This Row],[Assets]],Table25[[#All],[Sold]]))</f>
        <v>105</v>
      </c>
      <c r="M1644" s="5">
        <f>ABS(SUMIF(Table25[[#All],[Assets]],Table25[[#This Row],[Assets]],Table25[[#All],[Sold Amount]]))</f>
        <v>763.34999999999991</v>
      </c>
      <c r="N1644" s="5">
        <f>IFERROR(Table25[[#This Row],[Total sold amount]]/Table25[[#This Row],[Total Sold number of stocks]],"")</f>
        <v>7.27</v>
      </c>
      <c r="O1644" s="4">
        <f>IFERROR(Table25[[#This Row],[Total Amount bought]]/Table25[[#This Row],[Total number bought]],"")</f>
        <v>9.14</v>
      </c>
      <c r="P1644" s="4">
        <f>IFERROR((Table25[[#This Row],[Average sell price]]-Table25[[#This Row],[Average buy price]])*Table25[[#This Row],[Total Sold number of stocks]],0)</f>
        <v>-196.35000000000011</v>
      </c>
      <c r="Q1644" s="85">
        <f>SUMIF(Table25[[#All],[Assets]],Table25[[#This Row],[Assets]],Table25[[#All],[Number of stocks]])</f>
        <v>0</v>
      </c>
    </row>
    <row r="1645" spans="1:17">
      <c r="A1645" t="e" vm="232">
        <v>#VALUE!</v>
      </c>
      <c r="B1645" s="2">
        <v>45912</v>
      </c>
      <c r="C1645" t="str" cm="1">
        <f t="array" aca="1" ref="C1645" ca="1">_FV(A1645,"Ticker symbol",TRUE)</f>
        <v>FEIM</v>
      </c>
      <c r="D1645" s="4">
        <v>28.09</v>
      </c>
      <c r="E1645" s="50">
        <v>-17</v>
      </c>
      <c r="F1645" s="81">
        <f>IF(Table25[[#This Row],[Number of stocks]]&gt;0,Table25[[#This Row],[Number of stocks]],0)</f>
        <v>0</v>
      </c>
      <c r="G1645" s="73">
        <f>Table25[[#This Row],[Bought]]*Table25[[#This Row],[Price]]</f>
        <v>0</v>
      </c>
      <c r="H1645">
        <f>SUMIF(Table25[[#All],[Assets]],Table25[[#This Row],[Assets]],Table25[[#All],[Bought]])</f>
        <v>44</v>
      </c>
      <c r="I1645">
        <f>SUMIF(Table25[[#All],[Assets]],Table25[[#This Row],[Assets]],Table25[[#All],[Bought Amount]])</f>
        <v>1365.1</v>
      </c>
      <c r="J1645" s="88">
        <f>IF(Table25[[#This Row],[Number of stocks]]&lt;0,Table25[[#This Row],[Number of stocks]],0)</f>
        <v>-17</v>
      </c>
      <c r="K1645" s="5">
        <f>Table25[[#This Row],[Sold]]*Table25[[#This Row],[Price]]</f>
        <v>-477.53</v>
      </c>
      <c r="L1645" s="8">
        <f>ABS(SUMIF(Table25[[#All],[Assets]],Table25[[#This Row],[Assets]],Table25[[#All],[Sold]]))</f>
        <v>44</v>
      </c>
      <c r="M1645" s="5">
        <f>ABS(SUMIF(Table25[[#All],[Assets]],Table25[[#This Row],[Assets]],Table25[[#All],[Sold Amount]]))</f>
        <v>1369.4299999999998</v>
      </c>
      <c r="N1645" s="5">
        <f>IFERROR(Table25[[#This Row],[Total sold amount]]/Table25[[#This Row],[Total Sold number of stocks]],"")</f>
        <v>31.123409090909089</v>
      </c>
      <c r="O1645" s="4">
        <f>IFERROR(Table25[[#This Row],[Total Amount bought]]/Table25[[#This Row],[Total number bought]],"")</f>
        <v>31.024999999999999</v>
      </c>
      <c r="P1645" s="4">
        <f>IFERROR((Table25[[#This Row],[Average sell price]]-Table25[[#This Row],[Average buy price]])*Table25[[#This Row],[Total Sold number of stocks]],0)</f>
        <v>4.3299999999999699</v>
      </c>
      <c r="Q1645" s="85">
        <f>SUMIF(Table25[[#All],[Assets]],Table25[[#This Row],[Assets]],Table25[[#All],[Number of stocks]])</f>
        <v>0</v>
      </c>
    </row>
    <row r="1646" spans="1:17">
      <c r="A1646" t="e" vm="90">
        <v>#VALUE!</v>
      </c>
      <c r="B1646" s="2">
        <v>45912</v>
      </c>
      <c r="C1646" t="str" cm="1">
        <f t="array" aca="1" ref="C1646" ca="1">_FV(A1646,"Ticker symbol",TRUE)</f>
        <v>ASTS</v>
      </c>
      <c r="D1646" s="4">
        <v>38.89</v>
      </c>
      <c r="E1646" s="50">
        <v>13</v>
      </c>
      <c r="F1646" s="81">
        <f>IF(Table25[[#This Row],[Number of stocks]]&gt;0,Table25[[#This Row],[Number of stocks]],0)</f>
        <v>13</v>
      </c>
      <c r="G1646" s="73">
        <f>Table25[[#This Row],[Bought]]*Table25[[#This Row],[Price]]</f>
        <v>505.57</v>
      </c>
      <c r="H1646">
        <f>SUMIF(Table25[[#All],[Assets]],Table25[[#This Row],[Assets]],Table25[[#All],[Bought]])</f>
        <v>47</v>
      </c>
      <c r="I1646">
        <f>SUMIF(Table25[[#All],[Assets]],Table25[[#This Row],[Assets]],Table25[[#All],[Bought Amount]])</f>
        <v>1690.75</v>
      </c>
      <c r="J1646" s="88">
        <f>IF(Table25[[#This Row],[Number of stocks]]&lt;0,Table25[[#This Row],[Number of stocks]],0)</f>
        <v>0</v>
      </c>
      <c r="K1646" s="5">
        <f>Table25[[#This Row],[Sold]]*Table25[[#This Row],[Price]]</f>
        <v>0</v>
      </c>
      <c r="L1646" s="8">
        <f>ABS(SUMIF(Table25[[#All],[Assets]],Table25[[#This Row],[Assets]],Table25[[#All],[Sold]]))</f>
        <v>37</v>
      </c>
      <c r="M1646" s="5">
        <f>ABS(SUMIF(Table25[[#All],[Assets]],Table25[[#This Row],[Assets]],Table25[[#All],[Sold Amount]]))</f>
        <v>2479.08</v>
      </c>
      <c r="N1646" s="5">
        <f>IFERROR(Table25[[#This Row],[Total sold amount]]/Table25[[#This Row],[Total Sold number of stocks]],"")</f>
        <v>67.002162162162165</v>
      </c>
      <c r="O1646" s="4">
        <f>IFERROR(Table25[[#This Row],[Total Amount bought]]/Table25[[#This Row],[Total number bought]],"")</f>
        <v>35.973404255319146</v>
      </c>
      <c r="P1646" s="4">
        <f>IFERROR((Table25[[#This Row],[Average sell price]]-Table25[[#This Row],[Average buy price]])*Table25[[#This Row],[Total Sold number of stocks]],0)</f>
        <v>1148.0640425531917</v>
      </c>
      <c r="Q1646" s="85">
        <f>SUMIF(Table25[[#All],[Assets]],Table25[[#This Row],[Assets]],Table25[[#All],[Number of stocks]])</f>
        <v>10</v>
      </c>
    </row>
    <row r="1647" spans="1:17">
      <c r="A1647" t="e" vm="187">
        <v>#VALUE!</v>
      </c>
      <c r="B1647" s="2">
        <v>45915</v>
      </c>
      <c r="C1647" t="str" cm="1">
        <f t="array" aca="1" ref="C1647" ca="1">_FV(A1647,"Ticker symbol",TRUE)</f>
        <v>ZETA</v>
      </c>
      <c r="D1647" s="4">
        <v>20.190000000000001</v>
      </c>
      <c r="E1647" s="50">
        <v>-50</v>
      </c>
      <c r="F1647" s="81">
        <f>IF(Table25[[#This Row],[Number of stocks]]&gt;0,Table25[[#This Row],[Number of stocks]],0)</f>
        <v>0</v>
      </c>
      <c r="G1647" s="73">
        <f>Table25[[#This Row],[Bought]]*Table25[[#This Row],[Price]]</f>
        <v>0</v>
      </c>
      <c r="H1647">
        <f>SUMIF(Table25[[#All],[Assets]],Table25[[#This Row],[Assets]],Table25[[#All],[Bought]])</f>
        <v>214</v>
      </c>
      <c r="I1647">
        <f>SUMIF(Table25[[#All],[Assets]],Table25[[#This Row],[Assets]],Table25[[#All],[Bought Amount]])</f>
        <v>4123.5200000000004</v>
      </c>
      <c r="J1647" s="88">
        <f>IF(Table25[[#This Row],[Number of stocks]]&lt;0,Table25[[#This Row],[Number of stocks]],0)</f>
        <v>-50</v>
      </c>
      <c r="K1647" s="5">
        <f>Table25[[#This Row],[Sold]]*Table25[[#This Row],[Price]]</f>
        <v>-1009.5000000000001</v>
      </c>
      <c r="L1647" s="8">
        <f>ABS(SUMIF(Table25[[#All],[Assets]],Table25[[#This Row],[Assets]],Table25[[#All],[Sold]]))</f>
        <v>214</v>
      </c>
      <c r="M1647" s="5">
        <f>ABS(SUMIF(Table25[[#All],[Assets]],Table25[[#This Row],[Assets]],Table25[[#All],[Sold Amount]]))</f>
        <v>4425.6400000000003</v>
      </c>
      <c r="N1647" s="5">
        <f>IFERROR(Table25[[#This Row],[Total sold amount]]/Table25[[#This Row],[Total Sold number of stocks]],"")</f>
        <v>20.680560747663552</v>
      </c>
      <c r="O1647" s="4">
        <f>IFERROR(Table25[[#This Row],[Total Amount bought]]/Table25[[#This Row],[Total number bought]],"")</f>
        <v>19.268785046728976</v>
      </c>
      <c r="P1647" s="4">
        <f>IFERROR((Table25[[#This Row],[Average sell price]]-Table25[[#This Row],[Average buy price]])*Table25[[#This Row],[Total Sold number of stocks]],0)</f>
        <v>302.11999999999938</v>
      </c>
      <c r="Q1647" s="85">
        <f>SUMIF(Table25[[#All],[Assets]],Table25[[#This Row],[Assets]],Table25[[#All],[Number of stocks]])</f>
        <v>0</v>
      </c>
    </row>
    <row r="1648" spans="1:17">
      <c r="A1648" t="e" vm="183">
        <v>#VALUE!</v>
      </c>
      <c r="B1648" s="2">
        <v>45915</v>
      </c>
      <c r="C1648" t="str" cm="1">
        <f t="array" aca="1" ref="C1648" ca="1">_FV(A1648,"Ticker symbol",TRUE)</f>
        <v>ESOA</v>
      </c>
      <c r="D1648" s="4">
        <v>10.02</v>
      </c>
      <c r="E1648" s="50">
        <v>-100</v>
      </c>
      <c r="F1648" s="81">
        <f>IF(Table25[[#This Row],[Number of stocks]]&gt;0,Table25[[#This Row],[Number of stocks]],0)</f>
        <v>0</v>
      </c>
      <c r="G1648" s="73">
        <f>Table25[[#This Row],[Bought]]*Table25[[#This Row],[Price]]</f>
        <v>0</v>
      </c>
      <c r="H1648">
        <f>SUMIF(Table25[[#All],[Assets]],Table25[[#This Row],[Assets]],Table25[[#All],[Bought]])</f>
        <v>1832</v>
      </c>
      <c r="I1648">
        <f>SUMIF(Table25[[#All],[Assets]],Table25[[#This Row],[Assets]],Table25[[#All],[Bought Amount]])</f>
        <v>18152.78</v>
      </c>
      <c r="J1648" s="88">
        <f>IF(Table25[[#This Row],[Number of stocks]]&lt;0,Table25[[#This Row],[Number of stocks]],0)</f>
        <v>-100</v>
      </c>
      <c r="K1648" s="5">
        <f>Table25[[#This Row],[Sold]]*Table25[[#This Row],[Price]]</f>
        <v>-1002</v>
      </c>
      <c r="L1648" s="8">
        <f>ABS(SUMIF(Table25[[#All],[Assets]],Table25[[#This Row],[Assets]],Table25[[#All],[Sold]]))</f>
        <v>1568</v>
      </c>
      <c r="M1648" s="5">
        <f>ABS(SUMIF(Table25[[#All],[Assets]],Table25[[#This Row],[Assets]],Table25[[#All],[Sold Amount]]))</f>
        <v>14668</v>
      </c>
      <c r="N1648" s="5">
        <f>IFERROR(Table25[[#This Row],[Total sold amount]]/Table25[[#This Row],[Total Sold number of stocks]],"")</f>
        <v>9.3545918367346932</v>
      </c>
      <c r="O1648" s="4">
        <f>IFERROR(Table25[[#This Row],[Total Amount bought]]/Table25[[#This Row],[Total number bought]],"")</f>
        <v>9.9087227074235802</v>
      </c>
      <c r="P1648" s="4">
        <f>IFERROR((Table25[[#This Row],[Average sell price]]-Table25[[#This Row],[Average buy price]])*Table25[[#This Row],[Total Sold number of stocks]],0)</f>
        <v>-868.87720524017482</v>
      </c>
      <c r="Q1648" s="85">
        <f>SUMIF(Table25[[#All],[Assets]],Table25[[#This Row],[Assets]],Table25[[#All],[Number of stocks]])</f>
        <v>264</v>
      </c>
    </row>
    <row r="1649" spans="1:17">
      <c r="A1649" t="e" vm="84">
        <v>#VALUE!</v>
      </c>
      <c r="B1649" s="2">
        <v>45915</v>
      </c>
      <c r="C1649" t="str" cm="1">
        <f t="array" aca="1" ref="C1649" ca="1">_FV(A1649,"Ticker symbol",TRUE)</f>
        <v>COIN</v>
      </c>
      <c r="D1649" s="4">
        <v>323.58</v>
      </c>
      <c r="E1649" s="50">
        <v>6</v>
      </c>
      <c r="F1649" s="81">
        <f>IF(Table25[[#This Row],[Number of stocks]]&gt;0,Table25[[#This Row],[Number of stocks]],0)</f>
        <v>6</v>
      </c>
      <c r="G1649" s="73">
        <f>Table25[[#This Row],[Bought]]*Table25[[#This Row],[Price]]</f>
        <v>1941.48</v>
      </c>
      <c r="H1649">
        <f>SUMIF(Table25[[#All],[Assets]],Table25[[#This Row],[Assets]],Table25[[#All],[Bought]])</f>
        <v>11</v>
      </c>
      <c r="I1649">
        <f>SUMIF(Table25[[#All],[Assets]],Table25[[#This Row],[Assets]],Table25[[#All],[Bought Amount]])</f>
        <v>3624.34</v>
      </c>
      <c r="J1649" s="88">
        <f>IF(Table25[[#This Row],[Number of stocks]]&lt;0,Table25[[#This Row],[Number of stocks]],0)</f>
        <v>0</v>
      </c>
      <c r="K1649" s="5">
        <f>Table25[[#This Row],[Sold]]*Table25[[#This Row],[Price]]</f>
        <v>0</v>
      </c>
      <c r="L1649" s="8">
        <f>ABS(SUMIF(Table25[[#All],[Assets]],Table25[[#This Row],[Assets]],Table25[[#All],[Sold]]))</f>
        <v>11</v>
      </c>
      <c r="M1649" s="5">
        <f>ABS(SUMIF(Table25[[#All],[Assets]],Table25[[#This Row],[Assets]],Table25[[#All],[Sold Amount]]))</f>
        <v>3399.23</v>
      </c>
      <c r="N1649" s="5">
        <f>IFERROR(Table25[[#This Row],[Total sold amount]]/Table25[[#This Row],[Total Sold number of stocks]],"")</f>
        <v>309.02090909090907</v>
      </c>
      <c r="O1649" s="4">
        <f>IFERROR(Table25[[#This Row],[Total Amount bought]]/Table25[[#This Row],[Total number bought]],"")</f>
        <v>329.48545454545456</v>
      </c>
      <c r="P1649" s="4">
        <f>IFERROR((Table25[[#This Row],[Average sell price]]-Table25[[#This Row],[Average buy price]])*Table25[[#This Row],[Total Sold number of stocks]],0)</f>
        <v>-225.11000000000035</v>
      </c>
      <c r="Q1649" s="85">
        <f>SUMIF(Table25[[#All],[Assets]],Table25[[#This Row],[Assets]],Table25[[#All],[Number of stocks]])</f>
        <v>0</v>
      </c>
    </row>
    <row r="1650" spans="1:17">
      <c r="A1650" t="e" vm="212">
        <v>#VALUE!</v>
      </c>
      <c r="B1650" s="2">
        <v>45916</v>
      </c>
      <c r="C1650" t="str" cm="1">
        <f t="array" aca="1" ref="C1650" ca="1">_FV(A1650,"Ticker symbol",TRUE)</f>
        <v>ALHC</v>
      </c>
      <c r="D1650" s="4">
        <v>16.07</v>
      </c>
      <c r="E1650" s="50">
        <v>-42</v>
      </c>
      <c r="F1650" s="81">
        <f>IF(Table25[[#This Row],[Number of stocks]]&gt;0,Table25[[#This Row],[Number of stocks]],0)</f>
        <v>0</v>
      </c>
      <c r="G1650" s="73">
        <f>Table25[[#This Row],[Bought]]*Table25[[#This Row],[Price]]</f>
        <v>0</v>
      </c>
      <c r="H1650">
        <f>SUMIF(Table25[[#All],[Assets]],Table25[[#This Row],[Assets]],Table25[[#All],[Bought]])</f>
        <v>84</v>
      </c>
      <c r="I1650">
        <f>SUMIF(Table25[[#All],[Assets]],Table25[[#This Row],[Assets]],Table25[[#All],[Bought Amount]])</f>
        <v>1147.44</v>
      </c>
      <c r="J1650" s="88">
        <f>IF(Table25[[#This Row],[Number of stocks]]&lt;0,Table25[[#This Row],[Number of stocks]],0)</f>
        <v>-42</v>
      </c>
      <c r="K1650" s="5">
        <f>Table25[[#This Row],[Sold]]*Table25[[#This Row],[Price]]</f>
        <v>-674.94</v>
      </c>
      <c r="L1650" s="8">
        <f>ABS(SUMIF(Table25[[#All],[Assets]],Table25[[#This Row],[Assets]],Table25[[#All],[Sold]]))</f>
        <v>63</v>
      </c>
      <c r="M1650" s="5">
        <f>ABS(SUMIF(Table25[[#All],[Assets]],Table25[[#This Row],[Assets]],Table25[[#All],[Sold Amount]]))</f>
        <v>1046.8500000000001</v>
      </c>
      <c r="N1650" s="5">
        <f>IFERROR(Table25[[#This Row],[Total sold amount]]/Table25[[#This Row],[Total Sold number of stocks]],"")</f>
        <v>16.616666666666667</v>
      </c>
      <c r="O1650" s="4">
        <f>IFERROR(Table25[[#This Row],[Total Amount bought]]/Table25[[#This Row],[Total number bought]],"")</f>
        <v>13.66</v>
      </c>
      <c r="P1650" s="4">
        <f>IFERROR((Table25[[#This Row],[Average sell price]]-Table25[[#This Row],[Average buy price]])*Table25[[#This Row],[Total Sold number of stocks]],0)</f>
        <v>186.27</v>
      </c>
      <c r="Q1650" s="85">
        <f>SUMIF(Table25[[#All],[Assets]],Table25[[#This Row],[Assets]],Table25[[#All],[Number of stocks]])</f>
        <v>21</v>
      </c>
    </row>
    <row r="1651" spans="1:17">
      <c r="A1651" t="e" vm="234">
        <v>#VALUE!</v>
      </c>
      <c r="B1651" s="2">
        <v>45916</v>
      </c>
      <c r="C1651" t="str" cm="1">
        <f t="array" aca="1" ref="C1651" ca="1">_FV(A1651,"Ticker symbol",TRUE)</f>
        <v>XPOF</v>
      </c>
      <c r="D1651" s="4">
        <v>8.44</v>
      </c>
      <c r="E1651" s="50">
        <v>-96</v>
      </c>
      <c r="F1651" s="81">
        <f>IF(Table25[[#This Row],[Number of stocks]]&gt;0,Table25[[#This Row],[Number of stocks]],0)</f>
        <v>0</v>
      </c>
      <c r="G1651" s="73">
        <f>Table25[[#This Row],[Bought]]*Table25[[#This Row],[Price]]</f>
        <v>0</v>
      </c>
      <c r="H1651">
        <f>SUMIF(Table25[[#All],[Assets]],Table25[[#This Row],[Assets]],Table25[[#All],[Bought]])</f>
        <v>96</v>
      </c>
      <c r="I1651">
        <f>SUMIF(Table25[[#All],[Assets]],Table25[[#This Row],[Assets]],Table25[[#All],[Bought Amount]])</f>
        <v>871.68000000000006</v>
      </c>
      <c r="J1651" s="88">
        <f>IF(Table25[[#This Row],[Number of stocks]]&lt;0,Table25[[#This Row],[Number of stocks]],0)</f>
        <v>-96</v>
      </c>
      <c r="K1651" s="5">
        <f>Table25[[#This Row],[Sold]]*Table25[[#This Row],[Price]]</f>
        <v>-810.24</v>
      </c>
      <c r="L1651" s="8">
        <f>ABS(SUMIF(Table25[[#All],[Assets]],Table25[[#This Row],[Assets]],Table25[[#All],[Sold]]))</f>
        <v>96</v>
      </c>
      <c r="M1651" s="5">
        <f>ABS(SUMIF(Table25[[#All],[Assets]],Table25[[#This Row],[Assets]],Table25[[#All],[Sold Amount]]))</f>
        <v>810.24</v>
      </c>
      <c r="N1651" s="5">
        <f>IFERROR(Table25[[#This Row],[Total sold amount]]/Table25[[#This Row],[Total Sold number of stocks]],"")</f>
        <v>8.44</v>
      </c>
      <c r="O1651" s="4">
        <f>IFERROR(Table25[[#This Row],[Total Amount bought]]/Table25[[#This Row],[Total number bought]],"")</f>
        <v>9.08</v>
      </c>
      <c r="P1651" s="4">
        <f>IFERROR((Table25[[#This Row],[Average sell price]]-Table25[[#This Row],[Average buy price]])*Table25[[#This Row],[Total Sold number of stocks]],0)</f>
        <v>-61.440000000000055</v>
      </c>
      <c r="Q1651" s="85">
        <f>SUMIF(Table25[[#All],[Assets]],Table25[[#This Row],[Assets]],Table25[[#All],[Number of stocks]])</f>
        <v>0</v>
      </c>
    </row>
    <row r="1652" spans="1:17">
      <c r="A1652" t="e" vm="64">
        <v>#VALUE!</v>
      </c>
      <c r="B1652" s="2">
        <v>45917</v>
      </c>
      <c r="C1652" t="str" cm="1">
        <f t="array" aca="1" ref="C1652" ca="1">_FV(A1652,"Ticker symbol",TRUE)</f>
        <v>LULU</v>
      </c>
      <c r="D1652" s="4">
        <v>164.42</v>
      </c>
      <c r="E1652" s="50">
        <v>-1</v>
      </c>
      <c r="F1652" s="81">
        <f>IF(Table25[[#This Row],[Number of stocks]]&gt;0,Table25[[#This Row],[Number of stocks]],0)</f>
        <v>0</v>
      </c>
      <c r="G1652" s="73">
        <f>Table25[[#This Row],[Bought]]*Table25[[#This Row],[Price]]</f>
        <v>0</v>
      </c>
      <c r="H1652">
        <f>SUMIF(Table25[[#All],[Assets]],Table25[[#This Row],[Assets]],Table25[[#All],[Bought]])</f>
        <v>26</v>
      </c>
      <c r="I1652">
        <f>SUMIF(Table25[[#All],[Assets]],Table25[[#This Row],[Assets]],Table25[[#All],[Bought Amount]])</f>
        <v>6272.2400000000007</v>
      </c>
      <c r="J1652" s="88">
        <f>IF(Table25[[#This Row],[Number of stocks]]&lt;0,Table25[[#This Row],[Number of stocks]],0)</f>
        <v>-1</v>
      </c>
      <c r="K1652" s="5">
        <f>Table25[[#This Row],[Sold]]*Table25[[#This Row],[Price]]</f>
        <v>-164.42</v>
      </c>
      <c r="L1652" s="8">
        <f>ABS(SUMIF(Table25[[#All],[Assets]],Table25[[#This Row],[Assets]],Table25[[#All],[Sold]]))</f>
        <v>26</v>
      </c>
      <c r="M1652" s="5">
        <f>ABS(SUMIF(Table25[[#All],[Assets]],Table25[[#This Row],[Assets]],Table25[[#All],[Sold Amount]]))</f>
        <v>6958.9199999999992</v>
      </c>
      <c r="N1652" s="5">
        <f>IFERROR(Table25[[#This Row],[Total sold amount]]/Table25[[#This Row],[Total Sold number of stocks]],"")</f>
        <v>267.65076923076919</v>
      </c>
      <c r="O1652" s="4">
        <f>IFERROR(Table25[[#This Row],[Total Amount bought]]/Table25[[#This Row],[Total number bought]],"")</f>
        <v>241.24000000000004</v>
      </c>
      <c r="P1652" s="4">
        <f>IFERROR((Table25[[#This Row],[Average sell price]]-Table25[[#This Row],[Average buy price]])*Table25[[#This Row],[Total Sold number of stocks]],0)</f>
        <v>686.67999999999779</v>
      </c>
      <c r="Q1652" s="85">
        <f>SUMIF(Table25[[#All],[Assets]],Table25[[#This Row],[Assets]],Table25[[#All],[Number of stocks]])</f>
        <v>0</v>
      </c>
    </row>
    <row r="1653" spans="1:17">
      <c r="A1653" t="e" vm="76">
        <v>#VALUE!</v>
      </c>
      <c r="B1653" s="2">
        <v>45917</v>
      </c>
      <c r="C1653" t="str" cm="1">
        <f t="array" aca="1" ref="C1653" ca="1">_FV(A1653,"Ticker symbol",TRUE)</f>
        <v>TEM</v>
      </c>
      <c r="D1653" s="4">
        <v>85.28</v>
      </c>
      <c r="E1653" s="50">
        <v>-5</v>
      </c>
      <c r="F1653" s="81">
        <f>IF(Table25[[#This Row],[Number of stocks]]&gt;0,Table25[[#This Row],[Number of stocks]],0)</f>
        <v>0</v>
      </c>
      <c r="G1653" s="73">
        <f>Table25[[#This Row],[Bought]]*Table25[[#This Row],[Price]]</f>
        <v>0</v>
      </c>
      <c r="H1653">
        <f>SUMIF(Table25[[#All],[Assets]],Table25[[#This Row],[Assets]],Table25[[#All],[Bought]])</f>
        <v>29</v>
      </c>
      <c r="I1653">
        <f>SUMIF(Table25[[#All],[Assets]],Table25[[#This Row],[Assets]],Table25[[#All],[Bought Amount]])</f>
        <v>1735.3899999999999</v>
      </c>
      <c r="J1653" s="88">
        <f>IF(Table25[[#This Row],[Number of stocks]]&lt;0,Table25[[#This Row],[Number of stocks]],0)</f>
        <v>-5</v>
      </c>
      <c r="K1653" s="5">
        <f>Table25[[#This Row],[Sold]]*Table25[[#This Row],[Price]]</f>
        <v>-426.4</v>
      </c>
      <c r="L1653" s="8">
        <f>ABS(SUMIF(Table25[[#All],[Assets]],Table25[[#This Row],[Assets]],Table25[[#All],[Sold]]))</f>
        <v>29</v>
      </c>
      <c r="M1653" s="5">
        <f>ABS(SUMIF(Table25[[#All],[Assets]],Table25[[#This Row],[Assets]],Table25[[#All],[Sold Amount]]))</f>
        <v>1886.1999999999998</v>
      </c>
      <c r="N1653" s="5">
        <f>IFERROR(Table25[[#This Row],[Total sold amount]]/Table25[[#This Row],[Total Sold number of stocks]],"")</f>
        <v>65.041379310344823</v>
      </c>
      <c r="O1653" s="4">
        <f>IFERROR(Table25[[#This Row],[Total Amount bought]]/Table25[[#This Row],[Total number bought]],"")</f>
        <v>59.841034482758616</v>
      </c>
      <c r="P1653" s="4">
        <f>IFERROR((Table25[[#This Row],[Average sell price]]-Table25[[#This Row],[Average buy price]])*Table25[[#This Row],[Total Sold number of stocks]],0)</f>
        <v>150.81</v>
      </c>
      <c r="Q1653" s="85">
        <f>SUMIF(Table25[[#All],[Assets]],Table25[[#This Row],[Assets]],Table25[[#All],[Number of stocks]])</f>
        <v>0</v>
      </c>
    </row>
    <row r="1654" spans="1:17">
      <c r="A1654" t="e" vm="588">
        <v>#VALUE!</v>
      </c>
      <c r="B1654" s="2">
        <v>45917</v>
      </c>
      <c r="C1654" t="str" cm="1">
        <f t="array" aca="1" ref="C1654" ca="1">_FV(A1654,"Ticker symbol",TRUE)</f>
        <v>RIGL</v>
      </c>
      <c r="D1654" s="4">
        <v>35.5</v>
      </c>
      <c r="E1654" s="50">
        <v>-22.708110000000001</v>
      </c>
      <c r="F1654" s="81">
        <f>IF(Table25[[#This Row],[Number of stocks]]&gt;0,Table25[[#This Row],[Number of stocks]],0)</f>
        <v>0</v>
      </c>
      <c r="G1654" s="73">
        <f>Table25[[#This Row],[Bought]]*Table25[[#This Row],[Price]]</f>
        <v>0</v>
      </c>
      <c r="H1654">
        <f>SUMIF(Table25[[#All],[Assets]],Table25[[#This Row],[Assets]],Table25[[#All],[Bought]])</f>
        <v>22.708109999999998</v>
      </c>
      <c r="I1654">
        <f>SUMIF(Table25[[#All],[Assets]],Table25[[#This Row],[Assets]],Table25[[#All],[Bought Amount]])</f>
        <v>873.59964119999995</v>
      </c>
      <c r="J1654" s="88">
        <f>IF(Table25[[#This Row],[Number of stocks]]&lt;0,Table25[[#This Row],[Number of stocks]],0)</f>
        <v>-22.708110000000001</v>
      </c>
      <c r="K1654" s="5">
        <f>Table25[[#This Row],[Sold]]*Table25[[#This Row],[Price]]</f>
        <v>-806.13790500000005</v>
      </c>
      <c r="L1654" s="8">
        <f>ABS(SUMIF(Table25[[#All],[Assets]],Table25[[#This Row],[Assets]],Table25[[#All],[Sold]]))</f>
        <v>22.708110000000001</v>
      </c>
      <c r="M1654" s="5">
        <f>ABS(SUMIF(Table25[[#All],[Assets]],Table25[[#This Row],[Assets]],Table25[[#All],[Sold Amount]]))</f>
        <v>806.13790500000005</v>
      </c>
      <c r="N1654" s="5">
        <f>IFERROR(Table25[[#This Row],[Total sold amount]]/Table25[[#This Row],[Total Sold number of stocks]],"")</f>
        <v>35.5</v>
      </c>
      <c r="O1654" s="4">
        <f>IFERROR(Table25[[#This Row],[Total Amount bought]]/Table25[[#This Row],[Total number bought]],"")</f>
        <v>38.470821270462402</v>
      </c>
      <c r="P1654" s="4">
        <f>IFERROR((Table25[[#This Row],[Average sell price]]-Table25[[#This Row],[Average buy price]])*Table25[[#This Row],[Total Sold number of stocks]],0)</f>
        <v>-67.461736199999976</v>
      </c>
      <c r="Q1654" s="85">
        <f>SUMIF(Table25[[#All],[Assets]],Table25[[#This Row],[Assets]],Table25[[#All],[Number of stocks]])</f>
        <v>-3.5527136788005009E-15</v>
      </c>
    </row>
    <row r="1655" spans="1:17">
      <c r="A1655" t="e" vm="579">
        <v>#VALUE!</v>
      </c>
      <c r="B1655" s="2">
        <v>45917</v>
      </c>
      <c r="C1655" t="str" cm="1">
        <f t="array" aca="1" ref="C1655" ca="1">_FV(A1655,"Ticker symbol",TRUE)</f>
        <v>STSS</v>
      </c>
      <c r="D1655" s="4">
        <v>8.35</v>
      </c>
      <c r="E1655" s="50">
        <v>200</v>
      </c>
      <c r="F1655" s="81">
        <f>IF(Table25[[#This Row],[Number of stocks]]&gt;0,Table25[[#This Row],[Number of stocks]],0)</f>
        <v>200</v>
      </c>
      <c r="G1655" s="73">
        <f>Table25[[#This Row],[Bought]]*Table25[[#This Row],[Price]]</f>
        <v>1670</v>
      </c>
      <c r="H1655">
        <f>SUMIF(Table25[[#All],[Assets]],Table25[[#This Row],[Assets]],Table25[[#All],[Bought]])</f>
        <v>200</v>
      </c>
      <c r="I1655">
        <f>SUMIF(Table25[[#All],[Assets]],Table25[[#This Row],[Assets]],Table25[[#All],[Bought Amount]])</f>
        <v>1670</v>
      </c>
      <c r="J1655" s="88">
        <f>IF(Table25[[#This Row],[Number of stocks]]&lt;0,Table25[[#This Row],[Number of stocks]],0)</f>
        <v>0</v>
      </c>
      <c r="K1655" s="5">
        <f>Table25[[#This Row],[Sold]]*Table25[[#This Row],[Price]]</f>
        <v>0</v>
      </c>
      <c r="L1655" s="8">
        <f>ABS(SUMIF(Table25[[#All],[Assets]],Table25[[#This Row],[Assets]],Table25[[#All],[Sold]]))</f>
        <v>200</v>
      </c>
      <c r="M1655" s="5">
        <f>ABS(SUMIF(Table25[[#All],[Assets]],Table25[[#This Row],[Assets]],Table25[[#All],[Sold Amount]]))</f>
        <v>1330</v>
      </c>
      <c r="N1655" s="5">
        <f>IFERROR(Table25[[#This Row],[Total sold amount]]/Table25[[#This Row],[Total Sold number of stocks]],"")</f>
        <v>6.65</v>
      </c>
      <c r="O1655" s="4">
        <f>IFERROR(Table25[[#This Row],[Total Amount bought]]/Table25[[#This Row],[Total number bought]],"")</f>
        <v>8.35</v>
      </c>
      <c r="P1655" s="4">
        <f>IFERROR((Table25[[#This Row],[Average sell price]]-Table25[[#This Row],[Average buy price]])*Table25[[#This Row],[Total Sold number of stocks]],0)</f>
        <v>-339.99999999999989</v>
      </c>
      <c r="Q1655" s="85">
        <f>SUMIF(Table25[[#All],[Assets]],Table25[[#This Row],[Assets]],Table25[[#All],[Number of stocks]])</f>
        <v>0</v>
      </c>
    </row>
    <row r="1656" spans="1:17">
      <c r="A1656" t="e" vm="219">
        <v>#VALUE!</v>
      </c>
      <c r="B1656" s="2">
        <v>45918</v>
      </c>
      <c r="C1656" t="str" cm="1">
        <f t="array" aca="1" ref="C1656" ca="1">_FV(A1656,"Ticker symbol",TRUE)</f>
        <v>CLSK</v>
      </c>
      <c r="D1656" s="4">
        <v>13.4</v>
      </c>
      <c r="E1656" s="50">
        <v>17</v>
      </c>
      <c r="F1656" s="81">
        <f>IF(Table25[[#This Row],[Number of stocks]]&gt;0,Table25[[#This Row],[Number of stocks]],0)</f>
        <v>17</v>
      </c>
      <c r="G1656" s="73">
        <f>Table25[[#This Row],[Bought]]*Table25[[#This Row],[Price]]</f>
        <v>227.8</v>
      </c>
      <c r="H1656">
        <f>SUMIF(Table25[[#All],[Assets]],Table25[[#This Row],[Assets]],Table25[[#All],[Bought]])</f>
        <v>57</v>
      </c>
      <c r="I1656">
        <f>SUMIF(Table25[[#All],[Assets]],Table25[[#This Row],[Assets]],Table25[[#All],[Bought Amount]])</f>
        <v>761</v>
      </c>
      <c r="J1656" s="88">
        <f>IF(Table25[[#This Row],[Number of stocks]]&lt;0,Table25[[#This Row],[Number of stocks]],0)</f>
        <v>0</v>
      </c>
      <c r="K1656" s="5">
        <f>Table25[[#This Row],[Sold]]*Table25[[#This Row],[Price]]</f>
        <v>0</v>
      </c>
      <c r="L1656" s="8">
        <f>ABS(SUMIF(Table25[[#All],[Assets]],Table25[[#This Row],[Assets]],Table25[[#All],[Sold]]))</f>
        <v>57</v>
      </c>
      <c r="M1656" s="5">
        <f>ABS(SUMIF(Table25[[#All],[Assets]],Table25[[#This Row],[Assets]],Table25[[#All],[Sold Amount]]))</f>
        <v>1045.3599999999999</v>
      </c>
      <c r="N1656" s="5">
        <f>IFERROR(Table25[[#This Row],[Total sold amount]]/Table25[[#This Row],[Total Sold number of stocks]],"")</f>
        <v>18.339649122807018</v>
      </c>
      <c r="O1656" s="4">
        <f>IFERROR(Table25[[#This Row],[Total Amount bought]]/Table25[[#This Row],[Total number bought]],"")</f>
        <v>13.350877192982455</v>
      </c>
      <c r="P1656" s="4">
        <f>IFERROR((Table25[[#This Row],[Average sell price]]-Table25[[#This Row],[Average buy price]])*Table25[[#This Row],[Total Sold number of stocks]],0)</f>
        <v>284.36</v>
      </c>
      <c r="Q1656" s="85">
        <f>SUMIF(Table25[[#All],[Assets]],Table25[[#This Row],[Assets]],Table25[[#All],[Number of stocks]])</f>
        <v>0</v>
      </c>
    </row>
    <row r="1657" spans="1:17">
      <c r="A1657" t="e" vm="229">
        <v>#VALUE!</v>
      </c>
      <c r="B1657" s="2">
        <v>45918</v>
      </c>
      <c r="C1657" t="str" cm="1">
        <f t="array" aca="1" ref="C1657" ca="1">_FV(A1657,"Ticker symbol",TRUE)</f>
        <v>AEO</v>
      </c>
      <c r="D1657" s="4">
        <v>19.54</v>
      </c>
      <c r="E1657" s="50">
        <v>-50</v>
      </c>
      <c r="F1657" s="81">
        <f>IF(Table25[[#This Row],[Number of stocks]]&gt;0,Table25[[#This Row],[Number of stocks]],0)</f>
        <v>0</v>
      </c>
      <c r="G1657" s="73">
        <f>Table25[[#This Row],[Bought]]*Table25[[#This Row],[Price]]</f>
        <v>0</v>
      </c>
      <c r="H1657">
        <f>SUMIF(Table25[[#All],[Assets]],Table25[[#This Row],[Assets]],Table25[[#All],[Bought]])</f>
        <v>105</v>
      </c>
      <c r="I1657">
        <f>SUMIF(Table25[[#All],[Assets]],Table25[[#This Row],[Assets]],Table25[[#All],[Bought Amount]])</f>
        <v>1221.25</v>
      </c>
      <c r="J1657" s="88">
        <f>IF(Table25[[#This Row],[Number of stocks]]&lt;0,Table25[[#This Row],[Number of stocks]],0)</f>
        <v>-50</v>
      </c>
      <c r="K1657" s="5">
        <f>Table25[[#This Row],[Sold]]*Table25[[#This Row],[Price]]</f>
        <v>-977</v>
      </c>
      <c r="L1657" s="8">
        <f>ABS(SUMIF(Table25[[#All],[Assets]],Table25[[#This Row],[Assets]],Table25[[#All],[Sold]]))</f>
        <v>105</v>
      </c>
      <c r="M1657" s="5">
        <f>ABS(SUMIF(Table25[[#All],[Assets]],Table25[[#This Row],[Assets]],Table25[[#All],[Sold Amount]]))</f>
        <v>2003.4</v>
      </c>
      <c r="N1657" s="5">
        <f>IFERROR(Table25[[#This Row],[Total sold amount]]/Table25[[#This Row],[Total Sold number of stocks]],"")</f>
        <v>19.080000000000002</v>
      </c>
      <c r="O1657" s="4">
        <f>IFERROR(Table25[[#This Row],[Total Amount bought]]/Table25[[#This Row],[Total number bought]],"")</f>
        <v>11.630952380952381</v>
      </c>
      <c r="P1657" s="4">
        <f>IFERROR((Table25[[#This Row],[Average sell price]]-Table25[[#This Row],[Average buy price]])*Table25[[#This Row],[Total Sold number of stocks]],0)</f>
        <v>782.1500000000002</v>
      </c>
      <c r="Q1657" s="85">
        <f>SUMIF(Table25[[#All],[Assets]],Table25[[#This Row],[Assets]],Table25[[#All],[Number of stocks]])</f>
        <v>0</v>
      </c>
    </row>
    <row r="1658" spans="1:17">
      <c r="A1658" t="e" vm="219">
        <v>#VALUE!</v>
      </c>
      <c r="B1658" s="2">
        <v>45918</v>
      </c>
      <c r="C1658" t="str" cm="1">
        <f t="array" aca="1" ref="C1658" ca="1">_FV(A1658,"Ticker symbol",TRUE)</f>
        <v>CLSK</v>
      </c>
      <c r="D1658" s="4">
        <v>13.33</v>
      </c>
      <c r="E1658" s="50">
        <v>40</v>
      </c>
      <c r="F1658" s="81">
        <f>IF(Table25[[#This Row],[Number of stocks]]&gt;0,Table25[[#This Row],[Number of stocks]],0)</f>
        <v>40</v>
      </c>
      <c r="G1658" s="73">
        <f>Table25[[#This Row],[Bought]]*Table25[[#This Row],[Price]]</f>
        <v>533.20000000000005</v>
      </c>
      <c r="H1658">
        <f>SUMIF(Table25[[#All],[Assets]],Table25[[#This Row],[Assets]],Table25[[#All],[Bought]])</f>
        <v>57</v>
      </c>
      <c r="I1658">
        <f>SUMIF(Table25[[#All],[Assets]],Table25[[#This Row],[Assets]],Table25[[#All],[Bought Amount]])</f>
        <v>761</v>
      </c>
      <c r="J1658" s="88">
        <f>IF(Table25[[#This Row],[Number of stocks]]&lt;0,Table25[[#This Row],[Number of stocks]],0)</f>
        <v>0</v>
      </c>
      <c r="K1658" s="5">
        <f>Table25[[#This Row],[Sold]]*Table25[[#This Row],[Price]]</f>
        <v>0</v>
      </c>
      <c r="L1658" s="8">
        <f>ABS(SUMIF(Table25[[#All],[Assets]],Table25[[#This Row],[Assets]],Table25[[#All],[Sold]]))</f>
        <v>57</v>
      </c>
      <c r="M1658" s="5">
        <f>ABS(SUMIF(Table25[[#All],[Assets]],Table25[[#This Row],[Assets]],Table25[[#All],[Sold Amount]]))</f>
        <v>1045.3599999999999</v>
      </c>
      <c r="N1658" s="5">
        <f>IFERROR(Table25[[#This Row],[Total sold amount]]/Table25[[#This Row],[Total Sold number of stocks]],"")</f>
        <v>18.339649122807018</v>
      </c>
      <c r="O1658" s="4">
        <f>IFERROR(Table25[[#This Row],[Total Amount bought]]/Table25[[#This Row],[Total number bought]],"")</f>
        <v>13.350877192982455</v>
      </c>
      <c r="P1658" s="4">
        <f>IFERROR((Table25[[#This Row],[Average sell price]]-Table25[[#This Row],[Average buy price]])*Table25[[#This Row],[Total Sold number of stocks]],0)</f>
        <v>284.36</v>
      </c>
      <c r="Q1658" s="85">
        <f>SUMIF(Table25[[#All],[Assets]],Table25[[#This Row],[Assets]],Table25[[#All],[Number of stocks]])</f>
        <v>0</v>
      </c>
    </row>
    <row r="1659" spans="1:17">
      <c r="A1659" t="e" vm="64">
        <v>#VALUE!</v>
      </c>
      <c r="B1659" s="2">
        <v>45918</v>
      </c>
      <c r="C1659" t="str" cm="1">
        <f t="array" aca="1" ref="C1659" ca="1">_FV(A1659,"Ticker symbol",TRUE)</f>
        <v>LULU</v>
      </c>
      <c r="D1659" s="4">
        <v>168.99</v>
      </c>
      <c r="E1659" s="50">
        <v>3</v>
      </c>
      <c r="F1659" s="81">
        <f>IF(Table25[[#This Row],[Number of stocks]]&gt;0,Table25[[#This Row],[Number of stocks]],0)</f>
        <v>3</v>
      </c>
      <c r="G1659" s="73">
        <f>Table25[[#This Row],[Bought]]*Table25[[#This Row],[Price]]</f>
        <v>506.97</v>
      </c>
      <c r="H1659">
        <f>SUMIF(Table25[[#All],[Assets]],Table25[[#This Row],[Assets]],Table25[[#All],[Bought]])</f>
        <v>26</v>
      </c>
      <c r="I1659">
        <f>SUMIF(Table25[[#All],[Assets]],Table25[[#This Row],[Assets]],Table25[[#All],[Bought Amount]])</f>
        <v>6272.2400000000007</v>
      </c>
      <c r="J1659" s="88">
        <f>IF(Table25[[#This Row],[Number of stocks]]&lt;0,Table25[[#This Row],[Number of stocks]],0)</f>
        <v>0</v>
      </c>
      <c r="K1659" s="5">
        <f>Table25[[#This Row],[Sold]]*Table25[[#This Row],[Price]]</f>
        <v>0</v>
      </c>
      <c r="L1659" s="8">
        <f>ABS(SUMIF(Table25[[#All],[Assets]],Table25[[#This Row],[Assets]],Table25[[#All],[Sold]]))</f>
        <v>26</v>
      </c>
      <c r="M1659" s="5">
        <f>ABS(SUMIF(Table25[[#All],[Assets]],Table25[[#This Row],[Assets]],Table25[[#All],[Sold Amount]]))</f>
        <v>6958.9199999999992</v>
      </c>
      <c r="N1659" s="5">
        <f>IFERROR(Table25[[#This Row],[Total sold amount]]/Table25[[#This Row],[Total Sold number of stocks]],"")</f>
        <v>267.65076923076919</v>
      </c>
      <c r="O1659" s="4">
        <f>IFERROR(Table25[[#This Row],[Total Amount bought]]/Table25[[#This Row],[Total number bought]],"")</f>
        <v>241.24000000000004</v>
      </c>
      <c r="P1659" s="4">
        <f>IFERROR((Table25[[#This Row],[Average sell price]]-Table25[[#This Row],[Average buy price]])*Table25[[#This Row],[Total Sold number of stocks]],0)</f>
        <v>686.67999999999779</v>
      </c>
      <c r="Q1659" s="85">
        <f>SUMIF(Table25[[#All],[Assets]],Table25[[#This Row],[Assets]],Table25[[#All],[Number of stocks]])</f>
        <v>0</v>
      </c>
    </row>
    <row r="1660" spans="1:17">
      <c r="A1660" t="e" vm="192">
        <v>#VALUE!</v>
      </c>
      <c r="B1660" s="2">
        <v>45918</v>
      </c>
      <c r="C1660" t="str" cm="1">
        <f t="array" aca="1" ref="C1660" ca="1">_FV(A1660,"Ticker symbol",TRUE)</f>
        <v>NUTX</v>
      </c>
      <c r="D1660" s="4">
        <v>90.09</v>
      </c>
      <c r="E1660" s="50">
        <v>-4</v>
      </c>
      <c r="F1660" s="81">
        <f>IF(Table25[[#This Row],[Number of stocks]]&gt;0,Table25[[#This Row],[Number of stocks]],0)</f>
        <v>0</v>
      </c>
      <c r="G1660" s="73">
        <f>Table25[[#This Row],[Bought]]*Table25[[#This Row],[Price]]</f>
        <v>0</v>
      </c>
      <c r="H1660">
        <f>SUMIF(Table25[[#All],[Assets]],Table25[[#This Row],[Assets]],Table25[[#All],[Bought]])</f>
        <v>14</v>
      </c>
      <c r="I1660">
        <f>SUMIF(Table25[[#All],[Assets]],Table25[[#This Row],[Assets]],Table25[[#All],[Bought Amount]])</f>
        <v>1201.06</v>
      </c>
      <c r="J1660" s="88">
        <f>IF(Table25[[#This Row],[Number of stocks]]&lt;0,Table25[[#This Row],[Number of stocks]],0)</f>
        <v>-4</v>
      </c>
      <c r="K1660" s="5">
        <f>Table25[[#This Row],[Sold]]*Table25[[#This Row],[Price]]</f>
        <v>-360.36</v>
      </c>
      <c r="L1660" s="8">
        <f>ABS(SUMIF(Table25[[#All],[Assets]],Table25[[#This Row],[Assets]],Table25[[#All],[Sold]]))</f>
        <v>7</v>
      </c>
      <c r="M1660" s="5">
        <f>ABS(SUMIF(Table25[[#All],[Assets]],Table25[[#This Row],[Assets]],Table25[[#All],[Sold Amount]]))</f>
        <v>816.18000000000006</v>
      </c>
      <c r="N1660" s="5">
        <f>IFERROR(Table25[[#This Row],[Total sold amount]]/Table25[[#This Row],[Total Sold number of stocks]],"")</f>
        <v>116.59714285714287</v>
      </c>
      <c r="O1660" s="4">
        <f>IFERROR(Table25[[#This Row],[Total Amount bought]]/Table25[[#This Row],[Total number bought]],"")</f>
        <v>85.789999999999992</v>
      </c>
      <c r="P1660" s="4">
        <f>IFERROR((Table25[[#This Row],[Average sell price]]-Table25[[#This Row],[Average buy price]])*Table25[[#This Row],[Total Sold number of stocks]],0)</f>
        <v>215.65000000000015</v>
      </c>
      <c r="Q1660" s="85">
        <f>SUMIF(Table25[[#All],[Assets]],Table25[[#This Row],[Assets]],Table25[[#All],[Number of stocks]])</f>
        <v>7</v>
      </c>
    </row>
    <row r="1661" spans="1:17">
      <c r="A1661" t="e" vm="13">
        <v>#VALUE!</v>
      </c>
      <c r="B1661" s="2">
        <v>45919</v>
      </c>
      <c r="C1661" t="str" cm="1">
        <f t="array" aca="1" ref="C1661" ca="1">_FV(A1661,"Ticker symbol",TRUE)</f>
        <v>ON</v>
      </c>
      <c r="D1661" s="4">
        <v>50.57</v>
      </c>
      <c r="E1661" s="50">
        <v>-22</v>
      </c>
      <c r="F1661" s="81">
        <f>IF(Table25[[#This Row],[Number of stocks]]&gt;0,Table25[[#This Row],[Number of stocks]],0)</f>
        <v>0</v>
      </c>
      <c r="G1661" s="73">
        <f>Table25[[#This Row],[Bought]]*Table25[[#This Row],[Price]]</f>
        <v>0</v>
      </c>
      <c r="H1661">
        <f>SUMIF(Table25[[#All],[Assets]],Table25[[#This Row],[Assets]],Table25[[#All],[Bought]])</f>
        <v>326</v>
      </c>
      <c r="I1661">
        <f>SUMIF(Table25[[#All],[Assets]],Table25[[#This Row],[Assets]],Table25[[#All],[Bought Amount]])</f>
        <v>19172.809999999998</v>
      </c>
      <c r="J1661" s="88">
        <f>IF(Table25[[#This Row],[Number of stocks]]&lt;0,Table25[[#This Row],[Number of stocks]],0)</f>
        <v>-22</v>
      </c>
      <c r="K1661" s="5">
        <f>Table25[[#This Row],[Sold]]*Table25[[#This Row],[Price]]</f>
        <v>-1112.54</v>
      </c>
      <c r="L1661" s="8">
        <f>ABS(SUMIF(Table25[[#All],[Assets]],Table25[[#This Row],[Assets]],Table25[[#All],[Sold]]))</f>
        <v>283</v>
      </c>
      <c r="M1661" s="5">
        <f>ABS(SUMIF(Table25[[#All],[Assets]],Table25[[#This Row],[Assets]],Table25[[#All],[Sold Amount]]))</f>
        <v>15700.74</v>
      </c>
      <c r="N1661" s="5">
        <f>IFERROR(Table25[[#This Row],[Total sold amount]]/Table25[[#This Row],[Total Sold number of stocks]],"")</f>
        <v>55.47964664310954</v>
      </c>
      <c r="O1661" s="4">
        <f>IFERROR(Table25[[#This Row],[Total Amount bought]]/Table25[[#This Row],[Total number bought]],"")</f>
        <v>58.812300613496923</v>
      </c>
      <c r="P1661" s="4">
        <f>IFERROR((Table25[[#This Row],[Average sell price]]-Table25[[#This Row],[Average buy price]])*Table25[[#This Row],[Total Sold number of stocks]],0)</f>
        <v>-943.14107361962954</v>
      </c>
      <c r="Q1661" s="85">
        <f>SUMIF(Table25[[#All],[Assets]],Table25[[#This Row],[Assets]],Table25[[#All],[Number of stocks]])</f>
        <v>43</v>
      </c>
    </row>
    <row r="1662" spans="1:17">
      <c r="A1662" t="e" vm="181">
        <v>#VALUE!</v>
      </c>
      <c r="B1662" s="2">
        <v>45919</v>
      </c>
      <c r="C1662" t="str" cm="1">
        <f t="array" aca="1" ref="C1662" ca="1">_FV(A1662,"Ticker symbol",TRUE)</f>
        <v>TIC</v>
      </c>
      <c r="D1662" s="4">
        <v>14.43</v>
      </c>
      <c r="E1662" s="50">
        <v>62</v>
      </c>
      <c r="F1662" s="81">
        <f>IF(Table25[[#This Row],[Number of stocks]]&gt;0,Table25[[#This Row],[Number of stocks]],0)</f>
        <v>62</v>
      </c>
      <c r="G1662" s="73">
        <f>Table25[[#This Row],[Bought]]*Table25[[#This Row],[Price]]</f>
        <v>894.66</v>
      </c>
      <c r="H1662">
        <f>SUMIF(Table25[[#All],[Assets]],Table25[[#This Row],[Assets]],Table25[[#All],[Bought]])</f>
        <v>487</v>
      </c>
      <c r="I1662">
        <f>SUMIF(Table25[[#All],[Assets]],Table25[[#This Row],[Assets]],Table25[[#All],[Bought Amount]])</f>
        <v>6140.8099999999995</v>
      </c>
      <c r="J1662" s="88">
        <f>IF(Table25[[#This Row],[Number of stocks]]&lt;0,Table25[[#This Row],[Number of stocks]],0)</f>
        <v>0</v>
      </c>
      <c r="K1662" s="5">
        <f>Table25[[#This Row],[Sold]]*Table25[[#This Row],[Price]]</f>
        <v>0</v>
      </c>
      <c r="L1662" s="8">
        <f>ABS(SUMIF(Table25[[#All],[Assets]],Table25[[#This Row],[Assets]],Table25[[#All],[Sold]]))</f>
        <v>397</v>
      </c>
      <c r="M1662" s="5">
        <f>ABS(SUMIF(Table25[[#All],[Assets]],Table25[[#This Row],[Assets]],Table25[[#All],[Sold Amount]]))</f>
        <v>3999.4</v>
      </c>
      <c r="N1662" s="5">
        <f>IFERROR(Table25[[#This Row],[Total sold amount]]/Table25[[#This Row],[Total Sold number of stocks]],"")</f>
        <v>10.074055415617128</v>
      </c>
      <c r="O1662" s="4">
        <f>IFERROR(Table25[[#This Row],[Total Amount bought]]/Table25[[#This Row],[Total number bought]],"")</f>
        <v>12.609466119096508</v>
      </c>
      <c r="P1662" s="4">
        <f>IFERROR((Table25[[#This Row],[Average sell price]]-Table25[[#This Row],[Average buy price]])*Table25[[#This Row],[Total Sold number of stocks]],0)</f>
        <v>-1006.558049281314</v>
      </c>
      <c r="Q1662" s="85">
        <f>SUMIF(Table25[[#All],[Assets]],Table25[[#This Row],[Assets]],Table25[[#All],[Number of stocks]])</f>
        <v>90</v>
      </c>
    </row>
    <row r="1663" spans="1:17">
      <c r="A1663" t="e" vm="11">
        <v>#VALUE!</v>
      </c>
      <c r="B1663" s="2">
        <v>45919</v>
      </c>
      <c r="C1663" t="str" cm="1">
        <f t="array" aca="1" ref="C1663" ca="1">_FV(A1663,"Ticker symbol",TRUE)</f>
        <v>AMZN</v>
      </c>
      <c r="D1663" s="4">
        <v>233.33</v>
      </c>
      <c r="E1663" s="50">
        <v>-4</v>
      </c>
      <c r="F1663" s="81">
        <f>IF(Table25[[#This Row],[Number of stocks]]&gt;0,Table25[[#This Row],[Number of stocks]],0)</f>
        <v>0</v>
      </c>
      <c r="G1663" s="73">
        <f>Table25[[#This Row],[Bought]]*Table25[[#This Row],[Price]]</f>
        <v>0</v>
      </c>
      <c r="H1663">
        <f>SUMIF(Table25[[#All],[Assets]],Table25[[#This Row],[Assets]],Table25[[#All],[Bought]])</f>
        <v>14</v>
      </c>
      <c r="I1663">
        <f>SUMIF(Table25[[#All],[Assets]],Table25[[#This Row],[Assets]],Table25[[#All],[Bought Amount]])</f>
        <v>2779.23</v>
      </c>
      <c r="J1663" s="88">
        <f>IF(Table25[[#This Row],[Number of stocks]]&lt;0,Table25[[#This Row],[Number of stocks]],0)</f>
        <v>-4</v>
      </c>
      <c r="K1663" s="5">
        <f>Table25[[#This Row],[Sold]]*Table25[[#This Row],[Price]]</f>
        <v>-933.32</v>
      </c>
      <c r="L1663" s="8">
        <f>ABS(SUMIF(Table25[[#All],[Assets]],Table25[[#This Row],[Assets]],Table25[[#All],[Sold]]))</f>
        <v>9</v>
      </c>
      <c r="M1663" s="5">
        <f>ABS(SUMIF(Table25[[#All],[Assets]],Table25[[#This Row],[Assets]],Table25[[#All],[Sold Amount]]))</f>
        <v>1854.81</v>
      </c>
      <c r="N1663" s="5">
        <f>IFERROR(Table25[[#This Row],[Total sold amount]]/Table25[[#This Row],[Total Sold number of stocks]],"")</f>
        <v>206.09</v>
      </c>
      <c r="O1663" s="4">
        <f>IFERROR(Table25[[#This Row],[Total Amount bought]]/Table25[[#This Row],[Total number bought]],"")</f>
        <v>198.51642857142858</v>
      </c>
      <c r="P1663" s="4">
        <f>IFERROR((Table25[[#This Row],[Average sell price]]-Table25[[#This Row],[Average buy price]])*Table25[[#This Row],[Total Sold number of stocks]],0)</f>
        <v>68.16214285714284</v>
      </c>
      <c r="Q1663" s="85">
        <f>SUMIF(Table25[[#All],[Assets]],Table25[[#This Row],[Assets]],Table25[[#All],[Number of stocks]])</f>
        <v>5</v>
      </c>
    </row>
    <row r="1664" spans="1:17">
      <c r="A1664" t="e" vm="243">
        <v>#VALUE!</v>
      </c>
      <c r="B1664" s="2">
        <v>45919</v>
      </c>
      <c r="C1664" t="str" cm="1">
        <f t="array" aca="1" ref="C1664" ca="1">_FV(A1664,"Ticker symbol",TRUE)</f>
        <v>CRWD</v>
      </c>
      <c r="D1664" s="4">
        <v>499.25</v>
      </c>
      <c r="E1664" s="50">
        <v>-1</v>
      </c>
      <c r="F1664" s="81">
        <f>IF(Table25[[#This Row],[Number of stocks]]&gt;0,Table25[[#This Row],[Number of stocks]],0)</f>
        <v>0</v>
      </c>
      <c r="G1664" s="73">
        <f>Table25[[#This Row],[Bought]]*Table25[[#This Row],[Price]]</f>
        <v>0</v>
      </c>
      <c r="H1664">
        <f>SUMIF(Table25[[#All],[Assets]],Table25[[#This Row],[Assets]],Table25[[#All],[Bought]])</f>
        <v>1</v>
      </c>
      <c r="I1664">
        <f>SUMIF(Table25[[#All],[Assets]],Table25[[#This Row],[Assets]],Table25[[#All],[Bought Amount]])</f>
        <v>429.27</v>
      </c>
      <c r="J1664" s="88">
        <f>IF(Table25[[#This Row],[Number of stocks]]&lt;0,Table25[[#This Row],[Number of stocks]],0)</f>
        <v>-1</v>
      </c>
      <c r="K1664" s="5">
        <f>Table25[[#This Row],[Sold]]*Table25[[#This Row],[Price]]</f>
        <v>-499.25</v>
      </c>
      <c r="L1664" s="8">
        <f>ABS(SUMIF(Table25[[#All],[Assets]],Table25[[#This Row],[Assets]],Table25[[#All],[Sold]]))</f>
        <v>1</v>
      </c>
      <c r="M1664" s="5">
        <f>ABS(SUMIF(Table25[[#All],[Assets]],Table25[[#This Row],[Assets]],Table25[[#All],[Sold Amount]]))</f>
        <v>499.25</v>
      </c>
      <c r="N1664" s="5">
        <f>IFERROR(Table25[[#This Row],[Total sold amount]]/Table25[[#This Row],[Total Sold number of stocks]],"")</f>
        <v>499.25</v>
      </c>
      <c r="O1664" s="4">
        <f>IFERROR(Table25[[#This Row],[Total Amount bought]]/Table25[[#This Row],[Total number bought]],"")</f>
        <v>429.27</v>
      </c>
      <c r="P1664" s="4">
        <f>IFERROR((Table25[[#This Row],[Average sell price]]-Table25[[#This Row],[Average buy price]])*Table25[[#This Row],[Total Sold number of stocks]],0)</f>
        <v>69.980000000000018</v>
      </c>
      <c r="Q1664" s="85">
        <f>SUMIF(Table25[[#All],[Assets]],Table25[[#This Row],[Assets]],Table25[[#All],[Number of stocks]])</f>
        <v>0</v>
      </c>
    </row>
    <row r="1665" spans="1:17">
      <c r="A1665" t="e" vm="228">
        <v>#VALUE!</v>
      </c>
      <c r="B1665" s="2">
        <v>45919</v>
      </c>
      <c r="C1665" t="str" cm="1">
        <f t="array" aca="1" ref="C1665" ca="1">_FV(A1665,"Ticker symbol",TRUE)</f>
        <v>BILL</v>
      </c>
      <c r="D1665" s="4">
        <v>52.8</v>
      </c>
      <c r="E1665" s="50">
        <v>-2</v>
      </c>
      <c r="F1665" s="81">
        <f>IF(Table25[[#This Row],[Number of stocks]]&gt;0,Table25[[#This Row],[Number of stocks]],0)</f>
        <v>0</v>
      </c>
      <c r="G1665" s="73">
        <f>Table25[[#This Row],[Bought]]*Table25[[#This Row],[Price]]</f>
        <v>0</v>
      </c>
      <c r="H1665">
        <f>SUMIF(Table25[[#All],[Assets]],Table25[[#This Row],[Assets]],Table25[[#All],[Bought]])</f>
        <v>101</v>
      </c>
      <c r="I1665">
        <f>SUMIF(Table25[[#All],[Assets]],Table25[[#This Row],[Assets]],Table25[[#All],[Bought Amount]])</f>
        <v>5292.3600000000006</v>
      </c>
      <c r="J1665" s="88">
        <f>IF(Table25[[#This Row],[Number of stocks]]&lt;0,Table25[[#This Row],[Number of stocks]],0)</f>
        <v>-2</v>
      </c>
      <c r="K1665" s="5">
        <f>Table25[[#This Row],[Sold]]*Table25[[#This Row],[Price]]</f>
        <v>-105.6</v>
      </c>
      <c r="L1665" s="8">
        <f>ABS(SUMIF(Table25[[#All],[Assets]],Table25[[#This Row],[Assets]],Table25[[#All],[Sold]]))</f>
        <v>101</v>
      </c>
      <c r="M1665" s="5">
        <f>ABS(SUMIF(Table25[[#All],[Assets]],Table25[[#This Row],[Assets]],Table25[[#All],[Sold Amount]]))</f>
        <v>5973.49</v>
      </c>
      <c r="N1665" s="5">
        <f>IFERROR(Table25[[#This Row],[Total sold amount]]/Table25[[#This Row],[Total Sold number of stocks]],"")</f>
        <v>59.143465346534654</v>
      </c>
      <c r="O1665" s="4">
        <f>IFERROR(Table25[[#This Row],[Total Amount bought]]/Table25[[#This Row],[Total number bought]],"")</f>
        <v>52.399603960396043</v>
      </c>
      <c r="P1665" s="4">
        <f>IFERROR((Table25[[#This Row],[Average sell price]]-Table25[[#This Row],[Average buy price]])*Table25[[#This Row],[Total Sold number of stocks]],0)</f>
        <v>681.12999999999977</v>
      </c>
      <c r="Q1665" s="85">
        <f>SUMIF(Table25[[#All],[Assets]],Table25[[#This Row],[Assets]],Table25[[#All],[Number of stocks]])</f>
        <v>0</v>
      </c>
    </row>
    <row r="1666" spans="1:17">
      <c r="A1666" t="e" vm="291">
        <v>#VALUE!</v>
      </c>
      <c r="B1666" s="2">
        <v>45919</v>
      </c>
      <c r="C1666" t="str" cm="1">
        <f t="array" aca="1" ref="C1666" ca="1">_FV(A1666,"Ticker symbol",TRUE)</f>
        <v>HIMS</v>
      </c>
      <c r="D1666" s="4">
        <v>58.37</v>
      </c>
      <c r="E1666" s="50">
        <v>-6</v>
      </c>
      <c r="F1666" s="81">
        <f>IF(Table25[[#This Row],[Number of stocks]]&gt;0,Table25[[#This Row],[Number of stocks]],0)</f>
        <v>0</v>
      </c>
      <c r="G1666" s="73">
        <f>Table25[[#This Row],[Bought]]*Table25[[#This Row],[Price]]</f>
        <v>0</v>
      </c>
      <c r="H1666">
        <f>SUMIF(Table25[[#All],[Assets]],Table25[[#This Row],[Assets]],Table25[[#All],[Bought]])</f>
        <v>6</v>
      </c>
      <c r="I1666">
        <f>SUMIF(Table25[[#All],[Assets]],Table25[[#This Row],[Assets]],Table25[[#All],[Bought Amount]])</f>
        <v>287.28000000000003</v>
      </c>
      <c r="J1666" s="88">
        <f>IF(Table25[[#This Row],[Number of stocks]]&lt;0,Table25[[#This Row],[Number of stocks]],0)</f>
        <v>-6</v>
      </c>
      <c r="K1666" s="5">
        <f>Table25[[#This Row],[Sold]]*Table25[[#This Row],[Price]]</f>
        <v>-350.21999999999997</v>
      </c>
      <c r="L1666" s="8">
        <f>ABS(SUMIF(Table25[[#All],[Assets]],Table25[[#This Row],[Assets]],Table25[[#All],[Sold]]))</f>
        <v>6</v>
      </c>
      <c r="M1666" s="5">
        <f>ABS(SUMIF(Table25[[#All],[Assets]],Table25[[#This Row],[Assets]],Table25[[#All],[Sold Amount]]))</f>
        <v>350.21999999999997</v>
      </c>
      <c r="N1666" s="5">
        <f>IFERROR(Table25[[#This Row],[Total sold amount]]/Table25[[#This Row],[Total Sold number of stocks]],"")</f>
        <v>58.37</v>
      </c>
      <c r="O1666" s="4">
        <f>IFERROR(Table25[[#This Row],[Total Amount bought]]/Table25[[#This Row],[Total number bought]],"")</f>
        <v>47.88</v>
      </c>
      <c r="P1666" s="4">
        <f>IFERROR((Table25[[#This Row],[Average sell price]]-Table25[[#This Row],[Average buy price]])*Table25[[#This Row],[Total Sold number of stocks]],0)</f>
        <v>62.939999999999969</v>
      </c>
      <c r="Q1666" s="85">
        <f>SUMIF(Table25[[#All],[Assets]],Table25[[#This Row],[Assets]],Table25[[#All],[Number of stocks]])</f>
        <v>0</v>
      </c>
    </row>
    <row r="1667" spans="1:17">
      <c r="A1667" t="e" vm="232">
        <v>#VALUE!</v>
      </c>
      <c r="B1667" s="2">
        <v>45919</v>
      </c>
      <c r="C1667" t="str" cm="1">
        <f t="array" aca="1" ref="C1667" ca="1">_FV(A1667,"Ticker symbol",TRUE)</f>
        <v>FEIM</v>
      </c>
      <c r="D1667" s="4">
        <v>29.9</v>
      </c>
      <c r="E1667" s="50">
        <v>-17</v>
      </c>
      <c r="F1667" s="81">
        <f>IF(Table25[[#This Row],[Number of stocks]]&gt;0,Table25[[#This Row],[Number of stocks]],0)</f>
        <v>0</v>
      </c>
      <c r="G1667" s="73">
        <f>Table25[[#This Row],[Bought]]*Table25[[#This Row],[Price]]</f>
        <v>0</v>
      </c>
      <c r="H1667">
        <f>SUMIF(Table25[[#All],[Assets]],Table25[[#This Row],[Assets]],Table25[[#All],[Bought]])</f>
        <v>44</v>
      </c>
      <c r="I1667">
        <f>SUMIF(Table25[[#All],[Assets]],Table25[[#This Row],[Assets]],Table25[[#All],[Bought Amount]])</f>
        <v>1365.1</v>
      </c>
      <c r="J1667" s="88">
        <f>IF(Table25[[#This Row],[Number of stocks]]&lt;0,Table25[[#This Row],[Number of stocks]],0)</f>
        <v>-17</v>
      </c>
      <c r="K1667" s="5">
        <f>Table25[[#This Row],[Sold]]*Table25[[#This Row],[Price]]</f>
        <v>-508.29999999999995</v>
      </c>
      <c r="L1667" s="8">
        <f>ABS(SUMIF(Table25[[#All],[Assets]],Table25[[#This Row],[Assets]],Table25[[#All],[Sold]]))</f>
        <v>44</v>
      </c>
      <c r="M1667" s="5">
        <f>ABS(SUMIF(Table25[[#All],[Assets]],Table25[[#This Row],[Assets]],Table25[[#All],[Sold Amount]]))</f>
        <v>1369.4299999999998</v>
      </c>
      <c r="N1667" s="5">
        <f>IFERROR(Table25[[#This Row],[Total sold amount]]/Table25[[#This Row],[Total Sold number of stocks]],"")</f>
        <v>31.123409090909089</v>
      </c>
      <c r="O1667" s="4">
        <f>IFERROR(Table25[[#This Row],[Total Amount bought]]/Table25[[#This Row],[Total number bought]],"")</f>
        <v>31.024999999999999</v>
      </c>
      <c r="P1667" s="4">
        <f>IFERROR((Table25[[#This Row],[Average sell price]]-Table25[[#This Row],[Average buy price]])*Table25[[#This Row],[Total Sold number of stocks]],0)</f>
        <v>4.3299999999999699</v>
      </c>
      <c r="Q1667" s="85">
        <f>SUMIF(Table25[[#All],[Assets]],Table25[[#This Row],[Assets]],Table25[[#All],[Number of stocks]])</f>
        <v>0</v>
      </c>
    </row>
    <row r="1668" spans="1:17">
      <c r="A1668" t="e" vm="237">
        <v>#VALUE!</v>
      </c>
      <c r="B1668" s="2">
        <v>45919</v>
      </c>
      <c r="C1668" t="str" cm="1">
        <f t="array" aca="1" ref="C1668" ca="1">_FV(A1668,"Ticker symbol",TRUE)</f>
        <v>SNWV</v>
      </c>
      <c r="D1668" s="4">
        <v>34.979999999999997</v>
      </c>
      <c r="E1668" s="50">
        <v>-17</v>
      </c>
      <c r="F1668" s="81">
        <f>IF(Table25[[#This Row],[Number of stocks]]&gt;0,Table25[[#This Row],[Number of stocks]],0)</f>
        <v>0</v>
      </c>
      <c r="G1668" s="73">
        <f>Table25[[#This Row],[Bought]]*Table25[[#This Row],[Price]]</f>
        <v>0</v>
      </c>
      <c r="H1668">
        <f>SUMIF(Table25[[#All],[Assets]],Table25[[#This Row],[Assets]],Table25[[#All],[Bought]])</f>
        <v>17</v>
      </c>
      <c r="I1668">
        <f>SUMIF(Table25[[#All],[Assets]],Table25[[#This Row],[Assets]],Table25[[#All],[Bought Amount]])</f>
        <v>667.25</v>
      </c>
      <c r="J1668" s="88">
        <f>IF(Table25[[#This Row],[Number of stocks]]&lt;0,Table25[[#This Row],[Number of stocks]],0)</f>
        <v>-17</v>
      </c>
      <c r="K1668" s="5">
        <f>Table25[[#This Row],[Sold]]*Table25[[#This Row],[Price]]</f>
        <v>-594.66</v>
      </c>
      <c r="L1668" s="8">
        <f>ABS(SUMIF(Table25[[#All],[Assets]],Table25[[#This Row],[Assets]],Table25[[#All],[Sold]]))</f>
        <v>17</v>
      </c>
      <c r="M1668" s="5">
        <f>ABS(SUMIF(Table25[[#All],[Assets]],Table25[[#This Row],[Assets]],Table25[[#All],[Sold Amount]]))</f>
        <v>594.66</v>
      </c>
      <c r="N1668" s="5">
        <f>IFERROR(Table25[[#This Row],[Total sold amount]]/Table25[[#This Row],[Total Sold number of stocks]],"")</f>
        <v>34.979999999999997</v>
      </c>
      <c r="O1668" s="4">
        <f>IFERROR(Table25[[#This Row],[Total Amount bought]]/Table25[[#This Row],[Total number bought]],"")</f>
        <v>39.25</v>
      </c>
      <c r="P1668" s="4">
        <f>IFERROR((Table25[[#This Row],[Average sell price]]-Table25[[#This Row],[Average buy price]])*Table25[[#This Row],[Total Sold number of stocks]],0)</f>
        <v>-72.59000000000006</v>
      </c>
      <c r="Q1668" s="85">
        <f>SUMIF(Table25[[#All],[Assets]],Table25[[#This Row],[Assets]],Table25[[#All],[Number of stocks]])</f>
        <v>0</v>
      </c>
    </row>
    <row r="1669" spans="1:17">
      <c r="A1669" t="e" vm="245">
        <v>#VALUE!</v>
      </c>
      <c r="B1669" s="2">
        <v>45919</v>
      </c>
      <c r="C1669" t="str" cm="1">
        <f t="array" aca="1" ref="C1669" ca="1">_FV(A1669,"Ticker symbol",TRUE)</f>
        <v>ANGI</v>
      </c>
      <c r="D1669" s="4">
        <v>18.29</v>
      </c>
      <c r="E1669" s="50">
        <v>-12</v>
      </c>
      <c r="F1669" s="81">
        <f>IF(Table25[[#This Row],[Number of stocks]]&gt;0,Table25[[#This Row],[Number of stocks]],0)</f>
        <v>0</v>
      </c>
      <c r="G1669" s="73">
        <f>Table25[[#This Row],[Bought]]*Table25[[#This Row],[Price]]</f>
        <v>0</v>
      </c>
      <c r="H1669">
        <f>SUMIF(Table25[[#All],[Assets]],Table25[[#This Row],[Assets]],Table25[[#All],[Bought]])</f>
        <v>12</v>
      </c>
      <c r="I1669">
        <f>SUMIF(Table25[[#All],[Assets]],Table25[[#This Row],[Assets]],Table25[[#All],[Bought Amount]])</f>
        <v>218.52</v>
      </c>
      <c r="J1669" s="88">
        <f>IF(Table25[[#This Row],[Number of stocks]]&lt;0,Table25[[#This Row],[Number of stocks]],0)</f>
        <v>-12</v>
      </c>
      <c r="K1669" s="5">
        <f>Table25[[#This Row],[Sold]]*Table25[[#This Row],[Price]]</f>
        <v>-219.48</v>
      </c>
      <c r="L1669" s="8">
        <f>ABS(SUMIF(Table25[[#All],[Assets]],Table25[[#This Row],[Assets]],Table25[[#All],[Sold]]))</f>
        <v>12</v>
      </c>
      <c r="M1669" s="5">
        <f>ABS(SUMIF(Table25[[#All],[Assets]],Table25[[#This Row],[Assets]],Table25[[#All],[Sold Amount]]))</f>
        <v>219.48</v>
      </c>
      <c r="N1669" s="5">
        <f>IFERROR(Table25[[#This Row],[Total sold amount]]/Table25[[#This Row],[Total Sold number of stocks]],"")</f>
        <v>18.29</v>
      </c>
      <c r="O1669" s="4">
        <f>IFERROR(Table25[[#This Row],[Total Amount bought]]/Table25[[#This Row],[Total number bought]],"")</f>
        <v>18.21</v>
      </c>
      <c r="P1669" s="4">
        <f>IFERROR((Table25[[#This Row],[Average sell price]]-Table25[[#This Row],[Average buy price]])*Table25[[#This Row],[Total Sold number of stocks]],0)</f>
        <v>0.95999999999997954</v>
      </c>
      <c r="Q1669" s="85">
        <f>SUMIF(Table25[[#All],[Assets]],Table25[[#This Row],[Assets]],Table25[[#All],[Number of stocks]])</f>
        <v>0</v>
      </c>
    </row>
    <row r="1670" spans="1:17">
      <c r="A1670" t="e" vm="229">
        <v>#VALUE!</v>
      </c>
      <c r="B1670" s="2">
        <v>45919</v>
      </c>
      <c r="C1670" t="str" cm="1">
        <f t="array" aca="1" ref="C1670" ca="1">_FV(A1670,"Ticker symbol",TRUE)</f>
        <v>AEO</v>
      </c>
      <c r="D1670" s="4">
        <v>18.88</v>
      </c>
      <c r="E1670" s="50">
        <v>-5</v>
      </c>
      <c r="F1670" s="81">
        <f>IF(Table25[[#This Row],[Number of stocks]]&gt;0,Table25[[#This Row],[Number of stocks]],0)</f>
        <v>0</v>
      </c>
      <c r="G1670" s="73">
        <f>Table25[[#This Row],[Bought]]*Table25[[#This Row],[Price]]</f>
        <v>0</v>
      </c>
      <c r="H1670">
        <f>SUMIF(Table25[[#All],[Assets]],Table25[[#This Row],[Assets]],Table25[[#All],[Bought]])</f>
        <v>105</v>
      </c>
      <c r="I1670">
        <f>SUMIF(Table25[[#All],[Assets]],Table25[[#This Row],[Assets]],Table25[[#All],[Bought Amount]])</f>
        <v>1221.25</v>
      </c>
      <c r="J1670" s="88">
        <f>IF(Table25[[#This Row],[Number of stocks]]&lt;0,Table25[[#This Row],[Number of stocks]],0)</f>
        <v>-5</v>
      </c>
      <c r="K1670" s="5">
        <f>Table25[[#This Row],[Sold]]*Table25[[#This Row],[Price]]</f>
        <v>-94.399999999999991</v>
      </c>
      <c r="L1670" s="8">
        <f>ABS(SUMIF(Table25[[#All],[Assets]],Table25[[#This Row],[Assets]],Table25[[#All],[Sold]]))</f>
        <v>105</v>
      </c>
      <c r="M1670" s="5">
        <f>ABS(SUMIF(Table25[[#All],[Assets]],Table25[[#This Row],[Assets]],Table25[[#All],[Sold Amount]]))</f>
        <v>2003.4</v>
      </c>
      <c r="N1670" s="5">
        <f>IFERROR(Table25[[#This Row],[Total sold amount]]/Table25[[#This Row],[Total Sold number of stocks]],"")</f>
        <v>19.080000000000002</v>
      </c>
      <c r="O1670" s="4">
        <f>IFERROR(Table25[[#This Row],[Total Amount bought]]/Table25[[#This Row],[Total number bought]],"")</f>
        <v>11.630952380952381</v>
      </c>
      <c r="P1670" s="4">
        <f>IFERROR((Table25[[#This Row],[Average sell price]]-Table25[[#This Row],[Average buy price]])*Table25[[#This Row],[Total Sold number of stocks]],0)</f>
        <v>782.1500000000002</v>
      </c>
      <c r="Q1670" s="85">
        <f>SUMIF(Table25[[#All],[Assets]],Table25[[#This Row],[Assets]],Table25[[#All],[Number of stocks]])</f>
        <v>0</v>
      </c>
    </row>
    <row r="1671" spans="1:17">
      <c r="A1671" t="e" vm="38">
        <v>#VALUE!</v>
      </c>
      <c r="B1671" s="2">
        <v>45919</v>
      </c>
      <c r="C1671" t="str" cm="1">
        <f t="array" aca="1" ref="C1671" ca="1">_FV(A1671,"Ticker symbol",TRUE)</f>
        <v>FSLR</v>
      </c>
      <c r="D1671" s="4">
        <v>212.81</v>
      </c>
      <c r="E1671" s="50">
        <v>-4</v>
      </c>
      <c r="F1671" s="81">
        <f>IF(Table25[[#This Row],[Number of stocks]]&gt;0,Table25[[#This Row],[Number of stocks]],0)</f>
        <v>0</v>
      </c>
      <c r="G1671" s="73">
        <f>Table25[[#This Row],[Bought]]*Table25[[#This Row],[Price]]</f>
        <v>0</v>
      </c>
      <c r="H1671">
        <f>SUMIF(Table25[[#All],[Assets]],Table25[[#This Row],[Assets]],Table25[[#All],[Bought]])</f>
        <v>18</v>
      </c>
      <c r="I1671">
        <f>SUMIF(Table25[[#All],[Assets]],Table25[[#This Row],[Assets]],Table25[[#All],[Bought Amount]])</f>
        <v>3079.49</v>
      </c>
      <c r="J1671" s="88">
        <f>IF(Table25[[#This Row],[Number of stocks]]&lt;0,Table25[[#This Row],[Number of stocks]],0)</f>
        <v>-4</v>
      </c>
      <c r="K1671" s="5">
        <f>Table25[[#This Row],[Sold]]*Table25[[#This Row],[Price]]</f>
        <v>-851.24</v>
      </c>
      <c r="L1671" s="8">
        <f>ABS(SUMIF(Table25[[#All],[Assets]],Table25[[#This Row],[Assets]],Table25[[#All],[Sold]]))</f>
        <v>18</v>
      </c>
      <c r="M1671" s="5">
        <f>ABS(SUMIF(Table25[[#All],[Assets]],Table25[[#This Row],[Assets]],Table25[[#All],[Sold Amount]]))</f>
        <v>4016.43</v>
      </c>
      <c r="N1671" s="5">
        <f>IFERROR(Table25[[#This Row],[Total sold amount]]/Table25[[#This Row],[Total Sold number of stocks]],"")</f>
        <v>223.13499999999999</v>
      </c>
      <c r="O1671" s="4">
        <f>IFERROR(Table25[[#This Row],[Total Amount bought]]/Table25[[#This Row],[Total number bought]],"")</f>
        <v>171.08277777777778</v>
      </c>
      <c r="P1671" s="4">
        <f>IFERROR((Table25[[#This Row],[Average sell price]]-Table25[[#This Row],[Average buy price]])*Table25[[#This Row],[Total Sold number of stocks]],0)</f>
        <v>936.93999999999983</v>
      </c>
      <c r="Q1671" s="85">
        <f>SUMIF(Table25[[#All],[Assets]],Table25[[#This Row],[Assets]],Table25[[#All],[Number of stocks]])</f>
        <v>0</v>
      </c>
    </row>
    <row r="1672" spans="1:17">
      <c r="A1672" t="e" vm="14">
        <v>#VALUE!</v>
      </c>
      <c r="B1672" s="2">
        <v>45919</v>
      </c>
      <c r="C1672" t="str" cm="1">
        <f t="array" aca="1" ref="C1672" ca="1">_FV(A1672,"Ticker symbol",TRUE)</f>
        <v>NVTS</v>
      </c>
      <c r="D1672" s="4">
        <v>6.98</v>
      </c>
      <c r="E1672" s="50">
        <v>-30</v>
      </c>
      <c r="F1672" s="81">
        <f>IF(Table25[[#This Row],[Number of stocks]]&gt;0,Table25[[#This Row],[Number of stocks]],0)</f>
        <v>0</v>
      </c>
      <c r="G1672" s="73">
        <f>Table25[[#This Row],[Bought]]*Table25[[#This Row],[Price]]</f>
        <v>0</v>
      </c>
      <c r="H1672">
        <f>SUMIF(Table25[[#All],[Assets]],Table25[[#This Row],[Assets]],Table25[[#All],[Bought]])</f>
        <v>453</v>
      </c>
      <c r="I1672">
        <f>SUMIF(Table25[[#All],[Assets]],Table25[[#This Row],[Assets]],Table25[[#All],[Bought Amount]])</f>
        <v>1878.11</v>
      </c>
      <c r="J1672" s="88">
        <f>IF(Table25[[#This Row],[Number of stocks]]&lt;0,Table25[[#This Row],[Number of stocks]],0)</f>
        <v>-30</v>
      </c>
      <c r="K1672" s="5">
        <f>Table25[[#This Row],[Sold]]*Table25[[#This Row],[Price]]</f>
        <v>-209.4</v>
      </c>
      <c r="L1672" s="8">
        <f>ABS(SUMIF(Table25[[#All],[Assets]],Table25[[#This Row],[Assets]],Table25[[#All],[Sold]]))</f>
        <v>410</v>
      </c>
      <c r="M1672" s="5">
        <f>ABS(SUMIF(Table25[[#All],[Assets]],Table25[[#This Row],[Assets]],Table25[[#All],[Sold Amount]]))</f>
        <v>1286.2</v>
      </c>
      <c r="N1672" s="5">
        <f>IFERROR(Table25[[#This Row],[Total sold amount]]/Table25[[#This Row],[Total Sold number of stocks]],"")</f>
        <v>3.1370731707317074</v>
      </c>
      <c r="O1672" s="4">
        <f>IFERROR(Table25[[#This Row],[Total Amount bought]]/Table25[[#This Row],[Total number bought]],"")</f>
        <v>4.1459381898454746</v>
      </c>
      <c r="P1672" s="4">
        <f>IFERROR((Table25[[#This Row],[Average sell price]]-Table25[[#This Row],[Average buy price]])*Table25[[#This Row],[Total Sold number of stocks]],0)</f>
        <v>-413.63465783664452</v>
      </c>
      <c r="Q1672" s="85">
        <f>SUMIF(Table25[[#All],[Assets]],Table25[[#This Row],[Assets]],Table25[[#All],[Number of stocks]])</f>
        <v>43</v>
      </c>
    </row>
    <row r="1673" spans="1:17">
      <c r="A1673" t="e" vm="240">
        <v>#VALUE!</v>
      </c>
      <c r="B1673" s="2">
        <v>45919</v>
      </c>
      <c r="C1673" t="str" cm="1">
        <f t="array" aca="1" ref="C1673" ca="1">_FV(A1673,"Ticker symbol",TRUE)</f>
        <v>SBSW</v>
      </c>
      <c r="D1673" s="4">
        <v>9.4</v>
      </c>
      <c r="E1673" s="50">
        <v>-18</v>
      </c>
      <c r="F1673" s="81">
        <f>IF(Table25[[#This Row],[Number of stocks]]&gt;0,Table25[[#This Row],[Number of stocks]],0)</f>
        <v>0</v>
      </c>
      <c r="G1673" s="73">
        <f>Table25[[#This Row],[Bought]]*Table25[[#This Row],[Price]]</f>
        <v>0</v>
      </c>
      <c r="H1673">
        <f>SUMIF(Table25[[#All],[Assets]],Table25[[#This Row],[Assets]],Table25[[#All],[Bought]])</f>
        <v>187</v>
      </c>
      <c r="I1673">
        <f>SUMIF(Table25[[#All],[Assets]],Table25[[#This Row],[Assets]],Table25[[#All],[Bought Amount]])</f>
        <v>1654.1</v>
      </c>
      <c r="J1673" s="88">
        <f>IF(Table25[[#This Row],[Number of stocks]]&lt;0,Table25[[#This Row],[Number of stocks]],0)</f>
        <v>-18</v>
      </c>
      <c r="K1673" s="5">
        <f>Table25[[#This Row],[Sold]]*Table25[[#This Row],[Price]]</f>
        <v>-169.20000000000002</v>
      </c>
      <c r="L1673" s="8">
        <f>ABS(SUMIF(Table25[[#All],[Assets]],Table25[[#This Row],[Assets]],Table25[[#All],[Sold]]))</f>
        <v>139</v>
      </c>
      <c r="M1673" s="5">
        <f>ABS(SUMIF(Table25[[#All],[Assets]],Table25[[#This Row],[Assets]],Table25[[#All],[Sold Amount]]))</f>
        <v>909.86999999999989</v>
      </c>
      <c r="N1673" s="5">
        <f>IFERROR(Table25[[#This Row],[Total sold amount]]/Table25[[#This Row],[Total Sold number of stocks]],"")</f>
        <v>6.545827338129496</v>
      </c>
      <c r="O1673" s="4">
        <f>IFERROR(Table25[[#This Row],[Total Amount bought]]/Table25[[#This Row],[Total number bought]],"")</f>
        <v>8.8454545454545457</v>
      </c>
      <c r="P1673" s="4">
        <f>IFERROR((Table25[[#This Row],[Average sell price]]-Table25[[#This Row],[Average buy price]])*Table25[[#This Row],[Total Sold number of stocks]],0)</f>
        <v>-319.64818181818191</v>
      </c>
      <c r="Q1673" s="85">
        <f>SUMIF(Table25[[#All],[Assets]],Table25[[#This Row],[Assets]],Table25[[#All],[Number of stocks]])</f>
        <v>48</v>
      </c>
    </row>
    <row r="1674" spans="1:17">
      <c r="A1674" t="e" vm="238">
        <v>#VALUE!</v>
      </c>
      <c r="B1674" s="2">
        <v>45922</v>
      </c>
      <c r="C1674" t="str" cm="1">
        <f t="array" aca="1" ref="C1674" ca="1">_FV(A1674,"Ticker symbol",TRUE)</f>
        <v>AIP</v>
      </c>
      <c r="D1674" s="4">
        <v>9.65</v>
      </c>
      <c r="E1674" s="50">
        <v>-45</v>
      </c>
      <c r="F1674" s="81">
        <f>IF(Table25[[#This Row],[Number of stocks]]&gt;0,Table25[[#This Row],[Number of stocks]],0)</f>
        <v>0</v>
      </c>
      <c r="G1674" s="73">
        <f>Table25[[#This Row],[Bought]]*Table25[[#This Row],[Price]]</f>
        <v>0</v>
      </c>
      <c r="H1674">
        <f>SUMIF(Table25[[#All],[Assets]],Table25[[#This Row],[Assets]],Table25[[#All],[Bought]])</f>
        <v>75</v>
      </c>
      <c r="I1674">
        <f>SUMIF(Table25[[#All],[Assets]],Table25[[#This Row],[Assets]],Table25[[#All],[Bought Amount]])</f>
        <v>999</v>
      </c>
      <c r="J1674" s="88">
        <f>IF(Table25[[#This Row],[Number of stocks]]&lt;0,Table25[[#This Row],[Number of stocks]],0)</f>
        <v>-45</v>
      </c>
      <c r="K1674" s="5">
        <f>Table25[[#This Row],[Sold]]*Table25[[#This Row],[Price]]</f>
        <v>-434.25</v>
      </c>
      <c r="L1674" s="8">
        <f>ABS(SUMIF(Table25[[#All],[Assets]],Table25[[#This Row],[Assets]],Table25[[#All],[Sold]]))</f>
        <v>75</v>
      </c>
      <c r="M1674" s="5">
        <f>ABS(SUMIF(Table25[[#All],[Assets]],Table25[[#This Row],[Assets]],Table25[[#All],[Sold Amount]]))</f>
        <v>852.45</v>
      </c>
      <c r="N1674" s="5">
        <f>IFERROR(Table25[[#This Row],[Total sold amount]]/Table25[[#This Row],[Total Sold number of stocks]],"")</f>
        <v>11.366000000000001</v>
      </c>
      <c r="O1674" s="4">
        <f>IFERROR(Table25[[#This Row],[Total Amount bought]]/Table25[[#This Row],[Total number bought]],"")</f>
        <v>13.32</v>
      </c>
      <c r="P1674" s="4">
        <f>IFERROR((Table25[[#This Row],[Average sell price]]-Table25[[#This Row],[Average buy price]])*Table25[[#This Row],[Total Sold number of stocks]],0)</f>
        <v>-146.54999999999993</v>
      </c>
      <c r="Q1674" s="85">
        <f>SUMIF(Table25[[#All],[Assets]],Table25[[#This Row],[Assets]],Table25[[#All],[Number of stocks]])</f>
        <v>0</v>
      </c>
    </row>
    <row r="1675" spans="1:17">
      <c r="A1675" t="e" vm="81">
        <v>#VALUE!</v>
      </c>
      <c r="B1675" s="2">
        <v>45922</v>
      </c>
      <c r="C1675" t="str" cm="1">
        <f t="array" aca="1" ref="C1675" ca="1">_FV(A1675,"Ticker symbol",TRUE)</f>
        <v>DLO</v>
      </c>
      <c r="D1675" s="4">
        <v>15.25</v>
      </c>
      <c r="E1675" s="50">
        <v>-60</v>
      </c>
      <c r="F1675" s="81">
        <f>IF(Table25[[#This Row],[Number of stocks]]&gt;0,Table25[[#This Row],[Number of stocks]],0)</f>
        <v>0</v>
      </c>
      <c r="G1675" s="73">
        <f>Table25[[#This Row],[Bought]]*Table25[[#This Row],[Price]]</f>
        <v>0</v>
      </c>
      <c r="H1675">
        <f>SUMIF(Table25[[#All],[Assets]],Table25[[#This Row],[Assets]],Table25[[#All],[Bought]])</f>
        <v>436</v>
      </c>
      <c r="I1675">
        <f>SUMIF(Table25[[#All],[Assets]],Table25[[#This Row],[Assets]],Table25[[#All],[Bought Amount]])</f>
        <v>5840.9900000000007</v>
      </c>
      <c r="J1675" s="88">
        <f>IF(Table25[[#This Row],[Number of stocks]]&lt;0,Table25[[#This Row],[Number of stocks]],0)</f>
        <v>-60</v>
      </c>
      <c r="K1675" s="5">
        <f>Table25[[#This Row],[Sold]]*Table25[[#This Row],[Price]]</f>
        <v>-915</v>
      </c>
      <c r="L1675" s="8">
        <f>ABS(SUMIF(Table25[[#All],[Assets]],Table25[[#This Row],[Assets]],Table25[[#All],[Sold]]))</f>
        <v>436</v>
      </c>
      <c r="M1675" s="5">
        <f>ABS(SUMIF(Table25[[#All],[Assets]],Table25[[#This Row],[Assets]],Table25[[#All],[Sold Amount]]))</f>
        <v>5546.6</v>
      </c>
      <c r="N1675" s="5">
        <f>IFERROR(Table25[[#This Row],[Total sold amount]]/Table25[[#This Row],[Total Sold number of stocks]],"")</f>
        <v>12.721559633027523</v>
      </c>
      <c r="O1675" s="4">
        <f>IFERROR(Table25[[#This Row],[Total Amount bought]]/Table25[[#This Row],[Total number bought]],"")</f>
        <v>13.396766055045873</v>
      </c>
      <c r="P1675" s="4">
        <f>IFERROR((Table25[[#This Row],[Average sell price]]-Table25[[#This Row],[Average buy price]])*Table25[[#This Row],[Total Sold number of stocks]],0)</f>
        <v>-294.39000000000073</v>
      </c>
      <c r="Q1675" s="85">
        <f>SUMIF(Table25[[#All],[Assets]],Table25[[#This Row],[Assets]],Table25[[#All],[Number of stocks]])</f>
        <v>0</v>
      </c>
    </row>
    <row r="1676" spans="1:17">
      <c r="A1676" t="e" vm="181">
        <v>#VALUE!</v>
      </c>
      <c r="B1676" s="2">
        <v>45922</v>
      </c>
      <c r="C1676" t="str" cm="1">
        <f t="array" aca="1" ref="C1676" ca="1">_FV(A1676,"Ticker symbol",TRUE)</f>
        <v>TIC</v>
      </c>
      <c r="D1676" s="4">
        <v>13.98</v>
      </c>
      <c r="E1676" s="50">
        <v>100</v>
      </c>
      <c r="F1676" s="81">
        <f>IF(Table25[[#This Row],[Number of stocks]]&gt;0,Table25[[#This Row],[Number of stocks]],0)</f>
        <v>100</v>
      </c>
      <c r="G1676" s="73">
        <f>Table25[[#This Row],[Bought]]*Table25[[#This Row],[Price]]</f>
        <v>1398</v>
      </c>
      <c r="H1676">
        <f>SUMIF(Table25[[#All],[Assets]],Table25[[#This Row],[Assets]],Table25[[#All],[Bought]])</f>
        <v>487</v>
      </c>
      <c r="I1676">
        <f>SUMIF(Table25[[#All],[Assets]],Table25[[#This Row],[Assets]],Table25[[#All],[Bought Amount]])</f>
        <v>6140.8099999999995</v>
      </c>
      <c r="J1676" s="88">
        <f>IF(Table25[[#This Row],[Number of stocks]]&lt;0,Table25[[#This Row],[Number of stocks]],0)</f>
        <v>0</v>
      </c>
      <c r="K1676" s="5">
        <f>Table25[[#This Row],[Sold]]*Table25[[#This Row],[Price]]</f>
        <v>0</v>
      </c>
      <c r="L1676" s="8">
        <f>ABS(SUMIF(Table25[[#All],[Assets]],Table25[[#This Row],[Assets]],Table25[[#All],[Sold]]))</f>
        <v>397</v>
      </c>
      <c r="M1676" s="5">
        <f>ABS(SUMIF(Table25[[#All],[Assets]],Table25[[#This Row],[Assets]],Table25[[#All],[Sold Amount]]))</f>
        <v>3999.4</v>
      </c>
      <c r="N1676" s="5">
        <f>IFERROR(Table25[[#This Row],[Total sold amount]]/Table25[[#This Row],[Total Sold number of stocks]],"")</f>
        <v>10.074055415617128</v>
      </c>
      <c r="O1676" s="4">
        <f>IFERROR(Table25[[#This Row],[Total Amount bought]]/Table25[[#This Row],[Total number bought]],"")</f>
        <v>12.609466119096508</v>
      </c>
      <c r="P1676" s="4">
        <f>IFERROR((Table25[[#This Row],[Average sell price]]-Table25[[#This Row],[Average buy price]])*Table25[[#This Row],[Total Sold number of stocks]],0)</f>
        <v>-1006.558049281314</v>
      </c>
      <c r="Q1676" s="85">
        <f>SUMIF(Table25[[#All],[Assets]],Table25[[#This Row],[Assets]],Table25[[#All],[Number of stocks]])</f>
        <v>90</v>
      </c>
    </row>
    <row r="1677" spans="1:17">
      <c r="A1677" t="e" vm="12">
        <v>#VALUE!</v>
      </c>
      <c r="B1677" s="2">
        <v>45922</v>
      </c>
      <c r="C1677" t="str" cm="1">
        <f t="array" aca="1" ref="C1677" ca="1">_FV(A1677,"Ticker symbol",TRUE)</f>
        <v>TER</v>
      </c>
      <c r="D1677" s="4">
        <v>134.58000000000001</v>
      </c>
      <c r="E1677" s="50">
        <v>10</v>
      </c>
      <c r="F1677" s="81">
        <f>IF(Table25[[#This Row],[Number of stocks]]&gt;0,Table25[[#This Row],[Number of stocks]],0)</f>
        <v>10</v>
      </c>
      <c r="G1677" s="73">
        <f>Table25[[#This Row],[Bought]]*Table25[[#This Row],[Price]]</f>
        <v>1345.8000000000002</v>
      </c>
      <c r="H1677">
        <f>SUMIF(Table25[[#All],[Assets]],Table25[[#This Row],[Assets]],Table25[[#All],[Bought]])</f>
        <v>37</v>
      </c>
      <c r="I1677">
        <f>SUMIF(Table25[[#All],[Assets]],Table25[[#This Row],[Assets]],Table25[[#All],[Bought Amount]])</f>
        <v>4100.1100000000006</v>
      </c>
      <c r="J1677" s="88">
        <f>IF(Table25[[#This Row],[Number of stocks]]&lt;0,Table25[[#This Row],[Number of stocks]],0)</f>
        <v>0</v>
      </c>
      <c r="K1677" s="5">
        <f>Table25[[#This Row],[Sold]]*Table25[[#This Row],[Price]]</f>
        <v>0</v>
      </c>
      <c r="L1677" s="8">
        <f>ABS(SUMIF(Table25[[#All],[Assets]],Table25[[#This Row],[Assets]],Table25[[#All],[Sold]]))</f>
        <v>16</v>
      </c>
      <c r="M1677" s="5">
        <f>ABS(SUMIF(Table25[[#All],[Assets]],Table25[[#This Row],[Assets]],Table25[[#All],[Sold Amount]]))</f>
        <v>2853.3999999999996</v>
      </c>
      <c r="N1677" s="5">
        <f>IFERROR(Table25[[#This Row],[Total sold amount]]/Table25[[#This Row],[Total Sold number of stocks]],"")</f>
        <v>178.33749999999998</v>
      </c>
      <c r="O1677" s="4">
        <f>IFERROR(Table25[[#This Row],[Total Amount bought]]/Table25[[#This Row],[Total number bought]],"")</f>
        <v>110.8137837837838</v>
      </c>
      <c r="P1677" s="4">
        <f>IFERROR((Table25[[#This Row],[Average sell price]]-Table25[[#This Row],[Average buy price]])*Table25[[#This Row],[Total Sold number of stocks]],0)</f>
        <v>1080.3794594594588</v>
      </c>
      <c r="Q1677" s="85">
        <f>SUMIF(Table25[[#All],[Assets]],Table25[[#This Row],[Assets]],Table25[[#All],[Number of stocks]])</f>
        <v>21</v>
      </c>
    </row>
    <row r="1678" spans="1:17">
      <c r="A1678" t="e" vm="580">
        <v>#VALUE!</v>
      </c>
      <c r="B1678" s="2">
        <v>45924</v>
      </c>
      <c r="C1678" t="str" cm="1">
        <f t="array" aca="1" ref="C1678" ca="1">_FV(A1678,"Ticker symbol",TRUE)</f>
        <v>ISRG</v>
      </c>
      <c r="D1678" s="4">
        <v>449.3</v>
      </c>
      <c r="E1678" s="50">
        <v>1</v>
      </c>
      <c r="F1678" s="81">
        <f>IF(Table25[[#This Row],[Number of stocks]]&gt;0,Table25[[#This Row],[Number of stocks]],0)</f>
        <v>1</v>
      </c>
      <c r="G1678" s="73">
        <f>Table25[[#This Row],[Bought]]*Table25[[#This Row],[Price]]</f>
        <v>449.3</v>
      </c>
      <c r="H1678">
        <f>SUMIF(Table25[[#All],[Assets]],Table25[[#This Row],[Assets]],Table25[[#All],[Bought]])</f>
        <v>1</v>
      </c>
      <c r="I1678">
        <f>SUMIF(Table25[[#All],[Assets]],Table25[[#This Row],[Assets]],Table25[[#All],[Bought Amount]])</f>
        <v>449.3</v>
      </c>
      <c r="J1678" s="88">
        <f>IF(Table25[[#This Row],[Number of stocks]]&lt;0,Table25[[#This Row],[Number of stocks]],0)</f>
        <v>0</v>
      </c>
      <c r="K1678" s="5">
        <f>Table25[[#This Row],[Sold]]*Table25[[#This Row],[Price]]</f>
        <v>0</v>
      </c>
      <c r="L1678" s="8">
        <f>ABS(SUMIF(Table25[[#All],[Assets]],Table25[[#This Row],[Assets]],Table25[[#All],[Sold]]))</f>
        <v>1</v>
      </c>
      <c r="M1678" s="5">
        <f>ABS(SUMIF(Table25[[#All],[Assets]],Table25[[#This Row],[Assets]],Table25[[#All],[Sold Amount]]))</f>
        <v>577.41</v>
      </c>
      <c r="N1678" s="5">
        <f>IFERROR(Table25[[#This Row],[Total sold amount]]/Table25[[#This Row],[Total Sold number of stocks]],"")</f>
        <v>577.41</v>
      </c>
      <c r="O1678" s="4">
        <f>IFERROR(Table25[[#This Row],[Total Amount bought]]/Table25[[#This Row],[Total number bought]],"")</f>
        <v>449.3</v>
      </c>
      <c r="P1678" s="4">
        <f>IFERROR((Table25[[#This Row],[Average sell price]]-Table25[[#This Row],[Average buy price]])*Table25[[#This Row],[Total Sold number of stocks]],0)</f>
        <v>128.10999999999996</v>
      </c>
      <c r="Q1678" s="85">
        <f>SUMIF(Table25[[#All],[Assets]],Table25[[#This Row],[Assets]],Table25[[#All],[Number of stocks]])</f>
        <v>0</v>
      </c>
    </row>
    <row r="1679" spans="1:17">
      <c r="A1679" t="e" vm="21">
        <v>#VALUE!</v>
      </c>
      <c r="B1679" s="2">
        <v>45924</v>
      </c>
      <c r="C1679" t="str" cm="1">
        <f t="array" aca="1" ref="C1679" ca="1">_FV(A1679,"Ticker symbol",TRUE)</f>
        <v>INTC</v>
      </c>
      <c r="D1679" s="4">
        <v>30.9</v>
      </c>
      <c r="E1679" s="50">
        <v>11</v>
      </c>
      <c r="F1679" s="81">
        <f>IF(Table25[[#This Row],[Number of stocks]]&gt;0,Table25[[#This Row],[Number of stocks]],0)</f>
        <v>11</v>
      </c>
      <c r="G1679" s="73">
        <f>Table25[[#This Row],[Bought]]*Table25[[#This Row],[Price]]</f>
        <v>339.9</v>
      </c>
      <c r="H1679">
        <f>SUMIF(Table25[[#All],[Assets]],Table25[[#This Row],[Assets]],Table25[[#All],[Bought]])</f>
        <v>334.73663899999997</v>
      </c>
      <c r="I1679">
        <f>SUMIF(Table25[[#All],[Assets]],Table25[[#This Row],[Assets]],Table25[[#All],[Bought Amount]])</f>
        <v>9755.9173948600001</v>
      </c>
      <c r="J1679" s="88">
        <f>IF(Table25[[#This Row],[Number of stocks]]&lt;0,Table25[[#This Row],[Number of stocks]],0)</f>
        <v>0</v>
      </c>
      <c r="K1679" s="5">
        <f>Table25[[#This Row],[Sold]]*Table25[[#This Row],[Price]]</f>
        <v>0</v>
      </c>
      <c r="L1679" s="8">
        <f>ABS(SUMIF(Table25[[#All],[Assets]],Table25[[#This Row],[Assets]],Table25[[#All],[Sold]]))</f>
        <v>334.74</v>
      </c>
      <c r="M1679" s="5">
        <f>ABS(SUMIF(Table25[[#All],[Assets]],Table25[[#This Row],[Assets]],Table25[[#All],[Sold Amount]]))</f>
        <v>7909.2053999999998</v>
      </c>
      <c r="N1679" s="5">
        <f>IFERROR(Table25[[#This Row],[Total sold amount]]/Table25[[#This Row],[Total Sold number of stocks]],"")</f>
        <v>23.627906434844952</v>
      </c>
      <c r="O1679" s="4">
        <f>IFERROR(Table25[[#This Row],[Total Amount bought]]/Table25[[#This Row],[Total number bought]],"")</f>
        <v>29.145053926588542</v>
      </c>
      <c r="P1679" s="4">
        <f>IFERROR((Table25[[#This Row],[Average sell price]]-Table25[[#This Row],[Average buy price]])*Table25[[#This Row],[Total Sold number of stocks]],0)</f>
        <v>-1846.8099513862492</v>
      </c>
      <c r="Q1679" s="85">
        <f>SUMIF(Table25[[#All],[Assets]],Table25[[#This Row],[Assets]],Table25[[#All],[Number of stocks]])</f>
        <v>-3.3610000000123819E-3</v>
      </c>
    </row>
    <row r="1680" spans="1:17">
      <c r="A1680" t="e" vm="71">
        <v>#VALUE!</v>
      </c>
      <c r="B1680" s="2">
        <v>45924</v>
      </c>
      <c r="C1680" t="str" cm="1">
        <f t="array" aca="1" ref="C1680" ca="1">_FV(A1680,"Ticker symbol",TRUE)</f>
        <v>TKNO</v>
      </c>
      <c r="D1680" s="4">
        <v>5.6</v>
      </c>
      <c r="E1680" s="50">
        <v>163</v>
      </c>
      <c r="F1680" s="81">
        <f>IF(Table25[[#This Row],[Number of stocks]]&gt;0,Table25[[#This Row],[Number of stocks]],0)</f>
        <v>163</v>
      </c>
      <c r="G1680" s="73">
        <f>Table25[[#This Row],[Bought]]*Table25[[#This Row],[Price]]</f>
        <v>912.8</v>
      </c>
      <c r="H1680">
        <f>SUMIF(Table25[[#All],[Assets]],Table25[[#This Row],[Assets]],Table25[[#All],[Bought]])</f>
        <v>2166.0267990000002</v>
      </c>
      <c r="I1680">
        <f>SUMIF(Table25[[#All],[Assets]],Table25[[#This Row],[Assets]],Table25[[#All],[Bought Amount]])</f>
        <v>13370.91512648</v>
      </c>
      <c r="J1680" s="88">
        <f>IF(Table25[[#This Row],[Number of stocks]]&lt;0,Table25[[#This Row],[Number of stocks]],0)</f>
        <v>0</v>
      </c>
      <c r="K1680" s="5">
        <f>Table25[[#This Row],[Sold]]*Table25[[#This Row],[Price]]</f>
        <v>0</v>
      </c>
      <c r="L1680" s="8">
        <f>ABS(SUMIF(Table25[[#All],[Assets]],Table25[[#This Row],[Assets]],Table25[[#All],[Sold]]))</f>
        <v>2083</v>
      </c>
      <c r="M1680" s="5">
        <f>ABS(SUMIF(Table25[[#All],[Assets]],Table25[[#This Row],[Assets]],Table25[[#All],[Sold Amount]]))</f>
        <v>11153.28</v>
      </c>
      <c r="N1680" s="5">
        <f>IFERROR(Table25[[#This Row],[Total sold amount]]/Table25[[#This Row],[Total Sold number of stocks]],"")</f>
        <v>5.3544311089774368</v>
      </c>
      <c r="O1680" s="4">
        <f>IFERROR(Table25[[#This Row],[Total Amount bought]]/Table25[[#This Row],[Total number bought]],"")</f>
        <v>6.1730146333614213</v>
      </c>
      <c r="P1680" s="4">
        <f>IFERROR((Table25[[#This Row],[Average sell price]]-Table25[[#This Row],[Average buy price]])*Table25[[#This Row],[Total Sold number of stocks]],0)</f>
        <v>-1705.1094812918398</v>
      </c>
      <c r="Q1680" s="85">
        <f>SUMIF(Table25[[#All],[Assets]],Table25[[#This Row],[Assets]],Table25[[#All],[Number of stocks]])</f>
        <v>83.026798999999983</v>
      </c>
    </row>
    <row r="1681" spans="1:17">
      <c r="A1681" t="e" vm="576">
        <v>#VALUE!</v>
      </c>
      <c r="B1681" s="2">
        <v>45925</v>
      </c>
      <c r="C1681" t="str" cm="1">
        <f t="array" aca="1" ref="C1681" ca="1">_FV(A1681,"Ticker symbol",TRUE)</f>
        <v>DUOL</v>
      </c>
      <c r="D1681" s="4">
        <v>299</v>
      </c>
      <c r="E1681" s="50">
        <v>-1</v>
      </c>
      <c r="F1681" s="81">
        <f>IF(Table25[[#This Row],[Number of stocks]]&gt;0,Table25[[#This Row],[Number of stocks]],0)</f>
        <v>0</v>
      </c>
      <c r="G1681" s="73">
        <f>Table25[[#This Row],[Bought]]*Table25[[#This Row],[Price]]</f>
        <v>0</v>
      </c>
      <c r="H1681">
        <f>SUMIF(Table25[[#All],[Assets]],Table25[[#This Row],[Assets]],Table25[[#All],[Bought]])</f>
        <v>33</v>
      </c>
      <c r="I1681">
        <f>SUMIF(Table25[[#All],[Assets]],Table25[[#This Row],[Assets]],Table25[[#All],[Bought Amount]])</f>
        <v>8243.81</v>
      </c>
      <c r="J1681" s="88">
        <f>IF(Table25[[#This Row],[Number of stocks]]&lt;0,Table25[[#This Row],[Number of stocks]],0)</f>
        <v>-1</v>
      </c>
      <c r="K1681" s="5">
        <f>Table25[[#This Row],[Sold]]*Table25[[#This Row],[Price]]</f>
        <v>-299</v>
      </c>
      <c r="L1681" s="8">
        <f>ABS(SUMIF(Table25[[#All],[Assets]],Table25[[#This Row],[Assets]],Table25[[#All],[Sold]]))</f>
        <v>43</v>
      </c>
      <c r="M1681" s="5">
        <f>ABS(SUMIF(Table25[[#All],[Assets]],Table25[[#This Row],[Assets]],Table25[[#All],[Sold Amount]]))</f>
        <v>8577.89</v>
      </c>
      <c r="N1681" s="5">
        <f>IFERROR(Table25[[#This Row],[Total sold amount]]/Table25[[#This Row],[Total Sold number of stocks]],"")</f>
        <v>199.48581395348836</v>
      </c>
      <c r="O1681" s="4">
        <f>IFERROR(Table25[[#This Row],[Total Amount bought]]/Table25[[#This Row],[Total number bought]],"")</f>
        <v>249.81242424242421</v>
      </c>
      <c r="P1681" s="4">
        <f>IFERROR((Table25[[#This Row],[Average sell price]]-Table25[[#This Row],[Average buy price]])*Table25[[#This Row],[Total Sold number of stocks]],0)</f>
        <v>-2164.0442424242419</v>
      </c>
      <c r="Q1681" s="85">
        <f>SUMIF(Table25[[#All],[Assets]],Table25[[#This Row],[Assets]],Table25[[#All],[Number of stocks]])</f>
        <v>-10</v>
      </c>
    </row>
    <row r="1682" spans="1:17">
      <c r="A1682" t="e" vm="21">
        <v>#VALUE!</v>
      </c>
      <c r="B1682" s="2">
        <v>45925</v>
      </c>
      <c r="C1682" t="str" cm="1">
        <f t="array" aca="1" ref="C1682" ca="1">_FV(A1682,"Ticker symbol",TRUE)</f>
        <v>INTC</v>
      </c>
      <c r="D1682" s="4">
        <v>33.01</v>
      </c>
      <c r="E1682" s="50">
        <v>14</v>
      </c>
      <c r="F1682" s="81">
        <f>IF(Table25[[#This Row],[Number of stocks]]&gt;0,Table25[[#This Row],[Number of stocks]],0)</f>
        <v>14</v>
      </c>
      <c r="G1682" s="73">
        <f>Table25[[#This Row],[Bought]]*Table25[[#This Row],[Price]]</f>
        <v>462.14</v>
      </c>
      <c r="H1682">
        <f>SUMIF(Table25[[#All],[Assets]],Table25[[#This Row],[Assets]],Table25[[#All],[Bought]])</f>
        <v>334.73663899999997</v>
      </c>
      <c r="I1682">
        <f>SUMIF(Table25[[#All],[Assets]],Table25[[#This Row],[Assets]],Table25[[#All],[Bought Amount]])</f>
        <v>9755.9173948600001</v>
      </c>
      <c r="J1682" s="88">
        <f>IF(Table25[[#This Row],[Number of stocks]]&lt;0,Table25[[#This Row],[Number of stocks]],0)</f>
        <v>0</v>
      </c>
      <c r="K1682" s="5">
        <f>Table25[[#This Row],[Sold]]*Table25[[#This Row],[Price]]</f>
        <v>0</v>
      </c>
      <c r="L1682" s="8">
        <f>ABS(SUMIF(Table25[[#All],[Assets]],Table25[[#This Row],[Assets]],Table25[[#All],[Sold]]))</f>
        <v>334.74</v>
      </c>
      <c r="M1682" s="5">
        <f>ABS(SUMIF(Table25[[#All],[Assets]],Table25[[#This Row],[Assets]],Table25[[#All],[Sold Amount]]))</f>
        <v>7909.2053999999998</v>
      </c>
      <c r="N1682" s="5">
        <f>IFERROR(Table25[[#This Row],[Total sold amount]]/Table25[[#This Row],[Total Sold number of stocks]],"")</f>
        <v>23.627906434844952</v>
      </c>
      <c r="O1682" s="4">
        <f>IFERROR(Table25[[#This Row],[Total Amount bought]]/Table25[[#This Row],[Total number bought]],"")</f>
        <v>29.145053926588542</v>
      </c>
      <c r="P1682" s="4">
        <f>IFERROR((Table25[[#This Row],[Average sell price]]-Table25[[#This Row],[Average buy price]])*Table25[[#This Row],[Total Sold number of stocks]],0)</f>
        <v>-1846.8099513862492</v>
      </c>
      <c r="Q1682" s="85">
        <f>SUMIF(Table25[[#All],[Assets]],Table25[[#This Row],[Assets]],Table25[[#All],[Number of stocks]])</f>
        <v>-3.3610000000123819E-3</v>
      </c>
    </row>
    <row r="1683" spans="1:17">
      <c r="A1683" t="e" vm="579">
        <v>#VALUE!</v>
      </c>
      <c r="B1683" s="2">
        <v>45926</v>
      </c>
      <c r="C1683" t="str" cm="1">
        <f t="array" aca="1" ref="C1683" ca="1">_FV(A1683,"Ticker symbol",TRUE)</f>
        <v>STSS</v>
      </c>
      <c r="D1683" s="4">
        <v>6.58</v>
      </c>
      <c r="E1683" s="50">
        <v>-100</v>
      </c>
      <c r="F1683" s="81">
        <f>IF(Table25[[#This Row],[Number of stocks]]&gt;0,Table25[[#This Row],[Number of stocks]],0)</f>
        <v>0</v>
      </c>
      <c r="G1683" s="73">
        <f>Table25[[#This Row],[Bought]]*Table25[[#This Row],[Price]]</f>
        <v>0</v>
      </c>
      <c r="H1683">
        <f>SUMIF(Table25[[#All],[Assets]],Table25[[#This Row],[Assets]],Table25[[#All],[Bought]])</f>
        <v>200</v>
      </c>
      <c r="I1683">
        <f>SUMIF(Table25[[#All],[Assets]],Table25[[#This Row],[Assets]],Table25[[#All],[Bought Amount]])</f>
        <v>1670</v>
      </c>
      <c r="J1683" s="88">
        <f>IF(Table25[[#This Row],[Number of stocks]]&lt;0,Table25[[#This Row],[Number of stocks]],0)</f>
        <v>-100</v>
      </c>
      <c r="K1683" s="5">
        <f>Table25[[#This Row],[Sold]]*Table25[[#This Row],[Price]]</f>
        <v>-658</v>
      </c>
      <c r="L1683" s="8">
        <f>ABS(SUMIF(Table25[[#All],[Assets]],Table25[[#This Row],[Assets]],Table25[[#All],[Sold]]))</f>
        <v>200</v>
      </c>
      <c r="M1683" s="5">
        <f>ABS(SUMIF(Table25[[#All],[Assets]],Table25[[#This Row],[Assets]],Table25[[#All],[Sold Amount]]))</f>
        <v>1330</v>
      </c>
      <c r="N1683" s="5">
        <f>IFERROR(Table25[[#This Row],[Total sold amount]]/Table25[[#This Row],[Total Sold number of stocks]],"")</f>
        <v>6.65</v>
      </c>
      <c r="O1683" s="4">
        <f>IFERROR(Table25[[#This Row],[Total Amount bought]]/Table25[[#This Row],[Total number bought]],"")</f>
        <v>8.35</v>
      </c>
      <c r="P1683" s="4">
        <f>IFERROR((Table25[[#This Row],[Average sell price]]-Table25[[#This Row],[Average buy price]])*Table25[[#This Row],[Total Sold number of stocks]],0)</f>
        <v>-339.99999999999989</v>
      </c>
      <c r="Q1683" s="85">
        <f>SUMIF(Table25[[#All],[Assets]],Table25[[#This Row],[Assets]],Table25[[#All],[Number of stocks]])</f>
        <v>0</v>
      </c>
    </row>
    <row r="1684" spans="1:17">
      <c r="A1684" t="e" vm="184">
        <v>#VALUE!</v>
      </c>
      <c r="B1684" s="2">
        <v>45926</v>
      </c>
      <c r="C1684" t="str" cm="1">
        <f t="array" aca="1" ref="C1684" ca="1">_FV(A1684,"Ticker symbol",TRUE)</f>
        <v>LPTH</v>
      </c>
      <c r="D1684" s="4">
        <v>7.57</v>
      </c>
      <c r="E1684" s="50">
        <v>127</v>
      </c>
      <c r="F1684" s="81">
        <f>IF(Table25[[#This Row],[Number of stocks]]&gt;0,Table25[[#This Row],[Number of stocks]],0)</f>
        <v>127</v>
      </c>
      <c r="G1684" s="73">
        <f>Table25[[#This Row],[Bought]]*Table25[[#This Row],[Price]]</f>
        <v>961.39</v>
      </c>
      <c r="H1684">
        <f>SUMIF(Table25[[#All],[Assets]],Table25[[#This Row],[Assets]],Table25[[#All],[Bought]])</f>
        <v>215</v>
      </c>
      <c r="I1684">
        <f>SUMIF(Table25[[#All],[Assets]],Table25[[#This Row],[Assets]],Table25[[#All],[Bought Amount]])</f>
        <v>1449.79</v>
      </c>
      <c r="J1684" s="88">
        <f>IF(Table25[[#This Row],[Number of stocks]]&lt;0,Table25[[#This Row],[Number of stocks]],0)</f>
        <v>0</v>
      </c>
      <c r="K1684" s="5">
        <f>Table25[[#This Row],[Sold]]*Table25[[#This Row],[Price]]</f>
        <v>0</v>
      </c>
      <c r="L1684" s="8">
        <f>ABS(SUMIF(Table25[[#All],[Assets]],Table25[[#This Row],[Assets]],Table25[[#All],[Sold]]))</f>
        <v>0</v>
      </c>
      <c r="M1684" s="5">
        <f>ABS(SUMIF(Table25[[#All],[Assets]],Table25[[#This Row],[Assets]],Table25[[#All],[Sold Amount]]))</f>
        <v>0</v>
      </c>
      <c r="N1684" s="5" t="str">
        <f>IFERROR(Table25[[#This Row],[Total sold amount]]/Table25[[#This Row],[Total Sold number of stocks]],"")</f>
        <v/>
      </c>
      <c r="O1684" s="4">
        <f>IFERROR(Table25[[#This Row],[Total Amount bought]]/Table25[[#This Row],[Total number bought]],"")</f>
        <v>6.7432093023255808</v>
      </c>
      <c r="P1684" s="4">
        <f>IFERROR((Table25[[#This Row],[Average sell price]]-Table25[[#This Row],[Average buy price]])*Table25[[#This Row],[Total Sold number of stocks]],0)</f>
        <v>0</v>
      </c>
      <c r="Q1684" s="85">
        <f>SUMIF(Table25[[#All],[Assets]],Table25[[#This Row],[Assets]],Table25[[#All],[Number of stocks]])</f>
        <v>215</v>
      </c>
    </row>
    <row r="1685" spans="1:17">
      <c r="A1685" t="e" vm="232">
        <v>#VALUE!</v>
      </c>
      <c r="B1685" s="2">
        <v>45929</v>
      </c>
      <c r="C1685" t="str" cm="1">
        <f t="array" aca="1" ref="C1685" ca="1">_FV(A1685,"Ticker symbol",TRUE)</f>
        <v>FEIM</v>
      </c>
      <c r="D1685" s="4">
        <v>32.5</v>
      </c>
      <c r="E1685" s="50">
        <v>10</v>
      </c>
      <c r="F1685" s="81">
        <f>IF(Table25[[#This Row],[Number of stocks]]&gt;0,Table25[[#This Row],[Number of stocks]],0)</f>
        <v>10</v>
      </c>
      <c r="G1685" s="73">
        <f>Table25[[#This Row],[Bought]]*Table25[[#This Row],[Price]]</f>
        <v>325</v>
      </c>
      <c r="H1685">
        <f>SUMIF(Table25[[#All],[Assets]],Table25[[#This Row],[Assets]],Table25[[#All],[Bought]])</f>
        <v>44</v>
      </c>
      <c r="I1685">
        <f>SUMIF(Table25[[#All],[Assets]],Table25[[#This Row],[Assets]],Table25[[#All],[Bought Amount]])</f>
        <v>1365.1</v>
      </c>
      <c r="J1685" s="88">
        <f>IF(Table25[[#This Row],[Number of stocks]]&lt;0,Table25[[#This Row],[Number of stocks]],0)</f>
        <v>0</v>
      </c>
      <c r="K1685" s="5">
        <f>Table25[[#This Row],[Sold]]*Table25[[#This Row],[Price]]</f>
        <v>0</v>
      </c>
      <c r="L1685" s="8">
        <f>ABS(SUMIF(Table25[[#All],[Assets]],Table25[[#This Row],[Assets]],Table25[[#All],[Sold]]))</f>
        <v>44</v>
      </c>
      <c r="M1685" s="5">
        <f>ABS(SUMIF(Table25[[#All],[Assets]],Table25[[#This Row],[Assets]],Table25[[#All],[Sold Amount]]))</f>
        <v>1369.4299999999998</v>
      </c>
      <c r="N1685" s="5">
        <f>IFERROR(Table25[[#This Row],[Total sold amount]]/Table25[[#This Row],[Total Sold number of stocks]],"")</f>
        <v>31.123409090909089</v>
      </c>
      <c r="O1685" s="4">
        <f>IFERROR(Table25[[#This Row],[Total Amount bought]]/Table25[[#This Row],[Total number bought]],"")</f>
        <v>31.024999999999999</v>
      </c>
      <c r="P1685" s="4">
        <f>IFERROR((Table25[[#This Row],[Average sell price]]-Table25[[#This Row],[Average buy price]])*Table25[[#This Row],[Total Sold number of stocks]],0)</f>
        <v>4.3299999999999699</v>
      </c>
      <c r="Q1685" s="85">
        <f>SUMIF(Table25[[#All],[Assets]],Table25[[#This Row],[Assets]],Table25[[#All],[Number of stocks]])</f>
        <v>0</v>
      </c>
    </row>
    <row r="1686" spans="1:17">
      <c r="A1686" t="e" vm="81">
        <v>#VALUE!</v>
      </c>
      <c r="B1686" s="2">
        <v>45929</v>
      </c>
      <c r="C1686" t="str" cm="1">
        <f t="array" aca="1" ref="C1686" ca="1">_FV(A1686,"Ticker symbol",TRUE)</f>
        <v>DLO</v>
      </c>
      <c r="D1686" s="4">
        <v>14.67</v>
      </c>
      <c r="E1686" s="50">
        <v>-40</v>
      </c>
      <c r="F1686" s="81">
        <f>IF(Table25[[#This Row],[Number of stocks]]&gt;0,Table25[[#This Row],[Number of stocks]],0)</f>
        <v>0</v>
      </c>
      <c r="G1686" s="73">
        <f>Table25[[#This Row],[Bought]]*Table25[[#This Row],[Price]]</f>
        <v>0</v>
      </c>
      <c r="H1686">
        <f>SUMIF(Table25[[#All],[Assets]],Table25[[#This Row],[Assets]],Table25[[#All],[Bought]])</f>
        <v>436</v>
      </c>
      <c r="I1686">
        <f>SUMIF(Table25[[#All],[Assets]],Table25[[#This Row],[Assets]],Table25[[#All],[Bought Amount]])</f>
        <v>5840.9900000000007</v>
      </c>
      <c r="J1686" s="88">
        <f>IF(Table25[[#This Row],[Number of stocks]]&lt;0,Table25[[#This Row],[Number of stocks]],0)</f>
        <v>-40</v>
      </c>
      <c r="K1686" s="5">
        <f>Table25[[#This Row],[Sold]]*Table25[[#This Row],[Price]]</f>
        <v>-586.79999999999995</v>
      </c>
      <c r="L1686" s="8">
        <f>ABS(SUMIF(Table25[[#All],[Assets]],Table25[[#This Row],[Assets]],Table25[[#All],[Sold]]))</f>
        <v>436</v>
      </c>
      <c r="M1686" s="5">
        <f>ABS(SUMIF(Table25[[#All],[Assets]],Table25[[#This Row],[Assets]],Table25[[#All],[Sold Amount]]))</f>
        <v>5546.6</v>
      </c>
      <c r="N1686" s="5">
        <f>IFERROR(Table25[[#This Row],[Total sold amount]]/Table25[[#This Row],[Total Sold number of stocks]],"")</f>
        <v>12.721559633027523</v>
      </c>
      <c r="O1686" s="4">
        <f>IFERROR(Table25[[#This Row],[Total Amount bought]]/Table25[[#This Row],[Total number bought]],"")</f>
        <v>13.396766055045873</v>
      </c>
      <c r="P1686" s="4">
        <f>IFERROR((Table25[[#This Row],[Average sell price]]-Table25[[#This Row],[Average buy price]])*Table25[[#This Row],[Total Sold number of stocks]],0)</f>
        <v>-294.39000000000073</v>
      </c>
      <c r="Q1686" s="85">
        <f>SUMIF(Table25[[#All],[Assets]],Table25[[#This Row],[Assets]],Table25[[#All],[Number of stocks]])</f>
        <v>0</v>
      </c>
    </row>
    <row r="1687" spans="1:17">
      <c r="A1687" t="e" vm="576">
        <v>#VALUE!</v>
      </c>
      <c r="B1687" s="2">
        <v>45930</v>
      </c>
      <c r="C1687" t="str" cm="1">
        <f t="array" aca="1" ref="C1687" ca="1">_FV(A1687,"Ticker symbol",TRUE)</f>
        <v>DUOL</v>
      </c>
      <c r="D1687" s="4">
        <v>321.91000000000003</v>
      </c>
      <c r="E1687" s="50">
        <v>-2</v>
      </c>
      <c r="F1687" s="81">
        <f>IF(Table25[[#This Row],[Number of stocks]]&gt;0,Table25[[#This Row],[Number of stocks]],0)</f>
        <v>0</v>
      </c>
      <c r="G1687" s="73">
        <f>Table25[[#This Row],[Bought]]*Table25[[#This Row],[Price]]</f>
        <v>0</v>
      </c>
      <c r="H1687">
        <f>SUMIF(Table25[[#All],[Assets]],Table25[[#This Row],[Assets]],Table25[[#All],[Bought]])</f>
        <v>33</v>
      </c>
      <c r="I1687">
        <f>SUMIF(Table25[[#All],[Assets]],Table25[[#This Row],[Assets]],Table25[[#All],[Bought Amount]])</f>
        <v>8243.81</v>
      </c>
      <c r="J1687" s="88">
        <f>IF(Table25[[#This Row],[Number of stocks]]&lt;0,Table25[[#This Row],[Number of stocks]],0)</f>
        <v>-2</v>
      </c>
      <c r="K1687" s="5">
        <f>Table25[[#This Row],[Sold]]*Table25[[#This Row],[Price]]</f>
        <v>-643.82000000000005</v>
      </c>
      <c r="L1687" s="8">
        <f>ABS(SUMIF(Table25[[#All],[Assets]],Table25[[#This Row],[Assets]],Table25[[#All],[Sold]]))</f>
        <v>43</v>
      </c>
      <c r="M1687" s="5">
        <f>ABS(SUMIF(Table25[[#All],[Assets]],Table25[[#This Row],[Assets]],Table25[[#All],[Sold Amount]]))</f>
        <v>8577.89</v>
      </c>
      <c r="N1687" s="5">
        <f>IFERROR(Table25[[#This Row],[Total sold amount]]/Table25[[#This Row],[Total Sold number of stocks]],"")</f>
        <v>199.48581395348836</v>
      </c>
      <c r="O1687" s="4">
        <f>IFERROR(Table25[[#This Row],[Total Amount bought]]/Table25[[#This Row],[Total number bought]],"")</f>
        <v>249.81242424242421</v>
      </c>
      <c r="P1687" s="4">
        <f>IFERROR((Table25[[#This Row],[Average sell price]]-Table25[[#This Row],[Average buy price]])*Table25[[#This Row],[Total Sold number of stocks]],0)</f>
        <v>-2164.0442424242419</v>
      </c>
      <c r="Q1687" s="85">
        <f>SUMIF(Table25[[#All],[Assets]],Table25[[#This Row],[Assets]],Table25[[#All],[Number of stocks]])</f>
        <v>-10</v>
      </c>
    </row>
    <row r="1688" spans="1:17">
      <c r="A1688" t="e" vm="239">
        <v>#VALUE!</v>
      </c>
      <c r="B1688" s="2">
        <v>45931</v>
      </c>
      <c r="C1688" t="str" cm="1">
        <f t="array" aca="1" ref="C1688" ca="1">_FV(A1688,"Ticker symbol",TRUE)</f>
        <v>U</v>
      </c>
      <c r="D1688" s="4">
        <v>39.93</v>
      </c>
      <c r="E1688" s="50">
        <v>-16</v>
      </c>
      <c r="F1688" s="81">
        <f>IF(Table25[[#This Row],[Number of stocks]]&gt;0,Table25[[#This Row],[Number of stocks]],0)</f>
        <v>0</v>
      </c>
      <c r="G1688" s="73">
        <f>Table25[[#This Row],[Bought]]*Table25[[#This Row],[Price]]</f>
        <v>0</v>
      </c>
      <c r="H1688">
        <f>SUMIF(Table25[[#All],[Assets]],Table25[[#This Row],[Assets]],Table25[[#All],[Bought]])</f>
        <v>36</v>
      </c>
      <c r="I1688">
        <f>SUMIF(Table25[[#All],[Assets]],Table25[[#This Row],[Assets]],Table25[[#All],[Bought Amount]])</f>
        <v>1027.28</v>
      </c>
      <c r="J1688" s="88">
        <f>IF(Table25[[#This Row],[Number of stocks]]&lt;0,Table25[[#This Row],[Number of stocks]],0)</f>
        <v>-16</v>
      </c>
      <c r="K1688" s="5">
        <f>Table25[[#This Row],[Sold]]*Table25[[#This Row],[Price]]</f>
        <v>-638.88</v>
      </c>
      <c r="L1688" s="8">
        <f>ABS(SUMIF(Table25[[#All],[Assets]],Table25[[#This Row],[Assets]],Table25[[#All],[Sold]]))</f>
        <v>36</v>
      </c>
      <c r="M1688" s="5">
        <f>ABS(SUMIF(Table25[[#All],[Assets]],Table25[[#This Row],[Assets]],Table25[[#All],[Sold Amount]]))</f>
        <v>1089.8800000000001</v>
      </c>
      <c r="N1688" s="5">
        <f>IFERROR(Table25[[#This Row],[Total sold amount]]/Table25[[#This Row],[Total Sold number of stocks]],"")</f>
        <v>30.274444444444448</v>
      </c>
      <c r="O1688" s="4">
        <f>IFERROR(Table25[[#This Row],[Total Amount bought]]/Table25[[#This Row],[Total number bought]],"")</f>
        <v>28.535555555555554</v>
      </c>
      <c r="P1688" s="4">
        <f>IFERROR((Table25[[#This Row],[Average sell price]]-Table25[[#This Row],[Average buy price]])*Table25[[#This Row],[Total Sold number of stocks]],0)</f>
        <v>62.600000000000193</v>
      </c>
      <c r="Q1688" s="85">
        <f>SUMIF(Table25[[#All],[Assets]],Table25[[#This Row],[Assets]],Table25[[#All],[Number of stocks]])</f>
        <v>0</v>
      </c>
    </row>
    <row r="1689" spans="1:17">
      <c r="A1689" t="e" vm="581">
        <v>#VALUE!</v>
      </c>
      <c r="B1689" s="2">
        <v>45931</v>
      </c>
      <c r="C1689" t="str" cm="1">
        <f t="array" aca="1" ref="C1689" ca="1">_FV(A1689,"Ticker symbol",TRUE)</f>
        <v>LWAY</v>
      </c>
      <c r="D1689" s="4">
        <v>25.73</v>
      </c>
      <c r="E1689" s="50">
        <v>40</v>
      </c>
      <c r="F1689" s="81">
        <f>IF(Table25[[#This Row],[Number of stocks]]&gt;0,Table25[[#This Row],[Number of stocks]],0)</f>
        <v>40</v>
      </c>
      <c r="G1689" s="73">
        <f>Table25[[#This Row],[Bought]]*Table25[[#This Row],[Price]]</f>
        <v>1029.2</v>
      </c>
      <c r="H1689">
        <f>SUMIF(Table25[[#All],[Assets]],Table25[[#This Row],[Assets]],Table25[[#All],[Bought]])</f>
        <v>40</v>
      </c>
      <c r="I1689">
        <f>SUMIF(Table25[[#All],[Assets]],Table25[[#This Row],[Assets]],Table25[[#All],[Bought Amount]])</f>
        <v>1029.2</v>
      </c>
      <c r="J1689" s="88">
        <f>IF(Table25[[#This Row],[Number of stocks]]&lt;0,Table25[[#This Row],[Number of stocks]],0)</f>
        <v>0</v>
      </c>
      <c r="K1689" s="5">
        <f>Table25[[#This Row],[Sold]]*Table25[[#This Row],[Price]]</f>
        <v>0</v>
      </c>
      <c r="L1689" s="8">
        <f>ABS(SUMIF(Table25[[#All],[Assets]],Table25[[#This Row],[Assets]],Table25[[#All],[Sold]]))</f>
        <v>40</v>
      </c>
      <c r="M1689" s="5">
        <f>ABS(SUMIF(Table25[[#All],[Assets]],Table25[[#This Row],[Assets]],Table25[[#All],[Sold Amount]]))</f>
        <v>1018.16</v>
      </c>
      <c r="N1689" s="5">
        <f>IFERROR(Table25[[#This Row],[Total sold amount]]/Table25[[#This Row],[Total Sold number of stocks]],"")</f>
        <v>25.454000000000001</v>
      </c>
      <c r="O1689" s="4">
        <f>IFERROR(Table25[[#This Row],[Total Amount bought]]/Table25[[#This Row],[Total number bought]],"")</f>
        <v>25.73</v>
      </c>
      <c r="P1689" s="4">
        <f>IFERROR((Table25[[#This Row],[Average sell price]]-Table25[[#This Row],[Average buy price]])*Table25[[#This Row],[Total Sold number of stocks]],0)</f>
        <v>-11.039999999999992</v>
      </c>
      <c r="Q1689" s="85">
        <f>SUMIF(Table25[[#All],[Assets]],Table25[[#This Row],[Assets]],Table25[[#All],[Number of stocks]])</f>
        <v>0</v>
      </c>
    </row>
    <row r="1690" spans="1:17">
      <c r="A1690" t="e" vm="32">
        <v>#VALUE!</v>
      </c>
      <c r="B1690" s="2">
        <v>45931</v>
      </c>
      <c r="C1690" t="str" cm="1">
        <f t="array" aca="1" ref="C1690" ca="1">_FV(A1690,"Ticker symbol",TRUE)</f>
        <v>MU</v>
      </c>
      <c r="D1690" s="4">
        <v>176.72</v>
      </c>
      <c r="E1690" s="50">
        <v>4</v>
      </c>
      <c r="F1690" s="81">
        <f>IF(Table25[[#This Row],[Number of stocks]]&gt;0,Table25[[#This Row],[Number of stocks]],0)</f>
        <v>4</v>
      </c>
      <c r="G1690" s="73">
        <f>Table25[[#This Row],[Bought]]*Table25[[#This Row],[Price]]</f>
        <v>706.88</v>
      </c>
      <c r="H1690">
        <f>SUMIF(Table25[[#All],[Assets]],Table25[[#This Row],[Assets]],Table25[[#All],[Bought]])</f>
        <v>59</v>
      </c>
      <c r="I1690">
        <f>SUMIF(Table25[[#All],[Assets]],Table25[[#This Row],[Assets]],Table25[[#All],[Bought Amount]])</f>
        <v>6964.04</v>
      </c>
      <c r="J1690" s="88">
        <f>IF(Table25[[#This Row],[Number of stocks]]&lt;0,Table25[[#This Row],[Number of stocks]],0)</f>
        <v>0</v>
      </c>
      <c r="K1690" s="5">
        <f>Table25[[#This Row],[Sold]]*Table25[[#This Row],[Price]]</f>
        <v>0</v>
      </c>
      <c r="L1690" s="8">
        <f>ABS(SUMIF(Table25[[#All],[Assets]],Table25[[#This Row],[Assets]],Table25[[#All],[Sold]]))</f>
        <v>58</v>
      </c>
      <c r="M1690" s="5">
        <f>ABS(SUMIF(Table25[[#All],[Assets]],Table25[[#This Row],[Assets]],Table25[[#All],[Sold Amount]]))</f>
        <v>6974.51</v>
      </c>
      <c r="N1690" s="5">
        <f>IFERROR(Table25[[#This Row],[Total sold amount]]/Table25[[#This Row],[Total Sold number of stocks]],"")</f>
        <v>120.25017241379311</v>
      </c>
      <c r="O1690" s="4">
        <f>IFERROR(Table25[[#This Row],[Total Amount bought]]/Table25[[#This Row],[Total number bought]],"")</f>
        <v>118.03457627118644</v>
      </c>
      <c r="P1690" s="4">
        <f>IFERROR((Table25[[#This Row],[Average sell price]]-Table25[[#This Row],[Average buy price]])*Table25[[#This Row],[Total Sold number of stocks]],0)</f>
        <v>128.50457627118692</v>
      </c>
      <c r="Q1690" s="85">
        <f>SUMIF(Table25[[#All],[Assets]],Table25[[#This Row],[Assets]],Table25[[#All],[Number of stocks]])</f>
        <v>1</v>
      </c>
    </row>
    <row r="1691" spans="1:17">
      <c r="A1691" t="e" vm="579">
        <v>#VALUE!</v>
      </c>
      <c r="B1691" s="2">
        <v>45931</v>
      </c>
      <c r="C1691" t="str" cm="1">
        <f t="array" aca="1" ref="C1691" ca="1">_FV(A1691,"Ticker symbol",TRUE)</f>
        <v>STSS</v>
      </c>
      <c r="D1691" s="4">
        <v>6.72</v>
      </c>
      <c r="E1691" s="50">
        <v>-100</v>
      </c>
      <c r="F1691" s="81">
        <f>IF(Table25[[#This Row],[Number of stocks]]&gt;0,Table25[[#This Row],[Number of stocks]],0)</f>
        <v>0</v>
      </c>
      <c r="G1691" s="73">
        <f>Table25[[#This Row],[Bought]]*Table25[[#This Row],[Price]]</f>
        <v>0</v>
      </c>
      <c r="H1691">
        <f>SUMIF(Table25[[#All],[Assets]],Table25[[#This Row],[Assets]],Table25[[#All],[Bought]])</f>
        <v>200</v>
      </c>
      <c r="I1691">
        <f>SUMIF(Table25[[#All],[Assets]],Table25[[#This Row],[Assets]],Table25[[#All],[Bought Amount]])</f>
        <v>1670</v>
      </c>
      <c r="J1691" s="88">
        <f>IF(Table25[[#This Row],[Number of stocks]]&lt;0,Table25[[#This Row],[Number of stocks]],0)</f>
        <v>-100</v>
      </c>
      <c r="K1691" s="5">
        <f>Table25[[#This Row],[Sold]]*Table25[[#This Row],[Price]]</f>
        <v>-672</v>
      </c>
      <c r="L1691" s="8">
        <f>ABS(SUMIF(Table25[[#All],[Assets]],Table25[[#This Row],[Assets]],Table25[[#All],[Sold]]))</f>
        <v>200</v>
      </c>
      <c r="M1691" s="5">
        <f>ABS(SUMIF(Table25[[#All],[Assets]],Table25[[#This Row],[Assets]],Table25[[#All],[Sold Amount]]))</f>
        <v>1330</v>
      </c>
      <c r="N1691" s="5">
        <f>IFERROR(Table25[[#This Row],[Total sold amount]]/Table25[[#This Row],[Total Sold number of stocks]],"")</f>
        <v>6.65</v>
      </c>
      <c r="O1691" s="4">
        <f>IFERROR(Table25[[#This Row],[Total Amount bought]]/Table25[[#This Row],[Total number bought]],"")</f>
        <v>8.35</v>
      </c>
      <c r="P1691" s="4">
        <f>IFERROR((Table25[[#This Row],[Average sell price]]-Table25[[#This Row],[Average buy price]])*Table25[[#This Row],[Total Sold number of stocks]],0)</f>
        <v>-339.99999999999989</v>
      </c>
      <c r="Q1691" s="85">
        <f>SUMIF(Table25[[#All],[Assets]],Table25[[#This Row],[Assets]],Table25[[#All],[Number of stocks]])</f>
        <v>0</v>
      </c>
    </row>
    <row r="1692" spans="1:17">
      <c r="A1692" t="e" vm="582">
        <v>#VALUE!</v>
      </c>
      <c r="B1692" s="2">
        <v>45931</v>
      </c>
      <c r="C1692" t="str" cm="1">
        <f t="array" aca="1" ref="C1692" ca="1">_FV(A1692,"Ticker symbol",TRUE)</f>
        <v>TGT</v>
      </c>
      <c r="D1692" s="4">
        <v>88.64</v>
      </c>
      <c r="E1692" s="50">
        <v>6</v>
      </c>
      <c r="F1692" s="81">
        <f>IF(Table25[[#This Row],[Number of stocks]]&gt;0,Table25[[#This Row],[Number of stocks]],0)</f>
        <v>6</v>
      </c>
      <c r="G1692" s="73">
        <f>Table25[[#This Row],[Bought]]*Table25[[#This Row],[Price]]</f>
        <v>531.84</v>
      </c>
      <c r="H1692">
        <f>SUMIF(Table25[[#All],[Assets]],Table25[[#This Row],[Assets]],Table25[[#All],[Bought]])</f>
        <v>6</v>
      </c>
      <c r="I1692">
        <f>SUMIF(Table25[[#All],[Assets]],Table25[[#This Row],[Assets]],Table25[[#All],[Bought Amount]])</f>
        <v>531.84</v>
      </c>
      <c r="J1692" s="88">
        <f>IF(Table25[[#This Row],[Number of stocks]]&lt;0,Table25[[#This Row],[Number of stocks]],0)</f>
        <v>0</v>
      </c>
      <c r="K1692" s="5">
        <f>Table25[[#This Row],[Sold]]*Table25[[#This Row],[Price]]</f>
        <v>0</v>
      </c>
      <c r="L1692" s="8">
        <f>ABS(SUMIF(Table25[[#All],[Assets]],Table25[[#This Row],[Assets]],Table25[[#All],[Sold]]))</f>
        <v>6</v>
      </c>
      <c r="M1692" s="5">
        <f>ABS(SUMIF(Table25[[#All],[Assets]],Table25[[#This Row],[Assets]],Table25[[#All],[Sold Amount]]))</f>
        <v>537.90000000000009</v>
      </c>
      <c r="N1692" s="5">
        <f>IFERROR(Table25[[#This Row],[Total sold amount]]/Table25[[#This Row],[Total Sold number of stocks]],"")</f>
        <v>89.65000000000002</v>
      </c>
      <c r="O1692" s="4">
        <f>IFERROR(Table25[[#This Row],[Total Amount bought]]/Table25[[#This Row],[Total number bought]],"")</f>
        <v>88.64</v>
      </c>
      <c r="P1692" s="4">
        <f>IFERROR((Table25[[#This Row],[Average sell price]]-Table25[[#This Row],[Average buy price]])*Table25[[#This Row],[Total Sold number of stocks]],0)</f>
        <v>6.060000000000116</v>
      </c>
      <c r="Q1692" s="85">
        <f>SUMIF(Table25[[#All],[Assets]],Table25[[#This Row],[Assets]],Table25[[#All],[Number of stocks]])</f>
        <v>0</v>
      </c>
    </row>
    <row r="1693" spans="1:17">
      <c r="A1693" t="e" vm="74">
        <v>#VALUE!</v>
      </c>
      <c r="B1693" s="2">
        <v>45932</v>
      </c>
      <c r="C1693" t="str" cm="1">
        <f t="array" aca="1" ref="C1693" ca="1">_FV(A1693,"Ticker symbol",TRUE)</f>
        <v>XGN</v>
      </c>
      <c r="D1693" s="4">
        <v>10.98</v>
      </c>
      <c r="E1693" s="50">
        <v>-47</v>
      </c>
      <c r="F1693" s="81">
        <f>IF(Table25[[#This Row],[Number of stocks]]&gt;0,Table25[[#This Row],[Number of stocks]],0)</f>
        <v>0</v>
      </c>
      <c r="G1693" s="73">
        <f>Table25[[#This Row],[Bought]]*Table25[[#This Row],[Price]]</f>
        <v>0</v>
      </c>
      <c r="H1693">
        <f>SUMIF(Table25[[#All],[Assets]],Table25[[#This Row],[Assets]],Table25[[#All],[Bought]])</f>
        <v>249</v>
      </c>
      <c r="I1693">
        <f>SUMIF(Table25[[#All],[Assets]],Table25[[#This Row],[Assets]],Table25[[#All],[Bought Amount]])</f>
        <v>1807.8</v>
      </c>
      <c r="J1693" s="88">
        <f>IF(Table25[[#This Row],[Number of stocks]]&lt;0,Table25[[#This Row],[Number of stocks]],0)</f>
        <v>-47</v>
      </c>
      <c r="K1693" s="5">
        <f>Table25[[#This Row],[Sold]]*Table25[[#This Row],[Price]]</f>
        <v>-516.06000000000006</v>
      </c>
      <c r="L1693" s="8">
        <f>ABS(SUMIF(Table25[[#All],[Assets]],Table25[[#This Row],[Assets]],Table25[[#All],[Sold]]))</f>
        <v>249</v>
      </c>
      <c r="M1693" s="5">
        <f>ABS(SUMIF(Table25[[#All],[Assets]],Table25[[#This Row],[Assets]],Table25[[#All],[Sold Amount]]))</f>
        <v>2313.8000000000002</v>
      </c>
      <c r="N1693" s="5">
        <f>IFERROR(Table25[[#This Row],[Total sold amount]]/Table25[[#This Row],[Total Sold number of stocks]],"")</f>
        <v>9.292369477911647</v>
      </c>
      <c r="O1693" s="4">
        <f>IFERROR(Table25[[#This Row],[Total Amount bought]]/Table25[[#This Row],[Total number bought]],"")</f>
        <v>7.2602409638554217</v>
      </c>
      <c r="P1693" s="4">
        <f>IFERROR((Table25[[#This Row],[Average sell price]]-Table25[[#This Row],[Average buy price]])*Table25[[#This Row],[Total Sold number of stocks]],0)</f>
        <v>506.00000000000011</v>
      </c>
      <c r="Q1693" s="85">
        <f>SUMIF(Table25[[#All],[Assets]],Table25[[#This Row],[Assets]],Table25[[#All],[Number of stocks]])</f>
        <v>0</v>
      </c>
    </row>
    <row r="1694" spans="1:17">
      <c r="A1694" t="e" vm="215">
        <v>#VALUE!</v>
      </c>
      <c r="B1694" s="2">
        <v>45932</v>
      </c>
      <c r="C1694" t="str" cm="1">
        <f t="array" aca="1" ref="C1694" ca="1">_FV(A1694,"Ticker symbol",TRUE)</f>
        <v>SEI</v>
      </c>
      <c r="D1694" s="4">
        <v>45.76</v>
      </c>
      <c r="E1694" s="50">
        <v>7</v>
      </c>
      <c r="F1694" s="81">
        <f>IF(Table25[[#This Row],[Number of stocks]]&gt;0,Table25[[#This Row],[Number of stocks]],0)</f>
        <v>7</v>
      </c>
      <c r="G1694" s="73">
        <f>Table25[[#This Row],[Bought]]*Table25[[#This Row],[Price]]</f>
        <v>320.32</v>
      </c>
      <c r="H1694">
        <f>SUMIF(Table25[[#All],[Assets]],Table25[[#This Row],[Assets]],Table25[[#All],[Bought]])</f>
        <v>57</v>
      </c>
      <c r="I1694">
        <f>SUMIF(Table25[[#All],[Assets]],Table25[[#This Row],[Assets]],Table25[[#All],[Bought Amount]])</f>
        <v>1470.52</v>
      </c>
      <c r="J1694" s="88">
        <f>IF(Table25[[#This Row],[Number of stocks]]&lt;0,Table25[[#This Row],[Number of stocks]],0)</f>
        <v>0</v>
      </c>
      <c r="K1694" s="5">
        <f>Table25[[#This Row],[Sold]]*Table25[[#This Row],[Price]]</f>
        <v>0</v>
      </c>
      <c r="L1694" s="8">
        <f>ABS(SUMIF(Table25[[#All],[Assets]],Table25[[#This Row],[Assets]],Table25[[#All],[Sold]]))</f>
        <v>50</v>
      </c>
      <c r="M1694" s="5">
        <f>ABS(SUMIF(Table25[[#All],[Assets]],Table25[[#This Row],[Assets]],Table25[[#All],[Sold Amount]]))</f>
        <v>1133.05</v>
      </c>
      <c r="N1694" s="5">
        <f>IFERROR(Table25[[#This Row],[Total sold amount]]/Table25[[#This Row],[Total Sold number of stocks]],"")</f>
        <v>22.660999999999998</v>
      </c>
      <c r="O1694" s="4">
        <f>IFERROR(Table25[[#This Row],[Total Amount bought]]/Table25[[#This Row],[Total number bought]],"")</f>
        <v>25.798596491228071</v>
      </c>
      <c r="P1694" s="4">
        <f>IFERROR((Table25[[#This Row],[Average sell price]]-Table25[[#This Row],[Average buy price]])*Table25[[#This Row],[Total Sold number of stocks]],0)</f>
        <v>-156.87982456140367</v>
      </c>
      <c r="Q1694" s="85">
        <f>SUMIF(Table25[[#All],[Assets]],Table25[[#This Row],[Assets]],Table25[[#All],[Number of stocks]])</f>
        <v>7</v>
      </c>
    </row>
    <row r="1695" spans="1:17">
      <c r="A1695" t="e" vm="235">
        <v>#VALUE!</v>
      </c>
      <c r="B1695" s="2">
        <v>45932</v>
      </c>
      <c r="C1695" t="str" cm="1">
        <f t="array" aca="1" ref="C1695" ca="1">_FV(A1695,"Ticker symbol",TRUE)</f>
        <v>MBOT</v>
      </c>
      <c r="D1695" s="4">
        <v>3.11</v>
      </c>
      <c r="E1695" s="50">
        <v>-50</v>
      </c>
      <c r="F1695" s="81">
        <f>IF(Table25[[#This Row],[Number of stocks]]&gt;0,Table25[[#This Row],[Number of stocks]],0)</f>
        <v>0</v>
      </c>
      <c r="G1695" s="73">
        <f>Table25[[#This Row],[Bought]]*Table25[[#This Row],[Price]]</f>
        <v>0</v>
      </c>
      <c r="H1695">
        <f>SUMIF(Table25[[#All],[Assets]],Table25[[#This Row],[Assets]],Table25[[#All],[Bought]])</f>
        <v>200</v>
      </c>
      <c r="I1695">
        <f>SUMIF(Table25[[#All],[Assets]],Table25[[#This Row],[Assets]],Table25[[#All],[Bought Amount]])</f>
        <v>850</v>
      </c>
      <c r="J1695" s="88">
        <f>IF(Table25[[#This Row],[Number of stocks]]&lt;0,Table25[[#This Row],[Number of stocks]],0)</f>
        <v>-50</v>
      </c>
      <c r="K1695" s="5">
        <f>Table25[[#This Row],[Sold]]*Table25[[#This Row],[Price]]</f>
        <v>-155.5</v>
      </c>
      <c r="L1695" s="8">
        <f>ABS(SUMIF(Table25[[#All],[Assets]],Table25[[#This Row],[Assets]],Table25[[#All],[Sold]]))</f>
        <v>200</v>
      </c>
      <c r="M1695" s="5">
        <f>ABS(SUMIF(Table25[[#All],[Assets]],Table25[[#This Row],[Assets]],Table25[[#All],[Sold Amount]]))</f>
        <v>587.5</v>
      </c>
      <c r="N1695" s="5">
        <f>IFERROR(Table25[[#This Row],[Total sold amount]]/Table25[[#This Row],[Total Sold number of stocks]],"")</f>
        <v>2.9375</v>
      </c>
      <c r="O1695" s="4">
        <f>IFERROR(Table25[[#This Row],[Total Amount bought]]/Table25[[#This Row],[Total number bought]],"")</f>
        <v>4.25</v>
      </c>
      <c r="P1695" s="4">
        <f>IFERROR((Table25[[#This Row],[Average sell price]]-Table25[[#This Row],[Average buy price]])*Table25[[#This Row],[Total Sold number of stocks]],0)</f>
        <v>-262.5</v>
      </c>
      <c r="Q1695" s="85">
        <f>SUMIF(Table25[[#All],[Assets]],Table25[[#This Row],[Assets]],Table25[[#All],[Number of stocks]])</f>
        <v>0</v>
      </c>
    </row>
    <row r="1696" spans="1:17">
      <c r="A1696" t="e" vm="583">
        <v>#VALUE!</v>
      </c>
      <c r="B1696" s="2">
        <v>45933</v>
      </c>
      <c r="C1696" t="str" cm="1">
        <f t="array" aca="1" ref="C1696" ca="1">_FV(A1696,"Ticker symbol",TRUE)</f>
        <v>RIG</v>
      </c>
      <c r="D1696" s="4">
        <v>3.36</v>
      </c>
      <c r="E1696" s="50">
        <v>200</v>
      </c>
      <c r="F1696" s="81">
        <f>IF(Table25[[#This Row],[Number of stocks]]&gt;0,Table25[[#This Row],[Number of stocks]],0)</f>
        <v>200</v>
      </c>
      <c r="G1696" s="73">
        <f>Table25[[#This Row],[Bought]]*Table25[[#This Row],[Price]]</f>
        <v>672</v>
      </c>
      <c r="H1696">
        <f>SUMIF(Table25[[#All],[Assets]],Table25[[#This Row],[Assets]],Table25[[#All],[Bought]])</f>
        <v>200</v>
      </c>
      <c r="I1696">
        <f>SUMIF(Table25[[#All],[Assets]],Table25[[#This Row],[Assets]],Table25[[#All],[Bought Amount]])</f>
        <v>672</v>
      </c>
      <c r="J1696" s="88">
        <f>IF(Table25[[#This Row],[Number of stocks]]&lt;0,Table25[[#This Row],[Number of stocks]],0)</f>
        <v>0</v>
      </c>
      <c r="K1696" s="5">
        <f>Table25[[#This Row],[Sold]]*Table25[[#This Row],[Price]]</f>
        <v>0</v>
      </c>
      <c r="L1696" s="8">
        <f>ABS(SUMIF(Table25[[#All],[Assets]],Table25[[#This Row],[Assets]],Table25[[#All],[Sold]]))</f>
        <v>350</v>
      </c>
      <c r="M1696" s="5">
        <f>ABS(SUMIF(Table25[[#All],[Assets]],Table25[[#This Row],[Assets]],Table25[[#All],[Sold Amount]]))</f>
        <v>1260</v>
      </c>
      <c r="N1696" s="5">
        <f>IFERROR(Table25[[#This Row],[Total sold amount]]/Table25[[#This Row],[Total Sold number of stocks]],"")</f>
        <v>3.6</v>
      </c>
      <c r="O1696" s="4">
        <f>IFERROR(Table25[[#This Row],[Total Amount bought]]/Table25[[#This Row],[Total number bought]],"")</f>
        <v>3.36</v>
      </c>
      <c r="P1696" s="4">
        <f>IFERROR((Table25[[#This Row],[Average sell price]]-Table25[[#This Row],[Average buy price]])*Table25[[#This Row],[Total Sold number of stocks]],0)</f>
        <v>84.000000000000071</v>
      </c>
      <c r="Q1696" s="85">
        <f>SUMIF(Table25[[#All],[Assets]],Table25[[#This Row],[Assets]],Table25[[#All],[Number of stocks]])</f>
        <v>-150</v>
      </c>
    </row>
    <row r="1697" spans="1:17">
      <c r="A1697" t="e" vm="193">
        <v>#VALUE!</v>
      </c>
      <c r="B1697" s="2">
        <v>45933</v>
      </c>
      <c r="C1697" t="str" cm="1">
        <f t="array" aca="1" ref="C1697" ca="1">_FV(A1697,"Ticker symbol",TRUE)</f>
        <v>UAVS</v>
      </c>
      <c r="D1697" s="4">
        <v>2.5099999999999998</v>
      </c>
      <c r="E1697" s="50">
        <v>200</v>
      </c>
      <c r="F1697" s="81">
        <f>IF(Table25[[#This Row],[Number of stocks]]&gt;0,Table25[[#This Row],[Number of stocks]],0)</f>
        <v>200</v>
      </c>
      <c r="G1697" s="73">
        <f>Table25[[#This Row],[Bought]]*Table25[[#This Row],[Price]]</f>
        <v>501.99999999999994</v>
      </c>
      <c r="H1697">
        <f>SUMIF(Table25[[#All],[Assets]],Table25[[#This Row],[Assets]],Table25[[#All],[Bought]])</f>
        <v>1480</v>
      </c>
      <c r="I1697">
        <f>SUMIF(Table25[[#All],[Assets]],Table25[[#This Row],[Assets]],Table25[[#All],[Bought Amount]])</f>
        <v>1868.4090000000001</v>
      </c>
      <c r="J1697" s="88">
        <f>IF(Table25[[#This Row],[Number of stocks]]&lt;0,Table25[[#This Row],[Number of stocks]],0)</f>
        <v>0</v>
      </c>
      <c r="K1697" s="5">
        <f>Table25[[#This Row],[Sold]]*Table25[[#This Row],[Price]]</f>
        <v>0</v>
      </c>
      <c r="L1697" s="8">
        <f>ABS(SUMIF(Table25[[#All],[Assets]],Table25[[#This Row],[Assets]],Table25[[#All],[Sold]]))</f>
        <v>500</v>
      </c>
      <c r="M1697" s="5">
        <f>ABS(SUMIF(Table25[[#All],[Assets]],Table25[[#This Row],[Assets]],Table25[[#All],[Sold Amount]]))</f>
        <v>1198</v>
      </c>
      <c r="N1697" s="5">
        <f>IFERROR(Table25[[#This Row],[Total sold amount]]/Table25[[#This Row],[Total Sold number of stocks]],"")</f>
        <v>2.3959999999999999</v>
      </c>
      <c r="O1697" s="4">
        <f>IFERROR(Table25[[#This Row],[Total Amount bought]]/Table25[[#This Row],[Total number bought]],"")</f>
        <v>1.2624385135135137</v>
      </c>
      <c r="P1697" s="4">
        <f>IFERROR((Table25[[#This Row],[Average sell price]]-Table25[[#This Row],[Average buy price]])*Table25[[#This Row],[Total Sold number of stocks]],0)</f>
        <v>566.78074324324314</v>
      </c>
      <c r="Q1697" s="85">
        <f>SUMIF(Table25[[#All],[Assets]],Table25[[#This Row],[Assets]],Table25[[#All],[Number of stocks]])</f>
        <v>980</v>
      </c>
    </row>
    <row r="1698" spans="1:17">
      <c r="A1698" t="e" vm="181">
        <v>#VALUE!</v>
      </c>
      <c r="B1698" s="2">
        <v>45933</v>
      </c>
      <c r="C1698" t="str" cm="1">
        <f t="array" aca="1" ref="C1698" ca="1">_FV(A1698,"Ticker symbol",TRUE)</f>
        <v>TIC</v>
      </c>
      <c r="D1698" s="4">
        <v>14.43</v>
      </c>
      <c r="E1698" s="50">
        <v>25</v>
      </c>
      <c r="F1698" s="81">
        <f>IF(Table25[[#This Row],[Number of stocks]]&gt;0,Table25[[#This Row],[Number of stocks]],0)</f>
        <v>25</v>
      </c>
      <c r="G1698" s="73">
        <f>Table25[[#This Row],[Bought]]*Table25[[#This Row],[Price]]</f>
        <v>360.75</v>
      </c>
      <c r="H1698">
        <f>SUMIF(Table25[[#All],[Assets]],Table25[[#This Row],[Assets]],Table25[[#All],[Bought]])</f>
        <v>487</v>
      </c>
      <c r="I1698">
        <f>SUMIF(Table25[[#All],[Assets]],Table25[[#This Row],[Assets]],Table25[[#All],[Bought Amount]])</f>
        <v>6140.8099999999995</v>
      </c>
      <c r="J1698" s="88">
        <f>IF(Table25[[#This Row],[Number of stocks]]&lt;0,Table25[[#This Row],[Number of stocks]],0)</f>
        <v>0</v>
      </c>
      <c r="K1698" s="5">
        <f>Table25[[#This Row],[Sold]]*Table25[[#This Row],[Price]]</f>
        <v>0</v>
      </c>
      <c r="L1698" s="8">
        <f>ABS(SUMIF(Table25[[#All],[Assets]],Table25[[#This Row],[Assets]],Table25[[#All],[Sold]]))</f>
        <v>397</v>
      </c>
      <c r="M1698" s="5">
        <f>ABS(SUMIF(Table25[[#All],[Assets]],Table25[[#This Row],[Assets]],Table25[[#All],[Sold Amount]]))</f>
        <v>3999.4</v>
      </c>
      <c r="N1698" s="5">
        <f>IFERROR(Table25[[#This Row],[Total sold amount]]/Table25[[#This Row],[Total Sold number of stocks]],"")</f>
        <v>10.074055415617128</v>
      </c>
      <c r="O1698" s="4">
        <f>IFERROR(Table25[[#This Row],[Total Amount bought]]/Table25[[#This Row],[Total number bought]],"")</f>
        <v>12.609466119096508</v>
      </c>
      <c r="P1698" s="4">
        <f>IFERROR((Table25[[#This Row],[Average sell price]]-Table25[[#This Row],[Average buy price]])*Table25[[#This Row],[Total Sold number of stocks]],0)</f>
        <v>-1006.558049281314</v>
      </c>
      <c r="Q1698" s="85">
        <f>SUMIF(Table25[[#All],[Assets]],Table25[[#This Row],[Assets]],Table25[[#All],[Number of stocks]])</f>
        <v>90</v>
      </c>
    </row>
    <row r="1699" spans="1:17">
      <c r="A1699" t="e" vm="75">
        <v>#VALUE!</v>
      </c>
      <c r="B1699" s="2">
        <v>45933</v>
      </c>
      <c r="C1699" t="str" cm="1">
        <f t="array" aca="1" ref="C1699" ca="1">_FV(A1699,"Ticker symbol",TRUE)</f>
        <v>QTRX</v>
      </c>
      <c r="D1699" s="4">
        <v>6.11</v>
      </c>
      <c r="E1699" s="50">
        <v>115</v>
      </c>
      <c r="F1699" s="81">
        <f>IF(Table25[[#This Row],[Number of stocks]]&gt;0,Table25[[#This Row],[Number of stocks]],0)</f>
        <v>115</v>
      </c>
      <c r="G1699" s="73">
        <f>Table25[[#This Row],[Bought]]*Table25[[#This Row],[Price]]</f>
        <v>702.65000000000009</v>
      </c>
      <c r="H1699">
        <f>SUMIF(Table25[[#All],[Assets]],Table25[[#This Row],[Assets]],Table25[[#All],[Bought]])</f>
        <v>1492</v>
      </c>
      <c r="I1699">
        <f>SUMIF(Table25[[#All],[Assets]],Table25[[#This Row],[Assets]],Table25[[#All],[Bought Amount]])</f>
        <v>10313.249999999998</v>
      </c>
      <c r="J1699" s="88">
        <f>IF(Table25[[#This Row],[Number of stocks]]&lt;0,Table25[[#This Row],[Number of stocks]],0)</f>
        <v>0</v>
      </c>
      <c r="K1699" s="5">
        <f>Table25[[#This Row],[Sold]]*Table25[[#This Row],[Price]]</f>
        <v>0</v>
      </c>
      <c r="L1699" s="8">
        <f>ABS(SUMIF(Table25[[#All],[Assets]],Table25[[#This Row],[Assets]],Table25[[#All],[Sold]]))</f>
        <v>1492</v>
      </c>
      <c r="M1699" s="5">
        <f>ABS(SUMIF(Table25[[#All],[Assets]],Table25[[#This Row],[Assets]],Table25[[#All],[Sold Amount]]))</f>
        <v>8408.35</v>
      </c>
      <c r="N1699" s="5">
        <f>IFERROR(Table25[[#This Row],[Total sold amount]]/Table25[[#This Row],[Total Sold number of stocks]],"")</f>
        <v>5.635623324396783</v>
      </c>
      <c r="O1699" s="4">
        <f>IFERROR(Table25[[#This Row],[Total Amount bought]]/Table25[[#This Row],[Total number bought]],"")</f>
        <v>6.9123659517426264</v>
      </c>
      <c r="P1699" s="4">
        <f>IFERROR((Table25[[#This Row],[Average sell price]]-Table25[[#This Row],[Average buy price]])*Table25[[#This Row],[Total Sold number of stocks]],0)</f>
        <v>-1904.8999999999983</v>
      </c>
      <c r="Q1699" s="85">
        <f>SUMIF(Table25[[#All],[Assets]],Table25[[#This Row],[Assets]],Table25[[#All],[Number of stocks]])</f>
        <v>0</v>
      </c>
    </row>
    <row r="1700" spans="1:17">
      <c r="A1700" t="e" vm="29">
        <v>#VALUE!</v>
      </c>
      <c r="B1700" s="2">
        <v>45936</v>
      </c>
      <c r="C1700" t="str" cm="1">
        <f t="array" aca="1" ref="C1700" ca="1">_FV(A1700,"Ticker symbol",TRUE)</f>
        <v>NVDA</v>
      </c>
      <c r="D1700" s="4">
        <v>185.55</v>
      </c>
      <c r="E1700" s="50">
        <v>-1</v>
      </c>
      <c r="F1700" s="81">
        <f>IF(Table25[[#This Row],[Number of stocks]]&gt;0,Table25[[#This Row],[Number of stocks]],0)</f>
        <v>0</v>
      </c>
      <c r="G1700" s="73">
        <f>Table25[[#This Row],[Bought]]*Table25[[#This Row],[Price]]</f>
        <v>0</v>
      </c>
      <c r="H1700">
        <f>SUMIF(Table25[[#All],[Assets]],Table25[[#This Row],[Assets]],Table25[[#All],[Bought]])</f>
        <v>4</v>
      </c>
      <c r="I1700">
        <f>SUMIF(Table25[[#All],[Assets]],Table25[[#This Row],[Assets]],Table25[[#All],[Bought Amount]])</f>
        <v>519.04</v>
      </c>
      <c r="J1700" s="88">
        <f>IF(Table25[[#This Row],[Number of stocks]]&lt;0,Table25[[#This Row],[Number of stocks]],0)</f>
        <v>-1</v>
      </c>
      <c r="K1700" s="5">
        <f>Table25[[#This Row],[Sold]]*Table25[[#This Row],[Price]]</f>
        <v>-185.55</v>
      </c>
      <c r="L1700" s="8">
        <f>ABS(SUMIF(Table25[[#All],[Assets]],Table25[[#This Row],[Assets]],Table25[[#All],[Sold]]))</f>
        <v>3</v>
      </c>
      <c r="M1700" s="5">
        <f>ABS(SUMIF(Table25[[#All],[Assets]],Table25[[#This Row],[Assets]],Table25[[#All],[Sold Amount]]))</f>
        <v>455.75</v>
      </c>
      <c r="N1700" s="5">
        <f>IFERROR(Table25[[#This Row],[Total sold amount]]/Table25[[#This Row],[Total Sold number of stocks]],"")</f>
        <v>151.91666666666666</v>
      </c>
      <c r="O1700" s="4">
        <f>IFERROR(Table25[[#This Row],[Total Amount bought]]/Table25[[#This Row],[Total number bought]],"")</f>
        <v>129.76</v>
      </c>
      <c r="P1700" s="4">
        <f>IFERROR((Table25[[#This Row],[Average sell price]]-Table25[[#This Row],[Average buy price]])*Table25[[#This Row],[Total Sold number of stocks]],0)</f>
        <v>66.47</v>
      </c>
      <c r="Q1700" s="85">
        <f>SUMIF(Table25[[#All],[Assets]],Table25[[#This Row],[Assets]],Table25[[#All],[Number of stocks]])</f>
        <v>1</v>
      </c>
    </row>
    <row r="1701" spans="1:17">
      <c r="A1701" t="e" vm="64">
        <v>#VALUE!</v>
      </c>
      <c r="B1701" s="2">
        <v>45936</v>
      </c>
      <c r="C1701" t="str" cm="1">
        <f t="array" aca="1" ref="C1701" ca="1">_FV(A1701,"Ticker symbol",TRUE)</f>
        <v>LULU</v>
      </c>
      <c r="D1701" s="4">
        <v>176.76</v>
      </c>
      <c r="E1701" s="50">
        <v>-3</v>
      </c>
      <c r="F1701" s="81">
        <f>IF(Table25[[#This Row],[Number of stocks]]&gt;0,Table25[[#This Row],[Number of stocks]],0)</f>
        <v>0</v>
      </c>
      <c r="G1701" s="73">
        <f>Table25[[#This Row],[Bought]]*Table25[[#This Row],[Price]]</f>
        <v>0</v>
      </c>
      <c r="H1701">
        <f>SUMIF(Table25[[#All],[Assets]],Table25[[#This Row],[Assets]],Table25[[#All],[Bought]])</f>
        <v>26</v>
      </c>
      <c r="I1701">
        <f>SUMIF(Table25[[#All],[Assets]],Table25[[#This Row],[Assets]],Table25[[#All],[Bought Amount]])</f>
        <v>6272.2400000000007</v>
      </c>
      <c r="J1701" s="88">
        <f>IF(Table25[[#This Row],[Number of stocks]]&lt;0,Table25[[#This Row],[Number of stocks]],0)</f>
        <v>-3</v>
      </c>
      <c r="K1701" s="5">
        <f>Table25[[#This Row],[Sold]]*Table25[[#This Row],[Price]]</f>
        <v>-530.28</v>
      </c>
      <c r="L1701" s="8">
        <f>ABS(SUMIF(Table25[[#All],[Assets]],Table25[[#This Row],[Assets]],Table25[[#All],[Sold]]))</f>
        <v>26</v>
      </c>
      <c r="M1701" s="5">
        <f>ABS(SUMIF(Table25[[#All],[Assets]],Table25[[#This Row],[Assets]],Table25[[#All],[Sold Amount]]))</f>
        <v>6958.9199999999992</v>
      </c>
      <c r="N1701" s="5">
        <f>IFERROR(Table25[[#This Row],[Total sold amount]]/Table25[[#This Row],[Total Sold number of stocks]],"")</f>
        <v>267.65076923076919</v>
      </c>
      <c r="O1701" s="4">
        <f>IFERROR(Table25[[#This Row],[Total Amount bought]]/Table25[[#This Row],[Total number bought]],"")</f>
        <v>241.24000000000004</v>
      </c>
      <c r="P1701" s="4">
        <f>IFERROR((Table25[[#This Row],[Average sell price]]-Table25[[#This Row],[Average buy price]])*Table25[[#This Row],[Total Sold number of stocks]],0)</f>
        <v>686.67999999999779</v>
      </c>
      <c r="Q1701" s="85">
        <f>SUMIF(Table25[[#All],[Assets]],Table25[[#This Row],[Assets]],Table25[[#All],[Number of stocks]])</f>
        <v>0</v>
      </c>
    </row>
    <row r="1702" spans="1:17">
      <c r="A1702" t="e" vm="213">
        <v>#VALUE!</v>
      </c>
      <c r="B1702" s="2">
        <v>45936</v>
      </c>
      <c r="C1702" t="str" cm="1">
        <f t="array" aca="1" ref="C1702" ca="1">_FV(A1702,"Ticker symbol",TRUE)</f>
        <v>EOSE</v>
      </c>
      <c r="D1702" s="4">
        <v>14.63</v>
      </c>
      <c r="E1702" s="50">
        <v>27</v>
      </c>
      <c r="F1702" s="81">
        <f>IF(Table25[[#This Row],[Number of stocks]]&gt;0,Table25[[#This Row],[Number of stocks]],0)</f>
        <v>27</v>
      </c>
      <c r="G1702" s="73">
        <f>Table25[[#This Row],[Bought]]*Table25[[#This Row],[Price]]</f>
        <v>395.01000000000005</v>
      </c>
      <c r="H1702">
        <f>SUMIF(Table25[[#All],[Assets]],Table25[[#This Row],[Assets]],Table25[[#All],[Bought]])</f>
        <v>79</v>
      </c>
      <c r="I1702">
        <f>SUMIF(Table25[[#All],[Assets]],Table25[[#This Row],[Assets]],Table25[[#All],[Bought Amount]])</f>
        <v>1149.27</v>
      </c>
      <c r="J1702" s="88">
        <f>IF(Table25[[#This Row],[Number of stocks]]&lt;0,Table25[[#This Row],[Number of stocks]],0)</f>
        <v>0</v>
      </c>
      <c r="K1702" s="5">
        <f>Table25[[#This Row],[Sold]]*Table25[[#This Row],[Price]]</f>
        <v>0</v>
      </c>
      <c r="L1702" s="8">
        <f>ABS(SUMIF(Table25[[#All],[Assets]],Table25[[#This Row],[Assets]],Table25[[#All],[Sold]]))</f>
        <v>52</v>
      </c>
      <c r="M1702" s="5">
        <f>ABS(SUMIF(Table25[[#All],[Assets]],Table25[[#This Row],[Assets]],Table25[[#All],[Sold Amount]]))</f>
        <v>650.19000000000005</v>
      </c>
      <c r="N1702" s="5">
        <f>IFERROR(Table25[[#This Row],[Total sold amount]]/Table25[[#This Row],[Total Sold number of stocks]],"")</f>
        <v>12.503653846153847</v>
      </c>
      <c r="O1702" s="4">
        <f>IFERROR(Table25[[#This Row],[Total Amount bought]]/Table25[[#This Row],[Total number bought]],"")</f>
        <v>14.547721518987341</v>
      </c>
      <c r="P1702" s="4">
        <f>IFERROR((Table25[[#This Row],[Average sell price]]-Table25[[#This Row],[Average buy price]])*Table25[[#This Row],[Total Sold number of stocks]],0)</f>
        <v>-106.29151898734168</v>
      </c>
      <c r="Q1702" s="85">
        <f>SUMIF(Table25[[#All],[Assets]],Table25[[#This Row],[Assets]],Table25[[#All],[Number of stocks]])</f>
        <v>27</v>
      </c>
    </row>
    <row r="1703" spans="1:17">
      <c r="A1703" t="e" vm="84">
        <v>#VALUE!</v>
      </c>
      <c r="B1703" s="2">
        <v>45946</v>
      </c>
      <c r="C1703" t="str" cm="1">
        <f t="array" aca="1" ref="C1703" ca="1">_FV(A1703,"Ticker symbol",TRUE)</f>
        <v>COIN</v>
      </c>
      <c r="D1703" s="4">
        <v>339.24</v>
      </c>
      <c r="E1703" s="50">
        <v>-4</v>
      </c>
      <c r="F1703" s="81">
        <f>IF(Table25[[#This Row],[Number of stocks]]&gt;0,Table25[[#This Row],[Number of stocks]],0)</f>
        <v>0</v>
      </c>
      <c r="G1703" s="73">
        <f>Table25[[#This Row],[Bought]]*Table25[[#This Row],[Price]]</f>
        <v>0</v>
      </c>
      <c r="H1703">
        <f>SUMIF(Table25[[#All],[Assets]],Table25[[#This Row],[Assets]],Table25[[#All],[Bought]])</f>
        <v>11</v>
      </c>
      <c r="I1703">
        <f>SUMIF(Table25[[#All],[Assets]],Table25[[#This Row],[Assets]],Table25[[#All],[Bought Amount]])</f>
        <v>3624.34</v>
      </c>
      <c r="J1703" s="88">
        <f>IF(Table25[[#This Row],[Number of stocks]]&lt;0,Table25[[#This Row],[Number of stocks]],0)</f>
        <v>-4</v>
      </c>
      <c r="K1703" s="5">
        <f>Table25[[#This Row],[Sold]]*Table25[[#This Row],[Price]]</f>
        <v>-1356.96</v>
      </c>
      <c r="L1703" s="8">
        <f>ABS(SUMIF(Table25[[#All],[Assets]],Table25[[#This Row],[Assets]],Table25[[#All],[Sold]]))</f>
        <v>11</v>
      </c>
      <c r="M1703" s="5">
        <f>ABS(SUMIF(Table25[[#All],[Assets]],Table25[[#This Row],[Assets]],Table25[[#All],[Sold Amount]]))</f>
        <v>3399.23</v>
      </c>
      <c r="N1703" s="5">
        <f>IFERROR(Table25[[#This Row],[Total sold amount]]/Table25[[#This Row],[Total Sold number of stocks]],"")</f>
        <v>309.02090909090907</v>
      </c>
      <c r="O1703" s="4">
        <f>IFERROR(Table25[[#This Row],[Total Amount bought]]/Table25[[#This Row],[Total number bought]],"")</f>
        <v>329.48545454545456</v>
      </c>
      <c r="P1703" s="4">
        <f>IFERROR((Table25[[#This Row],[Average sell price]]-Table25[[#This Row],[Average buy price]])*Table25[[#This Row],[Total Sold number of stocks]],0)</f>
        <v>-225.11000000000035</v>
      </c>
      <c r="Q1703" s="85">
        <f>SUMIF(Table25[[#All],[Assets]],Table25[[#This Row],[Assets]],Table25[[#All],[Number of stocks]])</f>
        <v>0</v>
      </c>
    </row>
    <row r="1704" spans="1:17">
      <c r="A1704" t="e" vm="81">
        <v>#VALUE!</v>
      </c>
      <c r="B1704" s="2">
        <v>45946</v>
      </c>
      <c r="C1704" t="str" cm="1">
        <f t="array" aca="1" ref="C1704" ca="1">_FV(A1704,"Ticker symbol",TRUE)</f>
        <v>DLO</v>
      </c>
      <c r="D1704" s="4">
        <v>16.670000000000002</v>
      </c>
      <c r="E1704" s="50">
        <v>80</v>
      </c>
      <c r="F1704" s="81">
        <f>IF(Table25[[#This Row],[Number of stocks]]&gt;0,Table25[[#This Row],[Number of stocks]],0)</f>
        <v>80</v>
      </c>
      <c r="G1704" s="73">
        <f>Table25[[#This Row],[Bought]]*Table25[[#This Row],[Price]]</f>
        <v>1333.6000000000001</v>
      </c>
      <c r="H1704">
        <f>SUMIF(Table25[[#All],[Assets]],Table25[[#This Row],[Assets]],Table25[[#All],[Bought]])</f>
        <v>436</v>
      </c>
      <c r="I1704">
        <f>SUMIF(Table25[[#All],[Assets]],Table25[[#This Row],[Assets]],Table25[[#All],[Bought Amount]])</f>
        <v>5840.9900000000007</v>
      </c>
      <c r="J1704" s="88">
        <f>IF(Table25[[#This Row],[Number of stocks]]&lt;0,Table25[[#This Row],[Number of stocks]],0)</f>
        <v>0</v>
      </c>
      <c r="K1704" s="5">
        <f>Table25[[#This Row],[Sold]]*Table25[[#This Row],[Price]]</f>
        <v>0</v>
      </c>
      <c r="L1704" s="8">
        <f>ABS(SUMIF(Table25[[#All],[Assets]],Table25[[#This Row],[Assets]],Table25[[#All],[Sold]]))</f>
        <v>436</v>
      </c>
      <c r="M1704" s="5">
        <f>ABS(SUMIF(Table25[[#All],[Assets]],Table25[[#This Row],[Assets]],Table25[[#All],[Sold Amount]]))</f>
        <v>5546.6</v>
      </c>
      <c r="N1704" s="5">
        <f>IFERROR(Table25[[#This Row],[Total sold amount]]/Table25[[#This Row],[Total Sold number of stocks]],"")</f>
        <v>12.721559633027523</v>
      </c>
      <c r="O1704" s="4">
        <f>IFERROR(Table25[[#This Row],[Total Amount bought]]/Table25[[#This Row],[Total number bought]],"")</f>
        <v>13.396766055045873</v>
      </c>
      <c r="P1704" s="4">
        <f>IFERROR((Table25[[#This Row],[Average sell price]]-Table25[[#This Row],[Average buy price]])*Table25[[#This Row],[Total Sold number of stocks]],0)</f>
        <v>-294.39000000000073</v>
      </c>
      <c r="Q1704" s="85">
        <f>SUMIF(Table25[[#All],[Assets]],Table25[[#This Row],[Assets]],Table25[[#All],[Number of stocks]])</f>
        <v>0</v>
      </c>
    </row>
    <row r="1705" spans="1:17">
      <c r="A1705" t="e" vm="213">
        <v>#VALUE!</v>
      </c>
      <c r="B1705" s="2">
        <v>45936</v>
      </c>
      <c r="C1705" t="str" cm="1">
        <f t="array" aca="1" ref="C1705" ca="1">_FV(A1705,"Ticker symbol",TRUE)</f>
        <v>EOSE</v>
      </c>
      <c r="D1705" s="4">
        <v>14.63</v>
      </c>
      <c r="E1705" s="50">
        <v>27</v>
      </c>
      <c r="F1705" s="81">
        <f>IF(Table25[[#This Row],[Number of stocks]]&gt;0,Table25[[#This Row],[Number of stocks]],0)</f>
        <v>27</v>
      </c>
      <c r="G1705" s="73">
        <f>Table25[[#This Row],[Bought]]*Table25[[#This Row],[Price]]</f>
        <v>395.01000000000005</v>
      </c>
      <c r="H1705">
        <f>SUMIF(Table25[[#All],[Assets]],Table25[[#This Row],[Assets]],Table25[[#All],[Bought]])</f>
        <v>79</v>
      </c>
      <c r="I1705">
        <f>SUMIF(Table25[[#All],[Assets]],Table25[[#This Row],[Assets]],Table25[[#All],[Bought Amount]])</f>
        <v>1149.27</v>
      </c>
      <c r="J1705" s="88">
        <f>IF(Table25[[#This Row],[Number of stocks]]&lt;0,Table25[[#This Row],[Number of stocks]],0)</f>
        <v>0</v>
      </c>
      <c r="K1705" s="5">
        <f>Table25[[#This Row],[Sold]]*Table25[[#This Row],[Price]]</f>
        <v>0</v>
      </c>
      <c r="L1705" s="8">
        <f>ABS(SUMIF(Table25[[#All],[Assets]],Table25[[#This Row],[Assets]],Table25[[#All],[Sold]]))</f>
        <v>52</v>
      </c>
      <c r="M1705" s="5">
        <f>ABS(SUMIF(Table25[[#All],[Assets]],Table25[[#This Row],[Assets]],Table25[[#All],[Sold Amount]]))</f>
        <v>650.19000000000005</v>
      </c>
      <c r="N1705" s="5">
        <f>IFERROR(Table25[[#This Row],[Total sold amount]]/Table25[[#This Row],[Total Sold number of stocks]],"")</f>
        <v>12.503653846153847</v>
      </c>
      <c r="O1705" s="4">
        <f>IFERROR(Table25[[#This Row],[Total Amount bought]]/Table25[[#This Row],[Total number bought]],"")</f>
        <v>14.547721518987341</v>
      </c>
      <c r="P1705" s="4">
        <f>IFERROR((Table25[[#This Row],[Average sell price]]-Table25[[#This Row],[Average buy price]])*Table25[[#This Row],[Total Sold number of stocks]],0)</f>
        <v>-106.29151898734168</v>
      </c>
      <c r="Q1705" s="85">
        <f>SUMIF(Table25[[#All],[Assets]],Table25[[#This Row],[Assets]],Table25[[#All],[Number of stocks]])</f>
        <v>27</v>
      </c>
    </row>
    <row r="1706" spans="1:17">
      <c r="A1706" t="e" vm="226">
        <v>#VALUE!</v>
      </c>
      <c r="B1706" s="2">
        <v>45936</v>
      </c>
      <c r="C1706" t="str" cm="1">
        <f t="array" aca="1" ref="C1706" ca="1">_FV(A1706,"Ticker symbol",TRUE)</f>
        <v>WGHTQ</v>
      </c>
      <c r="D1706" s="4">
        <v>26.7</v>
      </c>
      <c r="E1706" s="50">
        <v>-27</v>
      </c>
      <c r="F1706" s="81">
        <f>IF(Table25[[#This Row],[Number of stocks]]&gt;0,Table25[[#This Row],[Number of stocks]],0)</f>
        <v>0</v>
      </c>
      <c r="G1706" s="73">
        <f>Table25[[#This Row],[Bought]]*Table25[[#This Row],[Price]]</f>
        <v>0</v>
      </c>
      <c r="H1706">
        <f>SUMIF(Table25[[#All],[Assets]],Table25[[#This Row],[Assets]],Table25[[#All],[Bought]])</f>
        <v>172</v>
      </c>
      <c r="I1706">
        <f>SUMIF(Table25[[#All],[Assets]],Table25[[#This Row],[Assets]],Table25[[#All],[Bought Amount]])</f>
        <v>5307.8900000000012</v>
      </c>
      <c r="J1706" s="88">
        <f>IF(Table25[[#This Row],[Number of stocks]]&lt;0,Table25[[#This Row],[Number of stocks]],0)</f>
        <v>-27</v>
      </c>
      <c r="K1706" s="5">
        <f>Table25[[#This Row],[Sold]]*Table25[[#This Row],[Price]]</f>
        <v>-720.9</v>
      </c>
      <c r="L1706" s="8">
        <f>ABS(SUMIF(Table25[[#All],[Assets]],Table25[[#This Row],[Assets]],Table25[[#All],[Sold]]))</f>
        <v>168</v>
      </c>
      <c r="M1706" s="5">
        <f>ABS(SUMIF(Table25[[#All],[Assets]],Table25[[#This Row],[Assets]],Table25[[#All],[Sold Amount]]))</f>
        <v>4668.4199999999992</v>
      </c>
      <c r="N1706" s="5">
        <f>IFERROR(Table25[[#This Row],[Total sold amount]]/Table25[[#This Row],[Total Sold number of stocks]],"")</f>
        <v>27.788214285714282</v>
      </c>
      <c r="O1706" s="4">
        <f>IFERROR(Table25[[#This Row],[Total Amount bought]]/Table25[[#This Row],[Total number bought]],"")</f>
        <v>30.859825581395356</v>
      </c>
      <c r="P1706" s="4">
        <f>IFERROR((Table25[[#This Row],[Average sell price]]-Table25[[#This Row],[Average buy price]])*Table25[[#This Row],[Total Sold number of stocks]],0)</f>
        <v>-516.03069767442025</v>
      </c>
      <c r="Q1706" s="85">
        <f>SUMIF(Table25[[#All],[Assets]],Table25[[#This Row],[Assets]],Table25[[#All],[Number of stocks]])</f>
        <v>4</v>
      </c>
    </row>
    <row r="1707" spans="1:17">
      <c r="A1707" t="e" vm="213">
        <v>#VALUE!</v>
      </c>
      <c r="B1707" s="2">
        <v>45936</v>
      </c>
      <c r="C1707" t="str" cm="1">
        <f t="array" aca="1" ref="C1707" ca="1">_FV(A1707,"Ticker symbol",TRUE)</f>
        <v>EOSE</v>
      </c>
      <c r="D1707" s="4">
        <v>14.37</v>
      </c>
      <c r="E1707" s="50">
        <v>25</v>
      </c>
      <c r="F1707" s="81">
        <f>IF(Table25[[#This Row],[Number of stocks]]&gt;0,Table25[[#This Row],[Number of stocks]],0)</f>
        <v>25</v>
      </c>
      <c r="G1707" s="73">
        <f>Table25[[#This Row],[Bought]]*Table25[[#This Row],[Price]]</f>
        <v>359.25</v>
      </c>
      <c r="H1707">
        <f>SUMIF(Table25[[#All],[Assets]],Table25[[#This Row],[Assets]],Table25[[#All],[Bought]])</f>
        <v>79</v>
      </c>
      <c r="I1707">
        <f>SUMIF(Table25[[#All],[Assets]],Table25[[#This Row],[Assets]],Table25[[#All],[Bought Amount]])</f>
        <v>1149.27</v>
      </c>
      <c r="J1707" s="88">
        <f>IF(Table25[[#This Row],[Number of stocks]]&lt;0,Table25[[#This Row],[Number of stocks]],0)</f>
        <v>0</v>
      </c>
      <c r="K1707" s="5">
        <f>Table25[[#This Row],[Sold]]*Table25[[#This Row],[Price]]</f>
        <v>0</v>
      </c>
      <c r="L1707" s="8">
        <f>ABS(SUMIF(Table25[[#All],[Assets]],Table25[[#This Row],[Assets]],Table25[[#All],[Sold]]))</f>
        <v>52</v>
      </c>
      <c r="M1707" s="5">
        <f>ABS(SUMIF(Table25[[#All],[Assets]],Table25[[#This Row],[Assets]],Table25[[#All],[Sold Amount]]))</f>
        <v>650.19000000000005</v>
      </c>
      <c r="N1707" s="5">
        <f>IFERROR(Table25[[#This Row],[Total sold amount]]/Table25[[#This Row],[Total Sold number of stocks]],"")</f>
        <v>12.503653846153847</v>
      </c>
      <c r="O1707" s="4">
        <f>IFERROR(Table25[[#This Row],[Total Amount bought]]/Table25[[#This Row],[Total number bought]],"")</f>
        <v>14.547721518987341</v>
      </c>
      <c r="P1707" s="4">
        <f>IFERROR((Table25[[#This Row],[Average sell price]]-Table25[[#This Row],[Average buy price]])*Table25[[#This Row],[Total Sold number of stocks]],0)</f>
        <v>-106.29151898734168</v>
      </c>
      <c r="Q1707" s="85">
        <f>SUMIF(Table25[[#All],[Assets]],Table25[[#This Row],[Assets]],Table25[[#All],[Number of stocks]])</f>
        <v>27</v>
      </c>
    </row>
    <row r="1708" spans="1:17">
      <c r="A1708" t="e" vm="91">
        <v>#VALUE!</v>
      </c>
      <c r="B1708" s="2">
        <v>45936</v>
      </c>
      <c r="C1708" t="str" cm="1">
        <f t="array" aca="1" ref="C1708" ca="1">_FV(A1708,"Ticker symbol",TRUE)</f>
        <v>RKLB</v>
      </c>
      <c r="D1708" s="4">
        <v>57.32</v>
      </c>
      <c r="E1708" s="50">
        <v>6</v>
      </c>
      <c r="F1708" s="81">
        <f>IF(Table25[[#This Row],[Number of stocks]]&gt;0,Table25[[#This Row],[Number of stocks]],0)</f>
        <v>6</v>
      </c>
      <c r="G1708" s="73">
        <f>Table25[[#This Row],[Bought]]*Table25[[#This Row],[Price]]</f>
        <v>343.92</v>
      </c>
      <c r="H1708">
        <f>SUMIF(Table25[[#All],[Assets]],Table25[[#This Row],[Assets]],Table25[[#All],[Bought]])</f>
        <v>22</v>
      </c>
      <c r="I1708">
        <f>SUMIF(Table25[[#All],[Assets]],Table25[[#This Row],[Assets]],Table25[[#All],[Bought Amount]])</f>
        <v>1045.0999999999999</v>
      </c>
      <c r="J1708" s="88">
        <f>IF(Table25[[#This Row],[Number of stocks]]&lt;0,Table25[[#This Row],[Number of stocks]],0)</f>
        <v>0</v>
      </c>
      <c r="K1708" s="5">
        <f>Table25[[#This Row],[Sold]]*Table25[[#This Row],[Price]]</f>
        <v>0</v>
      </c>
      <c r="L1708" s="8">
        <f>ABS(SUMIF(Table25[[#All],[Assets]],Table25[[#This Row],[Assets]],Table25[[#All],[Sold]]))</f>
        <v>21</v>
      </c>
      <c r="M1708" s="5">
        <f>ABS(SUMIF(Table25[[#All],[Assets]],Table25[[#This Row],[Assets]],Table25[[#All],[Sold Amount]]))</f>
        <v>1696.64</v>
      </c>
      <c r="N1708" s="5">
        <f>IFERROR(Table25[[#This Row],[Total sold amount]]/Table25[[#This Row],[Total Sold number of stocks]],"")</f>
        <v>80.792380952380952</v>
      </c>
      <c r="O1708" s="4">
        <f>IFERROR(Table25[[#This Row],[Total Amount bought]]/Table25[[#This Row],[Total number bought]],"")</f>
        <v>47.50454545454545</v>
      </c>
      <c r="P1708" s="4">
        <f>IFERROR((Table25[[#This Row],[Average sell price]]-Table25[[#This Row],[Average buy price]])*Table25[[#This Row],[Total Sold number of stocks]],0)</f>
        <v>699.04454545454553</v>
      </c>
      <c r="Q1708" s="85">
        <f>SUMIF(Table25[[#All],[Assets]],Table25[[#This Row],[Assets]],Table25[[#All],[Number of stocks]])</f>
        <v>1</v>
      </c>
    </row>
    <row r="1709" spans="1:17">
      <c r="A1709" t="e" vm="231">
        <v>#VALUE!</v>
      </c>
      <c r="B1709" s="2">
        <v>45958</v>
      </c>
      <c r="C1709" t="str" cm="1">
        <f t="array" aca="1" ref="C1709" ca="1">_FV(A1709,"Ticker symbol",TRUE)</f>
        <v>UNH</v>
      </c>
      <c r="D1709" s="4">
        <v>362.06</v>
      </c>
      <c r="E1709" s="50">
        <v>-2.9</v>
      </c>
      <c r="F1709" s="81">
        <f>IF(Table25[[#This Row],[Number of stocks]]&gt;0,Table25[[#This Row],[Number of stocks]],0)</f>
        <v>0</v>
      </c>
      <c r="G1709" s="73">
        <f>Table25[[#This Row],[Bought]]*Table25[[#This Row],[Price]]</f>
        <v>0</v>
      </c>
      <c r="H1709">
        <f>SUMIF(Table25[[#All],[Assets]],Table25[[#This Row],[Assets]],Table25[[#All],[Bought]])</f>
        <v>4.9000000000000004</v>
      </c>
      <c r="I1709">
        <f>SUMIF(Table25[[#All],[Assets]],Table25[[#This Row],[Assets]],Table25[[#All],[Bought Amount]])</f>
        <v>1320.854</v>
      </c>
      <c r="J1709" s="88">
        <f>IF(Table25[[#This Row],[Number of stocks]]&lt;0,Table25[[#This Row],[Number of stocks]],0)</f>
        <v>-2.9</v>
      </c>
      <c r="K1709" s="5">
        <f>Table25[[#This Row],[Sold]]*Table25[[#This Row],[Price]]</f>
        <v>-1049.9739999999999</v>
      </c>
      <c r="L1709" s="8">
        <f>ABS(SUMIF(Table25[[#All],[Assets]],Table25[[#This Row],[Assets]],Table25[[#All],[Sold]]))</f>
        <v>4.9000000000000004</v>
      </c>
      <c r="M1709" s="5">
        <f>ABS(SUMIF(Table25[[#All],[Assets]],Table25[[#This Row],[Assets]],Table25[[#All],[Sold Amount]]))</f>
        <v>1686.614</v>
      </c>
      <c r="N1709" s="5">
        <f>IFERROR(Table25[[#This Row],[Total sold amount]]/Table25[[#This Row],[Total Sold number of stocks]],"")</f>
        <v>344.2069387755102</v>
      </c>
      <c r="O1709" s="4">
        <f>IFERROR(Table25[[#This Row],[Total Amount bought]]/Table25[[#This Row],[Total number bought]],"")</f>
        <v>269.56204081632654</v>
      </c>
      <c r="P1709" s="4">
        <f>IFERROR((Table25[[#This Row],[Average sell price]]-Table25[[#This Row],[Average buy price]])*Table25[[#This Row],[Total Sold number of stocks]],0)</f>
        <v>365.75999999999993</v>
      </c>
      <c r="Q1709" s="85">
        <f>SUMIF(Table25[[#All],[Assets]],Table25[[#This Row],[Assets]],Table25[[#All],[Number of stocks]])</f>
        <v>0</v>
      </c>
    </row>
    <row r="1710" spans="1:17">
      <c r="A1710" t="e" vm="182">
        <v>#VALUE!</v>
      </c>
      <c r="B1710" s="2">
        <v>45958</v>
      </c>
      <c r="C1710" t="str" cm="1">
        <f t="array" aca="1" ref="C1710" ca="1">_FV(A1710,"Ticker symbol",TRUE)</f>
        <v>PUMP</v>
      </c>
      <c r="D1710" s="4">
        <v>7.03</v>
      </c>
      <c r="E1710" s="50">
        <v>125</v>
      </c>
      <c r="F1710" s="81">
        <f>IF(Table25[[#This Row],[Number of stocks]]&gt;0,Table25[[#This Row],[Number of stocks]],0)</f>
        <v>125</v>
      </c>
      <c r="G1710" s="73">
        <f>Table25[[#This Row],[Bought]]*Table25[[#This Row],[Price]]</f>
        <v>878.75</v>
      </c>
      <c r="H1710">
        <f>SUMIF(Table25[[#All],[Assets]],Table25[[#This Row],[Assets]],Table25[[#All],[Bought]])</f>
        <v>425</v>
      </c>
      <c r="I1710">
        <f>SUMIF(Table25[[#All],[Assets]],Table25[[#This Row],[Assets]],Table25[[#All],[Bought Amount]])</f>
        <v>2988.75</v>
      </c>
      <c r="J1710" s="88">
        <f>IF(Table25[[#This Row],[Number of stocks]]&lt;0,Table25[[#This Row],[Number of stocks]],0)</f>
        <v>0</v>
      </c>
      <c r="K1710" s="5">
        <f>Table25[[#This Row],[Sold]]*Table25[[#This Row],[Price]]</f>
        <v>0</v>
      </c>
      <c r="L1710" s="8">
        <f>ABS(SUMIF(Table25[[#All],[Assets]],Table25[[#This Row],[Assets]],Table25[[#All],[Sold]]))</f>
        <v>100</v>
      </c>
      <c r="M1710" s="5">
        <f>ABS(SUMIF(Table25[[#All],[Assets]],Table25[[#This Row],[Assets]],Table25[[#All],[Sold Amount]]))</f>
        <v>831</v>
      </c>
      <c r="N1710" s="5">
        <f>IFERROR(Table25[[#This Row],[Total sold amount]]/Table25[[#This Row],[Total Sold number of stocks]],"")</f>
        <v>8.31</v>
      </c>
      <c r="O1710" s="4">
        <f>IFERROR(Table25[[#This Row],[Total Amount bought]]/Table25[[#This Row],[Total number bought]],"")</f>
        <v>7.0323529411764705</v>
      </c>
      <c r="P1710" s="4">
        <f>IFERROR((Table25[[#This Row],[Average sell price]]-Table25[[#This Row],[Average buy price]])*Table25[[#This Row],[Total Sold number of stocks]],0)</f>
        <v>127.764705882353</v>
      </c>
      <c r="Q1710" s="85">
        <f>SUMIF(Table25[[#All],[Assets]],Table25[[#This Row],[Assets]],Table25[[#All],[Number of stocks]])</f>
        <v>325</v>
      </c>
    </row>
    <row r="1711" spans="1:17">
      <c r="A1711" t="e" vm="77">
        <v>#VALUE!</v>
      </c>
      <c r="B1711" s="2">
        <v>45958</v>
      </c>
      <c r="C1711" t="str" cm="1">
        <f t="array" aca="1" ref="C1711" ca="1">_FV(A1711,"Ticker symbol",TRUE)</f>
        <v>STIM</v>
      </c>
      <c r="D1711" s="4">
        <v>3.05</v>
      </c>
      <c r="E1711" s="50">
        <v>-285</v>
      </c>
      <c r="F1711" s="81">
        <f>IF(Table25[[#This Row],[Number of stocks]]&gt;0,Table25[[#This Row],[Number of stocks]],0)</f>
        <v>0</v>
      </c>
      <c r="G1711" s="73">
        <f>Table25[[#This Row],[Bought]]*Table25[[#This Row],[Price]]</f>
        <v>0</v>
      </c>
      <c r="H1711">
        <f>SUMIF(Table25[[#All],[Assets]],Table25[[#This Row],[Assets]],Table25[[#All],[Bought]])</f>
        <v>7036.45</v>
      </c>
      <c r="I1711">
        <f>SUMIF(Table25[[#All],[Assets]],Table25[[#This Row],[Assets]],Table25[[#All],[Bought Amount]])</f>
        <v>19162.260000000002</v>
      </c>
      <c r="J1711" s="88">
        <f>IF(Table25[[#This Row],[Number of stocks]]&lt;0,Table25[[#This Row],[Number of stocks]],0)</f>
        <v>-285</v>
      </c>
      <c r="K1711" s="5">
        <f>Table25[[#This Row],[Sold]]*Table25[[#This Row],[Price]]</f>
        <v>-869.25</v>
      </c>
      <c r="L1711" s="8">
        <f>ABS(SUMIF(Table25[[#All],[Assets]],Table25[[#This Row],[Assets]],Table25[[#All],[Sold]]))</f>
        <v>6686.45</v>
      </c>
      <c r="M1711" s="5">
        <f>ABS(SUMIF(Table25[[#All],[Assets]],Table25[[#This Row],[Assets]],Table25[[#All],[Sold Amount]]))</f>
        <v>19226.484999999997</v>
      </c>
      <c r="N1711" s="5">
        <f>IFERROR(Table25[[#This Row],[Total sold amount]]/Table25[[#This Row],[Total Sold number of stocks]],"")</f>
        <v>2.8754398821497205</v>
      </c>
      <c r="O1711" s="4">
        <f>IFERROR(Table25[[#This Row],[Total Amount bought]]/Table25[[#This Row],[Total number bought]],"")</f>
        <v>2.7232851793162749</v>
      </c>
      <c r="P1711" s="4">
        <f>IFERROR((Table25[[#This Row],[Average sell price]]-Table25[[#This Row],[Average buy price]])*Table25[[#This Row],[Total Sold number of stocks]],0)</f>
        <v>1017.3748127606921</v>
      </c>
      <c r="Q1711" s="85">
        <f>SUMIF(Table25[[#All],[Assets]],Table25[[#This Row],[Assets]],Table25[[#All],[Number of stocks]])</f>
        <v>349.99999999999977</v>
      </c>
    </row>
    <row r="1712" spans="1:17">
      <c r="A1712" t="e" vm="576">
        <v>#VALUE!</v>
      </c>
      <c r="B1712" s="2">
        <v>45958</v>
      </c>
      <c r="C1712" t="str" cm="1">
        <f t="array" aca="1" ref="C1712" ca="1">_FV(A1712,"Ticker symbol",TRUE)</f>
        <v>DUOL</v>
      </c>
      <c r="D1712" s="4">
        <v>301.55</v>
      </c>
      <c r="E1712" s="50">
        <v>-2</v>
      </c>
      <c r="F1712" s="81">
        <f>IF(Table25[[#This Row],[Number of stocks]]&gt;0,Table25[[#This Row],[Number of stocks]],0)</f>
        <v>0</v>
      </c>
      <c r="G1712" s="73">
        <f>Table25[[#This Row],[Bought]]*Table25[[#This Row],[Price]]</f>
        <v>0</v>
      </c>
      <c r="H1712">
        <f>SUMIF(Table25[[#All],[Assets]],Table25[[#This Row],[Assets]],Table25[[#All],[Bought]])</f>
        <v>33</v>
      </c>
      <c r="I1712">
        <f>SUMIF(Table25[[#All],[Assets]],Table25[[#This Row],[Assets]],Table25[[#All],[Bought Amount]])</f>
        <v>8243.81</v>
      </c>
      <c r="J1712" s="88">
        <f>IF(Table25[[#This Row],[Number of stocks]]&lt;0,Table25[[#This Row],[Number of stocks]],0)</f>
        <v>-2</v>
      </c>
      <c r="K1712" s="5">
        <f>Table25[[#This Row],[Sold]]*Table25[[#This Row],[Price]]</f>
        <v>-603.1</v>
      </c>
      <c r="L1712" s="8">
        <f>ABS(SUMIF(Table25[[#All],[Assets]],Table25[[#This Row],[Assets]],Table25[[#All],[Sold]]))</f>
        <v>43</v>
      </c>
      <c r="M1712" s="5">
        <f>ABS(SUMIF(Table25[[#All],[Assets]],Table25[[#This Row],[Assets]],Table25[[#All],[Sold Amount]]))</f>
        <v>8577.89</v>
      </c>
      <c r="N1712" s="5">
        <f>IFERROR(Table25[[#This Row],[Total sold amount]]/Table25[[#This Row],[Total Sold number of stocks]],"")</f>
        <v>199.48581395348836</v>
      </c>
      <c r="O1712" s="4">
        <f>IFERROR(Table25[[#This Row],[Total Amount bought]]/Table25[[#This Row],[Total number bought]],"")</f>
        <v>249.81242424242421</v>
      </c>
      <c r="P1712" s="4">
        <f>IFERROR((Table25[[#This Row],[Average sell price]]-Table25[[#This Row],[Average buy price]])*Table25[[#This Row],[Total Sold number of stocks]],0)</f>
        <v>-2164.0442424242419</v>
      </c>
      <c r="Q1712" s="85">
        <f>SUMIF(Table25[[#All],[Assets]],Table25[[#This Row],[Assets]],Table25[[#All],[Number of stocks]])</f>
        <v>-10</v>
      </c>
    </row>
    <row r="1713" spans="1:17">
      <c r="A1713" t="e" vm="51">
        <v>#VALUE!</v>
      </c>
      <c r="B1713" s="2">
        <v>45958</v>
      </c>
      <c r="C1713" t="str" cm="1">
        <f t="array" aca="1" ref="C1713" ca="1">_FV(A1713,"Ticker symbol",TRUE)</f>
        <v>CEG</v>
      </c>
      <c r="D1713" s="4">
        <v>380.29</v>
      </c>
      <c r="E1713" s="50">
        <v>-2</v>
      </c>
      <c r="F1713" s="81">
        <f>IF(Table25[[#This Row],[Number of stocks]]&gt;0,Table25[[#This Row],[Number of stocks]],0)</f>
        <v>0</v>
      </c>
      <c r="G1713" s="73">
        <f>Table25[[#This Row],[Bought]]*Table25[[#This Row],[Price]]</f>
        <v>0</v>
      </c>
      <c r="H1713">
        <f>SUMIF(Table25[[#All],[Assets]],Table25[[#This Row],[Assets]],Table25[[#All],[Bought]])</f>
        <v>2</v>
      </c>
      <c r="I1713">
        <f>SUMIF(Table25[[#All],[Assets]],Table25[[#This Row],[Assets]],Table25[[#All],[Bought Amount]])</f>
        <v>571.1</v>
      </c>
      <c r="J1713" s="88">
        <f>IF(Table25[[#This Row],[Number of stocks]]&lt;0,Table25[[#This Row],[Number of stocks]],0)</f>
        <v>-2</v>
      </c>
      <c r="K1713" s="5">
        <f>Table25[[#This Row],[Sold]]*Table25[[#This Row],[Price]]</f>
        <v>-760.58</v>
      </c>
      <c r="L1713" s="8">
        <f>ABS(SUMIF(Table25[[#All],[Assets]],Table25[[#This Row],[Assets]],Table25[[#All],[Sold]]))</f>
        <v>2</v>
      </c>
      <c r="M1713" s="5">
        <f>ABS(SUMIF(Table25[[#All],[Assets]],Table25[[#This Row],[Assets]],Table25[[#All],[Sold Amount]]))</f>
        <v>760.58</v>
      </c>
      <c r="N1713" s="5">
        <f>IFERROR(Table25[[#This Row],[Total sold amount]]/Table25[[#This Row],[Total Sold number of stocks]],"")</f>
        <v>380.29</v>
      </c>
      <c r="O1713" s="4">
        <f>IFERROR(Table25[[#This Row],[Total Amount bought]]/Table25[[#This Row],[Total number bought]],"")</f>
        <v>285.55</v>
      </c>
      <c r="P1713" s="4">
        <f>IFERROR((Table25[[#This Row],[Average sell price]]-Table25[[#This Row],[Average buy price]])*Table25[[#This Row],[Total Sold number of stocks]],0)</f>
        <v>189.48000000000002</v>
      </c>
      <c r="Q1713" s="85">
        <f>SUMIF(Table25[[#All],[Assets]],Table25[[#This Row],[Assets]],Table25[[#All],[Number of stocks]])</f>
        <v>0</v>
      </c>
    </row>
    <row r="1714" spans="1:17">
      <c r="A1714" t="e" vm="188">
        <v>#VALUE!</v>
      </c>
      <c r="B1714" s="2">
        <v>45958</v>
      </c>
      <c r="C1714" t="str" cm="1">
        <f t="array" aca="1" ref="C1714" ca="1">_FV(A1714,"Ticker symbol",TRUE)</f>
        <v>BE</v>
      </c>
      <c r="D1714" s="4">
        <v>106.9</v>
      </c>
      <c r="E1714" s="50">
        <v>10</v>
      </c>
      <c r="F1714" s="81">
        <f>IF(Table25[[#This Row],[Number of stocks]]&gt;0,Table25[[#This Row],[Number of stocks]],0)</f>
        <v>10</v>
      </c>
      <c r="G1714" s="73">
        <f>Table25[[#This Row],[Bought]]*Table25[[#This Row],[Price]]</f>
        <v>1069</v>
      </c>
      <c r="H1714">
        <f>SUMIF(Table25[[#All],[Assets]],Table25[[#This Row],[Assets]],Table25[[#All],[Bought]])</f>
        <v>50</v>
      </c>
      <c r="I1714">
        <f>SUMIF(Table25[[#All],[Assets]],Table25[[#This Row],[Assets]],Table25[[#All],[Bought Amount]])</f>
        <v>2840.05</v>
      </c>
      <c r="J1714" s="88">
        <f>IF(Table25[[#This Row],[Number of stocks]]&lt;0,Table25[[#This Row],[Number of stocks]],0)</f>
        <v>0</v>
      </c>
      <c r="K1714" s="5">
        <f>Table25[[#This Row],[Sold]]*Table25[[#This Row],[Price]]</f>
        <v>0</v>
      </c>
      <c r="L1714" s="8">
        <f>ABS(SUMIF(Table25[[#All],[Assets]],Table25[[#This Row],[Assets]],Table25[[#All],[Sold]]))</f>
        <v>35</v>
      </c>
      <c r="M1714" s="5">
        <f>ABS(SUMIF(Table25[[#All],[Assets]],Table25[[#This Row],[Assets]],Table25[[#All],[Sold Amount]]))</f>
        <v>1872.85</v>
      </c>
      <c r="N1714" s="5">
        <f>IFERROR(Table25[[#This Row],[Total sold amount]]/Table25[[#This Row],[Total Sold number of stocks]],"")</f>
        <v>53.51</v>
      </c>
      <c r="O1714" s="4">
        <f>IFERROR(Table25[[#This Row],[Total Amount bought]]/Table25[[#This Row],[Total number bought]],"")</f>
        <v>56.801000000000002</v>
      </c>
      <c r="P1714" s="4">
        <f>IFERROR((Table25[[#This Row],[Average sell price]]-Table25[[#This Row],[Average buy price]])*Table25[[#This Row],[Total Sold number of stocks]],0)</f>
        <v>-115.18500000000014</v>
      </c>
      <c r="Q1714" s="85">
        <f>SUMIF(Table25[[#All],[Assets]],Table25[[#This Row],[Assets]],Table25[[#All],[Number of stocks]])</f>
        <v>15</v>
      </c>
    </row>
    <row r="1715" spans="1:17">
      <c r="A1715" t="e" vm="212">
        <v>#VALUE!</v>
      </c>
      <c r="B1715" s="2">
        <v>45958</v>
      </c>
      <c r="C1715" t="str" cm="1">
        <f t="array" aca="1" ref="C1715" ca="1">_FV(A1715,"Ticker symbol",TRUE)</f>
        <v>ALHC</v>
      </c>
      <c r="D1715" s="4">
        <v>17.71</v>
      </c>
      <c r="E1715" s="50">
        <v>-21</v>
      </c>
      <c r="F1715" s="81">
        <f>IF(Table25[[#This Row],[Number of stocks]]&gt;0,Table25[[#This Row],[Number of stocks]],0)</f>
        <v>0</v>
      </c>
      <c r="G1715" s="73">
        <f>Table25[[#This Row],[Bought]]*Table25[[#This Row],[Price]]</f>
        <v>0</v>
      </c>
      <c r="H1715">
        <f>SUMIF(Table25[[#All],[Assets]],Table25[[#This Row],[Assets]],Table25[[#All],[Bought]])</f>
        <v>84</v>
      </c>
      <c r="I1715">
        <f>SUMIF(Table25[[#All],[Assets]],Table25[[#This Row],[Assets]],Table25[[#All],[Bought Amount]])</f>
        <v>1147.44</v>
      </c>
      <c r="J1715" s="88">
        <f>IF(Table25[[#This Row],[Number of stocks]]&lt;0,Table25[[#This Row],[Number of stocks]],0)</f>
        <v>-21</v>
      </c>
      <c r="K1715" s="5">
        <f>Table25[[#This Row],[Sold]]*Table25[[#This Row],[Price]]</f>
        <v>-371.91</v>
      </c>
      <c r="L1715" s="8">
        <f>ABS(SUMIF(Table25[[#All],[Assets]],Table25[[#This Row],[Assets]],Table25[[#All],[Sold]]))</f>
        <v>63</v>
      </c>
      <c r="M1715" s="5">
        <f>ABS(SUMIF(Table25[[#All],[Assets]],Table25[[#This Row],[Assets]],Table25[[#All],[Sold Amount]]))</f>
        <v>1046.8500000000001</v>
      </c>
      <c r="N1715" s="5">
        <f>IFERROR(Table25[[#This Row],[Total sold amount]]/Table25[[#This Row],[Total Sold number of stocks]],"")</f>
        <v>16.616666666666667</v>
      </c>
      <c r="O1715" s="4">
        <f>IFERROR(Table25[[#This Row],[Total Amount bought]]/Table25[[#This Row],[Total number bought]],"")</f>
        <v>13.66</v>
      </c>
      <c r="P1715" s="4">
        <f>IFERROR((Table25[[#This Row],[Average sell price]]-Table25[[#This Row],[Average buy price]])*Table25[[#This Row],[Total Sold number of stocks]],0)</f>
        <v>186.27</v>
      </c>
      <c r="Q1715" s="85">
        <f>SUMIF(Table25[[#All],[Assets]],Table25[[#This Row],[Assets]],Table25[[#All],[Number of stocks]])</f>
        <v>21</v>
      </c>
    </row>
    <row r="1716" spans="1:17">
      <c r="A1716" t="e" vm="32">
        <v>#VALUE!</v>
      </c>
      <c r="B1716" s="2">
        <v>45958</v>
      </c>
      <c r="C1716" t="str" cm="1">
        <f t="array" aca="1" ref="C1716" ca="1">_FV(A1716,"Ticker symbol",TRUE)</f>
        <v>MU</v>
      </c>
      <c r="D1716" s="4">
        <v>218.76</v>
      </c>
      <c r="E1716" s="50">
        <v>-4</v>
      </c>
      <c r="F1716" s="81">
        <f>IF(Table25[[#This Row],[Number of stocks]]&gt;0,Table25[[#This Row],[Number of stocks]],0)</f>
        <v>0</v>
      </c>
      <c r="G1716" s="73">
        <f>Table25[[#This Row],[Bought]]*Table25[[#This Row],[Price]]</f>
        <v>0</v>
      </c>
      <c r="H1716">
        <f>SUMIF(Table25[[#All],[Assets]],Table25[[#This Row],[Assets]],Table25[[#All],[Bought]])</f>
        <v>59</v>
      </c>
      <c r="I1716">
        <f>SUMIF(Table25[[#All],[Assets]],Table25[[#This Row],[Assets]],Table25[[#All],[Bought Amount]])</f>
        <v>6964.04</v>
      </c>
      <c r="J1716" s="88">
        <f>IF(Table25[[#This Row],[Number of stocks]]&lt;0,Table25[[#This Row],[Number of stocks]],0)</f>
        <v>-4</v>
      </c>
      <c r="K1716" s="5">
        <f>Table25[[#This Row],[Sold]]*Table25[[#This Row],[Price]]</f>
        <v>-875.04</v>
      </c>
      <c r="L1716" s="8">
        <f>ABS(SUMIF(Table25[[#All],[Assets]],Table25[[#This Row],[Assets]],Table25[[#All],[Sold]]))</f>
        <v>58</v>
      </c>
      <c r="M1716" s="5">
        <f>ABS(SUMIF(Table25[[#All],[Assets]],Table25[[#This Row],[Assets]],Table25[[#All],[Sold Amount]]))</f>
        <v>6974.51</v>
      </c>
      <c r="N1716" s="5">
        <f>IFERROR(Table25[[#This Row],[Total sold amount]]/Table25[[#This Row],[Total Sold number of stocks]],"")</f>
        <v>120.25017241379311</v>
      </c>
      <c r="O1716" s="4">
        <f>IFERROR(Table25[[#This Row],[Total Amount bought]]/Table25[[#This Row],[Total number bought]],"")</f>
        <v>118.03457627118644</v>
      </c>
      <c r="P1716" s="4">
        <f>IFERROR((Table25[[#This Row],[Average sell price]]-Table25[[#This Row],[Average buy price]])*Table25[[#This Row],[Total Sold number of stocks]],0)</f>
        <v>128.50457627118692</v>
      </c>
      <c r="Q1716" s="85">
        <f>SUMIF(Table25[[#All],[Assets]],Table25[[#This Row],[Assets]],Table25[[#All],[Number of stocks]])</f>
        <v>1</v>
      </c>
    </row>
    <row r="1717" spans="1:17">
      <c r="A1717" t="e" vm="576">
        <v>#VALUE!</v>
      </c>
      <c r="B1717" s="2">
        <v>45958</v>
      </c>
      <c r="C1717" t="str" cm="1">
        <f t="array" aca="1" ref="C1717" ca="1">_FV(A1717,"Ticker symbol",TRUE)</f>
        <v>DUOL</v>
      </c>
      <c r="D1717" s="4">
        <v>302.11</v>
      </c>
      <c r="E1717" s="50">
        <v>-2</v>
      </c>
      <c r="F1717" s="81">
        <f>IF(Table25[[#This Row],[Number of stocks]]&gt;0,Table25[[#This Row],[Number of stocks]],0)</f>
        <v>0</v>
      </c>
      <c r="G1717" s="73">
        <f>Table25[[#This Row],[Bought]]*Table25[[#This Row],[Price]]</f>
        <v>0</v>
      </c>
      <c r="H1717">
        <f>SUMIF(Table25[[#All],[Assets]],Table25[[#This Row],[Assets]],Table25[[#All],[Bought]])</f>
        <v>33</v>
      </c>
      <c r="I1717">
        <f>SUMIF(Table25[[#All],[Assets]],Table25[[#This Row],[Assets]],Table25[[#All],[Bought Amount]])</f>
        <v>8243.81</v>
      </c>
      <c r="J1717" s="88">
        <f>IF(Table25[[#This Row],[Number of stocks]]&lt;0,Table25[[#This Row],[Number of stocks]],0)</f>
        <v>-2</v>
      </c>
      <c r="K1717" s="5">
        <f>Table25[[#This Row],[Sold]]*Table25[[#This Row],[Price]]</f>
        <v>-604.22</v>
      </c>
      <c r="L1717" s="8">
        <f>ABS(SUMIF(Table25[[#All],[Assets]],Table25[[#This Row],[Assets]],Table25[[#All],[Sold]]))</f>
        <v>43</v>
      </c>
      <c r="M1717" s="5">
        <f>ABS(SUMIF(Table25[[#All],[Assets]],Table25[[#This Row],[Assets]],Table25[[#All],[Sold Amount]]))</f>
        <v>8577.89</v>
      </c>
      <c r="N1717" s="5">
        <f>IFERROR(Table25[[#This Row],[Total sold amount]]/Table25[[#This Row],[Total Sold number of stocks]],"")</f>
        <v>199.48581395348836</v>
      </c>
      <c r="O1717" s="4">
        <f>IFERROR(Table25[[#This Row],[Total Amount bought]]/Table25[[#This Row],[Total number bought]],"")</f>
        <v>249.81242424242421</v>
      </c>
      <c r="P1717" s="4">
        <f>IFERROR((Table25[[#This Row],[Average sell price]]-Table25[[#This Row],[Average buy price]])*Table25[[#This Row],[Total Sold number of stocks]],0)</f>
        <v>-2164.0442424242419</v>
      </c>
      <c r="Q1717" s="85">
        <f>SUMIF(Table25[[#All],[Assets]],Table25[[#This Row],[Assets]],Table25[[#All],[Number of stocks]])</f>
        <v>-10</v>
      </c>
    </row>
    <row r="1718" spans="1:17">
      <c r="A1718" t="e" vm="186">
        <v>#VALUE!</v>
      </c>
      <c r="B1718" s="2">
        <v>45958</v>
      </c>
      <c r="C1718" t="str" cm="1">
        <f t="array" aca="1" ref="C1718" ca="1">_FV(A1718,"Ticker symbol",TRUE)</f>
        <v>TSEM</v>
      </c>
      <c r="D1718" s="4">
        <v>78.5</v>
      </c>
      <c r="E1718" s="50">
        <v>19</v>
      </c>
      <c r="F1718" s="81">
        <f>IF(Table25[[#This Row],[Number of stocks]]&gt;0,Table25[[#This Row],[Number of stocks]],0)</f>
        <v>19</v>
      </c>
      <c r="G1718" s="73">
        <f>Table25[[#This Row],[Bought]]*Table25[[#This Row],[Price]]</f>
        <v>1491.5</v>
      </c>
      <c r="H1718">
        <f>SUMIF(Table25[[#All],[Assets]],Table25[[#This Row],[Assets]],Table25[[#All],[Bought]])</f>
        <v>39</v>
      </c>
      <c r="I1718">
        <f>SUMIF(Table25[[#All],[Assets]],Table25[[#This Row],[Assets]],Table25[[#All],[Bought Amount]])</f>
        <v>2694.3</v>
      </c>
      <c r="J1718" s="88">
        <f>IF(Table25[[#This Row],[Number of stocks]]&lt;0,Table25[[#This Row],[Number of stocks]],0)</f>
        <v>0</v>
      </c>
      <c r="K1718" s="5">
        <f>Table25[[#This Row],[Sold]]*Table25[[#This Row],[Price]]</f>
        <v>0</v>
      </c>
      <c r="L1718" s="8">
        <f>ABS(SUMIF(Table25[[#All],[Assets]],Table25[[#This Row],[Assets]],Table25[[#All],[Sold]]))</f>
        <v>19</v>
      </c>
      <c r="M1718" s="5">
        <f>ABS(SUMIF(Table25[[#All],[Assets]],Table25[[#This Row],[Assets]],Table25[[#All],[Sold Amount]]))</f>
        <v>1894.3</v>
      </c>
      <c r="N1718" s="5">
        <f>IFERROR(Table25[[#This Row],[Total sold amount]]/Table25[[#This Row],[Total Sold number of stocks]],"")</f>
        <v>99.7</v>
      </c>
      <c r="O1718" s="4">
        <f>IFERROR(Table25[[#This Row],[Total Amount bought]]/Table25[[#This Row],[Total number bought]],"")</f>
        <v>69.08461538461539</v>
      </c>
      <c r="P1718" s="4">
        <f>IFERROR((Table25[[#This Row],[Average sell price]]-Table25[[#This Row],[Average buy price]])*Table25[[#This Row],[Total Sold number of stocks]],0)</f>
        <v>581.69230769230762</v>
      </c>
      <c r="Q1718" s="85">
        <f>SUMIF(Table25[[#All],[Assets]],Table25[[#This Row],[Assets]],Table25[[#All],[Number of stocks]])</f>
        <v>20</v>
      </c>
    </row>
    <row r="1719" spans="1:17">
      <c r="A1719" t="e" vm="232">
        <v>#VALUE!</v>
      </c>
      <c r="B1719" s="2">
        <v>45958</v>
      </c>
      <c r="C1719" t="str" cm="1">
        <f t="array" aca="1" ref="C1719" ca="1">_FV(A1719,"Ticker symbol",TRUE)</f>
        <v>FEIM</v>
      </c>
      <c r="D1719" s="4">
        <v>38.36</v>
      </c>
      <c r="E1719" s="50">
        <v>-10</v>
      </c>
      <c r="F1719" s="81">
        <f>IF(Table25[[#This Row],[Number of stocks]]&gt;0,Table25[[#This Row],[Number of stocks]],0)</f>
        <v>0</v>
      </c>
      <c r="G1719" s="73">
        <f>Table25[[#This Row],[Bought]]*Table25[[#This Row],[Price]]</f>
        <v>0</v>
      </c>
      <c r="H1719">
        <f>SUMIF(Table25[[#All],[Assets]],Table25[[#This Row],[Assets]],Table25[[#All],[Bought]])</f>
        <v>44</v>
      </c>
      <c r="I1719">
        <f>SUMIF(Table25[[#All],[Assets]],Table25[[#This Row],[Assets]],Table25[[#All],[Bought Amount]])</f>
        <v>1365.1</v>
      </c>
      <c r="J1719" s="88">
        <f>IF(Table25[[#This Row],[Number of stocks]]&lt;0,Table25[[#This Row],[Number of stocks]],0)</f>
        <v>-10</v>
      </c>
      <c r="K1719" s="5">
        <f>Table25[[#This Row],[Sold]]*Table25[[#This Row],[Price]]</f>
        <v>-383.6</v>
      </c>
      <c r="L1719" s="8">
        <f>ABS(SUMIF(Table25[[#All],[Assets]],Table25[[#This Row],[Assets]],Table25[[#All],[Sold]]))</f>
        <v>44</v>
      </c>
      <c r="M1719" s="5">
        <f>ABS(SUMIF(Table25[[#All],[Assets]],Table25[[#This Row],[Assets]],Table25[[#All],[Sold Amount]]))</f>
        <v>1369.4299999999998</v>
      </c>
      <c r="N1719" s="5">
        <f>IFERROR(Table25[[#This Row],[Total sold amount]]/Table25[[#This Row],[Total Sold number of stocks]],"")</f>
        <v>31.123409090909089</v>
      </c>
      <c r="O1719" s="4">
        <f>IFERROR(Table25[[#This Row],[Total Amount bought]]/Table25[[#This Row],[Total number bought]],"")</f>
        <v>31.024999999999999</v>
      </c>
      <c r="P1719" s="4">
        <f>IFERROR((Table25[[#This Row],[Average sell price]]-Table25[[#This Row],[Average buy price]])*Table25[[#This Row],[Total Sold number of stocks]],0)</f>
        <v>4.3299999999999699</v>
      </c>
      <c r="Q1719" s="85">
        <f>SUMIF(Table25[[#All],[Assets]],Table25[[#This Row],[Assets]],Table25[[#All],[Number of stocks]])</f>
        <v>0</v>
      </c>
    </row>
    <row r="1720" spans="1:17">
      <c r="A1720" t="e" vm="246">
        <v>#VALUE!</v>
      </c>
      <c r="B1720" s="2">
        <v>45958</v>
      </c>
      <c r="C1720" t="str" cm="1">
        <f t="array" aca="1" ref="C1720" ca="1">_FV(A1720,"Ticker symbol",TRUE)</f>
        <v>ALAB</v>
      </c>
      <c r="D1720" s="4">
        <v>172.04</v>
      </c>
      <c r="E1720" s="50">
        <v>-1</v>
      </c>
      <c r="F1720" s="81">
        <f>IF(Table25[[#This Row],[Number of stocks]]&gt;0,Table25[[#This Row],[Number of stocks]],0)</f>
        <v>0</v>
      </c>
      <c r="G1720" s="73">
        <f>Table25[[#This Row],[Bought]]*Table25[[#This Row],[Price]]</f>
        <v>0</v>
      </c>
      <c r="H1720">
        <f>SUMIF(Table25[[#All],[Assets]],Table25[[#This Row],[Assets]],Table25[[#All],[Bought]])</f>
        <v>6</v>
      </c>
      <c r="I1720">
        <f>SUMIF(Table25[[#All],[Assets]],Table25[[#This Row],[Assets]],Table25[[#All],[Bought Amount]])</f>
        <v>902.3599999999999</v>
      </c>
      <c r="J1720" s="88">
        <f>IF(Table25[[#This Row],[Number of stocks]]&lt;0,Table25[[#This Row],[Number of stocks]],0)</f>
        <v>-1</v>
      </c>
      <c r="K1720" s="5">
        <f>Table25[[#This Row],[Sold]]*Table25[[#This Row],[Price]]</f>
        <v>-172.04</v>
      </c>
      <c r="L1720" s="8">
        <f>ABS(SUMIF(Table25[[#All],[Assets]],Table25[[#This Row],[Assets]],Table25[[#All],[Sold]]))</f>
        <v>3</v>
      </c>
      <c r="M1720" s="5">
        <f>ABS(SUMIF(Table25[[#All],[Assets]],Table25[[#This Row],[Assets]],Table25[[#All],[Sold Amount]]))</f>
        <v>359.03999999999996</v>
      </c>
      <c r="N1720" s="5">
        <f>IFERROR(Table25[[#This Row],[Total sold amount]]/Table25[[#This Row],[Total Sold number of stocks]],"")</f>
        <v>119.67999999999999</v>
      </c>
      <c r="O1720" s="4">
        <f>IFERROR(Table25[[#This Row],[Total Amount bought]]/Table25[[#This Row],[Total number bought]],"")</f>
        <v>150.39333333333332</v>
      </c>
      <c r="P1720" s="4">
        <f>IFERROR((Table25[[#This Row],[Average sell price]]-Table25[[#This Row],[Average buy price]])*Table25[[#This Row],[Total Sold number of stocks]],0)</f>
        <v>-92.139999999999972</v>
      </c>
      <c r="Q1720" s="85">
        <f>SUMIF(Table25[[#All],[Assets]],Table25[[#This Row],[Assets]],Table25[[#All],[Number of stocks]])</f>
        <v>3</v>
      </c>
    </row>
    <row r="1721" spans="1:17">
      <c r="A1721" t="e" vm="74">
        <v>#VALUE!</v>
      </c>
      <c r="B1721" s="2">
        <v>45958</v>
      </c>
      <c r="C1721" t="str" cm="1">
        <f t="array" aca="1" ref="C1721" ca="1">_FV(A1721,"Ticker symbol",TRUE)</f>
        <v>XGN</v>
      </c>
      <c r="D1721" s="4">
        <v>11.87</v>
      </c>
      <c r="E1721" s="50">
        <v>-40</v>
      </c>
      <c r="F1721" s="81">
        <f>IF(Table25[[#This Row],[Number of stocks]]&gt;0,Table25[[#This Row],[Number of stocks]],0)</f>
        <v>0</v>
      </c>
      <c r="G1721" s="73">
        <f>Table25[[#This Row],[Bought]]*Table25[[#This Row],[Price]]</f>
        <v>0</v>
      </c>
      <c r="H1721">
        <f>SUMIF(Table25[[#All],[Assets]],Table25[[#This Row],[Assets]],Table25[[#All],[Bought]])</f>
        <v>249</v>
      </c>
      <c r="I1721">
        <f>SUMIF(Table25[[#All],[Assets]],Table25[[#This Row],[Assets]],Table25[[#All],[Bought Amount]])</f>
        <v>1807.8</v>
      </c>
      <c r="J1721" s="88">
        <f>IF(Table25[[#This Row],[Number of stocks]]&lt;0,Table25[[#This Row],[Number of stocks]],0)</f>
        <v>-40</v>
      </c>
      <c r="K1721" s="5">
        <f>Table25[[#This Row],[Sold]]*Table25[[#This Row],[Price]]</f>
        <v>-474.79999999999995</v>
      </c>
      <c r="L1721" s="8">
        <f>ABS(SUMIF(Table25[[#All],[Assets]],Table25[[#This Row],[Assets]],Table25[[#All],[Sold]]))</f>
        <v>249</v>
      </c>
      <c r="M1721" s="5">
        <f>ABS(SUMIF(Table25[[#All],[Assets]],Table25[[#This Row],[Assets]],Table25[[#All],[Sold Amount]]))</f>
        <v>2313.8000000000002</v>
      </c>
      <c r="N1721" s="5">
        <f>IFERROR(Table25[[#This Row],[Total sold amount]]/Table25[[#This Row],[Total Sold number of stocks]],"")</f>
        <v>9.292369477911647</v>
      </c>
      <c r="O1721" s="4">
        <f>IFERROR(Table25[[#This Row],[Total Amount bought]]/Table25[[#This Row],[Total number bought]],"")</f>
        <v>7.2602409638554217</v>
      </c>
      <c r="P1721" s="4">
        <f>IFERROR((Table25[[#This Row],[Average sell price]]-Table25[[#This Row],[Average buy price]])*Table25[[#This Row],[Total Sold number of stocks]],0)</f>
        <v>506.00000000000011</v>
      </c>
      <c r="Q1721" s="85">
        <f>SUMIF(Table25[[#All],[Assets]],Table25[[#This Row],[Assets]],Table25[[#All],[Number of stocks]])</f>
        <v>0</v>
      </c>
    </row>
    <row r="1722" spans="1:17">
      <c r="A1722" t="e" vm="581">
        <v>#VALUE!</v>
      </c>
      <c r="B1722" s="2">
        <v>45958</v>
      </c>
      <c r="C1722" t="str" cm="1">
        <f t="array" aca="1" ref="C1722" ca="1">_FV(A1722,"Ticker symbol",TRUE)</f>
        <v>LWAY</v>
      </c>
      <c r="D1722" s="4">
        <v>25.25</v>
      </c>
      <c r="E1722" s="50">
        <v>-36</v>
      </c>
      <c r="F1722" s="81">
        <f>IF(Table25[[#This Row],[Number of stocks]]&gt;0,Table25[[#This Row],[Number of stocks]],0)</f>
        <v>0</v>
      </c>
      <c r="G1722" s="73">
        <f>Table25[[#This Row],[Bought]]*Table25[[#This Row],[Price]]</f>
        <v>0</v>
      </c>
      <c r="H1722">
        <f>SUMIF(Table25[[#All],[Assets]],Table25[[#This Row],[Assets]],Table25[[#All],[Bought]])</f>
        <v>40</v>
      </c>
      <c r="I1722">
        <f>SUMIF(Table25[[#All],[Assets]],Table25[[#This Row],[Assets]],Table25[[#All],[Bought Amount]])</f>
        <v>1029.2</v>
      </c>
      <c r="J1722" s="88">
        <f>IF(Table25[[#This Row],[Number of stocks]]&lt;0,Table25[[#This Row],[Number of stocks]],0)</f>
        <v>-36</v>
      </c>
      <c r="K1722" s="5">
        <f>Table25[[#This Row],[Sold]]*Table25[[#This Row],[Price]]</f>
        <v>-909</v>
      </c>
      <c r="L1722" s="8">
        <f>ABS(SUMIF(Table25[[#All],[Assets]],Table25[[#This Row],[Assets]],Table25[[#All],[Sold]]))</f>
        <v>40</v>
      </c>
      <c r="M1722" s="5">
        <f>ABS(SUMIF(Table25[[#All],[Assets]],Table25[[#This Row],[Assets]],Table25[[#All],[Sold Amount]]))</f>
        <v>1018.16</v>
      </c>
      <c r="N1722" s="5">
        <f>IFERROR(Table25[[#This Row],[Total sold amount]]/Table25[[#This Row],[Total Sold number of stocks]],"")</f>
        <v>25.454000000000001</v>
      </c>
      <c r="O1722" s="4">
        <f>IFERROR(Table25[[#This Row],[Total Amount bought]]/Table25[[#This Row],[Total number bought]],"")</f>
        <v>25.73</v>
      </c>
      <c r="P1722" s="4">
        <f>IFERROR((Table25[[#This Row],[Average sell price]]-Table25[[#This Row],[Average buy price]])*Table25[[#This Row],[Total Sold number of stocks]],0)</f>
        <v>-11.039999999999992</v>
      </c>
      <c r="Q1722" s="85">
        <f>SUMIF(Table25[[#All],[Assets]],Table25[[#This Row],[Assets]],Table25[[#All],[Number of stocks]])</f>
        <v>0</v>
      </c>
    </row>
    <row r="1723" spans="1:17">
      <c r="A1723" t="e" vm="205">
        <v>#VALUE!</v>
      </c>
      <c r="B1723" s="2">
        <v>45958</v>
      </c>
      <c r="C1723" t="str" cm="1">
        <f t="array" aca="1" ref="C1723" ca="1">_FV(A1723,"Ticker symbol",TRUE)</f>
        <v>NOK</v>
      </c>
      <c r="D1723" s="4">
        <v>7.97</v>
      </c>
      <c r="E1723" s="50">
        <v>70</v>
      </c>
      <c r="F1723" s="81">
        <f>IF(Table25[[#This Row],[Number of stocks]]&gt;0,Table25[[#This Row],[Number of stocks]],0)</f>
        <v>70</v>
      </c>
      <c r="G1723" s="73">
        <f>Table25[[#This Row],[Bought]]*Table25[[#This Row],[Price]]</f>
        <v>557.9</v>
      </c>
      <c r="H1723">
        <f>SUMIF(Table25[[#All],[Assets]],Table25[[#This Row],[Assets]],Table25[[#All],[Bought]])</f>
        <v>455</v>
      </c>
      <c r="I1723">
        <f>SUMIF(Table25[[#All],[Assets]],Table25[[#This Row],[Assets]],Table25[[#All],[Bought Amount]])</f>
        <v>2449.6999999999998</v>
      </c>
      <c r="J1723" s="88">
        <f>IF(Table25[[#This Row],[Number of stocks]]&lt;0,Table25[[#This Row],[Number of stocks]],0)</f>
        <v>0</v>
      </c>
      <c r="K1723" s="5">
        <f>Table25[[#This Row],[Sold]]*Table25[[#This Row],[Price]]</f>
        <v>0</v>
      </c>
      <c r="L1723" s="8">
        <f>ABS(SUMIF(Table25[[#All],[Assets]],Table25[[#This Row],[Assets]],Table25[[#All],[Sold]]))</f>
        <v>390</v>
      </c>
      <c r="M1723" s="5">
        <f>ABS(SUMIF(Table25[[#All],[Assets]],Table25[[#This Row],[Assets]],Table25[[#All],[Sold Amount]]))</f>
        <v>2112.3000000000002</v>
      </c>
      <c r="N1723" s="5">
        <f>IFERROR(Table25[[#This Row],[Total sold amount]]/Table25[[#This Row],[Total Sold number of stocks]],"")</f>
        <v>5.416153846153847</v>
      </c>
      <c r="O1723" s="4">
        <f>IFERROR(Table25[[#This Row],[Total Amount bought]]/Table25[[#This Row],[Total number bought]],"")</f>
        <v>5.3839560439560437</v>
      </c>
      <c r="P1723" s="4">
        <f>IFERROR((Table25[[#This Row],[Average sell price]]-Table25[[#This Row],[Average buy price]])*Table25[[#This Row],[Total Sold number of stocks]],0)</f>
        <v>12.557142857143297</v>
      </c>
      <c r="Q1723" s="85">
        <f>SUMIF(Table25[[#All],[Assets]],Table25[[#This Row],[Assets]],Table25[[#All],[Number of stocks]])</f>
        <v>65</v>
      </c>
    </row>
    <row r="1724" spans="1:17">
      <c r="A1724" t="e" vm="91">
        <v>#VALUE!</v>
      </c>
      <c r="B1724" s="2">
        <v>45936</v>
      </c>
      <c r="C1724" t="str" cm="1">
        <f t="array" aca="1" ref="C1724" ca="1">_FV(A1724,"Ticker symbol",TRUE)</f>
        <v>RKLB</v>
      </c>
      <c r="D1724" s="4">
        <v>58</v>
      </c>
      <c r="E1724" s="50">
        <v>4</v>
      </c>
      <c r="F1724" s="81">
        <f>IF(Table25[[#This Row],[Number of stocks]]&gt;0,Table25[[#This Row],[Number of stocks]],0)</f>
        <v>4</v>
      </c>
      <c r="G1724" s="73">
        <f>Table25[[#This Row],[Bought]]*Table25[[#This Row],[Price]]</f>
        <v>232</v>
      </c>
      <c r="H1724">
        <f>SUMIF(Table25[[#All],[Assets]],Table25[[#This Row],[Assets]],Table25[[#All],[Bought]])</f>
        <v>22</v>
      </c>
      <c r="I1724">
        <f>SUMIF(Table25[[#All],[Assets]],Table25[[#This Row],[Assets]],Table25[[#All],[Bought Amount]])</f>
        <v>1045.0999999999999</v>
      </c>
      <c r="J1724" s="88">
        <f>IF(Table25[[#This Row],[Number of stocks]]&lt;0,Table25[[#This Row],[Number of stocks]],0)</f>
        <v>0</v>
      </c>
      <c r="K1724" s="5">
        <f>Table25[[#This Row],[Sold]]*Table25[[#This Row],[Price]]</f>
        <v>0</v>
      </c>
      <c r="L1724" s="8">
        <f>ABS(SUMIF(Table25[[#All],[Assets]],Table25[[#This Row],[Assets]],Table25[[#All],[Sold]]))</f>
        <v>21</v>
      </c>
      <c r="M1724" s="5">
        <f>ABS(SUMIF(Table25[[#All],[Assets]],Table25[[#This Row],[Assets]],Table25[[#All],[Sold Amount]]))</f>
        <v>1696.64</v>
      </c>
      <c r="N1724" s="5">
        <f>IFERROR(Table25[[#This Row],[Total sold amount]]/Table25[[#This Row],[Total Sold number of stocks]],"")</f>
        <v>80.792380952380952</v>
      </c>
      <c r="O1724" s="4">
        <f>IFERROR(Table25[[#This Row],[Total Amount bought]]/Table25[[#This Row],[Total number bought]],"")</f>
        <v>47.50454545454545</v>
      </c>
      <c r="P1724" s="4">
        <f>IFERROR((Table25[[#This Row],[Average sell price]]-Table25[[#This Row],[Average buy price]])*Table25[[#This Row],[Total Sold number of stocks]],0)</f>
        <v>699.04454545454553</v>
      </c>
      <c r="Q1724" s="85">
        <f>SUMIF(Table25[[#All],[Assets]],Table25[[#This Row],[Assets]],Table25[[#All],[Number of stocks]])</f>
        <v>1</v>
      </c>
    </row>
    <row r="1725" spans="1:17">
      <c r="A1725" t="e" vm="83">
        <v>#VALUE!</v>
      </c>
      <c r="B1725" s="2">
        <v>45936</v>
      </c>
      <c r="C1725" t="str" cm="1">
        <f t="array" aca="1" ref="C1725" ca="1">_FV(A1725,"Ticker symbol",TRUE)</f>
        <v>FOA</v>
      </c>
      <c r="D1725" s="4">
        <v>22.25</v>
      </c>
      <c r="E1725" s="50">
        <v>-74</v>
      </c>
      <c r="F1725" s="81">
        <f>IF(Table25[[#This Row],[Number of stocks]]&gt;0,Table25[[#This Row],[Number of stocks]],0)</f>
        <v>0</v>
      </c>
      <c r="G1725" s="73">
        <f>Table25[[#This Row],[Bought]]*Table25[[#This Row],[Price]]</f>
        <v>0</v>
      </c>
      <c r="H1725">
        <f>SUMIF(Table25[[#All],[Assets]],Table25[[#This Row],[Assets]],Table25[[#All],[Bought]])</f>
        <v>203</v>
      </c>
      <c r="I1725">
        <f>SUMIF(Table25[[#All],[Assets]],Table25[[#This Row],[Assets]],Table25[[#All],[Bought Amount]])</f>
        <v>4881.38</v>
      </c>
      <c r="J1725" s="88">
        <f>IF(Table25[[#This Row],[Number of stocks]]&lt;0,Table25[[#This Row],[Number of stocks]],0)</f>
        <v>-74</v>
      </c>
      <c r="K1725" s="5">
        <f>Table25[[#This Row],[Sold]]*Table25[[#This Row],[Price]]</f>
        <v>-1646.5</v>
      </c>
      <c r="L1725" s="8">
        <f>ABS(SUMIF(Table25[[#All],[Assets]],Table25[[#This Row],[Assets]],Table25[[#All],[Sold]]))</f>
        <v>203</v>
      </c>
      <c r="M1725" s="5">
        <f>ABS(SUMIF(Table25[[#All],[Assets]],Table25[[#This Row],[Assets]],Table25[[#All],[Sold Amount]]))</f>
        <v>4534.54</v>
      </c>
      <c r="N1725" s="5">
        <f>IFERROR(Table25[[#This Row],[Total sold amount]]/Table25[[#This Row],[Total Sold number of stocks]],"")</f>
        <v>22.337635467980295</v>
      </c>
      <c r="O1725" s="4">
        <f>IFERROR(Table25[[#This Row],[Total Amount bought]]/Table25[[#This Row],[Total number bought]],"")</f>
        <v>24.046206896551723</v>
      </c>
      <c r="P1725" s="4">
        <f>IFERROR((Table25[[#This Row],[Average sell price]]-Table25[[#This Row],[Average buy price]])*Table25[[#This Row],[Total Sold number of stocks]],0)</f>
        <v>-346.83999999999992</v>
      </c>
      <c r="Q1725" s="85">
        <f>SUMIF(Table25[[#All],[Assets]],Table25[[#This Row],[Assets]],Table25[[#All],[Number of stocks]])</f>
        <v>0</v>
      </c>
    </row>
    <row r="1726" spans="1:17">
      <c r="A1726" t="e" vm="37">
        <v>#VALUE!</v>
      </c>
      <c r="B1726" s="2">
        <v>45936</v>
      </c>
      <c r="C1726" t="str" cm="1">
        <f t="array" aca="1" ref="C1726" ca="1">_FV(A1726,"Ticker symbol",TRUE)</f>
        <v>AMD</v>
      </c>
      <c r="D1726" s="4">
        <v>205.29</v>
      </c>
      <c r="E1726" s="50">
        <v>8</v>
      </c>
      <c r="F1726" s="81">
        <f>IF(Table25[[#This Row],[Number of stocks]]&gt;0,Table25[[#This Row],[Number of stocks]],0)</f>
        <v>8</v>
      </c>
      <c r="G1726" s="73">
        <f>Table25[[#This Row],[Bought]]*Table25[[#This Row],[Price]]</f>
        <v>1642.32</v>
      </c>
      <c r="H1726">
        <f>SUMIF(Table25[[#All],[Assets]],Table25[[#This Row],[Assets]],Table25[[#All],[Bought]])</f>
        <v>41</v>
      </c>
      <c r="I1726">
        <f>SUMIF(Table25[[#All],[Assets]],Table25[[#This Row],[Assets]],Table25[[#All],[Bought Amount]])</f>
        <v>5552.8399999999992</v>
      </c>
      <c r="J1726" s="88">
        <f>IF(Table25[[#This Row],[Number of stocks]]&lt;0,Table25[[#This Row],[Number of stocks]],0)</f>
        <v>0</v>
      </c>
      <c r="K1726" s="5">
        <f>Table25[[#This Row],[Sold]]*Table25[[#This Row],[Price]]</f>
        <v>0</v>
      </c>
      <c r="L1726" s="8">
        <f>ABS(SUMIF(Table25[[#All],[Assets]],Table25[[#This Row],[Assets]],Table25[[#All],[Sold]]))</f>
        <v>23</v>
      </c>
      <c r="M1726" s="5">
        <f>ABS(SUMIF(Table25[[#All],[Assets]],Table25[[#This Row],[Assets]],Table25[[#All],[Sold Amount]]))</f>
        <v>3203.4199999999996</v>
      </c>
      <c r="N1726" s="5">
        <f>IFERROR(Table25[[#This Row],[Total sold amount]]/Table25[[#This Row],[Total Sold number of stocks]],"")</f>
        <v>139.27913043478259</v>
      </c>
      <c r="O1726" s="4">
        <f>IFERROR(Table25[[#This Row],[Total Amount bought]]/Table25[[#This Row],[Total number bought]],"")</f>
        <v>135.43512195121949</v>
      </c>
      <c r="P1726" s="4">
        <f>IFERROR((Table25[[#This Row],[Average sell price]]-Table25[[#This Row],[Average buy price]])*Table25[[#This Row],[Total Sold number of stocks]],0)</f>
        <v>88.412195121951328</v>
      </c>
      <c r="Q1726" s="85">
        <f>SUMIF(Table25[[#All],[Assets]],Table25[[#This Row],[Assets]],Table25[[#All],[Number of stocks]])</f>
        <v>18</v>
      </c>
    </row>
    <row r="1727" spans="1:17">
      <c r="A1727" t="e" vm="159">
        <v>#VALUE!</v>
      </c>
      <c r="B1727" s="2">
        <v>45937</v>
      </c>
      <c r="C1727" t="str" cm="1">
        <f t="array" aca="1" ref="C1727" ca="1">_FV(A1727,"Ticker symbol",TRUE)</f>
        <v>BABA</v>
      </c>
      <c r="D1727" s="4">
        <v>181.12</v>
      </c>
      <c r="E1727" s="50">
        <v>-8</v>
      </c>
      <c r="F1727" s="81">
        <f>IF(Table25[[#This Row],[Number of stocks]]&gt;0,Table25[[#This Row],[Number of stocks]],0)</f>
        <v>0</v>
      </c>
      <c r="G1727" s="73">
        <f>Table25[[#This Row],[Bought]]*Table25[[#This Row],[Price]]</f>
        <v>0</v>
      </c>
      <c r="H1727">
        <f>SUMIF(Table25[[#All],[Assets]],Table25[[#This Row],[Assets]],Table25[[#All],[Bought]])</f>
        <v>128</v>
      </c>
      <c r="I1727">
        <f>SUMIF(Table25[[#All],[Assets]],Table25[[#This Row],[Assets]],Table25[[#All],[Bought Amount]])</f>
        <v>12533.52</v>
      </c>
      <c r="J1727" s="88">
        <f>IF(Table25[[#This Row],[Number of stocks]]&lt;0,Table25[[#This Row],[Number of stocks]],0)</f>
        <v>-8</v>
      </c>
      <c r="K1727" s="5">
        <f>Table25[[#This Row],[Sold]]*Table25[[#This Row],[Price]]</f>
        <v>-1448.96</v>
      </c>
      <c r="L1727" s="8">
        <f>ABS(SUMIF(Table25[[#All],[Assets]],Table25[[#This Row],[Assets]],Table25[[#All],[Sold]]))</f>
        <v>128</v>
      </c>
      <c r="M1727" s="5">
        <f>ABS(SUMIF(Table25[[#All],[Assets]],Table25[[#This Row],[Assets]],Table25[[#All],[Sold Amount]]))</f>
        <v>17148.419999999998</v>
      </c>
      <c r="N1727" s="5">
        <f>IFERROR(Table25[[#This Row],[Total sold amount]]/Table25[[#This Row],[Total Sold number of stocks]],"")</f>
        <v>133.97203124999999</v>
      </c>
      <c r="O1727" s="4">
        <f>IFERROR(Table25[[#This Row],[Total Amount bought]]/Table25[[#This Row],[Total number bought]],"")</f>
        <v>97.918125000000003</v>
      </c>
      <c r="P1727" s="4">
        <f>IFERROR((Table25[[#This Row],[Average sell price]]-Table25[[#This Row],[Average buy price]])*Table25[[#This Row],[Total Sold number of stocks]],0)</f>
        <v>4614.8999999999978</v>
      </c>
      <c r="Q1727" s="85">
        <f>SUMIF(Table25[[#All],[Assets]],Table25[[#This Row],[Assets]],Table25[[#All],[Number of stocks]])</f>
        <v>0</v>
      </c>
    </row>
    <row r="1728" spans="1:17">
      <c r="A1728" t="e" vm="183">
        <v>#VALUE!</v>
      </c>
      <c r="B1728" s="2">
        <v>45937</v>
      </c>
      <c r="C1728" t="str" cm="1">
        <f t="array" aca="1" ref="C1728" ca="1">_FV(A1728,"Ticker symbol",TRUE)</f>
        <v>ESOA</v>
      </c>
      <c r="D1728" s="4">
        <v>11.05</v>
      </c>
      <c r="E1728" s="50">
        <v>100</v>
      </c>
      <c r="F1728" s="81">
        <f>IF(Table25[[#This Row],[Number of stocks]]&gt;0,Table25[[#This Row],[Number of stocks]],0)</f>
        <v>100</v>
      </c>
      <c r="G1728" s="73">
        <f>Table25[[#This Row],[Bought]]*Table25[[#This Row],[Price]]</f>
        <v>1105</v>
      </c>
      <c r="H1728">
        <f>SUMIF(Table25[[#All],[Assets]],Table25[[#This Row],[Assets]],Table25[[#All],[Bought]])</f>
        <v>1832</v>
      </c>
      <c r="I1728">
        <f>SUMIF(Table25[[#All],[Assets]],Table25[[#This Row],[Assets]],Table25[[#All],[Bought Amount]])</f>
        <v>18152.78</v>
      </c>
      <c r="J1728" s="88">
        <f>IF(Table25[[#This Row],[Number of stocks]]&lt;0,Table25[[#This Row],[Number of stocks]],0)</f>
        <v>0</v>
      </c>
      <c r="K1728" s="5">
        <f>Table25[[#This Row],[Sold]]*Table25[[#This Row],[Price]]</f>
        <v>0</v>
      </c>
      <c r="L1728" s="8">
        <f>ABS(SUMIF(Table25[[#All],[Assets]],Table25[[#This Row],[Assets]],Table25[[#All],[Sold]]))</f>
        <v>1568</v>
      </c>
      <c r="M1728" s="5">
        <f>ABS(SUMIF(Table25[[#All],[Assets]],Table25[[#This Row],[Assets]],Table25[[#All],[Sold Amount]]))</f>
        <v>14668</v>
      </c>
      <c r="N1728" s="5">
        <f>IFERROR(Table25[[#This Row],[Total sold amount]]/Table25[[#This Row],[Total Sold number of stocks]],"")</f>
        <v>9.3545918367346932</v>
      </c>
      <c r="O1728" s="4">
        <f>IFERROR(Table25[[#This Row],[Total Amount bought]]/Table25[[#This Row],[Total number bought]],"")</f>
        <v>9.9087227074235802</v>
      </c>
      <c r="P1728" s="4">
        <f>IFERROR((Table25[[#This Row],[Average sell price]]-Table25[[#This Row],[Average buy price]])*Table25[[#This Row],[Total Sold number of stocks]],0)</f>
        <v>-868.87720524017482</v>
      </c>
      <c r="Q1728" s="85">
        <f>SUMIF(Table25[[#All],[Assets]],Table25[[#This Row],[Assets]],Table25[[#All],[Number of stocks]])</f>
        <v>264</v>
      </c>
    </row>
    <row r="1729" spans="1:17">
      <c r="A1729" t="e" vm="26">
        <v>#VALUE!</v>
      </c>
      <c r="B1729" s="2">
        <v>45939</v>
      </c>
      <c r="C1729" t="str" cm="1">
        <f t="array" aca="1" ref="C1729" ca="1">_FV(A1729,"Ticker symbol",TRUE)</f>
        <v>AEHR</v>
      </c>
      <c r="D1729" s="4">
        <v>24.48</v>
      </c>
      <c r="E1729" s="50">
        <v>-40</v>
      </c>
      <c r="F1729" s="81">
        <f>IF(Table25[[#This Row],[Number of stocks]]&gt;0,Table25[[#This Row],[Number of stocks]],0)</f>
        <v>0</v>
      </c>
      <c r="G1729" s="73">
        <f>Table25[[#This Row],[Bought]]*Table25[[#This Row],[Price]]</f>
        <v>0</v>
      </c>
      <c r="H1729">
        <f>SUMIF(Table25[[#All],[Assets]],Table25[[#This Row],[Assets]],Table25[[#All],[Bought]])</f>
        <v>559</v>
      </c>
      <c r="I1729">
        <f>SUMIF(Table25[[#All],[Assets]],Table25[[#This Row],[Assets]],Table25[[#All],[Bought Amount]])</f>
        <v>7405.6399999999994</v>
      </c>
      <c r="J1729" s="88">
        <f>IF(Table25[[#This Row],[Number of stocks]]&lt;0,Table25[[#This Row],[Number of stocks]],0)</f>
        <v>-40</v>
      </c>
      <c r="K1729" s="5">
        <f>Table25[[#This Row],[Sold]]*Table25[[#This Row],[Price]]</f>
        <v>-979.2</v>
      </c>
      <c r="L1729" s="8">
        <f>ABS(SUMIF(Table25[[#All],[Assets]],Table25[[#This Row],[Assets]],Table25[[#All],[Sold]]))</f>
        <v>539</v>
      </c>
      <c r="M1729" s="5">
        <f>ABS(SUMIF(Table25[[#All],[Assets]],Table25[[#This Row],[Assets]],Table25[[#All],[Sold Amount]]))</f>
        <v>9662.32</v>
      </c>
      <c r="N1729" s="5">
        <f>IFERROR(Table25[[#This Row],[Total sold amount]]/Table25[[#This Row],[Total Sold number of stocks]],"")</f>
        <v>17.92638218923933</v>
      </c>
      <c r="O1729" s="4">
        <f>IFERROR(Table25[[#This Row],[Total Amount bought]]/Table25[[#This Row],[Total number bought]],"")</f>
        <v>13.248014311270124</v>
      </c>
      <c r="P1729" s="4">
        <f>IFERROR((Table25[[#This Row],[Average sell price]]-Table25[[#This Row],[Average buy price]])*Table25[[#This Row],[Total Sold number of stocks]],0)</f>
        <v>2521.6402862254022</v>
      </c>
      <c r="Q1729" s="85">
        <f>SUMIF(Table25[[#All],[Assets]],Table25[[#This Row],[Assets]],Table25[[#All],[Number of stocks]])</f>
        <v>20</v>
      </c>
    </row>
    <row r="1730" spans="1:17">
      <c r="A1730" t="e" vm="41">
        <v>#VALUE!</v>
      </c>
      <c r="B1730" s="2">
        <v>45939</v>
      </c>
      <c r="C1730" t="str" cm="1">
        <f t="array" aca="1" ref="C1730" ca="1">_FV(A1730,"Ticker symbol",TRUE)</f>
        <v>AGX</v>
      </c>
      <c r="D1730" s="4">
        <v>269.36</v>
      </c>
      <c r="E1730" s="50">
        <v>-5</v>
      </c>
      <c r="F1730" s="81">
        <f>IF(Table25[[#This Row],[Number of stocks]]&gt;0,Table25[[#This Row],[Number of stocks]],0)</f>
        <v>0</v>
      </c>
      <c r="G1730" s="73">
        <f>Table25[[#This Row],[Bought]]*Table25[[#This Row],[Price]]</f>
        <v>0</v>
      </c>
      <c r="H1730">
        <f>SUMIF(Table25[[#All],[Assets]],Table25[[#This Row],[Assets]],Table25[[#All],[Bought]])</f>
        <v>18</v>
      </c>
      <c r="I1730">
        <f>SUMIF(Table25[[#All],[Assets]],Table25[[#This Row],[Assets]],Table25[[#All],[Bought Amount]])</f>
        <v>2470.9900000000002</v>
      </c>
      <c r="J1730" s="88">
        <f>IF(Table25[[#This Row],[Number of stocks]]&lt;0,Table25[[#This Row],[Number of stocks]],0)</f>
        <v>-5</v>
      </c>
      <c r="K1730" s="5">
        <f>Table25[[#This Row],[Sold]]*Table25[[#This Row],[Price]]</f>
        <v>-1346.8000000000002</v>
      </c>
      <c r="L1730" s="8">
        <f>ABS(SUMIF(Table25[[#All],[Assets]],Table25[[#This Row],[Assets]],Table25[[#All],[Sold]]))</f>
        <v>18</v>
      </c>
      <c r="M1730" s="5">
        <f>ABS(SUMIF(Table25[[#All],[Assets]],Table25[[#This Row],[Assets]],Table25[[#All],[Sold Amount]]))</f>
        <v>3587.9800000000005</v>
      </c>
      <c r="N1730" s="5">
        <f>IFERROR(Table25[[#This Row],[Total sold amount]]/Table25[[#This Row],[Total Sold number of stocks]],"")</f>
        <v>199.33222222222224</v>
      </c>
      <c r="O1730" s="4">
        <f>IFERROR(Table25[[#This Row],[Total Amount bought]]/Table25[[#This Row],[Total number bought]],"")</f>
        <v>137.27722222222224</v>
      </c>
      <c r="P1730" s="4">
        <f>IFERROR((Table25[[#This Row],[Average sell price]]-Table25[[#This Row],[Average buy price]])*Table25[[#This Row],[Total Sold number of stocks]],0)</f>
        <v>1116.9900000000002</v>
      </c>
      <c r="Q1730" s="85">
        <f>SUMIF(Table25[[#All],[Assets]],Table25[[#This Row],[Assets]],Table25[[#All],[Number of stocks]])</f>
        <v>0</v>
      </c>
    </row>
    <row r="1731" spans="1:17">
      <c r="A1731" t="e" vm="576">
        <v>#VALUE!</v>
      </c>
      <c r="B1731" s="2">
        <v>45939</v>
      </c>
      <c r="C1731" t="str" cm="1">
        <f t="array" aca="1" ref="C1731" ca="1">_FV(A1731,"Ticker symbol",TRUE)</f>
        <v>DUOL</v>
      </c>
      <c r="D1731" s="4">
        <v>341.03</v>
      </c>
      <c r="E1731" s="50">
        <v>4</v>
      </c>
      <c r="F1731" s="81">
        <f>IF(Table25[[#This Row],[Number of stocks]]&gt;0,Table25[[#This Row],[Number of stocks]],0)</f>
        <v>4</v>
      </c>
      <c r="G1731" s="73">
        <f>Table25[[#This Row],[Bought]]*Table25[[#This Row],[Price]]</f>
        <v>1364.12</v>
      </c>
      <c r="H1731">
        <f>SUMIF(Table25[[#All],[Assets]],Table25[[#This Row],[Assets]],Table25[[#All],[Bought]])</f>
        <v>33</v>
      </c>
      <c r="I1731">
        <f>SUMIF(Table25[[#All],[Assets]],Table25[[#This Row],[Assets]],Table25[[#All],[Bought Amount]])</f>
        <v>8243.81</v>
      </c>
      <c r="J1731" s="88">
        <f>IF(Table25[[#This Row],[Number of stocks]]&lt;0,Table25[[#This Row],[Number of stocks]],0)</f>
        <v>0</v>
      </c>
      <c r="K1731" s="5">
        <f>Table25[[#This Row],[Sold]]*Table25[[#This Row],[Price]]</f>
        <v>0</v>
      </c>
      <c r="L1731" s="8">
        <f>ABS(SUMIF(Table25[[#All],[Assets]],Table25[[#This Row],[Assets]],Table25[[#All],[Sold]]))</f>
        <v>43</v>
      </c>
      <c r="M1731" s="5">
        <f>ABS(SUMIF(Table25[[#All],[Assets]],Table25[[#This Row],[Assets]],Table25[[#All],[Sold Amount]]))</f>
        <v>8577.89</v>
      </c>
      <c r="N1731" s="5">
        <f>IFERROR(Table25[[#This Row],[Total sold amount]]/Table25[[#This Row],[Total Sold number of stocks]],"")</f>
        <v>199.48581395348836</v>
      </c>
      <c r="O1731" s="4">
        <f>IFERROR(Table25[[#This Row],[Total Amount bought]]/Table25[[#This Row],[Total number bought]],"")</f>
        <v>249.81242424242421</v>
      </c>
      <c r="P1731" s="4">
        <f>IFERROR((Table25[[#This Row],[Average sell price]]-Table25[[#This Row],[Average buy price]])*Table25[[#This Row],[Total Sold number of stocks]],0)</f>
        <v>-2164.0442424242419</v>
      </c>
      <c r="Q1731" s="85">
        <f>SUMIF(Table25[[#All],[Assets]],Table25[[#This Row],[Assets]],Table25[[#All],[Number of stocks]])</f>
        <v>-10</v>
      </c>
    </row>
    <row r="1732" spans="1:17">
      <c r="A1732" t="e" vm="576">
        <v>#VALUE!</v>
      </c>
      <c r="B1732" s="2">
        <v>45939</v>
      </c>
      <c r="C1732" t="str" cm="1">
        <f t="array" aca="1" ref="C1732" ca="1">_FV(A1732,"Ticker symbol",TRUE)</f>
        <v>DUOL</v>
      </c>
      <c r="D1732" s="4">
        <v>338.6</v>
      </c>
      <c r="E1732" s="50">
        <v>2</v>
      </c>
      <c r="F1732" s="81">
        <f>IF(Table25[[#This Row],[Number of stocks]]&gt;0,Table25[[#This Row],[Number of stocks]],0)</f>
        <v>2</v>
      </c>
      <c r="G1732" s="73">
        <f>Table25[[#This Row],[Bought]]*Table25[[#This Row],[Price]]</f>
        <v>677.2</v>
      </c>
      <c r="H1732">
        <f>SUMIF(Table25[[#All],[Assets]],Table25[[#This Row],[Assets]],Table25[[#All],[Bought]])</f>
        <v>33</v>
      </c>
      <c r="I1732">
        <f>SUMIF(Table25[[#All],[Assets]],Table25[[#This Row],[Assets]],Table25[[#All],[Bought Amount]])</f>
        <v>8243.81</v>
      </c>
      <c r="J1732" s="88">
        <f>IF(Table25[[#This Row],[Number of stocks]]&lt;0,Table25[[#This Row],[Number of stocks]],0)</f>
        <v>0</v>
      </c>
      <c r="K1732" s="5">
        <f>Table25[[#This Row],[Sold]]*Table25[[#This Row],[Price]]</f>
        <v>0</v>
      </c>
      <c r="L1732" s="8">
        <f>ABS(SUMIF(Table25[[#All],[Assets]],Table25[[#This Row],[Assets]],Table25[[#All],[Sold]]))</f>
        <v>43</v>
      </c>
      <c r="M1732" s="5">
        <f>ABS(SUMIF(Table25[[#All],[Assets]],Table25[[#This Row],[Assets]],Table25[[#All],[Sold Amount]]))</f>
        <v>8577.89</v>
      </c>
      <c r="N1732" s="5">
        <f>IFERROR(Table25[[#This Row],[Total sold amount]]/Table25[[#This Row],[Total Sold number of stocks]],"")</f>
        <v>199.48581395348836</v>
      </c>
      <c r="O1732" s="4">
        <f>IFERROR(Table25[[#This Row],[Total Amount bought]]/Table25[[#This Row],[Total number bought]],"")</f>
        <v>249.81242424242421</v>
      </c>
      <c r="P1732" s="4">
        <f>IFERROR((Table25[[#This Row],[Average sell price]]-Table25[[#This Row],[Average buy price]])*Table25[[#This Row],[Total Sold number of stocks]],0)</f>
        <v>-2164.0442424242419</v>
      </c>
      <c r="Q1732" s="85">
        <f>SUMIF(Table25[[#All],[Assets]],Table25[[#This Row],[Assets]],Table25[[#All],[Number of stocks]])</f>
        <v>-10</v>
      </c>
    </row>
    <row r="1733" spans="1:17">
      <c r="A1733" t="e" vm="6">
        <v>#VALUE!</v>
      </c>
      <c r="B1733" s="2">
        <v>45939</v>
      </c>
      <c r="C1733" t="str" cm="1">
        <f t="array" aca="1" ref="C1733" ca="1">_FV(A1733,"Ticker symbol",TRUE)</f>
        <v>KTOS</v>
      </c>
      <c r="D1733" s="4">
        <v>98.58</v>
      </c>
      <c r="E1733" s="50">
        <v>-22</v>
      </c>
      <c r="F1733" s="81">
        <f>IF(Table25[[#This Row],[Number of stocks]]&gt;0,Table25[[#This Row],[Number of stocks]],0)</f>
        <v>0</v>
      </c>
      <c r="G1733" s="73">
        <f>Table25[[#This Row],[Bought]]*Table25[[#This Row],[Price]]</f>
        <v>0</v>
      </c>
      <c r="H1733">
        <f>SUMIF(Table25[[#All],[Assets]],Table25[[#This Row],[Assets]],Table25[[#All],[Bought]])</f>
        <v>121</v>
      </c>
      <c r="I1733">
        <f>SUMIF(Table25[[#All],[Assets]],Table25[[#This Row],[Assets]],Table25[[#All],[Bought Amount]])</f>
        <v>3826.76</v>
      </c>
      <c r="J1733" s="88">
        <f>IF(Table25[[#This Row],[Number of stocks]]&lt;0,Table25[[#This Row],[Number of stocks]],0)</f>
        <v>-22</v>
      </c>
      <c r="K1733" s="5">
        <f>Table25[[#This Row],[Sold]]*Table25[[#This Row],[Price]]</f>
        <v>-2168.7599999999998</v>
      </c>
      <c r="L1733" s="8">
        <f>ABS(SUMIF(Table25[[#All],[Assets]],Table25[[#This Row],[Assets]],Table25[[#All],[Sold]]))</f>
        <v>121</v>
      </c>
      <c r="M1733" s="5">
        <f>ABS(SUMIF(Table25[[#All],[Assets]],Table25[[#This Row],[Assets]],Table25[[#All],[Sold Amount]]))</f>
        <v>8971.93</v>
      </c>
      <c r="N1733" s="5">
        <f>IFERROR(Table25[[#This Row],[Total sold amount]]/Table25[[#This Row],[Total Sold number of stocks]],"")</f>
        <v>74.148181818181826</v>
      </c>
      <c r="O1733" s="4">
        <f>IFERROR(Table25[[#This Row],[Total Amount bought]]/Table25[[#This Row],[Total number bought]],"")</f>
        <v>31.626115702479339</v>
      </c>
      <c r="P1733" s="4">
        <f>IFERROR((Table25[[#This Row],[Average sell price]]-Table25[[#This Row],[Average buy price]])*Table25[[#This Row],[Total Sold number of stocks]],0)</f>
        <v>5145.170000000001</v>
      </c>
      <c r="Q1733" s="85">
        <f>SUMIF(Table25[[#All],[Assets]],Table25[[#This Row],[Assets]],Table25[[#All],[Number of stocks]])</f>
        <v>0</v>
      </c>
    </row>
    <row r="1734" spans="1:17">
      <c r="A1734" t="e" vm="180">
        <v>#VALUE!</v>
      </c>
      <c r="B1734" s="2">
        <v>45943</v>
      </c>
      <c r="C1734" t="str" cm="1">
        <f t="array" aca="1" ref="C1734" ca="1">_FV(A1734,"Ticker symbol",TRUE)</f>
        <v>VELO</v>
      </c>
      <c r="D1734" s="4">
        <v>5.19</v>
      </c>
      <c r="E1734" s="50">
        <v>105</v>
      </c>
      <c r="F1734" s="81">
        <f>IF(Table25[[#This Row],[Number of stocks]]&gt;0,Table25[[#This Row],[Number of stocks]],0)</f>
        <v>105</v>
      </c>
      <c r="G1734" s="73">
        <f>Table25[[#This Row],[Bought]]*Table25[[#This Row],[Price]]</f>
        <v>544.95000000000005</v>
      </c>
      <c r="H1734">
        <f>SUMIF(Table25[[#All],[Assets]],Table25[[#This Row],[Assets]],Table25[[#All],[Bought]])</f>
        <v>423</v>
      </c>
      <c r="I1734">
        <f>SUMIF(Table25[[#All],[Assets]],Table25[[#This Row],[Assets]],Table25[[#All],[Bought Amount]])</f>
        <v>2540.92</v>
      </c>
      <c r="J1734" s="88">
        <f>IF(Table25[[#This Row],[Number of stocks]]&lt;0,Table25[[#This Row],[Number of stocks]],0)</f>
        <v>0</v>
      </c>
      <c r="K1734" s="5">
        <f>Table25[[#This Row],[Sold]]*Table25[[#This Row],[Price]]</f>
        <v>0</v>
      </c>
      <c r="L1734" s="8">
        <f>ABS(SUMIF(Table25[[#All],[Assets]],Table25[[#This Row],[Assets]],Table25[[#All],[Sold]]))</f>
        <v>213</v>
      </c>
      <c r="M1734" s="5">
        <f>ABS(SUMIF(Table25[[#All],[Assets]],Table25[[#This Row],[Assets]],Table25[[#All],[Sold Amount]]))</f>
        <v>2820.5899999999997</v>
      </c>
      <c r="N1734" s="5">
        <f>IFERROR(Table25[[#This Row],[Total sold amount]]/Table25[[#This Row],[Total Sold number of stocks]],"")</f>
        <v>13.242206572769952</v>
      </c>
      <c r="O1734" s="4">
        <f>IFERROR(Table25[[#This Row],[Total Amount bought]]/Table25[[#This Row],[Total number bought]],"")</f>
        <v>6.0069030732860522</v>
      </c>
      <c r="P1734" s="4">
        <f>IFERROR((Table25[[#This Row],[Average sell price]]-Table25[[#This Row],[Average buy price]])*Table25[[#This Row],[Total Sold number of stocks]],0)</f>
        <v>1541.1196453900707</v>
      </c>
      <c r="Q1734" s="85">
        <f>SUMIF(Table25[[#All],[Assets]],Table25[[#This Row],[Assets]],Table25[[#All],[Number of stocks]])</f>
        <v>210</v>
      </c>
    </row>
    <row r="1735" spans="1:17">
      <c r="A1735" t="e" vm="584">
        <v>#VALUE!</v>
      </c>
      <c r="B1735" s="2">
        <v>45944</v>
      </c>
      <c r="C1735" t="str" cm="1">
        <f t="array" aca="1" ref="C1735" ca="1">_FV(A1735,"Ticker symbol",TRUE)</f>
        <v>KOPN</v>
      </c>
      <c r="D1735" s="4">
        <v>3.59</v>
      </c>
      <c r="E1735" s="50">
        <v>150</v>
      </c>
      <c r="F1735" s="81">
        <f>IF(Table25[[#This Row],[Number of stocks]]&gt;0,Table25[[#This Row],[Number of stocks]],0)</f>
        <v>150</v>
      </c>
      <c r="G1735" s="73">
        <f>Table25[[#This Row],[Bought]]*Table25[[#This Row],[Price]]</f>
        <v>538.5</v>
      </c>
      <c r="H1735">
        <f>SUMIF(Table25[[#All],[Assets]],Table25[[#This Row],[Assets]],Table25[[#All],[Bought]])</f>
        <v>150</v>
      </c>
      <c r="I1735">
        <f>SUMIF(Table25[[#All],[Assets]],Table25[[#This Row],[Assets]],Table25[[#All],[Bought Amount]])</f>
        <v>538.5</v>
      </c>
      <c r="J1735" s="88">
        <f>IF(Table25[[#This Row],[Number of stocks]]&lt;0,Table25[[#This Row],[Number of stocks]],0)</f>
        <v>0</v>
      </c>
      <c r="K1735" s="5">
        <f>Table25[[#This Row],[Sold]]*Table25[[#This Row],[Price]]</f>
        <v>0</v>
      </c>
      <c r="L1735" s="8">
        <f>ABS(SUMIF(Table25[[#All],[Assets]],Table25[[#This Row],[Assets]],Table25[[#All],[Sold]]))</f>
        <v>150</v>
      </c>
      <c r="M1735" s="5">
        <f>ABS(SUMIF(Table25[[#All],[Assets]],Table25[[#This Row],[Assets]],Table25[[#All],[Sold Amount]]))</f>
        <v>364.5</v>
      </c>
      <c r="N1735" s="5">
        <f>IFERROR(Table25[[#This Row],[Total sold amount]]/Table25[[#This Row],[Total Sold number of stocks]],"")</f>
        <v>2.4300000000000002</v>
      </c>
      <c r="O1735" s="4">
        <f>IFERROR(Table25[[#This Row],[Total Amount bought]]/Table25[[#This Row],[Total number bought]],"")</f>
        <v>3.59</v>
      </c>
      <c r="P1735" s="4">
        <f>IFERROR((Table25[[#This Row],[Average sell price]]-Table25[[#This Row],[Average buy price]])*Table25[[#This Row],[Total Sold number of stocks]],0)</f>
        <v>-173.99999999999994</v>
      </c>
      <c r="Q1735" s="85">
        <f>SUMIF(Table25[[#All],[Assets]],Table25[[#This Row],[Assets]],Table25[[#All],[Number of stocks]])</f>
        <v>0</v>
      </c>
    </row>
    <row r="1736" spans="1:17">
      <c r="A1736" t="e" vm="235">
        <v>#VALUE!</v>
      </c>
      <c r="B1736" s="2">
        <v>45944</v>
      </c>
      <c r="C1736" t="str" cm="1">
        <f t="array" aca="1" ref="C1736" ca="1">_FV(A1736,"Ticker symbol",TRUE)</f>
        <v>MBOT</v>
      </c>
      <c r="D1736" s="4">
        <v>2.88</v>
      </c>
      <c r="E1736" s="50">
        <v>-150</v>
      </c>
      <c r="F1736" s="81">
        <f>IF(Table25[[#This Row],[Number of stocks]]&gt;0,Table25[[#This Row],[Number of stocks]],0)</f>
        <v>0</v>
      </c>
      <c r="G1736" s="73">
        <f>Table25[[#This Row],[Bought]]*Table25[[#This Row],[Price]]</f>
        <v>0</v>
      </c>
      <c r="H1736">
        <f>SUMIF(Table25[[#All],[Assets]],Table25[[#This Row],[Assets]],Table25[[#All],[Bought]])</f>
        <v>200</v>
      </c>
      <c r="I1736">
        <f>SUMIF(Table25[[#All],[Assets]],Table25[[#This Row],[Assets]],Table25[[#All],[Bought Amount]])</f>
        <v>850</v>
      </c>
      <c r="J1736" s="88">
        <f>IF(Table25[[#This Row],[Number of stocks]]&lt;0,Table25[[#This Row],[Number of stocks]],0)</f>
        <v>-150</v>
      </c>
      <c r="K1736" s="5">
        <f>Table25[[#This Row],[Sold]]*Table25[[#This Row],[Price]]</f>
        <v>-432</v>
      </c>
      <c r="L1736" s="8">
        <f>ABS(SUMIF(Table25[[#All],[Assets]],Table25[[#This Row],[Assets]],Table25[[#All],[Sold]]))</f>
        <v>200</v>
      </c>
      <c r="M1736" s="5">
        <f>ABS(SUMIF(Table25[[#All],[Assets]],Table25[[#This Row],[Assets]],Table25[[#All],[Sold Amount]]))</f>
        <v>587.5</v>
      </c>
      <c r="N1736" s="5">
        <f>IFERROR(Table25[[#This Row],[Total sold amount]]/Table25[[#This Row],[Total Sold number of stocks]],"")</f>
        <v>2.9375</v>
      </c>
      <c r="O1736" s="4">
        <f>IFERROR(Table25[[#This Row],[Total Amount bought]]/Table25[[#This Row],[Total number bought]],"")</f>
        <v>4.25</v>
      </c>
      <c r="P1736" s="4">
        <f>IFERROR((Table25[[#This Row],[Average sell price]]-Table25[[#This Row],[Average buy price]])*Table25[[#This Row],[Total Sold number of stocks]],0)</f>
        <v>-262.5</v>
      </c>
      <c r="Q1736" s="85">
        <f>SUMIF(Table25[[#All],[Assets]],Table25[[#This Row],[Assets]],Table25[[#All],[Number of stocks]])</f>
        <v>0</v>
      </c>
    </row>
    <row r="1737" spans="1:17">
      <c r="A1737" t="e" vm="583">
        <v>#VALUE!</v>
      </c>
      <c r="B1737" s="2">
        <v>45944</v>
      </c>
      <c r="C1737" t="str" cm="1">
        <f t="array" aca="1" ref="C1737" ca="1">_FV(A1737,"Ticker symbol",TRUE)</f>
        <v>RIG</v>
      </c>
      <c r="D1737" s="4">
        <v>3.15</v>
      </c>
      <c r="E1737" s="50">
        <v>-200</v>
      </c>
      <c r="F1737" s="81">
        <f>IF(Table25[[#This Row],[Number of stocks]]&gt;0,Table25[[#This Row],[Number of stocks]],0)</f>
        <v>0</v>
      </c>
      <c r="G1737" s="73">
        <f>Table25[[#This Row],[Bought]]*Table25[[#This Row],[Price]]</f>
        <v>0</v>
      </c>
      <c r="H1737">
        <f>SUMIF(Table25[[#All],[Assets]],Table25[[#This Row],[Assets]],Table25[[#All],[Bought]])</f>
        <v>200</v>
      </c>
      <c r="I1737">
        <f>SUMIF(Table25[[#All],[Assets]],Table25[[#This Row],[Assets]],Table25[[#All],[Bought Amount]])</f>
        <v>672</v>
      </c>
      <c r="J1737" s="88">
        <f>IF(Table25[[#This Row],[Number of stocks]]&lt;0,Table25[[#This Row],[Number of stocks]],0)</f>
        <v>-200</v>
      </c>
      <c r="K1737" s="5">
        <f>Table25[[#This Row],[Sold]]*Table25[[#This Row],[Price]]</f>
        <v>-630</v>
      </c>
      <c r="L1737" s="8">
        <f>ABS(SUMIF(Table25[[#All],[Assets]],Table25[[#This Row],[Assets]],Table25[[#All],[Sold]]))</f>
        <v>350</v>
      </c>
      <c r="M1737" s="5">
        <f>ABS(SUMIF(Table25[[#All],[Assets]],Table25[[#This Row],[Assets]],Table25[[#All],[Sold Amount]]))</f>
        <v>1260</v>
      </c>
      <c r="N1737" s="5">
        <f>IFERROR(Table25[[#This Row],[Total sold amount]]/Table25[[#This Row],[Total Sold number of stocks]],"")</f>
        <v>3.6</v>
      </c>
      <c r="O1737" s="4">
        <f>IFERROR(Table25[[#This Row],[Total Amount bought]]/Table25[[#This Row],[Total number bought]],"")</f>
        <v>3.36</v>
      </c>
      <c r="P1737" s="4">
        <f>IFERROR((Table25[[#This Row],[Average sell price]]-Table25[[#This Row],[Average buy price]])*Table25[[#This Row],[Total Sold number of stocks]],0)</f>
        <v>84.000000000000071</v>
      </c>
      <c r="Q1737" s="85">
        <f>SUMIF(Table25[[#All],[Assets]],Table25[[#This Row],[Assets]],Table25[[#All],[Number of stocks]])</f>
        <v>-150</v>
      </c>
    </row>
    <row r="1738" spans="1:17">
      <c r="A1738" t="e" vm="14">
        <v>#VALUE!</v>
      </c>
      <c r="B1738" s="2">
        <v>45944</v>
      </c>
      <c r="C1738" t="str" cm="1">
        <f t="array" aca="1" ref="C1738" ca="1">_FV(A1738,"Ticker symbol",TRUE)</f>
        <v>NVTS</v>
      </c>
      <c r="D1738" s="4">
        <v>12.87</v>
      </c>
      <c r="E1738" s="50">
        <v>40</v>
      </c>
      <c r="F1738" s="81">
        <f>IF(Table25[[#This Row],[Number of stocks]]&gt;0,Table25[[#This Row],[Number of stocks]],0)</f>
        <v>40</v>
      </c>
      <c r="G1738" s="73">
        <f>Table25[[#This Row],[Bought]]*Table25[[#This Row],[Price]]</f>
        <v>514.79999999999995</v>
      </c>
      <c r="H1738">
        <f>SUMIF(Table25[[#All],[Assets]],Table25[[#This Row],[Assets]],Table25[[#All],[Bought]])</f>
        <v>453</v>
      </c>
      <c r="I1738">
        <f>SUMIF(Table25[[#All],[Assets]],Table25[[#This Row],[Assets]],Table25[[#All],[Bought Amount]])</f>
        <v>1878.11</v>
      </c>
      <c r="J1738" s="88">
        <f>IF(Table25[[#This Row],[Number of stocks]]&lt;0,Table25[[#This Row],[Number of stocks]],0)</f>
        <v>0</v>
      </c>
      <c r="K1738" s="5">
        <f>Table25[[#This Row],[Sold]]*Table25[[#This Row],[Price]]</f>
        <v>0</v>
      </c>
      <c r="L1738" s="8">
        <f>ABS(SUMIF(Table25[[#All],[Assets]],Table25[[#This Row],[Assets]],Table25[[#All],[Sold]]))</f>
        <v>410</v>
      </c>
      <c r="M1738" s="5">
        <f>ABS(SUMIF(Table25[[#All],[Assets]],Table25[[#This Row],[Assets]],Table25[[#All],[Sold Amount]]))</f>
        <v>1286.2</v>
      </c>
      <c r="N1738" s="5">
        <f>IFERROR(Table25[[#This Row],[Total sold amount]]/Table25[[#This Row],[Total Sold number of stocks]],"")</f>
        <v>3.1370731707317074</v>
      </c>
      <c r="O1738" s="4">
        <f>IFERROR(Table25[[#This Row],[Total Amount bought]]/Table25[[#This Row],[Total number bought]],"")</f>
        <v>4.1459381898454746</v>
      </c>
      <c r="P1738" s="4">
        <f>IFERROR((Table25[[#This Row],[Average sell price]]-Table25[[#This Row],[Average buy price]])*Table25[[#This Row],[Total Sold number of stocks]],0)</f>
        <v>-413.63465783664452</v>
      </c>
      <c r="Q1738" s="85">
        <f>SUMIF(Table25[[#All],[Assets]],Table25[[#This Row],[Assets]],Table25[[#All],[Number of stocks]])</f>
        <v>43</v>
      </c>
    </row>
    <row r="1739" spans="1:17">
      <c r="A1739" t="e" vm="14">
        <v>#VALUE!</v>
      </c>
      <c r="B1739" s="2">
        <v>45944</v>
      </c>
      <c r="C1739" t="str" cm="1">
        <f t="array" aca="1" ref="C1739" ca="1">_FV(A1739,"Ticker symbol",TRUE)</f>
        <v>NVTS</v>
      </c>
      <c r="D1739" s="4">
        <v>12.87</v>
      </c>
      <c r="E1739" s="50">
        <v>3</v>
      </c>
      <c r="F1739" s="81">
        <f>IF(Table25[[#This Row],[Number of stocks]]&gt;0,Table25[[#This Row],[Number of stocks]],0)</f>
        <v>3</v>
      </c>
      <c r="G1739" s="73">
        <f>Table25[[#This Row],[Bought]]*Table25[[#This Row],[Price]]</f>
        <v>38.61</v>
      </c>
      <c r="H1739">
        <f>SUMIF(Table25[[#All],[Assets]],Table25[[#This Row],[Assets]],Table25[[#All],[Bought]])</f>
        <v>453</v>
      </c>
      <c r="I1739">
        <f>SUMIF(Table25[[#All],[Assets]],Table25[[#This Row],[Assets]],Table25[[#All],[Bought Amount]])</f>
        <v>1878.11</v>
      </c>
      <c r="J1739" s="88">
        <f>IF(Table25[[#This Row],[Number of stocks]]&lt;0,Table25[[#This Row],[Number of stocks]],0)</f>
        <v>0</v>
      </c>
      <c r="K1739" s="5">
        <f>Table25[[#This Row],[Sold]]*Table25[[#This Row],[Price]]</f>
        <v>0</v>
      </c>
      <c r="L1739" s="8">
        <f>ABS(SUMIF(Table25[[#All],[Assets]],Table25[[#This Row],[Assets]],Table25[[#All],[Sold]]))</f>
        <v>410</v>
      </c>
      <c r="M1739" s="5">
        <f>ABS(SUMIF(Table25[[#All],[Assets]],Table25[[#This Row],[Assets]],Table25[[#All],[Sold Amount]]))</f>
        <v>1286.2</v>
      </c>
      <c r="N1739" s="5">
        <f>IFERROR(Table25[[#This Row],[Total sold amount]]/Table25[[#This Row],[Total Sold number of stocks]],"")</f>
        <v>3.1370731707317074</v>
      </c>
      <c r="O1739" s="4">
        <f>IFERROR(Table25[[#This Row],[Total Amount bought]]/Table25[[#This Row],[Total number bought]],"")</f>
        <v>4.1459381898454746</v>
      </c>
      <c r="P1739" s="4">
        <f>IFERROR((Table25[[#This Row],[Average sell price]]-Table25[[#This Row],[Average buy price]])*Table25[[#This Row],[Total Sold number of stocks]],0)</f>
        <v>-413.63465783664452</v>
      </c>
      <c r="Q1739" s="85">
        <f>SUMIF(Table25[[#All],[Assets]],Table25[[#This Row],[Assets]],Table25[[#All],[Number of stocks]])</f>
        <v>43</v>
      </c>
    </row>
    <row r="1740" spans="1:17">
      <c r="A1740" t="e" vm="204">
        <v>#VALUE!</v>
      </c>
      <c r="B1740" s="2">
        <v>45944</v>
      </c>
      <c r="C1740" t="str" cm="1">
        <f t="array" aca="1" ref="C1740" ca="1">_FV(A1740,"Ticker symbol",TRUE)</f>
        <v>CRWV</v>
      </c>
      <c r="D1740" s="4">
        <v>136.63999999999999</v>
      </c>
      <c r="E1740" s="50">
        <v>2</v>
      </c>
      <c r="F1740" s="81">
        <f>IF(Table25[[#This Row],[Number of stocks]]&gt;0,Table25[[#This Row],[Number of stocks]],0)</f>
        <v>2</v>
      </c>
      <c r="G1740" s="73">
        <f>Table25[[#This Row],[Bought]]*Table25[[#This Row],[Price]]</f>
        <v>273.27999999999997</v>
      </c>
      <c r="H1740">
        <f>SUMIF(Table25[[#All],[Assets]],Table25[[#This Row],[Assets]],Table25[[#All],[Bought]])</f>
        <v>36</v>
      </c>
      <c r="I1740">
        <f>SUMIF(Table25[[#All],[Assets]],Table25[[#This Row],[Assets]],Table25[[#All],[Bought Amount]])</f>
        <v>3513.64</v>
      </c>
      <c r="J1740" s="88">
        <f>IF(Table25[[#This Row],[Number of stocks]]&lt;0,Table25[[#This Row],[Number of stocks]],0)</f>
        <v>0</v>
      </c>
      <c r="K1740" s="5">
        <f>Table25[[#This Row],[Sold]]*Table25[[#This Row],[Price]]</f>
        <v>0</v>
      </c>
      <c r="L1740" s="8">
        <f>ABS(SUMIF(Table25[[#All],[Assets]],Table25[[#This Row],[Assets]],Table25[[#All],[Sold]]))</f>
        <v>0</v>
      </c>
      <c r="M1740" s="5">
        <f>ABS(SUMIF(Table25[[#All],[Assets]],Table25[[#This Row],[Assets]],Table25[[#All],[Sold Amount]]))</f>
        <v>0</v>
      </c>
      <c r="N1740" s="5" t="str">
        <f>IFERROR(Table25[[#This Row],[Total sold amount]]/Table25[[#This Row],[Total Sold number of stocks]],"")</f>
        <v/>
      </c>
      <c r="O1740" s="4">
        <f>IFERROR(Table25[[#This Row],[Total Amount bought]]/Table25[[#This Row],[Total number bought]],"")</f>
        <v>97.601111111111109</v>
      </c>
      <c r="P1740" s="4">
        <f>IFERROR((Table25[[#This Row],[Average sell price]]-Table25[[#This Row],[Average buy price]])*Table25[[#This Row],[Total Sold number of stocks]],0)</f>
        <v>0</v>
      </c>
      <c r="Q1740" s="85">
        <f>SUMIF(Table25[[#All],[Assets]],Table25[[#This Row],[Assets]],Table25[[#All],[Number of stocks]])</f>
        <v>36</v>
      </c>
    </row>
    <row r="1741" spans="1:17">
      <c r="A1741" t="e" vm="226">
        <v>#VALUE!</v>
      </c>
      <c r="B1741" s="2">
        <v>45945</v>
      </c>
      <c r="C1741" t="str" cm="1">
        <f t="array" aca="1" ref="C1741" ca="1">_FV(A1741,"Ticker symbol",TRUE)</f>
        <v>WGHTQ</v>
      </c>
      <c r="D1741" s="4">
        <v>25.8</v>
      </c>
      <c r="E1741" s="50">
        <v>-7</v>
      </c>
      <c r="F1741" s="81">
        <f>IF(Table25[[#This Row],[Number of stocks]]&gt;0,Table25[[#This Row],[Number of stocks]],0)</f>
        <v>0</v>
      </c>
      <c r="G1741" s="73">
        <f>Table25[[#This Row],[Bought]]*Table25[[#This Row],[Price]]</f>
        <v>0</v>
      </c>
      <c r="H1741">
        <f>SUMIF(Table25[[#All],[Assets]],Table25[[#This Row],[Assets]],Table25[[#All],[Bought]])</f>
        <v>172</v>
      </c>
      <c r="I1741">
        <f>SUMIF(Table25[[#All],[Assets]],Table25[[#This Row],[Assets]],Table25[[#All],[Bought Amount]])</f>
        <v>5307.8900000000012</v>
      </c>
      <c r="J1741" s="88">
        <f>IF(Table25[[#This Row],[Number of stocks]]&lt;0,Table25[[#This Row],[Number of stocks]],0)</f>
        <v>-7</v>
      </c>
      <c r="K1741" s="5">
        <f>Table25[[#This Row],[Sold]]*Table25[[#This Row],[Price]]</f>
        <v>-180.6</v>
      </c>
      <c r="L1741" s="8">
        <f>ABS(SUMIF(Table25[[#All],[Assets]],Table25[[#This Row],[Assets]],Table25[[#All],[Sold]]))</f>
        <v>168</v>
      </c>
      <c r="M1741" s="5">
        <f>ABS(SUMIF(Table25[[#All],[Assets]],Table25[[#This Row],[Assets]],Table25[[#All],[Sold Amount]]))</f>
        <v>4668.4199999999992</v>
      </c>
      <c r="N1741" s="5">
        <f>IFERROR(Table25[[#This Row],[Total sold amount]]/Table25[[#This Row],[Total Sold number of stocks]],"")</f>
        <v>27.788214285714282</v>
      </c>
      <c r="O1741" s="4">
        <f>IFERROR(Table25[[#This Row],[Total Amount bought]]/Table25[[#This Row],[Total number bought]],"")</f>
        <v>30.859825581395356</v>
      </c>
      <c r="P1741" s="4">
        <f>IFERROR((Table25[[#This Row],[Average sell price]]-Table25[[#This Row],[Average buy price]])*Table25[[#This Row],[Total Sold number of stocks]],0)</f>
        <v>-516.03069767442025</v>
      </c>
      <c r="Q1741" s="85">
        <f>SUMIF(Table25[[#All],[Assets]],Table25[[#This Row],[Assets]],Table25[[#All],[Number of stocks]])</f>
        <v>4</v>
      </c>
    </row>
    <row r="1742" spans="1:17">
      <c r="A1742" t="e" vm="159">
        <v>#VALUE!</v>
      </c>
      <c r="B1742" s="2">
        <v>45945</v>
      </c>
      <c r="C1742" t="str" cm="1">
        <f t="array" aca="1" ref="C1742" ca="1">_FV(A1742,"Ticker symbol",TRUE)</f>
        <v>BABA</v>
      </c>
      <c r="D1742" s="4">
        <v>166.11</v>
      </c>
      <c r="E1742" s="50">
        <v>-5</v>
      </c>
      <c r="F1742" s="81">
        <f>IF(Table25[[#This Row],[Number of stocks]]&gt;0,Table25[[#This Row],[Number of stocks]],0)</f>
        <v>0</v>
      </c>
      <c r="G1742" s="73">
        <f>Table25[[#This Row],[Bought]]*Table25[[#This Row],[Price]]</f>
        <v>0</v>
      </c>
      <c r="H1742">
        <f>SUMIF(Table25[[#All],[Assets]],Table25[[#This Row],[Assets]],Table25[[#All],[Bought]])</f>
        <v>128</v>
      </c>
      <c r="I1742">
        <f>SUMIF(Table25[[#All],[Assets]],Table25[[#This Row],[Assets]],Table25[[#All],[Bought Amount]])</f>
        <v>12533.52</v>
      </c>
      <c r="J1742" s="88">
        <f>IF(Table25[[#This Row],[Number of stocks]]&lt;0,Table25[[#This Row],[Number of stocks]],0)</f>
        <v>-5</v>
      </c>
      <c r="K1742" s="5">
        <f>Table25[[#This Row],[Sold]]*Table25[[#This Row],[Price]]</f>
        <v>-830.55000000000007</v>
      </c>
      <c r="L1742" s="8">
        <f>ABS(SUMIF(Table25[[#All],[Assets]],Table25[[#This Row],[Assets]],Table25[[#All],[Sold]]))</f>
        <v>128</v>
      </c>
      <c r="M1742" s="5">
        <f>ABS(SUMIF(Table25[[#All],[Assets]],Table25[[#This Row],[Assets]],Table25[[#All],[Sold Amount]]))</f>
        <v>17148.419999999998</v>
      </c>
      <c r="N1742" s="5">
        <f>IFERROR(Table25[[#This Row],[Total sold amount]]/Table25[[#This Row],[Total Sold number of stocks]],"")</f>
        <v>133.97203124999999</v>
      </c>
      <c r="O1742" s="4">
        <f>IFERROR(Table25[[#This Row],[Total Amount bought]]/Table25[[#This Row],[Total number bought]],"")</f>
        <v>97.918125000000003</v>
      </c>
      <c r="P1742" s="4">
        <f>IFERROR((Table25[[#This Row],[Average sell price]]-Table25[[#This Row],[Average buy price]])*Table25[[#This Row],[Total Sold number of stocks]],0)</f>
        <v>4614.8999999999978</v>
      </c>
      <c r="Q1742" s="85">
        <f>SUMIF(Table25[[#All],[Assets]],Table25[[#This Row],[Assets]],Table25[[#All],[Number of stocks]])</f>
        <v>0</v>
      </c>
    </row>
    <row r="1743" spans="1:17">
      <c r="A1743" t="e" vm="159">
        <v>#VALUE!</v>
      </c>
      <c r="B1743" s="2">
        <v>45945</v>
      </c>
      <c r="C1743" t="str" cm="1">
        <f t="array" aca="1" ref="C1743" ca="1">_FV(A1743,"Ticker symbol",TRUE)</f>
        <v>BABA</v>
      </c>
      <c r="D1743" s="4">
        <v>165.88</v>
      </c>
      <c r="E1743" s="50">
        <v>-3</v>
      </c>
      <c r="F1743" s="81">
        <f>IF(Table25[[#This Row],[Number of stocks]]&gt;0,Table25[[#This Row],[Number of stocks]],0)</f>
        <v>0</v>
      </c>
      <c r="G1743" s="73">
        <f>Table25[[#This Row],[Bought]]*Table25[[#This Row],[Price]]</f>
        <v>0</v>
      </c>
      <c r="H1743">
        <f>SUMIF(Table25[[#All],[Assets]],Table25[[#This Row],[Assets]],Table25[[#All],[Bought]])</f>
        <v>128</v>
      </c>
      <c r="I1743">
        <f>SUMIF(Table25[[#All],[Assets]],Table25[[#This Row],[Assets]],Table25[[#All],[Bought Amount]])</f>
        <v>12533.52</v>
      </c>
      <c r="J1743" s="88">
        <f>IF(Table25[[#This Row],[Number of stocks]]&lt;0,Table25[[#This Row],[Number of stocks]],0)</f>
        <v>-3</v>
      </c>
      <c r="K1743" s="5">
        <f>Table25[[#This Row],[Sold]]*Table25[[#This Row],[Price]]</f>
        <v>-497.64</v>
      </c>
      <c r="L1743" s="8">
        <f>ABS(SUMIF(Table25[[#All],[Assets]],Table25[[#This Row],[Assets]],Table25[[#All],[Sold]]))</f>
        <v>128</v>
      </c>
      <c r="M1743" s="5">
        <f>ABS(SUMIF(Table25[[#All],[Assets]],Table25[[#This Row],[Assets]],Table25[[#All],[Sold Amount]]))</f>
        <v>17148.419999999998</v>
      </c>
      <c r="N1743" s="5">
        <f>IFERROR(Table25[[#This Row],[Total sold amount]]/Table25[[#This Row],[Total Sold number of stocks]],"")</f>
        <v>133.97203124999999</v>
      </c>
      <c r="O1743" s="4">
        <f>IFERROR(Table25[[#This Row],[Total Amount bought]]/Table25[[#This Row],[Total number bought]],"")</f>
        <v>97.918125000000003</v>
      </c>
      <c r="P1743" s="4">
        <f>IFERROR((Table25[[#This Row],[Average sell price]]-Table25[[#This Row],[Average buy price]])*Table25[[#This Row],[Total Sold number of stocks]],0)</f>
        <v>4614.8999999999978</v>
      </c>
      <c r="Q1743" s="85">
        <f>SUMIF(Table25[[#All],[Assets]],Table25[[#This Row],[Assets]],Table25[[#All],[Number of stocks]])</f>
        <v>0</v>
      </c>
    </row>
    <row r="1744" spans="1:17">
      <c r="A1744" t="e" vm="581">
        <v>#VALUE!</v>
      </c>
      <c r="B1744" s="2">
        <v>45946</v>
      </c>
      <c r="C1744" t="str" cm="1">
        <f t="array" aca="1" ref="C1744" ca="1">_FV(A1744,"Ticker symbol",TRUE)</f>
        <v>LWAY</v>
      </c>
      <c r="D1744" s="4">
        <v>27.29</v>
      </c>
      <c r="E1744" s="50">
        <v>-4</v>
      </c>
      <c r="F1744" s="81">
        <f>IF(Table25[[#This Row],[Number of stocks]]&gt;0,Table25[[#This Row],[Number of stocks]],0)</f>
        <v>0</v>
      </c>
      <c r="G1744" s="73">
        <f>Table25[[#This Row],[Bought]]*Table25[[#This Row],[Price]]</f>
        <v>0</v>
      </c>
      <c r="H1744">
        <f>SUMIF(Table25[[#All],[Assets]],Table25[[#This Row],[Assets]],Table25[[#All],[Bought]])</f>
        <v>40</v>
      </c>
      <c r="I1744">
        <f>SUMIF(Table25[[#All],[Assets]],Table25[[#This Row],[Assets]],Table25[[#All],[Bought Amount]])</f>
        <v>1029.2</v>
      </c>
      <c r="J1744" s="88">
        <f>IF(Table25[[#This Row],[Number of stocks]]&lt;0,Table25[[#This Row],[Number of stocks]],0)</f>
        <v>-4</v>
      </c>
      <c r="K1744" s="5">
        <f>Table25[[#This Row],[Sold]]*Table25[[#This Row],[Price]]</f>
        <v>-109.16</v>
      </c>
      <c r="L1744" s="8">
        <f>ABS(SUMIF(Table25[[#All],[Assets]],Table25[[#This Row],[Assets]],Table25[[#All],[Sold]]))</f>
        <v>40</v>
      </c>
      <c r="M1744" s="5">
        <f>ABS(SUMIF(Table25[[#All],[Assets]],Table25[[#This Row],[Assets]],Table25[[#All],[Sold Amount]]))</f>
        <v>1018.16</v>
      </c>
      <c r="N1744" s="5">
        <f>IFERROR(Table25[[#This Row],[Total sold amount]]/Table25[[#This Row],[Total Sold number of stocks]],"")</f>
        <v>25.454000000000001</v>
      </c>
      <c r="O1744" s="4">
        <f>IFERROR(Table25[[#This Row],[Total Amount bought]]/Table25[[#This Row],[Total number bought]],"")</f>
        <v>25.73</v>
      </c>
      <c r="P1744" s="4">
        <f>IFERROR((Table25[[#This Row],[Average sell price]]-Table25[[#This Row],[Average buy price]])*Table25[[#This Row],[Total Sold number of stocks]],0)</f>
        <v>-11.039999999999992</v>
      </c>
      <c r="Q1744" s="85">
        <f>SUMIF(Table25[[#All],[Assets]],Table25[[#This Row],[Assets]],Table25[[#All],[Number of stocks]])</f>
        <v>0</v>
      </c>
    </row>
    <row r="1745" spans="1:17">
      <c r="A1745" t="e" vm="90">
        <v>#VALUE!</v>
      </c>
      <c r="B1745" s="2">
        <v>45947</v>
      </c>
      <c r="C1745" t="str" cm="1">
        <f t="array" aca="1" ref="C1745" ca="1">_FV(A1745,"Ticker symbol",TRUE)</f>
        <v>ASTS</v>
      </c>
      <c r="D1745" s="4">
        <v>83.21</v>
      </c>
      <c r="E1745" s="50">
        <v>-8</v>
      </c>
      <c r="F1745" s="81">
        <f>IF(Table25[[#This Row],[Number of stocks]]&gt;0,Table25[[#This Row],[Number of stocks]],0)</f>
        <v>0</v>
      </c>
      <c r="G1745" s="73">
        <f>Table25[[#This Row],[Bought]]*Table25[[#This Row],[Price]]</f>
        <v>0</v>
      </c>
      <c r="H1745">
        <f>SUMIF(Table25[[#All],[Assets]],Table25[[#This Row],[Assets]],Table25[[#All],[Bought]])</f>
        <v>47</v>
      </c>
      <c r="I1745">
        <f>SUMIF(Table25[[#All],[Assets]],Table25[[#This Row],[Assets]],Table25[[#All],[Bought Amount]])</f>
        <v>1690.75</v>
      </c>
      <c r="J1745" s="88">
        <f>IF(Table25[[#This Row],[Number of stocks]]&lt;0,Table25[[#This Row],[Number of stocks]],0)</f>
        <v>-8</v>
      </c>
      <c r="K1745" s="5">
        <f>Table25[[#This Row],[Sold]]*Table25[[#This Row],[Price]]</f>
        <v>-665.68</v>
      </c>
      <c r="L1745" s="8">
        <f>ABS(SUMIF(Table25[[#All],[Assets]],Table25[[#This Row],[Assets]],Table25[[#All],[Sold]]))</f>
        <v>37</v>
      </c>
      <c r="M1745" s="5">
        <f>ABS(SUMIF(Table25[[#All],[Assets]],Table25[[#This Row],[Assets]],Table25[[#All],[Sold Amount]]))</f>
        <v>2479.08</v>
      </c>
      <c r="N1745" s="5">
        <f>IFERROR(Table25[[#This Row],[Total sold amount]]/Table25[[#This Row],[Total Sold number of stocks]],"")</f>
        <v>67.002162162162165</v>
      </c>
      <c r="O1745" s="4">
        <f>IFERROR(Table25[[#This Row],[Total Amount bought]]/Table25[[#This Row],[Total number bought]],"")</f>
        <v>35.973404255319146</v>
      </c>
      <c r="P1745" s="4">
        <f>IFERROR((Table25[[#This Row],[Average sell price]]-Table25[[#This Row],[Average buy price]])*Table25[[#This Row],[Total Sold number of stocks]],0)</f>
        <v>1148.0640425531917</v>
      </c>
      <c r="Q1745" s="85">
        <f>SUMIF(Table25[[#All],[Assets]],Table25[[#This Row],[Assets]],Table25[[#All],[Number of stocks]])</f>
        <v>10</v>
      </c>
    </row>
    <row r="1746" spans="1:17">
      <c r="A1746" t="e" vm="6">
        <v>#VALUE!</v>
      </c>
      <c r="B1746" s="2">
        <v>45950</v>
      </c>
      <c r="C1746" t="str" cm="1">
        <f t="array" aca="1" ref="C1746" ca="1">_FV(A1746,"Ticker symbol",TRUE)</f>
        <v>KTOS</v>
      </c>
      <c r="D1746" s="4">
        <v>86.53</v>
      </c>
      <c r="E1746" s="50">
        <v>-11</v>
      </c>
      <c r="F1746" s="81">
        <f>IF(Table25[[#This Row],[Number of stocks]]&gt;0,Table25[[#This Row],[Number of stocks]],0)</f>
        <v>0</v>
      </c>
      <c r="G1746" s="73">
        <f>Table25[[#This Row],[Bought]]*Table25[[#This Row],[Price]]</f>
        <v>0</v>
      </c>
      <c r="H1746">
        <f>SUMIF(Table25[[#All],[Assets]],Table25[[#This Row],[Assets]],Table25[[#All],[Bought]])</f>
        <v>121</v>
      </c>
      <c r="I1746">
        <f>SUMIF(Table25[[#All],[Assets]],Table25[[#This Row],[Assets]],Table25[[#All],[Bought Amount]])</f>
        <v>3826.76</v>
      </c>
      <c r="J1746" s="88">
        <f>IF(Table25[[#This Row],[Number of stocks]]&lt;0,Table25[[#This Row],[Number of stocks]],0)</f>
        <v>-11</v>
      </c>
      <c r="K1746" s="5">
        <f>Table25[[#This Row],[Sold]]*Table25[[#This Row],[Price]]</f>
        <v>-951.83</v>
      </c>
      <c r="L1746" s="8">
        <f>ABS(SUMIF(Table25[[#All],[Assets]],Table25[[#This Row],[Assets]],Table25[[#All],[Sold]]))</f>
        <v>121</v>
      </c>
      <c r="M1746" s="5">
        <f>ABS(SUMIF(Table25[[#All],[Assets]],Table25[[#This Row],[Assets]],Table25[[#All],[Sold Amount]]))</f>
        <v>8971.93</v>
      </c>
      <c r="N1746" s="5">
        <f>IFERROR(Table25[[#This Row],[Total sold amount]]/Table25[[#This Row],[Total Sold number of stocks]],"")</f>
        <v>74.148181818181826</v>
      </c>
      <c r="O1746" s="4">
        <f>IFERROR(Table25[[#This Row],[Total Amount bought]]/Table25[[#This Row],[Total number bought]],"")</f>
        <v>31.626115702479339</v>
      </c>
      <c r="P1746" s="4">
        <f>IFERROR((Table25[[#This Row],[Average sell price]]-Table25[[#This Row],[Average buy price]])*Table25[[#This Row],[Total Sold number of stocks]],0)</f>
        <v>5145.170000000001</v>
      </c>
      <c r="Q1746" s="85">
        <f>SUMIF(Table25[[#All],[Assets]],Table25[[#This Row],[Assets]],Table25[[#All],[Number of stocks]])</f>
        <v>0</v>
      </c>
    </row>
    <row r="1747" spans="1:17">
      <c r="A1747" t="e" vm="230">
        <v>#VALUE!</v>
      </c>
      <c r="B1747" s="2">
        <v>45950</v>
      </c>
      <c r="C1747" t="str" cm="1">
        <f t="array" aca="1" ref="C1747" ca="1">_FV(A1747,"Ticker symbol",TRUE)</f>
        <v>UTI</v>
      </c>
      <c r="D1747" s="4">
        <v>31.24</v>
      </c>
      <c r="E1747" s="50">
        <v>-20</v>
      </c>
      <c r="F1747" s="81">
        <f>IF(Table25[[#This Row],[Number of stocks]]&gt;0,Table25[[#This Row],[Number of stocks]],0)</f>
        <v>0</v>
      </c>
      <c r="G1747" s="73">
        <f>Table25[[#This Row],[Bought]]*Table25[[#This Row],[Price]]</f>
        <v>0</v>
      </c>
      <c r="H1747">
        <f>SUMIF(Table25[[#All],[Assets]],Table25[[#This Row],[Assets]],Table25[[#All],[Bought]])</f>
        <v>49</v>
      </c>
      <c r="I1747">
        <f>SUMIF(Table25[[#All],[Assets]],Table25[[#This Row],[Assets]],Table25[[#All],[Bought Amount]])</f>
        <v>1318.38</v>
      </c>
      <c r="J1747" s="88">
        <f>IF(Table25[[#This Row],[Number of stocks]]&lt;0,Table25[[#This Row],[Number of stocks]],0)</f>
        <v>-20</v>
      </c>
      <c r="K1747" s="5">
        <f>Table25[[#This Row],[Sold]]*Table25[[#This Row],[Price]]</f>
        <v>-624.79999999999995</v>
      </c>
      <c r="L1747" s="8">
        <f>ABS(SUMIF(Table25[[#All],[Assets]],Table25[[#This Row],[Assets]],Table25[[#All],[Sold]]))</f>
        <v>49</v>
      </c>
      <c r="M1747" s="5">
        <f>ABS(SUMIF(Table25[[#All],[Assets]],Table25[[#This Row],[Assets]],Table25[[#All],[Sold Amount]]))</f>
        <v>1422.44</v>
      </c>
      <c r="N1747" s="5">
        <f>IFERROR(Table25[[#This Row],[Total sold amount]]/Table25[[#This Row],[Total Sold number of stocks]],"")</f>
        <v>29.029387755102043</v>
      </c>
      <c r="O1747" s="4">
        <f>IFERROR(Table25[[#This Row],[Total Amount bought]]/Table25[[#This Row],[Total number bought]],"")</f>
        <v>26.905714285714289</v>
      </c>
      <c r="P1747" s="4">
        <f>IFERROR((Table25[[#This Row],[Average sell price]]-Table25[[#This Row],[Average buy price]])*Table25[[#This Row],[Total Sold number of stocks]],0)</f>
        <v>104.05999999999993</v>
      </c>
      <c r="Q1747" s="85">
        <f>SUMIF(Table25[[#All],[Assets]],Table25[[#This Row],[Assets]],Table25[[#All],[Number of stocks]])</f>
        <v>0</v>
      </c>
    </row>
    <row r="1748" spans="1:17">
      <c r="A1748" t="e" vm="206">
        <v>#VALUE!</v>
      </c>
      <c r="B1748" s="2">
        <v>45950</v>
      </c>
      <c r="C1748" t="str" cm="1">
        <f t="array" aca="1" ref="C1748" ca="1">_FV(A1748,"Ticker symbol",TRUE)</f>
        <v>MOB</v>
      </c>
      <c r="D1748" s="4">
        <v>8.1199999999999992</v>
      </c>
      <c r="E1748" s="50">
        <v>-50</v>
      </c>
      <c r="F1748" s="81">
        <f>IF(Table25[[#This Row],[Number of stocks]]&gt;0,Table25[[#This Row],[Number of stocks]],0)</f>
        <v>0</v>
      </c>
      <c r="G1748" s="73">
        <f>Table25[[#This Row],[Bought]]*Table25[[#This Row],[Price]]</f>
        <v>0</v>
      </c>
      <c r="H1748">
        <f>SUMIF(Table25[[#All],[Assets]],Table25[[#This Row],[Assets]],Table25[[#All],[Bought]])</f>
        <v>192</v>
      </c>
      <c r="I1748">
        <f>SUMIF(Table25[[#All],[Assets]],Table25[[#This Row],[Assets]],Table25[[#All],[Bought Amount]])</f>
        <v>942.72</v>
      </c>
      <c r="J1748" s="88">
        <f>IF(Table25[[#This Row],[Number of stocks]]&lt;0,Table25[[#This Row],[Number of stocks]],0)</f>
        <v>-50</v>
      </c>
      <c r="K1748" s="5">
        <f>Table25[[#This Row],[Sold]]*Table25[[#This Row],[Price]]</f>
        <v>-405.99999999999994</v>
      </c>
      <c r="L1748" s="8">
        <f>ABS(SUMIF(Table25[[#All],[Assets]],Table25[[#This Row],[Assets]],Table25[[#All],[Sold]]))</f>
        <v>92</v>
      </c>
      <c r="M1748" s="5">
        <f>ABS(SUMIF(Table25[[#All],[Assets]],Table25[[#This Row],[Assets]],Table25[[#All],[Sold Amount]]))</f>
        <v>657.16</v>
      </c>
      <c r="N1748" s="5">
        <f>IFERROR(Table25[[#This Row],[Total sold amount]]/Table25[[#This Row],[Total Sold number of stocks]],"")</f>
        <v>7.1430434782608696</v>
      </c>
      <c r="O1748" s="4">
        <f>IFERROR(Table25[[#This Row],[Total Amount bought]]/Table25[[#This Row],[Total number bought]],"")</f>
        <v>4.91</v>
      </c>
      <c r="P1748" s="4">
        <f>IFERROR((Table25[[#This Row],[Average sell price]]-Table25[[#This Row],[Average buy price]])*Table25[[#This Row],[Total Sold number of stocks]],0)</f>
        <v>205.44</v>
      </c>
      <c r="Q1748" s="85">
        <f>SUMIF(Table25[[#All],[Assets]],Table25[[#This Row],[Assets]],Table25[[#All],[Number of stocks]])</f>
        <v>100</v>
      </c>
    </row>
    <row r="1749" spans="1:17">
      <c r="A1749" t="e" vm="195">
        <v>#VALUE!</v>
      </c>
      <c r="B1749" s="2">
        <v>45950</v>
      </c>
      <c r="C1749" t="str" cm="1">
        <f t="array" aca="1" ref="C1749" ca="1">_FV(A1749,"Ticker symbol",TRUE)</f>
        <v>LBRT</v>
      </c>
      <c r="D1749" s="4">
        <v>15.86</v>
      </c>
      <c r="E1749" s="50">
        <v>70</v>
      </c>
      <c r="F1749" s="81">
        <f>IF(Table25[[#This Row],[Number of stocks]]&gt;0,Table25[[#This Row],[Number of stocks]],0)</f>
        <v>70</v>
      </c>
      <c r="G1749" s="73">
        <f>Table25[[#This Row],[Bought]]*Table25[[#This Row],[Price]]</f>
        <v>1110.2</v>
      </c>
      <c r="H1749">
        <f>SUMIF(Table25[[#All],[Assets]],Table25[[#This Row],[Assets]],Table25[[#All],[Bought]])</f>
        <v>130</v>
      </c>
      <c r="I1749">
        <f>SUMIF(Table25[[#All],[Assets]],Table25[[#This Row],[Assets]],Table25[[#All],[Bought Amount]])</f>
        <v>2190.91</v>
      </c>
      <c r="J1749" s="88">
        <f>IF(Table25[[#This Row],[Number of stocks]]&lt;0,Table25[[#This Row],[Number of stocks]],0)</f>
        <v>0</v>
      </c>
      <c r="K1749" s="5">
        <f>Table25[[#This Row],[Sold]]*Table25[[#This Row],[Price]]</f>
        <v>0</v>
      </c>
      <c r="L1749" s="8">
        <f>ABS(SUMIF(Table25[[#All],[Assets]],Table25[[#This Row],[Assets]],Table25[[#All],[Sold]]))</f>
        <v>60</v>
      </c>
      <c r="M1749" s="5">
        <f>ABS(SUMIF(Table25[[#All],[Assets]],Table25[[#This Row],[Assets]],Table25[[#All],[Sold Amount]]))</f>
        <v>982.86</v>
      </c>
      <c r="N1749" s="5">
        <f>IFERROR(Table25[[#This Row],[Total sold amount]]/Table25[[#This Row],[Total Sold number of stocks]],"")</f>
        <v>16.381</v>
      </c>
      <c r="O1749" s="4">
        <f>IFERROR(Table25[[#This Row],[Total Amount bought]]/Table25[[#This Row],[Total number bought]],"")</f>
        <v>16.853153846153845</v>
      </c>
      <c r="P1749" s="4">
        <f>IFERROR((Table25[[#This Row],[Average sell price]]-Table25[[#This Row],[Average buy price]])*Table25[[#This Row],[Total Sold number of stocks]],0)</f>
        <v>-28.329230769230662</v>
      </c>
      <c r="Q1749" s="85">
        <f>SUMIF(Table25[[#All],[Assets]],Table25[[#This Row],[Assets]],Table25[[#All],[Number of stocks]])</f>
        <v>70</v>
      </c>
    </row>
    <row r="1750" spans="1:17">
      <c r="A1750" t="e" vm="182">
        <v>#VALUE!</v>
      </c>
      <c r="B1750" s="2">
        <v>45950</v>
      </c>
      <c r="C1750" t="str" cm="1">
        <f t="array" aca="1" ref="C1750" ca="1">_FV(A1750,"Ticker symbol",TRUE)</f>
        <v>PUMP</v>
      </c>
      <c r="D1750" s="4">
        <v>5.81</v>
      </c>
      <c r="E1750" s="50">
        <v>200</v>
      </c>
      <c r="F1750" s="81">
        <f>IF(Table25[[#This Row],[Number of stocks]]&gt;0,Table25[[#This Row],[Number of stocks]],0)</f>
        <v>200</v>
      </c>
      <c r="G1750" s="73">
        <f>Table25[[#This Row],[Bought]]*Table25[[#This Row],[Price]]</f>
        <v>1162</v>
      </c>
      <c r="H1750">
        <f>SUMIF(Table25[[#All],[Assets]],Table25[[#This Row],[Assets]],Table25[[#All],[Bought]])</f>
        <v>425</v>
      </c>
      <c r="I1750">
        <f>SUMIF(Table25[[#All],[Assets]],Table25[[#This Row],[Assets]],Table25[[#All],[Bought Amount]])</f>
        <v>2988.75</v>
      </c>
      <c r="J1750" s="88">
        <f>IF(Table25[[#This Row],[Number of stocks]]&lt;0,Table25[[#This Row],[Number of stocks]],0)</f>
        <v>0</v>
      </c>
      <c r="K1750" s="5">
        <f>Table25[[#This Row],[Sold]]*Table25[[#This Row],[Price]]</f>
        <v>0</v>
      </c>
      <c r="L1750" s="8">
        <f>ABS(SUMIF(Table25[[#All],[Assets]],Table25[[#This Row],[Assets]],Table25[[#All],[Sold]]))</f>
        <v>100</v>
      </c>
      <c r="M1750" s="5">
        <f>ABS(SUMIF(Table25[[#All],[Assets]],Table25[[#This Row],[Assets]],Table25[[#All],[Sold Amount]]))</f>
        <v>831</v>
      </c>
      <c r="N1750" s="5">
        <f>IFERROR(Table25[[#This Row],[Total sold amount]]/Table25[[#This Row],[Total Sold number of stocks]],"")</f>
        <v>8.31</v>
      </c>
      <c r="O1750" s="4">
        <f>IFERROR(Table25[[#This Row],[Total Amount bought]]/Table25[[#This Row],[Total number bought]],"")</f>
        <v>7.0323529411764705</v>
      </c>
      <c r="P1750" s="4">
        <f>IFERROR((Table25[[#This Row],[Average sell price]]-Table25[[#This Row],[Average buy price]])*Table25[[#This Row],[Total Sold number of stocks]],0)</f>
        <v>127.764705882353</v>
      </c>
      <c r="Q1750" s="85">
        <f>SUMIF(Table25[[#All],[Assets]],Table25[[#This Row],[Assets]],Table25[[#All],[Number of stocks]])</f>
        <v>325</v>
      </c>
    </row>
    <row r="1751" spans="1:17">
      <c r="A1751" t="e" vm="219">
        <v>#VALUE!</v>
      </c>
      <c r="B1751" s="2">
        <v>45950</v>
      </c>
      <c r="C1751" t="str" cm="1">
        <f t="array" aca="1" ref="C1751" ca="1">_FV(A1751,"Ticker symbol",TRUE)</f>
        <v>CLSK</v>
      </c>
      <c r="D1751" s="4">
        <v>20.49</v>
      </c>
      <c r="E1751" s="50">
        <v>-40</v>
      </c>
      <c r="F1751" s="81">
        <f>IF(Table25[[#This Row],[Number of stocks]]&gt;0,Table25[[#This Row],[Number of stocks]],0)</f>
        <v>0</v>
      </c>
      <c r="G1751" s="73">
        <f>Table25[[#This Row],[Bought]]*Table25[[#This Row],[Price]]</f>
        <v>0</v>
      </c>
      <c r="H1751">
        <f>SUMIF(Table25[[#All],[Assets]],Table25[[#This Row],[Assets]],Table25[[#All],[Bought]])</f>
        <v>57</v>
      </c>
      <c r="I1751">
        <f>SUMIF(Table25[[#All],[Assets]],Table25[[#This Row],[Assets]],Table25[[#All],[Bought Amount]])</f>
        <v>761</v>
      </c>
      <c r="J1751" s="88">
        <f>IF(Table25[[#This Row],[Number of stocks]]&lt;0,Table25[[#This Row],[Number of stocks]],0)</f>
        <v>-40</v>
      </c>
      <c r="K1751" s="5">
        <f>Table25[[#This Row],[Sold]]*Table25[[#This Row],[Price]]</f>
        <v>-819.59999999999991</v>
      </c>
      <c r="L1751" s="8">
        <f>ABS(SUMIF(Table25[[#All],[Assets]],Table25[[#This Row],[Assets]],Table25[[#All],[Sold]]))</f>
        <v>57</v>
      </c>
      <c r="M1751" s="5">
        <f>ABS(SUMIF(Table25[[#All],[Assets]],Table25[[#This Row],[Assets]],Table25[[#All],[Sold Amount]]))</f>
        <v>1045.3599999999999</v>
      </c>
      <c r="N1751" s="5">
        <f>IFERROR(Table25[[#This Row],[Total sold amount]]/Table25[[#This Row],[Total Sold number of stocks]],"")</f>
        <v>18.339649122807018</v>
      </c>
      <c r="O1751" s="4">
        <f>IFERROR(Table25[[#This Row],[Total Amount bought]]/Table25[[#This Row],[Total number bought]],"")</f>
        <v>13.350877192982455</v>
      </c>
      <c r="P1751" s="4">
        <f>IFERROR((Table25[[#This Row],[Average sell price]]-Table25[[#This Row],[Average buy price]])*Table25[[#This Row],[Total Sold number of stocks]],0)</f>
        <v>284.36</v>
      </c>
      <c r="Q1751" s="85">
        <f>SUMIF(Table25[[#All],[Assets]],Table25[[#This Row],[Assets]],Table25[[#All],[Number of stocks]])</f>
        <v>0</v>
      </c>
    </row>
    <row r="1752" spans="1:17">
      <c r="A1752" t="e" vm="42">
        <v>#VALUE!</v>
      </c>
      <c r="B1752" s="2">
        <v>45950</v>
      </c>
      <c r="C1752" t="str" cm="1">
        <f t="array" aca="1" ref="C1752" ca="1">_FV(A1752,"Ticker symbol",TRUE)</f>
        <v>FLR</v>
      </c>
      <c r="D1752" s="4">
        <v>48</v>
      </c>
      <c r="E1752" s="50">
        <v>12</v>
      </c>
      <c r="F1752" s="81">
        <f>IF(Table25[[#This Row],[Number of stocks]]&gt;0,Table25[[#This Row],[Number of stocks]],0)</f>
        <v>12</v>
      </c>
      <c r="G1752" s="73">
        <f>Table25[[#This Row],[Bought]]*Table25[[#This Row],[Price]]</f>
        <v>576</v>
      </c>
      <c r="H1752">
        <f>SUMIF(Table25[[#All],[Assets]],Table25[[#This Row],[Assets]],Table25[[#All],[Bought]])</f>
        <v>91</v>
      </c>
      <c r="I1752">
        <f>SUMIF(Table25[[#All],[Assets]],Table25[[#This Row],[Assets]],Table25[[#All],[Bought Amount]])</f>
        <v>4262.41</v>
      </c>
      <c r="J1752" s="88">
        <f>IF(Table25[[#This Row],[Number of stocks]]&lt;0,Table25[[#This Row],[Number of stocks]],0)</f>
        <v>0</v>
      </c>
      <c r="K1752" s="5">
        <f>Table25[[#This Row],[Sold]]*Table25[[#This Row],[Price]]</f>
        <v>0</v>
      </c>
      <c r="L1752" s="8">
        <f>ABS(SUMIF(Table25[[#All],[Assets]],Table25[[#This Row],[Assets]],Table25[[#All],[Sold]]))</f>
        <v>91</v>
      </c>
      <c r="M1752" s="5">
        <f>ABS(SUMIF(Table25[[#All],[Assets]],Table25[[#This Row],[Assets]],Table25[[#All],[Sold Amount]]))</f>
        <v>4467.7199999999993</v>
      </c>
      <c r="N1752" s="5">
        <f>IFERROR(Table25[[#This Row],[Total sold amount]]/Table25[[#This Row],[Total Sold number of stocks]],"")</f>
        <v>49.09582417582417</v>
      </c>
      <c r="O1752" s="4">
        <f>IFERROR(Table25[[#This Row],[Total Amount bought]]/Table25[[#This Row],[Total number bought]],"")</f>
        <v>46.839670329670327</v>
      </c>
      <c r="P1752" s="4">
        <f>IFERROR((Table25[[#This Row],[Average sell price]]-Table25[[#This Row],[Average buy price]])*Table25[[#This Row],[Total Sold number of stocks]],0)</f>
        <v>205.30999999999975</v>
      </c>
      <c r="Q1752" s="85">
        <f>SUMIF(Table25[[#All],[Assets]],Table25[[#This Row],[Assets]],Table25[[#All],[Number of stocks]])</f>
        <v>0</v>
      </c>
    </row>
    <row r="1753" spans="1:17">
      <c r="A1753" t="e" vm="42">
        <v>#VALUE!</v>
      </c>
      <c r="B1753" s="2">
        <v>45950</v>
      </c>
      <c r="C1753" t="str" cm="1">
        <f t="array" aca="1" ref="C1753" ca="1">_FV(A1753,"Ticker symbol",TRUE)</f>
        <v>FLR</v>
      </c>
      <c r="D1753" s="4">
        <v>47.97</v>
      </c>
      <c r="E1753" s="50">
        <v>17</v>
      </c>
      <c r="F1753" s="81">
        <f>IF(Table25[[#This Row],[Number of stocks]]&gt;0,Table25[[#This Row],[Number of stocks]],0)</f>
        <v>17</v>
      </c>
      <c r="G1753" s="73">
        <f>Table25[[#This Row],[Bought]]*Table25[[#This Row],[Price]]</f>
        <v>815.49</v>
      </c>
      <c r="H1753">
        <f>SUMIF(Table25[[#All],[Assets]],Table25[[#This Row],[Assets]],Table25[[#All],[Bought]])</f>
        <v>91</v>
      </c>
      <c r="I1753">
        <f>SUMIF(Table25[[#All],[Assets]],Table25[[#This Row],[Assets]],Table25[[#All],[Bought Amount]])</f>
        <v>4262.41</v>
      </c>
      <c r="J1753" s="88">
        <f>IF(Table25[[#This Row],[Number of stocks]]&lt;0,Table25[[#This Row],[Number of stocks]],0)</f>
        <v>0</v>
      </c>
      <c r="K1753" s="5">
        <f>Table25[[#This Row],[Sold]]*Table25[[#This Row],[Price]]</f>
        <v>0</v>
      </c>
      <c r="L1753" s="8">
        <f>ABS(SUMIF(Table25[[#All],[Assets]],Table25[[#This Row],[Assets]],Table25[[#All],[Sold]]))</f>
        <v>91</v>
      </c>
      <c r="M1753" s="5">
        <f>ABS(SUMIF(Table25[[#All],[Assets]],Table25[[#This Row],[Assets]],Table25[[#All],[Sold Amount]]))</f>
        <v>4467.7199999999993</v>
      </c>
      <c r="N1753" s="5">
        <f>IFERROR(Table25[[#This Row],[Total sold amount]]/Table25[[#This Row],[Total Sold number of stocks]],"")</f>
        <v>49.09582417582417</v>
      </c>
      <c r="O1753" s="4">
        <f>IFERROR(Table25[[#This Row],[Total Amount bought]]/Table25[[#This Row],[Total number bought]],"")</f>
        <v>46.839670329670327</v>
      </c>
      <c r="P1753" s="4">
        <f>IFERROR((Table25[[#This Row],[Average sell price]]-Table25[[#This Row],[Average buy price]])*Table25[[#This Row],[Total Sold number of stocks]],0)</f>
        <v>205.30999999999975</v>
      </c>
      <c r="Q1753" s="85">
        <f>SUMIF(Table25[[#All],[Assets]],Table25[[#This Row],[Assets]],Table25[[#All],[Number of stocks]])</f>
        <v>0</v>
      </c>
    </row>
    <row r="1754" spans="1:17">
      <c r="A1754" t="e" vm="238">
        <v>#VALUE!</v>
      </c>
      <c r="B1754" s="2">
        <v>45951</v>
      </c>
      <c r="C1754" t="str" cm="1">
        <f t="array" aca="1" ref="C1754" ca="1">_FV(A1754,"Ticker symbol",TRUE)</f>
        <v>AIP</v>
      </c>
      <c r="D1754" s="4">
        <v>13.94</v>
      </c>
      <c r="E1754" s="50">
        <v>-30</v>
      </c>
      <c r="F1754" s="81">
        <f>IF(Table25[[#This Row],[Number of stocks]]&gt;0,Table25[[#This Row],[Number of stocks]],0)</f>
        <v>0</v>
      </c>
      <c r="G1754" s="73">
        <f>Table25[[#This Row],[Bought]]*Table25[[#This Row],[Price]]</f>
        <v>0</v>
      </c>
      <c r="H1754">
        <f>SUMIF(Table25[[#All],[Assets]],Table25[[#This Row],[Assets]],Table25[[#All],[Bought]])</f>
        <v>75</v>
      </c>
      <c r="I1754">
        <f>SUMIF(Table25[[#All],[Assets]],Table25[[#This Row],[Assets]],Table25[[#All],[Bought Amount]])</f>
        <v>999</v>
      </c>
      <c r="J1754" s="88">
        <f>IF(Table25[[#This Row],[Number of stocks]]&lt;0,Table25[[#This Row],[Number of stocks]],0)</f>
        <v>-30</v>
      </c>
      <c r="K1754" s="5">
        <f>Table25[[#This Row],[Sold]]*Table25[[#This Row],[Price]]</f>
        <v>-418.2</v>
      </c>
      <c r="L1754" s="8">
        <f>ABS(SUMIF(Table25[[#All],[Assets]],Table25[[#This Row],[Assets]],Table25[[#All],[Sold]]))</f>
        <v>75</v>
      </c>
      <c r="M1754" s="5">
        <f>ABS(SUMIF(Table25[[#All],[Assets]],Table25[[#This Row],[Assets]],Table25[[#All],[Sold Amount]]))</f>
        <v>852.45</v>
      </c>
      <c r="N1754" s="5">
        <f>IFERROR(Table25[[#This Row],[Total sold amount]]/Table25[[#This Row],[Total Sold number of stocks]],"")</f>
        <v>11.366000000000001</v>
      </c>
      <c r="O1754" s="4">
        <f>IFERROR(Table25[[#This Row],[Total Amount bought]]/Table25[[#This Row],[Total number bought]],"")</f>
        <v>13.32</v>
      </c>
      <c r="P1754" s="4">
        <f>IFERROR((Table25[[#This Row],[Average sell price]]-Table25[[#This Row],[Average buy price]])*Table25[[#This Row],[Total Sold number of stocks]],0)</f>
        <v>-146.54999999999993</v>
      </c>
      <c r="Q1754" s="85">
        <f>SUMIF(Table25[[#All],[Assets]],Table25[[#This Row],[Assets]],Table25[[#All],[Number of stocks]])</f>
        <v>0</v>
      </c>
    </row>
    <row r="1755" spans="1:17">
      <c r="A1755" t="e" vm="193">
        <v>#VALUE!</v>
      </c>
      <c r="B1755" s="2">
        <v>45951</v>
      </c>
      <c r="C1755" t="str" cm="1">
        <f t="array" aca="1" ref="C1755" ca="1">_FV(A1755,"Ticker symbol",TRUE)</f>
        <v>UAVS</v>
      </c>
      <c r="D1755" s="4">
        <v>2.0299999999999998</v>
      </c>
      <c r="E1755" s="50">
        <v>-200</v>
      </c>
      <c r="F1755" s="81">
        <f>IF(Table25[[#This Row],[Number of stocks]]&gt;0,Table25[[#This Row],[Number of stocks]],0)</f>
        <v>0</v>
      </c>
      <c r="G1755" s="73">
        <f>Table25[[#This Row],[Bought]]*Table25[[#This Row],[Price]]</f>
        <v>0</v>
      </c>
      <c r="H1755">
        <f>SUMIF(Table25[[#All],[Assets]],Table25[[#This Row],[Assets]],Table25[[#All],[Bought]])</f>
        <v>1480</v>
      </c>
      <c r="I1755">
        <f>SUMIF(Table25[[#All],[Assets]],Table25[[#This Row],[Assets]],Table25[[#All],[Bought Amount]])</f>
        <v>1868.4090000000001</v>
      </c>
      <c r="J1755" s="88">
        <f>IF(Table25[[#This Row],[Number of stocks]]&lt;0,Table25[[#This Row],[Number of stocks]],0)</f>
        <v>-200</v>
      </c>
      <c r="K1755" s="5">
        <f>Table25[[#This Row],[Sold]]*Table25[[#This Row],[Price]]</f>
        <v>-405.99999999999994</v>
      </c>
      <c r="L1755" s="8">
        <f>ABS(SUMIF(Table25[[#All],[Assets]],Table25[[#This Row],[Assets]],Table25[[#All],[Sold]]))</f>
        <v>500</v>
      </c>
      <c r="M1755" s="5">
        <f>ABS(SUMIF(Table25[[#All],[Assets]],Table25[[#This Row],[Assets]],Table25[[#All],[Sold Amount]]))</f>
        <v>1198</v>
      </c>
      <c r="N1755" s="5">
        <f>IFERROR(Table25[[#This Row],[Total sold amount]]/Table25[[#This Row],[Total Sold number of stocks]],"")</f>
        <v>2.3959999999999999</v>
      </c>
      <c r="O1755" s="4">
        <f>IFERROR(Table25[[#This Row],[Total Amount bought]]/Table25[[#This Row],[Total number bought]],"")</f>
        <v>1.2624385135135137</v>
      </c>
      <c r="P1755" s="4">
        <f>IFERROR((Table25[[#This Row],[Average sell price]]-Table25[[#This Row],[Average buy price]])*Table25[[#This Row],[Total Sold number of stocks]],0)</f>
        <v>566.78074324324314</v>
      </c>
      <c r="Q1755" s="85">
        <f>SUMIF(Table25[[#All],[Assets]],Table25[[#This Row],[Assets]],Table25[[#All],[Number of stocks]])</f>
        <v>980</v>
      </c>
    </row>
    <row r="1756" spans="1:17">
      <c r="A1756" t="e" vm="180">
        <v>#VALUE!</v>
      </c>
      <c r="B1756" s="2">
        <v>45952</v>
      </c>
      <c r="C1756" t="str" cm="1">
        <f t="array" aca="1" ref="C1756" ca="1">_FV(A1756,"Ticker symbol",TRUE)</f>
        <v>VELO</v>
      </c>
      <c r="D1756" s="4">
        <v>5.46</v>
      </c>
      <c r="E1756" s="50">
        <v>100</v>
      </c>
      <c r="F1756" s="81">
        <f>IF(Table25[[#This Row],[Number of stocks]]&gt;0,Table25[[#This Row],[Number of stocks]],0)</f>
        <v>100</v>
      </c>
      <c r="G1756" s="73">
        <f>Table25[[#This Row],[Bought]]*Table25[[#This Row],[Price]]</f>
        <v>546</v>
      </c>
      <c r="H1756">
        <f>SUMIF(Table25[[#All],[Assets]],Table25[[#This Row],[Assets]],Table25[[#All],[Bought]])</f>
        <v>423</v>
      </c>
      <c r="I1756">
        <f>SUMIF(Table25[[#All],[Assets]],Table25[[#This Row],[Assets]],Table25[[#All],[Bought Amount]])</f>
        <v>2540.92</v>
      </c>
      <c r="J1756" s="88">
        <f>IF(Table25[[#This Row],[Number of stocks]]&lt;0,Table25[[#This Row],[Number of stocks]],0)</f>
        <v>0</v>
      </c>
      <c r="K1756" s="5">
        <f>Table25[[#This Row],[Sold]]*Table25[[#This Row],[Price]]</f>
        <v>0</v>
      </c>
      <c r="L1756" s="8">
        <f>ABS(SUMIF(Table25[[#All],[Assets]],Table25[[#This Row],[Assets]],Table25[[#All],[Sold]]))</f>
        <v>213</v>
      </c>
      <c r="M1756" s="5">
        <f>ABS(SUMIF(Table25[[#All],[Assets]],Table25[[#This Row],[Assets]],Table25[[#All],[Sold Amount]]))</f>
        <v>2820.5899999999997</v>
      </c>
      <c r="N1756" s="5">
        <f>IFERROR(Table25[[#This Row],[Total sold amount]]/Table25[[#This Row],[Total Sold number of stocks]],"")</f>
        <v>13.242206572769952</v>
      </c>
      <c r="O1756" s="4">
        <f>IFERROR(Table25[[#This Row],[Total Amount bought]]/Table25[[#This Row],[Total number bought]],"")</f>
        <v>6.0069030732860522</v>
      </c>
      <c r="P1756" s="4">
        <f>IFERROR((Table25[[#This Row],[Average sell price]]-Table25[[#This Row],[Average buy price]])*Table25[[#This Row],[Total Sold number of stocks]],0)</f>
        <v>1541.1196453900707</v>
      </c>
      <c r="Q1756" s="85">
        <f>SUMIF(Table25[[#All],[Assets]],Table25[[#This Row],[Assets]],Table25[[#All],[Number of stocks]])</f>
        <v>210</v>
      </c>
    </row>
    <row r="1757" spans="1:17">
      <c r="A1757" t="e" vm="180">
        <v>#VALUE!</v>
      </c>
      <c r="B1757" s="2">
        <v>45952</v>
      </c>
      <c r="C1757" t="str" cm="1">
        <f t="array" aca="1" ref="C1757" ca="1">_FV(A1757,"Ticker symbol",TRUE)</f>
        <v>VELO</v>
      </c>
      <c r="D1757" s="4">
        <v>31.18</v>
      </c>
      <c r="E1757" s="50">
        <v>10</v>
      </c>
      <c r="F1757" s="81">
        <f>IF(Table25[[#This Row],[Number of stocks]]&gt;0,Table25[[#This Row],[Number of stocks]],0)</f>
        <v>10</v>
      </c>
      <c r="G1757" s="73">
        <f>Table25[[#This Row],[Bought]]*Table25[[#This Row],[Price]]</f>
        <v>311.8</v>
      </c>
      <c r="H1757">
        <f>SUMIF(Table25[[#All],[Assets]],Table25[[#This Row],[Assets]],Table25[[#All],[Bought]])</f>
        <v>423</v>
      </c>
      <c r="I1757">
        <f>SUMIF(Table25[[#All],[Assets]],Table25[[#This Row],[Assets]],Table25[[#All],[Bought Amount]])</f>
        <v>2540.92</v>
      </c>
      <c r="J1757" s="88">
        <f>IF(Table25[[#This Row],[Number of stocks]]&lt;0,Table25[[#This Row],[Number of stocks]],0)</f>
        <v>0</v>
      </c>
      <c r="K1757" s="5">
        <f>Table25[[#This Row],[Sold]]*Table25[[#This Row],[Price]]</f>
        <v>0</v>
      </c>
      <c r="L1757" s="8">
        <f>ABS(SUMIF(Table25[[#All],[Assets]],Table25[[#This Row],[Assets]],Table25[[#All],[Sold]]))</f>
        <v>213</v>
      </c>
      <c r="M1757" s="5">
        <f>ABS(SUMIF(Table25[[#All],[Assets]],Table25[[#This Row],[Assets]],Table25[[#All],[Sold Amount]]))</f>
        <v>2820.5899999999997</v>
      </c>
      <c r="N1757" s="5">
        <f>IFERROR(Table25[[#This Row],[Total sold amount]]/Table25[[#This Row],[Total Sold number of stocks]],"")</f>
        <v>13.242206572769952</v>
      </c>
      <c r="O1757" s="4">
        <f>IFERROR(Table25[[#This Row],[Total Amount bought]]/Table25[[#This Row],[Total number bought]],"")</f>
        <v>6.0069030732860522</v>
      </c>
      <c r="P1757" s="4">
        <f>IFERROR((Table25[[#This Row],[Average sell price]]-Table25[[#This Row],[Average buy price]])*Table25[[#This Row],[Total Sold number of stocks]],0)</f>
        <v>1541.1196453900707</v>
      </c>
      <c r="Q1757" s="85">
        <f>SUMIF(Table25[[#All],[Assets]],Table25[[#This Row],[Assets]],Table25[[#All],[Number of stocks]])</f>
        <v>210</v>
      </c>
    </row>
    <row r="1758" spans="1:17">
      <c r="A1758" t="e" vm="227">
        <v>#VALUE!</v>
      </c>
      <c r="B1758" s="2">
        <v>45952</v>
      </c>
      <c r="C1758" t="str" cm="1">
        <f t="array" aca="1" ref="C1758" ca="1">_FV(A1758,"Ticker symbol",TRUE)</f>
        <v>DFDV</v>
      </c>
      <c r="D1758" s="4">
        <v>13.84</v>
      </c>
      <c r="E1758" s="50">
        <v>-100</v>
      </c>
      <c r="F1758" s="81">
        <f>IF(Table25[[#This Row],[Number of stocks]]&gt;0,Table25[[#This Row],[Number of stocks]],0)</f>
        <v>0</v>
      </c>
      <c r="G1758" s="73">
        <f>Table25[[#This Row],[Bought]]*Table25[[#This Row],[Price]]</f>
        <v>0</v>
      </c>
      <c r="H1758">
        <f>SUMIF(Table25[[#All],[Assets]],Table25[[#This Row],[Assets]],Table25[[#All],[Bought]])</f>
        <v>387</v>
      </c>
      <c r="I1758">
        <f>SUMIF(Table25[[#All],[Assets]],Table25[[#This Row],[Assets]],Table25[[#All],[Bought Amount]])</f>
        <v>6522.1182600000002</v>
      </c>
      <c r="J1758" s="88">
        <f>IF(Table25[[#This Row],[Number of stocks]]&lt;0,Table25[[#This Row],[Number of stocks]],0)</f>
        <v>-100</v>
      </c>
      <c r="K1758" s="5">
        <f>Table25[[#This Row],[Sold]]*Table25[[#This Row],[Price]]</f>
        <v>-1384</v>
      </c>
      <c r="L1758" s="8">
        <f>ABS(SUMIF(Table25[[#All],[Assets]],Table25[[#This Row],[Assets]],Table25[[#All],[Sold]]))</f>
        <v>387</v>
      </c>
      <c r="M1758" s="5">
        <f>ABS(SUMIF(Table25[[#All],[Assets]],Table25[[#This Row],[Assets]],Table25[[#All],[Sold Amount]]))</f>
        <v>7242.64</v>
      </c>
      <c r="N1758" s="5">
        <f>IFERROR(Table25[[#This Row],[Total sold amount]]/Table25[[#This Row],[Total Sold number of stocks]],"")</f>
        <v>18.714832041343669</v>
      </c>
      <c r="O1758" s="4">
        <f>IFERROR(Table25[[#This Row],[Total Amount bought]]/Table25[[#This Row],[Total number bought]],"")</f>
        <v>16.853018759689924</v>
      </c>
      <c r="P1758" s="4">
        <f>IFERROR((Table25[[#This Row],[Average sell price]]-Table25[[#This Row],[Average buy price]])*Table25[[#This Row],[Total Sold number of stocks]],0)</f>
        <v>720.52173999999945</v>
      </c>
      <c r="Q1758" s="85">
        <f>SUMIF(Table25[[#All],[Assets]],Table25[[#This Row],[Assets]],Table25[[#All],[Number of stocks]])</f>
        <v>0</v>
      </c>
    </row>
    <row r="1759" spans="1:17">
      <c r="A1759" t="e" vm="181">
        <v>#VALUE!</v>
      </c>
      <c r="B1759" s="2">
        <v>45953</v>
      </c>
      <c r="C1759" t="str" cm="1">
        <f t="array" aca="1" ref="C1759" ca="1">_FV(A1759,"Ticker symbol",TRUE)</f>
        <v>TIC</v>
      </c>
      <c r="D1759" s="4">
        <v>12.21</v>
      </c>
      <c r="E1759" s="50">
        <v>100</v>
      </c>
      <c r="F1759" s="81">
        <f>IF(Table25[[#This Row],[Number of stocks]]&gt;0,Table25[[#This Row],[Number of stocks]],0)</f>
        <v>100</v>
      </c>
      <c r="G1759" s="73">
        <f>Table25[[#This Row],[Bought]]*Table25[[#This Row],[Price]]</f>
        <v>1221</v>
      </c>
      <c r="H1759">
        <f>SUMIF(Table25[[#All],[Assets]],Table25[[#This Row],[Assets]],Table25[[#All],[Bought]])</f>
        <v>487</v>
      </c>
      <c r="I1759">
        <f>SUMIF(Table25[[#All],[Assets]],Table25[[#This Row],[Assets]],Table25[[#All],[Bought Amount]])</f>
        <v>6140.8099999999995</v>
      </c>
      <c r="J1759" s="88">
        <f>IF(Table25[[#This Row],[Number of stocks]]&lt;0,Table25[[#This Row],[Number of stocks]],0)</f>
        <v>0</v>
      </c>
      <c r="K1759" s="5">
        <f>Table25[[#This Row],[Sold]]*Table25[[#This Row],[Price]]</f>
        <v>0</v>
      </c>
      <c r="L1759" s="8">
        <f>ABS(SUMIF(Table25[[#All],[Assets]],Table25[[#This Row],[Assets]],Table25[[#All],[Sold]]))</f>
        <v>397</v>
      </c>
      <c r="M1759" s="5">
        <f>ABS(SUMIF(Table25[[#All],[Assets]],Table25[[#This Row],[Assets]],Table25[[#All],[Sold Amount]]))</f>
        <v>3999.4</v>
      </c>
      <c r="N1759" s="5">
        <f>IFERROR(Table25[[#This Row],[Total sold amount]]/Table25[[#This Row],[Total Sold number of stocks]],"")</f>
        <v>10.074055415617128</v>
      </c>
      <c r="O1759" s="4">
        <f>IFERROR(Table25[[#This Row],[Total Amount bought]]/Table25[[#This Row],[Total number bought]],"")</f>
        <v>12.609466119096508</v>
      </c>
      <c r="P1759" s="4">
        <f>IFERROR((Table25[[#This Row],[Average sell price]]-Table25[[#This Row],[Average buy price]])*Table25[[#This Row],[Total Sold number of stocks]],0)</f>
        <v>-1006.558049281314</v>
      </c>
      <c r="Q1759" s="85">
        <f>SUMIF(Table25[[#All],[Assets]],Table25[[#This Row],[Assets]],Table25[[#All],[Number of stocks]])</f>
        <v>90</v>
      </c>
    </row>
    <row r="1760" spans="1:17">
      <c r="A1760" t="e" vm="576">
        <v>#VALUE!</v>
      </c>
      <c r="B1760" s="2">
        <v>45957</v>
      </c>
      <c r="C1760" t="str" cm="1">
        <f t="array" aca="1" ref="C1760" ca="1">_FV(A1760,"Ticker symbol",TRUE)</f>
        <v>DUOL</v>
      </c>
      <c r="D1760" s="4">
        <v>309.77999999999997</v>
      </c>
      <c r="E1760" s="50">
        <v>-4</v>
      </c>
      <c r="F1760" s="81">
        <f>IF(Table25[[#This Row],[Number of stocks]]&gt;0,Table25[[#This Row],[Number of stocks]],0)</f>
        <v>0</v>
      </c>
      <c r="G1760" s="73">
        <f>Table25[[#This Row],[Bought]]*Table25[[#This Row],[Price]]</f>
        <v>0</v>
      </c>
      <c r="H1760">
        <f>SUMIF(Table25[[#All],[Assets]],Table25[[#This Row],[Assets]],Table25[[#All],[Bought]])</f>
        <v>33</v>
      </c>
      <c r="I1760">
        <f>SUMIF(Table25[[#All],[Assets]],Table25[[#This Row],[Assets]],Table25[[#All],[Bought Amount]])</f>
        <v>8243.81</v>
      </c>
      <c r="J1760" s="88">
        <f>IF(Table25[[#This Row],[Number of stocks]]&lt;0,Table25[[#This Row],[Number of stocks]],0)</f>
        <v>-4</v>
      </c>
      <c r="K1760" s="5">
        <f>Table25[[#This Row],[Sold]]*Table25[[#This Row],[Price]]</f>
        <v>-1239.1199999999999</v>
      </c>
      <c r="L1760" s="8">
        <f>ABS(SUMIF(Table25[[#All],[Assets]],Table25[[#This Row],[Assets]],Table25[[#All],[Sold]]))</f>
        <v>43</v>
      </c>
      <c r="M1760" s="5">
        <f>ABS(SUMIF(Table25[[#All],[Assets]],Table25[[#This Row],[Assets]],Table25[[#All],[Sold Amount]]))</f>
        <v>8577.89</v>
      </c>
      <c r="N1760" s="5">
        <f>IFERROR(Table25[[#This Row],[Total sold amount]]/Table25[[#This Row],[Total Sold number of stocks]],"")</f>
        <v>199.48581395348836</v>
      </c>
      <c r="O1760" s="4">
        <f>IFERROR(Table25[[#This Row],[Total Amount bought]]/Table25[[#This Row],[Total number bought]],"")</f>
        <v>249.81242424242421</v>
      </c>
      <c r="P1760" s="4">
        <f>IFERROR((Table25[[#This Row],[Average sell price]]-Table25[[#This Row],[Average buy price]])*Table25[[#This Row],[Total Sold number of stocks]],0)</f>
        <v>-2164.0442424242419</v>
      </c>
      <c r="Q1760" s="85">
        <f>SUMIF(Table25[[#All],[Assets]],Table25[[#This Row],[Assets]],Table25[[#All],[Number of stocks]])</f>
        <v>-10</v>
      </c>
    </row>
    <row r="1761" spans="1:17">
      <c r="A1761" t="e" vm="92">
        <v>#VALUE!</v>
      </c>
      <c r="B1761" s="2">
        <v>45957</v>
      </c>
      <c r="C1761" t="str" cm="1">
        <f t="array" aca="1" ref="C1761" ca="1">_FV(A1761,"Ticker symbol",TRUE)</f>
        <v>NEM</v>
      </c>
      <c r="D1761" s="4">
        <v>78.400000000000006</v>
      </c>
      <c r="E1761" s="50">
        <v>16</v>
      </c>
      <c r="F1761" s="81">
        <f>IF(Table25[[#This Row],[Number of stocks]]&gt;0,Table25[[#This Row],[Number of stocks]],0)</f>
        <v>16</v>
      </c>
      <c r="G1761" s="73">
        <f>Table25[[#This Row],[Bought]]*Table25[[#This Row],[Price]]</f>
        <v>1254.4000000000001</v>
      </c>
      <c r="H1761">
        <f>SUMIF(Table25[[#All],[Assets]],Table25[[#This Row],[Assets]],Table25[[#All],[Bought]])</f>
        <v>16</v>
      </c>
      <c r="I1761">
        <f>SUMIF(Table25[[#All],[Assets]],Table25[[#This Row],[Assets]],Table25[[#All],[Bought Amount]])</f>
        <v>1254.4000000000001</v>
      </c>
      <c r="J1761" s="88">
        <f>IF(Table25[[#This Row],[Number of stocks]]&lt;0,Table25[[#This Row],[Number of stocks]],0)</f>
        <v>0</v>
      </c>
      <c r="K1761" s="5">
        <f>Table25[[#This Row],[Sold]]*Table25[[#This Row],[Price]]</f>
        <v>0</v>
      </c>
      <c r="L1761" s="8">
        <f>ABS(SUMIF(Table25[[#All],[Assets]],Table25[[#This Row],[Assets]],Table25[[#All],[Sold]]))</f>
        <v>16</v>
      </c>
      <c r="M1761" s="5">
        <f>ABS(SUMIF(Table25[[#All],[Assets]],Table25[[#This Row],[Assets]],Table25[[#All],[Sold Amount]]))</f>
        <v>1300</v>
      </c>
      <c r="N1761" s="5">
        <f>IFERROR(Table25[[#This Row],[Total sold amount]]/Table25[[#This Row],[Total Sold number of stocks]],"")</f>
        <v>81.25</v>
      </c>
      <c r="O1761" s="4">
        <f>IFERROR(Table25[[#This Row],[Total Amount bought]]/Table25[[#This Row],[Total number bought]],"")</f>
        <v>78.400000000000006</v>
      </c>
      <c r="P1761" s="4">
        <f>IFERROR((Table25[[#This Row],[Average sell price]]-Table25[[#This Row],[Average buy price]])*Table25[[#This Row],[Total Sold number of stocks]],0)</f>
        <v>45.599999999999909</v>
      </c>
      <c r="Q1761" s="85">
        <f>SUMIF(Table25[[#All],[Assets]],Table25[[#This Row],[Assets]],Table25[[#All],[Number of stocks]])</f>
        <v>0</v>
      </c>
    </row>
    <row r="1762" spans="1:17">
      <c r="A1762" t="e" vm="148">
        <v>#VALUE!</v>
      </c>
      <c r="B1762" s="2">
        <v>45959</v>
      </c>
      <c r="C1762" t="str" cm="1">
        <f t="array" aca="1" ref="C1762" ca="1">_FV(A1762,"Ticker symbol",TRUE)</f>
        <v>META</v>
      </c>
      <c r="D1762" s="4">
        <v>701.59</v>
      </c>
      <c r="E1762" s="50">
        <v>1</v>
      </c>
      <c r="F1762" s="81">
        <f>IF(Table25[[#This Row],[Number of stocks]]&gt;0,Table25[[#This Row],[Number of stocks]],0)</f>
        <v>1</v>
      </c>
      <c r="G1762" s="73">
        <f>Table25[[#This Row],[Bought]]*Table25[[#This Row],[Price]]</f>
        <v>701.59</v>
      </c>
      <c r="H1762">
        <f>SUMIF(Table25[[#All],[Assets]],Table25[[#This Row],[Assets]],Table25[[#All],[Bought]])</f>
        <v>2</v>
      </c>
      <c r="I1762">
        <f>SUMIF(Table25[[#All],[Assets]],Table25[[#This Row],[Assets]],Table25[[#All],[Bought Amount]])</f>
        <v>1247.7</v>
      </c>
      <c r="J1762" s="88">
        <f>IF(Table25[[#This Row],[Number of stocks]]&lt;0,Table25[[#This Row],[Number of stocks]],0)</f>
        <v>0</v>
      </c>
      <c r="K1762" s="5">
        <f>Table25[[#This Row],[Sold]]*Table25[[#This Row],[Price]]</f>
        <v>0</v>
      </c>
      <c r="L1762" s="8">
        <f>ABS(SUMIF(Table25[[#All],[Assets]],Table25[[#This Row],[Assets]],Table25[[#All],[Sold]]))</f>
        <v>2</v>
      </c>
      <c r="M1762" s="5">
        <f>ABS(SUMIF(Table25[[#All],[Assets]],Table25[[#This Row],[Assets]],Table25[[#All],[Sold Amount]]))</f>
        <v>1302.92</v>
      </c>
      <c r="N1762" s="5">
        <f>IFERROR(Table25[[#This Row],[Total sold amount]]/Table25[[#This Row],[Total Sold number of stocks]],"")</f>
        <v>651.46</v>
      </c>
      <c r="O1762" s="4">
        <f>IFERROR(Table25[[#This Row],[Total Amount bought]]/Table25[[#This Row],[Total number bought]],"")</f>
        <v>623.85</v>
      </c>
      <c r="P1762" s="4">
        <f>IFERROR((Table25[[#This Row],[Average sell price]]-Table25[[#This Row],[Average buy price]])*Table25[[#This Row],[Total Sold number of stocks]],0)</f>
        <v>55.220000000000027</v>
      </c>
      <c r="Q1762" s="85">
        <f>SUMIF(Table25[[#All],[Assets]],Table25[[#This Row],[Assets]],Table25[[#All],[Number of stocks]])</f>
        <v>0</v>
      </c>
    </row>
    <row r="1763" spans="1:17">
      <c r="A1763" t="e" vm="148">
        <v>#VALUE!</v>
      </c>
      <c r="B1763" s="2">
        <v>45960</v>
      </c>
      <c r="C1763" t="str" cm="1">
        <f t="array" aca="1" ref="C1763" ca="1">_FV(A1763,"Ticker symbol",TRUE)</f>
        <v>META</v>
      </c>
      <c r="D1763" s="4">
        <v>665.42</v>
      </c>
      <c r="E1763" s="50">
        <v>-1</v>
      </c>
      <c r="F1763" s="81">
        <f>IF(Table25[[#This Row],[Number of stocks]]&gt;0,Table25[[#This Row],[Number of stocks]],0)</f>
        <v>0</v>
      </c>
      <c r="G1763" s="73">
        <f>Table25[[#This Row],[Bought]]*Table25[[#This Row],[Price]]</f>
        <v>0</v>
      </c>
      <c r="H1763">
        <f>SUMIF(Table25[[#All],[Assets]],Table25[[#This Row],[Assets]],Table25[[#All],[Bought]])</f>
        <v>2</v>
      </c>
      <c r="I1763">
        <f>SUMIF(Table25[[#All],[Assets]],Table25[[#This Row],[Assets]],Table25[[#All],[Bought Amount]])</f>
        <v>1247.7</v>
      </c>
      <c r="J1763" s="88">
        <f>IF(Table25[[#This Row],[Number of stocks]]&lt;0,Table25[[#This Row],[Number of stocks]],0)</f>
        <v>-1</v>
      </c>
      <c r="K1763" s="5">
        <f>Table25[[#This Row],[Sold]]*Table25[[#This Row],[Price]]</f>
        <v>-665.42</v>
      </c>
      <c r="L1763" s="8">
        <f>ABS(SUMIF(Table25[[#All],[Assets]],Table25[[#This Row],[Assets]],Table25[[#All],[Sold]]))</f>
        <v>2</v>
      </c>
      <c r="M1763" s="5">
        <f>ABS(SUMIF(Table25[[#All],[Assets]],Table25[[#This Row],[Assets]],Table25[[#All],[Sold Amount]]))</f>
        <v>1302.92</v>
      </c>
      <c r="N1763" s="5">
        <f>IFERROR(Table25[[#This Row],[Total sold amount]]/Table25[[#This Row],[Total Sold number of stocks]],"")</f>
        <v>651.46</v>
      </c>
      <c r="O1763" s="4">
        <f>IFERROR(Table25[[#This Row],[Total Amount bought]]/Table25[[#This Row],[Total number bought]],"")</f>
        <v>623.85</v>
      </c>
      <c r="P1763" s="4">
        <f>IFERROR((Table25[[#This Row],[Average sell price]]-Table25[[#This Row],[Average buy price]])*Table25[[#This Row],[Total Sold number of stocks]],0)</f>
        <v>55.220000000000027</v>
      </c>
      <c r="Q1763" s="85">
        <f>SUMIF(Table25[[#All],[Assets]],Table25[[#This Row],[Assets]],Table25[[#All],[Number of stocks]])</f>
        <v>0</v>
      </c>
    </row>
    <row r="1764" spans="1:17">
      <c r="A1764" t="e" vm="77">
        <v>#VALUE!</v>
      </c>
      <c r="B1764" s="2">
        <v>45960</v>
      </c>
      <c r="C1764" t="str" cm="1">
        <f t="array" aca="1" ref="C1764" ca="1">_FV(A1764,"Ticker symbol",TRUE)</f>
        <v>STIM</v>
      </c>
      <c r="D1764" s="4">
        <v>2.93</v>
      </c>
      <c r="E1764" s="50">
        <v>170</v>
      </c>
      <c r="F1764" s="81">
        <f>IF(Table25[[#This Row],[Number of stocks]]&gt;0,Table25[[#This Row],[Number of stocks]],0)</f>
        <v>170</v>
      </c>
      <c r="G1764" s="73">
        <f>Table25[[#This Row],[Bought]]*Table25[[#This Row],[Price]]</f>
        <v>498.1</v>
      </c>
      <c r="H1764">
        <f>SUMIF(Table25[[#All],[Assets]],Table25[[#This Row],[Assets]],Table25[[#All],[Bought]])</f>
        <v>7036.45</v>
      </c>
      <c r="I1764">
        <f>SUMIF(Table25[[#All],[Assets]],Table25[[#This Row],[Assets]],Table25[[#All],[Bought Amount]])</f>
        <v>19162.260000000002</v>
      </c>
      <c r="J1764" s="88">
        <f>IF(Table25[[#This Row],[Number of stocks]]&lt;0,Table25[[#This Row],[Number of stocks]],0)</f>
        <v>0</v>
      </c>
      <c r="K1764" s="5">
        <f>Table25[[#This Row],[Sold]]*Table25[[#This Row],[Price]]</f>
        <v>0</v>
      </c>
      <c r="L1764" s="8">
        <f>ABS(SUMIF(Table25[[#All],[Assets]],Table25[[#This Row],[Assets]],Table25[[#All],[Sold]]))</f>
        <v>6686.45</v>
      </c>
      <c r="M1764" s="5">
        <f>ABS(SUMIF(Table25[[#All],[Assets]],Table25[[#This Row],[Assets]],Table25[[#All],[Sold Amount]]))</f>
        <v>19226.484999999997</v>
      </c>
      <c r="N1764" s="5">
        <f>IFERROR(Table25[[#This Row],[Total sold amount]]/Table25[[#This Row],[Total Sold number of stocks]],"")</f>
        <v>2.8754398821497205</v>
      </c>
      <c r="O1764" s="4">
        <f>IFERROR(Table25[[#This Row],[Total Amount bought]]/Table25[[#This Row],[Total number bought]],"")</f>
        <v>2.7232851793162749</v>
      </c>
      <c r="P1764" s="4">
        <f>IFERROR((Table25[[#This Row],[Average sell price]]-Table25[[#This Row],[Average buy price]])*Table25[[#This Row],[Total Sold number of stocks]],0)</f>
        <v>1017.3748127606921</v>
      </c>
      <c r="Q1764" s="85">
        <f>SUMIF(Table25[[#All],[Assets]],Table25[[#This Row],[Assets]],Table25[[#All],[Number of stocks]])</f>
        <v>349.99999999999977</v>
      </c>
    </row>
    <row r="1765" spans="1:17">
      <c r="A1765" t="e" vm="228">
        <v>#VALUE!</v>
      </c>
      <c r="B1765" s="2">
        <v>45960</v>
      </c>
      <c r="C1765" t="str" cm="1">
        <f t="array" aca="1" ref="C1765" ca="1">_FV(A1765,"Ticker symbol",TRUE)</f>
        <v>BILL</v>
      </c>
      <c r="D1765" s="4">
        <v>49.62</v>
      </c>
      <c r="E1765" s="50">
        <v>-14</v>
      </c>
      <c r="F1765" s="81">
        <f>IF(Table25[[#This Row],[Number of stocks]]&gt;0,Table25[[#This Row],[Number of stocks]],0)</f>
        <v>0</v>
      </c>
      <c r="G1765" s="73">
        <f>Table25[[#This Row],[Bought]]*Table25[[#This Row],[Price]]</f>
        <v>0</v>
      </c>
      <c r="H1765">
        <f>SUMIF(Table25[[#All],[Assets]],Table25[[#This Row],[Assets]],Table25[[#All],[Bought]])</f>
        <v>101</v>
      </c>
      <c r="I1765">
        <f>SUMIF(Table25[[#All],[Assets]],Table25[[#This Row],[Assets]],Table25[[#All],[Bought Amount]])</f>
        <v>5292.3600000000006</v>
      </c>
      <c r="J1765" s="88">
        <f>IF(Table25[[#This Row],[Number of stocks]]&lt;0,Table25[[#This Row],[Number of stocks]],0)</f>
        <v>-14</v>
      </c>
      <c r="K1765" s="5">
        <f>Table25[[#This Row],[Sold]]*Table25[[#This Row],[Price]]</f>
        <v>-694.68</v>
      </c>
      <c r="L1765" s="8">
        <f>ABS(SUMIF(Table25[[#All],[Assets]],Table25[[#This Row],[Assets]],Table25[[#All],[Sold]]))</f>
        <v>101</v>
      </c>
      <c r="M1765" s="5">
        <f>ABS(SUMIF(Table25[[#All],[Assets]],Table25[[#This Row],[Assets]],Table25[[#All],[Sold Amount]]))</f>
        <v>5973.49</v>
      </c>
      <c r="N1765" s="5">
        <f>IFERROR(Table25[[#This Row],[Total sold amount]]/Table25[[#This Row],[Total Sold number of stocks]],"")</f>
        <v>59.143465346534654</v>
      </c>
      <c r="O1765" s="4">
        <f>IFERROR(Table25[[#This Row],[Total Amount bought]]/Table25[[#This Row],[Total number bought]],"")</f>
        <v>52.399603960396043</v>
      </c>
      <c r="P1765" s="4">
        <f>IFERROR((Table25[[#This Row],[Average sell price]]-Table25[[#This Row],[Average buy price]])*Table25[[#This Row],[Total Sold number of stocks]],0)</f>
        <v>681.12999999999977</v>
      </c>
      <c r="Q1765" s="85">
        <f>SUMIF(Table25[[#All],[Assets]],Table25[[#This Row],[Assets]],Table25[[#All],[Number of stocks]])</f>
        <v>0</v>
      </c>
    </row>
    <row r="1766" spans="1:17">
      <c r="A1766" t="e" vm="77">
        <v>#VALUE!</v>
      </c>
      <c r="B1766" s="2">
        <v>45960</v>
      </c>
      <c r="C1766" t="str" cm="1">
        <f t="array" aca="1" ref="C1766" ca="1">_FV(A1766,"Ticker symbol",TRUE)</f>
        <v>STIM</v>
      </c>
      <c r="D1766" s="4">
        <v>2.85</v>
      </c>
      <c r="E1766" s="50">
        <v>295</v>
      </c>
      <c r="F1766" s="81">
        <f>IF(Table25[[#This Row],[Number of stocks]]&gt;0,Table25[[#This Row],[Number of stocks]],0)</f>
        <v>295</v>
      </c>
      <c r="G1766" s="73">
        <f>Table25[[#This Row],[Bought]]*Table25[[#This Row],[Price]]</f>
        <v>840.75</v>
      </c>
      <c r="H1766">
        <f>SUMIF(Table25[[#All],[Assets]],Table25[[#This Row],[Assets]],Table25[[#All],[Bought]])</f>
        <v>7036.45</v>
      </c>
      <c r="I1766">
        <f>SUMIF(Table25[[#All],[Assets]],Table25[[#This Row],[Assets]],Table25[[#All],[Bought Amount]])</f>
        <v>19162.260000000002</v>
      </c>
      <c r="J1766" s="88">
        <f>IF(Table25[[#This Row],[Number of stocks]]&lt;0,Table25[[#This Row],[Number of stocks]],0)</f>
        <v>0</v>
      </c>
      <c r="K1766" s="5">
        <f>Table25[[#This Row],[Sold]]*Table25[[#This Row],[Price]]</f>
        <v>0</v>
      </c>
      <c r="L1766" s="8">
        <f>ABS(SUMIF(Table25[[#All],[Assets]],Table25[[#This Row],[Assets]],Table25[[#All],[Sold]]))</f>
        <v>6686.45</v>
      </c>
      <c r="M1766" s="5">
        <f>ABS(SUMIF(Table25[[#All],[Assets]],Table25[[#This Row],[Assets]],Table25[[#All],[Sold Amount]]))</f>
        <v>19226.484999999997</v>
      </c>
      <c r="N1766" s="5">
        <f>IFERROR(Table25[[#This Row],[Total sold amount]]/Table25[[#This Row],[Total Sold number of stocks]],"")</f>
        <v>2.8754398821497205</v>
      </c>
      <c r="O1766" s="4">
        <f>IFERROR(Table25[[#This Row],[Total Amount bought]]/Table25[[#This Row],[Total number bought]],"")</f>
        <v>2.7232851793162749</v>
      </c>
      <c r="P1766" s="4">
        <f>IFERROR((Table25[[#This Row],[Average sell price]]-Table25[[#This Row],[Average buy price]])*Table25[[#This Row],[Total Sold number of stocks]],0)</f>
        <v>1017.3748127606921</v>
      </c>
      <c r="Q1766" s="85">
        <f>SUMIF(Table25[[#All],[Assets]],Table25[[#This Row],[Assets]],Table25[[#All],[Number of stocks]])</f>
        <v>349.99999999999977</v>
      </c>
    </row>
    <row r="1767" spans="1:17">
      <c r="A1767" t="e" vm="242">
        <v>#VALUE!</v>
      </c>
      <c r="B1767" s="2">
        <v>45960</v>
      </c>
      <c r="C1767" t="str" cm="1">
        <f t="array" aca="1" ref="C1767" ca="1">_FV(A1767,"Ticker symbol",TRUE)</f>
        <v>RKT</v>
      </c>
      <c r="D1767" s="4">
        <v>16.23</v>
      </c>
      <c r="E1767" s="50">
        <v>-25</v>
      </c>
      <c r="F1767" s="81">
        <f>IF(Table25[[#This Row],[Number of stocks]]&gt;0,Table25[[#This Row],[Number of stocks]],0)</f>
        <v>0</v>
      </c>
      <c r="G1767" s="73">
        <f>Table25[[#This Row],[Bought]]*Table25[[#This Row],[Price]]</f>
        <v>0</v>
      </c>
      <c r="H1767">
        <f>SUMIF(Table25[[#All],[Assets]],Table25[[#This Row],[Assets]],Table25[[#All],[Bought]])</f>
        <v>116</v>
      </c>
      <c r="I1767">
        <f>SUMIF(Table25[[#All],[Assets]],Table25[[#This Row],[Assets]],Table25[[#All],[Bought Amount]])</f>
        <v>2236.0100000000002</v>
      </c>
      <c r="J1767" s="88">
        <f>IF(Table25[[#This Row],[Number of stocks]]&lt;0,Table25[[#This Row],[Number of stocks]],0)</f>
        <v>-25</v>
      </c>
      <c r="K1767" s="5">
        <f>Table25[[#This Row],[Sold]]*Table25[[#This Row],[Price]]</f>
        <v>-405.75</v>
      </c>
      <c r="L1767" s="8">
        <f>ABS(SUMIF(Table25[[#All],[Assets]],Table25[[#This Row],[Assets]],Table25[[#All],[Sold]]))</f>
        <v>116</v>
      </c>
      <c r="M1767" s="5">
        <f>ABS(SUMIF(Table25[[#All],[Assets]],Table25[[#This Row],[Assets]],Table25[[#All],[Sold Amount]]))</f>
        <v>1947.1000000000001</v>
      </c>
      <c r="N1767" s="5">
        <f>IFERROR(Table25[[#This Row],[Total sold amount]]/Table25[[#This Row],[Total Sold number of stocks]],"")</f>
        <v>16.785344827586208</v>
      </c>
      <c r="O1767" s="4">
        <f>IFERROR(Table25[[#This Row],[Total Amount bought]]/Table25[[#This Row],[Total number bought]],"")</f>
        <v>19.275948275862071</v>
      </c>
      <c r="P1767" s="4">
        <f>IFERROR((Table25[[#This Row],[Average sell price]]-Table25[[#This Row],[Average buy price]])*Table25[[#This Row],[Total Sold number of stocks]],0)</f>
        <v>-288.91000000000008</v>
      </c>
      <c r="Q1767" s="85">
        <f>SUMIF(Table25[[#All],[Assets]],Table25[[#This Row],[Assets]],Table25[[#All],[Number of stocks]])</f>
        <v>0</v>
      </c>
    </row>
    <row r="1768" spans="1:17">
      <c r="A1768" t="e" vm="92">
        <v>#VALUE!</v>
      </c>
      <c r="B1768" s="2">
        <v>45961</v>
      </c>
      <c r="C1768" t="str" cm="1">
        <f t="array" aca="1" ref="C1768" ca="1">_FV(A1768,"Ticker symbol",TRUE)</f>
        <v>NEM</v>
      </c>
      <c r="D1768" s="4">
        <v>81.25</v>
      </c>
      <c r="E1768" s="50">
        <v>-16</v>
      </c>
      <c r="F1768" s="81">
        <f>IF(Table25[[#This Row],[Number of stocks]]&gt;0,Table25[[#This Row],[Number of stocks]],0)</f>
        <v>0</v>
      </c>
      <c r="G1768" s="73">
        <f>Table25[[#This Row],[Bought]]*Table25[[#This Row],[Price]]</f>
        <v>0</v>
      </c>
      <c r="H1768">
        <f>SUMIF(Table25[[#All],[Assets]],Table25[[#This Row],[Assets]],Table25[[#All],[Bought]])</f>
        <v>16</v>
      </c>
      <c r="I1768">
        <f>SUMIF(Table25[[#All],[Assets]],Table25[[#This Row],[Assets]],Table25[[#All],[Bought Amount]])</f>
        <v>1254.4000000000001</v>
      </c>
      <c r="J1768" s="88">
        <f>IF(Table25[[#This Row],[Number of stocks]]&lt;0,Table25[[#This Row],[Number of stocks]],0)</f>
        <v>-16</v>
      </c>
      <c r="K1768" s="5">
        <f>Table25[[#This Row],[Sold]]*Table25[[#This Row],[Price]]</f>
        <v>-1300</v>
      </c>
      <c r="L1768" s="8">
        <f>ABS(SUMIF(Table25[[#All],[Assets]],Table25[[#This Row],[Assets]],Table25[[#All],[Sold]]))</f>
        <v>16</v>
      </c>
      <c r="M1768" s="5">
        <f>ABS(SUMIF(Table25[[#All],[Assets]],Table25[[#This Row],[Assets]],Table25[[#All],[Sold Amount]]))</f>
        <v>1300</v>
      </c>
      <c r="N1768" s="5">
        <f>IFERROR(Table25[[#This Row],[Total sold amount]]/Table25[[#This Row],[Total Sold number of stocks]],"")</f>
        <v>81.25</v>
      </c>
      <c r="O1768" s="4">
        <f>IFERROR(Table25[[#This Row],[Total Amount bought]]/Table25[[#This Row],[Total number bought]],"")</f>
        <v>78.400000000000006</v>
      </c>
      <c r="P1768" s="4">
        <f>IFERROR((Table25[[#This Row],[Average sell price]]-Table25[[#This Row],[Average buy price]])*Table25[[#This Row],[Total Sold number of stocks]],0)</f>
        <v>45.599999999999909</v>
      </c>
      <c r="Q1768" s="85">
        <f>SUMIF(Table25[[#All],[Assets]],Table25[[#This Row],[Assets]],Table25[[#All],[Number of stocks]])</f>
        <v>0</v>
      </c>
    </row>
    <row r="1769" spans="1:17">
      <c r="A1769" t="e" vm="77">
        <v>#VALUE!</v>
      </c>
      <c r="B1769" s="2">
        <v>45961</v>
      </c>
      <c r="C1769" t="str" cm="1">
        <f t="array" aca="1" ref="C1769" ca="1">_FV(A1769,"Ticker symbol",TRUE)</f>
        <v>STIM</v>
      </c>
      <c r="D1769" s="4">
        <v>2.7</v>
      </c>
      <c r="E1769" s="50">
        <v>400</v>
      </c>
      <c r="F1769" s="81">
        <f>IF(Table25[[#This Row],[Number of stocks]]&gt;0,Table25[[#This Row],[Number of stocks]],0)</f>
        <v>400</v>
      </c>
      <c r="G1769" s="73">
        <f>Table25[[#This Row],[Bought]]*Table25[[#This Row],[Price]]</f>
        <v>1080</v>
      </c>
      <c r="H1769">
        <f>SUMIF(Table25[[#All],[Assets]],Table25[[#This Row],[Assets]],Table25[[#All],[Bought]])</f>
        <v>7036.45</v>
      </c>
      <c r="I1769">
        <f>SUMIF(Table25[[#All],[Assets]],Table25[[#This Row],[Assets]],Table25[[#All],[Bought Amount]])</f>
        <v>19162.260000000002</v>
      </c>
      <c r="J1769" s="88">
        <f>IF(Table25[[#This Row],[Number of stocks]]&lt;0,Table25[[#This Row],[Number of stocks]],0)</f>
        <v>0</v>
      </c>
      <c r="K1769" s="5">
        <f>Table25[[#This Row],[Sold]]*Table25[[#This Row],[Price]]</f>
        <v>0</v>
      </c>
      <c r="L1769" s="8">
        <f>ABS(SUMIF(Table25[[#All],[Assets]],Table25[[#This Row],[Assets]],Table25[[#All],[Sold]]))</f>
        <v>6686.45</v>
      </c>
      <c r="M1769" s="5">
        <f>ABS(SUMIF(Table25[[#All],[Assets]],Table25[[#This Row],[Assets]],Table25[[#All],[Sold Amount]]))</f>
        <v>19226.484999999997</v>
      </c>
      <c r="N1769" s="5">
        <f>IFERROR(Table25[[#This Row],[Total sold amount]]/Table25[[#This Row],[Total Sold number of stocks]],"")</f>
        <v>2.8754398821497205</v>
      </c>
      <c r="O1769" s="4">
        <f>IFERROR(Table25[[#This Row],[Total Amount bought]]/Table25[[#This Row],[Total number bought]],"")</f>
        <v>2.7232851793162749</v>
      </c>
      <c r="P1769" s="4">
        <f>IFERROR((Table25[[#This Row],[Average sell price]]-Table25[[#This Row],[Average buy price]])*Table25[[#This Row],[Total Sold number of stocks]],0)</f>
        <v>1017.3748127606921</v>
      </c>
      <c r="Q1769" s="85">
        <f>SUMIF(Table25[[#All],[Assets]],Table25[[#This Row],[Assets]],Table25[[#All],[Number of stocks]])</f>
        <v>349.99999999999977</v>
      </c>
    </row>
    <row r="1770" spans="1:17">
      <c r="A1770" t="e" vm="179">
        <v>#VALUE!</v>
      </c>
      <c r="B1770" s="2">
        <v>45961</v>
      </c>
      <c r="C1770" t="str" cm="1">
        <f t="array" aca="1" ref="C1770" ca="1">_FV(A1770,"Ticker symbol",TRUE)</f>
        <v>ET</v>
      </c>
      <c r="D1770" s="4">
        <v>16.86</v>
      </c>
      <c r="E1770" s="50">
        <v>115</v>
      </c>
      <c r="F1770" s="81">
        <f>IF(Table25[[#This Row],[Number of stocks]]&gt;0,Table25[[#This Row],[Number of stocks]],0)</f>
        <v>115</v>
      </c>
      <c r="G1770" s="73">
        <f>Table25[[#This Row],[Bought]]*Table25[[#This Row],[Price]]</f>
        <v>1938.8999999999999</v>
      </c>
      <c r="H1770">
        <f>SUMIF(Table25[[#All],[Assets]],Table25[[#This Row],[Assets]],Table25[[#All],[Bought]])</f>
        <v>345</v>
      </c>
      <c r="I1770">
        <f>SUMIF(Table25[[#All],[Assets]],Table25[[#This Row],[Assets]],Table25[[#All],[Bought Amount]])</f>
        <v>5878.3</v>
      </c>
      <c r="J1770" s="88">
        <f>IF(Table25[[#This Row],[Number of stocks]]&lt;0,Table25[[#This Row],[Number of stocks]],0)</f>
        <v>0</v>
      </c>
      <c r="K1770" s="5">
        <f>Table25[[#This Row],[Sold]]*Table25[[#This Row],[Price]]</f>
        <v>0</v>
      </c>
      <c r="L1770" s="8">
        <f>ABS(SUMIF(Table25[[#All],[Assets]],Table25[[#This Row],[Assets]],Table25[[#All],[Sold]]))</f>
        <v>40</v>
      </c>
      <c r="M1770" s="5">
        <f>ABS(SUMIF(Table25[[#All],[Assets]],Table25[[#This Row],[Assets]],Table25[[#All],[Sold Amount]]))</f>
        <v>660.8</v>
      </c>
      <c r="N1770" s="5">
        <f>IFERROR(Table25[[#This Row],[Total sold amount]]/Table25[[#This Row],[Total Sold number of stocks]],"")</f>
        <v>16.52</v>
      </c>
      <c r="O1770" s="4">
        <f>IFERROR(Table25[[#This Row],[Total Amount bought]]/Table25[[#This Row],[Total number bought]],"")</f>
        <v>17.03855072463768</v>
      </c>
      <c r="P1770" s="4">
        <f>IFERROR((Table25[[#This Row],[Average sell price]]-Table25[[#This Row],[Average buy price]])*Table25[[#This Row],[Total Sold number of stocks]],0)</f>
        <v>-20.742028985507233</v>
      </c>
      <c r="Q1770" s="85">
        <f>SUMIF(Table25[[#All],[Assets]],Table25[[#This Row],[Assets]],Table25[[#All],[Number of stocks]])</f>
        <v>305</v>
      </c>
    </row>
    <row r="1771" spans="1:17">
      <c r="A1771" t="e" vm="240">
        <v>#VALUE!</v>
      </c>
      <c r="B1771" s="2">
        <v>45961</v>
      </c>
      <c r="C1771" t="str" cm="1">
        <f t="array" aca="1" ref="C1771" ca="1">_FV(A1771,"Ticker symbol",TRUE)</f>
        <v>SBSW</v>
      </c>
      <c r="D1771" s="4">
        <v>10.67</v>
      </c>
      <c r="E1771" s="50">
        <v>-41</v>
      </c>
      <c r="F1771" s="81">
        <f>IF(Table25[[#This Row],[Number of stocks]]&gt;0,Table25[[#This Row],[Number of stocks]],0)</f>
        <v>0</v>
      </c>
      <c r="G1771" s="73">
        <f>Table25[[#This Row],[Bought]]*Table25[[#This Row],[Price]]</f>
        <v>0</v>
      </c>
      <c r="H1771">
        <f>SUMIF(Table25[[#All],[Assets]],Table25[[#This Row],[Assets]],Table25[[#All],[Bought]])</f>
        <v>187</v>
      </c>
      <c r="I1771">
        <f>SUMIF(Table25[[#All],[Assets]],Table25[[#This Row],[Assets]],Table25[[#All],[Bought Amount]])</f>
        <v>1654.1</v>
      </c>
      <c r="J1771" s="88">
        <f>IF(Table25[[#This Row],[Number of stocks]]&lt;0,Table25[[#This Row],[Number of stocks]],0)</f>
        <v>-41</v>
      </c>
      <c r="K1771" s="5">
        <f>Table25[[#This Row],[Sold]]*Table25[[#This Row],[Price]]</f>
        <v>-437.46999999999997</v>
      </c>
      <c r="L1771" s="8">
        <f>ABS(SUMIF(Table25[[#All],[Assets]],Table25[[#This Row],[Assets]],Table25[[#All],[Sold]]))</f>
        <v>139</v>
      </c>
      <c r="M1771" s="5">
        <f>ABS(SUMIF(Table25[[#All],[Assets]],Table25[[#This Row],[Assets]],Table25[[#All],[Sold Amount]]))</f>
        <v>909.86999999999989</v>
      </c>
      <c r="N1771" s="5">
        <f>IFERROR(Table25[[#This Row],[Total sold amount]]/Table25[[#This Row],[Total Sold number of stocks]],"")</f>
        <v>6.545827338129496</v>
      </c>
      <c r="O1771" s="4">
        <f>IFERROR(Table25[[#This Row],[Total Amount bought]]/Table25[[#This Row],[Total number bought]],"")</f>
        <v>8.8454545454545457</v>
      </c>
      <c r="P1771" s="4">
        <f>IFERROR((Table25[[#This Row],[Average sell price]]-Table25[[#This Row],[Average buy price]])*Table25[[#This Row],[Total Sold number of stocks]],0)</f>
        <v>-319.64818181818191</v>
      </c>
      <c r="Q1771" s="85">
        <f>SUMIF(Table25[[#All],[Assets]],Table25[[#This Row],[Assets]],Table25[[#All],[Number of stocks]])</f>
        <v>48</v>
      </c>
    </row>
    <row r="1772" spans="1:17">
      <c r="A1772" t="e" vm="205">
        <v>#VALUE!</v>
      </c>
      <c r="B1772" s="2">
        <v>45961</v>
      </c>
      <c r="C1772" t="str" cm="1">
        <f t="array" aca="1" ref="C1772" ca="1">_FV(A1772,"Ticker symbol",TRUE)</f>
        <v>NOK</v>
      </c>
      <c r="D1772" s="4">
        <v>6.84</v>
      </c>
      <c r="E1772" s="50">
        <v>65</v>
      </c>
      <c r="F1772" s="81">
        <f>IF(Table25[[#This Row],[Number of stocks]]&gt;0,Table25[[#This Row],[Number of stocks]],0)</f>
        <v>65</v>
      </c>
      <c r="G1772" s="73">
        <f>Table25[[#This Row],[Bought]]*Table25[[#This Row],[Price]]</f>
        <v>444.59999999999997</v>
      </c>
      <c r="H1772">
        <f>SUMIF(Table25[[#All],[Assets]],Table25[[#This Row],[Assets]],Table25[[#All],[Bought]])</f>
        <v>455</v>
      </c>
      <c r="I1772">
        <f>SUMIF(Table25[[#All],[Assets]],Table25[[#This Row],[Assets]],Table25[[#All],[Bought Amount]])</f>
        <v>2449.6999999999998</v>
      </c>
      <c r="J1772" s="88">
        <f>IF(Table25[[#This Row],[Number of stocks]]&lt;0,Table25[[#This Row],[Number of stocks]],0)</f>
        <v>0</v>
      </c>
      <c r="K1772" s="5">
        <f>Table25[[#This Row],[Sold]]*Table25[[#This Row],[Price]]</f>
        <v>0</v>
      </c>
      <c r="L1772" s="8">
        <f>ABS(SUMIF(Table25[[#All],[Assets]],Table25[[#This Row],[Assets]],Table25[[#All],[Sold]]))</f>
        <v>390</v>
      </c>
      <c r="M1772" s="5">
        <f>ABS(SUMIF(Table25[[#All],[Assets]],Table25[[#This Row],[Assets]],Table25[[#All],[Sold Amount]]))</f>
        <v>2112.3000000000002</v>
      </c>
      <c r="N1772" s="5">
        <f>IFERROR(Table25[[#This Row],[Total sold amount]]/Table25[[#This Row],[Total Sold number of stocks]],"")</f>
        <v>5.416153846153847</v>
      </c>
      <c r="O1772" s="4">
        <f>IFERROR(Table25[[#This Row],[Total Amount bought]]/Table25[[#This Row],[Total number bought]],"")</f>
        <v>5.3839560439560437</v>
      </c>
      <c r="P1772" s="4">
        <f>IFERROR((Table25[[#This Row],[Average sell price]]-Table25[[#This Row],[Average buy price]])*Table25[[#This Row],[Total Sold number of stocks]],0)</f>
        <v>12.557142857143297</v>
      </c>
      <c r="Q1772" s="85">
        <f>SUMIF(Table25[[#All],[Assets]],Table25[[#This Row],[Assets]],Table25[[#All],[Number of stocks]])</f>
        <v>65</v>
      </c>
    </row>
    <row r="1773" spans="1:17">
      <c r="A1773" t="e" vm="81">
        <v>#VALUE!</v>
      </c>
      <c r="B1773" s="2">
        <v>45961</v>
      </c>
      <c r="C1773" t="str" cm="1">
        <f t="array" aca="1" ref="C1773" ca="1">_FV(A1773,"Ticker symbol",TRUE)</f>
        <v>DLO</v>
      </c>
      <c r="D1773" s="4">
        <v>14.9</v>
      </c>
      <c r="E1773" s="50">
        <v>-60</v>
      </c>
      <c r="F1773" s="81">
        <f>IF(Table25[[#This Row],[Number of stocks]]&gt;0,Table25[[#This Row],[Number of stocks]],0)</f>
        <v>0</v>
      </c>
      <c r="G1773" s="73">
        <f>Table25[[#This Row],[Bought]]*Table25[[#This Row],[Price]]</f>
        <v>0</v>
      </c>
      <c r="H1773">
        <f>SUMIF(Table25[[#All],[Assets]],Table25[[#This Row],[Assets]],Table25[[#All],[Bought]])</f>
        <v>436</v>
      </c>
      <c r="I1773">
        <f>SUMIF(Table25[[#All],[Assets]],Table25[[#This Row],[Assets]],Table25[[#All],[Bought Amount]])</f>
        <v>5840.9900000000007</v>
      </c>
      <c r="J1773" s="88">
        <f>IF(Table25[[#This Row],[Number of stocks]]&lt;0,Table25[[#This Row],[Number of stocks]],0)</f>
        <v>-60</v>
      </c>
      <c r="K1773" s="5">
        <f>Table25[[#This Row],[Sold]]*Table25[[#This Row],[Price]]</f>
        <v>-894</v>
      </c>
      <c r="L1773" s="8">
        <f>ABS(SUMIF(Table25[[#All],[Assets]],Table25[[#This Row],[Assets]],Table25[[#All],[Sold]]))</f>
        <v>436</v>
      </c>
      <c r="M1773" s="5">
        <f>ABS(SUMIF(Table25[[#All],[Assets]],Table25[[#This Row],[Assets]],Table25[[#All],[Sold Amount]]))</f>
        <v>5546.6</v>
      </c>
      <c r="N1773" s="5">
        <f>IFERROR(Table25[[#This Row],[Total sold amount]]/Table25[[#This Row],[Total Sold number of stocks]],"")</f>
        <v>12.721559633027523</v>
      </c>
      <c r="O1773" s="4">
        <f>IFERROR(Table25[[#This Row],[Total Amount bought]]/Table25[[#This Row],[Total number bought]],"")</f>
        <v>13.396766055045873</v>
      </c>
      <c r="P1773" s="4">
        <f>IFERROR((Table25[[#This Row],[Average sell price]]-Table25[[#This Row],[Average buy price]])*Table25[[#This Row],[Total Sold number of stocks]],0)</f>
        <v>-294.39000000000073</v>
      </c>
      <c r="Q1773" s="85">
        <f>SUMIF(Table25[[#All],[Assets]],Table25[[#This Row],[Assets]],Table25[[#All],[Number of stocks]])</f>
        <v>0</v>
      </c>
    </row>
    <row r="1774" spans="1:17">
      <c r="A1774" t="e" vm="172">
        <v>#VALUE!</v>
      </c>
      <c r="B1774" s="2">
        <v>45961</v>
      </c>
      <c r="C1774" t="str" cm="1">
        <f t="array" aca="1" ref="C1774" ca="1">_FV(A1774,"Ticker symbol",TRUE)</f>
        <v>WOLF</v>
      </c>
      <c r="D1774" s="4">
        <v>25.89</v>
      </c>
      <c r="E1774" s="50">
        <v>-40</v>
      </c>
      <c r="F1774" s="81">
        <f>IF(Table25[[#This Row],[Number of stocks]]&gt;0,Table25[[#This Row],[Number of stocks]],0)</f>
        <v>0</v>
      </c>
      <c r="G1774" s="73">
        <f>Table25[[#This Row],[Bought]]*Table25[[#This Row],[Price]]</f>
        <v>0</v>
      </c>
      <c r="H1774">
        <f>SUMIF(Table25[[#All],[Assets]],Table25[[#This Row],[Assets]],Table25[[#All],[Bought]])</f>
        <v>900</v>
      </c>
      <c r="I1774">
        <f>SUMIF(Table25[[#All],[Assets]],Table25[[#This Row],[Assets]],Table25[[#All],[Bought Amount]])</f>
        <v>3579</v>
      </c>
      <c r="J1774" s="88">
        <f>IF(Table25[[#This Row],[Number of stocks]]&lt;0,Table25[[#This Row],[Number of stocks]],0)</f>
        <v>-40</v>
      </c>
      <c r="K1774" s="5">
        <f>Table25[[#This Row],[Sold]]*Table25[[#This Row],[Price]]</f>
        <v>-1035.5999999999999</v>
      </c>
      <c r="L1774" s="8">
        <f>ABS(SUMIF(Table25[[#All],[Assets]],Table25[[#This Row],[Assets]],Table25[[#All],[Sold]]))</f>
        <v>900</v>
      </c>
      <c r="M1774" s="5">
        <f>ABS(SUMIF(Table25[[#All],[Assets]],Table25[[#This Row],[Assets]],Table25[[#All],[Sold Amount]]))</f>
        <v>3724.3</v>
      </c>
      <c r="N1774" s="5">
        <f>IFERROR(Table25[[#This Row],[Total sold amount]]/Table25[[#This Row],[Total Sold number of stocks]],"")</f>
        <v>4.1381111111111117</v>
      </c>
      <c r="O1774" s="4">
        <f>IFERROR(Table25[[#This Row],[Total Amount bought]]/Table25[[#This Row],[Total number bought]],"")</f>
        <v>3.9766666666666666</v>
      </c>
      <c r="P1774" s="4">
        <f>IFERROR((Table25[[#This Row],[Average sell price]]-Table25[[#This Row],[Average buy price]])*Table25[[#This Row],[Total Sold number of stocks]],0)</f>
        <v>145.30000000000064</v>
      </c>
      <c r="Q1774" s="85">
        <f>SUMIF(Table25[[#All],[Assets]],Table25[[#This Row],[Assets]],Table25[[#All],[Number of stocks]])</f>
        <v>0</v>
      </c>
    </row>
    <row r="1775" spans="1:17">
      <c r="A1775" t="e" vm="181">
        <v>#VALUE!</v>
      </c>
      <c r="B1775" s="2">
        <v>45961</v>
      </c>
      <c r="C1775" t="str" cm="1">
        <f t="array" aca="1" ref="C1775" ca="1">_FV(A1775,"Ticker symbol",TRUE)</f>
        <v>TIC</v>
      </c>
      <c r="D1775" s="4">
        <v>12.43</v>
      </c>
      <c r="E1775" s="50">
        <v>80</v>
      </c>
      <c r="F1775" s="81">
        <f>IF(Table25[[#This Row],[Number of stocks]]&gt;0,Table25[[#This Row],[Number of stocks]],0)</f>
        <v>80</v>
      </c>
      <c r="G1775" s="73">
        <f>Table25[[#This Row],[Bought]]*Table25[[#This Row],[Price]]</f>
        <v>994.4</v>
      </c>
      <c r="H1775">
        <f>SUMIF(Table25[[#All],[Assets]],Table25[[#This Row],[Assets]],Table25[[#All],[Bought]])</f>
        <v>487</v>
      </c>
      <c r="I1775">
        <f>SUMIF(Table25[[#All],[Assets]],Table25[[#This Row],[Assets]],Table25[[#All],[Bought Amount]])</f>
        <v>6140.8099999999995</v>
      </c>
      <c r="J1775" s="88">
        <f>IF(Table25[[#This Row],[Number of stocks]]&lt;0,Table25[[#This Row],[Number of stocks]],0)</f>
        <v>0</v>
      </c>
      <c r="K1775" s="5">
        <f>Table25[[#This Row],[Sold]]*Table25[[#This Row],[Price]]</f>
        <v>0</v>
      </c>
      <c r="L1775" s="8">
        <f>ABS(SUMIF(Table25[[#All],[Assets]],Table25[[#This Row],[Assets]],Table25[[#All],[Sold]]))</f>
        <v>397</v>
      </c>
      <c r="M1775" s="5">
        <f>ABS(SUMIF(Table25[[#All],[Assets]],Table25[[#This Row],[Assets]],Table25[[#All],[Sold Amount]]))</f>
        <v>3999.4</v>
      </c>
      <c r="N1775" s="5">
        <f>IFERROR(Table25[[#This Row],[Total sold amount]]/Table25[[#This Row],[Total Sold number of stocks]],"")</f>
        <v>10.074055415617128</v>
      </c>
      <c r="O1775" s="4">
        <f>IFERROR(Table25[[#This Row],[Total Amount bought]]/Table25[[#This Row],[Total number bought]],"")</f>
        <v>12.609466119096508</v>
      </c>
      <c r="P1775" s="4">
        <f>IFERROR((Table25[[#This Row],[Average sell price]]-Table25[[#This Row],[Average buy price]])*Table25[[#This Row],[Total Sold number of stocks]],0)</f>
        <v>-1006.558049281314</v>
      </c>
      <c r="Q1775" s="85">
        <f>SUMIF(Table25[[#All],[Assets]],Table25[[#This Row],[Assets]],Table25[[#All],[Number of stocks]])</f>
        <v>90</v>
      </c>
    </row>
    <row r="1776" spans="1:17">
      <c r="A1776" t="e" vm="80">
        <v>#VALUE!</v>
      </c>
      <c r="B1776" s="2">
        <v>45961</v>
      </c>
      <c r="C1776" t="str" cm="1">
        <f t="array" aca="1" ref="C1776" ca="1">_FV(A1776,"Ticker symbol",TRUE)</f>
        <v>PYPL</v>
      </c>
      <c r="D1776" s="4">
        <v>69.239999999999995</v>
      </c>
      <c r="E1776" s="50">
        <v>24</v>
      </c>
      <c r="F1776" s="81">
        <f>IF(Table25[[#This Row],[Number of stocks]]&gt;0,Table25[[#This Row],[Number of stocks]],0)</f>
        <v>24</v>
      </c>
      <c r="G1776" s="73">
        <f>Table25[[#This Row],[Bought]]*Table25[[#This Row],[Price]]</f>
        <v>1661.7599999999998</v>
      </c>
      <c r="H1776">
        <f>SUMIF(Table25[[#All],[Assets]],Table25[[#This Row],[Assets]],Table25[[#All],[Bought]])</f>
        <v>223</v>
      </c>
      <c r="I1776">
        <f>SUMIF(Table25[[#All],[Assets]],Table25[[#This Row],[Assets]],Table25[[#All],[Bought Amount]])</f>
        <v>14862.050000000003</v>
      </c>
      <c r="J1776" s="88">
        <f>IF(Table25[[#This Row],[Number of stocks]]&lt;0,Table25[[#This Row],[Number of stocks]],0)</f>
        <v>0</v>
      </c>
      <c r="K1776" s="5">
        <f>Table25[[#This Row],[Sold]]*Table25[[#This Row],[Price]]</f>
        <v>0</v>
      </c>
      <c r="L1776" s="8">
        <f>ABS(SUMIF(Table25[[#All],[Assets]],Table25[[#This Row],[Assets]],Table25[[#All],[Sold]]))</f>
        <v>222</v>
      </c>
      <c r="M1776" s="5">
        <f>ABS(SUMIF(Table25[[#All],[Assets]],Table25[[#This Row],[Assets]],Table25[[#All],[Sold Amount]]))</f>
        <v>15255.44</v>
      </c>
      <c r="N1776" s="5">
        <f>IFERROR(Table25[[#This Row],[Total sold amount]]/Table25[[#This Row],[Total Sold number of stocks]],"")</f>
        <v>68.718198198198195</v>
      </c>
      <c r="O1776" s="4">
        <f>IFERROR(Table25[[#This Row],[Total Amount bought]]/Table25[[#This Row],[Total number bought]],"")</f>
        <v>66.645964125560553</v>
      </c>
      <c r="P1776" s="4">
        <f>IFERROR((Table25[[#This Row],[Average sell price]]-Table25[[#This Row],[Average buy price]])*Table25[[#This Row],[Total Sold number of stocks]],0)</f>
        <v>460.03596412555646</v>
      </c>
      <c r="Q1776" s="85">
        <f>SUMIF(Table25[[#All],[Assets]],Table25[[#This Row],[Assets]],Table25[[#All],[Number of stocks]])</f>
        <v>1</v>
      </c>
    </row>
    <row r="1777" spans="1:17">
      <c r="A1777" t="e" vm="231">
        <v>#VALUE!</v>
      </c>
      <c r="B1777" s="2">
        <v>45966</v>
      </c>
      <c r="C1777" t="str" cm="1">
        <f t="array" aca="1" ref="C1777" ca="1">_FV(A1777,"Ticker symbol",TRUE)</f>
        <v>UNH</v>
      </c>
      <c r="D1777" s="4">
        <v>327.20999999999998</v>
      </c>
      <c r="E1777" s="50">
        <v>-1</v>
      </c>
      <c r="F1777" s="81">
        <f>IF(Table25[[#This Row],[Number of stocks]]&gt;0,Table25[[#This Row],[Number of stocks]],0)</f>
        <v>0</v>
      </c>
      <c r="G1777" s="73">
        <f>Table25[[#This Row],[Bought]]*Table25[[#This Row],[Price]]</f>
        <v>0</v>
      </c>
      <c r="H1777">
        <f>SUMIF(Table25[[#All],[Assets]],Table25[[#This Row],[Assets]],Table25[[#All],[Bought]])</f>
        <v>4.9000000000000004</v>
      </c>
      <c r="I1777">
        <f>SUMIF(Table25[[#All],[Assets]],Table25[[#This Row],[Assets]],Table25[[#All],[Bought Amount]])</f>
        <v>1320.854</v>
      </c>
      <c r="J1777" s="88">
        <f>IF(Table25[[#This Row],[Number of stocks]]&lt;0,Table25[[#This Row],[Number of stocks]],0)</f>
        <v>-1</v>
      </c>
      <c r="K1777" s="5">
        <f>Table25[[#This Row],[Sold]]*Table25[[#This Row],[Price]]</f>
        <v>-327.20999999999998</v>
      </c>
      <c r="L1777" s="8">
        <f>ABS(SUMIF(Table25[[#All],[Assets]],Table25[[#This Row],[Assets]],Table25[[#All],[Sold]]))</f>
        <v>4.9000000000000004</v>
      </c>
      <c r="M1777" s="5">
        <f>ABS(SUMIF(Table25[[#All],[Assets]],Table25[[#This Row],[Assets]],Table25[[#All],[Sold Amount]]))</f>
        <v>1686.614</v>
      </c>
      <c r="N1777" s="5">
        <f>IFERROR(Table25[[#This Row],[Total sold amount]]/Table25[[#This Row],[Total Sold number of stocks]],"")</f>
        <v>344.2069387755102</v>
      </c>
      <c r="O1777" s="4">
        <f>IFERROR(Table25[[#This Row],[Total Amount bought]]/Table25[[#This Row],[Total number bought]],"")</f>
        <v>269.56204081632654</v>
      </c>
      <c r="P1777" s="4">
        <f>IFERROR((Table25[[#This Row],[Average sell price]]-Table25[[#This Row],[Average buy price]])*Table25[[#This Row],[Total Sold number of stocks]],0)</f>
        <v>365.75999999999993</v>
      </c>
      <c r="Q1777" s="85">
        <f>SUMIF(Table25[[#All],[Assets]],Table25[[#This Row],[Assets]],Table25[[#All],[Number of stocks]])</f>
        <v>0</v>
      </c>
    </row>
    <row r="1778" spans="1:17">
      <c r="A1778" t="e" vm="148">
        <v>#VALUE!</v>
      </c>
      <c r="B1778" s="2">
        <v>45966</v>
      </c>
      <c r="C1778" t="str" cm="1">
        <f t="array" aca="1" ref="C1778" ca="1">_FV(A1778,"Ticker symbol",TRUE)</f>
        <v>META</v>
      </c>
      <c r="D1778" s="4">
        <v>637.5</v>
      </c>
      <c r="E1778" s="50">
        <v>-1</v>
      </c>
      <c r="F1778" s="81">
        <f>IF(Table25[[#This Row],[Number of stocks]]&gt;0,Table25[[#This Row],[Number of stocks]],0)</f>
        <v>0</v>
      </c>
      <c r="G1778" s="73">
        <f>Table25[[#This Row],[Bought]]*Table25[[#This Row],[Price]]</f>
        <v>0</v>
      </c>
      <c r="H1778">
        <f>SUMIF(Table25[[#All],[Assets]],Table25[[#This Row],[Assets]],Table25[[#All],[Bought]])</f>
        <v>2</v>
      </c>
      <c r="I1778">
        <f>SUMIF(Table25[[#All],[Assets]],Table25[[#This Row],[Assets]],Table25[[#All],[Bought Amount]])</f>
        <v>1247.7</v>
      </c>
      <c r="J1778" s="88">
        <f>IF(Table25[[#This Row],[Number of stocks]]&lt;0,Table25[[#This Row],[Number of stocks]],0)</f>
        <v>-1</v>
      </c>
      <c r="K1778" s="5">
        <f>Table25[[#This Row],[Sold]]*Table25[[#This Row],[Price]]</f>
        <v>-637.5</v>
      </c>
      <c r="L1778" s="8">
        <f>ABS(SUMIF(Table25[[#All],[Assets]],Table25[[#This Row],[Assets]],Table25[[#All],[Sold]]))</f>
        <v>2</v>
      </c>
      <c r="M1778" s="5">
        <f>ABS(SUMIF(Table25[[#All],[Assets]],Table25[[#This Row],[Assets]],Table25[[#All],[Sold Amount]]))</f>
        <v>1302.92</v>
      </c>
      <c r="N1778" s="5">
        <f>IFERROR(Table25[[#This Row],[Total sold amount]]/Table25[[#This Row],[Total Sold number of stocks]],"")</f>
        <v>651.46</v>
      </c>
      <c r="O1778" s="4">
        <f>IFERROR(Table25[[#This Row],[Total Amount bought]]/Table25[[#This Row],[Total number bought]],"")</f>
        <v>623.85</v>
      </c>
      <c r="P1778" s="4">
        <f>IFERROR((Table25[[#This Row],[Average sell price]]-Table25[[#This Row],[Average buy price]])*Table25[[#This Row],[Total Sold number of stocks]],0)</f>
        <v>55.220000000000027</v>
      </c>
      <c r="Q1778" s="85">
        <f>SUMIF(Table25[[#All],[Assets]],Table25[[#This Row],[Assets]],Table25[[#All],[Number of stocks]])</f>
        <v>0</v>
      </c>
    </row>
    <row r="1779" spans="1:17">
      <c r="A1779" t="e" vm="576">
        <v>#VALUE!</v>
      </c>
      <c r="B1779" s="2">
        <v>45966</v>
      </c>
      <c r="C1779" t="str" cm="1">
        <f t="array" aca="1" ref="C1779" ca="1">_FV(A1779,"Ticker symbol",TRUE)</f>
        <v>DUOL</v>
      </c>
      <c r="D1779" s="4">
        <v>208.99</v>
      </c>
      <c r="E1779" s="50">
        <v>4</v>
      </c>
      <c r="F1779" s="81">
        <f>IF(Table25[[#This Row],[Number of stocks]]&gt;0,Table25[[#This Row],[Number of stocks]],0)</f>
        <v>4</v>
      </c>
      <c r="G1779" s="73">
        <f>Table25[[#This Row],[Bought]]*Table25[[#This Row],[Price]]</f>
        <v>835.96</v>
      </c>
      <c r="H1779">
        <f>SUMIF(Table25[[#All],[Assets]],Table25[[#This Row],[Assets]],Table25[[#All],[Bought]])</f>
        <v>33</v>
      </c>
      <c r="I1779">
        <f>SUMIF(Table25[[#All],[Assets]],Table25[[#This Row],[Assets]],Table25[[#All],[Bought Amount]])</f>
        <v>8243.81</v>
      </c>
      <c r="J1779" s="88">
        <f>IF(Table25[[#This Row],[Number of stocks]]&lt;0,Table25[[#This Row],[Number of stocks]],0)</f>
        <v>0</v>
      </c>
      <c r="K1779" s="5">
        <f>Table25[[#This Row],[Sold]]*Table25[[#This Row],[Price]]</f>
        <v>0</v>
      </c>
      <c r="L1779" s="8">
        <f>ABS(SUMIF(Table25[[#All],[Assets]],Table25[[#This Row],[Assets]],Table25[[#All],[Sold]]))</f>
        <v>43</v>
      </c>
      <c r="M1779" s="5">
        <f>ABS(SUMIF(Table25[[#All],[Assets]],Table25[[#This Row],[Assets]],Table25[[#All],[Sold Amount]]))</f>
        <v>8577.89</v>
      </c>
      <c r="N1779" s="5">
        <f>IFERROR(Table25[[#This Row],[Total sold amount]]/Table25[[#This Row],[Total Sold number of stocks]],"")</f>
        <v>199.48581395348836</v>
      </c>
      <c r="O1779" s="4">
        <f>IFERROR(Table25[[#This Row],[Total Amount bought]]/Table25[[#This Row],[Total number bought]],"")</f>
        <v>249.81242424242421</v>
      </c>
      <c r="P1779" s="4">
        <f>IFERROR((Table25[[#This Row],[Average sell price]]-Table25[[#This Row],[Average buy price]])*Table25[[#This Row],[Total Sold number of stocks]],0)</f>
        <v>-2164.0442424242419</v>
      </c>
      <c r="Q1779" s="85">
        <f>SUMIF(Table25[[#All],[Assets]],Table25[[#This Row],[Assets]],Table25[[#All],[Number of stocks]])</f>
        <v>-10</v>
      </c>
    </row>
    <row r="1780" spans="1:17">
      <c r="A1780" t="e" vm="576">
        <v>#VALUE!</v>
      </c>
      <c r="B1780" s="2">
        <v>45966</v>
      </c>
      <c r="C1780" t="str" cm="1">
        <f t="array" aca="1" ref="C1780" ca="1">_FV(A1780,"Ticker symbol",TRUE)</f>
        <v>DUOL</v>
      </c>
      <c r="D1780" s="4">
        <v>208.78</v>
      </c>
      <c r="E1780" s="50">
        <v>1</v>
      </c>
      <c r="F1780" s="81">
        <f>IF(Table25[[#This Row],[Number of stocks]]&gt;0,Table25[[#This Row],[Number of stocks]],0)</f>
        <v>1</v>
      </c>
      <c r="G1780" s="73">
        <f>Table25[[#This Row],[Bought]]*Table25[[#This Row],[Price]]</f>
        <v>208.78</v>
      </c>
      <c r="H1780">
        <f>SUMIF(Table25[[#All],[Assets]],Table25[[#This Row],[Assets]],Table25[[#All],[Bought]])</f>
        <v>33</v>
      </c>
      <c r="I1780">
        <f>SUMIF(Table25[[#All],[Assets]],Table25[[#This Row],[Assets]],Table25[[#All],[Bought Amount]])</f>
        <v>8243.81</v>
      </c>
      <c r="J1780" s="88">
        <f>IF(Table25[[#This Row],[Number of stocks]]&lt;0,Table25[[#This Row],[Number of stocks]],0)</f>
        <v>0</v>
      </c>
      <c r="K1780" s="5">
        <f>Table25[[#This Row],[Sold]]*Table25[[#This Row],[Price]]</f>
        <v>0</v>
      </c>
      <c r="L1780" s="8">
        <f>ABS(SUMIF(Table25[[#All],[Assets]],Table25[[#This Row],[Assets]],Table25[[#All],[Sold]]))</f>
        <v>43</v>
      </c>
      <c r="M1780" s="5">
        <f>ABS(SUMIF(Table25[[#All],[Assets]],Table25[[#This Row],[Assets]],Table25[[#All],[Sold Amount]]))</f>
        <v>8577.89</v>
      </c>
      <c r="N1780" s="5">
        <f>IFERROR(Table25[[#This Row],[Total sold amount]]/Table25[[#This Row],[Total Sold number of stocks]],"")</f>
        <v>199.48581395348836</v>
      </c>
      <c r="O1780" s="4">
        <f>IFERROR(Table25[[#This Row],[Total Amount bought]]/Table25[[#This Row],[Total number bought]],"")</f>
        <v>249.81242424242421</v>
      </c>
      <c r="P1780" s="4">
        <f>IFERROR((Table25[[#This Row],[Average sell price]]-Table25[[#This Row],[Average buy price]])*Table25[[#This Row],[Total Sold number of stocks]],0)</f>
        <v>-2164.0442424242419</v>
      </c>
      <c r="Q1780" s="85">
        <f>SUMIF(Table25[[#All],[Assets]],Table25[[#This Row],[Assets]],Table25[[#All],[Number of stocks]])</f>
        <v>-10</v>
      </c>
    </row>
    <row r="1781" spans="1:17">
      <c r="A1781" t="e" vm="576">
        <v>#VALUE!</v>
      </c>
      <c r="B1781" s="2">
        <v>45966</v>
      </c>
      <c r="C1781" t="str" cm="1">
        <f t="array" aca="1" ref="C1781" ca="1">_FV(A1781,"Ticker symbol",TRUE)</f>
        <v>DUOL</v>
      </c>
      <c r="D1781" s="4">
        <v>210.2</v>
      </c>
      <c r="E1781" s="50">
        <v>3</v>
      </c>
      <c r="F1781" s="81">
        <f>IF(Table25[[#This Row],[Number of stocks]]&gt;0,Table25[[#This Row],[Number of stocks]],0)</f>
        <v>3</v>
      </c>
      <c r="G1781" s="73">
        <f>Table25[[#This Row],[Bought]]*Table25[[#This Row],[Price]]</f>
        <v>630.59999999999991</v>
      </c>
      <c r="H1781">
        <f>SUMIF(Table25[[#All],[Assets]],Table25[[#This Row],[Assets]],Table25[[#All],[Bought]])</f>
        <v>33</v>
      </c>
      <c r="I1781">
        <f>SUMIF(Table25[[#All],[Assets]],Table25[[#This Row],[Assets]],Table25[[#All],[Bought Amount]])</f>
        <v>8243.81</v>
      </c>
      <c r="J1781" s="88">
        <f>IF(Table25[[#This Row],[Number of stocks]]&lt;0,Table25[[#This Row],[Number of stocks]],0)</f>
        <v>0</v>
      </c>
      <c r="K1781" s="5">
        <f>Table25[[#This Row],[Sold]]*Table25[[#This Row],[Price]]</f>
        <v>0</v>
      </c>
      <c r="L1781" s="8">
        <f>ABS(SUMIF(Table25[[#All],[Assets]],Table25[[#This Row],[Assets]],Table25[[#All],[Sold]]))</f>
        <v>43</v>
      </c>
      <c r="M1781" s="5">
        <f>ABS(SUMIF(Table25[[#All],[Assets]],Table25[[#This Row],[Assets]],Table25[[#All],[Sold Amount]]))</f>
        <v>8577.89</v>
      </c>
      <c r="N1781" s="5">
        <f>IFERROR(Table25[[#This Row],[Total sold amount]]/Table25[[#This Row],[Total Sold number of stocks]],"")</f>
        <v>199.48581395348836</v>
      </c>
      <c r="O1781" s="4">
        <f>IFERROR(Table25[[#This Row],[Total Amount bought]]/Table25[[#This Row],[Total number bought]],"")</f>
        <v>249.81242424242421</v>
      </c>
      <c r="P1781" s="4">
        <f>IFERROR((Table25[[#This Row],[Average sell price]]-Table25[[#This Row],[Average buy price]])*Table25[[#This Row],[Total Sold number of stocks]],0)</f>
        <v>-2164.0442424242419</v>
      </c>
      <c r="Q1781" s="85">
        <f>SUMIF(Table25[[#All],[Assets]],Table25[[#This Row],[Assets]],Table25[[#All],[Number of stocks]])</f>
        <v>-10</v>
      </c>
    </row>
    <row r="1782" spans="1:17">
      <c r="A1782" t="e" vm="3">
        <v>#VALUE!</v>
      </c>
      <c r="B1782" s="2">
        <v>45968</v>
      </c>
      <c r="C1782" t="str" cm="1">
        <f t="array" aca="1" ref="C1782" ca="1">_FV(A1782,"Ticker symbol",TRUE)</f>
        <v>UMAC</v>
      </c>
      <c r="D1782" s="4">
        <v>9.49</v>
      </c>
      <c r="E1782" s="50">
        <v>-60</v>
      </c>
      <c r="F1782" s="81">
        <f>IF(Table25[[#This Row],[Number of stocks]]&gt;0,Table25[[#This Row],[Number of stocks]],0)</f>
        <v>0</v>
      </c>
      <c r="G1782" s="73">
        <f>Table25[[#This Row],[Bought]]*Table25[[#This Row],[Price]]</f>
        <v>0</v>
      </c>
      <c r="H1782">
        <f>SUMIF(Table25[[#All],[Assets]],Table25[[#This Row],[Assets]],Table25[[#All],[Bought]])</f>
        <v>96</v>
      </c>
      <c r="I1782">
        <f>SUMIF(Table25[[#All],[Assets]],Table25[[#This Row],[Assets]],Table25[[#All],[Bought Amount]])</f>
        <v>1288.8</v>
      </c>
      <c r="J1782" s="88">
        <f>IF(Table25[[#This Row],[Number of stocks]]&lt;0,Table25[[#This Row],[Number of stocks]],0)</f>
        <v>-60</v>
      </c>
      <c r="K1782" s="5">
        <f>Table25[[#This Row],[Sold]]*Table25[[#This Row],[Price]]</f>
        <v>-569.4</v>
      </c>
      <c r="L1782" s="8">
        <f>ABS(SUMIF(Table25[[#All],[Assets]],Table25[[#This Row],[Assets]],Table25[[#All],[Sold]]))</f>
        <v>60</v>
      </c>
      <c r="M1782" s="5">
        <f>ABS(SUMIF(Table25[[#All],[Assets]],Table25[[#This Row],[Assets]],Table25[[#All],[Sold Amount]]))</f>
        <v>569.4</v>
      </c>
      <c r="N1782" s="5">
        <f>IFERROR(Table25[[#This Row],[Total sold amount]]/Table25[[#This Row],[Total Sold number of stocks]],"")</f>
        <v>9.49</v>
      </c>
      <c r="O1782" s="4">
        <f>IFERROR(Table25[[#This Row],[Total Amount bought]]/Table25[[#This Row],[Total number bought]],"")</f>
        <v>13.424999999999999</v>
      </c>
      <c r="P1782" s="4">
        <f>IFERROR((Table25[[#This Row],[Average sell price]]-Table25[[#This Row],[Average buy price]])*Table25[[#This Row],[Total Sold number of stocks]],0)</f>
        <v>-236.09999999999991</v>
      </c>
      <c r="Q1782" s="85">
        <f>SUMIF(Table25[[#All],[Assets]],Table25[[#This Row],[Assets]],Table25[[#All],[Number of stocks]])</f>
        <v>36</v>
      </c>
    </row>
    <row r="1783" spans="1:17">
      <c r="A1783" t="e" vm="80">
        <v>#VALUE!</v>
      </c>
      <c r="B1783" s="2">
        <v>45968</v>
      </c>
      <c r="C1783" t="str" cm="1">
        <f t="array" aca="1" ref="C1783" ca="1">_FV(A1783,"Ticker symbol",TRUE)</f>
        <v>PYPL</v>
      </c>
      <c r="D1783" s="4">
        <v>65.81</v>
      </c>
      <c r="E1783" s="50">
        <v>-16</v>
      </c>
      <c r="F1783" s="81">
        <f>IF(Table25[[#This Row],[Number of stocks]]&gt;0,Table25[[#This Row],[Number of stocks]],0)</f>
        <v>0</v>
      </c>
      <c r="G1783" s="73">
        <f>Table25[[#This Row],[Bought]]*Table25[[#This Row],[Price]]</f>
        <v>0</v>
      </c>
      <c r="H1783">
        <f>SUMIF(Table25[[#All],[Assets]],Table25[[#This Row],[Assets]],Table25[[#All],[Bought]])</f>
        <v>223</v>
      </c>
      <c r="I1783">
        <f>SUMIF(Table25[[#All],[Assets]],Table25[[#This Row],[Assets]],Table25[[#All],[Bought Amount]])</f>
        <v>14862.050000000003</v>
      </c>
      <c r="J1783" s="88">
        <f>IF(Table25[[#This Row],[Number of stocks]]&lt;0,Table25[[#This Row],[Number of stocks]],0)</f>
        <v>-16</v>
      </c>
      <c r="K1783" s="5">
        <f>Table25[[#This Row],[Sold]]*Table25[[#This Row],[Price]]</f>
        <v>-1052.96</v>
      </c>
      <c r="L1783" s="8">
        <f>ABS(SUMIF(Table25[[#All],[Assets]],Table25[[#This Row],[Assets]],Table25[[#All],[Sold]]))</f>
        <v>222</v>
      </c>
      <c r="M1783" s="5">
        <f>ABS(SUMIF(Table25[[#All],[Assets]],Table25[[#This Row],[Assets]],Table25[[#All],[Sold Amount]]))</f>
        <v>15255.44</v>
      </c>
      <c r="N1783" s="5">
        <f>IFERROR(Table25[[#This Row],[Total sold amount]]/Table25[[#This Row],[Total Sold number of stocks]],"")</f>
        <v>68.718198198198195</v>
      </c>
      <c r="O1783" s="4">
        <f>IFERROR(Table25[[#This Row],[Total Amount bought]]/Table25[[#This Row],[Total number bought]],"")</f>
        <v>66.645964125560553</v>
      </c>
      <c r="P1783" s="4">
        <f>IFERROR((Table25[[#This Row],[Average sell price]]-Table25[[#This Row],[Average buy price]])*Table25[[#This Row],[Total Sold number of stocks]],0)</f>
        <v>460.03596412555646</v>
      </c>
      <c r="Q1783" s="85">
        <f>SUMIF(Table25[[#All],[Assets]],Table25[[#This Row],[Assets]],Table25[[#All],[Number of stocks]])</f>
        <v>1</v>
      </c>
    </row>
    <row r="1784" spans="1:17">
      <c r="A1784" t="e" vm="75">
        <v>#VALUE!</v>
      </c>
      <c r="B1784" s="2">
        <v>45968</v>
      </c>
      <c r="C1784" t="str" cm="1">
        <f t="array" aca="1" ref="C1784" ca="1">_FV(A1784,"Ticker symbol",TRUE)</f>
        <v>QTRX</v>
      </c>
      <c r="D1784" s="4">
        <v>4.8600000000000003</v>
      </c>
      <c r="E1784" s="50">
        <v>-115</v>
      </c>
      <c r="F1784" s="81">
        <f>IF(Table25[[#This Row],[Number of stocks]]&gt;0,Table25[[#This Row],[Number of stocks]],0)</f>
        <v>0</v>
      </c>
      <c r="G1784" s="73">
        <f>Table25[[#This Row],[Bought]]*Table25[[#This Row],[Price]]</f>
        <v>0</v>
      </c>
      <c r="H1784">
        <f>SUMIF(Table25[[#All],[Assets]],Table25[[#This Row],[Assets]],Table25[[#All],[Bought]])</f>
        <v>1492</v>
      </c>
      <c r="I1784">
        <f>SUMIF(Table25[[#All],[Assets]],Table25[[#This Row],[Assets]],Table25[[#All],[Bought Amount]])</f>
        <v>10313.249999999998</v>
      </c>
      <c r="J1784" s="88">
        <f>IF(Table25[[#This Row],[Number of stocks]]&lt;0,Table25[[#This Row],[Number of stocks]],0)</f>
        <v>-115</v>
      </c>
      <c r="K1784" s="5">
        <f>Table25[[#This Row],[Sold]]*Table25[[#This Row],[Price]]</f>
        <v>-558.90000000000009</v>
      </c>
      <c r="L1784" s="8">
        <f>ABS(SUMIF(Table25[[#All],[Assets]],Table25[[#This Row],[Assets]],Table25[[#All],[Sold]]))</f>
        <v>1492</v>
      </c>
      <c r="M1784" s="5">
        <f>ABS(SUMIF(Table25[[#All],[Assets]],Table25[[#This Row],[Assets]],Table25[[#All],[Sold Amount]]))</f>
        <v>8408.35</v>
      </c>
      <c r="N1784" s="5">
        <f>IFERROR(Table25[[#This Row],[Total sold amount]]/Table25[[#This Row],[Total Sold number of stocks]],"")</f>
        <v>5.635623324396783</v>
      </c>
      <c r="O1784" s="4">
        <f>IFERROR(Table25[[#This Row],[Total Amount bought]]/Table25[[#This Row],[Total number bought]],"")</f>
        <v>6.9123659517426264</v>
      </c>
      <c r="P1784" s="4">
        <f>IFERROR((Table25[[#This Row],[Average sell price]]-Table25[[#This Row],[Average buy price]])*Table25[[#This Row],[Total Sold number of stocks]],0)</f>
        <v>-1904.8999999999983</v>
      </c>
      <c r="Q1784" s="85">
        <f>SUMIF(Table25[[#All],[Assets]],Table25[[#This Row],[Assets]],Table25[[#All],[Number of stocks]])</f>
        <v>0</v>
      </c>
    </row>
    <row r="1785" spans="1:17">
      <c r="A1785" t="e" vm="190">
        <v>#VALUE!</v>
      </c>
      <c r="B1785" s="2">
        <v>45968</v>
      </c>
      <c r="C1785" t="str" cm="1">
        <f t="array" aca="1" ref="C1785" ca="1">_FV(A1785,"Ticker symbol",TRUE)</f>
        <v>LASR</v>
      </c>
      <c r="D1785" s="4">
        <v>34.42</v>
      </c>
      <c r="E1785" s="50">
        <v>19</v>
      </c>
      <c r="F1785" s="81">
        <f>IF(Table25[[#This Row],[Number of stocks]]&gt;0,Table25[[#This Row],[Number of stocks]],0)</f>
        <v>19</v>
      </c>
      <c r="G1785" s="73">
        <f>Table25[[#This Row],[Bought]]*Table25[[#This Row],[Price]]</f>
        <v>653.98</v>
      </c>
      <c r="H1785">
        <f>SUMIF(Table25[[#All],[Assets]],Table25[[#This Row],[Assets]],Table25[[#All],[Bought]])</f>
        <v>59</v>
      </c>
      <c r="I1785">
        <f>SUMIF(Table25[[#All],[Assets]],Table25[[#This Row],[Assets]],Table25[[#All],[Bought Amount]])</f>
        <v>2261.08</v>
      </c>
      <c r="J1785" s="88">
        <f>IF(Table25[[#This Row],[Number of stocks]]&lt;0,Table25[[#This Row],[Number of stocks]],0)</f>
        <v>0</v>
      </c>
      <c r="K1785" s="5">
        <f>Table25[[#This Row],[Sold]]*Table25[[#This Row],[Price]]</f>
        <v>0</v>
      </c>
      <c r="L1785" s="8">
        <f>ABS(SUMIF(Table25[[#All],[Assets]],Table25[[#This Row],[Assets]],Table25[[#All],[Sold]]))</f>
        <v>10</v>
      </c>
      <c r="M1785" s="5">
        <f>ABS(SUMIF(Table25[[#All],[Assets]],Table25[[#This Row],[Assets]],Table25[[#All],[Sold Amount]]))</f>
        <v>322.8</v>
      </c>
      <c r="N1785" s="5">
        <f>IFERROR(Table25[[#This Row],[Total sold amount]]/Table25[[#This Row],[Total Sold number of stocks]],"")</f>
        <v>32.28</v>
      </c>
      <c r="O1785" s="4">
        <f>IFERROR(Table25[[#This Row],[Total Amount bought]]/Table25[[#This Row],[Total number bought]],"")</f>
        <v>38.323389830508475</v>
      </c>
      <c r="P1785" s="4">
        <f>IFERROR((Table25[[#This Row],[Average sell price]]-Table25[[#This Row],[Average buy price]])*Table25[[#This Row],[Total Sold number of stocks]],0)</f>
        <v>-60.433898305084739</v>
      </c>
      <c r="Q1785" s="85">
        <f>SUMIF(Table25[[#All],[Assets]],Table25[[#This Row],[Assets]],Table25[[#All],[Number of stocks]])</f>
        <v>49</v>
      </c>
    </row>
    <row r="1786" spans="1:17">
      <c r="A1786" t="e" vm="72">
        <v>#VALUE!</v>
      </c>
      <c r="B1786" s="2">
        <v>45972</v>
      </c>
      <c r="C1786" t="str" cm="1">
        <f t="array" aca="1" ref="C1786" ca="1">_FV(A1786,"Ticker symbol",TRUE)</f>
        <v>AIRS</v>
      </c>
      <c r="D1786" s="4">
        <v>5.93</v>
      </c>
      <c r="E1786" s="50">
        <v>-220</v>
      </c>
      <c r="F1786" s="81">
        <f>IF(Table25[[#This Row],[Number of stocks]]&gt;0,Table25[[#This Row],[Number of stocks]],0)</f>
        <v>0</v>
      </c>
      <c r="G1786" s="73">
        <f>Table25[[#This Row],[Bought]]*Table25[[#This Row],[Price]]</f>
        <v>0</v>
      </c>
      <c r="H1786">
        <f>SUMIF(Table25[[#All],[Assets]],Table25[[#This Row],[Assets]],Table25[[#All],[Bought]])</f>
        <v>2980</v>
      </c>
      <c r="I1786">
        <f>SUMIF(Table25[[#All],[Assets]],Table25[[#This Row],[Assets]],Table25[[#All],[Bought Amount]])</f>
        <v>14267.900000000001</v>
      </c>
      <c r="J1786" s="88">
        <f>IF(Table25[[#This Row],[Number of stocks]]&lt;0,Table25[[#This Row],[Number of stocks]],0)</f>
        <v>-220</v>
      </c>
      <c r="K1786" s="5">
        <f>Table25[[#This Row],[Sold]]*Table25[[#This Row],[Price]]</f>
        <v>-1304.5999999999999</v>
      </c>
      <c r="L1786" s="8">
        <f>ABS(SUMIF(Table25[[#All],[Assets]],Table25[[#This Row],[Assets]],Table25[[#All],[Sold]]))</f>
        <v>2360</v>
      </c>
      <c r="M1786" s="5">
        <f>ABS(SUMIF(Table25[[#All],[Assets]],Table25[[#This Row],[Assets]],Table25[[#All],[Sold Amount]]))</f>
        <v>7796.6</v>
      </c>
      <c r="N1786" s="5">
        <f>IFERROR(Table25[[#This Row],[Total sold amount]]/Table25[[#This Row],[Total Sold number of stocks]],"")</f>
        <v>3.3036440677966104</v>
      </c>
      <c r="O1786" s="4">
        <f>IFERROR(Table25[[#This Row],[Total Amount bought]]/Table25[[#This Row],[Total number bought]],"")</f>
        <v>4.7878859060402688</v>
      </c>
      <c r="P1786" s="4">
        <f>IFERROR((Table25[[#This Row],[Average sell price]]-Table25[[#This Row],[Average buy price]])*Table25[[#This Row],[Total Sold number of stocks]],0)</f>
        <v>-3502.8107382550338</v>
      </c>
      <c r="Q1786" s="85">
        <f>SUMIF(Table25[[#All],[Assets]],Table25[[#This Row],[Assets]],Table25[[#All],[Number of stocks]])</f>
        <v>620</v>
      </c>
    </row>
    <row r="1787" spans="1:17">
      <c r="A1787" t="e" vm="77">
        <v>#VALUE!</v>
      </c>
      <c r="B1787" s="2">
        <v>45972</v>
      </c>
      <c r="C1787" t="str" cm="1">
        <f t="array" aca="1" ref="C1787" ca="1">_FV(A1787,"Ticker symbol",TRUE)</f>
        <v>STIM</v>
      </c>
      <c r="D1787" s="4">
        <v>2.04</v>
      </c>
      <c r="E1787" s="50">
        <v>-295</v>
      </c>
      <c r="F1787" s="81">
        <f>IF(Table25[[#This Row],[Number of stocks]]&gt;0,Table25[[#This Row],[Number of stocks]],0)</f>
        <v>0</v>
      </c>
      <c r="G1787" s="73">
        <f>Table25[[#This Row],[Bought]]*Table25[[#This Row],[Price]]</f>
        <v>0</v>
      </c>
      <c r="H1787">
        <f>SUMIF(Table25[[#All],[Assets]],Table25[[#This Row],[Assets]],Table25[[#All],[Bought]])</f>
        <v>7036.45</v>
      </c>
      <c r="I1787">
        <f>SUMIF(Table25[[#All],[Assets]],Table25[[#This Row],[Assets]],Table25[[#All],[Bought Amount]])</f>
        <v>19162.260000000002</v>
      </c>
      <c r="J1787" s="88">
        <f>IF(Table25[[#This Row],[Number of stocks]]&lt;0,Table25[[#This Row],[Number of stocks]],0)</f>
        <v>-295</v>
      </c>
      <c r="K1787" s="5">
        <f>Table25[[#This Row],[Sold]]*Table25[[#This Row],[Price]]</f>
        <v>-601.79999999999995</v>
      </c>
      <c r="L1787" s="8">
        <f>ABS(SUMIF(Table25[[#All],[Assets]],Table25[[#This Row],[Assets]],Table25[[#All],[Sold]]))</f>
        <v>6686.45</v>
      </c>
      <c r="M1787" s="5">
        <f>ABS(SUMIF(Table25[[#All],[Assets]],Table25[[#This Row],[Assets]],Table25[[#All],[Sold Amount]]))</f>
        <v>19226.484999999997</v>
      </c>
      <c r="N1787" s="5">
        <f>IFERROR(Table25[[#This Row],[Total sold amount]]/Table25[[#This Row],[Total Sold number of stocks]],"")</f>
        <v>2.8754398821497205</v>
      </c>
      <c r="O1787" s="4">
        <f>IFERROR(Table25[[#This Row],[Total Amount bought]]/Table25[[#This Row],[Total number bought]],"")</f>
        <v>2.7232851793162749</v>
      </c>
      <c r="P1787" s="4">
        <f>IFERROR((Table25[[#This Row],[Average sell price]]-Table25[[#This Row],[Average buy price]])*Table25[[#This Row],[Total Sold number of stocks]],0)</f>
        <v>1017.3748127606921</v>
      </c>
      <c r="Q1787" s="85">
        <f>SUMIF(Table25[[#All],[Assets]],Table25[[#This Row],[Assets]],Table25[[#All],[Number of stocks]])</f>
        <v>349.99999999999977</v>
      </c>
    </row>
    <row r="1788" spans="1:17">
      <c r="A1788" t="e" vm="87">
        <v>#VALUE!</v>
      </c>
      <c r="B1788" s="2">
        <v>45972</v>
      </c>
      <c r="C1788" t="str" cm="1">
        <f t="array" aca="1" ref="C1788" ca="1">_FV(A1788,"Ticker symbol",TRUE)</f>
        <v>PGY</v>
      </c>
      <c r="D1788" s="4">
        <v>28.71</v>
      </c>
      <c r="E1788" s="50">
        <v>50</v>
      </c>
      <c r="F1788" s="81">
        <f>IF(Table25[[#This Row],[Number of stocks]]&gt;0,Table25[[#This Row],[Number of stocks]],0)</f>
        <v>50</v>
      </c>
      <c r="G1788" s="73">
        <f>Table25[[#This Row],[Bought]]*Table25[[#This Row],[Price]]</f>
        <v>1435.5</v>
      </c>
      <c r="H1788">
        <f>SUMIF(Table25[[#All],[Assets]],Table25[[#This Row],[Assets]],Table25[[#All],[Bought]])</f>
        <v>120</v>
      </c>
      <c r="I1788">
        <f>SUMIF(Table25[[#All],[Assets]],Table25[[#This Row],[Assets]],Table25[[#All],[Bought Amount]])</f>
        <v>3442.1000000000004</v>
      </c>
      <c r="J1788" s="88">
        <f>IF(Table25[[#This Row],[Number of stocks]]&lt;0,Table25[[#This Row],[Number of stocks]],0)</f>
        <v>0</v>
      </c>
      <c r="K1788" s="5">
        <f>Table25[[#This Row],[Sold]]*Table25[[#This Row],[Price]]</f>
        <v>0</v>
      </c>
      <c r="L1788" s="8">
        <f>ABS(SUMIF(Table25[[#All],[Assets]],Table25[[#This Row],[Assets]],Table25[[#All],[Sold]]))</f>
        <v>120</v>
      </c>
      <c r="M1788" s="5">
        <f>ABS(SUMIF(Table25[[#All],[Assets]],Table25[[#This Row],[Assets]],Table25[[#All],[Sold Amount]]))</f>
        <v>2686.8999999999996</v>
      </c>
      <c r="N1788" s="5">
        <f>IFERROR(Table25[[#This Row],[Total sold amount]]/Table25[[#This Row],[Total Sold number of stocks]],"")</f>
        <v>22.39083333333333</v>
      </c>
      <c r="O1788" s="4">
        <f>IFERROR(Table25[[#This Row],[Total Amount bought]]/Table25[[#This Row],[Total number bought]],"")</f>
        <v>28.68416666666667</v>
      </c>
      <c r="P1788" s="4">
        <f>IFERROR((Table25[[#This Row],[Average sell price]]-Table25[[#This Row],[Average buy price]])*Table25[[#This Row],[Total Sold number of stocks]],0)</f>
        <v>-755.20000000000084</v>
      </c>
      <c r="Q1788" s="85">
        <f>SUMIF(Table25[[#All],[Assets]],Table25[[#This Row],[Assets]],Table25[[#All],[Number of stocks]])</f>
        <v>0</v>
      </c>
    </row>
    <row r="1789" spans="1:17">
      <c r="A1789" t="e" vm="199">
        <v>#VALUE!</v>
      </c>
      <c r="B1789" s="2">
        <v>45972</v>
      </c>
      <c r="C1789" t="str" cm="1">
        <f t="array" aca="1" ref="C1789" ca="1">_FV(A1789,"Ticker symbol",TRUE)</f>
        <v>HROW</v>
      </c>
      <c r="D1789" s="4">
        <v>35.369999999999997</v>
      </c>
      <c r="E1789" s="50">
        <v>13</v>
      </c>
      <c r="F1789" s="81">
        <f>IF(Table25[[#This Row],[Number of stocks]]&gt;0,Table25[[#This Row],[Number of stocks]],0)</f>
        <v>13</v>
      </c>
      <c r="G1789" s="73">
        <f>Table25[[#This Row],[Bought]]*Table25[[#This Row],[Price]]</f>
        <v>459.80999999999995</v>
      </c>
      <c r="H1789">
        <f>SUMIF(Table25[[#All],[Assets]],Table25[[#This Row],[Assets]],Table25[[#All],[Bought]])</f>
        <v>55</v>
      </c>
      <c r="I1789">
        <f>SUMIF(Table25[[#All],[Assets]],Table25[[#This Row],[Assets]],Table25[[#All],[Bought Amount]])</f>
        <v>2004.09</v>
      </c>
      <c r="J1789" s="88">
        <f>IF(Table25[[#This Row],[Number of stocks]]&lt;0,Table25[[#This Row],[Number of stocks]],0)</f>
        <v>0</v>
      </c>
      <c r="K1789" s="5">
        <f>Table25[[#This Row],[Sold]]*Table25[[#This Row],[Price]]</f>
        <v>0</v>
      </c>
      <c r="L1789" s="8">
        <f>ABS(SUMIF(Table25[[#All],[Assets]],Table25[[#This Row],[Assets]],Table25[[#All],[Sold]]))</f>
        <v>55</v>
      </c>
      <c r="M1789" s="5">
        <f>ABS(SUMIF(Table25[[#All],[Assets]],Table25[[#This Row],[Assets]],Table25[[#All],[Sold Amount]]))</f>
        <v>2792.46</v>
      </c>
      <c r="N1789" s="5">
        <f>IFERROR(Table25[[#This Row],[Total sold amount]]/Table25[[#This Row],[Total Sold number of stocks]],"")</f>
        <v>50.771999999999998</v>
      </c>
      <c r="O1789" s="4">
        <f>IFERROR(Table25[[#This Row],[Total Amount bought]]/Table25[[#This Row],[Total number bought]],"")</f>
        <v>36.437999999999995</v>
      </c>
      <c r="P1789" s="4">
        <f>IFERROR((Table25[[#This Row],[Average sell price]]-Table25[[#This Row],[Average buy price]])*Table25[[#This Row],[Total Sold number of stocks]],0)</f>
        <v>788.37000000000012</v>
      </c>
      <c r="Q1789" s="85">
        <f>SUMIF(Table25[[#All],[Assets]],Table25[[#This Row],[Assets]],Table25[[#All],[Number of stocks]])</f>
        <v>0</v>
      </c>
    </row>
    <row r="1790" spans="1:17">
      <c r="A1790" t="e" vm="576">
        <v>#VALUE!</v>
      </c>
      <c r="B1790" s="2">
        <v>45972</v>
      </c>
      <c r="C1790" t="str" cm="1">
        <f t="array" aca="1" ref="C1790" ca="1">_FV(A1790,"Ticker symbol",TRUE)</f>
        <v>DUOL</v>
      </c>
      <c r="D1790" s="4">
        <v>191.7</v>
      </c>
      <c r="E1790" s="50">
        <v>-11</v>
      </c>
      <c r="F1790" s="81">
        <f>IF(Table25[[#This Row],[Number of stocks]]&gt;0,Table25[[#This Row],[Number of stocks]],0)</f>
        <v>0</v>
      </c>
      <c r="G1790" s="73">
        <f>Table25[[#This Row],[Bought]]*Table25[[#This Row],[Price]]</f>
        <v>0</v>
      </c>
      <c r="H1790">
        <f>SUMIF(Table25[[#All],[Assets]],Table25[[#This Row],[Assets]],Table25[[#All],[Bought]])</f>
        <v>33</v>
      </c>
      <c r="I1790">
        <f>SUMIF(Table25[[#All],[Assets]],Table25[[#This Row],[Assets]],Table25[[#All],[Bought Amount]])</f>
        <v>8243.81</v>
      </c>
      <c r="J1790" s="88">
        <f>IF(Table25[[#This Row],[Number of stocks]]&lt;0,Table25[[#This Row],[Number of stocks]],0)</f>
        <v>-11</v>
      </c>
      <c r="K1790" s="5">
        <f>Table25[[#This Row],[Sold]]*Table25[[#This Row],[Price]]</f>
        <v>-2108.6999999999998</v>
      </c>
      <c r="L1790" s="8">
        <f>ABS(SUMIF(Table25[[#All],[Assets]],Table25[[#This Row],[Assets]],Table25[[#All],[Sold]]))</f>
        <v>43</v>
      </c>
      <c r="M1790" s="5">
        <f>ABS(SUMIF(Table25[[#All],[Assets]],Table25[[#This Row],[Assets]],Table25[[#All],[Sold Amount]]))</f>
        <v>8577.89</v>
      </c>
      <c r="N1790" s="5">
        <f>IFERROR(Table25[[#This Row],[Total sold amount]]/Table25[[#This Row],[Total Sold number of stocks]],"")</f>
        <v>199.48581395348836</v>
      </c>
      <c r="O1790" s="4">
        <f>IFERROR(Table25[[#This Row],[Total Amount bought]]/Table25[[#This Row],[Total number bought]],"")</f>
        <v>249.81242424242421</v>
      </c>
      <c r="P1790" s="4">
        <f>IFERROR((Table25[[#This Row],[Average sell price]]-Table25[[#This Row],[Average buy price]])*Table25[[#This Row],[Total Sold number of stocks]],0)</f>
        <v>-2164.0442424242419</v>
      </c>
      <c r="Q1790" s="85">
        <f>SUMIF(Table25[[#All],[Assets]],Table25[[#This Row],[Assets]],Table25[[#All],[Number of stocks]])</f>
        <v>-10</v>
      </c>
    </row>
    <row r="1791" spans="1:17">
      <c r="A1791" t="e" vm="77">
        <v>#VALUE!</v>
      </c>
      <c r="B1791" s="2">
        <v>45972</v>
      </c>
      <c r="C1791" t="str" cm="1">
        <f t="array" aca="1" ref="C1791" ca="1">_FV(A1791,"Ticker symbol",TRUE)</f>
        <v>STIM</v>
      </c>
      <c r="D1791" s="4">
        <v>2.0099999999999998</v>
      </c>
      <c r="E1791" s="50">
        <v>-392</v>
      </c>
      <c r="F1791" s="81">
        <f>IF(Table25[[#This Row],[Number of stocks]]&gt;0,Table25[[#This Row],[Number of stocks]],0)</f>
        <v>0</v>
      </c>
      <c r="G1791" s="73">
        <f>Table25[[#This Row],[Bought]]*Table25[[#This Row],[Price]]</f>
        <v>0</v>
      </c>
      <c r="H1791">
        <f>SUMIF(Table25[[#All],[Assets]],Table25[[#This Row],[Assets]],Table25[[#All],[Bought]])</f>
        <v>7036.45</v>
      </c>
      <c r="I1791">
        <f>SUMIF(Table25[[#All],[Assets]],Table25[[#This Row],[Assets]],Table25[[#All],[Bought Amount]])</f>
        <v>19162.260000000002</v>
      </c>
      <c r="J1791" s="88">
        <f>IF(Table25[[#This Row],[Number of stocks]]&lt;0,Table25[[#This Row],[Number of stocks]],0)</f>
        <v>-392</v>
      </c>
      <c r="K1791" s="5">
        <f>Table25[[#This Row],[Sold]]*Table25[[#This Row],[Price]]</f>
        <v>-787.92</v>
      </c>
      <c r="L1791" s="8">
        <f>ABS(SUMIF(Table25[[#All],[Assets]],Table25[[#This Row],[Assets]],Table25[[#All],[Sold]]))</f>
        <v>6686.45</v>
      </c>
      <c r="M1791" s="5">
        <f>ABS(SUMIF(Table25[[#All],[Assets]],Table25[[#This Row],[Assets]],Table25[[#All],[Sold Amount]]))</f>
        <v>19226.484999999997</v>
      </c>
      <c r="N1791" s="5">
        <f>IFERROR(Table25[[#This Row],[Total sold amount]]/Table25[[#This Row],[Total Sold number of stocks]],"")</f>
        <v>2.8754398821497205</v>
      </c>
      <c r="O1791" s="4">
        <f>IFERROR(Table25[[#This Row],[Total Amount bought]]/Table25[[#This Row],[Total number bought]],"")</f>
        <v>2.7232851793162749</v>
      </c>
      <c r="P1791" s="4">
        <f>IFERROR((Table25[[#This Row],[Average sell price]]-Table25[[#This Row],[Average buy price]])*Table25[[#This Row],[Total Sold number of stocks]],0)</f>
        <v>1017.3748127606921</v>
      </c>
      <c r="Q1791" s="85">
        <f>SUMIF(Table25[[#All],[Assets]],Table25[[#This Row],[Assets]],Table25[[#All],[Number of stocks]])</f>
        <v>349.99999999999977</v>
      </c>
    </row>
    <row r="1792" spans="1:17">
      <c r="A1792" t="e" vm="87">
        <v>#VALUE!</v>
      </c>
      <c r="B1792" s="2">
        <v>45972</v>
      </c>
      <c r="C1792" t="str" cm="1">
        <f t="array" aca="1" ref="C1792" ca="1">_FV(A1792,"Ticker symbol",TRUE)</f>
        <v>PGY</v>
      </c>
      <c r="D1792" s="4">
        <v>28.58</v>
      </c>
      <c r="E1792" s="50">
        <v>30</v>
      </c>
      <c r="F1792" s="81">
        <f>IF(Table25[[#This Row],[Number of stocks]]&gt;0,Table25[[#This Row],[Number of stocks]],0)</f>
        <v>30</v>
      </c>
      <c r="G1792" s="73">
        <f>Table25[[#This Row],[Bought]]*Table25[[#This Row],[Price]]</f>
        <v>857.4</v>
      </c>
      <c r="H1792">
        <f>SUMIF(Table25[[#All],[Assets]],Table25[[#This Row],[Assets]],Table25[[#All],[Bought]])</f>
        <v>120</v>
      </c>
      <c r="I1792">
        <f>SUMIF(Table25[[#All],[Assets]],Table25[[#This Row],[Assets]],Table25[[#All],[Bought Amount]])</f>
        <v>3442.1000000000004</v>
      </c>
      <c r="J1792" s="88">
        <f>IF(Table25[[#This Row],[Number of stocks]]&lt;0,Table25[[#This Row],[Number of stocks]],0)</f>
        <v>0</v>
      </c>
      <c r="K1792" s="5">
        <f>Table25[[#This Row],[Sold]]*Table25[[#This Row],[Price]]</f>
        <v>0</v>
      </c>
      <c r="L1792" s="8">
        <f>ABS(SUMIF(Table25[[#All],[Assets]],Table25[[#This Row],[Assets]],Table25[[#All],[Sold]]))</f>
        <v>120</v>
      </c>
      <c r="M1792" s="5">
        <f>ABS(SUMIF(Table25[[#All],[Assets]],Table25[[#This Row],[Assets]],Table25[[#All],[Sold Amount]]))</f>
        <v>2686.8999999999996</v>
      </c>
      <c r="N1792" s="5">
        <f>IFERROR(Table25[[#This Row],[Total sold amount]]/Table25[[#This Row],[Total Sold number of stocks]],"")</f>
        <v>22.39083333333333</v>
      </c>
      <c r="O1792" s="4">
        <f>IFERROR(Table25[[#This Row],[Total Amount bought]]/Table25[[#This Row],[Total number bought]],"")</f>
        <v>28.68416666666667</v>
      </c>
      <c r="P1792" s="4">
        <f>IFERROR((Table25[[#This Row],[Average sell price]]-Table25[[#This Row],[Average buy price]])*Table25[[#This Row],[Total Sold number of stocks]],0)</f>
        <v>-755.20000000000084</v>
      </c>
      <c r="Q1792" s="85">
        <f>SUMIF(Table25[[#All],[Assets]],Table25[[#This Row],[Assets]],Table25[[#All],[Number of stocks]])</f>
        <v>0</v>
      </c>
    </row>
    <row r="1793" spans="1:17">
      <c r="A1793" t="e" vm="203">
        <v>#VALUE!</v>
      </c>
      <c r="B1793" s="2">
        <v>45972</v>
      </c>
      <c r="C1793" t="str" cm="1">
        <f t="array" aca="1" ref="C1793" ca="1">_FV(A1793,"Ticker symbol",TRUE)</f>
        <v>TWLO</v>
      </c>
      <c r="D1793" s="4">
        <v>129.80000000000001</v>
      </c>
      <c r="E1793" s="50">
        <v>8</v>
      </c>
      <c r="F1793" s="81">
        <f>IF(Table25[[#This Row],[Number of stocks]]&gt;0,Table25[[#This Row],[Number of stocks]],0)</f>
        <v>8</v>
      </c>
      <c r="G1793" s="73">
        <f>Table25[[#This Row],[Bought]]*Table25[[#This Row],[Price]]</f>
        <v>1038.4000000000001</v>
      </c>
      <c r="H1793">
        <f>SUMIF(Table25[[#All],[Assets]],Table25[[#This Row],[Assets]],Table25[[#All],[Bought]])</f>
        <v>64</v>
      </c>
      <c r="I1793">
        <f>SUMIF(Table25[[#All],[Assets]],Table25[[#This Row],[Assets]],Table25[[#All],[Bought Amount]])</f>
        <v>7733.8899999999994</v>
      </c>
      <c r="J1793" s="88">
        <f>IF(Table25[[#This Row],[Number of stocks]]&lt;0,Table25[[#This Row],[Number of stocks]],0)</f>
        <v>0</v>
      </c>
      <c r="K1793" s="5">
        <f>Table25[[#This Row],[Sold]]*Table25[[#This Row],[Price]]</f>
        <v>0</v>
      </c>
      <c r="L1793" s="8">
        <f>ABS(SUMIF(Table25[[#All],[Assets]],Table25[[#This Row],[Assets]],Table25[[#All],[Sold]]))</f>
        <v>64</v>
      </c>
      <c r="M1793" s="5">
        <f>ABS(SUMIF(Table25[[#All],[Assets]],Table25[[#This Row],[Assets]],Table25[[#All],[Sold Amount]]))</f>
        <v>7331.26</v>
      </c>
      <c r="N1793" s="5">
        <f>IFERROR(Table25[[#This Row],[Total sold amount]]/Table25[[#This Row],[Total Sold number of stocks]],"")</f>
        <v>114.5509375</v>
      </c>
      <c r="O1793" s="4">
        <f>IFERROR(Table25[[#This Row],[Total Amount bought]]/Table25[[#This Row],[Total number bought]],"")</f>
        <v>120.84203124999999</v>
      </c>
      <c r="P1793" s="4">
        <f>IFERROR((Table25[[#This Row],[Average sell price]]-Table25[[#This Row],[Average buy price]])*Table25[[#This Row],[Total Sold number of stocks]],0)</f>
        <v>-402.6299999999992</v>
      </c>
      <c r="Q1793" s="85">
        <f>SUMIF(Table25[[#All],[Assets]],Table25[[#This Row],[Assets]],Table25[[#All],[Number of stocks]])</f>
        <v>0</v>
      </c>
    </row>
    <row r="1794" spans="1:17">
      <c r="A1794" t="e" vm="187">
        <v>#VALUE!</v>
      </c>
      <c r="B1794" s="2">
        <v>45972</v>
      </c>
      <c r="C1794" t="str" cm="1">
        <f t="array" aca="1" ref="C1794" ca="1">_FV(A1794,"Ticker symbol",TRUE)</f>
        <v>ZETA</v>
      </c>
      <c r="D1794" s="4">
        <v>19.95</v>
      </c>
      <c r="E1794" s="50">
        <v>50</v>
      </c>
      <c r="F1794" s="81">
        <f>IF(Table25[[#This Row],[Number of stocks]]&gt;0,Table25[[#This Row],[Number of stocks]],0)</f>
        <v>50</v>
      </c>
      <c r="G1794" s="73">
        <f>Table25[[#This Row],[Bought]]*Table25[[#This Row],[Price]]</f>
        <v>997.5</v>
      </c>
      <c r="H1794">
        <f>SUMIF(Table25[[#All],[Assets]],Table25[[#This Row],[Assets]],Table25[[#All],[Bought]])</f>
        <v>214</v>
      </c>
      <c r="I1794">
        <f>SUMIF(Table25[[#All],[Assets]],Table25[[#This Row],[Assets]],Table25[[#All],[Bought Amount]])</f>
        <v>4123.5200000000004</v>
      </c>
      <c r="J1794" s="88">
        <f>IF(Table25[[#This Row],[Number of stocks]]&lt;0,Table25[[#This Row],[Number of stocks]],0)</f>
        <v>0</v>
      </c>
      <c r="K1794" s="5">
        <f>Table25[[#This Row],[Sold]]*Table25[[#This Row],[Price]]</f>
        <v>0</v>
      </c>
      <c r="L1794" s="8">
        <f>ABS(SUMIF(Table25[[#All],[Assets]],Table25[[#This Row],[Assets]],Table25[[#All],[Sold]]))</f>
        <v>214</v>
      </c>
      <c r="M1794" s="5">
        <f>ABS(SUMIF(Table25[[#All],[Assets]],Table25[[#This Row],[Assets]],Table25[[#All],[Sold Amount]]))</f>
        <v>4425.6400000000003</v>
      </c>
      <c r="N1794" s="5">
        <f>IFERROR(Table25[[#This Row],[Total sold amount]]/Table25[[#This Row],[Total Sold number of stocks]],"")</f>
        <v>20.680560747663552</v>
      </c>
      <c r="O1794" s="4">
        <f>IFERROR(Table25[[#This Row],[Total Amount bought]]/Table25[[#This Row],[Total number bought]],"")</f>
        <v>19.268785046728976</v>
      </c>
      <c r="P1794" s="4">
        <f>IFERROR((Table25[[#This Row],[Average sell price]]-Table25[[#This Row],[Average buy price]])*Table25[[#This Row],[Total Sold number of stocks]],0)</f>
        <v>302.11999999999938</v>
      </c>
      <c r="Q1794" s="85">
        <f>SUMIF(Table25[[#All],[Assets]],Table25[[#This Row],[Assets]],Table25[[#All],[Number of stocks]])</f>
        <v>0</v>
      </c>
    </row>
    <row r="1795" spans="1:17">
      <c r="A1795" t="e" vm="226">
        <v>#VALUE!</v>
      </c>
      <c r="B1795" s="2">
        <v>45972</v>
      </c>
      <c r="C1795" t="str" cm="1">
        <f t="array" aca="1" ref="C1795" ca="1">_FV(A1795,"Ticker symbol",TRUE)</f>
        <v>WGHTQ</v>
      </c>
      <c r="D1795" s="4">
        <v>28.61</v>
      </c>
      <c r="E1795" s="50">
        <v>-30</v>
      </c>
      <c r="F1795" s="81">
        <f>IF(Table25[[#This Row],[Number of stocks]]&gt;0,Table25[[#This Row],[Number of stocks]],0)</f>
        <v>0</v>
      </c>
      <c r="G1795" s="73">
        <f>Table25[[#This Row],[Bought]]*Table25[[#This Row],[Price]]</f>
        <v>0</v>
      </c>
      <c r="H1795">
        <f>SUMIF(Table25[[#All],[Assets]],Table25[[#This Row],[Assets]],Table25[[#All],[Bought]])</f>
        <v>172</v>
      </c>
      <c r="I1795">
        <f>SUMIF(Table25[[#All],[Assets]],Table25[[#This Row],[Assets]],Table25[[#All],[Bought Amount]])</f>
        <v>5307.8900000000012</v>
      </c>
      <c r="J1795" s="88">
        <f>IF(Table25[[#This Row],[Number of stocks]]&lt;0,Table25[[#This Row],[Number of stocks]],0)</f>
        <v>-30</v>
      </c>
      <c r="K1795" s="5">
        <f>Table25[[#This Row],[Sold]]*Table25[[#This Row],[Price]]</f>
        <v>-858.3</v>
      </c>
      <c r="L1795" s="8">
        <f>ABS(SUMIF(Table25[[#All],[Assets]],Table25[[#This Row],[Assets]],Table25[[#All],[Sold]]))</f>
        <v>168</v>
      </c>
      <c r="M1795" s="5">
        <f>ABS(SUMIF(Table25[[#All],[Assets]],Table25[[#This Row],[Assets]],Table25[[#All],[Sold Amount]]))</f>
        <v>4668.4199999999992</v>
      </c>
      <c r="N1795" s="5">
        <f>IFERROR(Table25[[#This Row],[Total sold amount]]/Table25[[#This Row],[Total Sold number of stocks]],"")</f>
        <v>27.788214285714282</v>
      </c>
      <c r="O1795" s="4">
        <f>IFERROR(Table25[[#This Row],[Total Amount bought]]/Table25[[#This Row],[Total number bought]],"")</f>
        <v>30.859825581395356</v>
      </c>
      <c r="P1795" s="4">
        <f>IFERROR((Table25[[#This Row],[Average sell price]]-Table25[[#This Row],[Average buy price]])*Table25[[#This Row],[Total Sold number of stocks]],0)</f>
        <v>-516.03069767442025</v>
      </c>
      <c r="Q1795" s="85">
        <f>SUMIF(Table25[[#All],[Assets]],Table25[[#This Row],[Assets]],Table25[[#All],[Number of stocks]])</f>
        <v>4</v>
      </c>
    </row>
    <row r="1796" spans="1:17">
      <c r="A1796" t="e" vm="199">
        <v>#VALUE!</v>
      </c>
      <c r="B1796" s="2">
        <v>45972</v>
      </c>
      <c r="C1796" t="str" cm="1">
        <f t="array" aca="1" ref="C1796" ca="1">_FV(A1796,"Ticker symbol",TRUE)</f>
        <v>HROW</v>
      </c>
      <c r="D1796" s="4">
        <v>35.74</v>
      </c>
      <c r="E1796" s="50">
        <v>24</v>
      </c>
      <c r="F1796" s="81">
        <f>IF(Table25[[#This Row],[Number of stocks]]&gt;0,Table25[[#This Row],[Number of stocks]],0)</f>
        <v>24</v>
      </c>
      <c r="G1796" s="73">
        <f>Table25[[#This Row],[Bought]]*Table25[[#This Row],[Price]]</f>
        <v>857.76</v>
      </c>
      <c r="H1796">
        <f>SUMIF(Table25[[#All],[Assets]],Table25[[#This Row],[Assets]],Table25[[#All],[Bought]])</f>
        <v>55</v>
      </c>
      <c r="I1796">
        <f>SUMIF(Table25[[#All],[Assets]],Table25[[#This Row],[Assets]],Table25[[#All],[Bought Amount]])</f>
        <v>2004.09</v>
      </c>
      <c r="J1796" s="88">
        <f>IF(Table25[[#This Row],[Number of stocks]]&lt;0,Table25[[#This Row],[Number of stocks]],0)</f>
        <v>0</v>
      </c>
      <c r="K1796" s="5">
        <f>Table25[[#This Row],[Sold]]*Table25[[#This Row],[Price]]</f>
        <v>0</v>
      </c>
      <c r="L1796" s="8">
        <f>ABS(SUMIF(Table25[[#All],[Assets]],Table25[[#This Row],[Assets]],Table25[[#All],[Sold]]))</f>
        <v>55</v>
      </c>
      <c r="M1796" s="5">
        <f>ABS(SUMIF(Table25[[#All],[Assets]],Table25[[#This Row],[Assets]],Table25[[#All],[Sold Amount]]))</f>
        <v>2792.46</v>
      </c>
      <c r="N1796" s="5">
        <f>IFERROR(Table25[[#This Row],[Total sold amount]]/Table25[[#This Row],[Total Sold number of stocks]],"")</f>
        <v>50.771999999999998</v>
      </c>
      <c r="O1796" s="4">
        <f>IFERROR(Table25[[#This Row],[Total Amount bought]]/Table25[[#This Row],[Total number bought]],"")</f>
        <v>36.437999999999995</v>
      </c>
      <c r="P1796" s="4">
        <f>IFERROR((Table25[[#This Row],[Average sell price]]-Table25[[#This Row],[Average buy price]])*Table25[[#This Row],[Total Sold number of stocks]],0)</f>
        <v>788.37000000000012</v>
      </c>
      <c r="Q1796" s="85">
        <f>SUMIF(Table25[[#All],[Assets]],Table25[[#This Row],[Assets]],Table25[[#All],[Number of stocks]])</f>
        <v>0</v>
      </c>
    </row>
    <row r="1797" spans="1:17">
      <c r="A1797" t="e" vm="38">
        <v>#VALUE!</v>
      </c>
      <c r="B1797" s="2">
        <v>45972</v>
      </c>
      <c r="C1797" t="str" cm="1">
        <f t="array" aca="1" ref="C1797" ca="1">_FV(A1797,"Ticker symbol",TRUE)</f>
        <v>FSLR</v>
      </c>
      <c r="D1797" s="4">
        <v>265</v>
      </c>
      <c r="E1797" s="50">
        <v>-2</v>
      </c>
      <c r="F1797" s="81">
        <f>IF(Table25[[#This Row],[Number of stocks]]&gt;0,Table25[[#This Row],[Number of stocks]],0)</f>
        <v>0</v>
      </c>
      <c r="G1797" s="73">
        <f>Table25[[#This Row],[Bought]]*Table25[[#This Row],[Price]]</f>
        <v>0</v>
      </c>
      <c r="H1797">
        <f>SUMIF(Table25[[#All],[Assets]],Table25[[#This Row],[Assets]],Table25[[#All],[Bought]])</f>
        <v>18</v>
      </c>
      <c r="I1797">
        <f>SUMIF(Table25[[#All],[Assets]],Table25[[#This Row],[Assets]],Table25[[#All],[Bought Amount]])</f>
        <v>3079.49</v>
      </c>
      <c r="J1797" s="88">
        <f>IF(Table25[[#This Row],[Number of stocks]]&lt;0,Table25[[#This Row],[Number of stocks]],0)</f>
        <v>-2</v>
      </c>
      <c r="K1797" s="5">
        <f>Table25[[#This Row],[Sold]]*Table25[[#This Row],[Price]]</f>
        <v>-530</v>
      </c>
      <c r="L1797" s="8">
        <f>ABS(SUMIF(Table25[[#All],[Assets]],Table25[[#This Row],[Assets]],Table25[[#All],[Sold]]))</f>
        <v>18</v>
      </c>
      <c r="M1797" s="5">
        <f>ABS(SUMIF(Table25[[#All],[Assets]],Table25[[#This Row],[Assets]],Table25[[#All],[Sold Amount]]))</f>
        <v>4016.43</v>
      </c>
      <c r="N1797" s="5">
        <f>IFERROR(Table25[[#This Row],[Total sold amount]]/Table25[[#This Row],[Total Sold number of stocks]],"")</f>
        <v>223.13499999999999</v>
      </c>
      <c r="O1797" s="4">
        <f>IFERROR(Table25[[#This Row],[Total Amount bought]]/Table25[[#This Row],[Total number bought]],"")</f>
        <v>171.08277777777778</v>
      </c>
      <c r="P1797" s="4">
        <f>IFERROR((Table25[[#This Row],[Average sell price]]-Table25[[#This Row],[Average buy price]])*Table25[[#This Row],[Total Sold number of stocks]],0)</f>
        <v>936.93999999999983</v>
      </c>
      <c r="Q1797" s="85">
        <f>SUMIF(Table25[[#All],[Assets]],Table25[[#This Row],[Assets]],Table25[[#All],[Number of stocks]])</f>
        <v>0</v>
      </c>
    </row>
    <row r="1798" spans="1:17">
      <c r="A1798" t="e" vm="42">
        <v>#VALUE!</v>
      </c>
      <c r="B1798" s="2">
        <v>45972</v>
      </c>
      <c r="C1798" t="str" cm="1">
        <f t="array" aca="1" ref="C1798" ca="1">_FV(A1798,"Ticker symbol",TRUE)</f>
        <v>FLR</v>
      </c>
      <c r="D1798" s="4">
        <v>45.3</v>
      </c>
      <c r="E1798" s="50">
        <v>-12</v>
      </c>
      <c r="F1798" s="81">
        <f>IF(Table25[[#This Row],[Number of stocks]]&gt;0,Table25[[#This Row],[Number of stocks]],0)</f>
        <v>0</v>
      </c>
      <c r="G1798" s="73">
        <f>Table25[[#This Row],[Bought]]*Table25[[#This Row],[Price]]</f>
        <v>0</v>
      </c>
      <c r="H1798">
        <f>SUMIF(Table25[[#All],[Assets]],Table25[[#This Row],[Assets]],Table25[[#All],[Bought]])</f>
        <v>91</v>
      </c>
      <c r="I1798">
        <f>SUMIF(Table25[[#All],[Assets]],Table25[[#This Row],[Assets]],Table25[[#All],[Bought Amount]])</f>
        <v>4262.41</v>
      </c>
      <c r="J1798" s="88">
        <f>IF(Table25[[#This Row],[Number of stocks]]&lt;0,Table25[[#This Row],[Number of stocks]],0)</f>
        <v>-12</v>
      </c>
      <c r="K1798" s="5">
        <f>Table25[[#This Row],[Sold]]*Table25[[#This Row],[Price]]</f>
        <v>-543.59999999999991</v>
      </c>
      <c r="L1798" s="8">
        <f>ABS(SUMIF(Table25[[#All],[Assets]],Table25[[#This Row],[Assets]],Table25[[#All],[Sold]]))</f>
        <v>91</v>
      </c>
      <c r="M1798" s="5">
        <f>ABS(SUMIF(Table25[[#All],[Assets]],Table25[[#This Row],[Assets]],Table25[[#All],[Sold Amount]]))</f>
        <v>4467.7199999999993</v>
      </c>
      <c r="N1798" s="5">
        <f>IFERROR(Table25[[#This Row],[Total sold amount]]/Table25[[#This Row],[Total Sold number of stocks]],"")</f>
        <v>49.09582417582417</v>
      </c>
      <c r="O1798" s="4">
        <f>IFERROR(Table25[[#This Row],[Total Amount bought]]/Table25[[#This Row],[Total number bought]],"")</f>
        <v>46.839670329670327</v>
      </c>
      <c r="P1798" s="4">
        <f>IFERROR((Table25[[#This Row],[Average sell price]]-Table25[[#This Row],[Average buy price]])*Table25[[#This Row],[Total Sold number of stocks]],0)</f>
        <v>205.30999999999975</v>
      </c>
      <c r="Q1798" s="85">
        <f>SUMIF(Table25[[#All],[Assets]],Table25[[#This Row],[Assets]],Table25[[#All],[Number of stocks]])</f>
        <v>0</v>
      </c>
    </row>
    <row r="1799" spans="1:17">
      <c r="A1799" t="e" vm="203">
        <v>#VALUE!</v>
      </c>
      <c r="B1799" s="2">
        <v>45964</v>
      </c>
      <c r="C1799" t="str" cm="1">
        <f t="array" aca="1" ref="C1799" ca="1">_FV(A1799,"Ticker symbol",TRUE)</f>
        <v>TWLO</v>
      </c>
      <c r="D1799" s="4">
        <v>136.97999999999999</v>
      </c>
      <c r="E1799" s="50">
        <v>9</v>
      </c>
      <c r="F1799" s="81">
        <f>IF(Table25[[#This Row],[Number of stocks]]&gt;0,Table25[[#This Row],[Number of stocks]],0)</f>
        <v>9</v>
      </c>
      <c r="G1799" s="73">
        <f>Table25[[#This Row],[Bought]]*Table25[[#This Row],[Price]]</f>
        <v>1232.82</v>
      </c>
      <c r="H1799">
        <f>SUMIF(Table25[[#All],[Assets]],Table25[[#This Row],[Assets]],Table25[[#All],[Bought]])</f>
        <v>64</v>
      </c>
      <c r="I1799">
        <f>SUMIF(Table25[[#All],[Assets]],Table25[[#This Row],[Assets]],Table25[[#All],[Bought Amount]])</f>
        <v>7733.8899999999994</v>
      </c>
      <c r="J1799" s="88">
        <f>IF(Table25[[#This Row],[Number of stocks]]&lt;0,Table25[[#This Row],[Number of stocks]],0)</f>
        <v>0</v>
      </c>
      <c r="K1799" s="5">
        <f>Table25[[#This Row],[Sold]]*Table25[[#This Row],[Price]]</f>
        <v>0</v>
      </c>
      <c r="L1799" s="8">
        <f>ABS(SUMIF(Table25[[#All],[Assets]],Table25[[#This Row],[Assets]],Table25[[#All],[Sold]]))</f>
        <v>64</v>
      </c>
      <c r="M1799" s="5">
        <f>ABS(SUMIF(Table25[[#All],[Assets]],Table25[[#This Row],[Assets]],Table25[[#All],[Sold Amount]]))</f>
        <v>7331.26</v>
      </c>
      <c r="N1799" s="5">
        <f>IFERROR(Table25[[#This Row],[Total sold amount]]/Table25[[#This Row],[Total Sold number of stocks]],"")</f>
        <v>114.5509375</v>
      </c>
      <c r="O1799" s="4">
        <f>IFERROR(Table25[[#This Row],[Total Amount bought]]/Table25[[#This Row],[Total number bought]],"")</f>
        <v>120.84203124999999</v>
      </c>
      <c r="P1799" s="4">
        <f>IFERROR((Table25[[#This Row],[Average sell price]]-Table25[[#This Row],[Average buy price]])*Table25[[#This Row],[Total Sold number of stocks]],0)</f>
        <v>-402.6299999999992</v>
      </c>
      <c r="Q1799" s="85">
        <f>SUMIF(Table25[[#All],[Assets]],Table25[[#This Row],[Assets]],Table25[[#All],[Number of stocks]])</f>
        <v>0</v>
      </c>
    </row>
    <row r="1800" spans="1:17">
      <c r="A1800" s="245" t="e" vm="13">
        <v>#VALUE!</v>
      </c>
      <c r="B1800" s="2">
        <v>45964</v>
      </c>
      <c r="C1800" t="str" cm="1">
        <f t="array" aca="1" ref="C1800" ca="1">_FV(A1800,"Ticker symbol",TRUE)</f>
        <v>ON</v>
      </c>
      <c r="D1800" s="4">
        <v>50.16</v>
      </c>
      <c r="E1800" s="50">
        <v>-10</v>
      </c>
      <c r="F1800" s="81">
        <f>IF(Table25[[#This Row],[Number of stocks]]&gt;0,Table25[[#This Row],[Number of stocks]],0)</f>
        <v>0</v>
      </c>
      <c r="G1800" s="73">
        <f>Table25[[#This Row],[Bought]]*Table25[[#This Row],[Price]]</f>
        <v>0</v>
      </c>
      <c r="H1800">
        <f>SUMIF(Table25[[#All],[Assets]],Table25[[#This Row],[Assets]],Table25[[#All],[Bought]])</f>
        <v>326</v>
      </c>
      <c r="I1800">
        <f>SUMIF(Table25[[#All],[Assets]],Table25[[#This Row],[Assets]],Table25[[#All],[Bought Amount]])</f>
        <v>19172.809999999998</v>
      </c>
      <c r="J1800" s="88">
        <f>IF(Table25[[#This Row],[Number of stocks]]&lt;0,Table25[[#This Row],[Number of stocks]],0)</f>
        <v>-10</v>
      </c>
      <c r="K1800" s="5">
        <f>Table25[[#This Row],[Sold]]*Table25[[#This Row],[Price]]</f>
        <v>-501.59999999999997</v>
      </c>
      <c r="L1800" s="8">
        <f>ABS(SUMIF(Table25[[#All],[Assets]],Table25[[#This Row],[Assets]],Table25[[#All],[Sold]]))</f>
        <v>283</v>
      </c>
      <c r="M1800" s="5">
        <f>ABS(SUMIF(Table25[[#All],[Assets]],Table25[[#This Row],[Assets]],Table25[[#All],[Sold Amount]]))</f>
        <v>15700.74</v>
      </c>
      <c r="N1800" s="5">
        <f>IFERROR(Table25[[#This Row],[Total sold amount]]/Table25[[#This Row],[Total Sold number of stocks]],"")</f>
        <v>55.47964664310954</v>
      </c>
      <c r="O1800" s="4">
        <f>IFERROR(Table25[[#This Row],[Total Amount bought]]/Table25[[#This Row],[Total number bought]],"")</f>
        <v>58.812300613496923</v>
      </c>
      <c r="P1800" s="4">
        <f>IFERROR((Table25[[#This Row],[Average sell price]]-Table25[[#This Row],[Average buy price]])*Table25[[#This Row],[Total Sold number of stocks]],0)</f>
        <v>-943.14107361962954</v>
      </c>
      <c r="Q1800" s="85">
        <f>SUMIF(Table25[[#All],[Assets]],Table25[[#This Row],[Assets]],Table25[[#All],[Number of stocks]])</f>
        <v>43</v>
      </c>
    </row>
    <row r="1801" spans="1:17">
      <c r="A1801" t="e" vm="77">
        <v>#VALUE!</v>
      </c>
      <c r="B1801" s="2">
        <v>45965</v>
      </c>
      <c r="C1801" t="str" cm="1">
        <f t="array" aca="1" ref="C1801" ca="1">_FV(A1801,"Ticker symbol",TRUE)</f>
        <v>STIM</v>
      </c>
      <c r="D1801" s="4">
        <v>3.02</v>
      </c>
      <c r="E1801" s="50">
        <v>334</v>
      </c>
      <c r="F1801" s="81">
        <f>IF(Table25[[#This Row],[Number of stocks]]&gt;0,Table25[[#This Row],[Number of stocks]],0)</f>
        <v>334</v>
      </c>
      <c r="G1801" s="73">
        <f>Table25[[#This Row],[Bought]]*Table25[[#This Row],[Price]]</f>
        <v>1008.68</v>
      </c>
      <c r="H1801">
        <f>SUMIF(Table25[[#All],[Assets]],Table25[[#This Row],[Assets]],Table25[[#All],[Bought]])</f>
        <v>7036.45</v>
      </c>
      <c r="I1801">
        <f>SUMIF(Table25[[#All],[Assets]],Table25[[#This Row],[Assets]],Table25[[#All],[Bought Amount]])</f>
        <v>19162.260000000002</v>
      </c>
      <c r="J1801" s="88">
        <f>IF(Table25[[#This Row],[Number of stocks]]&lt;0,Table25[[#This Row],[Number of stocks]],0)</f>
        <v>0</v>
      </c>
      <c r="K1801" s="5">
        <f>Table25[[#This Row],[Sold]]*Table25[[#This Row],[Price]]</f>
        <v>0</v>
      </c>
      <c r="L1801" s="8">
        <f>ABS(SUMIF(Table25[[#All],[Assets]],Table25[[#This Row],[Assets]],Table25[[#All],[Sold]]))</f>
        <v>6686.45</v>
      </c>
      <c r="M1801" s="5">
        <f>ABS(SUMIF(Table25[[#All],[Assets]],Table25[[#This Row],[Assets]],Table25[[#All],[Sold Amount]]))</f>
        <v>19226.484999999997</v>
      </c>
      <c r="N1801" s="5">
        <f>IFERROR(Table25[[#This Row],[Total sold amount]]/Table25[[#This Row],[Total Sold number of stocks]],"")</f>
        <v>2.8754398821497205</v>
      </c>
      <c r="O1801" s="4">
        <f>IFERROR(Table25[[#This Row],[Total Amount bought]]/Table25[[#This Row],[Total number bought]],"")</f>
        <v>2.7232851793162749</v>
      </c>
      <c r="P1801" s="4">
        <f>IFERROR((Table25[[#This Row],[Average sell price]]-Table25[[#This Row],[Average buy price]])*Table25[[#This Row],[Total Sold number of stocks]],0)</f>
        <v>1017.3748127606921</v>
      </c>
      <c r="Q1801" s="85">
        <f>SUMIF(Table25[[#All],[Assets]],Table25[[#This Row],[Assets]],Table25[[#All],[Number of stocks]])</f>
        <v>349.99999999999977</v>
      </c>
    </row>
    <row r="1802" spans="1:17">
      <c r="A1802" t="e" vm="585">
        <v>#VALUE!</v>
      </c>
      <c r="B1802" s="2">
        <v>45965</v>
      </c>
      <c r="C1802" t="str" cm="1">
        <f t="array" aca="1" ref="C1802" ca="1">_FV(A1802,"Ticker symbol",TRUE)</f>
        <v>ASTH</v>
      </c>
      <c r="D1802" s="4">
        <v>33.6</v>
      </c>
      <c r="E1802" s="50">
        <v>20</v>
      </c>
      <c r="F1802" s="81">
        <f>IF(Table25[[#This Row],[Number of stocks]]&gt;0,Table25[[#This Row],[Number of stocks]],0)</f>
        <v>20</v>
      </c>
      <c r="G1802" s="73">
        <f>Table25[[#This Row],[Bought]]*Table25[[#This Row],[Price]]</f>
        <v>672</v>
      </c>
      <c r="H1802">
        <f>SUMIF(Table25[[#All],[Assets]],Table25[[#This Row],[Assets]],Table25[[#All],[Bought]])</f>
        <v>31</v>
      </c>
      <c r="I1802">
        <f>SUMIF(Table25[[#All],[Assets]],Table25[[#This Row],[Assets]],Table25[[#All],[Bought Amount]])</f>
        <v>1043.03</v>
      </c>
      <c r="J1802" s="88">
        <f>IF(Table25[[#This Row],[Number of stocks]]&lt;0,Table25[[#This Row],[Number of stocks]],0)</f>
        <v>0</v>
      </c>
      <c r="K1802" s="5">
        <f>Table25[[#This Row],[Sold]]*Table25[[#This Row],[Price]]</f>
        <v>0</v>
      </c>
      <c r="L1802" s="8">
        <f>ABS(SUMIF(Table25[[#All],[Assets]],Table25[[#This Row],[Assets]],Table25[[#All],[Sold]]))</f>
        <v>31</v>
      </c>
      <c r="M1802" s="5">
        <f>ABS(SUMIF(Table25[[#All],[Assets]],Table25[[#This Row],[Assets]],Table25[[#All],[Sold Amount]]))</f>
        <v>723.85</v>
      </c>
      <c r="N1802" s="5">
        <f>IFERROR(Table25[[#This Row],[Total sold amount]]/Table25[[#This Row],[Total Sold number of stocks]],"")</f>
        <v>23.35</v>
      </c>
      <c r="O1802" s="4">
        <f>IFERROR(Table25[[#This Row],[Total Amount bought]]/Table25[[#This Row],[Total number bought]],"")</f>
        <v>33.646129032258067</v>
      </c>
      <c r="P1802" s="4">
        <f>IFERROR((Table25[[#This Row],[Average sell price]]-Table25[[#This Row],[Average buy price]])*Table25[[#This Row],[Total Sold number of stocks]],0)</f>
        <v>-319.18</v>
      </c>
      <c r="Q1802" s="85">
        <f>SUMIF(Table25[[#All],[Assets]],Table25[[#This Row],[Assets]],Table25[[#All],[Number of stocks]])</f>
        <v>0</v>
      </c>
    </row>
    <row r="1803" spans="1:17">
      <c r="A1803" t="e" vm="226">
        <v>#VALUE!</v>
      </c>
      <c r="B1803" s="2">
        <v>45965</v>
      </c>
      <c r="C1803" t="str" cm="1">
        <f t="array" aca="1" ref="C1803" ca="1">_FV(A1803,"Ticker symbol",TRUE)</f>
        <v>WGHTQ</v>
      </c>
      <c r="D1803" s="4">
        <v>31.26</v>
      </c>
      <c r="E1803" s="50">
        <v>20</v>
      </c>
      <c r="F1803" s="81">
        <f>IF(Table25[[#This Row],[Number of stocks]]&gt;0,Table25[[#This Row],[Number of stocks]],0)</f>
        <v>20</v>
      </c>
      <c r="G1803" s="73">
        <f>Table25[[#This Row],[Bought]]*Table25[[#This Row],[Price]]</f>
        <v>625.20000000000005</v>
      </c>
      <c r="H1803">
        <f>SUMIF(Table25[[#All],[Assets]],Table25[[#This Row],[Assets]],Table25[[#All],[Bought]])</f>
        <v>172</v>
      </c>
      <c r="I1803">
        <f>SUMIF(Table25[[#All],[Assets]],Table25[[#This Row],[Assets]],Table25[[#All],[Bought Amount]])</f>
        <v>5307.8900000000012</v>
      </c>
      <c r="J1803" s="88">
        <f>IF(Table25[[#This Row],[Number of stocks]]&lt;0,Table25[[#This Row],[Number of stocks]],0)</f>
        <v>0</v>
      </c>
      <c r="K1803" s="5">
        <f>Table25[[#This Row],[Sold]]*Table25[[#This Row],[Price]]</f>
        <v>0</v>
      </c>
      <c r="L1803" s="8">
        <f>ABS(SUMIF(Table25[[#All],[Assets]],Table25[[#This Row],[Assets]],Table25[[#All],[Sold]]))</f>
        <v>168</v>
      </c>
      <c r="M1803" s="5">
        <f>ABS(SUMIF(Table25[[#All],[Assets]],Table25[[#This Row],[Assets]],Table25[[#All],[Sold Amount]]))</f>
        <v>4668.4199999999992</v>
      </c>
      <c r="N1803" s="5">
        <f>IFERROR(Table25[[#This Row],[Total sold amount]]/Table25[[#This Row],[Total Sold number of stocks]],"")</f>
        <v>27.788214285714282</v>
      </c>
      <c r="O1803" s="4">
        <f>IFERROR(Table25[[#This Row],[Total Amount bought]]/Table25[[#This Row],[Total number bought]],"")</f>
        <v>30.859825581395356</v>
      </c>
      <c r="P1803" s="4">
        <f>IFERROR((Table25[[#This Row],[Average sell price]]-Table25[[#This Row],[Average buy price]])*Table25[[#This Row],[Total Sold number of stocks]],0)</f>
        <v>-516.03069767442025</v>
      </c>
      <c r="Q1803" s="85">
        <f>SUMIF(Table25[[#All],[Assets]],Table25[[#This Row],[Assets]],Table25[[#All],[Number of stocks]])</f>
        <v>4</v>
      </c>
    </row>
    <row r="1804" spans="1:17">
      <c r="A1804" t="e" vm="74">
        <v>#VALUE!</v>
      </c>
      <c r="B1804" s="2">
        <v>45965</v>
      </c>
      <c r="C1804" t="str" cm="1">
        <f t="array" aca="1" ref="C1804" ca="1">_FV(A1804,"Ticker symbol",TRUE)</f>
        <v>XGN</v>
      </c>
      <c r="D1804" s="4">
        <v>11.09</v>
      </c>
      <c r="E1804" s="50">
        <v>50</v>
      </c>
      <c r="F1804" s="81">
        <f>IF(Table25[[#This Row],[Number of stocks]]&gt;0,Table25[[#This Row],[Number of stocks]],0)</f>
        <v>50</v>
      </c>
      <c r="G1804" s="73">
        <f>Table25[[#This Row],[Bought]]*Table25[[#This Row],[Price]]</f>
        <v>554.5</v>
      </c>
      <c r="H1804">
        <f>SUMIF(Table25[[#All],[Assets]],Table25[[#This Row],[Assets]],Table25[[#All],[Bought]])</f>
        <v>249</v>
      </c>
      <c r="I1804">
        <f>SUMIF(Table25[[#All],[Assets]],Table25[[#This Row],[Assets]],Table25[[#All],[Bought Amount]])</f>
        <v>1807.8</v>
      </c>
      <c r="J1804" s="88">
        <f>IF(Table25[[#This Row],[Number of stocks]]&lt;0,Table25[[#This Row],[Number of stocks]],0)</f>
        <v>0</v>
      </c>
      <c r="K1804" s="5">
        <f>Table25[[#This Row],[Sold]]*Table25[[#This Row],[Price]]</f>
        <v>0</v>
      </c>
      <c r="L1804" s="8">
        <f>ABS(SUMIF(Table25[[#All],[Assets]],Table25[[#This Row],[Assets]],Table25[[#All],[Sold]]))</f>
        <v>249</v>
      </c>
      <c r="M1804" s="5">
        <f>ABS(SUMIF(Table25[[#All],[Assets]],Table25[[#This Row],[Assets]],Table25[[#All],[Sold Amount]]))</f>
        <v>2313.8000000000002</v>
      </c>
      <c r="N1804" s="5">
        <f>IFERROR(Table25[[#This Row],[Total sold amount]]/Table25[[#This Row],[Total Sold number of stocks]],"")</f>
        <v>9.292369477911647</v>
      </c>
      <c r="O1804" s="4">
        <f>IFERROR(Table25[[#This Row],[Total Amount bought]]/Table25[[#This Row],[Total number bought]],"")</f>
        <v>7.2602409638554217</v>
      </c>
      <c r="P1804" s="4">
        <f>IFERROR((Table25[[#This Row],[Average sell price]]-Table25[[#This Row],[Average buy price]])*Table25[[#This Row],[Total Sold number of stocks]],0)</f>
        <v>506.00000000000011</v>
      </c>
      <c r="Q1804" s="85">
        <f>SUMIF(Table25[[#All],[Assets]],Table25[[#This Row],[Assets]],Table25[[#All],[Number of stocks]])</f>
        <v>0</v>
      </c>
    </row>
    <row r="1805" spans="1:17">
      <c r="A1805" t="e" vm="585">
        <v>#VALUE!</v>
      </c>
      <c r="B1805" s="2">
        <v>45965</v>
      </c>
      <c r="C1805" t="str" cm="1">
        <f t="array" aca="1" ref="C1805" ca="1">_FV(A1805,"Ticker symbol",TRUE)</f>
        <v>ASTH</v>
      </c>
      <c r="D1805" s="4">
        <v>33.729999999999997</v>
      </c>
      <c r="E1805" s="50">
        <v>11</v>
      </c>
      <c r="F1805" s="81">
        <f>IF(Table25[[#This Row],[Number of stocks]]&gt;0,Table25[[#This Row],[Number of stocks]],0)</f>
        <v>11</v>
      </c>
      <c r="G1805" s="73">
        <f>Table25[[#This Row],[Bought]]*Table25[[#This Row],[Price]]</f>
        <v>371.03</v>
      </c>
      <c r="H1805">
        <f>SUMIF(Table25[[#All],[Assets]],Table25[[#This Row],[Assets]],Table25[[#All],[Bought]])</f>
        <v>31</v>
      </c>
      <c r="I1805">
        <f>SUMIF(Table25[[#All],[Assets]],Table25[[#This Row],[Assets]],Table25[[#All],[Bought Amount]])</f>
        <v>1043.03</v>
      </c>
      <c r="J1805" s="88">
        <f>IF(Table25[[#This Row],[Number of stocks]]&lt;0,Table25[[#This Row],[Number of stocks]],0)</f>
        <v>0</v>
      </c>
      <c r="K1805" s="5">
        <f>Table25[[#This Row],[Sold]]*Table25[[#This Row],[Price]]</f>
        <v>0</v>
      </c>
      <c r="L1805" s="8">
        <f>ABS(SUMIF(Table25[[#All],[Assets]],Table25[[#This Row],[Assets]],Table25[[#All],[Sold]]))</f>
        <v>31</v>
      </c>
      <c r="M1805" s="5">
        <f>ABS(SUMIF(Table25[[#All],[Assets]],Table25[[#This Row],[Assets]],Table25[[#All],[Sold Amount]]))</f>
        <v>723.85</v>
      </c>
      <c r="N1805" s="5">
        <f>IFERROR(Table25[[#This Row],[Total sold amount]]/Table25[[#This Row],[Total Sold number of stocks]],"")</f>
        <v>23.35</v>
      </c>
      <c r="O1805" s="4">
        <f>IFERROR(Table25[[#This Row],[Total Amount bought]]/Table25[[#This Row],[Total number bought]],"")</f>
        <v>33.646129032258067</v>
      </c>
      <c r="P1805" s="4">
        <f>IFERROR((Table25[[#This Row],[Average sell price]]-Table25[[#This Row],[Average buy price]])*Table25[[#This Row],[Total Sold number of stocks]],0)</f>
        <v>-319.18</v>
      </c>
      <c r="Q1805" s="85">
        <f>SUMIF(Table25[[#All],[Assets]],Table25[[#This Row],[Assets]],Table25[[#All],[Number of stocks]])</f>
        <v>0</v>
      </c>
    </row>
    <row r="1806" spans="1:17">
      <c r="A1806" t="e" vm="71">
        <v>#VALUE!</v>
      </c>
      <c r="B1806" s="2">
        <v>45965</v>
      </c>
      <c r="C1806" t="str" cm="1">
        <f t="array" aca="1" ref="C1806" ca="1">_FV(A1806,"Ticker symbol",TRUE)</f>
        <v>TKNO</v>
      </c>
      <c r="D1806" s="4">
        <v>4.66</v>
      </c>
      <c r="E1806" s="50">
        <v>-463</v>
      </c>
      <c r="F1806" s="81">
        <f>IF(Table25[[#This Row],[Number of stocks]]&gt;0,Table25[[#This Row],[Number of stocks]],0)</f>
        <v>0</v>
      </c>
      <c r="G1806" s="73">
        <f>Table25[[#This Row],[Bought]]*Table25[[#This Row],[Price]]</f>
        <v>0</v>
      </c>
      <c r="H1806">
        <f>SUMIF(Table25[[#All],[Assets]],Table25[[#This Row],[Assets]],Table25[[#All],[Bought]])</f>
        <v>2166.0267990000002</v>
      </c>
      <c r="I1806">
        <f>SUMIF(Table25[[#All],[Assets]],Table25[[#This Row],[Assets]],Table25[[#All],[Bought Amount]])</f>
        <v>13370.91512648</v>
      </c>
      <c r="J1806" s="88">
        <f>IF(Table25[[#This Row],[Number of stocks]]&lt;0,Table25[[#This Row],[Number of stocks]],0)</f>
        <v>-463</v>
      </c>
      <c r="K1806" s="5">
        <f>Table25[[#This Row],[Sold]]*Table25[[#This Row],[Price]]</f>
        <v>-2157.58</v>
      </c>
      <c r="L1806" s="8">
        <f>ABS(SUMIF(Table25[[#All],[Assets]],Table25[[#This Row],[Assets]],Table25[[#All],[Sold]]))</f>
        <v>2083</v>
      </c>
      <c r="M1806" s="5">
        <f>ABS(SUMIF(Table25[[#All],[Assets]],Table25[[#This Row],[Assets]],Table25[[#All],[Sold Amount]]))</f>
        <v>11153.28</v>
      </c>
      <c r="N1806" s="5">
        <f>IFERROR(Table25[[#This Row],[Total sold amount]]/Table25[[#This Row],[Total Sold number of stocks]],"")</f>
        <v>5.3544311089774368</v>
      </c>
      <c r="O1806" s="4">
        <f>IFERROR(Table25[[#This Row],[Total Amount bought]]/Table25[[#This Row],[Total number bought]],"")</f>
        <v>6.1730146333614213</v>
      </c>
      <c r="P1806" s="4">
        <f>IFERROR((Table25[[#This Row],[Average sell price]]-Table25[[#This Row],[Average buy price]])*Table25[[#This Row],[Total Sold number of stocks]],0)</f>
        <v>-1705.1094812918398</v>
      </c>
      <c r="Q1806" s="85">
        <f>SUMIF(Table25[[#All],[Assets]],Table25[[#This Row],[Assets]],Table25[[#All],[Number of stocks]])</f>
        <v>83.026798999999983</v>
      </c>
    </row>
    <row r="1807" spans="1:17">
      <c r="A1807" t="e" vm="273">
        <v>#VALUE!</v>
      </c>
      <c r="B1807" s="2">
        <v>45965</v>
      </c>
      <c r="C1807" t="str" cm="1">
        <f t="array" aca="1" ref="C1807" ca="1">_FV(A1807,"Ticker symbol",TRUE)</f>
        <v>CVRX</v>
      </c>
      <c r="D1807" s="4">
        <v>9.83</v>
      </c>
      <c r="E1807" s="50">
        <v>110</v>
      </c>
      <c r="F1807" s="81">
        <f>IF(Table25[[#This Row],[Number of stocks]]&gt;0,Table25[[#This Row],[Number of stocks]],0)</f>
        <v>110</v>
      </c>
      <c r="G1807" s="73">
        <f>Table25[[#This Row],[Bought]]*Table25[[#This Row],[Price]]</f>
        <v>1081.3</v>
      </c>
      <c r="H1807">
        <f>SUMIF(Table25[[#All],[Assets]],Table25[[#This Row],[Assets]],Table25[[#All],[Bought]])</f>
        <v>560</v>
      </c>
      <c r="I1807">
        <f>SUMIF(Table25[[#All],[Assets]],Table25[[#This Row],[Assets]],Table25[[#All],[Bought Amount]])</f>
        <v>5451</v>
      </c>
      <c r="J1807" s="88">
        <f>IF(Table25[[#This Row],[Number of stocks]]&lt;0,Table25[[#This Row],[Number of stocks]],0)</f>
        <v>0</v>
      </c>
      <c r="K1807" s="5">
        <f>Table25[[#This Row],[Sold]]*Table25[[#This Row],[Price]]</f>
        <v>0</v>
      </c>
      <c r="L1807" s="8">
        <f>ABS(SUMIF(Table25[[#All],[Assets]],Table25[[#This Row],[Assets]],Table25[[#All],[Sold]]))</f>
        <v>560</v>
      </c>
      <c r="M1807" s="5">
        <f>ABS(SUMIF(Table25[[#All],[Assets]],Table25[[#This Row],[Assets]],Table25[[#All],[Sold Amount]]))</f>
        <v>4910.5499999999993</v>
      </c>
      <c r="N1807" s="5">
        <f>IFERROR(Table25[[#This Row],[Total sold amount]]/Table25[[#This Row],[Total Sold number of stocks]],"")</f>
        <v>8.7688392857142841</v>
      </c>
      <c r="O1807" s="4">
        <f>IFERROR(Table25[[#This Row],[Total Amount bought]]/Table25[[#This Row],[Total number bought]],"")</f>
        <v>9.7339285714285708</v>
      </c>
      <c r="P1807" s="4">
        <f>IFERROR((Table25[[#This Row],[Average sell price]]-Table25[[#This Row],[Average buy price]])*Table25[[#This Row],[Total Sold number of stocks]],0)</f>
        <v>-540.45000000000061</v>
      </c>
      <c r="Q1807" s="85">
        <f>SUMIF(Table25[[#All],[Assets]],Table25[[#This Row],[Assets]],Table25[[#All],[Number of stocks]])</f>
        <v>0</v>
      </c>
    </row>
    <row r="1808" spans="1:17">
      <c r="A1808" t="e" vm="274">
        <v>#VALUE!</v>
      </c>
      <c r="B1808" s="2">
        <v>45965</v>
      </c>
      <c r="C1808" t="str" cm="1">
        <f t="array" aca="1" ref="C1808" ca="1">_FV(A1808,"Ticker symbol",TRUE)</f>
        <v>AVTR</v>
      </c>
      <c r="D1808" s="4">
        <v>11.57</v>
      </c>
      <c r="E1808" s="50">
        <v>90</v>
      </c>
      <c r="F1808" s="81">
        <f>IF(Table25[[#This Row],[Number of stocks]]&gt;0,Table25[[#This Row],[Number of stocks]],0)</f>
        <v>90</v>
      </c>
      <c r="G1808" s="73">
        <f>Table25[[#This Row],[Bought]]*Table25[[#This Row],[Price]]</f>
        <v>1041.3</v>
      </c>
      <c r="H1808">
        <f>SUMIF(Table25[[#All],[Assets]],Table25[[#This Row],[Assets]],Table25[[#All],[Bought]])</f>
        <v>140</v>
      </c>
      <c r="I1808">
        <f>SUMIF(Table25[[#All],[Assets]],Table25[[#This Row],[Assets]],Table25[[#All],[Bought Amount]])</f>
        <v>2026.3</v>
      </c>
      <c r="J1808" s="88">
        <f>IF(Table25[[#This Row],[Number of stocks]]&lt;0,Table25[[#This Row],[Number of stocks]],0)</f>
        <v>0</v>
      </c>
      <c r="K1808" s="5">
        <f>Table25[[#This Row],[Sold]]*Table25[[#This Row],[Price]]</f>
        <v>0</v>
      </c>
      <c r="L1808" s="8">
        <f>ABS(SUMIF(Table25[[#All],[Assets]],Table25[[#This Row],[Assets]],Table25[[#All],[Sold]]))</f>
        <v>140</v>
      </c>
      <c r="M1808" s="5">
        <f>ABS(SUMIF(Table25[[#All],[Assets]],Table25[[#This Row],[Assets]],Table25[[#All],[Sold Amount]]))</f>
        <v>2139.8000000000002</v>
      </c>
      <c r="N1808" s="5">
        <f>IFERROR(Table25[[#This Row],[Total sold amount]]/Table25[[#This Row],[Total Sold number of stocks]],"")</f>
        <v>15.284285714285716</v>
      </c>
      <c r="O1808" s="4">
        <f>IFERROR(Table25[[#This Row],[Total Amount bought]]/Table25[[#This Row],[Total number bought]],"")</f>
        <v>14.473571428571429</v>
      </c>
      <c r="P1808" s="4">
        <f>IFERROR((Table25[[#This Row],[Average sell price]]-Table25[[#This Row],[Average buy price]])*Table25[[#This Row],[Total Sold number of stocks]],0)</f>
        <v>113.50000000000016</v>
      </c>
      <c r="Q1808" s="85">
        <f>SUMIF(Table25[[#All],[Assets]],Table25[[#This Row],[Assets]],Table25[[#All],[Number of stocks]])</f>
        <v>0</v>
      </c>
    </row>
    <row r="1809" spans="1:17">
      <c r="A1809" t="e" vm="83">
        <v>#VALUE!</v>
      </c>
      <c r="B1809" s="2">
        <v>45966</v>
      </c>
      <c r="C1809" t="str" cm="1">
        <f t="array" aca="1" ref="C1809" ca="1">_FV(A1809,"Ticker symbol",TRUE)</f>
        <v>FOA</v>
      </c>
      <c r="D1809" s="4">
        <v>22.9</v>
      </c>
      <c r="E1809" s="50">
        <v>-50</v>
      </c>
      <c r="F1809" s="81">
        <f>IF(Table25[[#This Row],[Number of stocks]]&gt;0,Table25[[#This Row],[Number of stocks]],0)</f>
        <v>0</v>
      </c>
      <c r="G1809" s="73">
        <f>Table25[[#This Row],[Bought]]*Table25[[#This Row],[Price]]</f>
        <v>0</v>
      </c>
      <c r="H1809">
        <f>SUMIF(Table25[[#All],[Assets]],Table25[[#This Row],[Assets]],Table25[[#All],[Bought]])</f>
        <v>203</v>
      </c>
      <c r="I1809">
        <f>SUMIF(Table25[[#All],[Assets]],Table25[[#This Row],[Assets]],Table25[[#All],[Bought Amount]])</f>
        <v>4881.38</v>
      </c>
      <c r="J1809" s="88">
        <f>IF(Table25[[#This Row],[Number of stocks]]&lt;0,Table25[[#This Row],[Number of stocks]],0)</f>
        <v>-50</v>
      </c>
      <c r="K1809" s="5">
        <f>Table25[[#This Row],[Sold]]*Table25[[#This Row],[Price]]</f>
        <v>-1145</v>
      </c>
      <c r="L1809" s="8">
        <f>ABS(SUMIF(Table25[[#All],[Assets]],Table25[[#This Row],[Assets]],Table25[[#All],[Sold]]))</f>
        <v>203</v>
      </c>
      <c r="M1809" s="5">
        <f>ABS(SUMIF(Table25[[#All],[Assets]],Table25[[#This Row],[Assets]],Table25[[#All],[Sold Amount]]))</f>
        <v>4534.54</v>
      </c>
      <c r="N1809" s="5">
        <f>IFERROR(Table25[[#This Row],[Total sold amount]]/Table25[[#This Row],[Total Sold number of stocks]],"")</f>
        <v>22.337635467980295</v>
      </c>
      <c r="O1809" s="4">
        <f>IFERROR(Table25[[#This Row],[Total Amount bought]]/Table25[[#This Row],[Total number bought]],"")</f>
        <v>24.046206896551723</v>
      </c>
      <c r="P1809" s="4">
        <f>IFERROR((Table25[[#This Row],[Average sell price]]-Table25[[#This Row],[Average buy price]])*Table25[[#This Row],[Total Sold number of stocks]],0)</f>
        <v>-346.83999999999992</v>
      </c>
      <c r="Q1809" s="85">
        <f>SUMIF(Table25[[#All],[Assets]],Table25[[#This Row],[Assets]],Table25[[#All],[Number of stocks]])</f>
        <v>0</v>
      </c>
    </row>
    <row r="1810" spans="1:17">
      <c r="A1810" t="e" vm="180">
        <v>#VALUE!</v>
      </c>
      <c r="B1810" s="2">
        <v>45966</v>
      </c>
      <c r="C1810" t="str" cm="1">
        <f t="array" aca="1" ref="C1810" ca="1">_FV(A1810,"Ticker symbol",TRUE)</f>
        <v>VELO</v>
      </c>
      <c r="D1810" s="4">
        <v>5.03</v>
      </c>
      <c r="E1810" s="50">
        <v>100</v>
      </c>
      <c r="F1810" s="81">
        <f>IF(Table25[[#This Row],[Number of stocks]]&gt;0,Table25[[#This Row],[Number of stocks]],0)</f>
        <v>100</v>
      </c>
      <c r="G1810" s="73">
        <f>Table25[[#This Row],[Bought]]*Table25[[#This Row],[Price]]</f>
        <v>503</v>
      </c>
      <c r="H1810">
        <f>SUMIF(Table25[[#All],[Assets]],Table25[[#This Row],[Assets]],Table25[[#All],[Bought]])</f>
        <v>423</v>
      </c>
      <c r="I1810">
        <f>SUMIF(Table25[[#All],[Assets]],Table25[[#This Row],[Assets]],Table25[[#All],[Bought Amount]])</f>
        <v>2540.92</v>
      </c>
      <c r="J1810" s="88">
        <f>IF(Table25[[#This Row],[Number of stocks]]&lt;0,Table25[[#This Row],[Number of stocks]],0)</f>
        <v>0</v>
      </c>
      <c r="K1810" s="5">
        <f>Table25[[#This Row],[Sold]]*Table25[[#This Row],[Price]]</f>
        <v>0</v>
      </c>
      <c r="L1810" s="8">
        <f>ABS(SUMIF(Table25[[#All],[Assets]],Table25[[#This Row],[Assets]],Table25[[#All],[Sold]]))</f>
        <v>213</v>
      </c>
      <c r="M1810" s="5">
        <f>ABS(SUMIF(Table25[[#All],[Assets]],Table25[[#This Row],[Assets]],Table25[[#All],[Sold Amount]]))</f>
        <v>2820.5899999999997</v>
      </c>
      <c r="N1810" s="5">
        <f>IFERROR(Table25[[#This Row],[Total sold amount]]/Table25[[#This Row],[Total Sold number of stocks]],"")</f>
        <v>13.242206572769952</v>
      </c>
      <c r="O1810" s="4">
        <f>IFERROR(Table25[[#This Row],[Total Amount bought]]/Table25[[#This Row],[Total number bought]],"")</f>
        <v>6.0069030732860522</v>
      </c>
      <c r="P1810" s="4">
        <f>IFERROR((Table25[[#This Row],[Average sell price]]-Table25[[#This Row],[Average buy price]])*Table25[[#This Row],[Total Sold number of stocks]],0)</f>
        <v>1541.1196453900707</v>
      </c>
      <c r="Q1810" s="85">
        <f>SUMIF(Table25[[#All],[Assets]],Table25[[#This Row],[Assets]],Table25[[#All],[Number of stocks]])</f>
        <v>210</v>
      </c>
    </row>
    <row r="1811" spans="1:17">
      <c r="A1811" t="e" vm="230">
        <v>#VALUE!</v>
      </c>
      <c r="B1811" s="2">
        <v>45966</v>
      </c>
      <c r="C1811" t="str" cm="1">
        <f t="array" aca="1" ref="C1811" ca="1">_FV(A1811,"Ticker symbol",TRUE)</f>
        <v>UTI</v>
      </c>
      <c r="D1811" s="4">
        <v>28.06</v>
      </c>
      <c r="E1811" s="50">
        <v>-19</v>
      </c>
      <c r="F1811" s="81">
        <f>IF(Table25[[#This Row],[Number of stocks]]&gt;0,Table25[[#This Row],[Number of stocks]],0)</f>
        <v>0</v>
      </c>
      <c r="G1811" s="73">
        <f>Table25[[#This Row],[Bought]]*Table25[[#This Row],[Price]]</f>
        <v>0</v>
      </c>
      <c r="H1811">
        <f>SUMIF(Table25[[#All],[Assets]],Table25[[#This Row],[Assets]],Table25[[#All],[Bought]])</f>
        <v>49</v>
      </c>
      <c r="I1811">
        <f>SUMIF(Table25[[#All],[Assets]],Table25[[#This Row],[Assets]],Table25[[#All],[Bought Amount]])</f>
        <v>1318.38</v>
      </c>
      <c r="J1811" s="88">
        <f>IF(Table25[[#This Row],[Number of stocks]]&lt;0,Table25[[#This Row],[Number of stocks]],0)</f>
        <v>-19</v>
      </c>
      <c r="K1811" s="5">
        <f>Table25[[#This Row],[Sold]]*Table25[[#This Row],[Price]]</f>
        <v>-533.14</v>
      </c>
      <c r="L1811" s="8">
        <f>ABS(SUMIF(Table25[[#All],[Assets]],Table25[[#This Row],[Assets]],Table25[[#All],[Sold]]))</f>
        <v>49</v>
      </c>
      <c r="M1811" s="5">
        <f>ABS(SUMIF(Table25[[#All],[Assets]],Table25[[#This Row],[Assets]],Table25[[#All],[Sold Amount]]))</f>
        <v>1422.44</v>
      </c>
      <c r="N1811" s="5">
        <f>IFERROR(Table25[[#This Row],[Total sold amount]]/Table25[[#This Row],[Total Sold number of stocks]],"")</f>
        <v>29.029387755102043</v>
      </c>
      <c r="O1811" s="4">
        <f>IFERROR(Table25[[#This Row],[Total Amount bought]]/Table25[[#This Row],[Total number bought]],"")</f>
        <v>26.905714285714289</v>
      </c>
      <c r="P1811" s="4">
        <f>IFERROR((Table25[[#This Row],[Average sell price]]-Table25[[#This Row],[Average buy price]])*Table25[[#This Row],[Total Sold number of stocks]],0)</f>
        <v>104.05999999999993</v>
      </c>
      <c r="Q1811" s="85">
        <f>SUMIF(Table25[[#All],[Assets]],Table25[[#This Row],[Assets]],Table25[[#All],[Number of stocks]])</f>
        <v>0</v>
      </c>
    </row>
    <row r="1812" spans="1:17">
      <c r="A1812" t="e" vm="200">
        <v>#VALUE!</v>
      </c>
      <c r="B1812" s="2">
        <v>45986</v>
      </c>
      <c r="C1812" t="str" cm="1">
        <f t="array" aca="1" ref="C1812" ca="1">_FV(A1812,"Ticker symbol",TRUE)</f>
        <v>IMSR</v>
      </c>
      <c r="D1812" s="4">
        <v>8.2200000000000006</v>
      </c>
      <c r="E1812" s="50">
        <v>-28</v>
      </c>
      <c r="F1812" s="81">
        <f>IF(Table25[[#This Row],[Number of stocks]]&gt;0,Table25[[#This Row],[Number of stocks]],0)</f>
        <v>0</v>
      </c>
      <c r="G1812" s="73">
        <f>Table25[[#This Row],[Bought]]*Table25[[#This Row],[Price]]</f>
        <v>0</v>
      </c>
      <c r="H1812">
        <f>SUMIF(Table25[[#All],[Assets]],Table25[[#This Row],[Assets]],Table25[[#All],[Bought]])</f>
        <v>386</v>
      </c>
      <c r="I1812">
        <f>SUMIF(Table25[[#All],[Assets]],Table25[[#This Row],[Assets]],Table25[[#All],[Bought Amount]])</f>
        <v>4519.0499999999993</v>
      </c>
      <c r="J1812" s="88">
        <f>IF(Table25[[#This Row],[Number of stocks]]&lt;0,Table25[[#This Row],[Number of stocks]],0)</f>
        <v>-28</v>
      </c>
      <c r="K1812" s="5">
        <f>Table25[[#This Row],[Sold]]*Table25[[#This Row],[Price]]</f>
        <v>-230.16000000000003</v>
      </c>
      <c r="L1812" s="8">
        <f>ABS(SUMIF(Table25[[#All],[Assets]],Table25[[#This Row],[Assets]],Table25[[#All],[Sold]]))</f>
        <v>288</v>
      </c>
      <c r="M1812" s="5">
        <f>ABS(SUMIF(Table25[[#All],[Assets]],Table25[[#This Row],[Assets]],Table25[[#All],[Sold Amount]]))</f>
        <v>3200.16</v>
      </c>
      <c r="N1812" s="5">
        <f>IFERROR(Table25[[#This Row],[Total sold amount]]/Table25[[#This Row],[Total Sold number of stocks]],"")</f>
        <v>11.111666666666666</v>
      </c>
      <c r="O1812" s="4">
        <f>IFERROR(Table25[[#This Row],[Total Amount bought]]/Table25[[#This Row],[Total number bought]],"")</f>
        <v>11.707383419689117</v>
      </c>
      <c r="P1812" s="4">
        <f>IFERROR((Table25[[#This Row],[Average sell price]]-Table25[[#This Row],[Average buy price]])*Table25[[#This Row],[Total Sold number of stocks]],0)</f>
        <v>-171.56642487046588</v>
      </c>
      <c r="Q1812" s="85">
        <f>SUMIF(Table25[[#All],[Assets]],Table25[[#This Row],[Assets]],Table25[[#All],[Number of stocks]])</f>
        <v>98</v>
      </c>
    </row>
    <row r="1813" spans="1:17">
      <c r="A1813" t="e" vm="37">
        <v>#VALUE!</v>
      </c>
      <c r="B1813" s="2">
        <v>45986</v>
      </c>
      <c r="C1813" t="str" cm="1">
        <f t="array" aca="1" ref="C1813" ca="1">_FV(A1813,"Ticker symbol",TRUE)</f>
        <v>AMD</v>
      </c>
      <c r="D1813" s="4">
        <v>202.88</v>
      </c>
      <c r="E1813" s="50">
        <v>-3</v>
      </c>
      <c r="F1813" s="81">
        <f>IF(Table25[[#This Row],[Number of stocks]]&gt;0,Table25[[#This Row],[Number of stocks]],0)</f>
        <v>0</v>
      </c>
      <c r="G1813" s="73">
        <f>Table25[[#This Row],[Bought]]*Table25[[#This Row],[Price]]</f>
        <v>0</v>
      </c>
      <c r="H1813">
        <f>SUMIF(Table25[[#All],[Assets]],Table25[[#This Row],[Assets]],Table25[[#All],[Bought]])</f>
        <v>41</v>
      </c>
      <c r="I1813">
        <f>SUMIF(Table25[[#All],[Assets]],Table25[[#This Row],[Assets]],Table25[[#All],[Bought Amount]])</f>
        <v>5552.8399999999992</v>
      </c>
      <c r="J1813" s="88">
        <f>IF(Table25[[#This Row],[Number of stocks]]&lt;0,Table25[[#This Row],[Number of stocks]],0)</f>
        <v>-3</v>
      </c>
      <c r="K1813" s="5">
        <f>Table25[[#This Row],[Sold]]*Table25[[#This Row],[Price]]</f>
        <v>-608.64</v>
      </c>
      <c r="L1813" s="8">
        <f>ABS(SUMIF(Table25[[#All],[Assets]],Table25[[#This Row],[Assets]],Table25[[#All],[Sold]]))</f>
        <v>23</v>
      </c>
      <c r="M1813" s="5">
        <f>ABS(SUMIF(Table25[[#All],[Assets]],Table25[[#This Row],[Assets]],Table25[[#All],[Sold Amount]]))</f>
        <v>3203.4199999999996</v>
      </c>
      <c r="N1813" s="5">
        <f>IFERROR(Table25[[#This Row],[Total sold amount]]/Table25[[#This Row],[Total Sold number of stocks]],"")</f>
        <v>139.27913043478259</v>
      </c>
      <c r="O1813" s="4">
        <f>IFERROR(Table25[[#This Row],[Total Amount bought]]/Table25[[#This Row],[Total number bought]],"")</f>
        <v>135.43512195121949</v>
      </c>
      <c r="P1813" s="4">
        <f>IFERROR((Table25[[#This Row],[Average sell price]]-Table25[[#This Row],[Average buy price]])*Table25[[#This Row],[Total Sold number of stocks]],0)</f>
        <v>88.412195121951328</v>
      </c>
      <c r="Q1813" s="85">
        <f>SUMIF(Table25[[#All],[Assets]],Table25[[#This Row],[Assets]],Table25[[#All],[Number of stocks]])</f>
        <v>18</v>
      </c>
    </row>
    <row r="1814" spans="1:17">
      <c r="A1814" t="e" vm="578">
        <v>#VALUE!</v>
      </c>
      <c r="B1814" s="2">
        <v>45966</v>
      </c>
      <c r="C1814" t="str" cm="1">
        <f t="array" aca="1" ref="C1814" ca="1">_FV(A1814,"Ticker symbol",TRUE)</f>
        <v>ASYS</v>
      </c>
      <c r="D1814" s="4">
        <v>7.27</v>
      </c>
      <c r="E1814" s="50">
        <v>-105</v>
      </c>
      <c r="F1814" s="81">
        <f>IF(Table25[[#This Row],[Number of stocks]]&gt;0,Table25[[#This Row],[Number of stocks]],0)</f>
        <v>0</v>
      </c>
      <c r="G1814" s="73">
        <f>Table25[[#This Row],[Bought]]*Table25[[#This Row],[Price]]</f>
        <v>0</v>
      </c>
      <c r="H1814">
        <f>SUMIF(Table25[[#All],[Assets]],Table25[[#This Row],[Assets]],Table25[[#All],[Bought]])</f>
        <v>105</v>
      </c>
      <c r="I1814">
        <f>SUMIF(Table25[[#All],[Assets]],Table25[[#This Row],[Assets]],Table25[[#All],[Bought Amount]])</f>
        <v>959.7</v>
      </c>
      <c r="J1814" s="88">
        <f>IF(Table25[[#This Row],[Number of stocks]]&lt;0,Table25[[#This Row],[Number of stocks]],0)</f>
        <v>-105</v>
      </c>
      <c r="K1814" s="5">
        <f>Table25[[#This Row],[Sold]]*Table25[[#This Row],[Price]]</f>
        <v>-763.34999999999991</v>
      </c>
      <c r="L1814" s="8">
        <f>ABS(SUMIF(Table25[[#All],[Assets]],Table25[[#This Row],[Assets]],Table25[[#All],[Sold]]))</f>
        <v>105</v>
      </c>
      <c r="M1814" s="5">
        <f>ABS(SUMIF(Table25[[#All],[Assets]],Table25[[#This Row],[Assets]],Table25[[#All],[Sold Amount]]))</f>
        <v>763.34999999999991</v>
      </c>
      <c r="N1814" s="5">
        <f>IFERROR(Table25[[#This Row],[Total sold amount]]/Table25[[#This Row],[Total Sold number of stocks]],"")</f>
        <v>7.27</v>
      </c>
      <c r="O1814" s="4">
        <f>IFERROR(Table25[[#This Row],[Total Amount bought]]/Table25[[#This Row],[Total number bought]],"")</f>
        <v>9.14</v>
      </c>
      <c r="P1814" s="4">
        <f>IFERROR((Table25[[#This Row],[Average sell price]]-Table25[[#This Row],[Average buy price]])*Table25[[#This Row],[Total Sold number of stocks]],0)</f>
        <v>-196.35000000000011</v>
      </c>
      <c r="Q1814" s="85">
        <f>SUMIF(Table25[[#All],[Assets]],Table25[[#This Row],[Assets]],Table25[[#All],[Number of stocks]])</f>
        <v>0</v>
      </c>
    </row>
    <row r="1815" spans="1:17">
      <c r="A1815" t="e" vm="576">
        <v>#VALUE!</v>
      </c>
      <c r="B1815" s="2">
        <v>45966</v>
      </c>
      <c r="C1815" t="str" cm="1">
        <f t="array" aca="1" ref="C1815" ca="1">_FV(A1815,"Ticker symbol",TRUE)</f>
        <v>DUOL</v>
      </c>
      <c r="D1815" s="4">
        <v>207.68</v>
      </c>
      <c r="E1815" s="50">
        <v>8</v>
      </c>
      <c r="F1815" s="81">
        <f>IF(Table25[[#This Row],[Number of stocks]]&gt;0,Table25[[#This Row],[Number of stocks]],0)</f>
        <v>8</v>
      </c>
      <c r="G1815" s="73">
        <f>Table25[[#This Row],[Bought]]*Table25[[#This Row],[Price]]</f>
        <v>1661.44</v>
      </c>
      <c r="H1815">
        <f>SUMIF(Table25[[#All],[Assets]],Table25[[#This Row],[Assets]],Table25[[#All],[Bought]])</f>
        <v>33</v>
      </c>
      <c r="I1815">
        <f>SUMIF(Table25[[#All],[Assets]],Table25[[#This Row],[Assets]],Table25[[#All],[Bought Amount]])</f>
        <v>8243.81</v>
      </c>
      <c r="J1815" s="88">
        <f>IF(Table25[[#This Row],[Number of stocks]]&lt;0,Table25[[#This Row],[Number of stocks]],0)</f>
        <v>0</v>
      </c>
      <c r="K1815" s="5">
        <f>Table25[[#This Row],[Sold]]*Table25[[#This Row],[Price]]</f>
        <v>0</v>
      </c>
      <c r="L1815" s="8">
        <f>ABS(SUMIF(Table25[[#All],[Assets]],Table25[[#This Row],[Assets]],Table25[[#All],[Sold]]))</f>
        <v>43</v>
      </c>
      <c r="M1815" s="5">
        <f>ABS(SUMIF(Table25[[#All],[Assets]],Table25[[#This Row],[Assets]],Table25[[#All],[Sold Amount]]))</f>
        <v>8577.89</v>
      </c>
      <c r="N1815" s="5">
        <f>IFERROR(Table25[[#This Row],[Total sold amount]]/Table25[[#This Row],[Total Sold number of stocks]],"")</f>
        <v>199.48581395348836</v>
      </c>
      <c r="O1815" s="4">
        <f>IFERROR(Table25[[#This Row],[Total Amount bought]]/Table25[[#This Row],[Total number bought]],"")</f>
        <v>249.81242424242421</v>
      </c>
      <c r="P1815" s="4">
        <f>IFERROR((Table25[[#This Row],[Average sell price]]-Table25[[#This Row],[Average buy price]])*Table25[[#This Row],[Total Sold number of stocks]],0)</f>
        <v>-2164.0442424242419</v>
      </c>
      <c r="Q1815" s="85">
        <f>SUMIF(Table25[[#All],[Assets]],Table25[[#This Row],[Assets]],Table25[[#All],[Number of stocks]])</f>
        <v>-10</v>
      </c>
    </row>
    <row r="1816" spans="1:17">
      <c r="A1816" t="e" vm="83">
        <v>#VALUE!</v>
      </c>
      <c r="B1816" s="2">
        <v>45966</v>
      </c>
      <c r="C1816" t="str" cm="1">
        <f t="array" aca="1" ref="C1816" ca="1">_FV(A1816,"Ticker symbol",TRUE)</f>
        <v>FOA</v>
      </c>
      <c r="D1816" s="4">
        <v>22.53</v>
      </c>
      <c r="E1816" s="50">
        <v>-50</v>
      </c>
      <c r="F1816" s="81">
        <f>IF(Table25[[#This Row],[Number of stocks]]&gt;0,Table25[[#This Row],[Number of stocks]],0)</f>
        <v>0</v>
      </c>
      <c r="G1816" s="73">
        <f>Table25[[#This Row],[Bought]]*Table25[[#This Row],[Price]]</f>
        <v>0</v>
      </c>
      <c r="H1816">
        <f>SUMIF(Table25[[#All],[Assets]],Table25[[#This Row],[Assets]],Table25[[#All],[Bought]])</f>
        <v>203</v>
      </c>
      <c r="I1816">
        <f>SUMIF(Table25[[#All],[Assets]],Table25[[#This Row],[Assets]],Table25[[#All],[Bought Amount]])</f>
        <v>4881.38</v>
      </c>
      <c r="J1816" s="88">
        <f>IF(Table25[[#This Row],[Number of stocks]]&lt;0,Table25[[#This Row],[Number of stocks]],0)</f>
        <v>-50</v>
      </c>
      <c r="K1816" s="5">
        <f>Table25[[#This Row],[Sold]]*Table25[[#This Row],[Price]]</f>
        <v>-1126.5</v>
      </c>
      <c r="L1816" s="8">
        <f>ABS(SUMIF(Table25[[#All],[Assets]],Table25[[#This Row],[Assets]],Table25[[#All],[Sold]]))</f>
        <v>203</v>
      </c>
      <c r="M1816" s="5">
        <f>ABS(SUMIF(Table25[[#All],[Assets]],Table25[[#This Row],[Assets]],Table25[[#All],[Sold Amount]]))</f>
        <v>4534.54</v>
      </c>
      <c r="N1816" s="5">
        <f>IFERROR(Table25[[#This Row],[Total sold amount]]/Table25[[#This Row],[Total Sold number of stocks]],"")</f>
        <v>22.337635467980295</v>
      </c>
      <c r="O1816" s="4">
        <f>IFERROR(Table25[[#This Row],[Total Amount bought]]/Table25[[#This Row],[Total number bought]],"")</f>
        <v>24.046206896551723</v>
      </c>
      <c r="P1816" s="4">
        <f>IFERROR((Table25[[#This Row],[Average sell price]]-Table25[[#This Row],[Average buy price]])*Table25[[#This Row],[Total Sold number of stocks]],0)</f>
        <v>-346.83999999999992</v>
      </c>
      <c r="Q1816" s="85">
        <f>SUMIF(Table25[[#All],[Assets]],Table25[[#This Row],[Assets]],Table25[[#All],[Number of stocks]])</f>
        <v>0</v>
      </c>
    </row>
    <row r="1817" spans="1:17">
      <c r="A1817" t="e" vm="576">
        <v>#VALUE!</v>
      </c>
      <c r="B1817" s="2">
        <v>45966</v>
      </c>
      <c r="C1817" t="str" cm="1">
        <f t="array" aca="1" ref="C1817" ca="1">_FV(A1817,"Ticker symbol",TRUE)</f>
        <v>DUOL</v>
      </c>
      <c r="D1817" s="4">
        <v>208.98</v>
      </c>
      <c r="E1817" s="50">
        <v>5</v>
      </c>
      <c r="F1817" s="81">
        <f>IF(Table25[[#This Row],[Number of stocks]]&gt;0,Table25[[#This Row],[Number of stocks]],0)</f>
        <v>5</v>
      </c>
      <c r="G1817" s="73">
        <f>Table25[[#This Row],[Bought]]*Table25[[#This Row],[Price]]</f>
        <v>1044.8999999999999</v>
      </c>
      <c r="H1817">
        <f>SUMIF(Table25[[#All],[Assets]],Table25[[#This Row],[Assets]],Table25[[#All],[Bought]])</f>
        <v>33</v>
      </c>
      <c r="I1817">
        <f>SUMIF(Table25[[#All],[Assets]],Table25[[#This Row],[Assets]],Table25[[#All],[Bought Amount]])</f>
        <v>8243.81</v>
      </c>
      <c r="J1817" s="88">
        <f>IF(Table25[[#This Row],[Number of stocks]]&lt;0,Table25[[#This Row],[Number of stocks]],0)</f>
        <v>0</v>
      </c>
      <c r="K1817" s="5">
        <f>Table25[[#This Row],[Sold]]*Table25[[#This Row],[Price]]</f>
        <v>0</v>
      </c>
      <c r="L1817" s="8">
        <f>ABS(SUMIF(Table25[[#All],[Assets]],Table25[[#This Row],[Assets]],Table25[[#All],[Sold]]))</f>
        <v>43</v>
      </c>
      <c r="M1817" s="5">
        <f>ABS(SUMIF(Table25[[#All],[Assets]],Table25[[#This Row],[Assets]],Table25[[#All],[Sold Amount]]))</f>
        <v>8577.89</v>
      </c>
      <c r="N1817" s="5">
        <f>IFERROR(Table25[[#This Row],[Total sold amount]]/Table25[[#This Row],[Total Sold number of stocks]],"")</f>
        <v>199.48581395348836</v>
      </c>
      <c r="O1817" s="4">
        <f>IFERROR(Table25[[#This Row],[Total Amount bought]]/Table25[[#This Row],[Total number bought]],"")</f>
        <v>249.81242424242421</v>
      </c>
      <c r="P1817" s="4">
        <f>IFERROR((Table25[[#This Row],[Average sell price]]-Table25[[#This Row],[Average buy price]])*Table25[[#This Row],[Total Sold number of stocks]],0)</f>
        <v>-2164.0442424242419</v>
      </c>
      <c r="Q1817" s="85">
        <f>SUMIF(Table25[[#All],[Assets]],Table25[[#This Row],[Assets]],Table25[[#All],[Number of stocks]])</f>
        <v>-10</v>
      </c>
    </row>
    <row r="1818" spans="1:17">
      <c r="A1818" t="e" vm="21">
        <v>#VALUE!</v>
      </c>
      <c r="B1818" s="2">
        <v>45967</v>
      </c>
      <c r="C1818" t="str" cm="1">
        <f t="array" aca="1" ref="C1818" ca="1">_FV(A1818,"Ticker symbol",TRUE)</f>
        <v>INTC</v>
      </c>
      <c r="D1818" s="4">
        <v>36.869999999999997</v>
      </c>
      <c r="E1818" s="50">
        <v>30</v>
      </c>
      <c r="F1818" s="81">
        <f>IF(Table25[[#This Row],[Number of stocks]]&gt;0,Table25[[#This Row],[Number of stocks]],0)</f>
        <v>30</v>
      </c>
      <c r="G1818" s="73">
        <f>Table25[[#This Row],[Bought]]*Table25[[#This Row],[Price]]</f>
        <v>1106.0999999999999</v>
      </c>
      <c r="H1818">
        <f>SUMIF(Table25[[#All],[Assets]],Table25[[#This Row],[Assets]],Table25[[#All],[Bought]])</f>
        <v>334.73663899999997</v>
      </c>
      <c r="I1818">
        <f>SUMIF(Table25[[#All],[Assets]],Table25[[#This Row],[Assets]],Table25[[#All],[Bought Amount]])</f>
        <v>9755.9173948600001</v>
      </c>
      <c r="J1818" s="88">
        <f>IF(Table25[[#This Row],[Number of stocks]]&lt;0,Table25[[#This Row],[Number of stocks]],0)</f>
        <v>0</v>
      </c>
      <c r="K1818" s="5">
        <f>Table25[[#This Row],[Sold]]*Table25[[#This Row],[Price]]</f>
        <v>0</v>
      </c>
      <c r="L1818" s="8">
        <f>ABS(SUMIF(Table25[[#All],[Assets]],Table25[[#This Row],[Assets]],Table25[[#All],[Sold]]))</f>
        <v>334.74</v>
      </c>
      <c r="M1818" s="5">
        <f>ABS(SUMIF(Table25[[#All],[Assets]],Table25[[#This Row],[Assets]],Table25[[#All],[Sold Amount]]))</f>
        <v>7909.2053999999998</v>
      </c>
      <c r="N1818" s="5">
        <f>IFERROR(Table25[[#This Row],[Total sold amount]]/Table25[[#This Row],[Total Sold number of stocks]],"")</f>
        <v>23.627906434844952</v>
      </c>
      <c r="O1818" s="4">
        <f>IFERROR(Table25[[#This Row],[Total Amount bought]]/Table25[[#This Row],[Total number bought]],"")</f>
        <v>29.145053926588542</v>
      </c>
      <c r="P1818" s="4">
        <f>IFERROR((Table25[[#This Row],[Average sell price]]-Table25[[#This Row],[Average buy price]])*Table25[[#This Row],[Total Sold number of stocks]],0)</f>
        <v>-1846.8099513862492</v>
      </c>
      <c r="Q1818" s="85">
        <f>SUMIF(Table25[[#All],[Assets]],Table25[[#This Row],[Assets]],Table25[[#All],[Number of stocks]])</f>
        <v>-3.3610000000123819E-3</v>
      </c>
    </row>
    <row r="1819" spans="1:17">
      <c r="A1819" t="e" vm="179">
        <v>#VALUE!</v>
      </c>
      <c r="B1819" s="2">
        <v>45967</v>
      </c>
      <c r="C1819" t="str" cm="1">
        <f t="array" aca="1" ref="C1819" ca="1">_FV(A1819,"Ticker symbol",TRUE)</f>
        <v>ET</v>
      </c>
      <c r="D1819" s="4">
        <v>16.899999999999999</v>
      </c>
      <c r="E1819" s="50">
        <v>100</v>
      </c>
      <c r="F1819" s="81">
        <f>IF(Table25[[#This Row],[Number of stocks]]&gt;0,Table25[[#This Row],[Number of stocks]],0)</f>
        <v>100</v>
      </c>
      <c r="G1819" s="73">
        <f>Table25[[#This Row],[Bought]]*Table25[[#This Row],[Price]]</f>
        <v>1689.9999999999998</v>
      </c>
      <c r="H1819">
        <f>SUMIF(Table25[[#All],[Assets]],Table25[[#This Row],[Assets]],Table25[[#All],[Bought]])</f>
        <v>345</v>
      </c>
      <c r="I1819">
        <f>SUMIF(Table25[[#All],[Assets]],Table25[[#This Row],[Assets]],Table25[[#All],[Bought Amount]])</f>
        <v>5878.3</v>
      </c>
      <c r="J1819" s="88">
        <f>IF(Table25[[#This Row],[Number of stocks]]&lt;0,Table25[[#This Row],[Number of stocks]],0)</f>
        <v>0</v>
      </c>
      <c r="K1819" s="5">
        <f>Table25[[#This Row],[Sold]]*Table25[[#This Row],[Price]]</f>
        <v>0</v>
      </c>
      <c r="L1819" s="8">
        <f>ABS(SUMIF(Table25[[#All],[Assets]],Table25[[#This Row],[Assets]],Table25[[#All],[Sold]]))</f>
        <v>40</v>
      </c>
      <c r="M1819" s="5">
        <f>ABS(SUMIF(Table25[[#All],[Assets]],Table25[[#This Row],[Assets]],Table25[[#All],[Sold Amount]]))</f>
        <v>660.8</v>
      </c>
      <c r="N1819" s="5">
        <f>IFERROR(Table25[[#This Row],[Total sold amount]]/Table25[[#This Row],[Total Sold number of stocks]],"")</f>
        <v>16.52</v>
      </c>
      <c r="O1819" s="4">
        <f>IFERROR(Table25[[#This Row],[Total Amount bought]]/Table25[[#This Row],[Total number bought]],"")</f>
        <v>17.03855072463768</v>
      </c>
      <c r="P1819" s="4">
        <f>IFERROR((Table25[[#This Row],[Average sell price]]-Table25[[#This Row],[Average buy price]])*Table25[[#This Row],[Total Sold number of stocks]],0)</f>
        <v>-20.742028985507233</v>
      </c>
      <c r="Q1819" s="85">
        <f>SUMIF(Table25[[#All],[Assets]],Table25[[#This Row],[Assets]],Table25[[#All],[Number of stocks]])</f>
        <v>305</v>
      </c>
    </row>
    <row r="1820" spans="1:17">
      <c r="A1820" t="e" vm="189">
        <v>#VALUE!</v>
      </c>
      <c r="B1820" s="2">
        <v>45967</v>
      </c>
      <c r="C1820" t="str" cm="1">
        <f t="array" aca="1" ref="C1820" ca="1">_FV(A1820,"Ticker symbol",TRUE)</f>
        <v>NVO</v>
      </c>
      <c r="D1820" s="4">
        <v>48.83</v>
      </c>
      <c r="E1820" s="50">
        <v>12</v>
      </c>
      <c r="F1820" s="81">
        <f>IF(Table25[[#This Row],[Number of stocks]]&gt;0,Table25[[#This Row],[Number of stocks]],0)</f>
        <v>12</v>
      </c>
      <c r="G1820" s="73">
        <f>Table25[[#This Row],[Bought]]*Table25[[#This Row],[Price]]</f>
        <v>585.96</v>
      </c>
      <c r="H1820">
        <f>SUMIF(Table25[[#All],[Assets]],Table25[[#This Row],[Assets]],Table25[[#All],[Bought]])</f>
        <v>32</v>
      </c>
      <c r="I1820">
        <f>SUMIF(Table25[[#All],[Assets]],Table25[[#This Row],[Assets]],Table25[[#All],[Bought Amount]])</f>
        <v>1652.72</v>
      </c>
      <c r="J1820" s="88">
        <f>IF(Table25[[#This Row],[Number of stocks]]&lt;0,Table25[[#This Row],[Number of stocks]],0)</f>
        <v>0</v>
      </c>
      <c r="K1820" s="5">
        <f>Table25[[#This Row],[Sold]]*Table25[[#This Row],[Price]]</f>
        <v>0</v>
      </c>
      <c r="L1820" s="8">
        <f>ABS(SUMIF(Table25[[#All],[Assets]],Table25[[#This Row],[Assets]],Table25[[#All],[Sold]]))</f>
        <v>8</v>
      </c>
      <c r="M1820" s="5">
        <f>ABS(SUMIF(Table25[[#All],[Assets]],Table25[[#This Row],[Assets]],Table25[[#All],[Sold Amount]]))</f>
        <v>495.68</v>
      </c>
      <c r="N1820" s="5">
        <f>IFERROR(Table25[[#This Row],[Total sold amount]]/Table25[[#This Row],[Total Sold number of stocks]],"")</f>
        <v>61.96</v>
      </c>
      <c r="O1820" s="4">
        <f>IFERROR(Table25[[#This Row],[Total Amount bought]]/Table25[[#This Row],[Total number bought]],"")</f>
        <v>51.647500000000001</v>
      </c>
      <c r="P1820" s="4">
        <f>IFERROR((Table25[[#This Row],[Average sell price]]-Table25[[#This Row],[Average buy price]])*Table25[[#This Row],[Total Sold number of stocks]],0)</f>
        <v>82.5</v>
      </c>
      <c r="Q1820" s="85">
        <f>SUMIF(Table25[[#All],[Assets]],Table25[[#This Row],[Assets]],Table25[[#All],[Number of stocks]])</f>
        <v>24</v>
      </c>
    </row>
    <row r="1821" spans="1:17">
      <c r="A1821" t="e" vm="189">
        <v>#VALUE!</v>
      </c>
      <c r="B1821" s="2">
        <v>45967</v>
      </c>
      <c r="C1821" t="str" cm="1">
        <f t="array" aca="1" ref="C1821" ca="1">_FV(A1821,"Ticker symbol",TRUE)</f>
        <v>NVO</v>
      </c>
      <c r="D1821" s="4">
        <v>48.83</v>
      </c>
      <c r="E1821" s="50">
        <v>12</v>
      </c>
      <c r="F1821" s="81">
        <f>IF(Table25[[#This Row],[Number of stocks]]&gt;0,Table25[[#This Row],[Number of stocks]],0)</f>
        <v>12</v>
      </c>
      <c r="G1821" s="73">
        <f>Table25[[#This Row],[Bought]]*Table25[[#This Row],[Price]]</f>
        <v>585.96</v>
      </c>
      <c r="H1821">
        <f>SUMIF(Table25[[#All],[Assets]],Table25[[#This Row],[Assets]],Table25[[#All],[Bought]])</f>
        <v>32</v>
      </c>
      <c r="I1821">
        <f>SUMIF(Table25[[#All],[Assets]],Table25[[#This Row],[Assets]],Table25[[#All],[Bought Amount]])</f>
        <v>1652.72</v>
      </c>
      <c r="J1821" s="88">
        <f>IF(Table25[[#This Row],[Number of stocks]]&lt;0,Table25[[#This Row],[Number of stocks]],0)</f>
        <v>0</v>
      </c>
      <c r="K1821" s="5">
        <f>Table25[[#This Row],[Sold]]*Table25[[#This Row],[Price]]</f>
        <v>0</v>
      </c>
      <c r="L1821" s="8">
        <f>ABS(SUMIF(Table25[[#All],[Assets]],Table25[[#This Row],[Assets]],Table25[[#All],[Sold]]))</f>
        <v>8</v>
      </c>
      <c r="M1821" s="5">
        <f>ABS(SUMIF(Table25[[#All],[Assets]],Table25[[#This Row],[Assets]],Table25[[#All],[Sold Amount]]))</f>
        <v>495.68</v>
      </c>
      <c r="N1821" s="5">
        <f>IFERROR(Table25[[#This Row],[Total sold amount]]/Table25[[#This Row],[Total Sold number of stocks]],"")</f>
        <v>61.96</v>
      </c>
      <c r="O1821" s="4">
        <f>IFERROR(Table25[[#This Row],[Total Amount bought]]/Table25[[#This Row],[Total number bought]],"")</f>
        <v>51.647500000000001</v>
      </c>
      <c r="P1821" s="4">
        <f>IFERROR((Table25[[#This Row],[Average sell price]]-Table25[[#This Row],[Average buy price]])*Table25[[#This Row],[Total Sold number of stocks]],0)</f>
        <v>82.5</v>
      </c>
      <c r="Q1821" s="85">
        <f>SUMIF(Table25[[#All],[Assets]],Table25[[#This Row],[Assets]],Table25[[#All],[Number of stocks]])</f>
        <v>24</v>
      </c>
    </row>
    <row r="1822" spans="1:17">
      <c r="A1822" t="e" vm="226">
        <v>#VALUE!</v>
      </c>
      <c r="B1822" s="2">
        <v>45967</v>
      </c>
      <c r="C1822" t="str" cm="1">
        <f t="array" aca="1" ref="C1822" ca="1">_FV(A1822,"Ticker symbol",TRUE)</f>
        <v>WGHTQ</v>
      </c>
      <c r="D1822" s="4">
        <v>36.46</v>
      </c>
      <c r="E1822" s="50">
        <v>70</v>
      </c>
      <c r="F1822" s="81">
        <f>IF(Table25[[#This Row],[Number of stocks]]&gt;0,Table25[[#This Row],[Number of stocks]],0)</f>
        <v>70</v>
      </c>
      <c r="G1822" s="73">
        <f>Table25[[#This Row],[Bought]]*Table25[[#This Row],[Price]]</f>
        <v>2552.2000000000003</v>
      </c>
      <c r="H1822">
        <f>SUMIF(Table25[[#All],[Assets]],Table25[[#This Row],[Assets]],Table25[[#All],[Bought]])</f>
        <v>172</v>
      </c>
      <c r="I1822">
        <f>SUMIF(Table25[[#All],[Assets]],Table25[[#This Row],[Assets]],Table25[[#All],[Bought Amount]])</f>
        <v>5307.8900000000012</v>
      </c>
      <c r="J1822" s="88">
        <f>IF(Table25[[#This Row],[Number of stocks]]&lt;0,Table25[[#This Row],[Number of stocks]],0)</f>
        <v>0</v>
      </c>
      <c r="K1822" s="5">
        <f>Table25[[#This Row],[Sold]]*Table25[[#This Row],[Price]]</f>
        <v>0</v>
      </c>
      <c r="L1822" s="8">
        <f>ABS(SUMIF(Table25[[#All],[Assets]],Table25[[#This Row],[Assets]],Table25[[#All],[Sold]]))</f>
        <v>168</v>
      </c>
      <c r="M1822" s="5">
        <f>ABS(SUMIF(Table25[[#All],[Assets]],Table25[[#This Row],[Assets]],Table25[[#All],[Sold Amount]]))</f>
        <v>4668.4199999999992</v>
      </c>
      <c r="N1822" s="5">
        <f>IFERROR(Table25[[#This Row],[Total sold amount]]/Table25[[#This Row],[Total Sold number of stocks]],"")</f>
        <v>27.788214285714282</v>
      </c>
      <c r="O1822" s="4">
        <f>IFERROR(Table25[[#This Row],[Total Amount bought]]/Table25[[#This Row],[Total number bought]],"")</f>
        <v>30.859825581395356</v>
      </c>
      <c r="P1822" s="4">
        <f>IFERROR((Table25[[#This Row],[Average sell price]]-Table25[[#This Row],[Average buy price]])*Table25[[#This Row],[Total Sold number of stocks]],0)</f>
        <v>-516.03069767442025</v>
      </c>
      <c r="Q1822" s="85">
        <f>SUMIF(Table25[[#All],[Assets]],Table25[[#This Row],[Assets]],Table25[[#All],[Number of stocks]])</f>
        <v>4</v>
      </c>
    </row>
    <row r="1823" spans="1:17">
      <c r="A1823" t="e" vm="72">
        <v>#VALUE!</v>
      </c>
      <c r="B1823" s="2">
        <v>45968</v>
      </c>
      <c r="C1823" t="str" cm="1">
        <f t="array" aca="1" ref="C1823" ca="1">_FV(A1823,"Ticker symbol",TRUE)</f>
        <v>AIRS</v>
      </c>
      <c r="D1823" s="4">
        <v>7.73</v>
      </c>
      <c r="E1823" s="50">
        <v>140</v>
      </c>
      <c r="F1823" s="81">
        <f>IF(Table25[[#This Row],[Number of stocks]]&gt;0,Table25[[#This Row],[Number of stocks]],0)</f>
        <v>140</v>
      </c>
      <c r="G1823" s="73">
        <f>Table25[[#This Row],[Bought]]*Table25[[#This Row],[Price]]</f>
        <v>1082.2</v>
      </c>
      <c r="H1823">
        <f>SUMIF(Table25[[#All],[Assets]],Table25[[#This Row],[Assets]],Table25[[#All],[Bought]])</f>
        <v>2980</v>
      </c>
      <c r="I1823">
        <f>SUMIF(Table25[[#All],[Assets]],Table25[[#This Row],[Assets]],Table25[[#All],[Bought Amount]])</f>
        <v>14267.900000000001</v>
      </c>
      <c r="J1823" s="88">
        <f>IF(Table25[[#This Row],[Number of stocks]]&lt;0,Table25[[#This Row],[Number of stocks]],0)</f>
        <v>0</v>
      </c>
      <c r="K1823" s="5">
        <f>Table25[[#This Row],[Sold]]*Table25[[#This Row],[Price]]</f>
        <v>0</v>
      </c>
      <c r="L1823" s="8">
        <f>ABS(SUMIF(Table25[[#All],[Assets]],Table25[[#This Row],[Assets]],Table25[[#All],[Sold]]))</f>
        <v>2360</v>
      </c>
      <c r="M1823" s="5">
        <f>ABS(SUMIF(Table25[[#All],[Assets]],Table25[[#This Row],[Assets]],Table25[[#All],[Sold Amount]]))</f>
        <v>7796.6</v>
      </c>
      <c r="N1823" s="5">
        <f>IFERROR(Table25[[#This Row],[Total sold amount]]/Table25[[#This Row],[Total Sold number of stocks]],"")</f>
        <v>3.3036440677966104</v>
      </c>
      <c r="O1823" s="4">
        <f>IFERROR(Table25[[#This Row],[Total Amount bought]]/Table25[[#This Row],[Total number bought]],"")</f>
        <v>4.7878859060402688</v>
      </c>
      <c r="P1823" s="4">
        <f>IFERROR((Table25[[#This Row],[Average sell price]]-Table25[[#This Row],[Average buy price]])*Table25[[#This Row],[Total Sold number of stocks]],0)</f>
        <v>-3502.8107382550338</v>
      </c>
      <c r="Q1823" s="85">
        <f>SUMIF(Table25[[#All],[Assets]],Table25[[#This Row],[Assets]],Table25[[#All],[Number of stocks]])</f>
        <v>620</v>
      </c>
    </row>
    <row r="1824" spans="1:17">
      <c r="A1824" t="e" vm="10">
        <v>#VALUE!</v>
      </c>
      <c r="B1824" s="2">
        <v>45968</v>
      </c>
      <c r="C1824" t="str" cm="1">
        <f t="array" aca="1" ref="C1824" ca="1">_FV(A1824,"Ticker symbol",TRUE)</f>
        <v>ESLT</v>
      </c>
      <c r="D1824" s="4">
        <v>457.99</v>
      </c>
      <c r="E1824" s="50">
        <v>-1</v>
      </c>
      <c r="F1824" s="81">
        <f>IF(Table25[[#This Row],[Number of stocks]]&gt;0,Table25[[#This Row],[Number of stocks]],0)</f>
        <v>0</v>
      </c>
      <c r="G1824" s="73">
        <f>Table25[[#This Row],[Bought]]*Table25[[#This Row],[Price]]</f>
        <v>0</v>
      </c>
      <c r="H1824">
        <f>SUMIF(Table25[[#All],[Assets]],Table25[[#This Row],[Assets]],Table25[[#All],[Bought]])</f>
        <v>2</v>
      </c>
      <c r="I1824">
        <f>SUMIF(Table25[[#All],[Assets]],Table25[[#This Row],[Assets]],Table25[[#All],[Bought Amount]])</f>
        <v>635.72</v>
      </c>
      <c r="J1824" s="88">
        <f>IF(Table25[[#This Row],[Number of stocks]]&lt;0,Table25[[#This Row],[Number of stocks]],0)</f>
        <v>-1</v>
      </c>
      <c r="K1824" s="5">
        <f>Table25[[#This Row],[Sold]]*Table25[[#This Row],[Price]]</f>
        <v>-457.99</v>
      </c>
      <c r="L1824" s="8">
        <f>ABS(SUMIF(Table25[[#All],[Assets]],Table25[[#This Row],[Assets]],Table25[[#All],[Sold]]))</f>
        <v>2</v>
      </c>
      <c r="M1824" s="5">
        <f>ABS(SUMIF(Table25[[#All],[Assets]],Table25[[#This Row],[Assets]],Table25[[#All],[Sold Amount]]))</f>
        <v>637.45000000000005</v>
      </c>
      <c r="N1824" s="5">
        <f>IFERROR(Table25[[#This Row],[Total sold amount]]/Table25[[#This Row],[Total Sold number of stocks]],"")</f>
        <v>318.72500000000002</v>
      </c>
      <c r="O1824" s="4">
        <f>IFERROR(Table25[[#This Row],[Total Amount bought]]/Table25[[#This Row],[Total number bought]],"")</f>
        <v>317.86</v>
      </c>
      <c r="P1824" s="4">
        <f>IFERROR((Table25[[#This Row],[Average sell price]]-Table25[[#This Row],[Average buy price]])*Table25[[#This Row],[Total Sold number of stocks]],0)</f>
        <v>1.7300000000000182</v>
      </c>
      <c r="Q1824" s="85">
        <f>SUMIF(Table25[[#All],[Assets]],Table25[[#This Row],[Assets]],Table25[[#All],[Number of stocks]])</f>
        <v>0</v>
      </c>
    </row>
    <row r="1825" spans="1:17">
      <c r="A1825" t="e" vm="13">
        <v>#VALUE!</v>
      </c>
      <c r="B1825" s="2">
        <v>45968</v>
      </c>
      <c r="C1825" t="str" cm="1">
        <f t="array" aca="1" ref="C1825" ca="1">_FV(A1825,"Ticker symbol",TRUE)</f>
        <v>ON</v>
      </c>
      <c r="D1825" s="4">
        <v>47.9</v>
      </c>
      <c r="E1825" s="50">
        <v>-17</v>
      </c>
      <c r="F1825" s="81">
        <f>IF(Table25[[#This Row],[Number of stocks]]&gt;0,Table25[[#This Row],[Number of stocks]],0)</f>
        <v>0</v>
      </c>
      <c r="G1825" s="73">
        <f>Table25[[#This Row],[Bought]]*Table25[[#This Row],[Price]]</f>
        <v>0</v>
      </c>
      <c r="H1825">
        <f>SUMIF(Table25[[#All],[Assets]],Table25[[#This Row],[Assets]],Table25[[#All],[Bought]])</f>
        <v>326</v>
      </c>
      <c r="I1825">
        <f>SUMIF(Table25[[#All],[Assets]],Table25[[#This Row],[Assets]],Table25[[#All],[Bought Amount]])</f>
        <v>19172.809999999998</v>
      </c>
      <c r="J1825" s="88">
        <f>IF(Table25[[#This Row],[Number of stocks]]&lt;0,Table25[[#This Row],[Number of stocks]],0)</f>
        <v>-17</v>
      </c>
      <c r="K1825" s="5">
        <f>Table25[[#This Row],[Sold]]*Table25[[#This Row],[Price]]</f>
        <v>-814.3</v>
      </c>
      <c r="L1825" s="8">
        <f>ABS(SUMIF(Table25[[#All],[Assets]],Table25[[#This Row],[Assets]],Table25[[#All],[Sold]]))</f>
        <v>283</v>
      </c>
      <c r="M1825" s="5">
        <f>ABS(SUMIF(Table25[[#All],[Assets]],Table25[[#This Row],[Assets]],Table25[[#All],[Sold Amount]]))</f>
        <v>15700.74</v>
      </c>
      <c r="N1825" s="5">
        <f>IFERROR(Table25[[#This Row],[Total sold amount]]/Table25[[#This Row],[Total Sold number of stocks]],"")</f>
        <v>55.47964664310954</v>
      </c>
      <c r="O1825" s="4">
        <f>IFERROR(Table25[[#This Row],[Total Amount bought]]/Table25[[#This Row],[Total number bought]],"")</f>
        <v>58.812300613496923</v>
      </c>
      <c r="P1825" s="4">
        <f>IFERROR((Table25[[#This Row],[Average sell price]]-Table25[[#This Row],[Average buy price]])*Table25[[#This Row],[Total Sold number of stocks]],0)</f>
        <v>-943.14107361962954</v>
      </c>
      <c r="Q1825" s="85">
        <f>SUMIF(Table25[[#All],[Assets]],Table25[[#This Row],[Assets]],Table25[[#All],[Number of stocks]])</f>
        <v>43</v>
      </c>
    </row>
    <row r="1826" spans="1:17">
      <c r="A1826" t="e" vm="190">
        <v>#VALUE!</v>
      </c>
      <c r="B1826" s="2">
        <v>45968</v>
      </c>
      <c r="C1826" t="str" cm="1">
        <f t="array" aca="1" ref="C1826" ca="1">_FV(A1826,"Ticker symbol",TRUE)</f>
        <v>LASR</v>
      </c>
      <c r="D1826" s="4">
        <v>34.020000000000003</v>
      </c>
      <c r="E1826" s="50">
        <v>30</v>
      </c>
      <c r="F1826" s="81">
        <f>IF(Table25[[#This Row],[Number of stocks]]&gt;0,Table25[[#This Row],[Number of stocks]],0)</f>
        <v>30</v>
      </c>
      <c r="G1826" s="73">
        <f>Table25[[#This Row],[Bought]]*Table25[[#This Row],[Price]]</f>
        <v>1020.6000000000001</v>
      </c>
      <c r="H1826">
        <f>SUMIF(Table25[[#All],[Assets]],Table25[[#This Row],[Assets]],Table25[[#All],[Bought]])</f>
        <v>59</v>
      </c>
      <c r="I1826">
        <f>SUMIF(Table25[[#All],[Assets]],Table25[[#This Row],[Assets]],Table25[[#All],[Bought Amount]])</f>
        <v>2261.08</v>
      </c>
      <c r="J1826" s="88">
        <f>IF(Table25[[#This Row],[Number of stocks]]&lt;0,Table25[[#This Row],[Number of stocks]],0)</f>
        <v>0</v>
      </c>
      <c r="K1826" s="5">
        <f>Table25[[#This Row],[Sold]]*Table25[[#This Row],[Price]]</f>
        <v>0</v>
      </c>
      <c r="L1826" s="8">
        <f>ABS(SUMIF(Table25[[#All],[Assets]],Table25[[#This Row],[Assets]],Table25[[#All],[Sold]]))</f>
        <v>10</v>
      </c>
      <c r="M1826" s="5">
        <f>ABS(SUMIF(Table25[[#All],[Assets]],Table25[[#This Row],[Assets]],Table25[[#All],[Sold Amount]]))</f>
        <v>322.8</v>
      </c>
      <c r="N1826" s="5">
        <f>IFERROR(Table25[[#This Row],[Total sold amount]]/Table25[[#This Row],[Total Sold number of stocks]],"")</f>
        <v>32.28</v>
      </c>
      <c r="O1826" s="4">
        <f>IFERROR(Table25[[#This Row],[Total Amount bought]]/Table25[[#This Row],[Total number bought]],"")</f>
        <v>38.323389830508475</v>
      </c>
      <c r="P1826" s="4">
        <f>IFERROR((Table25[[#This Row],[Average sell price]]-Table25[[#This Row],[Average buy price]])*Table25[[#This Row],[Total Sold number of stocks]],0)</f>
        <v>-60.433898305084739</v>
      </c>
      <c r="Q1826" s="85">
        <f>SUMIF(Table25[[#All],[Assets]],Table25[[#This Row],[Assets]],Table25[[#All],[Number of stocks]])</f>
        <v>49</v>
      </c>
    </row>
    <row r="1827" spans="1:17">
      <c r="A1827" t="e" vm="72">
        <v>#VALUE!</v>
      </c>
      <c r="B1827" s="2">
        <v>45971</v>
      </c>
      <c r="C1827" t="str" cm="1">
        <f t="array" aca="1" ref="C1827" ca="1">_FV(A1827,"Ticker symbol",TRUE)</f>
        <v>AIRS</v>
      </c>
      <c r="D1827" s="4">
        <v>6.16</v>
      </c>
      <c r="E1827" s="50">
        <v>-200</v>
      </c>
      <c r="F1827" s="81">
        <f>IF(Table25[[#This Row],[Number of stocks]]&gt;0,Table25[[#This Row],[Number of stocks]],0)</f>
        <v>0</v>
      </c>
      <c r="G1827" s="73">
        <f>Table25[[#This Row],[Bought]]*Table25[[#This Row],[Price]]</f>
        <v>0</v>
      </c>
      <c r="H1827">
        <f>SUMIF(Table25[[#All],[Assets]],Table25[[#This Row],[Assets]],Table25[[#All],[Bought]])</f>
        <v>2980</v>
      </c>
      <c r="I1827">
        <f>SUMIF(Table25[[#All],[Assets]],Table25[[#This Row],[Assets]],Table25[[#All],[Bought Amount]])</f>
        <v>14267.900000000001</v>
      </c>
      <c r="J1827" s="88">
        <f>IF(Table25[[#This Row],[Number of stocks]]&lt;0,Table25[[#This Row],[Number of stocks]],0)</f>
        <v>-200</v>
      </c>
      <c r="K1827" s="5">
        <f>Table25[[#This Row],[Sold]]*Table25[[#This Row],[Price]]</f>
        <v>-1232</v>
      </c>
      <c r="L1827" s="8">
        <f>ABS(SUMIF(Table25[[#All],[Assets]],Table25[[#This Row],[Assets]],Table25[[#All],[Sold]]))</f>
        <v>2360</v>
      </c>
      <c r="M1827" s="5">
        <f>ABS(SUMIF(Table25[[#All],[Assets]],Table25[[#This Row],[Assets]],Table25[[#All],[Sold Amount]]))</f>
        <v>7796.6</v>
      </c>
      <c r="N1827" s="5">
        <f>IFERROR(Table25[[#This Row],[Total sold amount]]/Table25[[#This Row],[Total Sold number of stocks]],"")</f>
        <v>3.3036440677966104</v>
      </c>
      <c r="O1827" s="4">
        <f>IFERROR(Table25[[#This Row],[Total Amount bought]]/Table25[[#This Row],[Total number bought]],"")</f>
        <v>4.7878859060402688</v>
      </c>
      <c r="P1827" s="4">
        <f>IFERROR((Table25[[#This Row],[Average sell price]]-Table25[[#This Row],[Average buy price]])*Table25[[#This Row],[Total Sold number of stocks]],0)</f>
        <v>-3502.8107382550338</v>
      </c>
      <c r="Q1827" s="85">
        <f>SUMIF(Table25[[#All],[Assets]],Table25[[#This Row],[Assets]],Table25[[#All],[Number of stocks]])</f>
        <v>620</v>
      </c>
    </row>
    <row r="1828" spans="1:17">
      <c r="A1828" t="e" vm="87">
        <v>#VALUE!</v>
      </c>
      <c r="B1828" s="2">
        <v>45971</v>
      </c>
      <c r="C1828" t="str" cm="1">
        <f t="array" aca="1" ref="C1828" ca="1">_FV(A1828,"Ticker symbol",TRUE)</f>
        <v>PGY</v>
      </c>
      <c r="D1828" s="4">
        <v>28.73</v>
      </c>
      <c r="E1828" s="50">
        <v>40</v>
      </c>
      <c r="F1828" s="81">
        <f>IF(Table25[[#This Row],[Number of stocks]]&gt;0,Table25[[#This Row],[Number of stocks]],0)</f>
        <v>40</v>
      </c>
      <c r="G1828" s="73">
        <f>Table25[[#This Row],[Bought]]*Table25[[#This Row],[Price]]</f>
        <v>1149.2</v>
      </c>
      <c r="H1828">
        <f>SUMIF(Table25[[#All],[Assets]],Table25[[#This Row],[Assets]],Table25[[#All],[Bought]])</f>
        <v>120</v>
      </c>
      <c r="I1828">
        <f>SUMIF(Table25[[#All],[Assets]],Table25[[#This Row],[Assets]],Table25[[#All],[Bought Amount]])</f>
        <v>3442.1000000000004</v>
      </c>
      <c r="J1828" s="88">
        <f>IF(Table25[[#This Row],[Number of stocks]]&lt;0,Table25[[#This Row],[Number of stocks]],0)</f>
        <v>0</v>
      </c>
      <c r="K1828" s="5">
        <f>Table25[[#This Row],[Sold]]*Table25[[#This Row],[Price]]</f>
        <v>0</v>
      </c>
      <c r="L1828" s="8">
        <f>ABS(SUMIF(Table25[[#All],[Assets]],Table25[[#This Row],[Assets]],Table25[[#All],[Sold]]))</f>
        <v>120</v>
      </c>
      <c r="M1828" s="5">
        <f>ABS(SUMIF(Table25[[#All],[Assets]],Table25[[#This Row],[Assets]],Table25[[#All],[Sold Amount]]))</f>
        <v>2686.8999999999996</v>
      </c>
      <c r="N1828" s="5">
        <f>IFERROR(Table25[[#This Row],[Total sold amount]]/Table25[[#This Row],[Total Sold number of stocks]],"")</f>
        <v>22.39083333333333</v>
      </c>
      <c r="O1828" s="4">
        <f>IFERROR(Table25[[#This Row],[Total Amount bought]]/Table25[[#This Row],[Total number bought]],"")</f>
        <v>28.68416666666667</v>
      </c>
      <c r="P1828" s="4">
        <f>IFERROR((Table25[[#This Row],[Average sell price]]-Table25[[#This Row],[Average buy price]])*Table25[[#This Row],[Total Sold number of stocks]],0)</f>
        <v>-755.20000000000084</v>
      </c>
      <c r="Q1828" s="85">
        <f>SUMIF(Table25[[#All],[Assets]],Table25[[#This Row],[Assets]],Table25[[#All],[Number of stocks]])</f>
        <v>0</v>
      </c>
    </row>
    <row r="1829" spans="1:17">
      <c r="A1829" t="e" vm="194">
        <v>#VALUE!</v>
      </c>
      <c r="B1829" s="2">
        <v>45971</v>
      </c>
      <c r="C1829" t="str" cm="1">
        <f t="array" aca="1" ref="C1829" ca="1">_FV(A1829,"Ticker symbol",TRUE)</f>
        <v>CIFR</v>
      </c>
      <c r="D1829" s="4">
        <v>21.45</v>
      </c>
      <c r="E1829" s="50">
        <v>25</v>
      </c>
      <c r="F1829" s="81">
        <f>IF(Table25[[#This Row],[Number of stocks]]&gt;0,Table25[[#This Row],[Number of stocks]],0)</f>
        <v>25</v>
      </c>
      <c r="G1829" s="73">
        <f>Table25[[#This Row],[Bought]]*Table25[[#This Row],[Price]]</f>
        <v>536.25</v>
      </c>
      <c r="H1829">
        <f>SUMIF(Table25[[#All],[Assets]],Table25[[#This Row],[Assets]],Table25[[#All],[Bought]])</f>
        <v>120</v>
      </c>
      <c r="I1829">
        <f>SUMIF(Table25[[#All],[Assets]],Table25[[#This Row],[Assets]],Table25[[#All],[Bought Amount]])</f>
        <v>1946</v>
      </c>
      <c r="J1829" s="88">
        <f>IF(Table25[[#This Row],[Number of stocks]]&lt;0,Table25[[#This Row],[Number of stocks]],0)</f>
        <v>0</v>
      </c>
      <c r="K1829" s="5">
        <f>Table25[[#This Row],[Sold]]*Table25[[#This Row],[Price]]</f>
        <v>0</v>
      </c>
      <c r="L1829" s="8">
        <f>ABS(SUMIF(Table25[[#All],[Assets]],Table25[[#This Row],[Assets]],Table25[[#All],[Sold]]))</f>
        <v>120</v>
      </c>
      <c r="M1829" s="5">
        <f>ABS(SUMIF(Table25[[#All],[Assets]],Table25[[#This Row],[Assets]],Table25[[#All],[Sold Amount]]))</f>
        <v>2077.65</v>
      </c>
      <c r="N1829" s="5">
        <f>IFERROR(Table25[[#This Row],[Total sold amount]]/Table25[[#This Row],[Total Sold number of stocks]],"")</f>
        <v>17.313750000000002</v>
      </c>
      <c r="O1829" s="4">
        <f>IFERROR(Table25[[#This Row],[Total Amount bought]]/Table25[[#This Row],[Total number bought]],"")</f>
        <v>16.216666666666665</v>
      </c>
      <c r="P1829" s="4">
        <f>IFERROR((Table25[[#This Row],[Average sell price]]-Table25[[#This Row],[Average buy price]])*Table25[[#This Row],[Total Sold number of stocks]],0)</f>
        <v>131.65000000000049</v>
      </c>
      <c r="Q1829" s="85">
        <f>SUMIF(Table25[[#All],[Assets]],Table25[[#This Row],[Assets]],Table25[[#All],[Number of stocks]])</f>
        <v>0</v>
      </c>
    </row>
    <row r="1830" spans="1:17">
      <c r="A1830" t="e" vm="223">
        <v>#VALUE!</v>
      </c>
      <c r="B1830" s="2">
        <v>45971</v>
      </c>
      <c r="C1830" t="str" cm="1">
        <f t="array" aca="1" ref="C1830" ca="1">_FV(A1830,"Ticker symbol",TRUE)</f>
        <v>NFE</v>
      </c>
      <c r="D1830" s="4">
        <v>1.39</v>
      </c>
      <c r="E1830" s="50">
        <v>100</v>
      </c>
      <c r="F1830" s="81">
        <f>IF(Table25[[#This Row],[Number of stocks]]&gt;0,Table25[[#This Row],[Number of stocks]],0)</f>
        <v>100</v>
      </c>
      <c r="G1830" s="73">
        <f>Table25[[#This Row],[Bought]]*Table25[[#This Row],[Price]]</f>
        <v>139</v>
      </c>
      <c r="H1830">
        <f>SUMIF(Table25[[#All],[Assets]],Table25[[#This Row],[Assets]],Table25[[#All],[Bought]])</f>
        <v>389</v>
      </c>
      <c r="I1830">
        <f>SUMIF(Table25[[#All],[Assets]],Table25[[#This Row],[Assets]],Table25[[#All],[Bought Amount]])</f>
        <v>584.42000000000007</v>
      </c>
      <c r="J1830" s="88">
        <f>IF(Table25[[#This Row],[Number of stocks]]&lt;0,Table25[[#This Row],[Number of stocks]],0)</f>
        <v>0</v>
      </c>
      <c r="K1830" s="5">
        <f>Table25[[#This Row],[Sold]]*Table25[[#This Row],[Price]]</f>
        <v>0</v>
      </c>
      <c r="L1830" s="8">
        <f>ABS(SUMIF(Table25[[#All],[Assets]],Table25[[#This Row],[Assets]],Table25[[#All],[Sold]]))</f>
        <v>289</v>
      </c>
      <c r="M1830" s="5">
        <f>ABS(SUMIF(Table25[[#All],[Assets]],Table25[[#This Row],[Assets]],Table25[[#All],[Sold Amount]]))</f>
        <v>358.36</v>
      </c>
      <c r="N1830" s="5">
        <f>IFERROR(Table25[[#This Row],[Total sold amount]]/Table25[[#This Row],[Total Sold number of stocks]],"")</f>
        <v>1.24</v>
      </c>
      <c r="O1830" s="4">
        <f>IFERROR(Table25[[#This Row],[Total Amount bought]]/Table25[[#This Row],[Total number bought]],"")</f>
        <v>1.5023650385604115</v>
      </c>
      <c r="P1830" s="4">
        <f>IFERROR((Table25[[#This Row],[Average sell price]]-Table25[[#This Row],[Average buy price]])*Table25[[#This Row],[Total Sold number of stocks]],0)</f>
        <v>-75.82349614395892</v>
      </c>
      <c r="Q1830" s="85">
        <f>SUMIF(Table25[[#All],[Assets]],Table25[[#This Row],[Assets]],Table25[[#All],[Number of stocks]])</f>
        <v>100</v>
      </c>
    </row>
    <row r="1831" spans="1:17">
      <c r="A1831" t="e" vm="223">
        <v>#VALUE!</v>
      </c>
      <c r="B1831" s="2">
        <v>45971</v>
      </c>
      <c r="C1831" t="str" cm="1">
        <f t="array" aca="1" ref="C1831" ca="1">_FV(A1831,"Ticker symbol",TRUE)</f>
        <v>NFE</v>
      </c>
      <c r="D1831" s="4">
        <v>1.38</v>
      </c>
      <c r="E1831" s="50">
        <v>119</v>
      </c>
      <c r="F1831" s="81">
        <f>IF(Table25[[#This Row],[Number of stocks]]&gt;0,Table25[[#This Row],[Number of stocks]],0)</f>
        <v>119</v>
      </c>
      <c r="G1831" s="73">
        <f>Table25[[#This Row],[Bought]]*Table25[[#This Row],[Price]]</f>
        <v>164.22</v>
      </c>
      <c r="H1831">
        <f>SUMIF(Table25[[#All],[Assets]],Table25[[#This Row],[Assets]],Table25[[#All],[Bought]])</f>
        <v>389</v>
      </c>
      <c r="I1831">
        <f>SUMIF(Table25[[#All],[Assets]],Table25[[#This Row],[Assets]],Table25[[#All],[Bought Amount]])</f>
        <v>584.42000000000007</v>
      </c>
      <c r="J1831" s="88">
        <f>IF(Table25[[#This Row],[Number of stocks]]&lt;0,Table25[[#This Row],[Number of stocks]],0)</f>
        <v>0</v>
      </c>
      <c r="K1831" s="5">
        <f>Table25[[#This Row],[Sold]]*Table25[[#This Row],[Price]]</f>
        <v>0</v>
      </c>
      <c r="L1831" s="8">
        <f>ABS(SUMIF(Table25[[#All],[Assets]],Table25[[#This Row],[Assets]],Table25[[#All],[Sold]]))</f>
        <v>289</v>
      </c>
      <c r="M1831" s="5">
        <f>ABS(SUMIF(Table25[[#All],[Assets]],Table25[[#This Row],[Assets]],Table25[[#All],[Sold Amount]]))</f>
        <v>358.36</v>
      </c>
      <c r="N1831" s="5">
        <f>IFERROR(Table25[[#This Row],[Total sold amount]]/Table25[[#This Row],[Total Sold number of stocks]],"")</f>
        <v>1.24</v>
      </c>
      <c r="O1831" s="4">
        <f>IFERROR(Table25[[#This Row],[Total Amount bought]]/Table25[[#This Row],[Total number bought]],"")</f>
        <v>1.5023650385604115</v>
      </c>
      <c r="P1831" s="4">
        <f>IFERROR((Table25[[#This Row],[Average sell price]]-Table25[[#This Row],[Average buy price]])*Table25[[#This Row],[Total Sold number of stocks]],0)</f>
        <v>-75.82349614395892</v>
      </c>
      <c r="Q1831" s="85">
        <f>SUMIF(Table25[[#All],[Assets]],Table25[[#This Row],[Assets]],Table25[[#All],[Number of stocks]])</f>
        <v>100</v>
      </c>
    </row>
    <row r="1832" spans="1:17">
      <c r="A1832" t="e" vm="180">
        <v>#VALUE!</v>
      </c>
      <c r="B1832" s="2">
        <v>45972</v>
      </c>
      <c r="C1832" t="str" cm="1">
        <f t="array" aca="1" ref="C1832" ca="1">_FV(A1832,"Ticker symbol",TRUE)</f>
        <v>VELO</v>
      </c>
      <c r="D1832" s="4">
        <v>5.85</v>
      </c>
      <c r="E1832" s="50">
        <v>40</v>
      </c>
      <c r="F1832" s="81">
        <f>IF(Table25[[#This Row],[Number of stocks]]&gt;0,Table25[[#This Row],[Number of stocks]],0)</f>
        <v>40</v>
      </c>
      <c r="G1832" s="73">
        <f>Table25[[#This Row],[Bought]]*Table25[[#This Row],[Price]]</f>
        <v>234</v>
      </c>
      <c r="H1832">
        <f>SUMIF(Table25[[#All],[Assets]],Table25[[#This Row],[Assets]],Table25[[#All],[Bought]])</f>
        <v>423</v>
      </c>
      <c r="I1832">
        <f>SUMIF(Table25[[#All],[Assets]],Table25[[#This Row],[Assets]],Table25[[#All],[Bought Amount]])</f>
        <v>2540.92</v>
      </c>
      <c r="J1832" s="88">
        <f>IF(Table25[[#This Row],[Number of stocks]]&lt;0,Table25[[#This Row],[Number of stocks]],0)</f>
        <v>0</v>
      </c>
      <c r="K1832" s="5">
        <f>Table25[[#This Row],[Sold]]*Table25[[#This Row],[Price]]</f>
        <v>0</v>
      </c>
      <c r="L1832" s="8">
        <f>ABS(SUMIF(Table25[[#All],[Assets]],Table25[[#This Row],[Assets]],Table25[[#All],[Sold]]))</f>
        <v>213</v>
      </c>
      <c r="M1832" s="5">
        <f>ABS(SUMIF(Table25[[#All],[Assets]],Table25[[#This Row],[Assets]],Table25[[#All],[Sold Amount]]))</f>
        <v>2820.5899999999997</v>
      </c>
      <c r="N1832" s="5">
        <f>IFERROR(Table25[[#This Row],[Total sold amount]]/Table25[[#This Row],[Total Sold number of stocks]],"")</f>
        <v>13.242206572769952</v>
      </c>
      <c r="O1832" s="4">
        <f>IFERROR(Table25[[#This Row],[Total Amount bought]]/Table25[[#This Row],[Total number bought]],"")</f>
        <v>6.0069030732860522</v>
      </c>
      <c r="P1832" s="4">
        <f>IFERROR((Table25[[#This Row],[Average sell price]]-Table25[[#This Row],[Average buy price]])*Table25[[#This Row],[Total Sold number of stocks]],0)</f>
        <v>1541.1196453900707</v>
      </c>
      <c r="Q1832" s="85">
        <f>SUMIF(Table25[[#All],[Assets]],Table25[[#This Row],[Assets]],Table25[[#All],[Number of stocks]])</f>
        <v>210</v>
      </c>
    </row>
    <row r="1833" spans="1:17">
      <c r="A1833" t="e" vm="180">
        <v>#VALUE!</v>
      </c>
      <c r="B1833" s="2">
        <v>45972</v>
      </c>
      <c r="C1833" t="str" cm="1">
        <f t="array" aca="1" ref="C1833" ca="1">_FV(A1833,"Ticker symbol",TRUE)</f>
        <v>VELO</v>
      </c>
      <c r="D1833" s="4">
        <v>5.84</v>
      </c>
      <c r="E1833" s="50">
        <v>23</v>
      </c>
      <c r="F1833" s="81">
        <f>IF(Table25[[#This Row],[Number of stocks]]&gt;0,Table25[[#This Row],[Number of stocks]],0)</f>
        <v>23</v>
      </c>
      <c r="G1833" s="73">
        <f>Table25[[#This Row],[Bought]]*Table25[[#This Row],[Price]]</f>
        <v>134.32</v>
      </c>
      <c r="H1833">
        <f>SUMIF(Table25[[#All],[Assets]],Table25[[#This Row],[Assets]],Table25[[#All],[Bought]])</f>
        <v>423</v>
      </c>
      <c r="I1833">
        <f>SUMIF(Table25[[#All],[Assets]],Table25[[#This Row],[Assets]],Table25[[#All],[Bought Amount]])</f>
        <v>2540.92</v>
      </c>
      <c r="J1833" s="88">
        <f>IF(Table25[[#This Row],[Number of stocks]]&lt;0,Table25[[#This Row],[Number of stocks]],0)</f>
        <v>0</v>
      </c>
      <c r="K1833" s="5">
        <f>Table25[[#This Row],[Sold]]*Table25[[#This Row],[Price]]</f>
        <v>0</v>
      </c>
      <c r="L1833" s="8">
        <f>ABS(SUMIF(Table25[[#All],[Assets]],Table25[[#This Row],[Assets]],Table25[[#All],[Sold]]))</f>
        <v>213</v>
      </c>
      <c r="M1833" s="5">
        <f>ABS(SUMIF(Table25[[#All],[Assets]],Table25[[#This Row],[Assets]],Table25[[#All],[Sold Amount]]))</f>
        <v>2820.5899999999997</v>
      </c>
      <c r="N1833" s="5">
        <f>IFERROR(Table25[[#This Row],[Total sold amount]]/Table25[[#This Row],[Total Sold number of stocks]],"")</f>
        <v>13.242206572769952</v>
      </c>
      <c r="O1833" s="4">
        <f>IFERROR(Table25[[#This Row],[Total Amount bought]]/Table25[[#This Row],[Total number bought]],"")</f>
        <v>6.0069030732860522</v>
      </c>
      <c r="P1833" s="4">
        <f>IFERROR((Table25[[#This Row],[Average sell price]]-Table25[[#This Row],[Average buy price]])*Table25[[#This Row],[Total Sold number of stocks]],0)</f>
        <v>1541.1196453900707</v>
      </c>
      <c r="Q1833" s="85">
        <f>SUMIF(Table25[[#All],[Assets]],Table25[[#This Row],[Assets]],Table25[[#All],[Number of stocks]])</f>
        <v>210</v>
      </c>
    </row>
    <row r="1834" spans="1:17">
      <c r="A1834" t="e" vm="74">
        <v>#VALUE!</v>
      </c>
      <c r="B1834" s="2">
        <v>45972</v>
      </c>
      <c r="C1834" t="str" cm="1">
        <f t="array" aca="1" ref="C1834" ca="1">_FV(A1834,"Ticker symbol",TRUE)</f>
        <v>XGN</v>
      </c>
      <c r="D1834" s="4">
        <v>9.23</v>
      </c>
      <c r="E1834" s="50">
        <v>-50</v>
      </c>
      <c r="F1834" s="81">
        <f>IF(Table25[[#This Row],[Number of stocks]]&gt;0,Table25[[#This Row],[Number of stocks]],0)</f>
        <v>0</v>
      </c>
      <c r="G1834" s="73">
        <f>Table25[[#This Row],[Bought]]*Table25[[#This Row],[Price]]</f>
        <v>0</v>
      </c>
      <c r="H1834">
        <f>SUMIF(Table25[[#All],[Assets]],Table25[[#This Row],[Assets]],Table25[[#All],[Bought]])</f>
        <v>249</v>
      </c>
      <c r="I1834">
        <f>SUMIF(Table25[[#All],[Assets]],Table25[[#This Row],[Assets]],Table25[[#All],[Bought Amount]])</f>
        <v>1807.8</v>
      </c>
      <c r="J1834" s="88">
        <f>IF(Table25[[#This Row],[Number of stocks]]&lt;0,Table25[[#This Row],[Number of stocks]],0)</f>
        <v>-50</v>
      </c>
      <c r="K1834" s="5">
        <f>Table25[[#This Row],[Sold]]*Table25[[#This Row],[Price]]</f>
        <v>-461.5</v>
      </c>
      <c r="L1834" s="8">
        <f>ABS(SUMIF(Table25[[#All],[Assets]],Table25[[#This Row],[Assets]],Table25[[#All],[Sold]]))</f>
        <v>249</v>
      </c>
      <c r="M1834" s="5">
        <f>ABS(SUMIF(Table25[[#All],[Assets]],Table25[[#This Row],[Assets]],Table25[[#All],[Sold Amount]]))</f>
        <v>2313.8000000000002</v>
      </c>
      <c r="N1834" s="5">
        <f>IFERROR(Table25[[#This Row],[Total sold amount]]/Table25[[#This Row],[Total Sold number of stocks]],"")</f>
        <v>9.292369477911647</v>
      </c>
      <c r="O1834" s="4">
        <f>IFERROR(Table25[[#This Row],[Total Amount bought]]/Table25[[#This Row],[Total number bought]],"")</f>
        <v>7.2602409638554217</v>
      </c>
      <c r="P1834" s="4">
        <f>IFERROR((Table25[[#This Row],[Average sell price]]-Table25[[#This Row],[Average buy price]])*Table25[[#This Row],[Total Sold number of stocks]],0)</f>
        <v>506.00000000000011</v>
      </c>
      <c r="Q1834" s="85">
        <f>SUMIF(Table25[[#All],[Assets]],Table25[[#This Row],[Assets]],Table25[[#All],[Number of stocks]])</f>
        <v>0</v>
      </c>
    </row>
    <row r="1835" spans="1:17">
      <c r="A1835" t="e" vm="180">
        <v>#VALUE!</v>
      </c>
      <c r="B1835" s="2">
        <v>45972</v>
      </c>
      <c r="C1835" t="str" cm="1">
        <f t="array" aca="1" ref="C1835" ca="1">_FV(A1835,"Ticker symbol",TRUE)</f>
        <v>VELO</v>
      </c>
      <c r="D1835" s="4">
        <v>5.93</v>
      </c>
      <c r="E1835" s="50">
        <v>45</v>
      </c>
      <c r="F1835" s="81">
        <f>IF(Table25[[#This Row],[Number of stocks]]&gt;0,Table25[[#This Row],[Number of stocks]],0)</f>
        <v>45</v>
      </c>
      <c r="G1835" s="73">
        <f>Table25[[#This Row],[Bought]]*Table25[[#This Row],[Price]]</f>
        <v>266.84999999999997</v>
      </c>
      <c r="H1835">
        <f>SUMIF(Table25[[#All],[Assets]],Table25[[#This Row],[Assets]],Table25[[#All],[Bought]])</f>
        <v>423</v>
      </c>
      <c r="I1835">
        <f>SUMIF(Table25[[#All],[Assets]],Table25[[#This Row],[Assets]],Table25[[#All],[Bought Amount]])</f>
        <v>2540.92</v>
      </c>
      <c r="J1835" s="88">
        <f>IF(Table25[[#This Row],[Number of stocks]]&lt;0,Table25[[#This Row],[Number of stocks]],0)</f>
        <v>0</v>
      </c>
      <c r="K1835" s="5">
        <f>Table25[[#This Row],[Sold]]*Table25[[#This Row],[Price]]</f>
        <v>0</v>
      </c>
      <c r="L1835" s="8">
        <f>ABS(SUMIF(Table25[[#All],[Assets]],Table25[[#This Row],[Assets]],Table25[[#All],[Sold]]))</f>
        <v>213</v>
      </c>
      <c r="M1835" s="5">
        <f>ABS(SUMIF(Table25[[#All],[Assets]],Table25[[#This Row],[Assets]],Table25[[#All],[Sold Amount]]))</f>
        <v>2820.5899999999997</v>
      </c>
      <c r="N1835" s="5">
        <f>IFERROR(Table25[[#This Row],[Total sold amount]]/Table25[[#This Row],[Total Sold number of stocks]],"")</f>
        <v>13.242206572769952</v>
      </c>
      <c r="O1835" s="4">
        <f>IFERROR(Table25[[#This Row],[Total Amount bought]]/Table25[[#This Row],[Total number bought]],"")</f>
        <v>6.0069030732860522</v>
      </c>
      <c r="P1835" s="4">
        <f>IFERROR((Table25[[#This Row],[Average sell price]]-Table25[[#This Row],[Average buy price]])*Table25[[#This Row],[Total Sold number of stocks]],0)</f>
        <v>1541.1196453900707</v>
      </c>
      <c r="Q1835" s="85">
        <f>SUMIF(Table25[[#All],[Assets]],Table25[[#This Row],[Assets]],Table25[[#All],[Number of stocks]])</f>
        <v>210</v>
      </c>
    </row>
    <row r="1836" spans="1:17">
      <c r="A1836" t="e" vm="80">
        <v>#VALUE!</v>
      </c>
      <c r="B1836" s="2">
        <v>45974</v>
      </c>
      <c r="C1836" t="str" cm="1">
        <f t="array" aca="1" ref="C1836" ca="1">_FV(A1836,"Ticker symbol",TRUE)</f>
        <v>PYPL</v>
      </c>
      <c r="D1836" s="4">
        <v>67.08</v>
      </c>
      <c r="E1836" s="50">
        <v>-8</v>
      </c>
      <c r="F1836" s="81">
        <f>IF(Table25[[#This Row],[Number of stocks]]&gt;0,Table25[[#This Row],[Number of stocks]],0)</f>
        <v>0</v>
      </c>
      <c r="G1836" s="73">
        <f>Table25[[#This Row],[Bought]]*Table25[[#This Row],[Price]]</f>
        <v>0</v>
      </c>
      <c r="H1836">
        <f>SUMIF(Table25[[#All],[Assets]],Table25[[#This Row],[Assets]],Table25[[#All],[Bought]])</f>
        <v>223</v>
      </c>
      <c r="I1836">
        <f>SUMIF(Table25[[#All],[Assets]],Table25[[#This Row],[Assets]],Table25[[#All],[Bought Amount]])</f>
        <v>14862.050000000003</v>
      </c>
      <c r="J1836" s="88">
        <f>IF(Table25[[#This Row],[Number of stocks]]&lt;0,Table25[[#This Row],[Number of stocks]],0)</f>
        <v>-8</v>
      </c>
      <c r="K1836" s="5">
        <f>Table25[[#This Row],[Sold]]*Table25[[#This Row],[Price]]</f>
        <v>-536.64</v>
      </c>
      <c r="L1836" s="8">
        <f>ABS(SUMIF(Table25[[#All],[Assets]],Table25[[#This Row],[Assets]],Table25[[#All],[Sold]]))</f>
        <v>222</v>
      </c>
      <c r="M1836" s="5">
        <f>ABS(SUMIF(Table25[[#All],[Assets]],Table25[[#This Row],[Assets]],Table25[[#All],[Sold Amount]]))</f>
        <v>15255.44</v>
      </c>
      <c r="N1836" s="5">
        <f>IFERROR(Table25[[#This Row],[Total sold amount]]/Table25[[#This Row],[Total Sold number of stocks]],"")</f>
        <v>68.718198198198195</v>
      </c>
      <c r="O1836" s="4">
        <f>IFERROR(Table25[[#This Row],[Total Amount bought]]/Table25[[#This Row],[Total number bought]],"")</f>
        <v>66.645964125560553</v>
      </c>
      <c r="P1836" s="4">
        <f>IFERROR((Table25[[#This Row],[Average sell price]]-Table25[[#This Row],[Average buy price]])*Table25[[#This Row],[Total Sold number of stocks]],0)</f>
        <v>460.03596412555646</v>
      </c>
      <c r="Q1836" s="85">
        <f>SUMIF(Table25[[#All],[Assets]],Table25[[#This Row],[Assets]],Table25[[#All],[Number of stocks]])</f>
        <v>1</v>
      </c>
    </row>
    <row r="1837" spans="1:17">
      <c r="A1837" t="e" vm="46">
        <v>#VALUE!</v>
      </c>
      <c r="B1837" s="2">
        <v>45974</v>
      </c>
      <c r="C1837" t="str" cm="1">
        <f t="array" aca="1" ref="C1837" ca="1">_FV(A1837,"Ticker symbol",TRUE)</f>
        <v>ASPI</v>
      </c>
      <c r="D1837" s="4">
        <v>8.56</v>
      </c>
      <c r="E1837" s="50">
        <v>-100</v>
      </c>
      <c r="F1837" s="81">
        <f>IF(Table25[[#This Row],[Number of stocks]]&gt;0,Table25[[#This Row],[Number of stocks]],0)</f>
        <v>0</v>
      </c>
      <c r="G1837" s="73">
        <f>Table25[[#This Row],[Bought]]*Table25[[#This Row],[Price]]</f>
        <v>0</v>
      </c>
      <c r="H1837">
        <f>SUMIF(Table25[[#All],[Assets]],Table25[[#This Row],[Assets]],Table25[[#All],[Bought]])</f>
        <v>1899</v>
      </c>
      <c r="I1837">
        <f>SUMIF(Table25[[#All],[Assets]],Table25[[#This Row],[Assets]],Table25[[#All],[Bought Amount]])</f>
        <v>8555.869999999999</v>
      </c>
      <c r="J1837" s="88">
        <f>IF(Table25[[#This Row],[Number of stocks]]&lt;0,Table25[[#This Row],[Number of stocks]],0)</f>
        <v>-100</v>
      </c>
      <c r="K1837" s="5">
        <f>Table25[[#This Row],[Sold]]*Table25[[#This Row],[Price]]</f>
        <v>-856</v>
      </c>
      <c r="L1837" s="8">
        <f>ABS(SUMIF(Table25[[#All],[Assets]],Table25[[#This Row],[Assets]],Table25[[#All],[Sold]]))</f>
        <v>1599</v>
      </c>
      <c r="M1837" s="5">
        <f>ABS(SUMIF(Table25[[#All],[Assets]],Table25[[#This Row],[Assets]],Table25[[#All],[Sold Amount]]))</f>
        <v>8799.17</v>
      </c>
      <c r="N1837" s="5">
        <f>IFERROR(Table25[[#This Row],[Total sold amount]]/Table25[[#This Row],[Total Sold number of stocks]],"")</f>
        <v>5.5029205753595996</v>
      </c>
      <c r="O1837" s="4">
        <f>IFERROR(Table25[[#This Row],[Total Amount bought]]/Table25[[#This Row],[Total number bought]],"")</f>
        <v>4.5054607688256976</v>
      </c>
      <c r="P1837" s="4">
        <f>IFERROR((Table25[[#This Row],[Average sell price]]-Table25[[#This Row],[Average buy price]])*Table25[[#This Row],[Total Sold number of stocks]],0)</f>
        <v>1594.9382306477094</v>
      </c>
      <c r="Q1837" s="85">
        <f>SUMIF(Table25[[#All],[Assets]],Table25[[#This Row],[Assets]],Table25[[#All],[Number of stocks]])</f>
        <v>300</v>
      </c>
    </row>
    <row r="1838" spans="1:17">
      <c r="A1838" t="e" vm="181">
        <v>#VALUE!</v>
      </c>
      <c r="B1838" s="2">
        <v>45974</v>
      </c>
      <c r="C1838" t="str" cm="1">
        <f t="array" aca="1" ref="C1838" ca="1">_FV(A1838,"Ticker symbol",TRUE)</f>
        <v>TIC</v>
      </c>
      <c r="D1838" s="4">
        <v>10.6</v>
      </c>
      <c r="E1838" s="50">
        <v>120</v>
      </c>
      <c r="F1838" s="81">
        <f>IF(Table25[[#This Row],[Number of stocks]]&gt;0,Table25[[#This Row],[Number of stocks]],0)</f>
        <v>120</v>
      </c>
      <c r="G1838" s="73">
        <f>Table25[[#This Row],[Bought]]*Table25[[#This Row],[Price]]</f>
        <v>1272</v>
      </c>
      <c r="H1838">
        <f>SUMIF(Table25[[#All],[Assets]],Table25[[#This Row],[Assets]],Table25[[#All],[Bought]])</f>
        <v>487</v>
      </c>
      <c r="I1838">
        <f>SUMIF(Table25[[#All],[Assets]],Table25[[#This Row],[Assets]],Table25[[#All],[Bought Amount]])</f>
        <v>6140.8099999999995</v>
      </c>
      <c r="J1838" s="88">
        <f>IF(Table25[[#This Row],[Number of stocks]]&lt;0,Table25[[#This Row],[Number of stocks]],0)</f>
        <v>0</v>
      </c>
      <c r="K1838" s="5">
        <f>Table25[[#This Row],[Sold]]*Table25[[#This Row],[Price]]</f>
        <v>0</v>
      </c>
      <c r="L1838" s="8">
        <f>ABS(SUMIF(Table25[[#All],[Assets]],Table25[[#This Row],[Assets]],Table25[[#All],[Sold]]))</f>
        <v>397</v>
      </c>
      <c r="M1838" s="5">
        <f>ABS(SUMIF(Table25[[#All],[Assets]],Table25[[#This Row],[Assets]],Table25[[#All],[Sold Amount]]))</f>
        <v>3999.4</v>
      </c>
      <c r="N1838" s="5">
        <f>IFERROR(Table25[[#This Row],[Total sold amount]]/Table25[[#This Row],[Total Sold number of stocks]],"")</f>
        <v>10.074055415617128</v>
      </c>
      <c r="O1838" s="4">
        <f>IFERROR(Table25[[#This Row],[Total Amount bought]]/Table25[[#This Row],[Total number bought]],"")</f>
        <v>12.609466119096508</v>
      </c>
      <c r="P1838" s="4">
        <f>IFERROR((Table25[[#This Row],[Average sell price]]-Table25[[#This Row],[Average buy price]])*Table25[[#This Row],[Total Sold number of stocks]],0)</f>
        <v>-1006.558049281314</v>
      </c>
      <c r="Q1838" s="85">
        <f>SUMIF(Table25[[#All],[Assets]],Table25[[#This Row],[Assets]],Table25[[#All],[Number of stocks]])</f>
        <v>90</v>
      </c>
    </row>
    <row r="1839" spans="1:17">
      <c r="A1839" t="e" vm="585">
        <v>#VALUE!</v>
      </c>
      <c r="B1839" s="2">
        <v>45974</v>
      </c>
      <c r="C1839" t="str" cm="1">
        <f t="array" aca="1" ref="C1839" ca="1">_FV(A1839,"Ticker symbol",TRUE)</f>
        <v>ASTH</v>
      </c>
      <c r="D1839" s="4">
        <v>23.35</v>
      </c>
      <c r="E1839" s="50">
        <v>-31</v>
      </c>
      <c r="F1839" s="81">
        <f>IF(Table25[[#This Row],[Number of stocks]]&gt;0,Table25[[#This Row],[Number of stocks]],0)</f>
        <v>0</v>
      </c>
      <c r="G1839" s="73">
        <f>Table25[[#This Row],[Bought]]*Table25[[#This Row],[Price]]</f>
        <v>0</v>
      </c>
      <c r="H1839">
        <f>SUMIF(Table25[[#All],[Assets]],Table25[[#This Row],[Assets]],Table25[[#All],[Bought]])</f>
        <v>31</v>
      </c>
      <c r="I1839">
        <f>SUMIF(Table25[[#All],[Assets]],Table25[[#This Row],[Assets]],Table25[[#All],[Bought Amount]])</f>
        <v>1043.03</v>
      </c>
      <c r="J1839" s="88">
        <f>IF(Table25[[#This Row],[Number of stocks]]&lt;0,Table25[[#This Row],[Number of stocks]],0)</f>
        <v>-31</v>
      </c>
      <c r="K1839" s="5">
        <f>Table25[[#This Row],[Sold]]*Table25[[#This Row],[Price]]</f>
        <v>-723.85</v>
      </c>
      <c r="L1839" s="8">
        <f>ABS(SUMIF(Table25[[#All],[Assets]],Table25[[#This Row],[Assets]],Table25[[#All],[Sold]]))</f>
        <v>31</v>
      </c>
      <c r="M1839" s="5">
        <f>ABS(SUMIF(Table25[[#All],[Assets]],Table25[[#This Row],[Assets]],Table25[[#All],[Sold Amount]]))</f>
        <v>723.85</v>
      </c>
      <c r="N1839" s="5">
        <f>IFERROR(Table25[[#This Row],[Total sold amount]]/Table25[[#This Row],[Total Sold number of stocks]],"")</f>
        <v>23.35</v>
      </c>
      <c r="O1839" s="4">
        <f>IFERROR(Table25[[#This Row],[Total Amount bought]]/Table25[[#This Row],[Total number bought]],"")</f>
        <v>33.646129032258067</v>
      </c>
      <c r="P1839" s="4">
        <f>IFERROR((Table25[[#This Row],[Average sell price]]-Table25[[#This Row],[Average buy price]])*Table25[[#This Row],[Total Sold number of stocks]],0)</f>
        <v>-319.18</v>
      </c>
      <c r="Q1839" s="85">
        <f>SUMIF(Table25[[#All],[Assets]],Table25[[#This Row],[Assets]],Table25[[#All],[Number of stocks]])</f>
        <v>0</v>
      </c>
    </row>
    <row r="1840" spans="1:17">
      <c r="A1840" t="e" vm="582">
        <v>#VALUE!</v>
      </c>
      <c r="B1840" s="2">
        <v>45979</v>
      </c>
      <c r="C1840" t="str" cm="1">
        <f t="array" aca="1" ref="C1840" ca="1">_FV(A1840,"Ticker symbol",TRUE)</f>
        <v>TGT</v>
      </c>
      <c r="D1840" s="4">
        <v>89.65</v>
      </c>
      <c r="E1840" s="50">
        <v>-6</v>
      </c>
      <c r="F1840" s="81">
        <f>IF(Table25[[#This Row],[Number of stocks]]&gt;0,Table25[[#This Row],[Number of stocks]],0)</f>
        <v>0</v>
      </c>
      <c r="G1840" s="73">
        <f>Table25[[#This Row],[Bought]]*Table25[[#This Row],[Price]]</f>
        <v>0</v>
      </c>
      <c r="H1840">
        <f>SUMIF(Table25[[#All],[Assets]],Table25[[#This Row],[Assets]],Table25[[#All],[Bought]])</f>
        <v>6</v>
      </c>
      <c r="I1840">
        <f>SUMIF(Table25[[#All],[Assets]],Table25[[#This Row],[Assets]],Table25[[#All],[Bought Amount]])</f>
        <v>531.84</v>
      </c>
      <c r="J1840" s="88">
        <f>IF(Table25[[#This Row],[Number of stocks]]&lt;0,Table25[[#This Row],[Number of stocks]],0)</f>
        <v>-6</v>
      </c>
      <c r="K1840" s="5">
        <f>Table25[[#This Row],[Sold]]*Table25[[#This Row],[Price]]</f>
        <v>-537.90000000000009</v>
      </c>
      <c r="L1840" s="8">
        <f>ABS(SUMIF(Table25[[#All],[Assets]],Table25[[#This Row],[Assets]],Table25[[#All],[Sold]]))</f>
        <v>6</v>
      </c>
      <c r="M1840" s="5">
        <f>ABS(SUMIF(Table25[[#All],[Assets]],Table25[[#This Row],[Assets]],Table25[[#All],[Sold Amount]]))</f>
        <v>537.90000000000009</v>
      </c>
      <c r="N1840" s="5">
        <f>IFERROR(Table25[[#This Row],[Total sold amount]]/Table25[[#This Row],[Total Sold number of stocks]],"")</f>
        <v>89.65000000000002</v>
      </c>
      <c r="O1840" s="4">
        <f>IFERROR(Table25[[#This Row],[Total Amount bought]]/Table25[[#This Row],[Total number bought]],"")</f>
        <v>88.64</v>
      </c>
      <c r="P1840" s="4">
        <f>IFERROR((Table25[[#This Row],[Average sell price]]-Table25[[#This Row],[Average buy price]])*Table25[[#This Row],[Total Sold number of stocks]],0)</f>
        <v>6.060000000000116</v>
      </c>
      <c r="Q1840" s="85">
        <f>SUMIF(Table25[[#All],[Assets]],Table25[[#This Row],[Assets]],Table25[[#All],[Number of stocks]])</f>
        <v>0</v>
      </c>
    </row>
    <row r="1841" spans="1:17">
      <c r="A1841" t="e" vm="194">
        <v>#VALUE!</v>
      </c>
      <c r="B1841" s="2">
        <v>45979</v>
      </c>
      <c r="C1841" t="str" cm="1">
        <f t="array" aca="1" ref="C1841" ca="1">_FV(A1841,"Ticker symbol",TRUE)</f>
        <v>CIFR</v>
      </c>
      <c r="D1841" s="4">
        <v>14.75</v>
      </c>
      <c r="E1841" s="50">
        <v>45</v>
      </c>
      <c r="F1841" s="81">
        <f>IF(Table25[[#This Row],[Number of stocks]]&gt;0,Table25[[#This Row],[Number of stocks]],0)</f>
        <v>45</v>
      </c>
      <c r="G1841" s="73">
        <f>Table25[[#This Row],[Bought]]*Table25[[#This Row],[Price]]</f>
        <v>663.75</v>
      </c>
      <c r="H1841">
        <f>SUMIF(Table25[[#All],[Assets]],Table25[[#This Row],[Assets]],Table25[[#All],[Bought]])</f>
        <v>120</v>
      </c>
      <c r="I1841">
        <f>SUMIF(Table25[[#All],[Assets]],Table25[[#This Row],[Assets]],Table25[[#All],[Bought Amount]])</f>
        <v>1946</v>
      </c>
      <c r="J1841" s="88">
        <f>IF(Table25[[#This Row],[Number of stocks]]&lt;0,Table25[[#This Row],[Number of stocks]],0)</f>
        <v>0</v>
      </c>
      <c r="K1841" s="5">
        <f>Table25[[#This Row],[Sold]]*Table25[[#This Row],[Price]]</f>
        <v>0</v>
      </c>
      <c r="L1841" s="8">
        <f>ABS(SUMIF(Table25[[#All],[Assets]],Table25[[#This Row],[Assets]],Table25[[#All],[Sold]]))</f>
        <v>120</v>
      </c>
      <c r="M1841" s="5">
        <f>ABS(SUMIF(Table25[[#All],[Assets]],Table25[[#This Row],[Assets]],Table25[[#All],[Sold Amount]]))</f>
        <v>2077.65</v>
      </c>
      <c r="N1841" s="5">
        <f>IFERROR(Table25[[#This Row],[Total sold amount]]/Table25[[#This Row],[Total Sold number of stocks]],"")</f>
        <v>17.313750000000002</v>
      </c>
      <c r="O1841" s="4">
        <f>IFERROR(Table25[[#This Row],[Total Amount bought]]/Table25[[#This Row],[Total number bought]],"")</f>
        <v>16.216666666666665</v>
      </c>
      <c r="P1841" s="4">
        <f>IFERROR((Table25[[#This Row],[Average sell price]]-Table25[[#This Row],[Average buy price]])*Table25[[#This Row],[Total Sold number of stocks]],0)</f>
        <v>131.65000000000049</v>
      </c>
      <c r="Q1841" s="85">
        <f>SUMIF(Table25[[#All],[Assets]],Table25[[#This Row],[Assets]],Table25[[#All],[Number of stocks]])</f>
        <v>0</v>
      </c>
    </row>
    <row r="1842" spans="1:17">
      <c r="A1842" t="e" vm="84">
        <v>#VALUE!</v>
      </c>
      <c r="B1842" s="2">
        <v>45979</v>
      </c>
      <c r="C1842" t="str" cm="1">
        <f t="array" aca="1" ref="C1842" ca="1">_FV(A1842,"Ticker symbol",TRUE)</f>
        <v>COIN</v>
      </c>
      <c r="D1842" s="4">
        <v>266.99</v>
      </c>
      <c r="E1842" s="50">
        <v>-2</v>
      </c>
      <c r="F1842" s="81">
        <f>IF(Table25[[#This Row],[Number of stocks]]&gt;0,Table25[[#This Row],[Number of stocks]],0)</f>
        <v>0</v>
      </c>
      <c r="G1842" s="73">
        <f>Table25[[#This Row],[Bought]]*Table25[[#This Row],[Price]]</f>
        <v>0</v>
      </c>
      <c r="H1842">
        <f>SUMIF(Table25[[#All],[Assets]],Table25[[#This Row],[Assets]],Table25[[#All],[Bought]])</f>
        <v>11</v>
      </c>
      <c r="I1842">
        <f>SUMIF(Table25[[#All],[Assets]],Table25[[#This Row],[Assets]],Table25[[#All],[Bought Amount]])</f>
        <v>3624.34</v>
      </c>
      <c r="J1842" s="88">
        <f>IF(Table25[[#This Row],[Number of stocks]]&lt;0,Table25[[#This Row],[Number of stocks]],0)</f>
        <v>-2</v>
      </c>
      <c r="K1842" s="5">
        <f>Table25[[#This Row],[Sold]]*Table25[[#This Row],[Price]]</f>
        <v>-533.98</v>
      </c>
      <c r="L1842" s="8">
        <f>ABS(SUMIF(Table25[[#All],[Assets]],Table25[[#This Row],[Assets]],Table25[[#All],[Sold]]))</f>
        <v>11</v>
      </c>
      <c r="M1842" s="5">
        <f>ABS(SUMIF(Table25[[#All],[Assets]],Table25[[#This Row],[Assets]],Table25[[#All],[Sold Amount]]))</f>
        <v>3399.23</v>
      </c>
      <c r="N1842" s="5">
        <f>IFERROR(Table25[[#This Row],[Total sold amount]]/Table25[[#This Row],[Total Sold number of stocks]],"")</f>
        <v>309.02090909090907</v>
      </c>
      <c r="O1842" s="4">
        <f>IFERROR(Table25[[#This Row],[Total Amount bought]]/Table25[[#This Row],[Total number bought]],"")</f>
        <v>329.48545454545456</v>
      </c>
      <c r="P1842" s="4">
        <f>IFERROR((Table25[[#This Row],[Average sell price]]-Table25[[#This Row],[Average buy price]])*Table25[[#This Row],[Total Sold number of stocks]],0)</f>
        <v>-225.11000000000035</v>
      </c>
      <c r="Q1842" s="85">
        <f>SUMIF(Table25[[#All],[Assets]],Table25[[#This Row],[Assets]],Table25[[#All],[Number of stocks]])</f>
        <v>0</v>
      </c>
    </row>
    <row r="1843" spans="1:17">
      <c r="A1843" t="e" vm="194">
        <v>#VALUE!</v>
      </c>
      <c r="B1843" s="2">
        <v>45979</v>
      </c>
      <c r="C1843" t="str" cm="1">
        <f t="array" aca="1" ref="C1843" ca="1">_FV(A1843,"Ticker symbol",TRUE)</f>
        <v>CIFR</v>
      </c>
      <c r="D1843" s="4">
        <v>14.95</v>
      </c>
      <c r="E1843" s="50">
        <v>40</v>
      </c>
      <c r="F1843" s="81">
        <f>IF(Table25[[#This Row],[Number of stocks]]&gt;0,Table25[[#This Row],[Number of stocks]],0)</f>
        <v>40</v>
      </c>
      <c r="G1843" s="73">
        <f>Table25[[#This Row],[Bought]]*Table25[[#This Row],[Price]]</f>
        <v>598</v>
      </c>
      <c r="H1843">
        <f>SUMIF(Table25[[#All],[Assets]],Table25[[#This Row],[Assets]],Table25[[#All],[Bought]])</f>
        <v>120</v>
      </c>
      <c r="I1843">
        <f>SUMIF(Table25[[#All],[Assets]],Table25[[#This Row],[Assets]],Table25[[#All],[Bought Amount]])</f>
        <v>1946</v>
      </c>
      <c r="J1843" s="88">
        <f>IF(Table25[[#This Row],[Number of stocks]]&lt;0,Table25[[#This Row],[Number of stocks]],0)</f>
        <v>0</v>
      </c>
      <c r="K1843" s="5">
        <f>Table25[[#This Row],[Sold]]*Table25[[#This Row],[Price]]</f>
        <v>0</v>
      </c>
      <c r="L1843" s="8">
        <f>ABS(SUMIF(Table25[[#All],[Assets]],Table25[[#This Row],[Assets]],Table25[[#All],[Sold]]))</f>
        <v>120</v>
      </c>
      <c r="M1843" s="5">
        <f>ABS(SUMIF(Table25[[#All],[Assets]],Table25[[#This Row],[Assets]],Table25[[#All],[Sold Amount]]))</f>
        <v>2077.65</v>
      </c>
      <c r="N1843" s="5">
        <f>IFERROR(Table25[[#This Row],[Total sold amount]]/Table25[[#This Row],[Total Sold number of stocks]],"")</f>
        <v>17.313750000000002</v>
      </c>
      <c r="O1843" s="4">
        <f>IFERROR(Table25[[#This Row],[Total Amount bought]]/Table25[[#This Row],[Total number bought]],"")</f>
        <v>16.216666666666665</v>
      </c>
      <c r="P1843" s="4">
        <f>IFERROR((Table25[[#This Row],[Average sell price]]-Table25[[#This Row],[Average buy price]])*Table25[[#This Row],[Total Sold number of stocks]],0)</f>
        <v>131.65000000000049</v>
      </c>
      <c r="Q1843" s="85">
        <f>SUMIF(Table25[[#All],[Assets]],Table25[[#This Row],[Assets]],Table25[[#All],[Number of stocks]])</f>
        <v>0</v>
      </c>
    </row>
    <row r="1844" spans="1:17">
      <c r="A1844" t="e" vm="584">
        <v>#VALUE!</v>
      </c>
      <c r="B1844" s="2">
        <v>45979</v>
      </c>
      <c r="C1844" t="str" cm="1">
        <f t="array" aca="1" ref="C1844" ca="1">_FV(A1844,"Ticker symbol",TRUE)</f>
        <v>KOPN</v>
      </c>
      <c r="D1844" s="4">
        <v>2.4300000000000002</v>
      </c>
      <c r="E1844" s="50">
        <v>-150</v>
      </c>
      <c r="F1844" s="81">
        <f>IF(Table25[[#This Row],[Number of stocks]]&gt;0,Table25[[#This Row],[Number of stocks]],0)</f>
        <v>0</v>
      </c>
      <c r="G1844" s="73">
        <f>Table25[[#This Row],[Bought]]*Table25[[#This Row],[Price]]</f>
        <v>0</v>
      </c>
      <c r="H1844">
        <f>SUMIF(Table25[[#All],[Assets]],Table25[[#This Row],[Assets]],Table25[[#All],[Bought]])</f>
        <v>150</v>
      </c>
      <c r="I1844">
        <f>SUMIF(Table25[[#All],[Assets]],Table25[[#This Row],[Assets]],Table25[[#All],[Bought Amount]])</f>
        <v>538.5</v>
      </c>
      <c r="J1844" s="88">
        <f>IF(Table25[[#This Row],[Number of stocks]]&lt;0,Table25[[#This Row],[Number of stocks]],0)</f>
        <v>-150</v>
      </c>
      <c r="K1844" s="5">
        <f>Table25[[#This Row],[Sold]]*Table25[[#This Row],[Price]]</f>
        <v>-364.5</v>
      </c>
      <c r="L1844" s="8">
        <f>ABS(SUMIF(Table25[[#All],[Assets]],Table25[[#This Row],[Assets]],Table25[[#All],[Sold]]))</f>
        <v>150</v>
      </c>
      <c r="M1844" s="5">
        <f>ABS(SUMIF(Table25[[#All],[Assets]],Table25[[#This Row],[Assets]],Table25[[#All],[Sold Amount]]))</f>
        <v>364.5</v>
      </c>
      <c r="N1844" s="5">
        <f>IFERROR(Table25[[#This Row],[Total sold amount]]/Table25[[#This Row],[Total Sold number of stocks]],"")</f>
        <v>2.4300000000000002</v>
      </c>
      <c r="O1844" s="4">
        <f>IFERROR(Table25[[#This Row],[Total Amount bought]]/Table25[[#This Row],[Total number bought]],"")</f>
        <v>3.59</v>
      </c>
      <c r="P1844" s="4">
        <f>IFERROR((Table25[[#This Row],[Average sell price]]-Table25[[#This Row],[Average buy price]])*Table25[[#This Row],[Total Sold number of stocks]],0)</f>
        <v>-173.99999999999994</v>
      </c>
      <c r="Q1844" s="85">
        <f>SUMIF(Table25[[#All],[Assets]],Table25[[#This Row],[Assets]],Table25[[#All],[Number of stocks]])</f>
        <v>0</v>
      </c>
    </row>
    <row r="1845" spans="1:17">
      <c r="A1845" t="e" vm="194">
        <v>#VALUE!</v>
      </c>
      <c r="B1845" s="2">
        <v>45979</v>
      </c>
      <c r="C1845" t="str" cm="1">
        <f t="array" aca="1" ref="C1845" ca="1">_FV(A1845,"Ticker symbol",TRUE)</f>
        <v>CIFR</v>
      </c>
      <c r="D1845" s="4">
        <v>14.8</v>
      </c>
      <c r="E1845" s="50">
        <v>10</v>
      </c>
      <c r="F1845" s="81">
        <f>IF(Table25[[#This Row],[Number of stocks]]&gt;0,Table25[[#This Row],[Number of stocks]],0)</f>
        <v>10</v>
      </c>
      <c r="G1845" s="73">
        <f>Table25[[#This Row],[Bought]]*Table25[[#This Row],[Price]]</f>
        <v>148</v>
      </c>
      <c r="H1845">
        <f>SUMIF(Table25[[#All],[Assets]],Table25[[#This Row],[Assets]],Table25[[#All],[Bought]])</f>
        <v>120</v>
      </c>
      <c r="I1845">
        <f>SUMIF(Table25[[#All],[Assets]],Table25[[#This Row],[Assets]],Table25[[#All],[Bought Amount]])</f>
        <v>1946</v>
      </c>
      <c r="J1845" s="88">
        <f>IF(Table25[[#This Row],[Number of stocks]]&lt;0,Table25[[#This Row],[Number of stocks]],0)</f>
        <v>0</v>
      </c>
      <c r="K1845" s="5">
        <f>Table25[[#This Row],[Sold]]*Table25[[#This Row],[Price]]</f>
        <v>0</v>
      </c>
      <c r="L1845" s="8">
        <f>ABS(SUMIF(Table25[[#All],[Assets]],Table25[[#This Row],[Assets]],Table25[[#All],[Sold]]))</f>
        <v>120</v>
      </c>
      <c r="M1845" s="5">
        <f>ABS(SUMIF(Table25[[#All],[Assets]],Table25[[#This Row],[Assets]],Table25[[#All],[Sold Amount]]))</f>
        <v>2077.65</v>
      </c>
      <c r="N1845" s="5">
        <f>IFERROR(Table25[[#This Row],[Total sold amount]]/Table25[[#This Row],[Total Sold number of stocks]],"")</f>
        <v>17.313750000000002</v>
      </c>
      <c r="O1845" s="4">
        <f>IFERROR(Table25[[#This Row],[Total Amount bought]]/Table25[[#This Row],[Total number bought]],"")</f>
        <v>16.216666666666665</v>
      </c>
      <c r="P1845" s="4">
        <f>IFERROR((Table25[[#This Row],[Average sell price]]-Table25[[#This Row],[Average buy price]])*Table25[[#This Row],[Total Sold number of stocks]],0)</f>
        <v>131.65000000000049</v>
      </c>
      <c r="Q1845" s="85">
        <f>SUMIF(Table25[[#All],[Assets]],Table25[[#This Row],[Assets]],Table25[[#All],[Number of stocks]])</f>
        <v>0</v>
      </c>
    </row>
    <row r="1846" spans="1:17">
      <c r="A1846" t="e" vm="38">
        <v>#VALUE!</v>
      </c>
      <c r="B1846" s="2">
        <v>45980</v>
      </c>
      <c r="C1846" t="str" cm="1">
        <f t="array" aca="1" ref="C1846" ca="1">_FV(A1846,"Ticker symbol",TRUE)</f>
        <v>FSLR</v>
      </c>
      <c r="D1846" s="4">
        <v>253.98</v>
      </c>
      <c r="E1846" s="50">
        <v>-2</v>
      </c>
      <c r="F1846" s="81">
        <f>IF(Table25[[#This Row],[Number of stocks]]&gt;0,Table25[[#This Row],[Number of stocks]],0)</f>
        <v>0</v>
      </c>
      <c r="G1846" s="73">
        <f>Table25[[#This Row],[Bought]]*Table25[[#This Row],[Price]]</f>
        <v>0</v>
      </c>
      <c r="H1846">
        <f>SUMIF(Table25[[#All],[Assets]],Table25[[#This Row],[Assets]],Table25[[#All],[Bought]])</f>
        <v>18</v>
      </c>
      <c r="I1846">
        <f>SUMIF(Table25[[#All],[Assets]],Table25[[#This Row],[Assets]],Table25[[#All],[Bought Amount]])</f>
        <v>3079.49</v>
      </c>
      <c r="J1846" s="88">
        <f>IF(Table25[[#This Row],[Number of stocks]]&lt;0,Table25[[#This Row],[Number of stocks]],0)</f>
        <v>-2</v>
      </c>
      <c r="K1846" s="5">
        <f>Table25[[#This Row],[Sold]]*Table25[[#This Row],[Price]]</f>
        <v>-507.96</v>
      </c>
      <c r="L1846" s="8">
        <f>ABS(SUMIF(Table25[[#All],[Assets]],Table25[[#This Row],[Assets]],Table25[[#All],[Sold]]))</f>
        <v>18</v>
      </c>
      <c r="M1846" s="5">
        <f>ABS(SUMIF(Table25[[#All],[Assets]],Table25[[#This Row],[Assets]],Table25[[#All],[Sold Amount]]))</f>
        <v>4016.43</v>
      </c>
      <c r="N1846" s="5">
        <f>IFERROR(Table25[[#This Row],[Total sold amount]]/Table25[[#This Row],[Total Sold number of stocks]],"")</f>
        <v>223.13499999999999</v>
      </c>
      <c r="O1846" s="4">
        <f>IFERROR(Table25[[#This Row],[Total Amount bought]]/Table25[[#This Row],[Total number bought]],"")</f>
        <v>171.08277777777778</v>
      </c>
      <c r="P1846" s="4">
        <f>IFERROR((Table25[[#This Row],[Average sell price]]-Table25[[#This Row],[Average buy price]])*Table25[[#This Row],[Total Sold number of stocks]],0)</f>
        <v>936.93999999999983</v>
      </c>
      <c r="Q1846" s="85">
        <f>SUMIF(Table25[[#All],[Assets]],Table25[[#This Row],[Assets]],Table25[[#All],[Number of stocks]])</f>
        <v>0</v>
      </c>
    </row>
    <row r="1847" spans="1:17">
      <c r="A1847" t="e" vm="21">
        <v>#VALUE!</v>
      </c>
      <c r="B1847" s="2">
        <v>45980</v>
      </c>
      <c r="C1847" t="str" cm="1">
        <f t="array" aca="1" ref="C1847" ca="1">_FV(A1847,"Ticker symbol",TRUE)</f>
        <v>INTC</v>
      </c>
      <c r="D1847" s="4">
        <v>35.35</v>
      </c>
      <c r="E1847" s="50">
        <v>-17</v>
      </c>
      <c r="F1847" s="81">
        <f>IF(Table25[[#This Row],[Number of stocks]]&gt;0,Table25[[#This Row],[Number of stocks]],0)</f>
        <v>0</v>
      </c>
      <c r="G1847" s="73">
        <f>Table25[[#This Row],[Bought]]*Table25[[#This Row],[Price]]</f>
        <v>0</v>
      </c>
      <c r="H1847">
        <f>SUMIF(Table25[[#All],[Assets]],Table25[[#This Row],[Assets]],Table25[[#All],[Bought]])</f>
        <v>334.73663899999997</v>
      </c>
      <c r="I1847">
        <f>SUMIF(Table25[[#All],[Assets]],Table25[[#This Row],[Assets]],Table25[[#All],[Bought Amount]])</f>
        <v>9755.9173948600001</v>
      </c>
      <c r="J1847" s="88">
        <f>IF(Table25[[#This Row],[Number of stocks]]&lt;0,Table25[[#This Row],[Number of stocks]],0)</f>
        <v>-17</v>
      </c>
      <c r="K1847" s="5">
        <f>Table25[[#This Row],[Sold]]*Table25[[#This Row],[Price]]</f>
        <v>-600.95000000000005</v>
      </c>
      <c r="L1847" s="8">
        <f>ABS(SUMIF(Table25[[#All],[Assets]],Table25[[#This Row],[Assets]],Table25[[#All],[Sold]]))</f>
        <v>334.74</v>
      </c>
      <c r="M1847" s="5">
        <f>ABS(SUMIF(Table25[[#All],[Assets]],Table25[[#This Row],[Assets]],Table25[[#All],[Sold Amount]]))</f>
        <v>7909.2053999999998</v>
      </c>
      <c r="N1847" s="5">
        <f>IFERROR(Table25[[#This Row],[Total sold amount]]/Table25[[#This Row],[Total Sold number of stocks]],"")</f>
        <v>23.627906434844952</v>
      </c>
      <c r="O1847" s="4">
        <f>IFERROR(Table25[[#This Row],[Total Amount bought]]/Table25[[#This Row],[Total number bought]],"")</f>
        <v>29.145053926588542</v>
      </c>
      <c r="P1847" s="4">
        <f>IFERROR((Table25[[#This Row],[Average sell price]]-Table25[[#This Row],[Average buy price]])*Table25[[#This Row],[Total Sold number of stocks]],0)</f>
        <v>-1846.8099513862492</v>
      </c>
      <c r="Q1847" s="85">
        <f>SUMIF(Table25[[#All],[Assets]],Table25[[#This Row],[Assets]],Table25[[#All],[Number of stocks]])</f>
        <v>-3.3610000000123819E-3</v>
      </c>
    </row>
    <row r="1848" spans="1:17">
      <c r="A1848" t="e" vm="242">
        <v>#VALUE!</v>
      </c>
      <c r="B1848" s="2">
        <v>45980</v>
      </c>
      <c r="C1848" t="str" cm="1">
        <f t="array" aca="1" ref="C1848" ca="1">_FV(A1848,"Ticker symbol",TRUE)</f>
        <v>RKT</v>
      </c>
      <c r="D1848" s="4">
        <v>17.25</v>
      </c>
      <c r="E1848" s="50">
        <v>-31</v>
      </c>
      <c r="F1848" s="81">
        <f>IF(Table25[[#This Row],[Number of stocks]]&gt;0,Table25[[#This Row],[Number of stocks]],0)</f>
        <v>0</v>
      </c>
      <c r="G1848" s="73">
        <f>Table25[[#This Row],[Bought]]*Table25[[#This Row],[Price]]</f>
        <v>0</v>
      </c>
      <c r="H1848">
        <f>SUMIF(Table25[[#All],[Assets]],Table25[[#This Row],[Assets]],Table25[[#All],[Bought]])</f>
        <v>116</v>
      </c>
      <c r="I1848">
        <f>SUMIF(Table25[[#All],[Assets]],Table25[[#This Row],[Assets]],Table25[[#All],[Bought Amount]])</f>
        <v>2236.0100000000002</v>
      </c>
      <c r="J1848" s="88">
        <f>IF(Table25[[#This Row],[Number of stocks]]&lt;0,Table25[[#This Row],[Number of stocks]],0)</f>
        <v>-31</v>
      </c>
      <c r="K1848" s="5">
        <f>Table25[[#This Row],[Sold]]*Table25[[#This Row],[Price]]</f>
        <v>-534.75</v>
      </c>
      <c r="L1848" s="8">
        <f>ABS(SUMIF(Table25[[#All],[Assets]],Table25[[#This Row],[Assets]],Table25[[#All],[Sold]]))</f>
        <v>116</v>
      </c>
      <c r="M1848" s="5">
        <f>ABS(SUMIF(Table25[[#All],[Assets]],Table25[[#This Row],[Assets]],Table25[[#All],[Sold Amount]]))</f>
        <v>1947.1000000000001</v>
      </c>
      <c r="N1848" s="5">
        <f>IFERROR(Table25[[#This Row],[Total sold amount]]/Table25[[#This Row],[Total Sold number of stocks]],"")</f>
        <v>16.785344827586208</v>
      </c>
      <c r="O1848" s="4">
        <f>IFERROR(Table25[[#This Row],[Total Amount bought]]/Table25[[#This Row],[Total number bought]],"")</f>
        <v>19.275948275862071</v>
      </c>
      <c r="P1848" s="4">
        <f>IFERROR((Table25[[#This Row],[Average sell price]]-Table25[[#This Row],[Average buy price]])*Table25[[#This Row],[Total Sold number of stocks]],0)</f>
        <v>-288.91000000000008</v>
      </c>
      <c r="Q1848" s="85">
        <f>SUMIF(Table25[[#All],[Assets]],Table25[[#This Row],[Assets]],Table25[[#All],[Number of stocks]])</f>
        <v>0</v>
      </c>
    </row>
    <row r="1849" spans="1:17">
      <c r="A1849" t="e" vm="176">
        <v>#VALUE!</v>
      </c>
      <c r="B1849" s="2">
        <v>45980</v>
      </c>
      <c r="C1849" t="str" cm="1">
        <f t="array" aca="1" ref="C1849" ca="1">_FV(A1849,"Ticker symbol",TRUE)</f>
        <v>HUT</v>
      </c>
      <c r="D1849" s="4">
        <v>38.9</v>
      </c>
      <c r="E1849" s="50">
        <v>42</v>
      </c>
      <c r="F1849" s="81">
        <f>IF(Table25[[#This Row],[Number of stocks]]&gt;0,Table25[[#This Row],[Number of stocks]],0)</f>
        <v>42</v>
      </c>
      <c r="G1849" s="73">
        <f>Table25[[#This Row],[Bought]]*Table25[[#This Row],[Price]]</f>
        <v>1633.8</v>
      </c>
      <c r="H1849">
        <f>SUMIF(Table25[[#All],[Assets]],Table25[[#This Row],[Assets]],Table25[[#All],[Bought]])</f>
        <v>461</v>
      </c>
      <c r="I1849">
        <f>SUMIF(Table25[[#All],[Assets]],Table25[[#This Row],[Assets]],Table25[[#All],[Bought Amount]])</f>
        <v>12551.63</v>
      </c>
      <c r="J1849" s="88">
        <f>IF(Table25[[#This Row],[Number of stocks]]&lt;0,Table25[[#This Row],[Number of stocks]],0)</f>
        <v>0</v>
      </c>
      <c r="K1849" s="5">
        <f>Table25[[#This Row],[Sold]]*Table25[[#This Row],[Price]]</f>
        <v>0</v>
      </c>
      <c r="L1849" s="8">
        <f>ABS(SUMIF(Table25[[#All],[Assets]],Table25[[#This Row],[Assets]],Table25[[#All],[Sold]]))</f>
        <v>350</v>
      </c>
      <c r="M1849" s="5">
        <f>ABS(SUMIF(Table25[[#All],[Assets]],Table25[[#This Row],[Assets]],Table25[[#All],[Sold Amount]]))</f>
        <v>6704.5</v>
      </c>
      <c r="N1849" s="5">
        <f>IFERROR(Table25[[#This Row],[Total sold amount]]/Table25[[#This Row],[Total Sold number of stocks]],"")</f>
        <v>19.155714285714286</v>
      </c>
      <c r="O1849" s="4">
        <f>IFERROR(Table25[[#This Row],[Total Amount bought]]/Table25[[#This Row],[Total number bought]],"")</f>
        <v>27.22696312364425</v>
      </c>
      <c r="P1849" s="4">
        <f>IFERROR((Table25[[#This Row],[Average sell price]]-Table25[[#This Row],[Average buy price]])*Table25[[#This Row],[Total Sold number of stocks]],0)</f>
        <v>-2824.9370932754873</v>
      </c>
      <c r="Q1849" s="85">
        <f>SUMIF(Table25[[#All],[Assets]],Table25[[#This Row],[Assets]],Table25[[#All],[Number of stocks]])</f>
        <v>111</v>
      </c>
    </row>
    <row r="1850" spans="1:17">
      <c r="A1850" t="e" vm="186">
        <v>#VALUE!</v>
      </c>
      <c r="B1850" s="2">
        <v>45980</v>
      </c>
      <c r="C1850" t="str" cm="1">
        <f t="array" aca="1" ref="C1850" ca="1">_FV(A1850,"Ticker symbol",TRUE)</f>
        <v>TSEM</v>
      </c>
      <c r="D1850" s="4">
        <v>99.7</v>
      </c>
      <c r="E1850" s="50">
        <v>-19</v>
      </c>
      <c r="F1850" s="81">
        <f>IF(Table25[[#This Row],[Number of stocks]]&gt;0,Table25[[#This Row],[Number of stocks]],0)</f>
        <v>0</v>
      </c>
      <c r="G1850" s="73">
        <f>Table25[[#This Row],[Bought]]*Table25[[#This Row],[Price]]</f>
        <v>0</v>
      </c>
      <c r="H1850">
        <f>SUMIF(Table25[[#All],[Assets]],Table25[[#This Row],[Assets]],Table25[[#All],[Bought]])</f>
        <v>39</v>
      </c>
      <c r="I1850">
        <f>SUMIF(Table25[[#All],[Assets]],Table25[[#This Row],[Assets]],Table25[[#All],[Bought Amount]])</f>
        <v>2694.3</v>
      </c>
      <c r="J1850" s="88">
        <f>IF(Table25[[#This Row],[Number of stocks]]&lt;0,Table25[[#This Row],[Number of stocks]],0)</f>
        <v>-19</v>
      </c>
      <c r="K1850" s="5">
        <f>Table25[[#This Row],[Sold]]*Table25[[#This Row],[Price]]</f>
        <v>-1894.3</v>
      </c>
      <c r="L1850" s="8">
        <f>ABS(SUMIF(Table25[[#All],[Assets]],Table25[[#This Row],[Assets]],Table25[[#All],[Sold]]))</f>
        <v>19</v>
      </c>
      <c r="M1850" s="5">
        <f>ABS(SUMIF(Table25[[#All],[Assets]],Table25[[#This Row],[Assets]],Table25[[#All],[Sold Amount]]))</f>
        <v>1894.3</v>
      </c>
      <c r="N1850" s="5">
        <f>IFERROR(Table25[[#This Row],[Total sold amount]]/Table25[[#This Row],[Total Sold number of stocks]],"")</f>
        <v>99.7</v>
      </c>
      <c r="O1850" s="4">
        <f>IFERROR(Table25[[#This Row],[Total Amount bought]]/Table25[[#This Row],[Total number bought]],"")</f>
        <v>69.08461538461539</v>
      </c>
      <c r="P1850" s="4">
        <f>IFERROR((Table25[[#This Row],[Average sell price]]-Table25[[#This Row],[Average buy price]])*Table25[[#This Row],[Total Sold number of stocks]],0)</f>
        <v>581.69230769230762</v>
      </c>
      <c r="Q1850" s="85">
        <f>SUMIF(Table25[[#All],[Assets]],Table25[[#This Row],[Assets]],Table25[[#All],[Number of stocks]])</f>
        <v>20</v>
      </c>
    </row>
    <row r="1851" spans="1:17">
      <c r="A1851" t="e" vm="46">
        <v>#VALUE!</v>
      </c>
      <c r="B1851" s="2">
        <v>45980</v>
      </c>
      <c r="C1851" t="str" cm="1">
        <f t="array" aca="1" ref="C1851" ca="1">_FV(A1851,"Ticker symbol",TRUE)</f>
        <v>ASPI</v>
      </c>
      <c r="D1851" s="4">
        <v>7.96</v>
      </c>
      <c r="E1851" s="50">
        <v>-100</v>
      </c>
      <c r="F1851" s="81">
        <f>IF(Table25[[#This Row],[Number of stocks]]&gt;0,Table25[[#This Row],[Number of stocks]],0)</f>
        <v>0</v>
      </c>
      <c r="G1851" s="73">
        <f>Table25[[#This Row],[Bought]]*Table25[[#This Row],[Price]]</f>
        <v>0</v>
      </c>
      <c r="H1851">
        <f>SUMIF(Table25[[#All],[Assets]],Table25[[#This Row],[Assets]],Table25[[#All],[Bought]])</f>
        <v>1899</v>
      </c>
      <c r="I1851">
        <f>SUMIF(Table25[[#All],[Assets]],Table25[[#This Row],[Assets]],Table25[[#All],[Bought Amount]])</f>
        <v>8555.869999999999</v>
      </c>
      <c r="J1851" s="88">
        <f>IF(Table25[[#This Row],[Number of stocks]]&lt;0,Table25[[#This Row],[Number of stocks]],0)</f>
        <v>-100</v>
      </c>
      <c r="K1851" s="5">
        <f>Table25[[#This Row],[Sold]]*Table25[[#This Row],[Price]]</f>
        <v>-796</v>
      </c>
      <c r="L1851" s="8">
        <f>ABS(SUMIF(Table25[[#All],[Assets]],Table25[[#This Row],[Assets]],Table25[[#All],[Sold]]))</f>
        <v>1599</v>
      </c>
      <c r="M1851" s="5">
        <f>ABS(SUMIF(Table25[[#All],[Assets]],Table25[[#This Row],[Assets]],Table25[[#All],[Sold Amount]]))</f>
        <v>8799.17</v>
      </c>
      <c r="N1851" s="5">
        <f>IFERROR(Table25[[#This Row],[Total sold amount]]/Table25[[#This Row],[Total Sold number of stocks]],"")</f>
        <v>5.5029205753595996</v>
      </c>
      <c r="O1851" s="4">
        <f>IFERROR(Table25[[#This Row],[Total Amount bought]]/Table25[[#This Row],[Total number bought]],"")</f>
        <v>4.5054607688256976</v>
      </c>
      <c r="P1851" s="4">
        <f>IFERROR((Table25[[#This Row],[Average sell price]]-Table25[[#This Row],[Average buy price]])*Table25[[#This Row],[Total Sold number of stocks]],0)</f>
        <v>1594.9382306477094</v>
      </c>
      <c r="Q1851" s="85">
        <f>SUMIF(Table25[[#All],[Assets]],Table25[[#This Row],[Assets]],Table25[[#All],[Number of stocks]])</f>
        <v>300</v>
      </c>
    </row>
    <row r="1852" spans="1:17">
      <c r="A1852" t="e" vm="176">
        <v>#VALUE!</v>
      </c>
      <c r="B1852" s="2">
        <v>45980</v>
      </c>
      <c r="C1852" t="str" cm="1">
        <f t="array" aca="1" ref="C1852" ca="1">_FV(A1852,"Ticker symbol",TRUE)</f>
        <v>HUT</v>
      </c>
      <c r="D1852" s="4">
        <v>38.97</v>
      </c>
      <c r="E1852" s="50">
        <v>69</v>
      </c>
      <c r="F1852" s="81">
        <f>IF(Table25[[#This Row],[Number of stocks]]&gt;0,Table25[[#This Row],[Number of stocks]],0)</f>
        <v>69</v>
      </c>
      <c r="G1852" s="73">
        <f>Table25[[#This Row],[Bought]]*Table25[[#This Row],[Price]]</f>
        <v>2688.93</v>
      </c>
      <c r="H1852">
        <f>SUMIF(Table25[[#All],[Assets]],Table25[[#This Row],[Assets]],Table25[[#All],[Bought]])</f>
        <v>461</v>
      </c>
      <c r="I1852">
        <f>SUMIF(Table25[[#All],[Assets]],Table25[[#This Row],[Assets]],Table25[[#All],[Bought Amount]])</f>
        <v>12551.63</v>
      </c>
      <c r="J1852" s="88">
        <f>IF(Table25[[#This Row],[Number of stocks]]&lt;0,Table25[[#This Row],[Number of stocks]],0)</f>
        <v>0</v>
      </c>
      <c r="K1852" s="5">
        <f>Table25[[#This Row],[Sold]]*Table25[[#This Row],[Price]]</f>
        <v>0</v>
      </c>
      <c r="L1852" s="8">
        <f>ABS(SUMIF(Table25[[#All],[Assets]],Table25[[#This Row],[Assets]],Table25[[#All],[Sold]]))</f>
        <v>350</v>
      </c>
      <c r="M1852" s="5">
        <f>ABS(SUMIF(Table25[[#All],[Assets]],Table25[[#This Row],[Assets]],Table25[[#All],[Sold Amount]]))</f>
        <v>6704.5</v>
      </c>
      <c r="N1852" s="5">
        <f>IFERROR(Table25[[#This Row],[Total sold amount]]/Table25[[#This Row],[Total Sold number of stocks]],"")</f>
        <v>19.155714285714286</v>
      </c>
      <c r="O1852" s="4">
        <f>IFERROR(Table25[[#This Row],[Total Amount bought]]/Table25[[#This Row],[Total number bought]],"")</f>
        <v>27.22696312364425</v>
      </c>
      <c r="P1852" s="4">
        <f>IFERROR((Table25[[#This Row],[Average sell price]]-Table25[[#This Row],[Average buy price]])*Table25[[#This Row],[Total Sold number of stocks]],0)</f>
        <v>-2824.9370932754873</v>
      </c>
      <c r="Q1852" s="85">
        <f>SUMIF(Table25[[#All],[Assets]],Table25[[#This Row],[Assets]],Table25[[#All],[Number of stocks]])</f>
        <v>111</v>
      </c>
    </row>
    <row r="1853" spans="1:17">
      <c r="A1853" t="e" vm="241">
        <v>#VALUE!</v>
      </c>
      <c r="B1853" s="2">
        <v>45980</v>
      </c>
      <c r="C1853" t="str" cm="1">
        <f t="array" aca="1" ref="C1853" ca="1">_FV(A1853,"Ticker symbol",TRUE)</f>
        <v>LMT</v>
      </c>
      <c r="D1853" s="4">
        <v>471.69</v>
      </c>
      <c r="E1853" s="50">
        <v>-1</v>
      </c>
      <c r="F1853" s="81">
        <f>IF(Table25[[#This Row],[Number of stocks]]&gt;0,Table25[[#This Row],[Number of stocks]],0)</f>
        <v>0</v>
      </c>
      <c r="G1853" s="73">
        <f>Table25[[#This Row],[Bought]]*Table25[[#This Row],[Price]]</f>
        <v>0</v>
      </c>
      <c r="H1853">
        <f>SUMIF(Table25[[#All],[Assets]],Table25[[#This Row],[Assets]],Table25[[#All],[Bought]])</f>
        <v>1</v>
      </c>
      <c r="I1853">
        <f>SUMIF(Table25[[#All],[Assets]],Table25[[#This Row],[Assets]],Table25[[#All],[Bought Amount]])</f>
        <v>418.6</v>
      </c>
      <c r="J1853" s="88">
        <f>IF(Table25[[#This Row],[Number of stocks]]&lt;0,Table25[[#This Row],[Number of stocks]],0)</f>
        <v>-1</v>
      </c>
      <c r="K1853" s="5">
        <f>Table25[[#This Row],[Sold]]*Table25[[#This Row],[Price]]</f>
        <v>-471.69</v>
      </c>
      <c r="L1853" s="8">
        <f>ABS(SUMIF(Table25[[#All],[Assets]],Table25[[#This Row],[Assets]],Table25[[#All],[Sold]]))</f>
        <v>1</v>
      </c>
      <c r="M1853" s="5">
        <f>ABS(SUMIF(Table25[[#All],[Assets]],Table25[[#This Row],[Assets]],Table25[[#All],[Sold Amount]]))</f>
        <v>471.69</v>
      </c>
      <c r="N1853" s="5">
        <f>IFERROR(Table25[[#This Row],[Total sold amount]]/Table25[[#This Row],[Total Sold number of stocks]],"")</f>
        <v>471.69</v>
      </c>
      <c r="O1853" s="4">
        <f>IFERROR(Table25[[#This Row],[Total Amount bought]]/Table25[[#This Row],[Total number bought]],"")</f>
        <v>418.6</v>
      </c>
      <c r="P1853" s="4">
        <f>IFERROR((Table25[[#This Row],[Average sell price]]-Table25[[#This Row],[Average buy price]])*Table25[[#This Row],[Total Sold number of stocks]],0)</f>
        <v>53.089999999999975</v>
      </c>
      <c r="Q1853" s="85">
        <f>SUMIF(Table25[[#All],[Assets]],Table25[[#This Row],[Assets]],Table25[[#All],[Number of stocks]])</f>
        <v>0</v>
      </c>
    </row>
    <row r="1854" spans="1:17">
      <c r="A1854" t="e" vm="576">
        <v>#VALUE!</v>
      </c>
      <c r="B1854" s="2">
        <v>45980</v>
      </c>
      <c r="C1854" t="str" cm="1">
        <f t="array" aca="1" ref="C1854" ca="1">_FV(A1854,"Ticker symbol",TRUE)</f>
        <v>DUOL</v>
      </c>
      <c r="D1854" s="4">
        <v>174.62</v>
      </c>
      <c r="E1854" s="50">
        <v>-10</v>
      </c>
      <c r="F1854" s="81">
        <f>IF(Table25[[#This Row],[Number of stocks]]&gt;0,Table25[[#This Row],[Number of stocks]],0)</f>
        <v>0</v>
      </c>
      <c r="G1854" s="73">
        <f>Table25[[#This Row],[Bought]]*Table25[[#This Row],[Price]]</f>
        <v>0</v>
      </c>
      <c r="H1854">
        <f>SUMIF(Table25[[#All],[Assets]],Table25[[#This Row],[Assets]],Table25[[#All],[Bought]])</f>
        <v>33</v>
      </c>
      <c r="I1854">
        <f>SUMIF(Table25[[#All],[Assets]],Table25[[#This Row],[Assets]],Table25[[#All],[Bought Amount]])</f>
        <v>8243.81</v>
      </c>
      <c r="J1854" s="88">
        <f>IF(Table25[[#This Row],[Number of stocks]]&lt;0,Table25[[#This Row],[Number of stocks]],0)</f>
        <v>-10</v>
      </c>
      <c r="K1854" s="5">
        <f>Table25[[#This Row],[Sold]]*Table25[[#This Row],[Price]]</f>
        <v>-1746.2</v>
      </c>
      <c r="L1854" s="8">
        <f>ABS(SUMIF(Table25[[#All],[Assets]],Table25[[#This Row],[Assets]],Table25[[#All],[Sold]]))</f>
        <v>43</v>
      </c>
      <c r="M1854" s="5">
        <f>ABS(SUMIF(Table25[[#All],[Assets]],Table25[[#This Row],[Assets]],Table25[[#All],[Sold Amount]]))</f>
        <v>8577.89</v>
      </c>
      <c r="N1854" s="5">
        <f>IFERROR(Table25[[#This Row],[Total sold amount]]/Table25[[#This Row],[Total Sold number of stocks]],"")</f>
        <v>199.48581395348836</v>
      </c>
      <c r="O1854" s="4">
        <f>IFERROR(Table25[[#This Row],[Total Amount bought]]/Table25[[#This Row],[Total number bought]],"")</f>
        <v>249.81242424242421</v>
      </c>
      <c r="P1854" s="4">
        <f>IFERROR((Table25[[#This Row],[Average sell price]]-Table25[[#This Row],[Average buy price]])*Table25[[#This Row],[Total Sold number of stocks]],0)</f>
        <v>-2164.0442424242419</v>
      </c>
      <c r="Q1854" s="85">
        <f>SUMIF(Table25[[#All],[Assets]],Table25[[#This Row],[Assets]],Table25[[#All],[Number of stocks]])</f>
        <v>-10</v>
      </c>
    </row>
    <row r="1855" spans="1:17">
      <c r="A1855" t="e" vm="207">
        <v>#VALUE!</v>
      </c>
      <c r="B1855" s="2">
        <v>45980</v>
      </c>
      <c r="C1855" t="str" cm="1">
        <f t="array" aca="1" ref="C1855" ca="1">_FV(A1855,"Ticker symbol",TRUE)</f>
        <v>CLPT</v>
      </c>
      <c r="D1855" s="4">
        <v>14.37</v>
      </c>
      <c r="E1855" s="50">
        <v>47</v>
      </c>
      <c r="F1855" s="81">
        <f>IF(Table25[[#This Row],[Number of stocks]]&gt;0,Table25[[#This Row],[Number of stocks]],0)</f>
        <v>47</v>
      </c>
      <c r="G1855" s="73">
        <f>Table25[[#This Row],[Bought]]*Table25[[#This Row],[Price]]</f>
        <v>675.39</v>
      </c>
      <c r="H1855">
        <f>SUMIF(Table25[[#All],[Assets]],Table25[[#This Row],[Assets]],Table25[[#All],[Bought]])</f>
        <v>167</v>
      </c>
      <c r="I1855">
        <f>SUMIF(Table25[[#All],[Assets]],Table25[[#This Row],[Assets]],Table25[[#All],[Bought Amount]])</f>
        <v>2399.79</v>
      </c>
      <c r="J1855" s="88">
        <f>IF(Table25[[#This Row],[Number of stocks]]&lt;0,Table25[[#This Row],[Number of stocks]],0)</f>
        <v>0</v>
      </c>
      <c r="K1855" s="5">
        <f>Table25[[#This Row],[Sold]]*Table25[[#This Row],[Price]]</f>
        <v>0</v>
      </c>
      <c r="L1855" s="8">
        <f>ABS(SUMIF(Table25[[#All],[Assets]],Table25[[#This Row],[Assets]],Table25[[#All],[Sold]]))</f>
        <v>167</v>
      </c>
      <c r="M1855" s="5">
        <f>ABS(SUMIF(Table25[[#All],[Assets]],Table25[[#This Row],[Assets]],Table25[[#All],[Sold Amount]]))</f>
        <v>2385.15</v>
      </c>
      <c r="N1855" s="5">
        <f>IFERROR(Table25[[#This Row],[Total sold amount]]/Table25[[#This Row],[Total Sold number of stocks]],"")</f>
        <v>14.282335329341318</v>
      </c>
      <c r="O1855" s="4">
        <f>IFERROR(Table25[[#This Row],[Total Amount bought]]/Table25[[#This Row],[Total number bought]],"")</f>
        <v>14.37</v>
      </c>
      <c r="P1855" s="4">
        <f>IFERROR((Table25[[#This Row],[Average sell price]]-Table25[[#This Row],[Average buy price]])*Table25[[#This Row],[Total Sold number of stocks]],0)</f>
        <v>-14.63999999999969</v>
      </c>
      <c r="Q1855" s="85">
        <f>SUMIF(Table25[[#All],[Assets]],Table25[[#This Row],[Assets]],Table25[[#All],[Number of stocks]])</f>
        <v>0</v>
      </c>
    </row>
    <row r="1856" spans="1:17">
      <c r="A1856" t="e" vm="207">
        <v>#VALUE!</v>
      </c>
      <c r="B1856" s="2">
        <v>45980</v>
      </c>
      <c r="C1856" t="str" cm="1">
        <f t="array" aca="1" ref="C1856" ca="1">_FV(A1856,"Ticker symbol",TRUE)</f>
        <v>CLPT</v>
      </c>
      <c r="D1856" s="4">
        <v>14.37</v>
      </c>
      <c r="E1856" s="50">
        <v>120</v>
      </c>
      <c r="F1856" s="81">
        <f>IF(Table25[[#This Row],[Number of stocks]]&gt;0,Table25[[#This Row],[Number of stocks]],0)</f>
        <v>120</v>
      </c>
      <c r="G1856" s="73">
        <f>Table25[[#This Row],[Bought]]*Table25[[#This Row],[Price]]</f>
        <v>1724.3999999999999</v>
      </c>
      <c r="H1856">
        <f>SUMIF(Table25[[#All],[Assets]],Table25[[#This Row],[Assets]],Table25[[#All],[Bought]])</f>
        <v>167</v>
      </c>
      <c r="I1856">
        <f>SUMIF(Table25[[#All],[Assets]],Table25[[#This Row],[Assets]],Table25[[#All],[Bought Amount]])</f>
        <v>2399.79</v>
      </c>
      <c r="J1856" s="88">
        <f>IF(Table25[[#This Row],[Number of stocks]]&lt;0,Table25[[#This Row],[Number of stocks]],0)</f>
        <v>0</v>
      </c>
      <c r="K1856" s="5">
        <f>Table25[[#This Row],[Sold]]*Table25[[#This Row],[Price]]</f>
        <v>0</v>
      </c>
      <c r="L1856" s="8">
        <f>ABS(SUMIF(Table25[[#All],[Assets]],Table25[[#This Row],[Assets]],Table25[[#All],[Sold]]))</f>
        <v>167</v>
      </c>
      <c r="M1856" s="5">
        <f>ABS(SUMIF(Table25[[#All],[Assets]],Table25[[#This Row],[Assets]],Table25[[#All],[Sold Amount]]))</f>
        <v>2385.15</v>
      </c>
      <c r="N1856" s="5">
        <f>IFERROR(Table25[[#This Row],[Total sold amount]]/Table25[[#This Row],[Total Sold number of stocks]],"")</f>
        <v>14.282335329341318</v>
      </c>
      <c r="O1856" s="4">
        <f>IFERROR(Table25[[#This Row],[Total Amount bought]]/Table25[[#This Row],[Total number bought]],"")</f>
        <v>14.37</v>
      </c>
      <c r="P1856" s="4">
        <f>IFERROR((Table25[[#This Row],[Average sell price]]-Table25[[#This Row],[Average buy price]])*Table25[[#This Row],[Total Sold number of stocks]],0)</f>
        <v>-14.63999999999969</v>
      </c>
      <c r="Q1856" s="85">
        <f>SUMIF(Table25[[#All],[Assets]],Table25[[#This Row],[Assets]],Table25[[#All],[Number of stocks]])</f>
        <v>0</v>
      </c>
    </row>
    <row r="1857" spans="1:17">
      <c r="A1857" t="e" vm="230">
        <v>#VALUE!</v>
      </c>
      <c r="B1857" s="2">
        <v>45981</v>
      </c>
      <c r="C1857" t="str" cm="1">
        <f t="array" aca="1" ref="C1857" ca="1">_FV(A1857,"Ticker symbol",TRUE)</f>
        <v>UTI</v>
      </c>
      <c r="D1857" s="4">
        <v>26.45</v>
      </c>
      <c r="E1857" s="50">
        <v>-10</v>
      </c>
      <c r="F1857" s="81">
        <f>IF(Table25[[#This Row],[Number of stocks]]&gt;0,Table25[[#This Row],[Number of stocks]],0)</f>
        <v>0</v>
      </c>
      <c r="G1857" s="73">
        <f>Table25[[#This Row],[Bought]]*Table25[[#This Row],[Price]]</f>
        <v>0</v>
      </c>
      <c r="H1857">
        <f>SUMIF(Table25[[#All],[Assets]],Table25[[#This Row],[Assets]],Table25[[#All],[Bought]])</f>
        <v>49</v>
      </c>
      <c r="I1857">
        <f>SUMIF(Table25[[#All],[Assets]],Table25[[#This Row],[Assets]],Table25[[#All],[Bought Amount]])</f>
        <v>1318.38</v>
      </c>
      <c r="J1857" s="88">
        <f>IF(Table25[[#This Row],[Number of stocks]]&lt;0,Table25[[#This Row],[Number of stocks]],0)</f>
        <v>-10</v>
      </c>
      <c r="K1857" s="5">
        <f>Table25[[#This Row],[Sold]]*Table25[[#This Row],[Price]]</f>
        <v>-264.5</v>
      </c>
      <c r="L1857" s="8">
        <f>ABS(SUMIF(Table25[[#All],[Assets]],Table25[[#This Row],[Assets]],Table25[[#All],[Sold]]))</f>
        <v>49</v>
      </c>
      <c r="M1857" s="5">
        <f>ABS(SUMIF(Table25[[#All],[Assets]],Table25[[#This Row],[Assets]],Table25[[#All],[Sold Amount]]))</f>
        <v>1422.44</v>
      </c>
      <c r="N1857" s="5">
        <f>IFERROR(Table25[[#This Row],[Total sold amount]]/Table25[[#This Row],[Total Sold number of stocks]],"")</f>
        <v>29.029387755102043</v>
      </c>
      <c r="O1857" s="4">
        <f>IFERROR(Table25[[#This Row],[Total Amount bought]]/Table25[[#This Row],[Total number bought]],"")</f>
        <v>26.905714285714289</v>
      </c>
      <c r="P1857" s="4">
        <f>IFERROR((Table25[[#This Row],[Average sell price]]-Table25[[#This Row],[Average buy price]])*Table25[[#This Row],[Total Sold number of stocks]],0)</f>
        <v>104.05999999999993</v>
      </c>
      <c r="Q1857" s="85">
        <f>SUMIF(Table25[[#All],[Assets]],Table25[[#This Row],[Assets]],Table25[[#All],[Number of stocks]])</f>
        <v>0</v>
      </c>
    </row>
    <row r="1858" spans="1:17">
      <c r="A1858" t="e" vm="213">
        <v>#VALUE!</v>
      </c>
      <c r="B1858" s="2">
        <v>45981</v>
      </c>
      <c r="C1858" t="str" cm="1">
        <f t="array" aca="1" ref="C1858" ca="1">_FV(A1858,"Ticker symbol",TRUE)</f>
        <v>EOSE</v>
      </c>
      <c r="D1858" s="4">
        <v>14</v>
      </c>
      <c r="E1858" s="50">
        <v>-5</v>
      </c>
      <c r="F1858" s="81">
        <f>IF(Table25[[#This Row],[Number of stocks]]&gt;0,Table25[[#This Row],[Number of stocks]],0)</f>
        <v>0</v>
      </c>
      <c r="G1858" s="73">
        <f>Table25[[#This Row],[Bought]]*Table25[[#This Row],[Price]]</f>
        <v>0</v>
      </c>
      <c r="H1858">
        <f>SUMIF(Table25[[#All],[Assets]],Table25[[#This Row],[Assets]],Table25[[#All],[Bought]])</f>
        <v>79</v>
      </c>
      <c r="I1858">
        <f>SUMIF(Table25[[#All],[Assets]],Table25[[#This Row],[Assets]],Table25[[#All],[Bought Amount]])</f>
        <v>1149.27</v>
      </c>
      <c r="J1858" s="88">
        <f>IF(Table25[[#This Row],[Number of stocks]]&lt;0,Table25[[#This Row],[Number of stocks]],0)</f>
        <v>-5</v>
      </c>
      <c r="K1858" s="5">
        <f>Table25[[#This Row],[Sold]]*Table25[[#This Row],[Price]]</f>
        <v>-70</v>
      </c>
      <c r="L1858" s="8">
        <f>ABS(SUMIF(Table25[[#All],[Assets]],Table25[[#This Row],[Assets]],Table25[[#All],[Sold]]))</f>
        <v>52</v>
      </c>
      <c r="M1858" s="5">
        <f>ABS(SUMIF(Table25[[#All],[Assets]],Table25[[#This Row],[Assets]],Table25[[#All],[Sold Amount]]))</f>
        <v>650.19000000000005</v>
      </c>
      <c r="N1858" s="5">
        <f>IFERROR(Table25[[#This Row],[Total sold amount]]/Table25[[#This Row],[Total Sold number of stocks]],"")</f>
        <v>12.503653846153847</v>
      </c>
      <c r="O1858" s="4">
        <f>IFERROR(Table25[[#This Row],[Total Amount bought]]/Table25[[#This Row],[Total number bought]],"")</f>
        <v>14.547721518987341</v>
      </c>
      <c r="P1858" s="4">
        <f>IFERROR((Table25[[#This Row],[Average sell price]]-Table25[[#This Row],[Average buy price]])*Table25[[#This Row],[Total Sold number of stocks]],0)</f>
        <v>-106.29151898734168</v>
      </c>
      <c r="Q1858" s="85">
        <f>SUMIF(Table25[[#All],[Assets]],Table25[[#This Row],[Assets]],Table25[[#All],[Number of stocks]])</f>
        <v>27</v>
      </c>
    </row>
    <row r="1859" spans="1:17">
      <c r="A1859" t="e" vm="21">
        <v>#VALUE!</v>
      </c>
      <c r="B1859" s="2">
        <v>45981</v>
      </c>
      <c r="C1859" t="str" cm="1">
        <f t="array" aca="1" ref="C1859" ca="1">_FV(A1859,"Ticker symbol",TRUE)</f>
        <v>INTC</v>
      </c>
      <c r="D1859" s="4">
        <v>34.89</v>
      </c>
      <c r="E1859" s="50">
        <v>-10</v>
      </c>
      <c r="F1859" s="81">
        <f>IF(Table25[[#This Row],[Number of stocks]]&gt;0,Table25[[#This Row],[Number of stocks]],0)</f>
        <v>0</v>
      </c>
      <c r="G1859" s="73">
        <f>Table25[[#This Row],[Bought]]*Table25[[#This Row],[Price]]</f>
        <v>0</v>
      </c>
      <c r="H1859">
        <f>SUMIF(Table25[[#All],[Assets]],Table25[[#This Row],[Assets]],Table25[[#All],[Bought]])</f>
        <v>334.73663899999997</v>
      </c>
      <c r="I1859">
        <f>SUMIF(Table25[[#All],[Assets]],Table25[[#This Row],[Assets]],Table25[[#All],[Bought Amount]])</f>
        <v>9755.9173948600001</v>
      </c>
      <c r="J1859" s="88">
        <f>IF(Table25[[#This Row],[Number of stocks]]&lt;0,Table25[[#This Row],[Number of stocks]],0)</f>
        <v>-10</v>
      </c>
      <c r="K1859" s="5">
        <f>Table25[[#This Row],[Sold]]*Table25[[#This Row],[Price]]</f>
        <v>-348.9</v>
      </c>
      <c r="L1859" s="8">
        <f>ABS(SUMIF(Table25[[#All],[Assets]],Table25[[#This Row],[Assets]],Table25[[#All],[Sold]]))</f>
        <v>334.74</v>
      </c>
      <c r="M1859" s="5">
        <f>ABS(SUMIF(Table25[[#All],[Assets]],Table25[[#This Row],[Assets]],Table25[[#All],[Sold Amount]]))</f>
        <v>7909.2053999999998</v>
      </c>
      <c r="N1859" s="5">
        <f>IFERROR(Table25[[#This Row],[Total sold amount]]/Table25[[#This Row],[Total Sold number of stocks]],"")</f>
        <v>23.627906434844952</v>
      </c>
      <c r="O1859" s="4">
        <f>IFERROR(Table25[[#This Row],[Total Amount bought]]/Table25[[#This Row],[Total number bought]],"")</f>
        <v>29.145053926588542</v>
      </c>
      <c r="P1859" s="4">
        <f>IFERROR((Table25[[#This Row],[Average sell price]]-Table25[[#This Row],[Average buy price]])*Table25[[#This Row],[Total Sold number of stocks]],0)</f>
        <v>-1846.8099513862492</v>
      </c>
      <c r="Q1859" s="85">
        <f>SUMIF(Table25[[#All],[Assets]],Table25[[#This Row],[Assets]],Table25[[#All],[Number of stocks]])</f>
        <v>-3.3610000000123819E-3</v>
      </c>
    </row>
    <row r="1860" spans="1:17">
      <c r="A1860" t="e" vm="242">
        <v>#VALUE!</v>
      </c>
      <c r="B1860" s="2">
        <v>45982</v>
      </c>
      <c r="C1860" t="str" cm="1">
        <f t="array" aca="1" ref="C1860" ca="1">_FV(A1860,"Ticker symbol",TRUE)</f>
        <v>RKT</v>
      </c>
      <c r="D1860" s="4">
        <v>16.77</v>
      </c>
      <c r="E1860" s="50">
        <v>-20</v>
      </c>
      <c r="F1860" s="81">
        <f>IF(Table25[[#This Row],[Number of stocks]]&gt;0,Table25[[#This Row],[Number of stocks]],0)</f>
        <v>0</v>
      </c>
      <c r="G1860" s="73">
        <f>Table25[[#This Row],[Bought]]*Table25[[#This Row],[Price]]</f>
        <v>0</v>
      </c>
      <c r="H1860">
        <f>SUMIF(Table25[[#All],[Assets]],Table25[[#This Row],[Assets]],Table25[[#All],[Bought]])</f>
        <v>116</v>
      </c>
      <c r="I1860">
        <f>SUMIF(Table25[[#All],[Assets]],Table25[[#This Row],[Assets]],Table25[[#All],[Bought Amount]])</f>
        <v>2236.0100000000002</v>
      </c>
      <c r="J1860" s="88">
        <f>IF(Table25[[#This Row],[Number of stocks]]&lt;0,Table25[[#This Row],[Number of stocks]],0)</f>
        <v>-20</v>
      </c>
      <c r="K1860" s="5">
        <f>Table25[[#This Row],[Sold]]*Table25[[#This Row],[Price]]</f>
        <v>-335.4</v>
      </c>
      <c r="L1860" s="8">
        <f>ABS(SUMIF(Table25[[#All],[Assets]],Table25[[#This Row],[Assets]],Table25[[#All],[Sold]]))</f>
        <v>116</v>
      </c>
      <c r="M1860" s="5">
        <f>ABS(SUMIF(Table25[[#All],[Assets]],Table25[[#This Row],[Assets]],Table25[[#All],[Sold Amount]]))</f>
        <v>1947.1000000000001</v>
      </c>
      <c r="N1860" s="5">
        <f>IFERROR(Table25[[#This Row],[Total sold amount]]/Table25[[#This Row],[Total Sold number of stocks]],"")</f>
        <v>16.785344827586208</v>
      </c>
      <c r="O1860" s="4">
        <f>IFERROR(Table25[[#This Row],[Total Amount bought]]/Table25[[#This Row],[Total number bought]],"")</f>
        <v>19.275948275862071</v>
      </c>
      <c r="P1860" s="4">
        <f>IFERROR((Table25[[#This Row],[Average sell price]]-Table25[[#This Row],[Average buy price]])*Table25[[#This Row],[Total Sold number of stocks]],0)</f>
        <v>-288.91000000000008</v>
      </c>
      <c r="Q1860" s="85">
        <f>SUMIF(Table25[[#All],[Assets]],Table25[[#This Row],[Assets]],Table25[[#All],[Number of stocks]])</f>
        <v>0</v>
      </c>
    </row>
    <row r="1861" spans="1:17">
      <c r="A1861" t="e" vm="242">
        <v>#VALUE!</v>
      </c>
      <c r="B1861" s="2">
        <v>45982</v>
      </c>
      <c r="C1861" t="str" cm="1">
        <f t="array" aca="1" ref="C1861" ca="1">_FV(A1861,"Ticker symbol",TRUE)</f>
        <v>RKT</v>
      </c>
      <c r="D1861" s="4">
        <v>16.78</v>
      </c>
      <c r="E1861" s="50">
        <v>-40</v>
      </c>
      <c r="F1861" s="81">
        <f>IF(Table25[[#This Row],[Number of stocks]]&gt;0,Table25[[#This Row],[Number of stocks]],0)</f>
        <v>0</v>
      </c>
      <c r="G1861" s="73">
        <f>Table25[[#This Row],[Bought]]*Table25[[#This Row],[Price]]</f>
        <v>0</v>
      </c>
      <c r="H1861">
        <f>SUMIF(Table25[[#All],[Assets]],Table25[[#This Row],[Assets]],Table25[[#All],[Bought]])</f>
        <v>116</v>
      </c>
      <c r="I1861">
        <f>SUMIF(Table25[[#All],[Assets]],Table25[[#This Row],[Assets]],Table25[[#All],[Bought Amount]])</f>
        <v>2236.0100000000002</v>
      </c>
      <c r="J1861" s="88">
        <f>IF(Table25[[#This Row],[Number of stocks]]&lt;0,Table25[[#This Row],[Number of stocks]],0)</f>
        <v>-40</v>
      </c>
      <c r="K1861" s="5">
        <f>Table25[[#This Row],[Sold]]*Table25[[#This Row],[Price]]</f>
        <v>-671.2</v>
      </c>
      <c r="L1861" s="8">
        <f>ABS(SUMIF(Table25[[#All],[Assets]],Table25[[#This Row],[Assets]],Table25[[#All],[Sold]]))</f>
        <v>116</v>
      </c>
      <c r="M1861" s="5">
        <f>ABS(SUMIF(Table25[[#All],[Assets]],Table25[[#This Row],[Assets]],Table25[[#All],[Sold Amount]]))</f>
        <v>1947.1000000000001</v>
      </c>
      <c r="N1861" s="5">
        <f>IFERROR(Table25[[#This Row],[Total sold amount]]/Table25[[#This Row],[Total Sold number of stocks]],"")</f>
        <v>16.785344827586208</v>
      </c>
      <c r="O1861" s="4">
        <f>IFERROR(Table25[[#This Row],[Total Amount bought]]/Table25[[#This Row],[Total number bought]],"")</f>
        <v>19.275948275862071</v>
      </c>
      <c r="P1861" s="4">
        <f>IFERROR((Table25[[#This Row],[Average sell price]]-Table25[[#This Row],[Average buy price]])*Table25[[#This Row],[Total Sold number of stocks]],0)</f>
        <v>-288.91000000000008</v>
      </c>
      <c r="Q1861" s="85">
        <f>SUMIF(Table25[[#All],[Assets]],Table25[[#This Row],[Assets]],Table25[[#All],[Number of stocks]])</f>
        <v>0</v>
      </c>
    </row>
    <row r="1862" spans="1:17">
      <c r="A1862" t="e" vm="233">
        <v>#VALUE!</v>
      </c>
      <c r="B1862" s="2">
        <v>46020</v>
      </c>
      <c r="C1862" t="str" cm="1">
        <f t="array" aca="1" ref="C1862" ca="1">_FV(A1862,"Ticker symbol",TRUE)</f>
        <v>NTGR</v>
      </c>
      <c r="D1862" s="4">
        <v>24.16</v>
      </c>
      <c r="E1862" s="50">
        <v>-37</v>
      </c>
      <c r="F1862" s="81">
        <f>IF(Table25[[#This Row],[Number of stocks]]&gt;0,Table25[[#This Row],[Number of stocks]],0)</f>
        <v>0</v>
      </c>
      <c r="G1862" s="73">
        <f>Table25[[#This Row],[Bought]]*Table25[[#This Row],[Price]]</f>
        <v>0</v>
      </c>
      <c r="H1862">
        <f>SUMIF(Table25[[#All],[Assets]],Table25[[#This Row],[Assets]],Table25[[#All],[Bought]])</f>
        <v>57</v>
      </c>
      <c r="I1862">
        <f>SUMIF(Table25[[#All],[Assets]],Table25[[#This Row],[Assets]],Table25[[#All],[Bought Amount]])</f>
        <v>1211.07</v>
      </c>
      <c r="J1862" s="88">
        <f>IF(Table25[[#This Row],[Number of stocks]]&lt;0,Table25[[#This Row],[Number of stocks]],0)</f>
        <v>-37</v>
      </c>
      <c r="K1862" s="5">
        <f>Table25[[#This Row],[Sold]]*Table25[[#This Row],[Price]]</f>
        <v>-893.92</v>
      </c>
      <c r="L1862" s="8">
        <f>ABS(SUMIF(Table25[[#All],[Assets]],Table25[[#This Row],[Assets]],Table25[[#All],[Sold]]))</f>
        <v>57</v>
      </c>
      <c r="M1862" s="5">
        <f>ABS(SUMIF(Table25[[#All],[Assets]],Table25[[#This Row],[Assets]],Table25[[#All],[Sold Amount]]))</f>
        <v>1382.52</v>
      </c>
      <c r="N1862" s="5">
        <f>IFERROR(Table25[[#This Row],[Total sold amount]]/Table25[[#This Row],[Total Sold number of stocks]],"")</f>
        <v>24.254736842105263</v>
      </c>
      <c r="O1862" s="4">
        <f>IFERROR(Table25[[#This Row],[Total Amount bought]]/Table25[[#This Row],[Total number bought]],"")</f>
        <v>21.246842105263156</v>
      </c>
      <c r="P1862" s="4">
        <f>IFERROR((Table25[[#This Row],[Average sell price]]-Table25[[#This Row],[Average buy price]])*Table25[[#This Row],[Total Sold number of stocks]],0)</f>
        <v>171.45000000000013</v>
      </c>
      <c r="Q1862" s="85">
        <f>SUMIF(Table25[[#All],[Assets]],Table25[[#This Row],[Assets]],Table25[[#All],[Number of stocks]])</f>
        <v>0</v>
      </c>
    </row>
    <row r="1863" spans="1:17">
      <c r="A1863" t="e" vm="185">
        <v>#VALUE!</v>
      </c>
      <c r="B1863" s="2">
        <v>46020</v>
      </c>
      <c r="C1863" t="str" cm="1">
        <f t="array" aca="1" ref="C1863" ca="1">_FV(A1863,"Ticker symbol",TRUE)</f>
        <v>ALMU</v>
      </c>
      <c r="D1863" s="4">
        <v>17.170000000000002</v>
      </c>
      <c r="E1863" s="50">
        <v>55</v>
      </c>
      <c r="F1863" s="81">
        <f>IF(Table25[[#This Row],[Number of stocks]]&gt;0,Table25[[#This Row],[Number of stocks]],0)</f>
        <v>55</v>
      </c>
      <c r="G1863" s="73">
        <f>Table25[[#This Row],[Bought]]*Table25[[#This Row],[Price]]</f>
        <v>944.35000000000014</v>
      </c>
      <c r="H1863">
        <f>SUMIF(Table25[[#All],[Assets]],Table25[[#This Row],[Assets]],Table25[[#All],[Bought]])</f>
        <v>153</v>
      </c>
      <c r="I1863">
        <f>SUMIF(Table25[[#All],[Assets]],Table25[[#This Row],[Assets]],Table25[[#All],[Bought Amount]])</f>
        <v>2675.17</v>
      </c>
      <c r="J1863" s="88">
        <f>IF(Table25[[#This Row],[Number of stocks]]&lt;0,Table25[[#This Row],[Number of stocks]],0)</f>
        <v>0</v>
      </c>
      <c r="K1863" s="5">
        <f>Table25[[#This Row],[Sold]]*Table25[[#This Row],[Price]]</f>
        <v>0</v>
      </c>
      <c r="L1863" s="8">
        <f>ABS(SUMIF(Table25[[#All],[Assets]],Table25[[#This Row],[Assets]],Table25[[#All],[Sold]]))</f>
        <v>0</v>
      </c>
      <c r="M1863" s="5">
        <f>ABS(SUMIF(Table25[[#All],[Assets]],Table25[[#This Row],[Assets]],Table25[[#All],[Sold Amount]]))</f>
        <v>0</v>
      </c>
      <c r="N1863" s="5" t="str">
        <f>IFERROR(Table25[[#This Row],[Total sold amount]]/Table25[[#This Row],[Total Sold number of stocks]],"")</f>
        <v/>
      </c>
      <c r="O1863" s="4">
        <f>IFERROR(Table25[[#This Row],[Total Amount bought]]/Table25[[#This Row],[Total number bought]],"")</f>
        <v>17.484771241830067</v>
      </c>
      <c r="P1863" s="4">
        <f>IFERROR((Table25[[#This Row],[Average sell price]]-Table25[[#This Row],[Average buy price]])*Table25[[#This Row],[Total Sold number of stocks]],0)</f>
        <v>0</v>
      </c>
      <c r="Q1863" s="85">
        <f>SUMIF(Table25[[#All],[Assets]],Table25[[#This Row],[Assets]],Table25[[#All],[Number of stocks]])</f>
        <v>153</v>
      </c>
    </row>
    <row r="1864" spans="1:17">
      <c r="A1864" t="e" vm="129">
        <v>#VALUE!</v>
      </c>
      <c r="B1864" s="2">
        <v>46020</v>
      </c>
      <c r="C1864" t="str" cm="1">
        <f t="array" aca="1" ref="C1864" ca="1">_FV(A1864,"Ticker symbol",TRUE)</f>
        <v>MRVL</v>
      </c>
      <c r="D1864" s="4">
        <v>85.55</v>
      </c>
      <c r="E1864" s="50">
        <v>3</v>
      </c>
      <c r="F1864" s="81">
        <f>IF(Table25[[#This Row],[Number of stocks]]&gt;0,Table25[[#This Row],[Number of stocks]],0)</f>
        <v>3</v>
      </c>
      <c r="G1864" s="73">
        <f>Table25[[#This Row],[Bought]]*Table25[[#This Row],[Price]]</f>
        <v>256.64999999999998</v>
      </c>
      <c r="H1864">
        <f>SUMIF(Table25[[#All],[Assets]],Table25[[#This Row],[Assets]],Table25[[#All],[Bought]])</f>
        <v>105</v>
      </c>
      <c r="I1864">
        <f>SUMIF(Table25[[#All],[Assets]],Table25[[#This Row],[Assets]],Table25[[#All],[Bought Amount]])</f>
        <v>8175.6200000000008</v>
      </c>
      <c r="J1864" s="88">
        <f>IF(Table25[[#This Row],[Number of stocks]]&lt;0,Table25[[#This Row],[Number of stocks]],0)</f>
        <v>0</v>
      </c>
      <c r="K1864" s="5">
        <f>Table25[[#This Row],[Sold]]*Table25[[#This Row],[Price]]</f>
        <v>0</v>
      </c>
      <c r="L1864" s="8">
        <f>ABS(SUMIF(Table25[[#All],[Assets]],Table25[[#This Row],[Assets]],Table25[[#All],[Sold]]))</f>
        <v>83</v>
      </c>
      <c r="M1864" s="5">
        <f>ABS(SUMIF(Table25[[#All],[Assets]],Table25[[#This Row],[Assets]],Table25[[#All],[Sold Amount]]))</f>
        <v>6745.73</v>
      </c>
      <c r="N1864" s="5">
        <f>IFERROR(Table25[[#This Row],[Total sold amount]]/Table25[[#This Row],[Total Sold number of stocks]],"")</f>
        <v>81.273855421686747</v>
      </c>
      <c r="O1864" s="4">
        <f>IFERROR(Table25[[#This Row],[Total Amount bought]]/Table25[[#This Row],[Total number bought]],"")</f>
        <v>77.86304761904762</v>
      </c>
      <c r="P1864" s="4">
        <f>IFERROR((Table25[[#This Row],[Average sell price]]-Table25[[#This Row],[Average buy price]])*Table25[[#This Row],[Total Sold number of stocks]],0)</f>
        <v>283.09704761904754</v>
      </c>
      <c r="Q1864" s="85">
        <f>SUMIF(Table25[[#All],[Assets]],Table25[[#This Row],[Assets]],Table25[[#All],[Number of stocks]])</f>
        <v>22</v>
      </c>
    </row>
    <row r="1865" spans="1:17">
      <c r="A1865" t="e" vm="81">
        <v>#VALUE!</v>
      </c>
      <c r="B1865" s="2">
        <v>45982</v>
      </c>
      <c r="C1865" t="str" cm="1">
        <f t="array" aca="1" ref="C1865" ca="1">_FV(A1865,"Ticker symbol",TRUE)</f>
        <v>DLO</v>
      </c>
      <c r="D1865" s="4">
        <v>12.7</v>
      </c>
      <c r="E1865" s="50">
        <v>-20</v>
      </c>
      <c r="F1865" s="81">
        <f>IF(Table25[[#This Row],[Number of stocks]]&gt;0,Table25[[#This Row],[Number of stocks]],0)</f>
        <v>0</v>
      </c>
      <c r="G1865" s="73">
        <f>Table25[[#This Row],[Bought]]*Table25[[#This Row],[Price]]</f>
        <v>0</v>
      </c>
      <c r="H1865">
        <f>SUMIF(Table25[[#All],[Assets]],Table25[[#This Row],[Assets]],Table25[[#All],[Bought]])</f>
        <v>436</v>
      </c>
      <c r="I1865">
        <f>SUMIF(Table25[[#All],[Assets]],Table25[[#This Row],[Assets]],Table25[[#All],[Bought Amount]])</f>
        <v>5840.9900000000007</v>
      </c>
      <c r="J1865" s="88">
        <f>IF(Table25[[#This Row],[Number of stocks]]&lt;0,Table25[[#This Row],[Number of stocks]],0)</f>
        <v>-20</v>
      </c>
      <c r="K1865" s="5">
        <f>Table25[[#This Row],[Sold]]*Table25[[#This Row],[Price]]</f>
        <v>-254</v>
      </c>
      <c r="L1865" s="8">
        <f>ABS(SUMIF(Table25[[#All],[Assets]],Table25[[#This Row],[Assets]],Table25[[#All],[Sold]]))</f>
        <v>436</v>
      </c>
      <c r="M1865" s="5">
        <f>ABS(SUMIF(Table25[[#All],[Assets]],Table25[[#This Row],[Assets]],Table25[[#All],[Sold Amount]]))</f>
        <v>5546.6</v>
      </c>
      <c r="N1865" s="5">
        <f>IFERROR(Table25[[#This Row],[Total sold amount]]/Table25[[#This Row],[Total Sold number of stocks]],"")</f>
        <v>12.721559633027523</v>
      </c>
      <c r="O1865" s="4">
        <f>IFERROR(Table25[[#This Row],[Total Amount bought]]/Table25[[#This Row],[Total number bought]],"")</f>
        <v>13.396766055045873</v>
      </c>
      <c r="P1865" s="4">
        <f>IFERROR((Table25[[#This Row],[Average sell price]]-Table25[[#This Row],[Average buy price]])*Table25[[#This Row],[Total Sold number of stocks]],0)</f>
        <v>-294.39000000000073</v>
      </c>
      <c r="Q1865" s="85">
        <f>SUMIF(Table25[[#All],[Assets]],Table25[[#This Row],[Assets]],Table25[[#All],[Number of stocks]])</f>
        <v>0</v>
      </c>
    </row>
    <row r="1866" spans="1:17">
      <c r="A1866" t="e" vm="197">
        <v>#VALUE!</v>
      </c>
      <c r="B1866" s="2">
        <v>46024</v>
      </c>
      <c r="C1866" t="str" cm="1">
        <f t="array" aca="1" ref="C1866" ca="1">_FV(A1866,"Ticker symbol",TRUE)</f>
        <v>AMBA</v>
      </c>
      <c r="D1866" s="4">
        <v>73.599999999999994</v>
      </c>
      <c r="E1866" s="50">
        <v>6</v>
      </c>
      <c r="F1866" s="81">
        <f>IF(Table25[[#This Row],[Number of stocks]]&gt;0,Table25[[#This Row],[Number of stocks]],0)</f>
        <v>6</v>
      </c>
      <c r="G1866" s="73">
        <f>Table25[[#This Row],[Bought]]*Table25[[#This Row],[Price]]</f>
        <v>441.59999999999997</v>
      </c>
      <c r="H1866">
        <f>SUMIF(Table25[[#All],[Assets]],Table25[[#This Row],[Assets]],Table25[[#All],[Bought]])</f>
        <v>21</v>
      </c>
      <c r="I1866">
        <f>SUMIF(Table25[[#All],[Assets]],Table25[[#This Row],[Assets]],Table25[[#All],[Bought Amount]])</f>
        <v>1531.0499999999997</v>
      </c>
      <c r="J1866" s="88">
        <f>IF(Table25[[#This Row],[Number of stocks]]&lt;0,Table25[[#This Row],[Number of stocks]],0)</f>
        <v>0</v>
      </c>
      <c r="K1866" s="5">
        <f>Table25[[#This Row],[Sold]]*Table25[[#This Row],[Price]]</f>
        <v>0</v>
      </c>
      <c r="L1866" s="8">
        <f>ABS(SUMIF(Table25[[#All],[Assets]],Table25[[#This Row],[Assets]],Table25[[#All],[Sold]]))</f>
        <v>21</v>
      </c>
      <c r="M1866" s="5">
        <f>ABS(SUMIF(Table25[[#All],[Assets]],Table25[[#This Row],[Assets]],Table25[[#All],[Sold Amount]]))</f>
        <v>1248.69</v>
      </c>
      <c r="N1866" s="5">
        <f>IFERROR(Table25[[#This Row],[Total sold amount]]/Table25[[#This Row],[Total Sold number of stocks]],"")</f>
        <v>59.461428571428577</v>
      </c>
      <c r="O1866" s="4">
        <f>IFERROR(Table25[[#This Row],[Total Amount bought]]/Table25[[#This Row],[Total number bought]],"")</f>
        <v>72.907142857142844</v>
      </c>
      <c r="P1866" s="4">
        <f>IFERROR((Table25[[#This Row],[Average sell price]]-Table25[[#This Row],[Average buy price]])*Table25[[#This Row],[Total Sold number of stocks]],0)</f>
        <v>-282.35999999999962</v>
      </c>
      <c r="Q1866" s="85">
        <f>SUMIF(Table25[[#All],[Assets]],Table25[[#This Row],[Assets]],Table25[[#All],[Number of stocks]])</f>
        <v>0</v>
      </c>
    </row>
    <row r="1867" spans="1:17">
      <c r="A1867" t="e" vm="46">
        <v>#VALUE!</v>
      </c>
      <c r="B1867" s="2">
        <v>46024</v>
      </c>
      <c r="C1867" t="str" cm="1">
        <f t="array" aca="1" ref="C1867" ca="1">_FV(A1867,"Ticker symbol",TRUE)</f>
        <v>ASPI</v>
      </c>
      <c r="D1867" s="4">
        <v>5.6</v>
      </c>
      <c r="E1867" s="50">
        <v>-100</v>
      </c>
      <c r="F1867" s="81">
        <f>IF(Table25[[#This Row],[Number of stocks]]&gt;0,Table25[[#This Row],[Number of stocks]],0)</f>
        <v>0</v>
      </c>
      <c r="G1867" s="73">
        <f>Table25[[#This Row],[Bought]]*Table25[[#This Row],[Price]]</f>
        <v>0</v>
      </c>
      <c r="H1867">
        <f>SUMIF(Table25[[#All],[Assets]],Table25[[#This Row],[Assets]],Table25[[#All],[Bought]])</f>
        <v>1899</v>
      </c>
      <c r="I1867">
        <f>SUMIF(Table25[[#All],[Assets]],Table25[[#This Row],[Assets]],Table25[[#All],[Bought Amount]])</f>
        <v>8555.869999999999</v>
      </c>
      <c r="J1867" s="88">
        <f>IF(Table25[[#This Row],[Number of stocks]]&lt;0,Table25[[#This Row],[Number of stocks]],0)</f>
        <v>-100</v>
      </c>
      <c r="K1867" s="5">
        <f>Table25[[#This Row],[Sold]]*Table25[[#This Row],[Price]]</f>
        <v>-560</v>
      </c>
      <c r="L1867" s="8">
        <f>ABS(SUMIF(Table25[[#All],[Assets]],Table25[[#This Row],[Assets]],Table25[[#All],[Sold]]))</f>
        <v>1599</v>
      </c>
      <c r="M1867" s="5">
        <f>ABS(SUMIF(Table25[[#All],[Assets]],Table25[[#This Row],[Assets]],Table25[[#All],[Sold Amount]]))</f>
        <v>8799.17</v>
      </c>
      <c r="N1867" s="5">
        <f>IFERROR(Table25[[#This Row],[Total sold amount]]/Table25[[#This Row],[Total Sold number of stocks]],"")</f>
        <v>5.5029205753595996</v>
      </c>
      <c r="O1867" s="4">
        <f>IFERROR(Table25[[#This Row],[Total Amount bought]]/Table25[[#This Row],[Total number bought]],"")</f>
        <v>4.5054607688256976</v>
      </c>
      <c r="P1867" s="4">
        <f>IFERROR((Table25[[#This Row],[Average sell price]]-Table25[[#This Row],[Average buy price]])*Table25[[#This Row],[Total Sold number of stocks]],0)</f>
        <v>1594.9382306477094</v>
      </c>
      <c r="Q1867" s="85">
        <f>SUMIF(Table25[[#All],[Assets]],Table25[[#This Row],[Assets]],Table25[[#All],[Number of stocks]])</f>
        <v>300</v>
      </c>
    </row>
    <row r="1868" spans="1:17">
      <c r="A1868" t="e" vm="193">
        <v>#VALUE!</v>
      </c>
      <c r="B1868" s="2">
        <v>46024</v>
      </c>
      <c r="C1868" t="str" cm="1">
        <f t="array" aca="1" ref="C1868" ca="1">_FV(A1868,"Ticker symbol",TRUE)</f>
        <v>UAVS</v>
      </c>
      <c r="D1868" s="4">
        <v>1.1000000000000001</v>
      </c>
      <c r="E1868" s="50">
        <v>500</v>
      </c>
      <c r="F1868" s="81">
        <f>IF(Table25[[#This Row],[Number of stocks]]&gt;0,Table25[[#This Row],[Number of stocks]],0)</f>
        <v>500</v>
      </c>
      <c r="G1868" s="73">
        <f>Table25[[#This Row],[Bought]]*Table25[[#This Row],[Price]]</f>
        <v>550</v>
      </c>
      <c r="H1868">
        <f>SUMIF(Table25[[#All],[Assets]],Table25[[#This Row],[Assets]],Table25[[#All],[Bought]])</f>
        <v>1480</v>
      </c>
      <c r="I1868">
        <f>SUMIF(Table25[[#All],[Assets]],Table25[[#This Row],[Assets]],Table25[[#All],[Bought Amount]])</f>
        <v>1868.4090000000001</v>
      </c>
      <c r="J1868" s="88">
        <f>IF(Table25[[#This Row],[Number of stocks]]&lt;0,Table25[[#This Row],[Number of stocks]],0)</f>
        <v>0</v>
      </c>
      <c r="K1868" s="5">
        <f>Table25[[#This Row],[Sold]]*Table25[[#This Row],[Price]]</f>
        <v>0</v>
      </c>
      <c r="L1868" s="8">
        <f>ABS(SUMIF(Table25[[#All],[Assets]],Table25[[#This Row],[Assets]],Table25[[#All],[Sold]]))</f>
        <v>500</v>
      </c>
      <c r="M1868" s="5">
        <f>ABS(SUMIF(Table25[[#All],[Assets]],Table25[[#This Row],[Assets]],Table25[[#All],[Sold Amount]]))</f>
        <v>1198</v>
      </c>
      <c r="N1868" s="5">
        <f>IFERROR(Table25[[#This Row],[Total sold amount]]/Table25[[#This Row],[Total Sold number of stocks]],"")</f>
        <v>2.3959999999999999</v>
      </c>
      <c r="O1868" s="4">
        <f>IFERROR(Table25[[#This Row],[Total Amount bought]]/Table25[[#This Row],[Total number bought]],"")</f>
        <v>1.2624385135135137</v>
      </c>
      <c r="P1868" s="4">
        <f>IFERROR((Table25[[#This Row],[Average sell price]]-Table25[[#This Row],[Average buy price]])*Table25[[#This Row],[Total Sold number of stocks]],0)</f>
        <v>566.78074324324314</v>
      </c>
      <c r="Q1868" s="85">
        <f>SUMIF(Table25[[#All],[Assets]],Table25[[#This Row],[Assets]],Table25[[#All],[Number of stocks]])</f>
        <v>980</v>
      </c>
    </row>
    <row r="1869" spans="1:17">
      <c r="A1869" t="e" vm="181">
        <v>#VALUE!</v>
      </c>
      <c r="B1869" s="2">
        <v>46024</v>
      </c>
      <c r="C1869" t="str" cm="1">
        <f t="array" aca="1" ref="C1869" ca="1">_FV(A1869,"Ticker symbol",TRUE)</f>
        <v>TIC</v>
      </c>
      <c r="D1869" s="4">
        <v>9.8000000000000007</v>
      </c>
      <c r="E1869" s="50">
        <v>-67</v>
      </c>
      <c r="F1869" s="81">
        <f>IF(Table25[[#This Row],[Number of stocks]]&gt;0,Table25[[#This Row],[Number of stocks]],0)</f>
        <v>0</v>
      </c>
      <c r="G1869" s="73">
        <f>Table25[[#This Row],[Bought]]*Table25[[#This Row],[Price]]</f>
        <v>0</v>
      </c>
      <c r="H1869">
        <f>SUMIF(Table25[[#All],[Assets]],Table25[[#This Row],[Assets]],Table25[[#All],[Bought]])</f>
        <v>487</v>
      </c>
      <c r="I1869">
        <f>SUMIF(Table25[[#All],[Assets]],Table25[[#This Row],[Assets]],Table25[[#All],[Bought Amount]])</f>
        <v>6140.8099999999995</v>
      </c>
      <c r="J1869" s="88">
        <f>IF(Table25[[#This Row],[Number of stocks]]&lt;0,Table25[[#This Row],[Number of stocks]],0)</f>
        <v>-67</v>
      </c>
      <c r="K1869" s="5">
        <f>Table25[[#This Row],[Sold]]*Table25[[#This Row],[Price]]</f>
        <v>-656.6</v>
      </c>
      <c r="L1869" s="8">
        <f>ABS(SUMIF(Table25[[#All],[Assets]],Table25[[#This Row],[Assets]],Table25[[#All],[Sold]]))</f>
        <v>397</v>
      </c>
      <c r="M1869" s="5">
        <f>ABS(SUMIF(Table25[[#All],[Assets]],Table25[[#This Row],[Assets]],Table25[[#All],[Sold Amount]]))</f>
        <v>3999.4</v>
      </c>
      <c r="N1869" s="5">
        <f>IFERROR(Table25[[#This Row],[Total sold amount]]/Table25[[#This Row],[Total Sold number of stocks]],"")</f>
        <v>10.074055415617128</v>
      </c>
      <c r="O1869" s="4">
        <f>IFERROR(Table25[[#This Row],[Total Amount bought]]/Table25[[#This Row],[Total number bought]],"")</f>
        <v>12.609466119096508</v>
      </c>
      <c r="P1869" s="4">
        <f>IFERROR((Table25[[#This Row],[Average sell price]]-Table25[[#This Row],[Average buy price]])*Table25[[#This Row],[Total Sold number of stocks]],0)</f>
        <v>-1006.558049281314</v>
      </c>
      <c r="Q1869" s="85">
        <f>SUMIF(Table25[[#All],[Assets]],Table25[[#This Row],[Assets]],Table25[[#All],[Number of stocks]])</f>
        <v>90</v>
      </c>
    </row>
    <row r="1870" spans="1:17">
      <c r="A1870" t="e" vm="203">
        <v>#VALUE!</v>
      </c>
      <c r="B1870" s="2">
        <v>46027</v>
      </c>
      <c r="C1870" t="str" cm="1">
        <f t="array" aca="1" ref="C1870" ca="1">_FV(A1870,"Ticker symbol",TRUE)</f>
        <v>TWLO</v>
      </c>
      <c r="D1870" s="4">
        <v>136.19999999999999</v>
      </c>
      <c r="E1870" s="50">
        <v>-4</v>
      </c>
      <c r="F1870" s="81">
        <f>IF(Table25[[#This Row],[Number of stocks]]&gt;0,Table25[[#This Row],[Number of stocks]],0)</f>
        <v>0</v>
      </c>
      <c r="G1870" s="73">
        <f>Table25[[#This Row],[Bought]]*Table25[[#This Row],[Price]]</f>
        <v>0</v>
      </c>
      <c r="H1870">
        <f>SUMIF(Table25[[#All],[Assets]],Table25[[#This Row],[Assets]],Table25[[#All],[Bought]])</f>
        <v>64</v>
      </c>
      <c r="I1870">
        <f>SUMIF(Table25[[#All],[Assets]],Table25[[#This Row],[Assets]],Table25[[#All],[Bought Amount]])</f>
        <v>7733.8899999999994</v>
      </c>
      <c r="J1870" s="88">
        <f>IF(Table25[[#This Row],[Number of stocks]]&lt;0,Table25[[#This Row],[Number of stocks]],0)</f>
        <v>-4</v>
      </c>
      <c r="K1870" s="5">
        <f>Table25[[#This Row],[Sold]]*Table25[[#This Row],[Price]]</f>
        <v>-544.79999999999995</v>
      </c>
      <c r="L1870" s="8">
        <f>ABS(SUMIF(Table25[[#All],[Assets]],Table25[[#This Row],[Assets]],Table25[[#All],[Sold]]))</f>
        <v>64</v>
      </c>
      <c r="M1870" s="5">
        <f>ABS(SUMIF(Table25[[#All],[Assets]],Table25[[#This Row],[Assets]],Table25[[#All],[Sold Amount]]))</f>
        <v>7331.26</v>
      </c>
      <c r="N1870" s="5">
        <f>IFERROR(Table25[[#This Row],[Total sold amount]]/Table25[[#This Row],[Total Sold number of stocks]],"")</f>
        <v>114.5509375</v>
      </c>
      <c r="O1870" s="4">
        <f>IFERROR(Table25[[#This Row],[Total Amount bought]]/Table25[[#This Row],[Total number bought]],"")</f>
        <v>120.84203124999999</v>
      </c>
      <c r="P1870" s="4">
        <f>IFERROR((Table25[[#This Row],[Average sell price]]-Table25[[#This Row],[Average buy price]])*Table25[[#This Row],[Total Sold number of stocks]],0)</f>
        <v>-402.6299999999992</v>
      </c>
      <c r="Q1870" s="85">
        <f>SUMIF(Table25[[#All],[Assets]],Table25[[#This Row],[Assets]],Table25[[#All],[Number of stocks]])</f>
        <v>0</v>
      </c>
    </row>
    <row r="1871" spans="1:17">
      <c r="A1871" t="e" vm="90">
        <v>#VALUE!</v>
      </c>
      <c r="B1871" s="2">
        <v>46027</v>
      </c>
      <c r="C1871" t="str" cm="1">
        <f t="array" aca="1" ref="C1871" ca="1">_FV(A1871,"Ticker symbol",TRUE)</f>
        <v>ASTS</v>
      </c>
      <c r="D1871" s="4">
        <v>85.32</v>
      </c>
      <c r="E1871" s="50">
        <v>-7</v>
      </c>
      <c r="F1871" s="81">
        <f>IF(Table25[[#This Row],[Number of stocks]]&gt;0,Table25[[#This Row],[Number of stocks]],0)</f>
        <v>0</v>
      </c>
      <c r="G1871" s="73">
        <f>Table25[[#This Row],[Bought]]*Table25[[#This Row],[Price]]</f>
        <v>0</v>
      </c>
      <c r="H1871">
        <f>SUMIF(Table25[[#All],[Assets]],Table25[[#This Row],[Assets]],Table25[[#All],[Bought]])</f>
        <v>47</v>
      </c>
      <c r="I1871">
        <f>SUMIF(Table25[[#All],[Assets]],Table25[[#This Row],[Assets]],Table25[[#All],[Bought Amount]])</f>
        <v>1690.75</v>
      </c>
      <c r="J1871" s="88">
        <f>IF(Table25[[#This Row],[Number of stocks]]&lt;0,Table25[[#This Row],[Number of stocks]],0)</f>
        <v>-7</v>
      </c>
      <c r="K1871" s="5">
        <f>Table25[[#This Row],[Sold]]*Table25[[#This Row],[Price]]</f>
        <v>-597.24</v>
      </c>
      <c r="L1871" s="8">
        <f>ABS(SUMIF(Table25[[#All],[Assets]],Table25[[#This Row],[Assets]],Table25[[#All],[Sold]]))</f>
        <v>37</v>
      </c>
      <c r="M1871" s="5">
        <f>ABS(SUMIF(Table25[[#All],[Assets]],Table25[[#This Row],[Assets]],Table25[[#All],[Sold Amount]]))</f>
        <v>2479.08</v>
      </c>
      <c r="N1871" s="5">
        <f>IFERROR(Table25[[#This Row],[Total sold amount]]/Table25[[#This Row],[Total Sold number of stocks]],"")</f>
        <v>67.002162162162165</v>
      </c>
      <c r="O1871" s="4">
        <f>IFERROR(Table25[[#This Row],[Total Amount bought]]/Table25[[#This Row],[Total number bought]],"")</f>
        <v>35.973404255319146</v>
      </c>
      <c r="P1871" s="4">
        <f>IFERROR((Table25[[#This Row],[Average sell price]]-Table25[[#This Row],[Average buy price]])*Table25[[#This Row],[Total Sold number of stocks]],0)</f>
        <v>1148.0640425531917</v>
      </c>
      <c r="Q1871" s="85">
        <f>SUMIF(Table25[[#All],[Assets]],Table25[[#This Row],[Assets]],Table25[[#All],[Number of stocks]])</f>
        <v>10</v>
      </c>
    </row>
    <row r="1872" spans="1:17">
      <c r="A1872" t="e" vm="183">
        <v>#VALUE!</v>
      </c>
      <c r="B1872" s="2">
        <v>46027</v>
      </c>
      <c r="C1872" t="str" cm="1">
        <f t="array" aca="1" ref="C1872" ca="1">_FV(A1872,"Ticker symbol",TRUE)</f>
        <v>ESOA</v>
      </c>
      <c r="D1872" s="4">
        <v>8.23</v>
      </c>
      <c r="E1872" s="50">
        <v>-80</v>
      </c>
      <c r="F1872" s="81">
        <f>IF(Table25[[#This Row],[Number of stocks]]&gt;0,Table25[[#This Row],[Number of stocks]],0)</f>
        <v>0</v>
      </c>
      <c r="G1872" s="73">
        <f>Table25[[#This Row],[Bought]]*Table25[[#This Row],[Price]]</f>
        <v>0</v>
      </c>
      <c r="H1872">
        <f>SUMIF(Table25[[#All],[Assets]],Table25[[#This Row],[Assets]],Table25[[#All],[Bought]])</f>
        <v>1832</v>
      </c>
      <c r="I1872">
        <f>SUMIF(Table25[[#All],[Assets]],Table25[[#This Row],[Assets]],Table25[[#All],[Bought Amount]])</f>
        <v>18152.78</v>
      </c>
      <c r="J1872" s="88">
        <f>IF(Table25[[#This Row],[Number of stocks]]&lt;0,Table25[[#This Row],[Number of stocks]],0)</f>
        <v>-80</v>
      </c>
      <c r="K1872" s="5">
        <f>Table25[[#This Row],[Sold]]*Table25[[#This Row],[Price]]</f>
        <v>-658.40000000000009</v>
      </c>
      <c r="L1872" s="8">
        <f>ABS(SUMIF(Table25[[#All],[Assets]],Table25[[#This Row],[Assets]],Table25[[#All],[Sold]]))</f>
        <v>1568</v>
      </c>
      <c r="M1872" s="5">
        <f>ABS(SUMIF(Table25[[#All],[Assets]],Table25[[#This Row],[Assets]],Table25[[#All],[Sold Amount]]))</f>
        <v>14668</v>
      </c>
      <c r="N1872" s="5">
        <f>IFERROR(Table25[[#This Row],[Total sold amount]]/Table25[[#This Row],[Total Sold number of stocks]],"")</f>
        <v>9.3545918367346932</v>
      </c>
      <c r="O1872" s="4">
        <f>IFERROR(Table25[[#This Row],[Total Amount bought]]/Table25[[#This Row],[Total number bought]],"")</f>
        <v>9.9087227074235802</v>
      </c>
      <c r="P1872" s="4">
        <f>IFERROR((Table25[[#This Row],[Average sell price]]-Table25[[#This Row],[Average buy price]])*Table25[[#This Row],[Total Sold number of stocks]],0)</f>
        <v>-868.87720524017482</v>
      </c>
      <c r="Q1872" s="85">
        <f>SUMIF(Table25[[#All],[Assets]],Table25[[#This Row],[Assets]],Table25[[#All],[Number of stocks]])</f>
        <v>264</v>
      </c>
    </row>
    <row r="1873" spans="1:17">
      <c r="A1873" t="e" vm="3">
        <v>#VALUE!</v>
      </c>
      <c r="B1873" s="2">
        <v>46027</v>
      </c>
      <c r="C1873" t="str" cm="1">
        <f t="array" aca="1" ref="C1873" ca="1">_FV(A1873,"Ticker symbol",TRUE)</f>
        <v>UMAC</v>
      </c>
      <c r="D1873" s="4">
        <v>14.79</v>
      </c>
      <c r="E1873" s="50">
        <v>24</v>
      </c>
      <c r="F1873" s="81">
        <f>IF(Table25[[#This Row],[Number of stocks]]&gt;0,Table25[[#This Row],[Number of stocks]],0)</f>
        <v>24</v>
      </c>
      <c r="G1873" s="73">
        <f>Table25[[#This Row],[Bought]]*Table25[[#This Row],[Price]]</f>
        <v>354.96</v>
      </c>
      <c r="H1873">
        <f>SUMIF(Table25[[#All],[Assets]],Table25[[#This Row],[Assets]],Table25[[#All],[Bought]])</f>
        <v>96</v>
      </c>
      <c r="I1873">
        <f>SUMIF(Table25[[#All],[Assets]],Table25[[#This Row],[Assets]],Table25[[#All],[Bought Amount]])</f>
        <v>1288.8</v>
      </c>
      <c r="J1873" s="88">
        <f>IF(Table25[[#This Row],[Number of stocks]]&lt;0,Table25[[#This Row],[Number of stocks]],0)</f>
        <v>0</v>
      </c>
      <c r="K1873" s="5">
        <f>Table25[[#This Row],[Sold]]*Table25[[#This Row],[Price]]</f>
        <v>0</v>
      </c>
      <c r="L1873" s="8">
        <f>ABS(SUMIF(Table25[[#All],[Assets]],Table25[[#This Row],[Assets]],Table25[[#All],[Sold]]))</f>
        <v>60</v>
      </c>
      <c r="M1873" s="5">
        <f>ABS(SUMIF(Table25[[#All],[Assets]],Table25[[#This Row],[Assets]],Table25[[#All],[Sold Amount]]))</f>
        <v>569.4</v>
      </c>
      <c r="N1873" s="5">
        <f>IFERROR(Table25[[#This Row],[Total sold amount]]/Table25[[#This Row],[Total Sold number of stocks]],"")</f>
        <v>9.49</v>
      </c>
      <c r="O1873" s="4">
        <f>IFERROR(Table25[[#This Row],[Total Amount bought]]/Table25[[#This Row],[Total number bought]],"")</f>
        <v>13.424999999999999</v>
      </c>
      <c r="P1873" s="4">
        <f>IFERROR((Table25[[#This Row],[Average sell price]]-Table25[[#This Row],[Average buy price]])*Table25[[#This Row],[Total Sold number of stocks]],0)</f>
        <v>-236.09999999999991</v>
      </c>
      <c r="Q1873" s="85">
        <f>SUMIF(Table25[[#All],[Assets]],Table25[[#This Row],[Assets]],Table25[[#All],[Number of stocks]])</f>
        <v>36</v>
      </c>
    </row>
    <row r="1874" spans="1:17">
      <c r="A1874" t="e" vm="38">
        <v>#VALUE!</v>
      </c>
      <c r="B1874" s="2">
        <v>46029</v>
      </c>
      <c r="C1874" t="str" cm="1">
        <f t="array" aca="1" ref="C1874" ca="1">_FV(A1874,"Ticker symbol",TRUE)</f>
        <v>FSLR</v>
      </c>
      <c r="D1874" s="4">
        <v>252</v>
      </c>
      <c r="E1874" s="50">
        <v>-6</v>
      </c>
      <c r="F1874" s="81">
        <f>IF(Table25[[#This Row],[Number of stocks]]&gt;0,Table25[[#This Row],[Number of stocks]],0)</f>
        <v>0</v>
      </c>
      <c r="G1874" s="73">
        <f>Table25[[#This Row],[Bought]]*Table25[[#This Row],[Price]]</f>
        <v>0</v>
      </c>
      <c r="H1874">
        <f>SUMIF(Table25[[#All],[Assets]],Table25[[#This Row],[Assets]],Table25[[#All],[Bought]])</f>
        <v>18</v>
      </c>
      <c r="I1874">
        <f>SUMIF(Table25[[#All],[Assets]],Table25[[#This Row],[Assets]],Table25[[#All],[Bought Amount]])</f>
        <v>3079.49</v>
      </c>
      <c r="J1874" s="88">
        <f>IF(Table25[[#This Row],[Number of stocks]]&lt;0,Table25[[#This Row],[Number of stocks]],0)</f>
        <v>-6</v>
      </c>
      <c r="K1874" s="5">
        <f>Table25[[#This Row],[Sold]]*Table25[[#This Row],[Price]]</f>
        <v>-1512</v>
      </c>
      <c r="L1874" s="8">
        <f>ABS(SUMIF(Table25[[#All],[Assets]],Table25[[#This Row],[Assets]],Table25[[#All],[Sold]]))</f>
        <v>18</v>
      </c>
      <c r="M1874" s="5">
        <f>ABS(SUMIF(Table25[[#All],[Assets]],Table25[[#This Row],[Assets]],Table25[[#All],[Sold Amount]]))</f>
        <v>4016.43</v>
      </c>
      <c r="N1874" s="5">
        <f>IFERROR(Table25[[#This Row],[Total sold amount]]/Table25[[#This Row],[Total Sold number of stocks]],"")</f>
        <v>223.13499999999999</v>
      </c>
      <c r="O1874" s="4">
        <f>IFERROR(Table25[[#This Row],[Total Amount bought]]/Table25[[#This Row],[Total number bought]],"")</f>
        <v>171.08277777777778</v>
      </c>
      <c r="P1874" s="4">
        <f>IFERROR((Table25[[#This Row],[Average sell price]]-Table25[[#This Row],[Average buy price]])*Table25[[#This Row],[Total Sold number of stocks]],0)</f>
        <v>936.93999999999983</v>
      </c>
      <c r="Q1874" s="85">
        <f>SUMIF(Table25[[#All],[Assets]],Table25[[#This Row],[Assets]],Table25[[#All],[Number of stocks]])</f>
        <v>0</v>
      </c>
    </row>
    <row r="1875" spans="1:17">
      <c r="A1875" t="e" vm="26">
        <v>#VALUE!</v>
      </c>
      <c r="B1875" s="2">
        <v>45985</v>
      </c>
      <c r="C1875" t="str" cm="1">
        <f t="array" aca="1" ref="C1875" ca="1">_FV(A1875,"Ticker symbol",TRUE)</f>
        <v>AEHR</v>
      </c>
      <c r="D1875" s="4">
        <v>20.309999999999999</v>
      </c>
      <c r="E1875" s="50">
        <v>-23</v>
      </c>
      <c r="F1875" s="81">
        <f>IF(Table25[[#This Row],[Number of stocks]]&gt;0,Table25[[#This Row],[Number of stocks]],0)</f>
        <v>0</v>
      </c>
      <c r="G1875" s="73">
        <f>Table25[[#This Row],[Bought]]*Table25[[#This Row],[Price]]</f>
        <v>0</v>
      </c>
      <c r="H1875">
        <f>SUMIF(Table25[[#All],[Assets]],Table25[[#This Row],[Assets]],Table25[[#All],[Bought]])</f>
        <v>559</v>
      </c>
      <c r="I1875">
        <f>SUMIF(Table25[[#All],[Assets]],Table25[[#This Row],[Assets]],Table25[[#All],[Bought Amount]])</f>
        <v>7405.6399999999994</v>
      </c>
      <c r="J1875" s="88">
        <f>IF(Table25[[#This Row],[Number of stocks]]&lt;0,Table25[[#This Row],[Number of stocks]],0)</f>
        <v>-23</v>
      </c>
      <c r="K1875" s="5">
        <f>Table25[[#This Row],[Sold]]*Table25[[#This Row],[Price]]</f>
        <v>-467.13</v>
      </c>
      <c r="L1875" s="8">
        <f>ABS(SUMIF(Table25[[#All],[Assets]],Table25[[#This Row],[Assets]],Table25[[#All],[Sold]]))</f>
        <v>539</v>
      </c>
      <c r="M1875" s="5">
        <f>ABS(SUMIF(Table25[[#All],[Assets]],Table25[[#This Row],[Assets]],Table25[[#All],[Sold Amount]]))</f>
        <v>9662.32</v>
      </c>
      <c r="N1875" s="5">
        <f>IFERROR(Table25[[#This Row],[Total sold amount]]/Table25[[#This Row],[Total Sold number of stocks]],"")</f>
        <v>17.92638218923933</v>
      </c>
      <c r="O1875" s="4">
        <f>IFERROR(Table25[[#This Row],[Total Amount bought]]/Table25[[#This Row],[Total number bought]],"")</f>
        <v>13.248014311270124</v>
      </c>
      <c r="P1875" s="4">
        <f>IFERROR((Table25[[#This Row],[Average sell price]]-Table25[[#This Row],[Average buy price]])*Table25[[#This Row],[Total Sold number of stocks]],0)</f>
        <v>2521.6402862254022</v>
      </c>
      <c r="Q1875" s="85">
        <f>SUMIF(Table25[[#All],[Assets]],Table25[[#This Row],[Assets]],Table25[[#All],[Number of stocks]])</f>
        <v>20</v>
      </c>
    </row>
    <row r="1876" spans="1:17">
      <c r="A1876" t="e" vm="178">
        <v>#VALUE!</v>
      </c>
      <c r="B1876" s="2">
        <v>45985</v>
      </c>
      <c r="C1876" t="str" cm="1">
        <f t="array" aca="1" ref="C1876" ca="1">_FV(A1876,"Ticker symbol",TRUE)</f>
        <v>MARA</v>
      </c>
      <c r="D1876" s="4">
        <v>10.59</v>
      </c>
      <c r="E1876" s="50">
        <v>190</v>
      </c>
      <c r="F1876" s="81">
        <f>IF(Table25[[#This Row],[Number of stocks]]&gt;0,Table25[[#This Row],[Number of stocks]],0)</f>
        <v>190</v>
      </c>
      <c r="G1876" s="73">
        <f>Table25[[#This Row],[Bought]]*Table25[[#This Row],[Price]]</f>
        <v>2012.1</v>
      </c>
      <c r="H1876">
        <f>SUMIF(Table25[[#All],[Assets]],Table25[[#This Row],[Assets]],Table25[[#All],[Bought]])</f>
        <v>586</v>
      </c>
      <c r="I1876">
        <f>SUMIF(Table25[[#All],[Assets]],Table25[[#This Row],[Assets]],Table25[[#All],[Bought Amount]])</f>
        <v>6128.42</v>
      </c>
      <c r="J1876" s="88">
        <f>IF(Table25[[#This Row],[Number of stocks]]&lt;0,Table25[[#This Row],[Number of stocks]],0)</f>
        <v>0</v>
      </c>
      <c r="K1876" s="5">
        <f>Table25[[#This Row],[Sold]]*Table25[[#This Row],[Price]]</f>
        <v>0</v>
      </c>
      <c r="L1876" s="8">
        <f>ABS(SUMIF(Table25[[#All],[Assets]],Table25[[#This Row],[Assets]],Table25[[#All],[Sold]]))</f>
        <v>79</v>
      </c>
      <c r="M1876" s="5">
        <f>ABS(SUMIF(Table25[[#All],[Assets]],Table25[[#This Row],[Assets]],Table25[[#All],[Sold Amount]]))</f>
        <v>634.37</v>
      </c>
      <c r="N1876" s="5">
        <f>IFERROR(Table25[[#This Row],[Total sold amount]]/Table25[[#This Row],[Total Sold number of stocks]],"")</f>
        <v>8.0299999999999994</v>
      </c>
      <c r="O1876" s="4">
        <f>IFERROR(Table25[[#This Row],[Total Amount bought]]/Table25[[#This Row],[Total number bought]],"")</f>
        <v>10.458054607508533</v>
      </c>
      <c r="P1876" s="4">
        <f>IFERROR((Table25[[#This Row],[Average sell price]]-Table25[[#This Row],[Average buy price]])*Table25[[#This Row],[Total Sold number of stocks]],0)</f>
        <v>-191.81631399317416</v>
      </c>
      <c r="Q1876" s="85">
        <f>SUMIF(Table25[[#All],[Assets]],Table25[[#This Row],[Assets]],Table25[[#All],[Number of stocks]])</f>
        <v>507</v>
      </c>
    </row>
    <row r="1877" spans="1:17">
      <c r="A1877" t="e" vm="42">
        <v>#VALUE!</v>
      </c>
      <c r="B1877" s="2">
        <v>45985</v>
      </c>
      <c r="C1877" t="str" cm="1">
        <f t="array" aca="1" ref="C1877" ca="1">_FV(A1877,"Ticker symbol",TRUE)</f>
        <v>FLR</v>
      </c>
      <c r="D1877" s="4">
        <v>40</v>
      </c>
      <c r="E1877" s="50">
        <v>-17</v>
      </c>
      <c r="F1877" s="81">
        <f>IF(Table25[[#This Row],[Number of stocks]]&gt;0,Table25[[#This Row],[Number of stocks]],0)</f>
        <v>0</v>
      </c>
      <c r="G1877" s="73">
        <f>Table25[[#This Row],[Bought]]*Table25[[#This Row],[Price]]</f>
        <v>0</v>
      </c>
      <c r="H1877">
        <f>SUMIF(Table25[[#All],[Assets]],Table25[[#This Row],[Assets]],Table25[[#All],[Bought]])</f>
        <v>91</v>
      </c>
      <c r="I1877">
        <f>SUMIF(Table25[[#All],[Assets]],Table25[[#This Row],[Assets]],Table25[[#All],[Bought Amount]])</f>
        <v>4262.41</v>
      </c>
      <c r="J1877" s="88">
        <f>IF(Table25[[#This Row],[Number of stocks]]&lt;0,Table25[[#This Row],[Number of stocks]],0)</f>
        <v>-17</v>
      </c>
      <c r="K1877" s="5">
        <f>Table25[[#This Row],[Sold]]*Table25[[#This Row],[Price]]</f>
        <v>-680</v>
      </c>
      <c r="L1877" s="8">
        <f>ABS(SUMIF(Table25[[#All],[Assets]],Table25[[#This Row],[Assets]],Table25[[#All],[Sold]]))</f>
        <v>91</v>
      </c>
      <c r="M1877" s="5">
        <f>ABS(SUMIF(Table25[[#All],[Assets]],Table25[[#This Row],[Assets]],Table25[[#All],[Sold Amount]]))</f>
        <v>4467.7199999999993</v>
      </c>
      <c r="N1877" s="5">
        <f>IFERROR(Table25[[#This Row],[Total sold amount]]/Table25[[#This Row],[Total Sold number of stocks]],"")</f>
        <v>49.09582417582417</v>
      </c>
      <c r="O1877" s="4">
        <f>IFERROR(Table25[[#This Row],[Total Amount bought]]/Table25[[#This Row],[Total number bought]],"")</f>
        <v>46.839670329670327</v>
      </c>
      <c r="P1877" s="4">
        <f>IFERROR((Table25[[#This Row],[Average sell price]]-Table25[[#This Row],[Average buy price]])*Table25[[#This Row],[Total Sold number of stocks]],0)</f>
        <v>205.30999999999975</v>
      </c>
      <c r="Q1877" s="85">
        <f>SUMIF(Table25[[#All],[Assets]],Table25[[#This Row],[Assets]],Table25[[#All],[Number of stocks]])</f>
        <v>0</v>
      </c>
    </row>
    <row r="1878" spans="1:17">
      <c r="A1878" t="e" vm="317">
        <v>#VALUE!</v>
      </c>
      <c r="B1878" s="2">
        <v>45985</v>
      </c>
      <c r="C1878" t="str" cm="1">
        <f t="array" aca="1" ref="C1878" ca="1">_FV(A1878,"Ticker symbol",TRUE)</f>
        <v>RUM</v>
      </c>
      <c r="D1878" s="4">
        <v>6.16</v>
      </c>
      <c r="E1878" s="50">
        <v>80</v>
      </c>
      <c r="F1878" s="81">
        <f>IF(Table25[[#This Row],[Number of stocks]]&gt;0,Table25[[#This Row],[Number of stocks]],0)</f>
        <v>80</v>
      </c>
      <c r="G1878" s="73">
        <f>Table25[[#This Row],[Bought]]*Table25[[#This Row],[Price]]</f>
        <v>492.8</v>
      </c>
      <c r="H1878">
        <f>SUMIF(Table25[[#All],[Assets]],Table25[[#This Row],[Assets]],Table25[[#All],[Bought]])</f>
        <v>80</v>
      </c>
      <c r="I1878">
        <f>SUMIF(Table25[[#All],[Assets]],Table25[[#This Row],[Assets]],Table25[[#All],[Bought Amount]])</f>
        <v>492.8</v>
      </c>
      <c r="J1878" s="88">
        <f>IF(Table25[[#This Row],[Number of stocks]]&lt;0,Table25[[#This Row],[Number of stocks]],0)</f>
        <v>0</v>
      </c>
      <c r="K1878" s="5">
        <f>Table25[[#This Row],[Sold]]*Table25[[#This Row],[Price]]</f>
        <v>0</v>
      </c>
      <c r="L1878" s="8">
        <f>ABS(SUMIF(Table25[[#All],[Assets]],Table25[[#This Row],[Assets]],Table25[[#All],[Sold]]))</f>
        <v>80</v>
      </c>
      <c r="M1878" s="5">
        <f>ABS(SUMIF(Table25[[#All],[Assets]],Table25[[#This Row],[Assets]],Table25[[#All],[Sold Amount]]))</f>
        <v>547.20000000000005</v>
      </c>
      <c r="N1878" s="5">
        <f>IFERROR(Table25[[#This Row],[Total sold amount]]/Table25[[#This Row],[Total Sold number of stocks]],"")</f>
        <v>6.8400000000000007</v>
      </c>
      <c r="O1878" s="4">
        <f>IFERROR(Table25[[#This Row],[Total Amount bought]]/Table25[[#This Row],[Total number bought]],"")</f>
        <v>6.16</v>
      </c>
      <c r="P1878" s="4">
        <f>IFERROR((Table25[[#This Row],[Average sell price]]-Table25[[#This Row],[Average buy price]])*Table25[[#This Row],[Total Sold number of stocks]],0)</f>
        <v>54.400000000000048</v>
      </c>
      <c r="Q1878" s="85">
        <f>SUMIF(Table25[[#All],[Assets]],Table25[[#This Row],[Assets]],Table25[[#All],[Number of stocks]])</f>
        <v>0</v>
      </c>
    </row>
    <row r="1879" spans="1:17">
      <c r="A1879" t="e" vm="81">
        <v>#VALUE!</v>
      </c>
      <c r="B1879" s="2">
        <v>45985</v>
      </c>
      <c r="C1879" t="str" cm="1">
        <f t="array" aca="1" ref="C1879" ca="1">_FV(A1879,"Ticker symbol",TRUE)</f>
        <v>DLO</v>
      </c>
      <c r="D1879" s="4">
        <v>12.82</v>
      </c>
      <c r="E1879" s="50">
        <v>-40</v>
      </c>
      <c r="F1879" s="81">
        <f>IF(Table25[[#This Row],[Number of stocks]]&gt;0,Table25[[#This Row],[Number of stocks]],0)</f>
        <v>0</v>
      </c>
      <c r="G1879" s="73">
        <f>Table25[[#This Row],[Bought]]*Table25[[#This Row],[Price]]</f>
        <v>0</v>
      </c>
      <c r="H1879">
        <f>SUMIF(Table25[[#All],[Assets]],Table25[[#This Row],[Assets]],Table25[[#All],[Bought]])</f>
        <v>436</v>
      </c>
      <c r="I1879">
        <f>SUMIF(Table25[[#All],[Assets]],Table25[[#This Row],[Assets]],Table25[[#All],[Bought Amount]])</f>
        <v>5840.9900000000007</v>
      </c>
      <c r="J1879" s="88">
        <f>IF(Table25[[#This Row],[Number of stocks]]&lt;0,Table25[[#This Row],[Number of stocks]],0)</f>
        <v>-40</v>
      </c>
      <c r="K1879" s="5">
        <f>Table25[[#This Row],[Sold]]*Table25[[#This Row],[Price]]</f>
        <v>-512.79999999999995</v>
      </c>
      <c r="L1879" s="8">
        <f>ABS(SUMIF(Table25[[#All],[Assets]],Table25[[#This Row],[Assets]],Table25[[#All],[Sold]]))</f>
        <v>436</v>
      </c>
      <c r="M1879" s="5">
        <f>ABS(SUMIF(Table25[[#All],[Assets]],Table25[[#This Row],[Assets]],Table25[[#All],[Sold Amount]]))</f>
        <v>5546.6</v>
      </c>
      <c r="N1879" s="5">
        <f>IFERROR(Table25[[#This Row],[Total sold amount]]/Table25[[#This Row],[Total Sold number of stocks]],"")</f>
        <v>12.721559633027523</v>
      </c>
      <c r="O1879" s="4">
        <f>IFERROR(Table25[[#This Row],[Total Amount bought]]/Table25[[#This Row],[Total number bought]],"")</f>
        <v>13.396766055045873</v>
      </c>
      <c r="P1879" s="4">
        <f>IFERROR((Table25[[#This Row],[Average sell price]]-Table25[[#This Row],[Average buy price]])*Table25[[#This Row],[Total Sold number of stocks]],0)</f>
        <v>-294.39000000000073</v>
      </c>
      <c r="Q1879" s="85">
        <f>SUMIF(Table25[[#All],[Assets]],Table25[[#This Row],[Assets]],Table25[[#All],[Number of stocks]])</f>
        <v>0</v>
      </c>
    </row>
    <row r="1880" spans="1:17">
      <c r="A1880" t="e" vm="178">
        <v>#VALUE!</v>
      </c>
      <c r="B1880" s="2">
        <v>45985</v>
      </c>
      <c r="C1880" t="str" cm="1">
        <f t="array" aca="1" ref="C1880" ca="1">_FV(A1880,"Ticker symbol",TRUE)</f>
        <v>MARA</v>
      </c>
      <c r="D1880" s="4">
        <v>11.16</v>
      </c>
      <c r="E1880" s="50">
        <v>47</v>
      </c>
      <c r="F1880" s="81">
        <f>IF(Table25[[#This Row],[Number of stocks]]&gt;0,Table25[[#This Row],[Number of stocks]],0)</f>
        <v>47</v>
      </c>
      <c r="G1880" s="73">
        <f>Table25[[#This Row],[Bought]]*Table25[[#This Row],[Price]]</f>
        <v>524.52</v>
      </c>
      <c r="H1880">
        <f>SUMIF(Table25[[#All],[Assets]],Table25[[#This Row],[Assets]],Table25[[#All],[Bought]])</f>
        <v>586</v>
      </c>
      <c r="I1880">
        <f>SUMIF(Table25[[#All],[Assets]],Table25[[#This Row],[Assets]],Table25[[#All],[Bought Amount]])</f>
        <v>6128.42</v>
      </c>
      <c r="J1880" s="88">
        <f>IF(Table25[[#This Row],[Number of stocks]]&lt;0,Table25[[#This Row],[Number of stocks]],0)</f>
        <v>0</v>
      </c>
      <c r="K1880" s="5">
        <f>Table25[[#This Row],[Sold]]*Table25[[#This Row],[Price]]</f>
        <v>0</v>
      </c>
      <c r="L1880" s="8">
        <f>ABS(SUMIF(Table25[[#All],[Assets]],Table25[[#This Row],[Assets]],Table25[[#All],[Sold]]))</f>
        <v>79</v>
      </c>
      <c r="M1880" s="5">
        <f>ABS(SUMIF(Table25[[#All],[Assets]],Table25[[#This Row],[Assets]],Table25[[#All],[Sold Amount]]))</f>
        <v>634.37</v>
      </c>
      <c r="N1880" s="5">
        <f>IFERROR(Table25[[#This Row],[Total sold amount]]/Table25[[#This Row],[Total Sold number of stocks]],"")</f>
        <v>8.0299999999999994</v>
      </c>
      <c r="O1880" s="4">
        <f>IFERROR(Table25[[#This Row],[Total Amount bought]]/Table25[[#This Row],[Total number bought]],"")</f>
        <v>10.458054607508533</v>
      </c>
      <c r="P1880" s="4">
        <f>IFERROR((Table25[[#This Row],[Average sell price]]-Table25[[#This Row],[Average buy price]])*Table25[[#This Row],[Total Sold number of stocks]],0)</f>
        <v>-191.81631399317416</v>
      </c>
      <c r="Q1880" s="85">
        <f>SUMIF(Table25[[#All],[Assets]],Table25[[#This Row],[Assets]],Table25[[#All],[Number of stocks]])</f>
        <v>507</v>
      </c>
    </row>
    <row r="1881" spans="1:17">
      <c r="A1881" t="e" vm="190">
        <v>#VALUE!</v>
      </c>
      <c r="B1881" s="2">
        <v>45985</v>
      </c>
      <c r="C1881" t="str" cm="1">
        <f t="array" aca="1" ref="C1881" ca="1">_FV(A1881,"Ticker symbol",TRUE)</f>
        <v>LASR</v>
      </c>
      <c r="D1881" s="4">
        <v>32.28</v>
      </c>
      <c r="E1881" s="50">
        <v>-10</v>
      </c>
      <c r="F1881" s="81">
        <f>IF(Table25[[#This Row],[Number of stocks]]&gt;0,Table25[[#This Row],[Number of stocks]],0)</f>
        <v>0</v>
      </c>
      <c r="G1881" s="73">
        <f>Table25[[#This Row],[Bought]]*Table25[[#This Row],[Price]]</f>
        <v>0</v>
      </c>
      <c r="H1881">
        <f>SUMIF(Table25[[#All],[Assets]],Table25[[#This Row],[Assets]],Table25[[#All],[Bought]])</f>
        <v>59</v>
      </c>
      <c r="I1881">
        <f>SUMIF(Table25[[#All],[Assets]],Table25[[#This Row],[Assets]],Table25[[#All],[Bought Amount]])</f>
        <v>2261.08</v>
      </c>
      <c r="J1881" s="88">
        <f>IF(Table25[[#This Row],[Number of stocks]]&lt;0,Table25[[#This Row],[Number of stocks]],0)</f>
        <v>-10</v>
      </c>
      <c r="K1881" s="5">
        <f>Table25[[#This Row],[Sold]]*Table25[[#This Row],[Price]]</f>
        <v>-322.8</v>
      </c>
      <c r="L1881" s="8">
        <f>ABS(SUMIF(Table25[[#All],[Assets]],Table25[[#This Row],[Assets]],Table25[[#All],[Sold]]))</f>
        <v>10</v>
      </c>
      <c r="M1881" s="5">
        <f>ABS(SUMIF(Table25[[#All],[Assets]],Table25[[#This Row],[Assets]],Table25[[#All],[Sold Amount]]))</f>
        <v>322.8</v>
      </c>
      <c r="N1881" s="5">
        <f>IFERROR(Table25[[#This Row],[Total sold amount]]/Table25[[#This Row],[Total Sold number of stocks]],"")</f>
        <v>32.28</v>
      </c>
      <c r="O1881" s="4">
        <f>IFERROR(Table25[[#This Row],[Total Amount bought]]/Table25[[#This Row],[Total number bought]],"")</f>
        <v>38.323389830508475</v>
      </c>
      <c r="P1881" s="4">
        <f>IFERROR((Table25[[#This Row],[Average sell price]]-Table25[[#This Row],[Average buy price]])*Table25[[#This Row],[Total Sold number of stocks]],0)</f>
        <v>-60.433898305084739</v>
      </c>
      <c r="Q1881" s="85">
        <f>SUMIF(Table25[[#All],[Assets]],Table25[[#This Row],[Assets]],Table25[[#All],[Number of stocks]])</f>
        <v>49</v>
      </c>
    </row>
    <row r="1882" spans="1:17">
      <c r="A1882" t="e" vm="75">
        <v>#VALUE!</v>
      </c>
      <c r="B1882" s="2">
        <v>45985</v>
      </c>
      <c r="C1882" t="str" cm="1">
        <f t="array" aca="1" ref="C1882" ca="1">_FV(A1882,"Ticker symbol",TRUE)</f>
        <v>QTRX</v>
      </c>
      <c r="D1882" s="4">
        <v>7.02</v>
      </c>
      <c r="E1882" s="50">
        <v>40</v>
      </c>
      <c r="F1882" s="81">
        <f>IF(Table25[[#This Row],[Number of stocks]]&gt;0,Table25[[#This Row],[Number of stocks]],0)</f>
        <v>40</v>
      </c>
      <c r="G1882" s="73">
        <f>Table25[[#This Row],[Bought]]*Table25[[#This Row],[Price]]</f>
        <v>280.79999999999995</v>
      </c>
      <c r="H1882">
        <f>SUMIF(Table25[[#All],[Assets]],Table25[[#This Row],[Assets]],Table25[[#All],[Bought]])</f>
        <v>1492</v>
      </c>
      <c r="I1882">
        <f>SUMIF(Table25[[#All],[Assets]],Table25[[#This Row],[Assets]],Table25[[#All],[Bought Amount]])</f>
        <v>10313.249999999998</v>
      </c>
      <c r="J1882" s="88">
        <f>IF(Table25[[#This Row],[Number of stocks]]&lt;0,Table25[[#This Row],[Number of stocks]],0)</f>
        <v>0</v>
      </c>
      <c r="K1882" s="5">
        <f>Table25[[#This Row],[Sold]]*Table25[[#This Row],[Price]]</f>
        <v>0</v>
      </c>
      <c r="L1882" s="8">
        <f>ABS(SUMIF(Table25[[#All],[Assets]],Table25[[#This Row],[Assets]],Table25[[#All],[Sold]]))</f>
        <v>1492</v>
      </c>
      <c r="M1882" s="5">
        <f>ABS(SUMIF(Table25[[#All],[Assets]],Table25[[#This Row],[Assets]],Table25[[#All],[Sold Amount]]))</f>
        <v>8408.35</v>
      </c>
      <c r="N1882" s="5">
        <f>IFERROR(Table25[[#This Row],[Total sold amount]]/Table25[[#This Row],[Total Sold number of stocks]],"")</f>
        <v>5.635623324396783</v>
      </c>
      <c r="O1882" s="4">
        <f>IFERROR(Table25[[#This Row],[Total Amount bought]]/Table25[[#This Row],[Total number bought]],"")</f>
        <v>6.9123659517426264</v>
      </c>
      <c r="P1882" s="4">
        <f>IFERROR((Table25[[#This Row],[Average sell price]]-Table25[[#This Row],[Average buy price]])*Table25[[#This Row],[Total Sold number of stocks]],0)</f>
        <v>-1904.8999999999983</v>
      </c>
      <c r="Q1882" s="85">
        <f>SUMIF(Table25[[#All],[Assets]],Table25[[#This Row],[Assets]],Table25[[#All],[Number of stocks]])</f>
        <v>0</v>
      </c>
    </row>
    <row r="1883" spans="1:17">
      <c r="A1883" t="e" vm="75">
        <v>#VALUE!</v>
      </c>
      <c r="B1883" s="2">
        <v>45985</v>
      </c>
      <c r="C1883" t="str" cm="1">
        <f t="array" aca="1" ref="C1883" ca="1">_FV(A1883,"Ticker symbol",TRUE)</f>
        <v>QTRX</v>
      </c>
      <c r="D1883" s="4">
        <v>7.01</v>
      </c>
      <c r="E1883" s="50">
        <v>7</v>
      </c>
      <c r="F1883" s="81">
        <f>IF(Table25[[#This Row],[Number of stocks]]&gt;0,Table25[[#This Row],[Number of stocks]],0)</f>
        <v>7</v>
      </c>
      <c r="G1883" s="73">
        <f>Table25[[#This Row],[Bought]]*Table25[[#This Row],[Price]]</f>
        <v>49.07</v>
      </c>
      <c r="H1883">
        <f>SUMIF(Table25[[#All],[Assets]],Table25[[#This Row],[Assets]],Table25[[#All],[Bought]])</f>
        <v>1492</v>
      </c>
      <c r="I1883">
        <f>SUMIF(Table25[[#All],[Assets]],Table25[[#This Row],[Assets]],Table25[[#All],[Bought Amount]])</f>
        <v>10313.249999999998</v>
      </c>
      <c r="J1883" s="88">
        <f>IF(Table25[[#This Row],[Number of stocks]]&lt;0,Table25[[#This Row],[Number of stocks]],0)</f>
        <v>0</v>
      </c>
      <c r="K1883" s="5">
        <f>Table25[[#This Row],[Sold]]*Table25[[#This Row],[Price]]</f>
        <v>0</v>
      </c>
      <c r="L1883" s="8">
        <f>ABS(SUMIF(Table25[[#All],[Assets]],Table25[[#This Row],[Assets]],Table25[[#All],[Sold]]))</f>
        <v>1492</v>
      </c>
      <c r="M1883" s="5">
        <f>ABS(SUMIF(Table25[[#All],[Assets]],Table25[[#This Row],[Assets]],Table25[[#All],[Sold Amount]]))</f>
        <v>8408.35</v>
      </c>
      <c r="N1883" s="5">
        <f>IFERROR(Table25[[#This Row],[Total sold amount]]/Table25[[#This Row],[Total Sold number of stocks]],"")</f>
        <v>5.635623324396783</v>
      </c>
      <c r="O1883" s="4">
        <f>IFERROR(Table25[[#This Row],[Total Amount bought]]/Table25[[#This Row],[Total number bought]],"")</f>
        <v>6.9123659517426264</v>
      </c>
      <c r="P1883" s="4">
        <f>IFERROR((Table25[[#This Row],[Average sell price]]-Table25[[#This Row],[Average buy price]])*Table25[[#This Row],[Total Sold number of stocks]],0)</f>
        <v>-1904.8999999999983</v>
      </c>
      <c r="Q1883" s="85">
        <f>SUMIF(Table25[[#All],[Assets]],Table25[[#This Row],[Assets]],Table25[[#All],[Number of stocks]])</f>
        <v>0</v>
      </c>
    </row>
    <row r="1884" spans="1:17">
      <c r="A1884" t="e" vm="273">
        <v>#VALUE!</v>
      </c>
      <c r="B1884" s="2">
        <v>45986</v>
      </c>
      <c r="C1884" t="str" cm="1">
        <f t="array" aca="1" ref="C1884" ca="1">_FV(A1884,"Ticker symbol",TRUE)</f>
        <v>CVRX</v>
      </c>
      <c r="D1884" s="4">
        <v>9.92</v>
      </c>
      <c r="E1884" s="50">
        <v>-25</v>
      </c>
      <c r="F1884" s="81">
        <f>IF(Table25[[#This Row],[Number of stocks]]&gt;0,Table25[[#This Row],[Number of stocks]],0)</f>
        <v>0</v>
      </c>
      <c r="G1884" s="73">
        <f>Table25[[#This Row],[Bought]]*Table25[[#This Row],[Price]]</f>
        <v>0</v>
      </c>
      <c r="H1884">
        <f>SUMIF(Table25[[#All],[Assets]],Table25[[#This Row],[Assets]],Table25[[#All],[Bought]])</f>
        <v>560</v>
      </c>
      <c r="I1884">
        <f>SUMIF(Table25[[#All],[Assets]],Table25[[#This Row],[Assets]],Table25[[#All],[Bought Amount]])</f>
        <v>5451</v>
      </c>
      <c r="J1884" s="88">
        <f>IF(Table25[[#This Row],[Number of stocks]]&lt;0,Table25[[#This Row],[Number of stocks]],0)</f>
        <v>-25</v>
      </c>
      <c r="K1884" s="5">
        <f>Table25[[#This Row],[Sold]]*Table25[[#This Row],[Price]]</f>
        <v>-248</v>
      </c>
      <c r="L1884" s="8">
        <f>ABS(SUMIF(Table25[[#All],[Assets]],Table25[[#This Row],[Assets]],Table25[[#All],[Sold]]))</f>
        <v>560</v>
      </c>
      <c r="M1884" s="5">
        <f>ABS(SUMIF(Table25[[#All],[Assets]],Table25[[#This Row],[Assets]],Table25[[#All],[Sold Amount]]))</f>
        <v>4910.5499999999993</v>
      </c>
      <c r="N1884" s="5">
        <f>IFERROR(Table25[[#This Row],[Total sold amount]]/Table25[[#This Row],[Total Sold number of stocks]],"")</f>
        <v>8.7688392857142841</v>
      </c>
      <c r="O1884" s="4">
        <f>IFERROR(Table25[[#This Row],[Total Amount bought]]/Table25[[#This Row],[Total number bought]],"")</f>
        <v>9.7339285714285708</v>
      </c>
      <c r="P1884" s="4">
        <f>IFERROR((Table25[[#This Row],[Average sell price]]-Table25[[#This Row],[Average buy price]])*Table25[[#This Row],[Total Sold number of stocks]],0)</f>
        <v>-540.45000000000061</v>
      </c>
      <c r="Q1884" s="85">
        <f>SUMIF(Table25[[#All],[Assets]],Table25[[#This Row],[Assets]],Table25[[#All],[Number of stocks]])</f>
        <v>0</v>
      </c>
    </row>
    <row r="1885" spans="1:17">
      <c r="A1885" t="e" vm="216">
        <v>#VALUE!</v>
      </c>
      <c r="B1885" s="2">
        <v>45986</v>
      </c>
      <c r="C1885" t="str" cm="1">
        <f t="array" aca="1" ref="C1885" ca="1">_FV(A1885,"Ticker symbol",TRUE)</f>
        <v>INSG</v>
      </c>
      <c r="D1885" s="4">
        <v>10.85</v>
      </c>
      <c r="E1885" s="50">
        <v>-40</v>
      </c>
      <c r="F1885" s="81">
        <f>IF(Table25[[#This Row],[Number of stocks]]&gt;0,Table25[[#This Row],[Number of stocks]],0)</f>
        <v>0</v>
      </c>
      <c r="G1885" s="73">
        <f>Table25[[#This Row],[Bought]]*Table25[[#This Row],[Price]]</f>
        <v>0</v>
      </c>
      <c r="H1885">
        <f>SUMIF(Table25[[#All],[Assets]],Table25[[#This Row],[Assets]],Table25[[#All],[Bought]])</f>
        <v>310</v>
      </c>
      <c r="I1885">
        <f>SUMIF(Table25[[#All],[Assets]],Table25[[#This Row],[Assets]],Table25[[#All],[Bought Amount]])</f>
        <v>3450.2</v>
      </c>
      <c r="J1885" s="88">
        <f>IF(Table25[[#This Row],[Number of stocks]]&lt;0,Table25[[#This Row],[Number of stocks]],0)</f>
        <v>-40</v>
      </c>
      <c r="K1885" s="5">
        <f>Table25[[#This Row],[Sold]]*Table25[[#This Row],[Price]]</f>
        <v>-434</v>
      </c>
      <c r="L1885" s="8">
        <f>ABS(SUMIF(Table25[[#All],[Assets]],Table25[[#This Row],[Assets]],Table25[[#All],[Sold]]))</f>
        <v>310</v>
      </c>
      <c r="M1885" s="5">
        <f>ABS(SUMIF(Table25[[#All],[Assets]],Table25[[#This Row],[Assets]],Table25[[#All],[Sold Amount]]))</f>
        <v>3081.5</v>
      </c>
      <c r="N1885" s="5">
        <f>IFERROR(Table25[[#This Row],[Total sold amount]]/Table25[[#This Row],[Total Sold number of stocks]],"")</f>
        <v>9.9403225806451605</v>
      </c>
      <c r="O1885" s="4">
        <f>IFERROR(Table25[[#This Row],[Total Amount bought]]/Table25[[#This Row],[Total number bought]],"")</f>
        <v>11.129677419354838</v>
      </c>
      <c r="P1885" s="4">
        <f>IFERROR((Table25[[#This Row],[Average sell price]]-Table25[[#This Row],[Average buy price]])*Table25[[#This Row],[Total Sold number of stocks]],0)</f>
        <v>-368.70000000000005</v>
      </c>
      <c r="Q1885" s="85">
        <f>SUMIF(Table25[[#All],[Assets]],Table25[[#This Row],[Assets]],Table25[[#All],[Number of stocks]])</f>
        <v>0</v>
      </c>
    </row>
    <row r="1886" spans="1:17">
      <c r="A1886" t="e" vm="586">
        <v>#VALUE!</v>
      </c>
      <c r="B1886" s="2">
        <v>45986</v>
      </c>
      <c r="C1886" t="str" cm="1">
        <f t="array" aca="1" ref="C1886" ca="1">_FV(A1886,"Ticker symbol",TRUE)</f>
        <v>CAVA</v>
      </c>
      <c r="D1886" s="4">
        <v>48.39</v>
      </c>
      <c r="E1886" s="50">
        <v>13</v>
      </c>
      <c r="F1886" s="81">
        <f>IF(Table25[[#This Row],[Number of stocks]]&gt;0,Table25[[#This Row],[Number of stocks]],0)</f>
        <v>13</v>
      </c>
      <c r="G1886" s="73">
        <f>Table25[[#This Row],[Bought]]*Table25[[#This Row],[Price]]</f>
        <v>629.07000000000005</v>
      </c>
      <c r="H1886">
        <f>SUMIF(Table25[[#All],[Assets]],Table25[[#This Row],[Assets]],Table25[[#All],[Bought]])</f>
        <v>18</v>
      </c>
      <c r="I1886">
        <f>SUMIF(Table25[[#All],[Assets]],Table25[[#This Row],[Assets]],Table25[[#All],[Bought Amount]])</f>
        <v>871.07</v>
      </c>
      <c r="J1886" s="88">
        <f>IF(Table25[[#This Row],[Number of stocks]]&lt;0,Table25[[#This Row],[Number of stocks]],0)</f>
        <v>0</v>
      </c>
      <c r="K1886" s="5">
        <f>Table25[[#This Row],[Sold]]*Table25[[#This Row],[Price]]</f>
        <v>0</v>
      </c>
      <c r="L1886" s="8">
        <f>ABS(SUMIF(Table25[[#All],[Assets]],Table25[[#This Row],[Assets]],Table25[[#All],[Sold]]))</f>
        <v>18</v>
      </c>
      <c r="M1886" s="5">
        <f>ABS(SUMIF(Table25[[#All],[Assets]],Table25[[#This Row],[Assets]],Table25[[#All],[Sold Amount]]))</f>
        <v>1117.32</v>
      </c>
      <c r="N1886" s="5">
        <f>IFERROR(Table25[[#This Row],[Total sold amount]]/Table25[[#This Row],[Total Sold number of stocks]],"")</f>
        <v>62.073333333333331</v>
      </c>
      <c r="O1886" s="4">
        <f>IFERROR(Table25[[#This Row],[Total Amount bought]]/Table25[[#This Row],[Total number bought]],"")</f>
        <v>48.392777777777781</v>
      </c>
      <c r="P1886" s="4">
        <f>IFERROR((Table25[[#This Row],[Average sell price]]-Table25[[#This Row],[Average buy price]])*Table25[[#This Row],[Total Sold number of stocks]],0)</f>
        <v>246.24999999999989</v>
      </c>
      <c r="Q1886" s="85">
        <f>SUMIF(Table25[[#All],[Assets]],Table25[[#This Row],[Assets]],Table25[[#All],[Number of stocks]])</f>
        <v>0</v>
      </c>
    </row>
    <row r="1887" spans="1:17">
      <c r="A1887" t="e" vm="586">
        <v>#VALUE!</v>
      </c>
      <c r="B1887" s="2">
        <v>45986</v>
      </c>
      <c r="C1887" t="str" cm="1">
        <f t="array" aca="1" ref="C1887" ca="1">_FV(A1887,"Ticker symbol",TRUE)</f>
        <v>CAVA</v>
      </c>
      <c r="D1887" s="4">
        <v>48.4</v>
      </c>
      <c r="E1887" s="50">
        <v>5</v>
      </c>
      <c r="F1887" s="81">
        <f>IF(Table25[[#This Row],[Number of stocks]]&gt;0,Table25[[#This Row],[Number of stocks]],0)</f>
        <v>5</v>
      </c>
      <c r="G1887" s="73">
        <f>Table25[[#This Row],[Bought]]*Table25[[#This Row],[Price]]</f>
        <v>242</v>
      </c>
      <c r="H1887">
        <f>SUMIF(Table25[[#All],[Assets]],Table25[[#This Row],[Assets]],Table25[[#All],[Bought]])</f>
        <v>18</v>
      </c>
      <c r="I1887">
        <f>SUMIF(Table25[[#All],[Assets]],Table25[[#This Row],[Assets]],Table25[[#All],[Bought Amount]])</f>
        <v>871.07</v>
      </c>
      <c r="J1887" s="88">
        <f>IF(Table25[[#This Row],[Number of stocks]]&lt;0,Table25[[#This Row],[Number of stocks]],0)</f>
        <v>0</v>
      </c>
      <c r="K1887" s="5">
        <f>Table25[[#This Row],[Sold]]*Table25[[#This Row],[Price]]</f>
        <v>0</v>
      </c>
      <c r="L1887" s="8">
        <f>ABS(SUMIF(Table25[[#All],[Assets]],Table25[[#This Row],[Assets]],Table25[[#All],[Sold]]))</f>
        <v>18</v>
      </c>
      <c r="M1887" s="5">
        <f>ABS(SUMIF(Table25[[#All],[Assets]],Table25[[#This Row],[Assets]],Table25[[#All],[Sold Amount]]))</f>
        <v>1117.32</v>
      </c>
      <c r="N1887" s="5">
        <f>IFERROR(Table25[[#This Row],[Total sold amount]]/Table25[[#This Row],[Total Sold number of stocks]],"")</f>
        <v>62.073333333333331</v>
      </c>
      <c r="O1887" s="4">
        <f>IFERROR(Table25[[#This Row],[Total Amount bought]]/Table25[[#This Row],[Total number bought]],"")</f>
        <v>48.392777777777781</v>
      </c>
      <c r="P1887" s="4">
        <f>IFERROR((Table25[[#This Row],[Average sell price]]-Table25[[#This Row],[Average buy price]])*Table25[[#This Row],[Total Sold number of stocks]],0)</f>
        <v>246.24999999999989</v>
      </c>
      <c r="Q1887" s="85">
        <f>SUMIF(Table25[[#All],[Assets]],Table25[[#This Row],[Assets]],Table25[[#All],[Number of stocks]])</f>
        <v>0</v>
      </c>
    </row>
    <row r="1888" spans="1:17">
      <c r="A1888" t="e" vm="206">
        <v>#VALUE!</v>
      </c>
      <c r="B1888" s="2">
        <v>45987</v>
      </c>
      <c r="C1888" t="str" cm="1">
        <f t="array" aca="1" ref="C1888" ca="1">_FV(A1888,"Ticker symbol",TRUE)</f>
        <v>MOB</v>
      </c>
      <c r="D1888" s="4">
        <v>5.98</v>
      </c>
      <c r="E1888" s="50">
        <v>-42</v>
      </c>
      <c r="F1888" s="81">
        <f>IF(Table25[[#This Row],[Number of stocks]]&gt;0,Table25[[#This Row],[Number of stocks]],0)</f>
        <v>0</v>
      </c>
      <c r="G1888" s="73">
        <f>Table25[[#This Row],[Bought]]*Table25[[#This Row],[Price]]</f>
        <v>0</v>
      </c>
      <c r="H1888">
        <f>SUMIF(Table25[[#All],[Assets]],Table25[[#This Row],[Assets]],Table25[[#All],[Bought]])</f>
        <v>192</v>
      </c>
      <c r="I1888">
        <f>SUMIF(Table25[[#All],[Assets]],Table25[[#This Row],[Assets]],Table25[[#All],[Bought Amount]])</f>
        <v>942.72</v>
      </c>
      <c r="J1888" s="88">
        <f>IF(Table25[[#This Row],[Number of stocks]]&lt;0,Table25[[#This Row],[Number of stocks]],0)</f>
        <v>-42</v>
      </c>
      <c r="K1888" s="5">
        <f>Table25[[#This Row],[Sold]]*Table25[[#This Row],[Price]]</f>
        <v>-251.16000000000003</v>
      </c>
      <c r="L1888" s="8">
        <f>ABS(SUMIF(Table25[[#All],[Assets]],Table25[[#This Row],[Assets]],Table25[[#All],[Sold]]))</f>
        <v>92</v>
      </c>
      <c r="M1888" s="5">
        <f>ABS(SUMIF(Table25[[#All],[Assets]],Table25[[#This Row],[Assets]],Table25[[#All],[Sold Amount]]))</f>
        <v>657.16</v>
      </c>
      <c r="N1888" s="5">
        <f>IFERROR(Table25[[#This Row],[Total sold amount]]/Table25[[#This Row],[Total Sold number of stocks]],"")</f>
        <v>7.1430434782608696</v>
      </c>
      <c r="O1888" s="4">
        <f>IFERROR(Table25[[#This Row],[Total Amount bought]]/Table25[[#This Row],[Total number bought]],"")</f>
        <v>4.91</v>
      </c>
      <c r="P1888" s="4">
        <f>IFERROR((Table25[[#This Row],[Average sell price]]-Table25[[#This Row],[Average buy price]])*Table25[[#This Row],[Total Sold number of stocks]],0)</f>
        <v>205.44</v>
      </c>
      <c r="Q1888" s="85">
        <f>SUMIF(Table25[[#All],[Assets]],Table25[[#This Row],[Assets]],Table25[[#All],[Number of stocks]])</f>
        <v>100</v>
      </c>
    </row>
    <row r="1889" spans="1:17">
      <c r="A1889" t="e" vm="179">
        <v>#VALUE!</v>
      </c>
      <c r="B1889" s="2">
        <v>45992</v>
      </c>
      <c r="C1889" t="str" cm="1">
        <f t="array" aca="1" ref="C1889" ca="1">_FV(A1889,"Ticker symbol",TRUE)</f>
        <v>ET</v>
      </c>
      <c r="D1889" s="4">
        <v>16.739999999999998</v>
      </c>
      <c r="E1889" s="50">
        <v>-20</v>
      </c>
      <c r="F1889" s="81">
        <f>IF(Table25[[#This Row],[Number of stocks]]&gt;0,Table25[[#This Row],[Number of stocks]],0)</f>
        <v>0</v>
      </c>
      <c r="G1889" s="73">
        <f>Table25[[#This Row],[Bought]]*Table25[[#This Row],[Price]]</f>
        <v>0</v>
      </c>
      <c r="H1889">
        <f>SUMIF(Table25[[#All],[Assets]],Table25[[#This Row],[Assets]],Table25[[#All],[Bought]])</f>
        <v>345</v>
      </c>
      <c r="I1889">
        <f>SUMIF(Table25[[#All],[Assets]],Table25[[#This Row],[Assets]],Table25[[#All],[Bought Amount]])</f>
        <v>5878.3</v>
      </c>
      <c r="J1889" s="88">
        <f>IF(Table25[[#This Row],[Number of stocks]]&lt;0,Table25[[#This Row],[Number of stocks]],0)</f>
        <v>-20</v>
      </c>
      <c r="K1889" s="5">
        <f>Table25[[#This Row],[Sold]]*Table25[[#This Row],[Price]]</f>
        <v>-334.79999999999995</v>
      </c>
      <c r="L1889" s="8">
        <f>ABS(SUMIF(Table25[[#All],[Assets]],Table25[[#This Row],[Assets]],Table25[[#All],[Sold]]))</f>
        <v>40</v>
      </c>
      <c r="M1889" s="5">
        <f>ABS(SUMIF(Table25[[#All],[Assets]],Table25[[#This Row],[Assets]],Table25[[#All],[Sold Amount]]))</f>
        <v>660.8</v>
      </c>
      <c r="N1889" s="5">
        <f>IFERROR(Table25[[#This Row],[Total sold amount]]/Table25[[#This Row],[Total Sold number of stocks]],"")</f>
        <v>16.52</v>
      </c>
      <c r="O1889" s="4">
        <f>IFERROR(Table25[[#This Row],[Total Amount bought]]/Table25[[#This Row],[Total number bought]],"")</f>
        <v>17.03855072463768</v>
      </c>
      <c r="P1889" s="4">
        <f>IFERROR((Table25[[#This Row],[Average sell price]]-Table25[[#This Row],[Average buy price]])*Table25[[#This Row],[Total Sold number of stocks]],0)</f>
        <v>-20.742028985507233</v>
      </c>
      <c r="Q1889" s="85">
        <f>SUMIF(Table25[[#All],[Assets]],Table25[[#This Row],[Assets]],Table25[[#All],[Number of stocks]])</f>
        <v>305</v>
      </c>
    </row>
    <row r="1890" spans="1:17">
      <c r="A1890" t="e" vm="162">
        <v>#VALUE!</v>
      </c>
      <c r="B1890" s="2">
        <v>45992</v>
      </c>
      <c r="C1890" t="str" cm="1">
        <f t="array" aca="1" ref="C1890" ca="1">_FV(A1890,"Ticker symbol",TRUE)</f>
        <v>APA</v>
      </c>
      <c r="D1890" s="4">
        <v>25.36</v>
      </c>
      <c r="E1890" s="50">
        <v>10</v>
      </c>
      <c r="F1890" s="81">
        <f>IF(Table25[[#This Row],[Number of stocks]]&gt;0,Table25[[#This Row],[Number of stocks]],0)</f>
        <v>10</v>
      </c>
      <c r="G1890" s="73">
        <f>Table25[[#This Row],[Bought]]*Table25[[#This Row],[Price]]</f>
        <v>253.6</v>
      </c>
      <c r="H1890">
        <f>SUMIF(Table25[[#All],[Assets]],Table25[[#This Row],[Assets]],Table25[[#All],[Bought]])</f>
        <v>87.289999999999992</v>
      </c>
      <c r="I1890">
        <f>SUMIF(Table25[[#All],[Assets]],Table25[[#This Row],[Assets]],Table25[[#All],[Bought Amount]])</f>
        <v>2368.7374999999997</v>
      </c>
      <c r="J1890" s="88">
        <f>IF(Table25[[#This Row],[Number of stocks]]&lt;0,Table25[[#This Row],[Number of stocks]],0)</f>
        <v>0</v>
      </c>
      <c r="K1890" s="5">
        <f>Table25[[#This Row],[Sold]]*Table25[[#This Row],[Price]]</f>
        <v>0</v>
      </c>
      <c r="L1890" s="8">
        <f>ABS(SUMIF(Table25[[#All],[Assets]],Table25[[#This Row],[Assets]],Table25[[#All],[Sold]]))</f>
        <v>87.289999999999992</v>
      </c>
      <c r="M1890" s="5">
        <f>ABS(SUMIF(Table25[[#All],[Assets]],Table25[[#This Row],[Assets]],Table25[[#All],[Sold Amount]]))</f>
        <v>2259.0844999999999</v>
      </c>
      <c r="N1890" s="5">
        <f>IFERROR(Table25[[#This Row],[Total sold amount]]/Table25[[#This Row],[Total Sold number of stocks]],"")</f>
        <v>25.880221102073548</v>
      </c>
      <c r="O1890" s="4">
        <f>IFERROR(Table25[[#This Row],[Total Amount bought]]/Table25[[#This Row],[Total number bought]],"")</f>
        <v>27.136413105739489</v>
      </c>
      <c r="P1890" s="4">
        <f>IFERROR((Table25[[#This Row],[Average sell price]]-Table25[[#This Row],[Average buy price]])*Table25[[#This Row],[Total Sold number of stocks]],0)</f>
        <v>-109.65299999999996</v>
      </c>
      <c r="Q1890" s="85">
        <f>SUMIF(Table25[[#All],[Assets]],Table25[[#This Row],[Assets]],Table25[[#All],[Number of stocks]])</f>
        <v>0</v>
      </c>
    </row>
    <row r="1891" spans="1:17">
      <c r="A1891" t="e" vm="181">
        <v>#VALUE!</v>
      </c>
      <c r="B1891" s="2">
        <v>45994</v>
      </c>
      <c r="C1891" t="str" cm="1">
        <f t="array" aca="1" ref="C1891" ca="1">_FV(A1891,"Ticker symbol",TRUE)</f>
        <v>TIC</v>
      </c>
      <c r="D1891" s="4">
        <v>9.4700000000000006</v>
      </c>
      <c r="E1891" s="50">
        <v>-120</v>
      </c>
      <c r="F1891" s="81">
        <f>IF(Table25[[#This Row],[Number of stocks]]&gt;0,Table25[[#This Row],[Number of stocks]],0)</f>
        <v>0</v>
      </c>
      <c r="G1891" s="73">
        <f>Table25[[#This Row],[Bought]]*Table25[[#This Row],[Price]]</f>
        <v>0</v>
      </c>
      <c r="H1891">
        <f>SUMIF(Table25[[#All],[Assets]],Table25[[#This Row],[Assets]],Table25[[#All],[Bought]])</f>
        <v>487</v>
      </c>
      <c r="I1891">
        <f>SUMIF(Table25[[#All],[Assets]],Table25[[#This Row],[Assets]],Table25[[#All],[Bought Amount]])</f>
        <v>6140.8099999999995</v>
      </c>
      <c r="J1891" s="88">
        <f>IF(Table25[[#This Row],[Number of stocks]]&lt;0,Table25[[#This Row],[Number of stocks]],0)</f>
        <v>-120</v>
      </c>
      <c r="K1891" s="5">
        <f>Table25[[#This Row],[Sold]]*Table25[[#This Row],[Price]]</f>
        <v>-1136.4000000000001</v>
      </c>
      <c r="L1891" s="8">
        <f>ABS(SUMIF(Table25[[#All],[Assets]],Table25[[#This Row],[Assets]],Table25[[#All],[Sold]]))</f>
        <v>397</v>
      </c>
      <c r="M1891" s="5">
        <f>ABS(SUMIF(Table25[[#All],[Assets]],Table25[[#This Row],[Assets]],Table25[[#All],[Sold Amount]]))</f>
        <v>3999.4</v>
      </c>
      <c r="N1891" s="5">
        <f>IFERROR(Table25[[#This Row],[Total sold amount]]/Table25[[#This Row],[Total Sold number of stocks]],"")</f>
        <v>10.074055415617128</v>
      </c>
      <c r="O1891" s="4">
        <f>IFERROR(Table25[[#This Row],[Total Amount bought]]/Table25[[#This Row],[Total number bought]],"")</f>
        <v>12.609466119096508</v>
      </c>
      <c r="P1891" s="4">
        <f>IFERROR((Table25[[#This Row],[Average sell price]]-Table25[[#This Row],[Average buy price]])*Table25[[#This Row],[Total Sold number of stocks]],0)</f>
        <v>-1006.558049281314</v>
      </c>
      <c r="Q1891" s="85">
        <f>SUMIF(Table25[[#All],[Assets]],Table25[[#This Row],[Assets]],Table25[[#All],[Number of stocks]])</f>
        <v>90</v>
      </c>
    </row>
    <row r="1892" spans="1:17">
      <c r="A1892" t="e" vm="162">
        <v>#VALUE!</v>
      </c>
      <c r="B1892" s="2">
        <v>45994</v>
      </c>
      <c r="C1892" t="str" cm="1">
        <f t="array" aca="1" ref="C1892" ca="1">_FV(A1892,"Ticker symbol",TRUE)</f>
        <v>APA</v>
      </c>
      <c r="D1892" s="4">
        <v>26.08</v>
      </c>
      <c r="E1892" s="50">
        <v>40</v>
      </c>
      <c r="F1892" s="81">
        <f>IF(Table25[[#This Row],[Number of stocks]]&gt;0,Table25[[#This Row],[Number of stocks]],0)</f>
        <v>40</v>
      </c>
      <c r="G1892" s="73">
        <f>Table25[[#This Row],[Bought]]*Table25[[#This Row],[Price]]</f>
        <v>1043.1999999999998</v>
      </c>
      <c r="H1892">
        <f>SUMIF(Table25[[#All],[Assets]],Table25[[#This Row],[Assets]],Table25[[#All],[Bought]])</f>
        <v>87.289999999999992</v>
      </c>
      <c r="I1892">
        <f>SUMIF(Table25[[#All],[Assets]],Table25[[#This Row],[Assets]],Table25[[#All],[Bought Amount]])</f>
        <v>2368.7374999999997</v>
      </c>
      <c r="J1892" s="88">
        <f>IF(Table25[[#This Row],[Number of stocks]]&lt;0,Table25[[#This Row],[Number of stocks]],0)</f>
        <v>0</v>
      </c>
      <c r="K1892" s="5">
        <f>Table25[[#This Row],[Sold]]*Table25[[#This Row],[Price]]</f>
        <v>0</v>
      </c>
      <c r="L1892" s="8">
        <f>ABS(SUMIF(Table25[[#All],[Assets]],Table25[[#This Row],[Assets]],Table25[[#All],[Sold]]))</f>
        <v>87.289999999999992</v>
      </c>
      <c r="M1892" s="5">
        <f>ABS(SUMIF(Table25[[#All],[Assets]],Table25[[#This Row],[Assets]],Table25[[#All],[Sold Amount]]))</f>
        <v>2259.0844999999999</v>
      </c>
      <c r="N1892" s="5">
        <f>IFERROR(Table25[[#This Row],[Total sold amount]]/Table25[[#This Row],[Total Sold number of stocks]],"")</f>
        <v>25.880221102073548</v>
      </c>
      <c r="O1892" s="4">
        <f>IFERROR(Table25[[#This Row],[Total Amount bought]]/Table25[[#This Row],[Total number bought]],"")</f>
        <v>27.136413105739489</v>
      </c>
      <c r="P1892" s="4">
        <f>IFERROR((Table25[[#This Row],[Average sell price]]-Table25[[#This Row],[Average buy price]])*Table25[[#This Row],[Total Sold number of stocks]],0)</f>
        <v>-109.65299999999996</v>
      </c>
      <c r="Q1892" s="85">
        <f>SUMIF(Table25[[#All],[Assets]],Table25[[#This Row],[Assets]],Table25[[#All],[Number of stocks]])</f>
        <v>0</v>
      </c>
    </row>
    <row r="1893" spans="1:17">
      <c r="A1893" t="e" vm="274">
        <v>#VALUE!</v>
      </c>
      <c r="B1893" s="2">
        <v>45994</v>
      </c>
      <c r="C1893" t="str" cm="1">
        <f t="array" aca="1" ref="C1893" ca="1">_FV(A1893,"Ticker symbol",TRUE)</f>
        <v>AVTR</v>
      </c>
      <c r="D1893" s="4">
        <v>11.37</v>
      </c>
      <c r="E1893" s="50">
        <v>-90</v>
      </c>
      <c r="F1893" s="81">
        <f>IF(Table25[[#This Row],[Number of stocks]]&gt;0,Table25[[#This Row],[Number of stocks]],0)</f>
        <v>0</v>
      </c>
      <c r="G1893" s="73">
        <f>Table25[[#This Row],[Bought]]*Table25[[#This Row],[Price]]</f>
        <v>0</v>
      </c>
      <c r="H1893">
        <f>SUMIF(Table25[[#All],[Assets]],Table25[[#This Row],[Assets]],Table25[[#All],[Bought]])</f>
        <v>140</v>
      </c>
      <c r="I1893">
        <f>SUMIF(Table25[[#All],[Assets]],Table25[[#This Row],[Assets]],Table25[[#All],[Bought Amount]])</f>
        <v>2026.3</v>
      </c>
      <c r="J1893" s="88">
        <f>IF(Table25[[#This Row],[Number of stocks]]&lt;0,Table25[[#This Row],[Number of stocks]],0)</f>
        <v>-90</v>
      </c>
      <c r="K1893" s="5">
        <f>Table25[[#This Row],[Sold]]*Table25[[#This Row],[Price]]</f>
        <v>-1023.3</v>
      </c>
      <c r="L1893" s="8">
        <f>ABS(SUMIF(Table25[[#All],[Assets]],Table25[[#This Row],[Assets]],Table25[[#All],[Sold]]))</f>
        <v>140</v>
      </c>
      <c r="M1893" s="5">
        <f>ABS(SUMIF(Table25[[#All],[Assets]],Table25[[#This Row],[Assets]],Table25[[#All],[Sold Amount]]))</f>
        <v>2139.8000000000002</v>
      </c>
      <c r="N1893" s="5">
        <f>IFERROR(Table25[[#This Row],[Total sold amount]]/Table25[[#This Row],[Total Sold number of stocks]],"")</f>
        <v>15.284285714285716</v>
      </c>
      <c r="O1893" s="4">
        <f>IFERROR(Table25[[#This Row],[Total Amount bought]]/Table25[[#This Row],[Total number bought]],"")</f>
        <v>14.473571428571429</v>
      </c>
      <c r="P1893" s="4">
        <f>IFERROR((Table25[[#This Row],[Average sell price]]-Table25[[#This Row],[Average buy price]])*Table25[[#This Row],[Total Sold number of stocks]],0)</f>
        <v>113.50000000000016</v>
      </c>
      <c r="Q1893" s="85">
        <f>SUMIF(Table25[[#All],[Assets]],Table25[[#This Row],[Assets]],Table25[[#All],[Number of stocks]])</f>
        <v>0</v>
      </c>
    </row>
    <row r="1894" spans="1:17">
      <c r="A1894" t="e" vm="587">
        <v>#VALUE!</v>
      </c>
      <c r="B1894" s="2">
        <v>45994</v>
      </c>
      <c r="C1894" t="str" cm="1">
        <f t="array" aca="1" ref="C1894" ca="1">_FV(A1894,"Ticker symbol",TRUE)</f>
        <v>SITM</v>
      </c>
      <c r="D1894" s="4">
        <v>324.92</v>
      </c>
      <c r="E1894" s="50">
        <v>2</v>
      </c>
      <c r="F1894" s="81">
        <f>IF(Table25[[#This Row],[Number of stocks]]&gt;0,Table25[[#This Row],[Number of stocks]],0)</f>
        <v>2</v>
      </c>
      <c r="G1894" s="73">
        <f>Table25[[#This Row],[Bought]]*Table25[[#This Row],[Price]]</f>
        <v>649.84</v>
      </c>
      <c r="H1894">
        <f>SUMIF(Table25[[#All],[Assets]],Table25[[#This Row],[Assets]],Table25[[#All],[Bought]])</f>
        <v>2</v>
      </c>
      <c r="I1894">
        <f>SUMIF(Table25[[#All],[Assets]],Table25[[#This Row],[Assets]],Table25[[#All],[Bought Amount]])</f>
        <v>649.84</v>
      </c>
      <c r="J1894" s="88">
        <f>IF(Table25[[#This Row],[Number of stocks]]&lt;0,Table25[[#This Row],[Number of stocks]],0)</f>
        <v>0</v>
      </c>
      <c r="K1894" s="5">
        <f>Table25[[#This Row],[Sold]]*Table25[[#This Row],[Price]]</f>
        <v>0</v>
      </c>
      <c r="L1894" s="8">
        <f>ABS(SUMIF(Table25[[#All],[Assets]],Table25[[#This Row],[Assets]],Table25[[#All],[Sold]]))</f>
        <v>2</v>
      </c>
      <c r="M1894" s="5">
        <f>ABS(SUMIF(Table25[[#All],[Assets]],Table25[[#This Row],[Assets]],Table25[[#All],[Sold Amount]]))</f>
        <v>678.9</v>
      </c>
      <c r="N1894" s="5">
        <f>IFERROR(Table25[[#This Row],[Total sold amount]]/Table25[[#This Row],[Total Sold number of stocks]],"")</f>
        <v>339.45</v>
      </c>
      <c r="O1894" s="4">
        <f>IFERROR(Table25[[#This Row],[Total Amount bought]]/Table25[[#This Row],[Total number bought]],"")</f>
        <v>324.92</v>
      </c>
      <c r="P1894" s="4">
        <f>IFERROR((Table25[[#This Row],[Average sell price]]-Table25[[#This Row],[Average buy price]])*Table25[[#This Row],[Total Sold number of stocks]],0)</f>
        <v>29.059999999999945</v>
      </c>
      <c r="Q1894" s="85">
        <f>SUMIF(Table25[[#All],[Assets]],Table25[[#This Row],[Assets]],Table25[[#All],[Number of stocks]])</f>
        <v>0</v>
      </c>
    </row>
    <row r="1895" spans="1:17">
      <c r="A1895" t="e" vm="129">
        <v>#VALUE!</v>
      </c>
      <c r="B1895" s="2">
        <v>45994</v>
      </c>
      <c r="C1895" t="str" cm="1">
        <f t="array" aca="1" ref="C1895" ca="1">_FV(A1895,"Ticker symbol",TRUE)</f>
        <v>MRVL</v>
      </c>
      <c r="D1895" s="4">
        <v>98.93</v>
      </c>
      <c r="E1895" s="50">
        <v>3</v>
      </c>
      <c r="F1895" s="81">
        <f>IF(Table25[[#This Row],[Number of stocks]]&gt;0,Table25[[#This Row],[Number of stocks]],0)</f>
        <v>3</v>
      </c>
      <c r="G1895" s="73">
        <f>Table25[[#This Row],[Bought]]*Table25[[#This Row],[Price]]</f>
        <v>296.79000000000002</v>
      </c>
      <c r="H1895">
        <f>SUMIF(Table25[[#All],[Assets]],Table25[[#This Row],[Assets]],Table25[[#All],[Bought]])</f>
        <v>105</v>
      </c>
      <c r="I1895">
        <f>SUMIF(Table25[[#All],[Assets]],Table25[[#This Row],[Assets]],Table25[[#All],[Bought Amount]])</f>
        <v>8175.6200000000008</v>
      </c>
      <c r="J1895" s="88">
        <f>IF(Table25[[#This Row],[Number of stocks]]&lt;0,Table25[[#This Row],[Number of stocks]],0)</f>
        <v>0</v>
      </c>
      <c r="K1895" s="5">
        <f>Table25[[#This Row],[Sold]]*Table25[[#This Row],[Price]]</f>
        <v>0</v>
      </c>
      <c r="L1895" s="8">
        <f>ABS(SUMIF(Table25[[#All],[Assets]],Table25[[#This Row],[Assets]],Table25[[#All],[Sold]]))</f>
        <v>83</v>
      </c>
      <c r="M1895" s="5">
        <f>ABS(SUMIF(Table25[[#All],[Assets]],Table25[[#This Row],[Assets]],Table25[[#All],[Sold Amount]]))</f>
        <v>6745.73</v>
      </c>
      <c r="N1895" s="5">
        <f>IFERROR(Table25[[#This Row],[Total sold amount]]/Table25[[#This Row],[Total Sold number of stocks]],"")</f>
        <v>81.273855421686747</v>
      </c>
      <c r="O1895" s="4">
        <f>IFERROR(Table25[[#This Row],[Total Amount bought]]/Table25[[#This Row],[Total number bought]],"")</f>
        <v>77.86304761904762</v>
      </c>
      <c r="P1895" s="4">
        <f>IFERROR((Table25[[#This Row],[Average sell price]]-Table25[[#This Row],[Average buy price]])*Table25[[#This Row],[Total Sold number of stocks]],0)</f>
        <v>283.09704761904754</v>
      </c>
      <c r="Q1895" s="85">
        <f>SUMIF(Table25[[#All],[Assets]],Table25[[#This Row],[Assets]],Table25[[#All],[Number of stocks]])</f>
        <v>22</v>
      </c>
    </row>
    <row r="1896" spans="1:17">
      <c r="A1896" t="e" vm="87">
        <v>#VALUE!</v>
      </c>
      <c r="B1896" s="2">
        <v>45994</v>
      </c>
      <c r="C1896" t="str" cm="1">
        <f t="array" aca="1" ref="C1896" ca="1">_FV(A1896,"Ticker symbol",TRUE)</f>
        <v>PGY</v>
      </c>
      <c r="D1896" s="4">
        <v>23.29</v>
      </c>
      <c r="E1896" s="50">
        <v>-10</v>
      </c>
      <c r="F1896" s="81">
        <f>IF(Table25[[#This Row],[Number of stocks]]&gt;0,Table25[[#This Row],[Number of stocks]],0)</f>
        <v>0</v>
      </c>
      <c r="G1896" s="73">
        <f>Table25[[#This Row],[Bought]]*Table25[[#This Row],[Price]]</f>
        <v>0</v>
      </c>
      <c r="H1896">
        <f>SUMIF(Table25[[#All],[Assets]],Table25[[#This Row],[Assets]],Table25[[#All],[Bought]])</f>
        <v>120</v>
      </c>
      <c r="I1896">
        <f>SUMIF(Table25[[#All],[Assets]],Table25[[#This Row],[Assets]],Table25[[#All],[Bought Amount]])</f>
        <v>3442.1000000000004</v>
      </c>
      <c r="J1896" s="88">
        <f>IF(Table25[[#This Row],[Number of stocks]]&lt;0,Table25[[#This Row],[Number of stocks]],0)</f>
        <v>-10</v>
      </c>
      <c r="K1896" s="5">
        <f>Table25[[#This Row],[Sold]]*Table25[[#This Row],[Price]]</f>
        <v>-232.89999999999998</v>
      </c>
      <c r="L1896" s="8">
        <f>ABS(SUMIF(Table25[[#All],[Assets]],Table25[[#This Row],[Assets]],Table25[[#All],[Sold]]))</f>
        <v>120</v>
      </c>
      <c r="M1896" s="5">
        <f>ABS(SUMIF(Table25[[#All],[Assets]],Table25[[#This Row],[Assets]],Table25[[#All],[Sold Amount]]))</f>
        <v>2686.8999999999996</v>
      </c>
      <c r="N1896" s="5">
        <f>IFERROR(Table25[[#This Row],[Total sold amount]]/Table25[[#This Row],[Total Sold number of stocks]],"")</f>
        <v>22.39083333333333</v>
      </c>
      <c r="O1896" s="4">
        <f>IFERROR(Table25[[#This Row],[Total Amount bought]]/Table25[[#This Row],[Total number bought]],"")</f>
        <v>28.68416666666667</v>
      </c>
      <c r="P1896" s="4">
        <f>IFERROR((Table25[[#This Row],[Average sell price]]-Table25[[#This Row],[Average buy price]])*Table25[[#This Row],[Total Sold number of stocks]],0)</f>
        <v>-755.20000000000084</v>
      </c>
      <c r="Q1896" s="85">
        <f>SUMIF(Table25[[#All],[Assets]],Table25[[#This Row],[Assets]],Table25[[#All],[Number of stocks]])</f>
        <v>0</v>
      </c>
    </row>
    <row r="1897" spans="1:17">
      <c r="A1897" t="e" vm="226">
        <v>#VALUE!</v>
      </c>
      <c r="B1897" s="2">
        <v>45995</v>
      </c>
      <c r="C1897" t="str" cm="1">
        <f t="array" aca="1" ref="C1897" ca="1">_FV(A1897,"Ticker symbol",TRUE)</f>
        <v>WGHTQ</v>
      </c>
      <c r="D1897" s="4">
        <v>26.14</v>
      </c>
      <c r="E1897" s="50">
        <v>-40</v>
      </c>
      <c r="F1897" s="81">
        <f>IF(Table25[[#This Row],[Number of stocks]]&gt;0,Table25[[#This Row],[Number of stocks]],0)</f>
        <v>0</v>
      </c>
      <c r="G1897" s="73">
        <f>Table25[[#This Row],[Bought]]*Table25[[#This Row],[Price]]</f>
        <v>0</v>
      </c>
      <c r="H1897">
        <f>SUMIF(Table25[[#All],[Assets]],Table25[[#This Row],[Assets]],Table25[[#All],[Bought]])</f>
        <v>172</v>
      </c>
      <c r="I1897">
        <f>SUMIF(Table25[[#All],[Assets]],Table25[[#This Row],[Assets]],Table25[[#All],[Bought Amount]])</f>
        <v>5307.8900000000012</v>
      </c>
      <c r="J1897" s="88">
        <f>IF(Table25[[#This Row],[Number of stocks]]&lt;0,Table25[[#This Row],[Number of stocks]],0)</f>
        <v>-40</v>
      </c>
      <c r="K1897" s="5">
        <f>Table25[[#This Row],[Sold]]*Table25[[#This Row],[Price]]</f>
        <v>-1045.5999999999999</v>
      </c>
      <c r="L1897" s="8">
        <f>ABS(SUMIF(Table25[[#All],[Assets]],Table25[[#This Row],[Assets]],Table25[[#All],[Sold]]))</f>
        <v>168</v>
      </c>
      <c r="M1897" s="5">
        <f>ABS(SUMIF(Table25[[#All],[Assets]],Table25[[#This Row],[Assets]],Table25[[#All],[Sold Amount]]))</f>
        <v>4668.4199999999992</v>
      </c>
      <c r="N1897" s="5">
        <f>IFERROR(Table25[[#This Row],[Total sold amount]]/Table25[[#This Row],[Total Sold number of stocks]],"")</f>
        <v>27.788214285714282</v>
      </c>
      <c r="O1897" s="4">
        <f>IFERROR(Table25[[#This Row],[Total Amount bought]]/Table25[[#This Row],[Total number bought]],"")</f>
        <v>30.859825581395356</v>
      </c>
      <c r="P1897" s="4">
        <f>IFERROR((Table25[[#This Row],[Average sell price]]-Table25[[#This Row],[Average buy price]])*Table25[[#This Row],[Total Sold number of stocks]],0)</f>
        <v>-516.03069767442025</v>
      </c>
      <c r="Q1897" s="85">
        <f>SUMIF(Table25[[#All],[Assets]],Table25[[#This Row],[Assets]],Table25[[#All],[Number of stocks]])</f>
        <v>4</v>
      </c>
    </row>
    <row r="1898" spans="1:17">
      <c r="A1898" t="e" vm="129">
        <v>#VALUE!</v>
      </c>
      <c r="B1898" s="2">
        <v>45995</v>
      </c>
      <c r="C1898" t="str" cm="1">
        <f t="array" aca="1" ref="C1898" ca="1">_FV(A1898,"Ticker symbol",TRUE)</f>
        <v>MRVL</v>
      </c>
      <c r="D1898" s="4">
        <v>99.78</v>
      </c>
      <c r="E1898" s="50">
        <v>10</v>
      </c>
      <c r="F1898" s="81">
        <f>IF(Table25[[#This Row],[Number of stocks]]&gt;0,Table25[[#This Row],[Number of stocks]],0)</f>
        <v>10</v>
      </c>
      <c r="G1898" s="73">
        <f>Table25[[#This Row],[Bought]]*Table25[[#This Row],[Price]]</f>
        <v>997.8</v>
      </c>
      <c r="H1898">
        <f>SUMIF(Table25[[#All],[Assets]],Table25[[#This Row],[Assets]],Table25[[#All],[Bought]])</f>
        <v>105</v>
      </c>
      <c r="I1898">
        <f>SUMIF(Table25[[#All],[Assets]],Table25[[#This Row],[Assets]],Table25[[#All],[Bought Amount]])</f>
        <v>8175.6200000000008</v>
      </c>
      <c r="J1898" s="88">
        <f>IF(Table25[[#This Row],[Number of stocks]]&lt;0,Table25[[#This Row],[Number of stocks]],0)</f>
        <v>0</v>
      </c>
      <c r="K1898" s="5">
        <f>Table25[[#This Row],[Sold]]*Table25[[#This Row],[Price]]</f>
        <v>0</v>
      </c>
      <c r="L1898" s="8">
        <f>ABS(SUMIF(Table25[[#All],[Assets]],Table25[[#This Row],[Assets]],Table25[[#All],[Sold]]))</f>
        <v>83</v>
      </c>
      <c r="M1898" s="5">
        <f>ABS(SUMIF(Table25[[#All],[Assets]],Table25[[#This Row],[Assets]],Table25[[#All],[Sold Amount]]))</f>
        <v>6745.73</v>
      </c>
      <c r="N1898" s="5">
        <f>IFERROR(Table25[[#This Row],[Total sold amount]]/Table25[[#This Row],[Total Sold number of stocks]],"")</f>
        <v>81.273855421686747</v>
      </c>
      <c r="O1898" s="4">
        <f>IFERROR(Table25[[#This Row],[Total Amount bought]]/Table25[[#This Row],[Total number bought]],"")</f>
        <v>77.86304761904762</v>
      </c>
      <c r="P1898" s="4">
        <f>IFERROR((Table25[[#This Row],[Average sell price]]-Table25[[#This Row],[Average buy price]])*Table25[[#This Row],[Total Sold number of stocks]],0)</f>
        <v>283.09704761904754</v>
      </c>
      <c r="Q1898" s="85">
        <f>SUMIF(Table25[[#All],[Assets]],Table25[[#This Row],[Assets]],Table25[[#All],[Number of stocks]])</f>
        <v>22</v>
      </c>
    </row>
    <row r="1899" spans="1:17">
      <c r="A1899" t="e" vm="223">
        <v>#VALUE!</v>
      </c>
      <c r="B1899" s="2">
        <v>45995</v>
      </c>
      <c r="C1899" t="str" cm="1">
        <f t="array" aca="1" ref="C1899" ca="1">_FV(A1899,"Ticker symbol",TRUE)</f>
        <v>NFE</v>
      </c>
      <c r="D1899" s="4">
        <v>1.68</v>
      </c>
      <c r="E1899" s="50">
        <v>60</v>
      </c>
      <c r="F1899" s="81">
        <f>IF(Table25[[#This Row],[Number of stocks]]&gt;0,Table25[[#This Row],[Number of stocks]],0)</f>
        <v>60</v>
      </c>
      <c r="G1899" s="73">
        <f>Table25[[#This Row],[Bought]]*Table25[[#This Row],[Price]]</f>
        <v>100.8</v>
      </c>
      <c r="H1899">
        <f>SUMIF(Table25[[#All],[Assets]],Table25[[#This Row],[Assets]],Table25[[#All],[Bought]])</f>
        <v>389</v>
      </c>
      <c r="I1899">
        <f>SUMIF(Table25[[#All],[Assets]],Table25[[#This Row],[Assets]],Table25[[#All],[Bought Amount]])</f>
        <v>584.42000000000007</v>
      </c>
      <c r="J1899" s="88">
        <f>IF(Table25[[#This Row],[Number of stocks]]&lt;0,Table25[[#This Row],[Number of stocks]],0)</f>
        <v>0</v>
      </c>
      <c r="K1899" s="5">
        <f>Table25[[#This Row],[Sold]]*Table25[[#This Row],[Price]]</f>
        <v>0</v>
      </c>
      <c r="L1899" s="8">
        <f>ABS(SUMIF(Table25[[#All],[Assets]],Table25[[#This Row],[Assets]],Table25[[#All],[Sold]]))</f>
        <v>289</v>
      </c>
      <c r="M1899" s="5">
        <f>ABS(SUMIF(Table25[[#All],[Assets]],Table25[[#This Row],[Assets]],Table25[[#All],[Sold Amount]]))</f>
        <v>358.36</v>
      </c>
      <c r="N1899" s="5">
        <f>IFERROR(Table25[[#This Row],[Total sold amount]]/Table25[[#This Row],[Total Sold number of stocks]],"")</f>
        <v>1.24</v>
      </c>
      <c r="O1899" s="4">
        <f>IFERROR(Table25[[#This Row],[Total Amount bought]]/Table25[[#This Row],[Total number bought]],"")</f>
        <v>1.5023650385604115</v>
      </c>
      <c r="P1899" s="4">
        <f>IFERROR((Table25[[#This Row],[Average sell price]]-Table25[[#This Row],[Average buy price]])*Table25[[#This Row],[Total Sold number of stocks]],0)</f>
        <v>-75.82349614395892</v>
      </c>
      <c r="Q1899" s="85">
        <f>SUMIF(Table25[[#All],[Assets]],Table25[[#This Row],[Assets]],Table25[[#All],[Number of stocks]])</f>
        <v>100</v>
      </c>
    </row>
    <row r="1900" spans="1:17">
      <c r="A1900" t="e" vm="180">
        <v>#VALUE!</v>
      </c>
      <c r="B1900" s="2">
        <v>45996</v>
      </c>
      <c r="C1900" t="str" cm="1">
        <f t="array" aca="1" ref="C1900" ca="1">_FV(A1900,"Ticker symbol",TRUE)</f>
        <v>VELO</v>
      </c>
      <c r="D1900" s="4">
        <v>5.54</v>
      </c>
      <c r="E1900" s="50">
        <v>-90</v>
      </c>
      <c r="F1900" s="81">
        <f>IF(Table25[[#This Row],[Number of stocks]]&gt;0,Table25[[#This Row],[Number of stocks]],0)</f>
        <v>0</v>
      </c>
      <c r="G1900" s="73">
        <f>Table25[[#This Row],[Bought]]*Table25[[#This Row],[Price]]</f>
        <v>0</v>
      </c>
      <c r="H1900">
        <f>SUMIF(Table25[[#All],[Assets]],Table25[[#This Row],[Assets]],Table25[[#All],[Bought]])</f>
        <v>423</v>
      </c>
      <c r="I1900">
        <f>SUMIF(Table25[[#All],[Assets]],Table25[[#This Row],[Assets]],Table25[[#All],[Bought Amount]])</f>
        <v>2540.92</v>
      </c>
      <c r="J1900" s="88">
        <f>IF(Table25[[#This Row],[Number of stocks]]&lt;0,Table25[[#This Row],[Number of stocks]],0)</f>
        <v>-90</v>
      </c>
      <c r="K1900" s="5">
        <f>Table25[[#This Row],[Sold]]*Table25[[#This Row],[Price]]</f>
        <v>-498.6</v>
      </c>
      <c r="L1900" s="8">
        <f>ABS(SUMIF(Table25[[#All],[Assets]],Table25[[#This Row],[Assets]],Table25[[#All],[Sold]]))</f>
        <v>213</v>
      </c>
      <c r="M1900" s="5">
        <f>ABS(SUMIF(Table25[[#All],[Assets]],Table25[[#This Row],[Assets]],Table25[[#All],[Sold Amount]]))</f>
        <v>2820.5899999999997</v>
      </c>
      <c r="N1900" s="5">
        <f>IFERROR(Table25[[#This Row],[Total sold amount]]/Table25[[#This Row],[Total Sold number of stocks]],"")</f>
        <v>13.242206572769952</v>
      </c>
      <c r="O1900" s="4">
        <f>IFERROR(Table25[[#This Row],[Total Amount bought]]/Table25[[#This Row],[Total number bought]],"")</f>
        <v>6.0069030732860522</v>
      </c>
      <c r="P1900" s="4">
        <f>IFERROR((Table25[[#This Row],[Average sell price]]-Table25[[#This Row],[Average buy price]])*Table25[[#This Row],[Total Sold number of stocks]],0)</f>
        <v>1541.1196453900707</v>
      </c>
      <c r="Q1900" s="85">
        <f>SUMIF(Table25[[#All],[Assets]],Table25[[#This Row],[Assets]],Table25[[#All],[Number of stocks]])</f>
        <v>210</v>
      </c>
    </row>
    <row r="1901" spans="1:17">
      <c r="A1901" t="e" vm="223">
        <v>#VALUE!</v>
      </c>
      <c r="B1901" s="2">
        <v>45996</v>
      </c>
      <c r="C1901" t="str" cm="1">
        <f t="array" aca="1" ref="C1901" ca="1">_FV(A1901,"Ticker symbol",TRUE)</f>
        <v>NFE</v>
      </c>
      <c r="D1901" s="4">
        <v>1.64</v>
      </c>
      <c r="E1901" s="50">
        <v>110</v>
      </c>
      <c r="F1901" s="81">
        <f>IF(Table25[[#This Row],[Number of stocks]]&gt;0,Table25[[#This Row],[Number of stocks]],0)</f>
        <v>110</v>
      </c>
      <c r="G1901" s="73">
        <f>Table25[[#This Row],[Bought]]*Table25[[#This Row],[Price]]</f>
        <v>180.39999999999998</v>
      </c>
      <c r="H1901">
        <f>SUMIF(Table25[[#All],[Assets]],Table25[[#This Row],[Assets]],Table25[[#All],[Bought]])</f>
        <v>389</v>
      </c>
      <c r="I1901">
        <f>SUMIF(Table25[[#All],[Assets]],Table25[[#This Row],[Assets]],Table25[[#All],[Bought Amount]])</f>
        <v>584.42000000000007</v>
      </c>
      <c r="J1901" s="88">
        <f>IF(Table25[[#This Row],[Number of stocks]]&lt;0,Table25[[#This Row],[Number of stocks]],0)</f>
        <v>0</v>
      </c>
      <c r="K1901" s="5">
        <f>Table25[[#This Row],[Sold]]*Table25[[#This Row],[Price]]</f>
        <v>0</v>
      </c>
      <c r="L1901" s="8">
        <f>ABS(SUMIF(Table25[[#All],[Assets]],Table25[[#This Row],[Assets]],Table25[[#All],[Sold]]))</f>
        <v>289</v>
      </c>
      <c r="M1901" s="5">
        <f>ABS(SUMIF(Table25[[#All],[Assets]],Table25[[#This Row],[Assets]],Table25[[#All],[Sold Amount]]))</f>
        <v>358.36</v>
      </c>
      <c r="N1901" s="5">
        <f>IFERROR(Table25[[#This Row],[Total sold amount]]/Table25[[#This Row],[Total Sold number of stocks]],"")</f>
        <v>1.24</v>
      </c>
      <c r="O1901" s="4">
        <f>IFERROR(Table25[[#This Row],[Total Amount bought]]/Table25[[#This Row],[Total number bought]],"")</f>
        <v>1.5023650385604115</v>
      </c>
      <c r="P1901" s="4">
        <f>IFERROR((Table25[[#This Row],[Average sell price]]-Table25[[#This Row],[Average buy price]])*Table25[[#This Row],[Total Sold number of stocks]],0)</f>
        <v>-75.82349614395892</v>
      </c>
      <c r="Q1901" s="85">
        <f>SUMIF(Table25[[#All],[Assets]],Table25[[#This Row],[Assets]],Table25[[#All],[Number of stocks]])</f>
        <v>100</v>
      </c>
    </row>
    <row r="1902" spans="1:17">
      <c r="A1902" t="e" vm="183">
        <v>#VALUE!</v>
      </c>
      <c r="B1902" s="2">
        <v>46001</v>
      </c>
      <c r="C1902" t="str" cm="1">
        <f t="array" aca="1" ref="C1902" ca="1">_FV(A1902,"Ticker symbol",TRUE)</f>
        <v>ESOA</v>
      </c>
      <c r="D1902" s="4">
        <v>8.3000000000000007</v>
      </c>
      <c r="E1902" s="50">
        <v>-200</v>
      </c>
      <c r="F1902" s="81">
        <f>IF(Table25[[#This Row],[Number of stocks]]&gt;0,Table25[[#This Row],[Number of stocks]],0)</f>
        <v>0</v>
      </c>
      <c r="G1902" s="73">
        <f>Table25[[#This Row],[Bought]]*Table25[[#This Row],[Price]]</f>
        <v>0</v>
      </c>
      <c r="H1902">
        <f>SUMIF(Table25[[#All],[Assets]],Table25[[#This Row],[Assets]],Table25[[#All],[Bought]])</f>
        <v>1832</v>
      </c>
      <c r="I1902">
        <f>SUMIF(Table25[[#All],[Assets]],Table25[[#This Row],[Assets]],Table25[[#All],[Bought Amount]])</f>
        <v>18152.78</v>
      </c>
      <c r="J1902" s="88">
        <f>IF(Table25[[#This Row],[Number of stocks]]&lt;0,Table25[[#This Row],[Number of stocks]],0)</f>
        <v>-200</v>
      </c>
      <c r="K1902" s="5">
        <f>Table25[[#This Row],[Sold]]*Table25[[#This Row],[Price]]</f>
        <v>-1660.0000000000002</v>
      </c>
      <c r="L1902" s="8">
        <f>ABS(SUMIF(Table25[[#All],[Assets]],Table25[[#This Row],[Assets]],Table25[[#All],[Sold]]))</f>
        <v>1568</v>
      </c>
      <c r="M1902" s="5">
        <f>ABS(SUMIF(Table25[[#All],[Assets]],Table25[[#This Row],[Assets]],Table25[[#All],[Sold Amount]]))</f>
        <v>14668</v>
      </c>
      <c r="N1902" s="5">
        <f>IFERROR(Table25[[#This Row],[Total sold amount]]/Table25[[#This Row],[Total Sold number of stocks]],"")</f>
        <v>9.3545918367346932</v>
      </c>
      <c r="O1902" s="4">
        <f>IFERROR(Table25[[#This Row],[Total Amount bought]]/Table25[[#This Row],[Total number bought]],"")</f>
        <v>9.9087227074235802</v>
      </c>
      <c r="P1902" s="4">
        <f>IFERROR((Table25[[#This Row],[Average sell price]]-Table25[[#This Row],[Average buy price]])*Table25[[#This Row],[Total Sold number of stocks]],0)</f>
        <v>-868.87720524017482</v>
      </c>
      <c r="Q1902" s="85">
        <f>SUMIF(Table25[[#All],[Assets]],Table25[[#This Row],[Assets]],Table25[[#All],[Number of stocks]])</f>
        <v>264</v>
      </c>
    </row>
    <row r="1903" spans="1:17">
      <c r="A1903" t="e" vm="129">
        <v>#VALUE!</v>
      </c>
      <c r="B1903" s="2">
        <v>46001</v>
      </c>
      <c r="C1903" t="str" cm="1">
        <f t="array" aca="1" ref="C1903" ca="1">_FV(A1903,"Ticker symbol",TRUE)</f>
        <v>MRVL</v>
      </c>
      <c r="D1903" s="4">
        <v>91.44</v>
      </c>
      <c r="E1903" s="50">
        <v>6</v>
      </c>
      <c r="F1903" s="81">
        <f>IF(Table25[[#This Row],[Number of stocks]]&gt;0,Table25[[#This Row],[Number of stocks]],0)</f>
        <v>6</v>
      </c>
      <c r="G1903" s="73">
        <f>Table25[[#This Row],[Bought]]*Table25[[#This Row],[Price]]</f>
        <v>548.64</v>
      </c>
      <c r="H1903">
        <f>SUMIF(Table25[[#All],[Assets]],Table25[[#This Row],[Assets]],Table25[[#All],[Bought]])</f>
        <v>105</v>
      </c>
      <c r="I1903">
        <f>SUMIF(Table25[[#All],[Assets]],Table25[[#This Row],[Assets]],Table25[[#All],[Bought Amount]])</f>
        <v>8175.6200000000008</v>
      </c>
      <c r="J1903" s="88">
        <f>IF(Table25[[#This Row],[Number of stocks]]&lt;0,Table25[[#This Row],[Number of stocks]],0)</f>
        <v>0</v>
      </c>
      <c r="K1903" s="5">
        <f>Table25[[#This Row],[Sold]]*Table25[[#This Row],[Price]]</f>
        <v>0</v>
      </c>
      <c r="L1903" s="8">
        <f>ABS(SUMIF(Table25[[#All],[Assets]],Table25[[#This Row],[Assets]],Table25[[#All],[Sold]]))</f>
        <v>83</v>
      </c>
      <c r="M1903" s="5">
        <f>ABS(SUMIF(Table25[[#All],[Assets]],Table25[[#This Row],[Assets]],Table25[[#All],[Sold Amount]]))</f>
        <v>6745.73</v>
      </c>
      <c r="N1903" s="5">
        <f>IFERROR(Table25[[#This Row],[Total sold amount]]/Table25[[#This Row],[Total Sold number of stocks]],"")</f>
        <v>81.273855421686747</v>
      </c>
      <c r="O1903" s="4">
        <f>IFERROR(Table25[[#This Row],[Total Amount bought]]/Table25[[#This Row],[Total number bought]],"")</f>
        <v>77.86304761904762</v>
      </c>
      <c r="P1903" s="4">
        <f>IFERROR((Table25[[#This Row],[Average sell price]]-Table25[[#This Row],[Average buy price]])*Table25[[#This Row],[Total Sold number of stocks]],0)</f>
        <v>283.09704761904754</v>
      </c>
      <c r="Q1903" s="85">
        <f>SUMIF(Table25[[#All],[Assets]],Table25[[#This Row],[Assets]],Table25[[#All],[Number of stocks]])</f>
        <v>22</v>
      </c>
    </row>
    <row r="1904" spans="1:17">
      <c r="A1904" t="e" vm="188">
        <v>#VALUE!</v>
      </c>
      <c r="B1904" s="2">
        <v>46001</v>
      </c>
      <c r="C1904" t="str" cm="1">
        <f t="array" aca="1" ref="C1904" ca="1">_FV(A1904,"Ticker symbol",TRUE)</f>
        <v>BE</v>
      </c>
      <c r="D1904" s="4">
        <v>101.3</v>
      </c>
      <c r="E1904" s="50">
        <v>5</v>
      </c>
      <c r="F1904" s="81">
        <f>IF(Table25[[#This Row],[Number of stocks]]&gt;0,Table25[[#This Row],[Number of stocks]],0)</f>
        <v>5</v>
      </c>
      <c r="G1904" s="73">
        <f>Table25[[#This Row],[Bought]]*Table25[[#This Row],[Price]]</f>
        <v>506.5</v>
      </c>
      <c r="H1904">
        <f>SUMIF(Table25[[#All],[Assets]],Table25[[#This Row],[Assets]],Table25[[#All],[Bought]])</f>
        <v>50</v>
      </c>
      <c r="I1904">
        <f>SUMIF(Table25[[#All],[Assets]],Table25[[#This Row],[Assets]],Table25[[#All],[Bought Amount]])</f>
        <v>2840.05</v>
      </c>
      <c r="J1904" s="88">
        <f>IF(Table25[[#This Row],[Number of stocks]]&lt;0,Table25[[#This Row],[Number of stocks]],0)</f>
        <v>0</v>
      </c>
      <c r="K1904" s="5">
        <f>Table25[[#This Row],[Sold]]*Table25[[#This Row],[Price]]</f>
        <v>0</v>
      </c>
      <c r="L1904" s="8">
        <f>ABS(SUMIF(Table25[[#All],[Assets]],Table25[[#This Row],[Assets]],Table25[[#All],[Sold]]))</f>
        <v>35</v>
      </c>
      <c r="M1904" s="5">
        <f>ABS(SUMIF(Table25[[#All],[Assets]],Table25[[#This Row],[Assets]],Table25[[#All],[Sold Amount]]))</f>
        <v>1872.85</v>
      </c>
      <c r="N1904" s="5">
        <f>IFERROR(Table25[[#This Row],[Total sold amount]]/Table25[[#This Row],[Total Sold number of stocks]],"")</f>
        <v>53.51</v>
      </c>
      <c r="O1904" s="4">
        <f>IFERROR(Table25[[#This Row],[Total Amount bought]]/Table25[[#This Row],[Total number bought]],"")</f>
        <v>56.801000000000002</v>
      </c>
      <c r="P1904" s="4">
        <f>IFERROR((Table25[[#This Row],[Average sell price]]-Table25[[#This Row],[Average buy price]])*Table25[[#This Row],[Total Sold number of stocks]],0)</f>
        <v>-115.18500000000014</v>
      </c>
      <c r="Q1904" s="85">
        <f>SUMIF(Table25[[#All],[Assets]],Table25[[#This Row],[Assets]],Table25[[#All],[Number of stocks]])</f>
        <v>15</v>
      </c>
    </row>
    <row r="1905" spans="1:17">
      <c r="A1905" t="e" vm="21">
        <v>#VALUE!</v>
      </c>
      <c r="B1905" s="2">
        <v>46001</v>
      </c>
      <c r="C1905" t="str" cm="1">
        <f t="array" aca="1" ref="C1905" ca="1">_FV(A1905,"Ticker symbol",TRUE)</f>
        <v>INTC</v>
      </c>
      <c r="D1905" s="4">
        <v>40.869999999999997</v>
      </c>
      <c r="E1905" s="50">
        <v>-34</v>
      </c>
      <c r="F1905" s="81">
        <f>IF(Table25[[#This Row],[Number of stocks]]&gt;0,Table25[[#This Row],[Number of stocks]],0)</f>
        <v>0</v>
      </c>
      <c r="G1905" s="73">
        <f>Table25[[#This Row],[Bought]]*Table25[[#This Row],[Price]]</f>
        <v>0</v>
      </c>
      <c r="H1905">
        <f>SUMIF(Table25[[#All],[Assets]],Table25[[#This Row],[Assets]],Table25[[#All],[Bought]])</f>
        <v>334.73663899999997</v>
      </c>
      <c r="I1905">
        <f>SUMIF(Table25[[#All],[Assets]],Table25[[#This Row],[Assets]],Table25[[#All],[Bought Amount]])</f>
        <v>9755.9173948600001</v>
      </c>
      <c r="J1905" s="88">
        <f>IF(Table25[[#This Row],[Number of stocks]]&lt;0,Table25[[#This Row],[Number of stocks]],0)</f>
        <v>-34</v>
      </c>
      <c r="K1905" s="5">
        <f>Table25[[#This Row],[Sold]]*Table25[[#This Row],[Price]]</f>
        <v>-1389.58</v>
      </c>
      <c r="L1905" s="8">
        <f>ABS(SUMIF(Table25[[#All],[Assets]],Table25[[#This Row],[Assets]],Table25[[#All],[Sold]]))</f>
        <v>334.74</v>
      </c>
      <c r="M1905" s="5">
        <f>ABS(SUMIF(Table25[[#All],[Assets]],Table25[[#This Row],[Assets]],Table25[[#All],[Sold Amount]]))</f>
        <v>7909.2053999999998</v>
      </c>
      <c r="N1905" s="5">
        <f>IFERROR(Table25[[#This Row],[Total sold amount]]/Table25[[#This Row],[Total Sold number of stocks]],"")</f>
        <v>23.627906434844952</v>
      </c>
      <c r="O1905" s="4">
        <f>IFERROR(Table25[[#This Row],[Total Amount bought]]/Table25[[#This Row],[Total number bought]],"")</f>
        <v>29.145053926588542</v>
      </c>
      <c r="P1905" s="4">
        <f>IFERROR((Table25[[#This Row],[Average sell price]]-Table25[[#This Row],[Average buy price]])*Table25[[#This Row],[Total Sold number of stocks]],0)</f>
        <v>-1846.8099513862492</v>
      </c>
      <c r="Q1905" s="85">
        <f>SUMIF(Table25[[#All],[Assets]],Table25[[#This Row],[Assets]],Table25[[#All],[Number of stocks]])</f>
        <v>-3.3610000000123819E-3</v>
      </c>
    </row>
    <row r="1906" spans="1:17">
      <c r="A1906" t="e" vm="6">
        <v>#VALUE!</v>
      </c>
      <c r="B1906" s="2">
        <v>46006</v>
      </c>
      <c r="C1906" t="str" cm="1">
        <f t="array" aca="1" ref="C1906" ca="1">_FV(A1906,"Ticker symbol",TRUE)</f>
        <v>KTOS</v>
      </c>
      <c r="D1906" s="4">
        <v>74.83</v>
      </c>
      <c r="E1906" s="50">
        <v>-11</v>
      </c>
      <c r="F1906" s="81">
        <f>IF(Table25[[#This Row],[Number of stocks]]&gt;0,Table25[[#This Row],[Number of stocks]],0)</f>
        <v>0</v>
      </c>
      <c r="G1906" s="73">
        <f>Table25[[#This Row],[Bought]]*Table25[[#This Row],[Price]]</f>
        <v>0</v>
      </c>
      <c r="H1906">
        <f>SUMIF(Table25[[#All],[Assets]],Table25[[#This Row],[Assets]],Table25[[#All],[Bought]])</f>
        <v>121</v>
      </c>
      <c r="I1906">
        <f>SUMIF(Table25[[#All],[Assets]],Table25[[#This Row],[Assets]],Table25[[#All],[Bought Amount]])</f>
        <v>3826.76</v>
      </c>
      <c r="J1906" s="88">
        <f>IF(Table25[[#This Row],[Number of stocks]]&lt;0,Table25[[#This Row],[Number of stocks]],0)</f>
        <v>-11</v>
      </c>
      <c r="K1906" s="5">
        <f>Table25[[#This Row],[Sold]]*Table25[[#This Row],[Price]]</f>
        <v>-823.13</v>
      </c>
      <c r="L1906" s="8">
        <f>ABS(SUMIF(Table25[[#All],[Assets]],Table25[[#This Row],[Assets]],Table25[[#All],[Sold]]))</f>
        <v>121</v>
      </c>
      <c r="M1906" s="5">
        <f>ABS(SUMIF(Table25[[#All],[Assets]],Table25[[#This Row],[Assets]],Table25[[#All],[Sold Amount]]))</f>
        <v>8971.93</v>
      </c>
      <c r="N1906" s="5">
        <f>IFERROR(Table25[[#This Row],[Total sold amount]]/Table25[[#This Row],[Total Sold number of stocks]],"")</f>
        <v>74.148181818181826</v>
      </c>
      <c r="O1906" s="4">
        <f>IFERROR(Table25[[#This Row],[Total Amount bought]]/Table25[[#This Row],[Total number bought]],"")</f>
        <v>31.626115702479339</v>
      </c>
      <c r="P1906" s="4">
        <f>IFERROR((Table25[[#This Row],[Average sell price]]-Table25[[#This Row],[Average buy price]])*Table25[[#This Row],[Total Sold number of stocks]],0)</f>
        <v>5145.170000000001</v>
      </c>
      <c r="Q1906" s="85">
        <f>SUMIF(Table25[[#All],[Assets]],Table25[[#This Row],[Assets]],Table25[[#All],[Number of stocks]])</f>
        <v>0</v>
      </c>
    </row>
    <row r="1907" spans="1:17">
      <c r="A1907" t="e" vm="204">
        <v>#VALUE!</v>
      </c>
      <c r="B1907" s="2">
        <v>46008</v>
      </c>
      <c r="C1907" t="str" cm="1">
        <f t="array" aca="1" ref="C1907" ca="1">_FV(A1907,"Ticker symbol",TRUE)</f>
        <v>CRWV</v>
      </c>
      <c r="D1907" s="4">
        <v>66.180000000000007</v>
      </c>
      <c r="E1907" s="50">
        <v>8</v>
      </c>
      <c r="F1907" s="81">
        <f>IF(Table25[[#This Row],[Number of stocks]]&gt;0,Table25[[#This Row],[Number of stocks]],0)</f>
        <v>8</v>
      </c>
      <c r="G1907" s="73">
        <f>Table25[[#This Row],[Bought]]*Table25[[#This Row],[Price]]</f>
        <v>529.44000000000005</v>
      </c>
      <c r="H1907">
        <f>SUMIF(Table25[[#All],[Assets]],Table25[[#This Row],[Assets]],Table25[[#All],[Bought]])</f>
        <v>36</v>
      </c>
      <c r="I1907">
        <f>SUMIF(Table25[[#All],[Assets]],Table25[[#This Row],[Assets]],Table25[[#All],[Bought Amount]])</f>
        <v>3513.64</v>
      </c>
      <c r="J1907" s="88">
        <f>IF(Table25[[#This Row],[Number of stocks]]&lt;0,Table25[[#This Row],[Number of stocks]],0)</f>
        <v>0</v>
      </c>
      <c r="K1907" s="5">
        <f>Table25[[#This Row],[Sold]]*Table25[[#This Row],[Price]]</f>
        <v>0</v>
      </c>
      <c r="L1907" s="8">
        <f>ABS(SUMIF(Table25[[#All],[Assets]],Table25[[#This Row],[Assets]],Table25[[#All],[Sold]]))</f>
        <v>0</v>
      </c>
      <c r="M1907" s="5">
        <f>ABS(SUMIF(Table25[[#All],[Assets]],Table25[[#This Row],[Assets]],Table25[[#All],[Sold Amount]]))</f>
        <v>0</v>
      </c>
      <c r="N1907" s="5" t="str">
        <f>IFERROR(Table25[[#This Row],[Total sold amount]]/Table25[[#This Row],[Total Sold number of stocks]],"")</f>
        <v/>
      </c>
      <c r="O1907" s="4">
        <f>IFERROR(Table25[[#This Row],[Total Amount bought]]/Table25[[#This Row],[Total number bought]],"")</f>
        <v>97.601111111111109</v>
      </c>
      <c r="P1907" s="4">
        <f>IFERROR((Table25[[#This Row],[Average sell price]]-Table25[[#This Row],[Average buy price]])*Table25[[#This Row],[Total Sold number of stocks]],0)</f>
        <v>0</v>
      </c>
      <c r="Q1907" s="85">
        <f>SUMIF(Table25[[#All],[Assets]],Table25[[#This Row],[Assets]],Table25[[#All],[Number of stocks]])</f>
        <v>36</v>
      </c>
    </row>
    <row r="1908" spans="1:17">
      <c r="A1908" t="e" vm="179">
        <v>#VALUE!</v>
      </c>
      <c r="B1908" s="2">
        <v>46008</v>
      </c>
      <c r="C1908" t="str" cm="1">
        <f t="array" aca="1" ref="C1908" ca="1">_FV(A1908,"Ticker symbol",TRUE)</f>
        <v>ET</v>
      </c>
      <c r="D1908" s="4">
        <v>16.3</v>
      </c>
      <c r="E1908" s="50">
        <v>-10</v>
      </c>
      <c r="F1908" s="81">
        <f>IF(Table25[[#This Row],[Number of stocks]]&gt;0,Table25[[#This Row],[Number of stocks]],0)</f>
        <v>0</v>
      </c>
      <c r="G1908" s="73">
        <f>Table25[[#This Row],[Bought]]*Table25[[#This Row],[Price]]</f>
        <v>0</v>
      </c>
      <c r="H1908">
        <f>SUMIF(Table25[[#All],[Assets]],Table25[[#This Row],[Assets]],Table25[[#All],[Bought]])</f>
        <v>345</v>
      </c>
      <c r="I1908">
        <f>SUMIF(Table25[[#All],[Assets]],Table25[[#This Row],[Assets]],Table25[[#All],[Bought Amount]])</f>
        <v>5878.3</v>
      </c>
      <c r="J1908" s="88">
        <f>IF(Table25[[#This Row],[Number of stocks]]&lt;0,Table25[[#This Row],[Number of stocks]],0)</f>
        <v>-10</v>
      </c>
      <c r="K1908" s="5">
        <f>Table25[[#This Row],[Sold]]*Table25[[#This Row],[Price]]</f>
        <v>-163</v>
      </c>
      <c r="L1908" s="8">
        <f>ABS(SUMIF(Table25[[#All],[Assets]],Table25[[#This Row],[Assets]],Table25[[#All],[Sold]]))</f>
        <v>40</v>
      </c>
      <c r="M1908" s="5">
        <f>ABS(SUMIF(Table25[[#All],[Assets]],Table25[[#This Row],[Assets]],Table25[[#All],[Sold Amount]]))</f>
        <v>660.8</v>
      </c>
      <c r="N1908" s="5">
        <f>IFERROR(Table25[[#This Row],[Total sold amount]]/Table25[[#This Row],[Total Sold number of stocks]],"")</f>
        <v>16.52</v>
      </c>
      <c r="O1908" s="4">
        <f>IFERROR(Table25[[#This Row],[Total Amount bought]]/Table25[[#This Row],[Total number bought]],"")</f>
        <v>17.03855072463768</v>
      </c>
      <c r="P1908" s="4">
        <f>IFERROR((Table25[[#This Row],[Average sell price]]-Table25[[#This Row],[Average buy price]])*Table25[[#This Row],[Total Sold number of stocks]],0)</f>
        <v>-20.742028985507233</v>
      </c>
      <c r="Q1908" s="85">
        <f>SUMIF(Table25[[#All],[Assets]],Table25[[#This Row],[Assets]],Table25[[#All],[Number of stocks]])</f>
        <v>305</v>
      </c>
    </row>
    <row r="1909" spans="1:17">
      <c r="A1909" t="e" vm="179">
        <v>#VALUE!</v>
      </c>
      <c r="B1909" s="2">
        <v>46008</v>
      </c>
      <c r="C1909" t="str" cm="1">
        <f t="array" aca="1" ref="C1909" ca="1">_FV(A1909,"Ticker symbol",TRUE)</f>
        <v>ET</v>
      </c>
      <c r="D1909" s="4">
        <v>16.3</v>
      </c>
      <c r="E1909" s="50">
        <v>-10</v>
      </c>
      <c r="F1909" s="81">
        <f>IF(Table25[[#This Row],[Number of stocks]]&gt;0,Table25[[#This Row],[Number of stocks]],0)</f>
        <v>0</v>
      </c>
      <c r="G1909" s="73">
        <f>Table25[[#This Row],[Bought]]*Table25[[#This Row],[Price]]</f>
        <v>0</v>
      </c>
      <c r="H1909">
        <f>SUMIF(Table25[[#All],[Assets]],Table25[[#This Row],[Assets]],Table25[[#All],[Bought]])</f>
        <v>345</v>
      </c>
      <c r="I1909">
        <f>SUMIF(Table25[[#All],[Assets]],Table25[[#This Row],[Assets]],Table25[[#All],[Bought Amount]])</f>
        <v>5878.3</v>
      </c>
      <c r="J1909" s="88">
        <f>IF(Table25[[#This Row],[Number of stocks]]&lt;0,Table25[[#This Row],[Number of stocks]],0)</f>
        <v>-10</v>
      </c>
      <c r="K1909" s="5">
        <f>Table25[[#This Row],[Sold]]*Table25[[#This Row],[Price]]</f>
        <v>-163</v>
      </c>
      <c r="L1909" s="8">
        <f>ABS(SUMIF(Table25[[#All],[Assets]],Table25[[#This Row],[Assets]],Table25[[#All],[Sold]]))</f>
        <v>40</v>
      </c>
      <c r="M1909" s="5">
        <f>ABS(SUMIF(Table25[[#All],[Assets]],Table25[[#This Row],[Assets]],Table25[[#All],[Sold Amount]]))</f>
        <v>660.8</v>
      </c>
      <c r="N1909" s="5">
        <f>IFERROR(Table25[[#This Row],[Total sold amount]]/Table25[[#This Row],[Total Sold number of stocks]],"")</f>
        <v>16.52</v>
      </c>
      <c r="O1909" s="4">
        <f>IFERROR(Table25[[#This Row],[Total Amount bought]]/Table25[[#This Row],[Total number bought]],"")</f>
        <v>17.03855072463768</v>
      </c>
      <c r="P1909" s="4">
        <f>IFERROR((Table25[[#This Row],[Average sell price]]-Table25[[#This Row],[Average buy price]])*Table25[[#This Row],[Total Sold number of stocks]],0)</f>
        <v>-20.742028985507233</v>
      </c>
      <c r="Q1909" s="85">
        <f>SUMIF(Table25[[#All],[Assets]],Table25[[#This Row],[Assets]],Table25[[#All],[Number of stocks]])</f>
        <v>305</v>
      </c>
    </row>
    <row r="1910" spans="1:17">
      <c r="A1910" t="e" vm="80">
        <v>#VALUE!</v>
      </c>
      <c r="B1910" s="2">
        <v>46009</v>
      </c>
      <c r="C1910" t="str" cm="1">
        <f t="array" aca="1" ref="C1910" ca="1">_FV(A1910,"Ticker symbol",TRUE)</f>
        <v>PYPL</v>
      </c>
      <c r="D1910" s="4">
        <v>59.64</v>
      </c>
      <c r="E1910" s="50">
        <v>2</v>
      </c>
      <c r="F1910" s="81">
        <f>IF(Table25[[#This Row],[Number of stocks]]&gt;0,Table25[[#This Row],[Number of stocks]],0)</f>
        <v>2</v>
      </c>
      <c r="G1910" s="73">
        <f>Table25[[#This Row],[Bought]]*Table25[[#This Row],[Price]]</f>
        <v>119.28</v>
      </c>
      <c r="H1910">
        <f>SUMIF(Table25[[#All],[Assets]],Table25[[#This Row],[Assets]],Table25[[#All],[Bought]])</f>
        <v>223</v>
      </c>
      <c r="I1910">
        <f>SUMIF(Table25[[#All],[Assets]],Table25[[#This Row],[Assets]],Table25[[#All],[Bought Amount]])</f>
        <v>14862.050000000003</v>
      </c>
      <c r="J1910" s="88">
        <f>IF(Table25[[#This Row],[Number of stocks]]&lt;0,Table25[[#This Row],[Number of stocks]],0)</f>
        <v>0</v>
      </c>
      <c r="K1910" s="5">
        <f>Table25[[#This Row],[Sold]]*Table25[[#This Row],[Price]]</f>
        <v>0</v>
      </c>
      <c r="L1910" s="8">
        <f>ABS(SUMIF(Table25[[#All],[Assets]],Table25[[#This Row],[Assets]],Table25[[#All],[Sold]]))</f>
        <v>222</v>
      </c>
      <c r="M1910" s="5">
        <f>ABS(SUMIF(Table25[[#All],[Assets]],Table25[[#This Row],[Assets]],Table25[[#All],[Sold Amount]]))</f>
        <v>15255.44</v>
      </c>
      <c r="N1910" s="5">
        <f>IFERROR(Table25[[#This Row],[Total sold amount]]/Table25[[#This Row],[Total Sold number of stocks]],"")</f>
        <v>68.718198198198195</v>
      </c>
      <c r="O1910" s="4">
        <f>IFERROR(Table25[[#This Row],[Total Amount bought]]/Table25[[#This Row],[Total number bought]],"")</f>
        <v>66.645964125560553</v>
      </c>
      <c r="P1910" s="4">
        <f>IFERROR((Table25[[#This Row],[Average sell price]]-Table25[[#This Row],[Average buy price]])*Table25[[#This Row],[Total Sold number of stocks]],0)</f>
        <v>460.03596412555646</v>
      </c>
      <c r="Q1910" s="85">
        <f>SUMIF(Table25[[#All],[Assets]],Table25[[#This Row],[Assets]],Table25[[#All],[Number of stocks]])</f>
        <v>1</v>
      </c>
    </row>
    <row r="1911" spans="1:17">
      <c r="A1911" t="e" vm="80">
        <v>#VALUE!</v>
      </c>
      <c r="B1911" s="2">
        <v>46009</v>
      </c>
      <c r="C1911" t="str" cm="1">
        <f t="array" aca="1" ref="C1911" ca="1">_FV(A1911,"Ticker symbol",TRUE)</f>
        <v>PYPL</v>
      </c>
      <c r="D1911" s="4">
        <v>59.47</v>
      </c>
      <c r="E1911" s="50">
        <v>1</v>
      </c>
      <c r="F1911" s="81">
        <f>IF(Table25[[#This Row],[Number of stocks]]&gt;0,Table25[[#This Row],[Number of stocks]],0)</f>
        <v>1</v>
      </c>
      <c r="G1911" s="73">
        <f>Table25[[#This Row],[Bought]]*Table25[[#This Row],[Price]]</f>
        <v>59.47</v>
      </c>
      <c r="H1911">
        <f>SUMIF(Table25[[#All],[Assets]],Table25[[#This Row],[Assets]],Table25[[#All],[Bought]])</f>
        <v>223</v>
      </c>
      <c r="I1911">
        <f>SUMIF(Table25[[#All],[Assets]],Table25[[#This Row],[Assets]],Table25[[#All],[Bought Amount]])</f>
        <v>14862.050000000003</v>
      </c>
      <c r="J1911" s="88">
        <f>IF(Table25[[#This Row],[Number of stocks]]&lt;0,Table25[[#This Row],[Number of stocks]],0)</f>
        <v>0</v>
      </c>
      <c r="K1911" s="5">
        <f>Table25[[#This Row],[Sold]]*Table25[[#This Row],[Price]]</f>
        <v>0</v>
      </c>
      <c r="L1911" s="8">
        <f>ABS(SUMIF(Table25[[#All],[Assets]],Table25[[#This Row],[Assets]],Table25[[#All],[Sold]]))</f>
        <v>222</v>
      </c>
      <c r="M1911" s="5">
        <f>ABS(SUMIF(Table25[[#All],[Assets]],Table25[[#This Row],[Assets]],Table25[[#All],[Sold Amount]]))</f>
        <v>15255.44</v>
      </c>
      <c r="N1911" s="5">
        <f>IFERROR(Table25[[#This Row],[Total sold amount]]/Table25[[#This Row],[Total Sold number of stocks]],"")</f>
        <v>68.718198198198195</v>
      </c>
      <c r="O1911" s="4">
        <f>IFERROR(Table25[[#This Row],[Total Amount bought]]/Table25[[#This Row],[Total number bought]],"")</f>
        <v>66.645964125560553</v>
      </c>
      <c r="P1911" s="4">
        <f>IFERROR((Table25[[#This Row],[Average sell price]]-Table25[[#This Row],[Average buy price]])*Table25[[#This Row],[Total Sold number of stocks]],0)</f>
        <v>460.03596412555646</v>
      </c>
      <c r="Q1911" s="85">
        <f>SUMIF(Table25[[#All],[Assets]],Table25[[#This Row],[Assets]],Table25[[#All],[Number of stocks]])</f>
        <v>1</v>
      </c>
    </row>
    <row r="1912" spans="1:17">
      <c r="A1912" t="e" vm="80">
        <v>#VALUE!</v>
      </c>
      <c r="B1912" s="2">
        <v>46009</v>
      </c>
      <c r="C1912" t="str" cm="1">
        <f t="array" aca="1" ref="C1912" ca="1">_FV(A1912,"Ticker symbol",TRUE)</f>
        <v>PYPL</v>
      </c>
      <c r="D1912" s="4">
        <v>59.78</v>
      </c>
      <c r="E1912" s="50">
        <v>9</v>
      </c>
      <c r="F1912" s="81">
        <f>IF(Table25[[#This Row],[Number of stocks]]&gt;0,Table25[[#This Row],[Number of stocks]],0)</f>
        <v>9</v>
      </c>
      <c r="G1912" s="73">
        <f>Table25[[#This Row],[Bought]]*Table25[[#This Row],[Price]]</f>
        <v>538.02</v>
      </c>
      <c r="H1912">
        <f>SUMIF(Table25[[#All],[Assets]],Table25[[#This Row],[Assets]],Table25[[#All],[Bought]])</f>
        <v>223</v>
      </c>
      <c r="I1912">
        <f>SUMIF(Table25[[#All],[Assets]],Table25[[#This Row],[Assets]],Table25[[#All],[Bought Amount]])</f>
        <v>14862.050000000003</v>
      </c>
      <c r="J1912" s="88">
        <f>IF(Table25[[#This Row],[Number of stocks]]&lt;0,Table25[[#This Row],[Number of stocks]],0)</f>
        <v>0</v>
      </c>
      <c r="K1912" s="5">
        <f>Table25[[#This Row],[Sold]]*Table25[[#This Row],[Price]]</f>
        <v>0</v>
      </c>
      <c r="L1912" s="8">
        <f>ABS(SUMIF(Table25[[#All],[Assets]],Table25[[#This Row],[Assets]],Table25[[#All],[Sold]]))</f>
        <v>222</v>
      </c>
      <c r="M1912" s="5">
        <f>ABS(SUMIF(Table25[[#All],[Assets]],Table25[[#This Row],[Assets]],Table25[[#All],[Sold Amount]]))</f>
        <v>15255.44</v>
      </c>
      <c r="N1912" s="5">
        <f>IFERROR(Table25[[#This Row],[Total sold amount]]/Table25[[#This Row],[Total Sold number of stocks]],"")</f>
        <v>68.718198198198195</v>
      </c>
      <c r="O1912" s="4">
        <f>IFERROR(Table25[[#This Row],[Total Amount bought]]/Table25[[#This Row],[Total number bought]],"")</f>
        <v>66.645964125560553</v>
      </c>
      <c r="P1912" s="4">
        <f>IFERROR((Table25[[#This Row],[Average sell price]]-Table25[[#This Row],[Average buy price]])*Table25[[#This Row],[Total Sold number of stocks]],0)</f>
        <v>460.03596412555646</v>
      </c>
      <c r="Q1912" s="85">
        <f>SUMIF(Table25[[#All],[Assets]],Table25[[#This Row],[Assets]],Table25[[#All],[Number of stocks]])</f>
        <v>1</v>
      </c>
    </row>
    <row r="1913" spans="1:17">
      <c r="A1913" t="e" vm="193">
        <v>#VALUE!</v>
      </c>
      <c r="B1913" s="2">
        <v>46010</v>
      </c>
      <c r="C1913" t="str" cm="1">
        <f t="array" aca="1" ref="C1913" ca="1">_FV(A1913,"Ticker symbol",TRUE)</f>
        <v>UAVS</v>
      </c>
      <c r="D1913" s="4">
        <v>0.94650000000000001</v>
      </c>
      <c r="E1913" s="50">
        <v>250</v>
      </c>
      <c r="F1913" s="81">
        <f>IF(Table25[[#This Row],[Number of stocks]]&gt;0,Table25[[#This Row],[Number of stocks]],0)</f>
        <v>250</v>
      </c>
      <c r="G1913" s="73">
        <f>Table25[[#This Row],[Bought]]*Table25[[#This Row],[Price]]</f>
        <v>236.625</v>
      </c>
      <c r="H1913">
        <f>SUMIF(Table25[[#All],[Assets]],Table25[[#This Row],[Assets]],Table25[[#All],[Bought]])</f>
        <v>1480</v>
      </c>
      <c r="I1913">
        <f>SUMIF(Table25[[#All],[Assets]],Table25[[#This Row],[Assets]],Table25[[#All],[Bought Amount]])</f>
        <v>1868.4090000000001</v>
      </c>
      <c r="J1913" s="88">
        <f>IF(Table25[[#This Row],[Number of stocks]]&lt;0,Table25[[#This Row],[Number of stocks]],0)</f>
        <v>0</v>
      </c>
      <c r="K1913" s="5">
        <f>Table25[[#This Row],[Sold]]*Table25[[#This Row],[Price]]</f>
        <v>0</v>
      </c>
      <c r="L1913" s="8">
        <f>ABS(SUMIF(Table25[[#All],[Assets]],Table25[[#This Row],[Assets]],Table25[[#All],[Sold]]))</f>
        <v>500</v>
      </c>
      <c r="M1913" s="5">
        <f>ABS(SUMIF(Table25[[#All],[Assets]],Table25[[#This Row],[Assets]],Table25[[#All],[Sold Amount]]))</f>
        <v>1198</v>
      </c>
      <c r="N1913" s="5">
        <f>IFERROR(Table25[[#This Row],[Total sold amount]]/Table25[[#This Row],[Total Sold number of stocks]],"")</f>
        <v>2.3959999999999999</v>
      </c>
      <c r="O1913" s="4">
        <f>IFERROR(Table25[[#This Row],[Total Amount bought]]/Table25[[#This Row],[Total number bought]],"")</f>
        <v>1.2624385135135137</v>
      </c>
      <c r="P1913" s="4">
        <f>IFERROR((Table25[[#This Row],[Average sell price]]-Table25[[#This Row],[Average buy price]])*Table25[[#This Row],[Total Sold number of stocks]],0)</f>
        <v>566.78074324324314</v>
      </c>
      <c r="Q1913" s="85">
        <f>SUMIF(Table25[[#All],[Assets]],Table25[[#This Row],[Assets]],Table25[[#All],[Number of stocks]])</f>
        <v>980</v>
      </c>
    </row>
    <row r="1914" spans="1:17">
      <c r="A1914" t="e" vm="226">
        <v>#VALUE!</v>
      </c>
      <c r="B1914" s="2">
        <v>46010</v>
      </c>
      <c r="C1914" t="str" cm="1">
        <f t="array" aca="1" ref="C1914" ca="1">_FV(A1914,"Ticker symbol",TRUE)</f>
        <v>WGHTQ</v>
      </c>
      <c r="D1914" s="4">
        <v>27.04</v>
      </c>
      <c r="E1914" s="50">
        <v>-12</v>
      </c>
      <c r="F1914" s="81">
        <f>IF(Table25[[#This Row],[Number of stocks]]&gt;0,Table25[[#This Row],[Number of stocks]],0)</f>
        <v>0</v>
      </c>
      <c r="G1914" s="73">
        <f>Table25[[#This Row],[Bought]]*Table25[[#This Row],[Price]]</f>
        <v>0</v>
      </c>
      <c r="H1914">
        <f>SUMIF(Table25[[#All],[Assets]],Table25[[#This Row],[Assets]],Table25[[#All],[Bought]])</f>
        <v>172</v>
      </c>
      <c r="I1914">
        <f>SUMIF(Table25[[#All],[Assets]],Table25[[#This Row],[Assets]],Table25[[#All],[Bought Amount]])</f>
        <v>5307.8900000000012</v>
      </c>
      <c r="J1914" s="88">
        <f>IF(Table25[[#This Row],[Number of stocks]]&lt;0,Table25[[#This Row],[Number of stocks]],0)</f>
        <v>-12</v>
      </c>
      <c r="K1914" s="5">
        <f>Table25[[#This Row],[Sold]]*Table25[[#This Row],[Price]]</f>
        <v>-324.48</v>
      </c>
      <c r="L1914" s="8">
        <f>ABS(SUMIF(Table25[[#All],[Assets]],Table25[[#This Row],[Assets]],Table25[[#All],[Sold]]))</f>
        <v>168</v>
      </c>
      <c r="M1914" s="5">
        <f>ABS(SUMIF(Table25[[#All],[Assets]],Table25[[#This Row],[Assets]],Table25[[#All],[Sold Amount]]))</f>
        <v>4668.4199999999992</v>
      </c>
      <c r="N1914" s="5">
        <f>IFERROR(Table25[[#This Row],[Total sold amount]]/Table25[[#This Row],[Total Sold number of stocks]],"")</f>
        <v>27.788214285714282</v>
      </c>
      <c r="O1914" s="4">
        <f>IFERROR(Table25[[#This Row],[Total Amount bought]]/Table25[[#This Row],[Total number bought]],"")</f>
        <v>30.859825581395356</v>
      </c>
      <c r="P1914" s="4">
        <f>IFERROR((Table25[[#This Row],[Average sell price]]-Table25[[#This Row],[Average buy price]])*Table25[[#This Row],[Total Sold number of stocks]],0)</f>
        <v>-516.03069767442025</v>
      </c>
      <c r="Q1914" s="85">
        <f>SUMIF(Table25[[#All],[Assets]],Table25[[#This Row],[Assets]],Table25[[#All],[Number of stocks]])</f>
        <v>4</v>
      </c>
    </row>
    <row r="1915" spans="1:17">
      <c r="A1915" t="e" vm="193">
        <v>#VALUE!</v>
      </c>
      <c r="B1915" s="2">
        <v>46010</v>
      </c>
      <c r="C1915" t="str" cm="1">
        <f t="array" aca="1" ref="C1915" ca="1">_FV(A1915,"Ticker symbol",TRUE)</f>
        <v>UAVS</v>
      </c>
      <c r="D1915" s="4">
        <v>0.9738</v>
      </c>
      <c r="E1915" s="50">
        <v>180</v>
      </c>
      <c r="F1915" s="81">
        <f>IF(Table25[[#This Row],[Number of stocks]]&gt;0,Table25[[#This Row],[Number of stocks]],0)</f>
        <v>180</v>
      </c>
      <c r="G1915" s="73">
        <f>Table25[[#This Row],[Bought]]*Table25[[#This Row],[Price]]</f>
        <v>175.28399999999999</v>
      </c>
      <c r="H1915">
        <f>SUMIF(Table25[[#All],[Assets]],Table25[[#This Row],[Assets]],Table25[[#All],[Bought]])</f>
        <v>1480</v>
      </c>
      <c r="I1915">
        <f>SUMIF(Table25[[#All],[Assets]],Table25[[#This Row],[Assets]],Table25[[#All],[Bought Amount]])</f>
        <v>1868.4090000000001</v>
      </c>
      <c r="J1915" s="88">
        <f>IF(Table25[[#This Row],[Number of stocks]]&lt;0,Table25[[#This Row],[Number of stocks]],0)</f>
        <v>0</v>
      </c>
      <c r="K1915" s="5">
        <f>Table25[[#This Row],[Sold]]*Table25[[#This Row],[Price]]</f>
        <v>0</v>
      </c>
      <c r="L1915" s="8">
        <f>ABS(SUMIF(Table25[[#All],[Assets]],Table25[[#This Row],[Assets]],Table25[[#All],[Sold]]))</f>
        <v>500</v>
      </c>
      <c r="M1915" s="5">
        <f>ABS(SUMIF(Table25[[#All],[Assets]],Table25[[#This Row],[Assets]],Table25[[#All],[Sold Amount]]))</f>
        <v>1198</v>
      </c>
      <c r="N1915" s="5">
        <f>IFERROR(Table25[[#This Row],[Total sold amount]]/Table25[[#This Row],[Total Sold number of stocks]],"")</f>
        <v>2.3959999999999999</v>
      </c>
      <c r="O1915" s="4">
        <f>IFERROR(Table25[[#This Row],[Total Amount bought]]/Table25[[#This Row],[Total number bought]],"")</f>
        <v>1.2624385135135137</v>
      </c>
      <c r="P1915" s="4">
        <f>IFERROR((Table25[[#This Row],[Average sell price]]-Table25[[#This Row],[Average buy price]])*Table25[[#This Row],[Total Sold number of stocks]],0)</f>
        <v>566.78074324324314</v>
      </c>
      <c r="Q1915" s="85">
        <f>SUMIF(Table25[[#All],[Assets]],Table25[[#This Row],[Assets]],Table25[[#All],[Number of stocks]])</f>
        <v>980</v>
      </c>
    </row>
    <row r="1916" spans="1:17">
      <c r="A1916" t="e" vm="226">
        <v>#VALUE!</v>
      </c>
      <c r="B1916" s="2">
        <v>46010</v>
      </c>
      <c r="C1916" t="str" cm="1">
        <f t="array" aca="1" ref="C1916" ca="1">_FV(A1916,"Ticker symbol",TRUE)</f>
        <v>WGHTQ</v>
      </c>
      <c r="D1916" s="4">
        <v>27.62</v>
      </c>
      <c r="E1916" s="50">
        <v>-10</v>
      </c>
      <c r="F1916" s="81">
        <f>IF(Table25[[#This Row],[Number of stocks]]&gt;0,Table25[[#This Row],[Number of stocks]],0)</f>
        <v>0</v>
      </c>
      <c r="G1916" s="73">
        <f>Table25[[#This Row],[Bought]]*Table25[[#This Row],[Price]]</f>
        <v>0</v>
      </c>
      <c r="H1916">
        <f>SUMIF(Table25[[#All],[Assets]],Table25[[#This Row],[Assets]],Table25[[#All],[Bought]])</f>
        <v>172</v>
      </c>
      <c r="I1916">
        <f>SUMIF(Table25[[#All],[Assets]],Table25[[#This Row],[Assets]],Table25[[#All],[Bought Amount]])</f>
        <v>5307.8900000000012</v>
      </c>
      <c r="J1916" s="88">
        <f>IF(Table25[[#This Row],[Number of stocks]]&lt;0,Table25[[#This Row],[Number of stocks]],0)</f>
        <v>-10</v>
      </c>
      <c r="K1916" s="5">
        <f>Table25[[#This Row],[Sold]]*Table25[[#This Row],[Price]]</f>
        <v>-276.2</v>
      </c>
      <c r="L1916" s="8">
        <f>ABS(SUMIF(Table25[[#All],[Assets]],Table25[[#This Row],[Assets]],Table25[[#All],[Sold]]))</f>
        <v>168</v>
      </c>
      <c r="M1916" s="5">
        <f>ABS(SUMIF(Table25[[#All],[Assets]],Table25[[#This Row],[Assets]],Table25[[#All],[Sold Amount]]))</f>
        <v>4668.4199999999992</v>
      </c>
      <c r="N1916" s="5">
        <f>IFERROR(Table25[[#This Row],[Total sold amount]]/Table25[[#This Row],[Total Sold number of stocks]],"")</f>
        <v>27.788214285714282</v>
      </c>
      <c r="O1916" s="4">
        <f>IFERROR(Table25[[#This Row],[Total Amount bought]]/Table25[[#This Row],[Total number bought]],"")</f>
        <v>30.859825581395356</v>
      </c>
      <c r="P1916" s="4">
        <f>IFERROR((Table25[[#This Row],[Average sell price]]-Table25[[#This Row],[Average buy price]])*Table25[[#This Row],[Total Sold number of stocks]],0)</f>
        <v>-516.03069767442025</v>
      </c>
      <c r="Q1916" s="85">
        <f>SUMIF(Table25[[#All],[Assets]],Table25[[#This Row],[Assets]],Table25[[#All],[Number of stocks]])</f>
        <v>4</v>
      </c>
    </row>
    <row r="1917" spans="1:17">
      <c r="A1917" t="e" vm="221">
        <v>#VALUE!</v>
      </c>
      <c r="B1917" s="2">
        <v>46010</v>
      </c>
      <c r="C1917" t="str" cm="1">
        <f t="array" aca="1" ref="C1917" ca="1">_FV(A1917,"Ticker symbol",TRUE)</f>
        <v>USAR</v>
      </c>
      <c r="D1917" s="4">
        <v>13.63</v>
      </c>
      <c r="E1917" s="50">
        <v>10</v>
      </c>
      <c r="F1917" s="81">
        <f>IF(Table25[[#This Row],[Number of stocks]]&gt;0,Table25[[#This Row],[Number of stocks]],0)</f>
        <v>10</v>
      </c>
      <c r="G1917" s="73">
        <f>Table25[[#This Row],[Bought]]*Table25[[#This Row],[Price]]</f>
        <v>136.30000000000001</v>
      </c>
      <c r="H1917">
        <f>SUMIF(Table25[[#All],[Assets]],Table25[[#This Row],[Assets]],Table25[[#All],[Bought]])</f>
        <v>10</v>
      </c>
      <c r="I1917">
        <f>SUMIF(Table25[[#All],[Assets]],Table25[[#This Row],[Assets]],Table25[[#All],[Bought Amount]])</f>
        <v>136.30000000000001</v>
      </c>
      <c r="J1917" s="88">
        <f>IF(Table25[[#This Row],[Number of stocks]]&lt;0,Table25[[#This Row],[Number of stocks]],0)</f>
        <v>0</v>
      </c>
      <c r="K1917" s="5">
        <f>Table25[[#This Row],[Sold]]*Table25[[#This Row],[Price]]</f>
        <v>0</v>
      </c>
      <c r="L1917" s="8">
        <f>ABS(SUMIF(Table25[[#All],[Assets]],Table25[[#This Row],[Assets]],Table25[[#All],[Sold]]))</f>
        <v>0</v>
      </c>
      <c r="M1917" s="5">
        <f>ABS(SUMIF(Table25[[#All],[Assets]],Table25[[#This Row],[Assets]],Table25[[#All],[Sold Amount]]))</f>
        <v>0</v>
      </c>
      <c r="N1917" s="5" t="str">
        <f>IFERROR(Table25[[#This Row],[Total sold amount]]/Table25[[#This Row],[Total Sold number of stocks]],"")</f>
        <v/>
      </c>
      <c r="O1917" s="4">
        <f>IFERROR(Table25[[#This Row],[Total Amount bought]]/Table25[[#This Row],[Total number bought]],"")</f>
        <v>13.63</v>
      </c>
      <c r="P1917" s="4">
        <f>IFERROR((Table25[[#This Row],[Average sell price]]-Table25[[#This Row],[Average buy price]])*Table25[[#This Row],[Total Sold number of stocks]],0)</f>
        <v>0</v>
      </c>
      <c r="Q1917" s="85">
        <f>SUMIF(Table25[[#All],[Assets]],Table25[[#This Row],[Assets]],Table25[[#All],[Number of stocks]])</f>
        <v>10</v>
      </c>
    </row>
    <row r="1918" spans="1:17">
      <c r="A1918" t="e" vm="87">
        <v>#VALUE!</v>
      </c>
      <c r="B1918" s="2">
        <v>46014</v>
      </c>
      <c r="C1918" t="str" cm="1">
        <f t="array" aca="1" ref="C1918" ca="1">_FV(A1918,"Ticker symbol",TRUE)</f>
        <v>PGY</v>
      </c>
      <c r="D1918" s="4">
        <v>22.29</v>
      </c>
      <c r="E1918" s="50">
        <v>-80</v>
      </c>
      <c r="F1918" s="81">
        <f>IF(Table25[[#This Row],[Number of stocks]]&gt;0,Table25[[#This Row],[Number of stocks]],0)</f>
        <v>0</v>
      </c>
      <c r="G1918" s="73">
        <f>Table25[[#This Row],[Bought]]*Table25[[#This Row],[Price]]</f>
        <v>0</v>
      </c>
      <c r="H1918">
        <f>SUMIF(Table25[[#All],[Assets]],Table25[[#This Row],[Assets]],Table25[[#All],[Bought]])</f>
        <v>120</v>
      </c>
      <c r="I1918">
        <f>SUMIF(Table25[[#All],[Assets]],Table25[[#This Row],[Assets]],Table25[[#All],[Bought Amount]])</f>
        <v>3442.1000000000004</v>
      </c>
      <c r="J1918" s="88">
        <f>IF(Table25[[#This Row],[Number of stocks]]&lt;0,Table25[[#This Row],[Number of stocks]],0)</f>
        <v>-80</v>
      </c>
      <c r="K1918" s="5">
        <f>Table25[[#This Row],[Sold]]*Table25[[#This Row],[Price]]</f>
        <v>-1783.1999999999998</v>
      </c>
      <c r="L1918" s="8">
        <f>ABS(SUMIF(Table25[[#All],[Assets]],Table25[[#This Row],[Assets]],Table25[[#All],[Sold]]))</f>
        <v>120</v>
      </c>
      <c r="M1918" s="5">
        <f>ABS(SUMIF(Table25[[#All],[Assets]],Table25[[#This Row],[Assets]],Table25[[#All],[Sold Amount]]))</f>
        <v>2686.8999999999996</v>
      </c>
      <c r="N1918" s="5">
        <f>IFERROR(Table25[[#This Row],[Total sold amount]]/Table25[[#This Row],[Total Sold number of stocks]],"")</f>
        <v>22.39083333333333</v>
      </c>
      <c r="O1918" s="4">
        <f>IFERROR(Table25[[#This Row],[Total Amount bought]]/Table25[[#This Row],[Total number bought]],"")</f>
        <v>28.68416666666667</v>
      </c>
      <c r="P1918" s="4">
        <f>IFERROR((Table25[[#This Row],[Average sell price]]-Table25[[#This Row],[Average buy price]])*Table25[[#This Row],[Total Sold number of stocks]],0)</f>
        <v>-755.20000000000084</v>
      </c>
      <c r="Q1918" s="85">
        <f>SUMIF(Table25[[#All],[Assets]],Table25[[#This Row],[Assets]],Table25[[#All],[Number of stocks]])</f>
        <v>0</v>
      </c>
    </row>
    <row r="1919" spans="1:17">
      <c r="A1919" t="e" vm="197">
        <v>#VALUE!</v>
      </c>
      <c r="B1919" s="2">
        <v>46014</v>
      </c>
      <c r="C1919" t="str" cm="1">
        <f t="array" aca="1" ref="C1919" ca="1">_FV(A1919,"Ticker symbol",TRUE)</f>
        <v>AMBA</v>
      </c>
      <c r="D1919" s="4">
        <v>72.63</v>
      </c>
      <c r="E1919" s="50">
        <v>15</v>
      </c>
      <c r="F1919" s="81">
        <f>IF(Table25[[#This Row],[Number of stocks]]&gt;0,Table25[[#This Row],[Number of stocks]],0)</f>
        <v>15</v>
      </c>
      <c r="G1919" s="73">
        <f>Table25[[#This Row],[Bought]]*Table25[[#This Row],[Price]]</f>
        <v>1089.4499999999998</v>
      </c>
      <c r="H1919">
        <f>SUMIF(Table25[[#All],[Assets]],Table25[[#This Row],[Assets]],Table25[[#All],[Bought]])</f>
        <v>21</v>
      </c>
      <c r="I1919">
        <f>SUMIF(Table25[[#All],[Assets]],Table25[[#This Row],[Assets]],Table25[[#All],[Bought Amount]])</f>
        <v>1531.0499999999997</v>
      </c>
      <c r="J1919" s="88">
        <f>IF(Table25[[#This Row],[Number of stocks]]&lt;0,Table25[[#This Row],[Number of stocks]],0)</f>
        <v>0</v>
      </c>
      <c r="K1919" s="5">
        <f>Table25[[#This Row],[Sold]]*Table25[[#This Row],[Price]]</f>
        <v>0</v>
      </c>
      <c r="L1919" s="8">
        <f>ABS(SUMIF(Table25[[#All],[Assets]],Table25[[#This Row],[Assets]],Table25[[#All],[Sold]]))</f>
        <v>21</v>
      </c>
      <c r="M1919" s="5">
        <f>ABS(SUMIF(Table25[[#All],[Assets]],Table25[[#This Row],[Assets]],Table25[[#All],[Sold Amount]]))</f>
        <v>1248.69</v>
      </c>
      <c r="N1919" s="5">
        <f>IFERROR(Table25[[#This Row],[Total sold amount]]/Table25[[#This Row],[Total Sold number of stocks]],"")</f>
        <v>59.461428571428577</v>
      </c>
      <c r="O1919" s="4">
        <f>IFERROR(Table25[[#This Row],[Total Amount bought]]/Table25[[#This Row],[Total number bought]],"")</f>
        <v>72.907142857142844</v>
      </c>
      <c r="P1919" s="4">
        <f>IFERROR((Table25[[#This Row],[Average sell price]]-Table25[[#This Row],[Average buy price]])*Table25[[#This Row],[Total Sold number of stocks]],0)</f>
        <v>-282.35999999999962</v>
      </c>
      <c r="Q1919" s="85">
        <f>SUMIF(Table25[[#All],[Assets]],Table25[[#This Row],[Assets]],Table25[[#All],[Number of stocks]])</f>
        <v>0</v>
      </c>
    </row>
    <row r="1920" spans="1:17">
      <c r="A1920" t="e" vm="178">
        <v>#VALUE!</v>
      </c>
      <c r="B1920" s="2">
        <v>46014</v>
      </c>
      <c r="C1920" t="str" cm="1">
        <f t="array" aca="1" ref="C1920" ca="1">_FV(A1920,"Ticker symbol",TRUE)</f>
        <v>MARA</v>
      </c>
      <c r="D1920" s="4">
        <v>9.8000000000000007</v>
      </c>
      <c r="E1920" s="50">
        <v>79</v>
      </c>
      <c r="F1920" s="81">
        <f>IF(Table25[[#This Row],[Number of stocks]]&gt;0,Table25[[#This Row],[Number of stocks]],0)</f>
        <v>79</v>
      </c>
      <c r="G1920" s="73">
        <f>Table25[[#This Row],[Bought]]*Table25[[#This Row],[Price]]</f>
        <v>774.2</v>
      </c>
      <c r="H1920">
        <f>SUMIF(Table25[[#All],[Assets]],Table25[[#This Row],[Assets]],Table25[[#All],[Bought]])</f>
        <v>586</v>
      </c>
      <c r="I1920">
        <f>SUMIF(Table25[[#All],[Assets]],Table25[[#This Row],[Assets]],Table25[[#All],[Bought Amount]])</f>
        <v>6128.42</v>
      </c>
      <c r="J1920" s="88">
        <f>IF(Table25[[#This Row],[Number of stocks]]&lt;0,Table25[[#This Row],[Number of stocks]],0)</f>
        <v>0</v>
      </c>
      <c r="K1920" s="5">
        <f>Table25[[#This Row],[Sold]]*Table25[[#This Row],[Price]]</f>
        <v>0</v>
      </c>
      <c r="L1920" s="8">
        <f>ABS(SUMIF(Table25[[#All],[Assets]],Table25[[#This Row],[Assets]],Table25[[#All],[Sold]]))</f>
        <v>79</v>
      </c>
      <c r="M1920" s="5">
        <f>ABS(SUMIF(Table25[[#All],[Assets]],Table25[[#This Row],[Assets]],Table25[[#All],[Sold Amount]]))</f>
        <v>634.37</v>
      </c>
      <c r="N1920" s="5">
        <f>IFERROR(Table25[[#This Row],[Total sold amount]]/Table25[[#This Row],[Total Sold number of stocks]],"")</f>
        <v>8.0299999999999994</v>
      </c>
      <c r="O1920" s="4">
        <f>IFERROR(Table25[[#This Row],[Total Amount bought]]/Table25[[#This Row],[Total number bought]],"")</f>
        <v>10.458054607508533</v>
      </c>
      <c r="P1920" s="4">
        <f>IFERROR((Table25[[#This Row],[Average sell price]]-Table25[[#This Row],[Average buy price]])*Table25[[#This Row],[Total Sold number of stocks]],0)</f>
        <v>-191.81631399317416</v>
      </c>
      <c r="Q1920" s="85">
        <f>SUMIF(Table25[[#All],[Assets]],Table25[[#This Row],[Assets]],Table25[[#All],[Number of stocks]])</f>
        <v>507</v>
      </c>
    </row>
    <row r="1921" spans="1:17">
      <c r="A1921" t="e" vm="87">
        <v>#VALUE!</v>
      </c>
      <c r="B1921" s="2">
        <v>46014</v>
      </c>
      <c r="C1921" t="str" cm="1">
        <f t="array" aca="1" ref="C1921" ca="1">_FV(A1921,"Ticker symbol",TRUE)</f>
        <v>PGY</v>
      </c>
      <c r="D1921" s="4">
        <v>22.36</v>
      </c>
      <c r="E1921" s="50">
        <v>-30</v>
      </c>
      <c r="F1921" s="81">
        <f>IF(Table25[[#This Row],[Number of stocks]]&gt;0,Table25[[#This Row],[Number of stocks]],0)</f>
        <v>0</v>
      </c>
      <c r="G1921" s="73">
        <f>Table25[[#This Row],[Bought]]*Table25[[#This Row],[Price]]</f>
        <v>0</v>
      </c>
      <c r="H1921">
        <f>SUMIF(Table25[[#All],[Assets]],Table25[[#This Row],[Assets]],Table25[[#All],[Bought]])</f>
        <v>120</v>
      </c>
      <c r="I1921">
        <f>SUMIF(Table25[[#All],[Assets]],Table25[[#This Row],[Assets]],Table25[[#All],[Bought Amount]])</f>
        <v>3442.1000000000004</v>
      </c>
      <c r="J1921" s="88">
        <f>IF(Table25[[#This Row],[Number of stocks]]&lt;0,Table25[[#This Row],[Number of stocks]],0)</f>
        <v>-30</v>
      </c>
      <c r="K1921" s="5">
        <f>Table25[[#This Row],[Sold]]*Table25[[#This Row],[Price]]</f>
        <v>-670.8</v>
      </c>
      <c r="L1921" s="8">
        <f>ABS(SUMIF(Table25[[#All],[Assets]],Table25[[#This Row],[Assets]],Table25[[#All],[Sold]]))</f>
        <v>120</v>
      </c>
      <c r="M1921" s="5">
        <f>ABS(SUMIF(Table25[[#All],[Assets]],Table25[[#This Row],[Assets]],Table25[[#All],[Sold Amount]]))</f>
        <v>2686.8999999999996</v>
      </c>
      <c r="N1921" s="5">
        <f>IFERROR(Table25[[#This Row],[Total sold amount]]/Table25[[#This Row],[Total Sold number of stocks]],"")</f>
        <v>22.39083333333333</v>
      </c>
      <c r="O1921" s="4">
        <f>IFERROR(Table25[[#This Row],[Total Amount bought]]/Table25[[#This Row],[Total number bought]],"")</f>
        <v>28.68416666666667</v>
      </c>
      <c r="P1921" s="4">
        <f>IFERROR((Table25[[#This Row],[Average sell price]]-Table25[[#This Row],[Average buy price]])*Table25[[#This Row],[Total Sold number of stocks]],0)</f>
        <v>-755.20000000000084</v>
      </c>
      <c r="Q1921" s="85">
        <f>SUMIF(Table25[[#All],[Assets]],Table25[[#This Row],[Assets]],Table25[[#All],[Number of stocks]])</f>
        <v>0</v>
      </c>
    </row>
    <row r="1922" spans="1:17">
      <c r="A1922" t="e" vm="72">
        <v>#VALUE!</v>
      </c>
      <c r="B1922" s="2">
        <v>46014</v>
      </c>
      <c r="C1922" t="str" cm="1">
        <f t="array" aca="1" ref="C1922" ca="1">_FV(A1922,"Ticker symbol",TRUE)</f>
        <v>AIRS</v>
      </c>
      <c r="D1922" s="4">
        <v>2.1800000000000002</v>
      </c>
      <c r="E1922" s="50">
        <v>280</v>
      </c>
      <c r="F1922" s="81">
        <f>IF(Table25[[#This Row],[Number of stocks]]&gt;0,Table25[[#This Row],[Number of stocks]],0)</f>
        <v>280</v>
      </c>
      <c r="G1922" s="73">
        <f>Table25[[#This Row],[Bought]]*Table25[[#This Row],[Price]]</f>
        <v>610.40000000000009</v>
      </c>
      <c r="H1922">
        <f>SUMIF(Table25[[#All],[Assets]],Table25[[#This Row],[Assets]],Table25[[#All],[Bought]])</f>
        <v>2980</v>
      </c>
      <c r="I1922">
        <f>SUMIF(Table25[[#All],[Assets]],Table25[[#This Row],[Assets]],Table25[[#All],[Bought Amount]])</f>
        <v>14267.900000000001</v>
      </c>
      <c r="J1922" s="88">
        <f>IF(Table25[[#This Row],[Number of stocks]]&lt;0,Table25[[#This Row],[Number of stocks]],0)</f>
        <v>0</v>
      </c>
      <c r="K1922" s="5">
        <f>Table25[[#This Row],[Sold]]*Table25[[#This Row],[Price]]</f>
        <v>0</v>
      </c>
      <c r="L1922" s="8">
        <f>ABS(SUMIF(Table25[[#All],[Assets]],Table25[[#This Row],[Assets]],Table25[[#All],[Sold]]))</f>
        <v>2360</v>
      </c>
      <c r="M1922" s="5">
        <f>ABS(SUMIF(Table25[[#All],[Assets]],Table25[[#This Row],[Assets]],Table25[[#All],[Sold Amount]]))</f>
        <v>7796.6</v>
      </c>
      <c r="N1922" s="5">
        <f>IFERROR(Table25[[#This Row],[Total sold amount]]/Table25[[#This Row],[Total Sold number of stocks]],"")</f>
        <v>3.3036440677966104</v>
      </c>
      <c r="O1922" s="4">
        <f>IFERROR(Table25[[#This Row],[Total Amount bought]]/Table25[[#This Row],[Total number bought]],"")</f>
        <v>4.7878859060402688</v>
      </c>
      <c r="P1922" s="4">
        <f>IFERROR((Table25[[#This Row],[Average sell price]]-Table25[[#This Row],[Average buy price]])*Table25[[#This Row],[Total Sold number of stocks]],0)</f>
        <v>-3502.8107382550338</v>
      </c>
      <c r="Q1922" s="85">
        <f>SUMIF(Table25[[#All],[Assets]],Table25[[#This Row],[Assets]],Table25[[#All],[Number of stocks]])</f>
        <v>620</v>
      </c>
    </row>
    <row r="1923" spans="1:17">
      <c r="A1923" t="e" vm="75">
        <v>#VALUE!</v>
      </c>
      <c r="B1923" s="2">
        <v>46014</v>
      </c>
      <c r="C1923" t="str" cm="1">
        <f t="array" aca="1" ref="C1923" ca="1">_FV(A1923,"Ticker symbol",TRUE)</f>
        <v>QTRX</v>
      </c>
      <c r="D1923" s="4">
        <v>6.61</v>
      </c>
      <c r="E1923" s="50">
        <v>-10</v>
      </c>
      <c r="F1923" s="81">
        <f>IF(Table25[[#This Row],[Number of stocks]]&gt;0,Table25[[#This Row],[Number of stocks]],0)</f>
        <v>0</v>
      </c>
      <c r="G1923" s="73">
        <f>Table25[[#This Row],[Bought]]*Table25[[#This Row],[Price]]</f>
        <v>0</v>
      </c>
      <c r="H1923">
        <f>SUMIF(Table25[[#All],[Assets]],Table25[[#This Row],[Assets]],Table25[[#All],[Bought]])</f>
        <v>1492</v>
      </c>
      <c r="I1923">
        <f>SUMIF(Table25[[#All],[Assets]],Table25[[#This Row],[Assets]],Table25[[#All],[Bought Amount]])</f>
        <v>10313.249999999998</v>
      </c>
      <c r="J1923" s="88">
        <f>IF(Table25[[#This Row],[Number of stocks]]&lt;0,Table25[[#This Row],[Number of stocks]],0)</f>
        <v>-10</v>
      </c>
      <c r="K1923" s="5">
        <f>Table25[[#This Row],[Sold]]*Table25[[#This Row],[Price]]</f>
        <v>-66.100000000000009</v>
      </c>
      <c r="L1923" s="8">
        <f>ABS(SUMIF(Table25[[#All],[Assets]],Table25[[#This Row],[Assets]],Table25[[#All],[Sold]]))</f>
        <v>1492</v>
      </c>
      <c r="M1923" s="5">
        <f>ABS(SUMIF(Table25[[#All],[Assets]],Table25[[#This Row],[Assets]],Table25[[#All],[Sold Amount]]))</f>
        <v>8408.35</v>
      </c>
      <c r="N1923" s="5">
        <f>IFERROR(Table25[[#This Row],[Total sold amount]]/Table25[[#This Row],[Total Sold number of stocks]],"")</f>
        <v>5.635623324396783</v>
      </c>
      <c r="O1923" s="4">
        <f>IFERROR(Table25[[#This Row],[Total Amount bought]]/Table25[[#This Row],[Total number bought]],"")</f>
        <v>6.9123659517426264</v>
      </c>
      <c r="P1923" s="4">
        <f>IFERROR((Table25[[#This Row],[Average sell price]]-Table25[[#This Row],[Average buy price]])*Table25[[#This Row],[Total Sold number of stocks]],0)</f>
        <v>-1904.8999999999983</v>
      </c>
      <c r="Q1923" s="85">
        <f>SUMIF(Table25[[#All],[Assets]],Table25[[#This Row],[Assets]],Table25[[#All],[Number of stocks]])</f>
        <v>0</v>
      </c>
    </row>
    <row r="1924" spans="1:17">
      <c r="A1924" t="e" vm="183">
        <v>#VALUE!</v>
      </c>
      <c r="B1924" s="2">
        <v>46017</v>
      </c>
      <c r="C1924" t="str" cm="1">
        <f t="array" aca="1" ref="C1924" ca="1">_FV(A1924,"Ticker symbol",TRUE)</f>
        <v>ESOA</v>
      </c>
      <c r="D1924" s="4">
        <v>8.02</v>
      </c>
      <c r="E1924" s="50">
        <v>-20</v>
      </c>
      <c r="F1924" s="81">
        <f>IF(Table25[[#This Row],[Number of stocks]]&gt;0,Table25[[#This Row],[Number of stocks]],0)</f>
        <v>0</v>
      </c>
      <c r="G1924" s="73">
        <f>Table25[[#This Row],[Bought]]*Table25[[#This Row],[Price]]</f>
        <v>0</v>
      </c>
      <c r="H1924">
        <f>SUMIF(Table25[[#All],[Assets]],Table25[[#This Row],[Assets]],Table25[[#All],[Bought]])</f>
        <v>1832</v>
      </c>
      <c r="I1924">
        <f>SUMIF(Table25[[#All],[Assets]],Table25[[#This Row],[Assets]],Table25[[#All],[Bought Amount]])</f>
        <v>18152.78</v>
      </c>
      <c r="J1924" s="88">
        <f>IF(Table25[[#This Row],[Number of stocks]]&lt;0,Table25[[#This Row],[Number of stocks]],0)</f>
        <v>-20</v>
      </c>
      <c r="K1924" s="5">
        <f>Table25[[#This Row],[Sold]]*Table25[[#This Row],[Price]]</f>
        <v>-160.39999999999998</v>
      </c>
      <c r="L1924" s="8">
        <f>ABS(SUMIF(Table25[[#All],[Assets]],Table25[[#This Row],[Assets]],Table25[[#All],[Sold]]))</f>
        <v>1568</v>
      </c>
      <c r="M1924" s="5">
        <f>ABS(SUMIF(Table25[[#All],[Assets]],Table25[[#This Row],[Assets]],Table25[[#All],[Sold Amount]]))</f>
        <v>14668</v>
      </c>
      <c r="N1924" s="5">
        <f>IFERROR(Table25[[#This Row],[Total sold amount]]/Table25[[#This Row],[Total Sold number of stocks]],"")</f>
        <v>9.3545918367346932</v>
      </c>
      <c r="O1924" s="4">
        <f>IFERROR(Table25[[#This Row],[Total Amount bought]]/Table25[[#This Row],[Total number bought]],"")</f>
        <v>9.9087227074235802</v>
      </c>
      <c r="P1924" s="4">
        <f>IFERROR((Table25[[#This Row],[Average sell price]]-Table25[[#This Row],[Average buy price]])*Table25[[#This Row],[Total Sold number of stocks]],0)</f>
        <v>-868.87720524017482</v>
      </c>
      <c r="Q1924" s="85">
        <f>SUMIF(Table25[[#All],[Assets]],Table25[[#This Row],[Assets]],Table25[[#All],[Number of stocks]])</f>
        <v>264</v>
      </c>
    </row>
    <row r="1925" spans="1:17">
      <c r="A1925" t="e" vm="185">
        <v>#VALUE!</v>
      </c>
      <c r="B1925" s="2">
        <v>46017</v>
      </c>
      <c r="C1925" t="str" cm="1">
        <f t="array" aca="1" ref="C1925" ca="1">_FV(A1925,"Ticker symbol",TRUE)</f>
        <v>ALMU</v>
      </c>
      <c r="D1925" s="4">
        <v>16.72</v>
      </c>
      <c r="E1925" s="50">
        <v>40</v>
      </c>
      <c r="F1925" s="81">
        <f>IF(Table25[[#This Row],[Number of stocks]]&gt;0,Table25[[#This Row],[Number of stocks]],0)</f>
        <v>40</v>
      </c>
      <c r="G1925" s="73">
        <f>Table25[[#This Row],[Bought]]*Table25[[#This Row],[Price]]</f>
        <v>668.8</v>
      </c>
      <c r="H1925">
        <f>SUMIF(Table25[[#All],[Assets]],Table25[[#This Row],[Assets]],Table25[[#All],[Bought]])</f>
        <v>153</v>
      </c>
      <c r="I1925">
        <f>SUMIF(Table25[[#All],[Assets]],Table25[[#This Row],[Assets]],Table25[[#All],[Bought Amount]])</f>
        <v>2675.17</v>
      </c>
      <c r="J1925" s="88">
        <f>IF(Table25[[#This Row],[Number of stocks]]&lt;0,Table25[[#This Row],[Number of stocks]],0)</f>
        <v>0</v>
      </c>
      <c r="K1925" s="5">
        <f>Table25[[#This Row],[Sold]]*Table25[[#This Row],[Price]]</f>
        <v>0</v>
      </c>
      <c r="L1925" s="8">
        <f>ABS(SUMIF(Table25[[#All],[Assets]],Table25[[#This Row],[Assets]],Table25[[#All],[Sold]]))</f>
        <v>0</v>
      </c>
      <c r="M1925" s="5">
        <f>ABS(SUMIF(Table25[[#All],[Assets]],Table25[[#This Row],[Assets]],Table25[[#All],[Sold Amount]]))</f>
        <v>0</v>
      </c>
      <c r="N1925" s="5" t="str">
        <f>IFERROR(Table25[[#This Row],[Total sold amount]]/Table25[[#This Row],[Total Sold number of stocks]],"")</f>
        <v/>
      </c>
      <c r="O1925" s="4">
        <f>IFERROR(Table25[[#This Row],[Total Amount bought]]/Table25[[#This Row],[Total number bought]],"")</f>
        <v>17.484771241830067</v>
      </c>
      <c r="P1925" s="4">
        <f>IFERROR((Table25[[#This Row],[Average sell price]]-Table25[[#This Row],[Average buy price]])*Table25[[#This Row],[Total Sold number of stocks]],0)</f>
        <v>0</v>
      </c>
      <c r="Q1925" s="85">
        <f>SUMIF(Table25[[#All],[Assets]],Table25[[#This Row],[Assets]],Table25[[#All],[Number of stocks]])</f>
        <v>153</v>
      </c>
    </row>
    <row r="1926" spans="1:17">
      <c r="A1926" t="e" vm="191">
        <v>#VALUE!</v>
      </c>
      <c r="B1926" s="2">
        <v>46017</v>
      </c>
      <c r="C1926" t="str" cm="1">
        <f t="array" aca="1" ref="C1926" ca="1">_FV(A1926,"Ticker symbol",TRUE)</f>
        <v>SHMD</v>
      </c>
      <c r="D1926" s="4">
        <v>5.66</v>
      </c>
      <c r="E1926" s="50">
        <v>100</v>
      </c>
      <c r="F1926" s="81">
        <f>IF(Table25[[#This Row],[Number of stocks]]&gt;0,Table25[[#This Row],[Number of stocks]],0)</f>
        <v>100</v>
      </c>
      <c r="G1926" s="73">
        <f>Table25[[#This Row],[Bought]]*Table25[[#This Row],[Price]]</f>
        <v>566</v>
      </c>
      <c r="H1926">
        <f>SUMIF(Table25[[#All],[Assets]],Table25[[#This Row],[Assets]],Table25[[#All],[Bought]])</f>
        <v>445</v>
      </c>
      <c r="I1926">
        <f>SUMIF(Table25[[#All],[Assets]],Table25[[#This Row],[Assets]],Table25[[#All],[Bought Amount]])</f>
        <v>2767.06</v>
      </c>
      <c r="J1926" s="88">
        <f>IF(Table25[[#This Row],[Number of stocks]]&lt;0,Table25[[#This Row],[Number of stocks]],0)</f>
        <v>0</v>
      </c>
      <c r="K1926" s="5">
        <f>Table25[[#This Row],[Sold]]*Table25[[#This Row],[Price]]</f>
        <v>0</v>
      </c>
      <c r="L1926" s="8">
        <f>ABS(SUMIF(Table25[[#All],[Assets]],Table25[[#This Row],[Assets]],Table25[[#All],[Sold]]))</f>
        <v>0</v>
      </c>
      <c r="M1926" s="5">
        <f>ABS(SUMIF(Table25[[#All],[Assets]],Table25[[#This Row],[Assets]],Table25[[#All],[Sold Amount]]))</f>
        <v>0</v>
      </c>
      <c r="N1926" s="5" t="str">
        <f>IFERROR(Table25[[#This Row],[Total sold amount]]/Table25[[#This Row],[Total Sold number of stocks]],"")</f>
        <v/>
      </c>
      <c r="O1926" s="4">
        <f>IFERROR(Table25[[#This Row],[Total Amount bought]]/Table25[[#This Row],[Total number bought]],"")</f>
        <v>6.2181123595505614</v>
      </c>
      <c r="P1926" s="4">
        <f>IFERROR((Table25[[#This Row],[Average sell price]]-Table25[[#This Row],[Average buy price]])*Table25[[#This Row],[Total Sold number of stocks]],0)</f>
        <v>0</v>
      </c>
      <c r="Q1926" s="85">
        <f>SUMIF(Table25[[#All],[Assets]],Table25[[#This Row],[Assets]],Table25[[#All],[Number of stocks]])</f>
        <v>445</v>
      </c>
    </row>
    <row r="1927" spans="1:17">
      <c r="A1927" t="e" vm="580">
        <v>#VALUE!</v>
      </c>
      <c r="B1927" s="2">
        <v>46017</v>
      </c>
      <c r="C1927" t="str" cm="1">
        <f t="array" aca="1" ref="C1927" ca="1">_FV(A1927,"Ticker symbol",TRUE)</f>
        <v>ISRG</v>
      </c>
      <c r="D1927" s="4">
        <v>577.41</v>
      </c>
      <c r="E1927" s="50">
        <v>-1</v>
      </c>
      <c r="F1927" s="81">
        <f>IF(Table25[[#This Row],[Number of stocks]]&gt;0,Table25[[#This Row],[Number of stocks]],0)</f>
        <v>0</v>
      </c>
      <c r="G1927" s="73">
        <f>Table25[[#This Row],[Bought]]*Table25[[#This Row],[Price]]</f>
        <v>0</v>
      </c>
      <c r="H1927">
        <f>SUMIF(Table25[[#All],[Assets]],Table25[[#This Row],[Assets]],Table25[[#All],[Bought]])</f>
        <v>1</v>
      </c>
      <c r="I1927">
        <f>SUMIF(Table25[[#All],[Assets]],Table25[[#This Row],[Assets]],Table25[[#All],[Bought Amount]])</f>
        <v>449.3</v>
      </c>
      <c r="J1927" s="88">
        <f>IF(Table25[[#This Row],[Number of stocks]]&lt;0,Table25[[#This Row],[Number of stocks]],0)</f>
        <v>-1</v>
      </c>
      <c r="K1927" s="5">
        <f>Table25[[#This Row],[Sold]]*Table25[[#This Row],[Price]]</f>
        <v>-577.41</v>
      </c>
      <c r="L1927" s="8">
        <f>ABS(SUMIF(Table25[[#All],[Assets]],Table25[[#This Row],[Assets]],Table25[[#All],[Sold]]))</f>
        <v>1</v>
      </c>
      <c r="M1927" s="5">
        <f>ABS(SUMIF(Table25[[#All],[Assets]],Table25[[#This Row],[Assets]],Table25[[#All],[Sold Amount]]))</f>
        <v>577.41</v>
      </c>
      <c r="N1927" s="5">
        <f>IFERROR(Table25[[#This Row],[Total sold amount]]/Table25[[#This Row],[Total Sold number of stocks]],"")</f>
        <v>577.41</v>
      </c>
      <c r="O1927" s="4">
        <f>IFERROR(Table25[[#This Row],[Total Amount bought]]/Table25[[#This Row],[Total number bought]],"")</f>
        <v>449.3</v>
      </c>
      <c r="P1927" s="4">
        <f>IFERROR((Table25[[#This Row],[Average sell price]]-Table25[[#This Row],[Average buy price]])*Table25[[#This Row],[Total Sold number of stocks]],0)</f>
        <v>128.10999999999996</v>
      </c>
      <c r="Q1927" s="85">
        <f>SUMIF(Table25[[#All],[Assets]],Table25[[#This Row],[Assets]],Table25[[#All],[Number of stocks]])</f>
        <v>0</v>
      </c>
    </row>
    <row r="1928" spans="1:17">
      <c r="A1928" t="e" vm="208">
        <v>#VALUE!</v>
      </c>
      <c r="B1928" s="2">
        <v>46017</v>
      </c>
      <c r="C1928" t="str" cm="1">
        <f t="array" aca="1" ref="C1928" ca="1">_FV(A1928,"Ticker symbol",TRUE)</f>
        <v>PPSI</v>
      </c>
      <c r="D1928" s="4">
        <v>4.5999999999999996</v>
      </c>
      <c r="E1928" s="50">
        <v>125</v>
      </c>
      <c r="F1928" s="81">
        <f>IF(Table25[[#This Row],[Number of stocks]]&gt;0,Table25[[#This Row],[Number of stocks]],0)</f>
        <v>125</v>
      </c>
      <c r="G1928" s="73">
        <f>Table25[[#This Row],[Bought]]*Table25[[#This Row],[Price]]</f>
        <v>575</v>
      </c>
      <c r="H1928">
        <f>SUMIF(Table25[[#All],[Assets]],Table25[[#This Row],[Assets]],Table25[[#All],[Bought]])</f>
        <v>125</v>
      </c>
      <c r="I1928">
        <f>SUMIF(Table25[[#All],[Assets]],Table25[[#This Row],[Assets]],Table25[[#All],[Bought Amount]])</f>
        <v>575</v>
      </c>
      <c r="J1928" s="88">
        <f>IF(Table25[[#This Row],[Number of stocks]]&lt;0,Table25[[#This Row],[Number of stocks]],0)</f>
        <v>0</v>
      </c>
      <c r="K1928" s="5">
        <f>Table25[[#This Row],[Sold]]*Table25[[#This Row],[Price]]</f>
        <v>0</v>
      </c>
      <c r="L1928" s="8">
        <f>ABS(SUMIF(Table25[[#All],[Assets]],Table25[[#This Row],[Assets]],Table25[[#All],[Sold]]))</f>
        <v>125</v>
      </c>
      <c r="M1928" s="5">
        <f>ABS(SUMIF(Table25[[#All],[Assets]],Table25[[#This Row],[Assets]],Table25[[#All],[Sold Amount]]))</f>
        <v>583.75</v>
      </c>
      <c r="N1928" s="5">
        <f>IFERROR(Table25[[#This Row],[Total sold amount]]/Table25[[#This Row],[Total Sold number of stocks]],"")</f>
        <v>4.67</v>
      </c>
      <c r="O1928" s="4">
        <f>IFERROR(Table25[[#This Row],[Total Amount bought]]/Table25[[#This Row],[Total number bought]],"")</f>
        <v>4.5999999999999996</v>
      </c>
      <c r="P1928" s="4">
        <f>IFERROR((Table25[[#This Row],[Average sell price]]-Table25[[#This Row],[Average buy price]])*Table25[[#This Row],[Total Sold number of stocks]],0)</f>
        <v>8.7500000000000355</v>
      </c>
      <c r="Q1928" s="85">
        <f>SUMIF(Table25[[#All],[Assets]],Table25[[#This Row],[Assets]],Table25[[#All],[Number of stocks]])</f>
        <v>0</v>
      </c>
    </row>
    <row r="1929" spans="1:17">
      <c r="A1929" t="e" vm="273">
        <v>#VALUE!</v>
      </c>
      <c r="B1929" s="2">
        <v>46017</v>
      </c>
      <c r="C1929" t="str" cm="1">
        <f t="array" aca="1" ref="C1929" ca="1">_FV(A1929,"Ticker symbol",TRUE)</f>
        <v>CVRX</v>
      </c>
      <c r="D1929" s="4">
        <v>7.45</v>
      </c>
      <c r="E1929" s="50">
        <v>-85</v>
      </c>
      <c r="F1929" s="81">
        <f>IF(Table25[[#This Row],[Number of stocks]]&gt;0,Table25[[#This Row],[Number of stocks]],0)</f>
        <v>0</v>
      </c>
      <c r="G1929" s="73">
        <f>Table25[[#This Row],[Bought]]*Table25[[#This Row],[Price]]</f>
        <v>0</v>
      </c>
      <c r="H1929">
        <f>SUMIF(Table25[[#All],[Assets]],Table25[[#This Row],[Assets]],Table25[[#All],[Bought]])</f>
        <v>560</v>
      </c>
      <c r="I1929">
        <f>SUMIF(Table25[[#All],[Assets]],Table25[[#This Row],[Assets]],Table25[[#All],[Bought Amount]])</f>
        <v>5451</v>
      </c>
      <c r="J1929" s="88">
        <f>IF(Table25[[#This Row],[Number of stocks]]&lt;0,Table25[[#This Row],[Number of stocks]],0)</f>
        <v>-85</v>
      </c>
      <c r="K1929" s="5">
        <f>Table25[[#This Row],[Sold]]*Table25[[#This Row],[Price]]</f>
        <v>-633.25</v>
      </c>
      <c r="L1929" s="8">
        <f>ABS(SUMIF(Table25[[#All],[Assets]],Table25[[#This Row],[Assets]],Table25[[#All],[Sold]]))</f>
        <v>560</v>
      </c>
      <c r="M1929" s="5">
        <f>ABS(SUMIF(Table25[[#All],[Assets]],Table25[[#This Row],[Assets]],Table25[[#All],[Sold Amount]]))</f>
        <v>4910.5499999999993</v>
      </c>
      <c r="N1929" s="5">
        <f>IFERROR(Table25[[#This Row],[Total sold amount]]/Table25[[#This Row],[Total Sold number of stocks]],"")</f>
        <v>8.7688392857142841</v>
      </c>
      <c r="O1929" s="4">
        <f>IFERROR(Table25[[#This Row],[Total Amount bought]]/Table25[[#This Row],[Total number bought]],"")</f>
        <v>9.7339285714285708</v>
      </c>
      <c r="P1929" s="4">
        <f>IFERROR((Table25[[#This Row],[Average sell price]]-Table25[[#This Row],[Average buy price]])*Table25[[#This Row],[Total Sold number of stocks]],0)</f>
        <v>-540.45000000000061</v>
      </c>
      <c r="Q1929" s="85">
        <f>SUMIF(Table25[[#All],[Assets]],Table25[[#This Row],[Assets]],Table25[[#All],[Number of stocks]])</f>
        <v>0</v>
      </c>
    </row>
    <row r="1930" spans="1:17">
      <c r="A1930" t="e" vm="75">
        <v>#VALUE!</v>
      </c>
      <c r="B1930" s="2">
        <v>46017</v>
      </c>
      <c r="C1930" t="str" cm="1">
        <f t="array" aca="1" ref="C1930" ca="1">_FV(A1930,"Ticker symbol",TRUE)</f>
        <v>QTRX</v>
      </c>
      <c r="D1930" s="4">
        <v>6.47</v>
      </c>
      <c r="E1930" s="50">
        <v>-37</v>
      </c>
      <c r="F1930" s="81">
        <f>IF(Table25[[#This Row],[Number of stocks]]&gt;0,Table25[[#This Row],[Number of stocks]],0)</f>
        <v>0</v>
      </c>
      <c r="G1930" s="73">
        <f>Table25[[#This Row],[Bought]]*Table25[[#This Row],[Price]]</f>
        <v>0</v>
      </c>
      <c r="H1930">
        <f>SUMIF(Table25[[#All],[Assets]],Table25[[#This Row],[Assets]],Table25[[#All],[Bought]])</f>
        <v>1492</v>
      </c>
      <c r="I1930">
        <f>SUMIF(Table25[[#All],[Assets]],Table25[[#This Row],[Assets]],Table25[[#All],[Bought Amount]])</f>
        <v>10313.249999999998</v>
      </c>
      <c r="J1930" s="88">
        <f>IF(Table25[[#This Row],[Number of stocks]]&lt;0,Table25[[#This Row],[Number of stocks]],0)</f>
        <v>-37</v>
      </c>
      <c r="K1930" s="5">
        <f>Table25[[#This Row],[Sold]]*Table25[[#This Row],[Price]]</f>
        <v>-239.39</v>
      </c>
      <c r="L1930" s="8">
        <f>ABS(SUMIF(Table25[[#All],[Assets]],Table25[[#This Row],[Assets]],Table25[[#All],[Sold]]))</f>
        <v>1492</v>
      </c>
      <c r="M1930" s="5">
        <f>ABS(SUMIF(Table25[[#All],[Assets]],Table25[[#This Row],[Assets]],Table25[[#All],[Sold Amount]]))</f>
        <v>8408.35</v>
      </c>
      <c r="N1930" s="5">
        <f>IFERROR(Table25[[#This Row],[Total sold amount]]/Table25[[#This Row],[Total Sold number of stocks]],"")</f>
        <v>5.635623324396783</v>
      </c>
      <c r="O1930" s="4">
        <f>IFERROR(Table25[[#This Row],[Total Amount bought]]/Table25[[#This Row],[Total number bought]],"")</f>
        <v>6.9123659517426264</v>
      </c>
      <c r="P1930" s="4">
        <f>IFERROR((Table25[[#This Row],[Average sell price]]-Table25[[#This Row],[Average buy price]])*Table25[[#This Row],[Total Sold number of stocks]],0)</f>
        <v>-1904.8999999999983</v>
      </c>
      <c r="Q1930" s="85">
        <f>SUMIF(Table25[[#All],[Assets]],Table25[[#This Row],[Assets]],Table25[[#All],[Number of stocks]])</f>
        <v>0</v>
      </c>
    </row>
    <row r="1931" spans="1:17">
      <c r="A1931" t="e" vm="6">
        <v>#VALUE!</v>
      </c>
      <c r="B1931" s="2">
        <v>46017</v>
      </c>
      <c r="C1931" t="str" cm="1">
        <f t="array" aca="1" ref="C1931" ca="1">_FV(A1931,"Ticker symbol",TRUE)</f>
        <v>KTOS</v>
      </c>
      <c r="D1931" s="4">
        <v>77.89</v>
      </c>
      <c r="E1931" s="50">
        <v>-33</v>
      </c>
      <c r="F1931" s="81">
        <f>IF(Table25[[#This Row],[Number of stocks]]&gt;0,Table25[[#This Row],[Number of stocks]],0)</f>
        <v>0</v>
      </c>
      <c r="G1931" s="73">
        <f>Table25[[#This Row],[Bought]]*Table25[[#This Row],[Price]]</f>
        <v>0</v>
      </c>
      <c r="H1931">
        <f>SUMIF(Table25[[#All],[Assets]],Table25[[#This Row],[Assets]],Table25[[#All],[Bought]])</f>
        <v>121</v>
      </c>
      <c r="I1931">
        <f>SUMIF(Table25[[#All],[Assets]],Table25[[#This Row],[Assets]],Table25[[#All],[Bought Amount]])</f>
        <v>3826.76</v>
      </c>
      <c r="J1931" s="88">
        <f>IF(Table25[[#This Row],[Number of stocks]]&lt;0,Table25[[#This Row],[Number of stocks]],0)</f>
        <v>-33</v>
      </c>
      <c r="K1931" s="5">
        <f>Table25[[#This Row],[Sold]]*Table25[[#This Row],[Price]]</f>
        <v>-2570.37</v>
      </c>
      <c r="L1931" s="8">
        <f>ABS(SUMIF(Table25[[#All],[Assets]],Table25[[#This Row],[Assets]],Table25[[#All],[Sold]]))</f>
        <v>121</v>
      </c>
      <c r="M1931" s="5">
        <f>ABS(SUMIF(Table25[[#All],[Assets]],Table25[[#This Row],[Assets]],Table25[[#All],[Sold Amount]]))</f>
        <v>8971.93</v>
      </c>
      <c r="N1931" s="5">
        <f>IFERROR(Table25[[#This Row],[Total sold amount]]/Table25[[#This Row],[Total Sold number of stocks]],"")</f>
        <v>74.148181818181826</v>
      </c>
      <c r="O1931" s="4">
        <f>IFERROR(Table25[[#This Row],[Total Amount bought]]/Table25[[#This Row],[Total number bought]],"")</f>
        <v>31.626115702479339</v>
      </c>
      <c r="P1931" s="4">
        <f>IFERROR((Table25[[#This Row],[Average sell price]]-Table25[[#This Row],[Average buy price]])*Table25[[#This Row],[Total Sold number of stocks]],0)</f>
        <v>5145.170000000001</v>
      </c>
      <c r="Q1931" s="85">
        <f>SUMIF(Table25[[#All],[Assets]],Table25[[#This Row],[Assets]],Table25[[#All],[Number of stocks]])</f>
        <v>0</v>
      </c>
    </row>
    <row r="1932" spans="1:17">
      <c r="A1932" t="e" vm="207">
        <v>#VALUE!</v>
      </c>
      <c r="B1932" s="2">
        <v>46017</v>
      </c>
      <c r="C1932" t="str" cm="1">
        <f t="array" aca="1" ref="C1932" ca="1">_FV(A1932,"Ticker symbol",TRUE)</f>
        <v>CLPT</v>
      </c>
      <c r="D1932" s="4">
        <v>14.06</v>
      </c>
      <c r="E1932" s="50">
        <v>-120</v>
      </c>
      <c r="F1932" s="81">
        <f>IF(Table25[[#This Row],[Number of stocks]]&gt;0,Table25[[#This Row],[Number of stocks]],0)</f>
        <v>0</v>
      </c>
      <c r="G1932" s="73">
        <f>Table25[[#This Row],[Bought]]*Table25[[#This Row],[Price]]</f>
        <v>0</v>
      </c>
      <c r="H1932">
        <f>SUMIF(Table25[[#All],[Assets]],Table25[[#This Row],[Assets]],Table25[[#All],[Bought]])</f>
        <v>167</v>
      </c>
      <c r="I1932">
        <f>SUMIF(Table25[[#All],[Assets]],Table25[[#This Row],[Assets]],Table25[[#All],[Bought Amount]])</f>
        <v>2399.79</v>
      </c>
      <c r="J1932" s="88">
        <f>IF(Table25[[#This Row],[Number of stocks]]&lt;0,Table25[[#This Row],[Number of stocks]],0)</f>
        <v>-120</v>
      </c>
      <c r="K1932" s="5">
        <f>Table25[[#This Row],[Sold]]*Table25[[#This Row],[Price]]</f>
        <v>-1687.2</v>
      </c>
      <c r="L1932" s="8">
        <f>ABS(SUMIF(Table25[[#All],[Assets]],Table25[[#This Row],[Assets]],Table25[[#All],[Sold]]))</f>
        <v>167</v>
      </c>
      <c r="M1932" s="5">
        <f>ABS(SUMIF(Table25[[#All],[Assets]],Table25[[#This Row],[Assets]],Table25[[#All],[Sold Amount]]))</f>
        <v>2385.15</v>
      </c>
      <c r="N1932" s="5">
        <f>IFERROR(Table25[[#This Row],[Total sold amount]]/Table25[[#This Row],[Total Sold number of stocks]],"")</f>
        <v>14.282335329341318</v>
      </c>
      <c r="O1932" s="4">
        <f>IFERROR(Table25[[#This Row],[Total Amount bought]]/Table25[[#This Row],[Total number bought]],"")</f>
        <v>14.37</v>
      </c>
      <c r="P1932" s="4">
        <f>IFERROR((Table25[[#This Row],[Average sell price]]-Table25[[#This Row],[Average buy price]])*Table25[[#This Row],[Total Sold number of stocks]],0)</f>
        <v>-14.63999999999969</v>
      </c>
      <c r="Q1932" s="85">
        <f>SUMIF(Table25[[#All],[Assets]],Table25[[#This Row],[Assets]],Table25[[#All],[Number of stocks]])</f>
        <v>0</v>
      </c>
    </row>
    <row r="1933" spans="1:17">
      <c r="A1933" t="e" vm="342">
        <v>#VALUE!</v>
      </c>
      <c r="B1933" s="2">
        <v>46020</v>
      </c>
      <c r="C1933" t="str" cm="1">
        <f t="array" aca="1" ref="C1933" ca="1">_FV(A1933,"Ticker symbol",TRUE)</f>
        <v>VKTX</v>
      </c>
      <c r="D1933" s="4">
        <v>37.01</v>
      </c>
      <c r="E1933" s="50">
        <v>-15</v>
      </c>
      <c r="F1933" s="81">
        <f>IF(Table25[[#This Row],[Number of stocks]]&gt;0,Table25[[#This Row],[Number of stocks]],0)</f>
        <v>0</v>
      </c>
      <c r="G1933" s="73">
        <f>Table25[[#This Row],[Bought]]*Table25[[#This Row],[Price]]</f>
        <v>0</v>
      </c>
      <c r="H1933">
        <f>SUMIF(Table25[[#All],[Assets]],Table25[[#This Row],[Assets]],Table25[[#All],[Bought]])</f>
        <v>37</v>
      </c>
      <c r="I1933">
        <f>SUMIF(Table25[[#All],[Assets]],Table25[[#This Row],[Assets]],Table25[[#All],[Bought Amount]])</f>
        <v>1461.42</v>
      </c>
      <c r="J1933" s="88">
        <f>IF(Table25[[#This Row],[Number of stocks]]&lt;0,Table25[[#This Row],[Number of stocks]],0)</f>
        <v>-15</v>
      </c>
      <c r="K1933" s="5">
        <f>Table25[[#This Row],[Sold]]*Table25[[#This Row],[Price]]</f>
        <v>-555.15</v>
      </c>
      <c r="L1933" s="8">
        <f>ABS(SUMIF(Table25[[#All],[Assets]],Table25[[#This Row],[Assets]],Table25[[#All],[Sold]]))</f>
        <v>37</v>
      </c>
      <c r="M1933" s="5">
        <f>ABS(SUMIF(Table25[[#All],[Assets]],Table25[[#This Row],[Assets]],Table25[[#All],[Sold Amount]]))</f>
        <v>1546.19</v>
      </c>
      <c r="N1933" s="5">
        <f>IFERROR(Table25[[#This Row],[Total sold amount]]/Table25[[#This Row],[Total Sold number of stocks]],"")</f>
        <v>41.788918918918924</v>
      </c>
      <c r="O1933" s="4">
        <f>IFERROR(Table25[[#This Row],[Total Amount bought]]/Table25[[#This Row],[Total number bought]],"")</f>
        <v>39.497837837837842</v>
      </c>
      <c r="P1933" s="4">
        <f>IFERROR((Table25[[#This Row],[Average sell price]]-Table25[[#This Row],[Average buy price]])*Table25[[#This Row],[Total Sold number of stocks]],0)</f>
        <v>84.77000000000001</v>
      </c>
      <c r="Q1933" s="85">
        <f>SUMIF(Table25[[#All],[Assets]],Table25[[#This Row],[Assets]],Table25[[#All],[Number of stocks]])</f>
        <v>0</v>
      </c>
    </row>
    <row r="1934" spans="1:17">
      <c r="A1934" t="e" vm="209">
        <v>#VALUE!</v>
      </c>
      <c r="B1934" s="2">
        <v>46020</v>
      </c>
      <c r="C1934" t="str" cm="1">
        <f t="array" aca="1" ref="C1934" ca="1">_FV(A1934,"Ticker symbol",TRUE)</f>
        <v>CMTL</v>
      </c>
      <c r="D1934" s="4">
        <v>4.99</v>
      </c>
      <c r="E1934" s="50">
        <v>100</v>
      </c>
      <c r="F1934" s="81">
        <f>IF(Table25[[#This Row],[Number of stocks]]&gt;0,Table25[[#This Row],[Number of stocks]],0)</f>
        <v>100</v>
      </c>
      <c r="G1934" s="73">
        <f>Table25[[#This Row],[Bought]]*Table25[[#This Row],[Price]]</f>
        <v>499</v>
      </c>
      <c r="H1934">
        <f>SUMIF(Table25[[#All],[Assets]],Table25[[#This Row],[Assets]],Table25[[#All],[Bought]])</f>
        <v>900</v>
      </c>
      <c r="I1934">
        <f>SUMIF(Table25[[#All],[Assets]],Table25[[#This Row],[Assets]],Table25[[#All],[Bought Amount]])</f>
        <v>2867</v>
      </c>
      <c r="J1934" s="88">
        <f>IF(Table25[[#This Row],[Number of stocks]]&lt;0,Table25[[#This Row],[Number of stocks]],0)</f>
        <v>0</v>
      </c>
      <c r="K1934" s="5">
        <f>Table25[[#This Row],[Sold]]*Table25[[#This Row],[Price]]</f>
        <v>0</v>
      </c>
      <c r="L1934" s="8">
        <f>ABS(SUMIF(Table25[[#All],[Assets]],Table25[[#This Row],[Assets]],Table25[[#All],[Sold]]))</f>
        <v>800</v>
      </c>
      <c r="M1934" s="5">
        <f>ABS(SUMIF(Table25[[#All],[Assets]],Table25[[#This Row],[Assets]],Table25[[#All],[Sold Amount]]))</f>
        <v>1676</v>
      </c>
      <c r="N1934" s="5">
        <f>IFERROR(Table25[[#This Row],[Total sold amount]]/Table25[[#This Row],[Total Sold number of stocks]],"")</f>
        <v>2.0950000000000002</v>
      </c>
      <c r="O1934" s="4">
        <f>IFERROR(Table25[[#This Row],[Total Amount bought]]/Table25[[#This Row],[Total number bought]],"")</f>
        <v>3.1855555555555557</v>
      </c>
      <c r="P1934" s="4">
        <f>IFERROR((Table25[[#This Row],[Average sell price]]-Table25[[#This Row],[Average buy price]])*Table25[[#This Row],[Total Sold number of stocks]],0)</f>
        <v>-872.44444444444434</v>
      </c>
      <c r="Q1934" s="85">
        <f>SUMIF(Table25[[#All],[Assets]],Table25[[#This Row],[Assets]],Table25[[#All],[Number of stocks]])</f>
        <v>100</v>
      </c>
    </row>
    <row r="1935" spans="1:17">
      <c r="A1935" t="e" vm="198">
        <v>#VALUE!</v>
      </c>
      <c r="B1935" s="2">
        <v>46020</v>
      </c>
      <c r="C1935" t="str" cm="1">
        <f t="array" aca="1" ref="C1935" ca="1">_FV(A1935,"Ticker symbol",TRUE)</f>
        <v>INDV</v>
      </c>
      <c r="D1935" s="4">
        <v>36.4</v>
      </c>
      <c r="E1935" s="50">
        <v>-20</v>
      </c>
      <c r="F1935" s="81">
        <f>IF(Table25[[#This Row],[Number of stocks]]&gt;0,Table25[[#This Row],[Number of stocks]],0)</f>
        <v>0</v>
      </c>
      <c r="G1935" s="73">
        <f>Table25[[#This Row],[Bought]]*Table25[[#This Row],[Price]]</f>
        <v>0</v>
      </c>
      <c r="H1935">
        <f>SUMIF(Table25[[#All],[Assets]],Table25[[#This Row],[Assets]],Table25[[#All],[Bought]])</f>
        <v>58</v>
      </c>
      <c r="I1935">
        <f>SUMIF(Table25[[#All],[Assets]],Table25[[#This Row],[Assets]],Table25[[#All],[Bought Amount]])</f>
        <v>1433.8400000000001</v>
      </c>
      <c r="J1935" s="88">
        <f>IF(Table25[[#This Row],[Number of stocks]]&lt;0,Table25[[#This Row],[Number of stocks]],0)</f>
        <v>-20</v>
      </c>
      <c r="K1935" s="5">
        <f>Table25[[#This Row],[Sold]]*Table25[[#This Row],[Price]]</f>
        <v>-728</v>
      </c>
      <c r="L1935" s="8">
        <f>ABS(SUMIF(Table25[[#All],[Assets]],Table25[[#This Row],[Assets]],Table25[[#All],[Sold]]))</f>
        <v>58</v>
      </c>
      <c r="M1935" s="5">
        <f>ABS(SUMIF(Table25[[#All],[Assets]],Table25[[#This Row],[Assets]],Table25[[#All],[Sold Amount]]))</f>
        <v>2022.2799999999997</v>
      </c>
      <c r="N1935" s="5">
        <f>IFERROR(Table25[[#This Row],[Total sold amount]]/Table25[[#This Row],[Total Sold number of stocks]],"")</f>
        <v>34.866896551724132</v>
      </c>
      <c r="O1935" s="4">
        <f>IFERROR(Table25[[#This Row],[Total Amount bought]]/Table25[[#This Row],[Total number bought]],"")</f>
        <v>24.72137931034483</v>
      </c>
      <c r="P1935" s="4">
        <f>IFERROR((Table25[[#This Row],[Average sell price]]-Table25[[#This Row],[Average buy price]])*Table25[[#This Row],[Total Sold number of stocks]],0)</f>
        <v>588.43999999999949</v>
      </c>
      <c r="Q1935" s="85">
        <f>SUMIF(Table25[[#All],[Assets]],Table25[[#This Row],[Assets]],Table25[[#All],[Number of stocks]])</f>
        <v>0</v>
      </c>
    </row>
    <row r="1936" spans="1:17">
      <c r="A1936" t="e" vm="201">
        <v>#VALUE!</v>
      </c>
      <c r="B1936" s="2">
        <v>46020</v>
      </c>
      <c r="C1936" t="str" cm="1">
        <f t="array" aca="1" ref="C1936" ca="1">_FV(A1936,"Ticker symbol",TRUE)</f>
        <v>AXTI</v>
      </c>
      <c r="D1936" s="4">
        <v>14.74</v>
      </c>
      <c r="E1936" s="50">
        <v>40</v>
      </c>
      <c r="F1936" s="81">
        <f>IF(Table25[[#This Row],[Number of stocks]]&gt;0,Table25[[#This Row],[Number of stocks]],0)</f>
        <v>40</v>
      </c>
      <c r="G1936" s="73">
        <f>Table25[[#This Row],[Bought]]*Table25[[#This Row],[Price]]</f>
        <v>589.6</v>
      </c>
      <c r="H1936">
        <f>SUMIF(Table25[[#All],[Assets]],Table25[[#This Row],[Assets]],Table25[[#All],[Bought]])</f>
        <v>40</v>
      </c>
      <c r="I1936">
        <f>SUMIF(Table25[[#All],[Assets]],Table25[[#This Row],[Assets]],Table25[[#All],[Bought Amount]])</f>
        <v>589.6</v>
      </c>
      <c r="J1936" s="88">
        <f>IF(Table25[[#This Row],[Number of stocks]]&lt;0,Table25[[#This Row],[Number of stocks]],0)</f>
        <v>0</v>
      </c>
      <c r="K1936" s="5">
        <f>Table25[[#This Row],[Sold]]*Table25[[#This Row],[Price]]</f>
        <v>0</v>
      </c>
      <c r="L1936" s="8">
        <f>ABS(SUMIF(Table25[[#All],[Assets]],Table25[[#This Row],[Assets]],Table25[[#All],[Sold]]))</f>
        <v>20</v>
      </c>
      <c r="M1936" s="5">
        <f>ABS(SUMIF(Table25[[#All],[Assets]],Table25[[#This Row],[Assets]],Table25[[#All],[Sold Amount]]))</f>
        <v>515.6</v>
      </c>
      <c r="N1936" s="5">
        <f>IFERROR(Table25[[#This Row],[Total sold amount]]/Table25[[#This Row],[Total Sold number of stocks]],"")</f>
        <v>25.78</v>
      </c>
      <c r="O1936" s="4">
        <f>IFERROR(Table25[[#This Row],[Total Amount bought]]/Table25[[#This Row],[Total number bought]],"")</f>
        <v>14.74</v>
      </c>
      <c r="P1936" s="4">
        <f>IFERROR((Table25[[#This Row],[Average sell price]]-Table25[[#This Row],[Average buy price]])*Table25[[#This Row],[Total Sold number of stocks]],0)</f>
        <v>220.8</v>
      </c>
      <c r="Q1936" s="85">
        <f>SUMIF(Table25[[#All],[Assets]],Table25[[#This Row],[Assets]],Table25[[#All],[Number of stocks]])</f>
        <v>20</v>
      </c>
    </row>
    <row r="1937" spans="1:17">
      <c r="A1937" t="e" vm="185">
        <v>#VALUE!</v>
      </c>
      <c r="B1937" s="2">
        <v>46020</v>
      </c>
      <c r="C1937" t="str" cm="1">
        <f t="array" aca="1" ref="C1937" ca="1">_FV(A1937,"Ticker symbol",TRUE)</f>
        <v>ALMU</v>
      </c>
      <c r="D1937" s="4">
        <v>17.239999999999998</v>
      </c>
      <c r="E1937" s="50">
        <v>8</v>
      </c>
      <c r="F1937" s="81">
        <f>IF(Table25[[#This Row],[Number of stocks]]&gt;0,Table25[[#This Row],[Number of stocks]],0)</f>
        <v>8</v>
      </c>
      <c r="G1937" s="73">
        <f>Table25[[#This Row],[Bought]]*Table25[[#This Row],[Price]]</f>
        <v>137.91999999999999</v>
      </c>
      <c r="H1937">
        <f>SUMIF(Table25[[#All],[Assets]],Table25[[#This Row],[Assets]],Table25[[#All],[Bought]])</f>
        <v>153</v>
      </c>
      <c r="I1937">
        <f>SUMIF(Table25[[#All],[Assets]],Table25[[#This Row],[Assets]],Table25[[#All],[Bought Amount]])</f>
        <v>2675.17</v>
      </c>
      <c r="J1937" s="88">
        <f>IF(Table25[[#This Row],[Number of stocks]]&lt;0,Table25[[#This Row],[Number of stocks]],0)</f>
        <v>0</v>
      </c>
      <c r="K1937" s="5">
        <f>Table25[[#This Row],[Sold]]*Table25[[#This Row],[Price]]</f>
        <v>0</v>
      </c>
      <c r="L1937" s="8">
        <f>ABS(SUMIF(Table25[[#All],[Assets]],Table25[[#This Row],[Assets]],Table25[[#All],[Sold]]))</f>
        <v>0</v>
      </c>
      <c r="M1937" s="5">
        <f>ABS(SUMIF(Table25[[#All],[Assets]],Table25[[#This Row],[Assets]],Table25[[#All],[Sold Amount]]))</f>
        <v>0</v>
      </c>
      <c r="N1937" s="5" t="str">
        <f>IFERROR(Table25[[#This Row],[Total sold amount]]/Table25[[#This Row],[Total Sold number of stocks]],"")</f>
        <v/>
      </c>
      <c r="O1937" s="4">
        <f>IFERROR(Table25[[#This Row],[Total Amount bought]]/Table25[[#This Row],[Total number bought]],"")</f>
        <v>17.484771241830067</v>
      </c>
      <c r="P1937" s="4">
        <f>IFERROR((Table25[[#This Row],[Average sell price]]-Table25[[#This Row],[Average buy price]])*Table25[[#This Row],[Total Sold number of stocks]],0)</f>
        <v>0</v>
      </c>
      <c r="Q1937" s="85">
        <f>SUMIF(Table25[[#All],[Assets]],Table25[[#This Row],[Assets]],Table25[[#All],[Number of stocks]])</f>
        <v>153</v>
      </c>
    </row>
    <row r="1938" spans="1:17">
      <c r="A1938" t="e" vm="213">
        <v>#VALUE!</v>
      </c>
      <c r="B1938" s="2">
        <v>46021</v>
      </c>
      <c r="C1938" t="str" cm="1">
        <f t="array" aca="1" ref="C1938" ca="1">_FV(A1938,"Ticker symbol",TRUE)</f>
        <v>EOSE</v>
      </c>
      <c r="D1938" s="4">
        <v>11.5</v>
      </c>
      <c r="E1938" s="50">
        <v>-20</v>
      </c>
      <c r="F1938" s="81">
        <f>IF(Table25[[#This Row],[Number of stocks]]&gt;0,Table25[[#This Row],[Number of stocks]],0)</f>
        <v>0</v>
      </c>
      <c r="G1938" s="73">
        <f>Table25[[#This Row],[Bought]]*Table25[[#This Row],[Price]]</f>
        <v>0</v>
      </c>
      <c r="H1938">
        <f>SUMIF(Table25[[#All],[Assets]],Table25[[#This Row],[Assets]],Table25[[#All],[Bought]])</f>
        <v>79</v>
      </c>
      <c r="I1938">
        <f>SUMIF(Table25[[#All],[Assets]],Table25[[#This Row],[Assets]],Table25[[#All],[Bought Amount]])</f>
        <v>1149.27</v>
      </c>
      <c r="J1938" s="88">
        <f>IF(Table25[[#This Row],[Number of stocks]]&lt;0,Table25[[#This Row],[Number of stocks]],0)</f>
        <v>-20</v>
      </c>
      <c r="K1938" s="5">
        <f>Table25[[#This Row],[Sold]]*Table25[[#This Row],[Price]]</f>
        <v>-230</v>
      </c>
      <c r="L1938" s="8">
        <f>ABS(SUMIF(Table25[[#All],[Assets]],Table25[[#This Row],[Assets]],Table25[[#All],[Sold]]))</f>
        <v>52</v>
      </c>
      <c r="M1938" s="5">
        <f>ABS(SUMIF(Table25[[#All],[Assets]],Table25[[#This Row],[Assets]],Table25[[#All],[Sold Amount]]))</f>
        <v>650.19000000000005</v>
      </c>
      <c r="N1938" s="5">
        <f>IFERROR(Table25[[#This Row],[Total sold amount]]/Table25[[#This Row],[Total Sold number of stocks]],"")</f>
        <v>12.503653846153847</v>
      </c>
      <c r="O1938" s="4">
        <f>IFERROR(Table25[[#This Row],[Total Amount bought]]/Table25[[#This Row],[Total number bought]],"")</f>
        <v>14.547721518987341</v>
      </c>
      <c r="P1938" s="4">
        <f>IFERROR((Table25[[#This Row],[Average sell price]]-Table25[[#This Row],[Average buy price]])*Table25[[#This Row],[Total Sold number of stocks]],0)</f>
        <v>-106.29151898734168</v>
      </c>
      <c r="Q1938" s="85">
        <f>SUMIF(Table25[[#All],[Assets]],Table25[[#This Row],[Assets]],Table25[[#All],[Number of stocks]])</f>
        <v>27</v>
      </c>
    </row>
    <row r="1939" spans="1:17">
      <c r="A1939" t="e" vm="226">
        <v>#VALUE!</v>
      </c>
      <c r="B1939" s="2">
        <v>46022</v>
      </c>
      <c r="C1939" t="str" cm="1">
        <f t="array" aca="1" ref="C1939" ca="1">_FV(A1939,"Ticker symbol",TRUE)</f>
        <v>WGHTQ</v>
      </c>
      <c r="D1939" s="4">
        <v>28.57</v>
      </c>
      <c r="E1939" s="50">
        <v>-18</v>
      </c>
      <c r="F1939" s="81">
        <f>IF(Table25[[#This Row],[Number of stocks]]&gt;0,Table25[[#This Row],[Number of stocks]],0)</f>
        <v>0</v>
      </c>
      <c r="G1939" s="73">
        <f>Table25[[#This Row],[Bought]]*Table25[[#This Row],[Price]]</f>
        <v>0</v>
      </c>
      <c r="H1939">
        <f>SUMIF(Table25[[#All],[Assets]],Table25[[#This Row],[Assets]],Table25[[#All],[Bought]])</f>
        <v>172</v>
      </c>
      <c r="I1939">
        <f>SUMIF(Table25[[#All],[Assets]],Table25[[#This Row],[Assets]],Table25[[#All],[Bought Amount]])</f>
        <v>5307.8900000000012</v>
      </c>
      <c r="J1939" s="88">
        <f>IF(Table25[[#This Row],[Number of stocks]]&lt;0,Table25[[#This Row],[Number of stocks]],0)</f>
        <v>-18</v>
      </c>
      <c r="K1939" s="5">
        <f>Table25[[#This Row],[Sold]]*Table25[[#This Row],[Price]]</f>
        <v>-514.26</v>
      </c>
      <c r="L1939" s="8">
        <f>ABS(SUMIF(Table25[[#All],[Assets]],Table25[[#This Row],[Assets]],Table25[[#All],[Sold]]))</f>
        <v>168</v>
      </c>
      <c r="M1939" s="5">
        <f>ABS(SUMIF(Table25[[#All],[Assets]],Table25[[#This Row],[Assets]],Table25[[#All],[Sold Amount]]))</f>
        <v>4668.4199999999992</v>
      </c>
      <c r="N1939" s="5">
        <f>IFERROR(Table25[[#This Row],[Total sold amount]]/Table25[[#This Row],[Total Sold number of stocks]],"")</f>
        <v>27.788214285714282</v>
      </c>
      <c r="O1939" s="4">
        <f>IFERROR(Table25[[#This Row],[Total Amount bought]]/Table25[[#This Row],[Total number bought]],"")</f>
        <v>30.859825581395356</v>
      </c>
      <c r="P1939" s="4">
        <f>IFERROR((Table25[[#This Row],[Average sell price]]-Table25[[#This Row],[Average buy price]])*Table25[[#This Row],[Total Sold number of stocks]],0)</f>
        <v>-516.03069767442025</v>
      </c>
      <c r="Q1939" s="85">
        <f>SUMIF(Table25[[#All],[Assets]],Table25[[#This Row],[Assets]],Table25[[#All],[Number of stocks]])</f>
        <v>4</v>
      </c>
    </row>
    <row r="1940" spans="1:17">
      <c r="A1940" t="e" vm="3">
        <v>#VALUE!</v>
      </c>
      <c r="B1940" s="2">
        <v>46024</v>
      </c>
      <c r="C1940" t="str" cm="1">
        <f t="array" aca="1" ref="C1940" ca="1">_FV(A1940,"Ticker symbol",TRUE)</f>
        <v>UMAC</v>
      </c>
      <c r="D1940" s="4">
        <v>12.97</v>
      </c>
      <c r="E1940" s="50">
        <v>36</v>
      </c>
      <c r="F1940" s="81">
        <f>IF(Table25[[#This Row],[Number of stocks]]&gt;0,Table25[[#This Row],[Number of stocks]],0)</f>
        <v>36</v>
      </c>
      <c r="G1940" s="73">
        <f>Table25[[#This Row],[Bought]]*Table25[[#This Row],[Price]]</f>
        <v>466.92</v>
      </c>
      <c r="H1940">
        <f>SUMIF(Table25[[#All],[Assets]],Table25[[#This Row],[Assets]],Table25[[#All],[Bought]])</f>
        <v>96</v>
      </c>
      <c r="I1940">
        <f>SUMIF(Table25[[#All],[Assets]],Table25[[#This Row],[Assets]],Table25[[#All],[Bought Amount]])</f>
        <v>1288.8</v>
      </c>
      <c r="J1940" s="88">
        <f>IF(Table25[[#This Row],[Number of stocks]]&lt;0,Table25[[#This Row],[Number of stocks]],0)</f>
        <v>0</v>
      </c>
      <c r="K1940" s="5">
        <f>Table25[[#This Row],[Sold]]*Table25[[#This Row],[Price]]</f>
        <v>0</v>
      </c>
      <c r="L1940" s="8">
        <f>ABS(SUMIF(Table25[[#All],[Assets]],Table25[[#This Row],[Assets]],Table25[[#All],[Sold]]))</f>
        <v>60</v>
      </c>
      <c r="M1940" s="5">
        <f>ABS(SUMIF(Table25[[#All],[Assets]],Table25[[#This Row],[Assets]],Table25[[#All],[Sold Amount]]))</f>
        <v>569.4</v>
      </c>
      <c r="N1940" s="5">
        <f>IFERROR(Table25[[#This Row],[Total sold amount]]/Table25[[#This Row],[Total Sold number of stocks]],"")</f>
        <v>9.49</v>
      </c>
      <c r="O1940" s="4">
        <f>IFERROR(Table25[[#This Row],[Total Amount bought]]/Table25[[#This Row],[Total number bought]],"")</f>
        <v>13.424999999999999</v>
      </c>
      <c r="P1940" s="4">
        <f>IFERROR((Table25[[#This Row],[Average sell price]]-Table25[[#This Row],[Average buy price]])*Table25[[#This Row],[Total Sold number of stocks]],0)</f>
        <v>-236.09999999999991</v>
      </c>
      <c r="Q1940" s="85">
        <f>SUMIF(Table25[[#All],[Assets]],Table25[[#This Row],[Assets]],Table25[[#All],[Number of stocks]])</f>
        <v>36</v>
      </c>
    </row>
    <row r="1941" spans="1:17">
      <c r="A1941" t="e" vm="193">
        <v>#VALUE!</v>
      </c>
      <c r="B1941" s="2">
        <v>46024</v>
      </c>
      <c r="C1941" t="str" cm="1">
        <f t="array" aca="1" ref="C1941" ca="1">_FV(A1941,"Ticker symbol",TRUE)</f>
        <v>UAVS</v>
      </c>
      <c r="D1941" s="4">
        <v>1.07</v>
      </c>
      <c r="E1941" s="50">
        <v>50</v>
      </c>
      <c r="F1941" s="81">
        <f>IF(Table25[[#This Row],[Number of stocks]]&gt;0,Table25[[#This Row],[Number of stocks]],0)</f>
        <v>50</v>
      </c>
      <c r="G1941" s="73">
        <f>Table25[[#This Row],[Bought]]*Table25[[#This Row],[Price]]</f>
        <v>53.5</v>
      </c>
      <c r="H1941">
        <f>SUMIF(Table25[[#All],[Assets]],Table25[[#This Row],[Assets]],Table25[[#All],[Bought]])</f>
        <v>1480</v>
      </c>
      <c r="I1941">
        <f>SUMIF(Table25[[#All],[Assets]],Table25[[#This Row],[Assets]],Table25[[#All],[Bought Amount]])</f>
        <v>1868.4090000000001</v>
      </c>
      <c r="J1941" s="88">
        <f>IF(Table25[[#This Row],[Number of stocks]]&lt;0,Table25[[#This Row],[Number of stocks]],0)</f>
        <v>0</v>
      </c>
      <c r="K1941" s="5">
        <f>Table25[[#This Row],[Sold]]*Table25[[#This Row],[Price]]</f>
        <v>0</v>
      </c>
      <c r="L1941" s="8">
        <f>ABS(SUMIF(Table25[[#All],[Assets]],Table25[[#This Row],[Assets]],Table25[[#All],[Sold]]))</f>
        <v>500</v>
      </c>
      <c r="M1941" s="5">
        <f>ABS(SUMIF(Table25[[#All],[Assets]],Table25[[#This Row],[Assets]],Table25[[#All],[Sold Amount]]))</f>
        <v>1198</v>
      </c>
      <c r="N1941" s="5">
        <f>IFERROR(Table25[[#This Row],[Total sold amount]]/Table25[[#This Row],[Total Sold number of stocks]],"")</f>
        <v>2.3959999999999999</v>
      </c>
      <c r="O1941" s="4">
        <f>IFERROR(Table25[[#This Row],[Total Amount bought]]/Table25[[#This Row],[Total number bought]],"")</f>
        <v>1.2624385135135137</v>
      </c>
      <c r="P1941" s="4">
        <f>IFERROR((Table25[[#This Row],[Average sell price]]-Table25[[#This Row],[Average buy price]])*Table25[[#This Row],[Total Sold number of stocks]],0)</f>
        <v>566.78074324324314</v>
      </c>
      <c r="Q1941" s="85">
        <f>SUMIF(Table25[[#All],[Assets]],Table25[[#This Row],[Assets]],Table25[[#All],[Number of stocks]])</f>
        <v>980</v>
      </c>
    </row>
    <row r="1942" spans="1:17">
      <c r="A1942" t="e" vm="191">
        <v>#VALUE!</v>
      </c>
      <c r="B1942" s="2">
        <v>46024</v>
      </c>
      <c r="C1942" t="str" cm="1">
        <f t="array" aca="1" ref="C1942" ca="1">_FV(A1942,"Ticker symbol",TRUE)</f>
        <v>SHMD</v>
      </c>
      <c r="D1942" s="4">
        <v>7.14</v>
      </c>
      <c r="E1942" s="50">
        <v>100</v>
      </c>
      <c r="F1942" s="81">
        <f>IF(Table25[[#This Row],[Number of stocks]]&gt;0,Table25[[#This Row],[Number of stocks]],0)</f>
        <v>100</v>
      </c>
      <c r="G1942" s="73">
        <f>Table25[[#This Row],[Bought]]*Table25[[#This Row],[Price]]</f>
        <v>714</v>
      </c>
      <c r="H1942">
        <f>SUMIF(Table25[[#All],[Assets]],Table25[[#This Row],[Assets]],Table25[[#All],[Bought]])</f>
        <v>445</v>
      </c>
      <c r="I1942">
        <f>SUMIF(Table25[[#All],[Assets]],Table25[[#This Row],[Assets]],Table25[[#All],[Bought Amount]])</f>
        <v>2767.06</v>
      </c>
      <c r="J1942" s="88">
        <f>IF(Table25[[#This Row],[Number of stocks]]&lt;0,Table25[[#This Row],[Number of stocks]],0)</f>
        <v>0</v>
      </c>
      <c r="K1942" s="5">
        <f>Table25[[#This Row],[Sold]]*Table25[[#This Row],[Price]]</f>
        <v>0</v>
      </c>
      <c r="L1942" s="8">
        <f>ABS(SUMIF(Table25[[#All],[Assets]],Table25[[#This Row],[Assets]],Table25[[#All],[Sold]]))</f>
        <v>0</v>
      </c>
      <c r="M1942" s="5">
        <f>ABS(SUMIF(Table25[[#All],[Assets]],Table25[[#This Row],[Assets]],Table25[[#All],[Sold Amount]]))</f>
        <v>0</v>
      </c>
      <c r="N1942" s="5" t="str">
        <f>IFERROR(Table25[[#This Row],[Total sold amount]]/Table25[[#This Row],[Total Sold number of stocks]],"")</f>
        <v/>
      </c>
      <c r="O1942" s="4">
        <f>IFERROR(Table25[[#This Row],[Total Amount bought]]/Table25[[#This Row],[Total number bought]],"")</f>
        <v>6.2181123595505614</v>
      </c>
      <c r="P1942" s="4">
        <f>IFERROR((Table25[[#This Row],[Average sell price]]-Table25[[#This Row],[Average buy price]])*Table25[[#This Row],[Total Sold number of stocks]],0)</f>
        <v>0</v>
      </c>
      <c r="Q1942" s="85">
        <f>SUMIF(Table25[[#All],[Assets]],Table25[[#This Row],[Assets]],Table25[[#All],[Number of stocks]])</f>
        <v>445</v>
      </c>
    </row>
    <row r="1943" spans="1:17">
      <c r="A1943" t="e" vm="586">
        <v>#VALUE!</v>
      </c>
      <c r="B1943" s="2">
        <v>46024</v>
      </c>
      <c r="C1943" t="str" cm="1">
        <f t="array" aca="1" ref="C1943" ca="1">_FV(A1943,"Ticker symbol",TRUE)</f>
        <v>CAVA</v>
      </c>
      <c r="D1943" s="4">
        <v>59.99</v>
      </c>
      <c r="E1943" s="50">
        <v>-13</v>
      </c>
      <c r="F1943" s="81">
        <f>IF(Table25[[#This Row],[Number of stocks]]&gt;0,Table25[[#This Row],[Number of stocks]],0)</f>
        <v>0</v>
      </c>
      <c r="G1943" s="73">
        <f>Table25[[#This Row],[Bought]]*Table25[[#This Row],[Price]]</f>
        <v>0</v>
      </c>
      <c r="H1943">
        <f>SUMIF(Table25[[#All],[Assets]],Table25[[#This Row],[Assets]],Table25[[#All],[Bought]])</f>
        <v>18</v>
      </c>
      <c r="I1943">
        <f>SUMIF(Table25[[#All],[Assets]],Table25[[#This Row],[Assets]],Table25[[#All],[Bought Amount]])</f>
        <v>871.07</v>
      </c>
      <c r="J1943" s="88">
        <f>IF(Table25[[#This Row],[Number of stocks]]&lt;0,Table25[[#This Row],[Number of stocks]],0)</f>
        <v>-13</v>
      </c>
      <c r="K1943" s="5">
        <f>Table25[[#This Row],[Sold]]*Table25[[#This Row],[Price]]</f>
        <v>-779.87</v>
      </c>
      <c r="L1943" s="8">
        <f>ABS(SUMIF(Table25[[#All],[Assets]],Table25[[#This Row],[Assets]],Table25[[#All],[Sold]]))</f>
        <v>18</v>
      </c>
      <c r="M1943" s="5">
        <f>ABS(SUMIF(Table25[[#All],[Assets]],Table25[[#This Row],[Assets]],Table25[[#All],[Sold Amount]]))</f>
        <v>1117.32</v>
      </c>
      <c r="N1943" s="5">
        <f>IFERROR(Table25[[#This Row],[Total sold amount]]/Table25[[#This Row],[Total Sold number of stocks]],"")</f>
        <v>62.073333333333331</v>
      </c>
      <c r="O1943" s="4">
        <f>IFERROR(Table25[[#This Row],[Total Amount bought]]/Table25[[#This Row],[Total number bought]],"")</f>
        <v>48.392777777777781</v>
      </c>
      <c r="P1943" s="4">
        <f>IFERROR((Table25[[#This Row],[Average sell price]]-Table25[[#This Row],[Average buy price]])*Table25[[#This Row],[Total Sold number of stocks]],0)</f>
        <v>246.24999999999989</v>
      </c>
      <c r="Q1943" s="85">
        <f>SUMIF(Table25[[#All],[Assets]],Table25[[#This Row],[Assets]],Table25[[#All],[Number of stocks]])</f>
        <v>0</v>
      </c>
    </row>
    <row r="1944" spans="1:17">
      <c r="A1944" t="e" vm="3">
        <v>#VALUE!</v>
      </c>
      <c r="B1944" s="2">
        <v>46024</v>
      </c>
      <c r="C1944" t="str" cm="1">
        <f t="array" aca="1" ref="C1944" ca="1">_FV(A1944,"Ticker symbol",TRUE)</f>
        <v>UMAC</v>
      </c>
      <c r="D1944" s="4">
        <v>12.97</v>
      </c>
      <c r="E1944" s="50">
        <v>36</v>
      </c>
      <c r="F1944" s="81">
        <f>IF(Table25[[#This Row],[Number of stocks]]&gt;0,Table25[[#This Row],[Number of stocks]],0)</f>
        <v>36</v>
      </c>
      <c r="G1944" s="73">
        <f>Table25[[#This Row],[Bought]]*Table25[[#This Row],[Price]]</f>
        <v>466.92</v>
      </c>
      <c r="H1944">
        <f>SUMIF(Table25[[#All],[Assets]],Table25[[#This Row],[Assets]],Table25[[#All],[Bought]])</f>
        <v>96</v>
      </c>
      <c r="I1944">
        <f>SUMIF(Table25[[#All],[Assets]],Table25[[#This Row],[Assets]],Table25[[#All],[Bought Amount]])</f>
        <v>1288.8</v>
      </c>
      <c r="J1944" s="88">
        <f>IF(Table25[[#This Row],[Number of stocks]]&lt;0,Table25[[#This Row],[Number of stocks]],0)</f>
        <v>0</v>
      </c>
      <c r="K1944" s="5">
        <f>Table25[[#This Row],[Sold]]*Table25[[#This Row],[Price]]</f>
        <v>0</v>
      </c>
      <c r="L1944" s="8">
        <f>ABS(SUMIF(Table25[[#All],[Assets]],Table25[[#This Row],[Assets]],Table25[[#All],[Sold]]))</f>
        <v>60</v>
      </c>
      <c r="M1944" s="5">
        <f>ABS(SUMIF(Table25[[#All],[Assets]],Table25[[#This Row],[Assets]],Table25[[#All],[Sold Amount]]))</f>
        <v>569.4</v>
      </c>
      <c r="N1944" s="5">
        <f>IFERROR(Table25[[#This Row],[Total sold amount]]/Table25[[#This Row],[Total Sold number of stocks]],"")</f>
        <v>9.49</v>
      </c>
      <c r="O1944" s="4">
        <f>IFERROR(Table25[[#This Row],[Total Amount bought]]/Table25[[#This Row],[Total number bought]],"")</f>
        <v>13.424999999999999</v>
      </c>
      <c r="P1944" s="4">
        <f>IFERROR((Table25[[#This Row],[Average sell price]]-Table25[[#This Row],[Average buy price]])*Table25[[#This Row],[Total Sold number of stocks]],0)</f>
        <v>-236.09999999999991</v>
      </c>
      <c r="Q1944" s="85">
        <f>SUMIF(Table25[[#All],[Assets]],Table25[[#This Row],[Assets]],Table25[[#All],[Number of stocks]])</f>
        <v>36</v>
      </c>
    </row>
    <row r="1945" spans="1:17">
      <c r="A1945" t="e" vm="226">
        <v>#VALUE!</v>
      </c>
      <c r="B1945" s="2">
        <v>46024</v>
      </c>
      <c r="C1945" t="str" cm="1">
        <f t="array" aca="1" ref="C1945" ca="1">_FV(A1945,"Ticker symbol",TRUE)</f>
        <v>WGHTQ</v>
      </c>
      <c r="D1945" s="4">
        <v>31.17</v>
      </c>
      <c r="E1945" s="50">
        <v>-24</v>
      </c>
      <c r="F1945" s="81">
        <f>IF(Table25[[#This Row],[Number of stocks]]&gt;0,Table25[[#This Row],[Number of stocks]],0)</f>
        <v>0</v>
      </c>
      <c r="G1945" s="73">
        <f>Table25[[#This Row],[Bought]]*Table25[[#This Row],[Price]]</f>
        <v>0</v>
      </c>
      <c r="H1945">
        <f>SUMIF(Table25[[#All],[Assets]],Table25[[#This Row],[Assets]],Table25[[#All],[Bought]])</f>
        <v>172</v>
      </c>
      <c r="I1945">
        <f>SUMIF(Table25[[#All],[Assets]],Table25[[#This Row],[Assets]],Table25[[#All],[Bought Amount]])</f>
        <v>5307.8900000000012</v>
      </c>
      <c r="J1945" s="88">
        <f>IF(Table25[[#This Row],[Number of stocks]]&lt;0,Table25[[#This Row],[Number of stocks]],0)</f>
        <v>-24</v>
      </c>
      <c r="K1945" s="5">
        <f>Table25[[#This Row],[Sold]]*Table25[[#This Row],[Price]]</f>
        <v>-748.08</v>
      </c>
      <c r="L1945" s="8">
        <f>ABS(SUMIF(Table25[[#All],[Assets]],Table25[[#This Row],[Assets]],Table25[[#All],[Sold]]))</f>
        <v>168</v>
      </c>
      <c r="M1945" s="5">
        <f>ABS(SUMIF(Table25[[#All],[Assets]],Table25[[#This Row],[Assets]],Table25[[#All],[Sold Amount]]))</f>
        <v>4668.4199999999992</v>
      </c>
      <c r="N1945" s="5">
        <f>IFERROR(Table25[[#This Row],[Total sold amount]]/Table25[[#This Row],[Total Sold number of stocks]],"")</f>
        <v>27.788214285714282</v>
      </c>
      <c r="O1945" s="4">
        <f>IFERROR(Table25[[#This Row],[Total Amount bought]]/Table25[[#This Row],[Total number bought]],"")</f>
        <v>30.859825581395356</v>
      </c>
      <c r="P1945" s="4">
        <f>IFERROR((Table25[[#This Row],[Average sell price]]-Table25[[#This Row],[Average buy price]])*Table25[[#This Row],[Total Sold number of stocks]],0)</f>
        <v>-516.03069767442025</v>
      </c>
      <c r="Q1945" s="85">
        <f>SUMIF(Table25[[#All],[Assets]],Table25[[#This Row],[Assets]],Table25[[#All],[Number of stocks]])</f>
        <v>4</v>
      </c>
    </row>
    <row r="1946" spans="1:17">
      <c r="A1946" t="e" vm="213">
        <v>#VALUE!</v>
      </c>
      <c r="B1946" s="2">
        <v>46024</v>
      </c>
      <c r="C1946" t="str" cm="1">
        <f t="array" aca="1" ref="C1946" ca="1">_FV(A1946,"Ticker symbol",TRUE)</f>
        <v>EOSE</v>
      </c>
      <c r="D1946" s="4">
        <v>12.97</v>
      </c>
      <c r="E1946" s="50">
        <v>-27</v>
      </c>
      <c r="F1946" s="81">
        <f>IF(Table25[[#This Row],[Number of stocks]]&gt;0,Table25[[#This Row],[Number of stocks]],0)</f>
        <v>0</v>
      </c>
      <c r="G1946" s="73">
        <f>Table25[[#This Row],[Bought]]*Table25[[#This Row],[Price]]</f>
        <v>0</v>
      </c>
      <c r="H1946">
        <f>SUMIF(Table25[[#All],[Assets]],Table25[[#This Row],[Assets]],Table25[[#All],[Bought]])</f>
        <v>79</v>
      </c>
      <c r="I1946">
        <f>SUMIF(Table25[[#All],[Assets]],Table25[[#This Row],[Assets]],Table25[[#All],[Bought Amount]])</f>
        <v>1149.27</v>
      </c>
      <c r="J1946" s="88">
        <f>IF(Table25[[#This Row],[Number of stocks]]&lt;0,Table25[[#This Row],[Number of stocks]],0)</f>
        <v>-27</v>
      </c>
      <c r="K1946" s="5">
        <f>Table25[[#This Row],[Sold]]*Table25[[#This Row],[Price]]</f>
        <v>-350.19</v>
      </c>
      <c r="L1946" s="8">
        <f>ABS(SUMIF(Table25[[#All],[Assets]],Table25[[#This Row],[Assets]],Table25[[#All],[Sold]]))</f>
        <v>52</v>
      </c>
      <c r="M1946" s="5">
        <f>ABS(SUMIF(Table25[[#All],[Assets]],Table25[[#This Row],[Assets]],Table25[[#All],[Sold Amount]]))</f>
        <v>650.19000000000005</v>
      </c>
      <c r="N1946" s="5">
        <f>IFERROR(Table25[[#This Row],[Total sold amount]]/Table25[[#This Row],[Total Sold number of stocks]],"")</f>
        <v>12.503653846153847</v>
      </c>
      <c r="O1946" s="4">
        <f>IFERROR(Table25[[#This Row],[Total Amount bought]]/Table25[[#This Row],[Total number bought]],"")</f>
        <v>14.547721518987341</v>
      </c>
      <c r="P1946" s="4">
        <f>IFERROR((Table25[[#This Row],[Average sell price]]-Table25[[#This Row],[Average buy price]])*Table25[[#This Row],[Total Sold number of stocks]],0)</f>
        <v>-106.29151898734168</v>
      </c>
      <c r="Q1946" s="85">
        <f>SUMIF(Table25[[#All],[Assets]],Table25[[#This Row],[Assets]],Table25[[#All],[Number of stocks]])</f>
        <v>27</v>
      </c>
    </row>
    <row r="1947" spans="1:17">
      <c r="A1947" t="e" vm="31">
        <v>#VALUE!</v>
      </c>
      <c r="B1947" s="2">
        <v>46024</v>
      </c>
      <c r="C1947" t="str" cm="1">
        <f t="array" aca="1" ref="C1947" ca="1">_FV(A1947,"Ticker symbol",TRUE)</f>
        <v>SMCI</v>
      </c>
      <c r="D1947" s="4">
        <v>31.1</v>
      </c>
      <c r="E1947" s="50">
        <v>35</v>
      </c>
      <c r="F1947" s="81">
        <f>IF(Table25[[#This Row],[Number of stocks]]&gt;0,Table25[[#This Row],[Number of stocks]],0)</f>
        <v>35</v>
      </c>
      <c r="G1947" s="73">
        <f>Table25[[#This Row],[Bought]]*Table25[[#This Row],[Price]]</f>
        <v>1088.5</v>
      </c>
      <c r="H1947">
        <f>SUMIF(Table25[[#All],[Assets]],Table25[[#This Row],[Assets]],Table25[[#All],[Bought]])</f>
        <v>35</v>
      </c>
      <c r="I1947">
        <f>SUMIF(Table25[[#All],[Assets]],Table25[[#This Row],[Assets]],Table25[[#All],[Bought Amount]])</f>
        <v>1088.5</v>
      </c>
      <c r="J1947" s="88">
        <f>IF(Table25[[#This Row],[Number of stocks]]&lt;0,Table25[[#This Row],[Number of stocks]],0)</f>
        <v>0</v>
      </c>
      <c r="K1947" s="5">
        <f>Table25[[#This Row],[Sold]]*Table25[[#This Row],[Price]]</f>
        <v>0</v>
      </c>
      <c r="L1947" s="8">
        <f>ABS(SUMIF(Table25[[#All],[Assets]],Table25[[#This Row],[Assets]],Table25[[#All],[Sold]]))</f>
        <v>35</v>
      </c>
      <c r="M1947" s="5">
        <f>ABS(SUMIF(Table25[[#All],[Assets]],Table25[[#This Row],[Assets]],Table25[[#All],[Sold Amount]]))</f>
        <v>767.55</v>
      </c>
      <c r="N1947" s="5">
        <f>IFERROR(Table25[[#This Row],[Total sold amount]]/Table25[[#This Row],[Total Sold number of stocks]],"")</f>
        <v>21.93</v>
      </c>
      <c r="O1947" s="4">
        <f>IFERROR(Table25[[#This Row],[Total Amount bought]]/Table25[[#This Row],[Total number bought]],"")</f>
        <v>31.1</v>
      </c>
      <c r="P1947" s="4">
        <f>IFERROR((Table25[[#This Row],[Average sell price]]-Table25[[#This Row],[Average buy price]])*Table25[[#This Row],[Total Sold number of stocks]],0)</f>
        <v>-320.95000000000005</v>
      </c>
      <c r="Q1947" s="85">
        <f>SUMIF(Table25[[#All],[Assets]],Table25[[#This Row],[Assets]],Table25[[#All],[Number of stocks]])</f>
        <v>0</v>
      </c>
    </row>
    <row r="1948" spans="1:17">
      <c r="A1948" t="e" vm="199">
        <v>#VALUE!</v>
      </c>
      <c r="B1948" s="2">
        <v>46027</v>
      </c>
      <c r="C1948" t="str" cm="1">
        <f t="array" aca="1" ref="C1948" ca="1">_FV(A1948,"Ticker symbol",TRUE)</f>
        <v>HROW</v>
      </c>
      <c r="D1948" s="4">
        <v>54.06</v>
      </c>
      <c r="E1948" s="50">
        <v>-22</v>
      </c>
      <c r="F1948" s="81">
        <f>IF(Table25[[#This Row],[Number of stocks]]&gt;0,Table25[[#This Row],[Number of stocks]],0)</f>
        <v>0</v>
      </c>
      <c r="G1948" s="73">
        <f>Table25[[#This Row],[Bought]]*Table25[[#This Row],[Price]]</f>
        <v>0</v>
      </c>
      <c r="H1948">
        <f>SUMIF(Table25[[#All],[Assets]],Table25[[#This Row],[Assets]],Table25[[#All],[Bought]])</f>
        <v>55</v>
      </c>
      <c r="I1948">
        <f>SUMIF(Table25[[#All],[Assets]],Table25[[#This Row],[Assets]],Table25[[#All],[Bought Amount]])</f>
        <v>2004.09</v>
      </c>
      <c r="J1948" s="88">
        <f>IF(Table25[[#This Row],[Number of stocks]]&lt;0,Table25[[#This Row],[Number of stocks]],0)</f>
        <v>-22</v>
      </c>
      <c r="K1948" s="5">
        <f>Table25[[#This Row],[Sold]]*Table25[[#This Row],[Price]]</f>
        <v>-1189.3200000000002</v>
      </c>
      <c r="L1948" s="8">
        <f>ABS(SUMIF(Table25[[#All],[Assets]],Table25[[#This Row],[Assets]],Table25[[#All],[Sold]]))</f>
        <v>55</v>
      </c>
      <c r="M1948" s="5">
        <f>ABS(SUMIF(Table25[[#All],[Assets]],Table25[[#This Row],[Assets]],Table25[[#All],[Sold Amount]]))</f>
        <v>2792.46</v>
      </c>
      <c r="N1948" s="5">
        <f>IFERROR(Table25[[#This Row],[Total sold amount]]/Table25[[#This Row],[Total Sold number of stocks]],"")</f>
        <v>50.771999999999998</v>
      </c>
      <c r="O1948" s="4">
        <f>IFERROR(Table25[[#This Row],[Total Amount bought]]/Table25[[#This Row],[Total number bought]],"")</f>
        <v>36.437999999999995</v>
      </c>
      <c r="P1948" s="4">
        <f>IFERROR((Table25[[#This Row],[Average sell price]]-Table25[[#This Row],[Average buy price]])*Table25[[#This Row],[Total Sold number of stocks]],0)</f>
        <v>788.37000000000012</v>
      </c>
      <c r="Q1948" s="85">
        <f>SUMIF(Table25[[#All],[Assets]],Table25[[#This Row],[Assets]],Table25[[#All],[Number of stocks]])</f>
        <v>0</v>
      </c>
    </row>
    <row r="1949" spans="1:17">
      <c r="A1949" t="e" vm="91">
        <v>#VALUE!</v>
      </c>
      <c r="B1949" s="2">
        <v>46028</v>
      </c>
      <c r="C1949" t="str" cm="1">
        <f t="array" aca="1" ref="C1949" ca="1">_FV(A1949,"Ticker symbol",TRUE)</f>
        <v>RKLB</v>
      </c>
      <c r="D1949" s="4">
        <v>76.66</v>
      </c>
      <c r="E1949" s="50">
        <v>-7</v>
      </c>
      <c r="F1949" s="81">
        <f>IF(Table25[[#This Row],[Number of stocks]]&gt;0,Table25[[#This Row],[Number of stocks]],0)</f>
        <v>0</v>
      </c>
      <c r="G1949" s="73">
        <f>Table25[[#This Row],[Bought]]*Table25[[#This Row],[Price]]</f>
        <v>0</v>
      </c>
      <c r="H1949">
        <f>SUMIF(Table25[[#All],[Assets]],Table25[[#This Row],[Assets]],Table25[[#All],[Bought]])</f>
        <v>22</v>
      </c>
      <c r="I1949">
        <f>SUMIF(Table25[[#All],[Assets]],Table25[[#This Row],[Assets]],Table25[[#All],[Bought Amount]])</f>
        <v>1045.0999999999999</v>
      </c>
      <c r="J1949" s="88">
        <f>IF(Table25[[#This Row],[Number of stocks]]&lt;0,Table25[[#This Row],[Number of stocks]],0)</f>
        <v>-7</v>
      </c>
      <c r="K1949" s="5">
        <f>Table25[[#This Row],[Sold]]*Table25[[#This Row],[Price]]</f>
        <v>-536.62</v>
      </c>
      <c r="L1949" s="8">
        <f>ABS(SUMIF(Table25[[#All],[Assets]],Table25[[#This Row],[Assets]],Table25[[#All],[Sold]]))</f>
        <v>21</v>
      </c>
      <c r="M1949" s="5">
        <f>ABS(SUMIF(Table25[[#All],[Assets]],Table25[[#This Row],[Assets]],Table25[[#All],[Sold Amount]]))</f>
        <v>1696.64</v>
      </c>
      <c r="N1949" s="5">
        <f>IFERROR(Table25[[#This Row],[Total sold amount]]/Table25[[#This Row],[Total Sold number of stocks]],"")</f>
        <v>80.792380952380952</v>
      </c>
      <c r="O1949" s="4">
        <f>IFERROR(Table25[[#This Row],[Total Amount bought]]/Table25[[#This Row],[Total number bought]],"")</f>
        <v>47.50454545454545</v>
      </c>
      <c r="P1949" s="4">
        <f>IFERROR((Table25[[#This Row],[Average sell price]]-Table25[[#This Row],[Average buy price]])*Table25[[#This Row],[Total Sold number of stocks]],0)</f>
        <v>699.04454545454553</v>
      </c>
      <c r="Q1949" s="85">
        <f>SUMIF(Table25[[#All],[Assets]],Table25[[#This Row],[Assets]],Table25[[#All],[Number of stocks]])</f>
        <v>1</v>
      </c>
    </row>
    <row r="1950" spans="1:17">
      <c r="A1950" t="e" vm="13">
        <v>#VALUE!</v>
      </c>
      <c r="B1950" s="2">
        <v>46028</v>
      </c>
      <c r="C1950" t="str" cm="1">
        <f t="array" aca="1" ref="C1950" ca="1">_FV(A1950,"Ticker symbol",TRUE)</f>
        <v>ON</v>
      </c>
      <c r="D1950" s="4">
        <v>60.91</v>
      </c>
      <c r="E1950" s="50">
        <v>25</v>
      </c>
      <c r="F1950" s="81">
        <f>IF(Table25[[#This Row],[Number of stocks]]&gt;0,Table25[[#This Row],[Number of stocks]],0)</f>
        <v>25</v>
      </c>
      <c r="G1950" s="73">
        <f>Table25[[#This Row],[Bought]]*Table25[[#This Row],[Price]]</f>
        <v>1522.75</v>
      </c>
      <c r="H1950">
        <f>SUMIF(Table25[[#All],[Assets]],Table25[[#This Row],[Assets]],Table25[[#All],[Bought]])</f>
        <v>326</v>
      </c>
      <c r="I1950">
        <f>SUMIF(Table25[[#All],[Assets]],Table25[[#This Row],[Assets]],Table25[[#All],[Bought Amount]])</f>
        <v>19172.809999999998</v>
      </c>
      <c r="J1950" s="88">
        <f>IF(Table25[[#This Row],[Number of stocks]]&lt;0,Table25[[#This Row],[Number of stocks]],0)</f>
        <v>0</v>
      </c>
      <c r="K1950" s="5">
        <f>Table25[[#This Row],[Sold]]*Table25[[#This Row],[Price]]</f>
        <v>0</v>
      </c>
      <c r="L1950" s="8">
        <f>ABS(SUMIF(Table25[[#All],[Assets]],Table25[[#This Row],[Assets]],Table25[[#All],[Sold]]))</f>
        <v>283</v>
      </c>
      <c r="M1950" s="5">
        <f>ABS(SUMIF(Table25[[#All],[Assets]],Table25[[#This Row],[Assets]],Table25[[#All],[Sold Amount]]))</f>
        <v>15700.74</v>
      </c>
      <c r="N1950" s="5">
        <f>IFERROR(Table25[[#This Row],[Total sold amount]]/Table25[[#This Row],[Total Sold number of stocks]],"")</f>
        <v>55.47964664310954</v>
      </c>
      <c r="O1950" s="4">
        <f>IFERROR(Table25[[#This Row],[Total Amount bought]]/Table25[[#This Row],[Total number bought]],"")</f>
        <v>58.812300613496923</v>
      </c>
      <c r="P1950" s="4">
        <f>IFERROR((Table25[[#This Row],[Average sell price]]-Table25[[#This Row],[Average buy price]])*Table25[[#This Row],[Total Sold number of stocks]],0)</f>
        <v>-943.14107361962954</v>
      </c>
      <c r="Q1950" s="85">
        <f>SUMIF(Table25[[#All],[Assets]],Table25[[#This Row],[Assets]],Table25[[#All],[Number of stocks]])</f>
        <v>43</v>
      </c>
    </row>
    <row r="1951" spans="1:17">
      <c r="A1951" t="e" vm="178">
        <v>#VALUE!</v>
      </c>
      <c r="B1951" s="2">
        <v>46028</v>
      </c>
      <c r="C1951" t="str" cm="1">
        <f t="array" aca="1" ref="C1951" ca="1">_FV(A1951,"Ticker symbol",TRUE)</f>
        <v>MARA</v>
      </c>
      <c r="D1951" s="4">
        <v>10.08</v>
      </c>
      <c r="E1951" s="50">
        <v>70</v>
      </c>
      <c r="F1951" s="81">
        <f>IF(Table25[[#This Row],[Number of stocks]]&gt;0,Table25[[#This Row],[Number of stocks]],0)</f>
        <v>70</v>
      </c>
      <c r="G1951" s="73">
        <f>Table25[[#This Row],[Bought]]*Table25[[#This Row],[Price]]</f>
        <v>705.6</v>
      </c>
      <c r="H1951">
        <f>SUMIF(Table25[[#All],[Assets]],Table25[[#This Row],[Assets]],Table25[[#All],[Bought]])</f>
        <v>586</v>
      </c>
      <c r="I1951">
        <f>SUMIF(Table25[[#All],[Assets]],Table25[[#This Row],[Assets]],Table25[[#All],[Bought Amount]])</f>
        <v>6128.42</v>
      </c>
      <c r="J1951" s="88">
        <f>IF(Table25[[#This Row],[Number of stocks]]&lt;0,Table25[[#This Row],[Number of stocks]],0)</f>
        <v>0</v>
      </c>
      <c r="K1951" s="5">
        <f>Table25[[#This Row],[Sold]]*Table25[[#This Row],[Price]]</f>
        <v>0</v>
      </c>
      <c r="L1951" s="8">
        <f>ABS(SUMIF(Table25[[#All],[Assets]],Table25[[#This Row],[Assets]],Table25[[#All],[Sold]]))</f>
        <v>79</v>
      </c>
      <c r="M1951" s="5">
        <f>ABS(SUMIF(Table25[[#All],[Assets]],Table25[[#This Row],[Assets]],Table25[[#All],[Sold Amount]]))</f>
        <v>634.37</v>
      </c>
      <c r="N1951" s="5">
        <f>IFERROR(Table25[[#This Row],[Total sold amount]]/Table25[[#This Row],[Total Sold number of stocks]],"")</f>
        <v>8.0299999999999994</v>
      </c>
      <c r="O1951" s="4">
        <f>IFERROR(Table25[[#This Row],[Total Amount bought]]/Table25[[#This Row],[Total number bought]],"")</f>
        <v>10.458054607508533</v>
      </c>
      <c r="P1951" s="4">
        <f>IFERROR((Table25[[#This Row],[Average sell price]]-Table25[[#This Row],[Average buy price]])*Table25[[#This Row],[Total Sold number of stocks]],0)</f>
        <v>-191.81631399317416</v>
      </c>
      <c r="Q1951" s="85">
        <f>SUMIF(Table25[[#All],[Assets]],Table25[[#This Row],[Assets]],Table25[[#All],[Number of stocks]])</f>
        <v>507</v>
      </c>
    </row>
    <row r="1952" spans="1:17">
      <c r="A1952" t="e" vm="162">
        <v>#VALUE!</v>
      </c>
      <c r="B1952" s="2">
        <v>46028</v>
      </c>
      <c r="C1952" t="str" cm="1">
        <f t="array" aca="1" ref="C1952" ca="1">_FV(A1952,"Ticker symbol",TRUE)</f>
        <v>APA</v>
      </c>
      <c r="D1952" s="4">
        <v>23.84</v>
      </c>
      <c r="E1952" s="50">
        <v>-40</v>
      </c>
      <c r="F1952" s="81">
        <f>IF(Table25[[#This Row],[Number of stocks]]&gt;0,Table25[[#This Row],[Number of stocks]],0)</f>
        <v>0</v>
      </c>
      <c r="G1952" s="73">
        <f>Table25[[#This Row],[Bought]]*Table25[[#This Row],[Price]]</f>
        <v>0</v>
      </c>
      <c r="H1952">
        <f>SUMIF(Table25[[#All],[Assets]],Table25[[#This Row],[Assets]],Table25[[#All],[Bought]])</f>
        <v>87.289999999999992</v>
      </c>
      <c r="I1952">
        <f>SUMIF(Table25[[#All],[Assets]],Table25[[#This Row],[Assets]],Table25[[#All],[Bought Amount]])</f>
        <v>2368.7374999999997</v>
      </c>
      <c r="J1952" s="88">
        <f>IF(Table25[[#This Row],[Number of stocks]]&lt;0,Table25[[#This Row],[Number of stocks]],0)</f>
        <v>-40</v>
      </c>
      <c r="K1952" s="5">
        <f>Table25[[#This Row],[Sold]]*Table25[[#This Row],[Price]]</f>
        <v>-953.6</v>
      </c>
      <c r="L1952" s="8">
        <f>ABS(SUMIF(Table25[[#All],[Assets]],Table25[[#This Row],[Assets]],Table25[[#All],[Sold]]))</f>
        <v>87.289999999999992</v>
      </c>
      <c r="M1952" s="5">
        <f>ABS(SUMIF(Table25[[#All],[Assets]],Table25[[#This Row],[Assets]],Table25[[#All],[Sold Amount]]))</f>
        <v>2259.0844999999999</v>
      </c>
      <c r="N1952" s="5">
        <f>IFERROR(Table25[[#This Row],[Total sold amount]]/Table25[[#This Row],[Total Sold number of stocks]],"")</f>
        <v>25.880221102073548</v>
      </c>
      <c r="O1952" s="4">
        <f>IFERROR(Table25[[#This Row],[Total Amount bought]]/Table25[[#This Row],[Total number bought]],"")</f>
        <v>27.136413105739489</v>
      </c>
      <c r="P1952" s="4">
        <f>IFERROR((Table25[[#This Row],[Average sell price]]-Table25[[#This Row],[Average buy price]])*Table25[[#This Row],[Total Sold number of stocks]],0)</f>
        <v>-109.65299999999996</v>
      </c>
      <c r="Q1952" s="85">
        <f>SUMIF(Table25[[#All],[Assets]],Table25[[#This Row],[Assets]],Table25[[#All],[Number of stocks]])</f>
        <v>0</v>
      </c>
    </row>
    <row r="1953" spans="1:17">
      <c r="A1953" t="e" vm="24">
        <v>#VALUE!</v>
      </c>
      <c r="B1953" s="2">
        <v>46028</v>
      </c>
      <c r="C1953" t="str" cm="1">
        <f t="array" aca="1" ref="C1953" ca="1">_FV(A1953,"Ticker symbol",TRUE)</f>
        <v>QCOM</v>
      </c>
      <c r="D1953" s="4">
        <v>182.81</v>
      </c>
      <c r="E1953" s="50">
        <v>6</v>
      </c>
      <c r="F1953" s="81">
        <f>IF(Table25[[#This Row],[Number of stocks]]&gt;0,Table25[[#This Row],[Number of stocks]],0)</f>
        <v>6</v>
      </c>
      <c r="G1953" s="73">
        <f>Table25[[#This Row],[Bought]]*Table25[[#This Row],[Price]]</f>
        <v>1096.8600000000001</v>
      </c>
      <c r="H1953">
        <f>SUMIF(Table25[[#All],[Assets]],Table25[[#This Row],[Assets]],Table25[[#All],[Bought]])</f>
        <v>58</v>
      </c>
      <c r="I1953">
        <f>SUMIF(Table25[[#All],[Assets]],Table25[[#This Row],[Assets]],Table25[[#All],[Bought Amount]])</f>
        <v>9670.27</v>
      </c>
      <c r="J1953" s="88">
        <f>IF(Table25[[#This Row],[Number of stocks]]&lt;0,Table25[[#This Row],[Number of stocks]],0)</f>
        <v>0</v>
      </c>
      <c r="K1953" s="5">
        <f>Table25[[#This Row],[Sold]]*Table25[[#This Row],[Price]]</f>
        <v>0</v>
      </c>
      <c r="L1953" s="8">
        <f>ABS(SUMIF(Table25[[#All],[Assets]],Table25[[#This Row],[Assets]],Table25[[#All],[Sold]]))</f>
        <v>57</v>
      </c>
      <c r="M1953" s="5">
        <f>ABS(SUMIF(Table25[[#All],[Assets]],Table25[[#This Row],[Assets]],Table25[[#All],[Sold Amount]]))</f>
        <v>8530.1</v>
      </c>
      <c r="N1953" s="5">
        <f>IFERROR(Table25[[#This Row],[Total sold amount]]/Table25[[#This Row],[Total Sold number of stocks]],"")</f>
        <v>149.65087719298245</v>
      </c>
      <c r="O1953" s="4">
        <f>IFERROR(Table25[[#This Row],[Total Amount bought]]/Table25[[#This Row],[Total number bought]],"")</f>
        <v>166.72879310344828</v>
      </c>
      <c r="P1953" s="4">
        <f>IFERROR((Table25[[#This Row],[Average sell price]]-Table25[[#This Row],[Average buy price]])*Table25[[#This Row],[Total Sold number of stocks]],0)</f>
        <v>-973.44120689655256</v>
      </c>
      <c r="Q1953" s="85">
        <f>SUMIF(Table25[[#All],[Assets]],Table25[[#This Row],[Assets]],Table25[[#All],[Number of stocks]])</f>
        <v>1</v>
      </c>
    </row>
    <row r="1954" spans="1:17">
      <c r="A1954" t="e" vm="586">
        <v>#VALUE!</v>
      </c>
      <c r="B1954" s="2">
        <v>46029</v>
      </c>
      <c r="C1954" t="str" cm="1">
        <f t="array" aca="1" ref="C1954" ca="1">_FV(A1954,"Ticker symbol",TRUE)</f>
        <v>CAVA</v>
      </c>
      <c r="D1954" s="4">
        <v>67.489999999999995</v>
      </c>
      <c r="E1954" s="50">
        <v>-5</v>
      </c>
      <c r="F1954" s="81">
        <f>IF(Table25[[#This Row],[Number of stocks]]&gt;0,Table25[[#This Row],[Number of stocks]],0)</f>
        <v>0</v>
      </c>
      <c r="G1954" s="73">
        <f>Table25[[#This Row],[Bought]]*Table25[[#This Row],[Price]]</f>
        <v>0</v>
      </c>
      <c r="H1954">
        <f>SUMIF(Table25[[#All],[Assets]],Table25[[#This Row],[Assets]],Table25[[#All],[Bought]])</f>
        <v>18</v>
      </c>
      <c r="I1954">
        <f>SUMIF(Table25[[#All],[Assets]],Table25[[#This Row],[Assets]],Table25[[#All],[Bought Amount]])</f>
        <v>871.07</v>
      </c>
      <c r="J1954" s="88">
        <f>IF(Table25[[#This Row],[Number of stocks]]&lt;0,Table25[[#This Row],[Number of stocks]],0)</f>
        <v>-5</v>
      </c>
      <c r="K1954" s="5">
        <f>Table25[[#This Row],[Sold]]*Table25[[#This Row],[Price]]</f>
        <v>-337.45</v>
      </c>
      <c r="L1954" s="8">
        <f>ABS(SUMIF(Table25[[#All],[Assets]],Table25[[#This Row],[Assets]],Table25[[#All],[Sold]]))</f>
        <v>18</v>
      </c>
      <c r="M1954" s="5">
        <f>ABS(SUMIF(Table25[[#All],[Assets]],Table25[[#This Row],[Assets]],Table25[[#All],[Sold Amount]]))</f>
        <v>1117.32</v>
      </c>
      <c r="N1954" s="5">
        <f>IFERROR(Table25[[#This Row],[Total sold amount]]/Table25[[#This Row],[Total Sold number of stocks]],"")</f>
        <v>62.073333333333331</v>
      </c>
      <c r="O1954" s="4">
        <f>IFERROR(Table25[[#This Row],[Total Amount bought]]/Table25[[#This Row],[Total number bought]],"")</f>
        <v>48.392777777777781</v>
      </c>
      <c r="P1954" s="4">
        <f>IFERROR((Table25[[#This Row],[Average sell price]]-Table25[[#This Row],[Average buy price]])*Table25[[#This Row],[Total Sold number of stocks]],0)</f>
        <v>246.24999999999989</v>
      </c>
      <c r="Q1954" s="85">
        <f>SUMIF(Table25[[#All],[Assets]],Table25[[#This Row],[Assets]],Table25[[#All],[Number of stocks]])</f>
        <v>0</v>
      </c>
    </row>
    <row r="1955" spans="1:17">
      <c r="A1955" t="e" vm="191">
        <v>#VALUE!</v>
      </c>
      <c r="B1955" s="2">
        <v>46029</v>
      </c>
      <c r="C1955" t="str" cm="1">
        <f t="array" aca="1" ref="C1955" ca="1">_FV(A1955,"Ticker symbol",TRUE)</f>
        <v>SHMD</v>
      </c>
      <c r="D1955" s="4">
        <v>7.36</v>
      </c>
      <c r="E1955" s="50">
        <v>17</v>
      </c>
      <c r="F1955" s="81">
        <f>IF(Table25[[#This Row],[Number of stocks]]&gt;0,Table25[[#This Row],[Number of stocks]],0)</f>
        <v>17</v>
      </c>
      <c r="G1955" s="73">
        <f>Table25[[#This Row],[Bought]]*Table25[[#This Row],[Price]]</f>
        <v>125.12</v>
      </c>
      <c r="H1955">
        <f>SUMIF(Table25[[#All],[Assets]],Table25[[#This Row],[Assets]],Table25[[#All],[Bought]])</f>
        <v>445</v>
      </c>
      <c r="I1955">
        <f>SUMIF(Table25[[#All],[Assets]],Table25[[#This Row],[Assets]],Table25[[#All],[Bought Amount]])</f>
        <v>2767.06</v>
      </c>
      <c r="J1955" s="88">
        <f>IF(Table25[[#This Row],[Number of stocks]]&lt;0,Table25[[#This Row],[Number of stocks]],0)</f>
        <v>0</v>
      </c>
      <c r="K1955" s="5">
        <f>Table25[[#This Row],[Sold]]*Table25[[#This Row],[Price]]</f>
        <v>0</v>
      </c>
      <c r="L1955" s="8">
        <f>ABS(SUMIF(Table25[[#All],[Assets]],Table25[[#This Row],[Assets]],Table25[[#All],[Sold]]))</f>
        <v>0</v>
      </c>
      <c r="M1955" s="5">
        <f>ABS(SUMIF(Table25[[#All],[Assets]],Table25[[#This Row],[Assets]],Table25[[#All],[Sold Amount]]))</f>
        <v>0</v>
      </c>
      <c r="N1955" s="5" t="str">
        <f>IFERROR(Table25[[#This Row],[Total sold amount]]/Table25[[#This Row],[Total Sold number of stocks]],"")</f>
        <v/>
      </c>
      <c r="O1955" s="4">
        <f>IFERROR(Table25[[#This Row],[Total Amount bought]]/Table25[[#This Row],[Total number bought]],"")</f>
        <v>6.2181123595505614</v>
      </c>
      <c r="P1955" s="4">
        <f>IFERROR((Table25[[#This Row],[Average sell price]]-Table25[[#This Row],[Average buy price]])*Table25[[#This Row],[Total Sold number of stocks]],0)</f>
        <v>0</v>
      </c>
      <c r="Q1955" s="85">
        <f>SUMIF(Table25[[#All],[Assets]],Table25[[#This Row],[Assets]],Table25[[#All],[Number of stocks]])</f>
        <v>445</v>
      </c>
    </row>
    <row r="1956" spans="1:17">
      <c r="A1956" t="e" vm="587">
        <v>#VALUE!</v>
      </c>
      <c r="B1956" s="2">
        <v>46029</v>
      </c>
      <c r="C1956" t="str" cm="1">
        <f t="array" aca="1" ref="C1956" ca="1">_FV(A1956,"Ticker symbol",TRUE)</f>
        <v>SITM</v>
      </c>
      <c r="D1956" s="4">
        <v>339.45</v>
      </c>
      <c r="E1956" s="50">
        <v>-2</v>
      </c>
      <c r="F1956" s="81">
        <f>IF(Table25[[#This Row],[Number of stocks]]&gt;0,Table25[[#This Row],[Number of stocks]],0)</f>
        <v>0</v>
      </c>
      <c r="G1956" s="73">
        <f>Table25[[#This Row],[Bought]]*Table25[[#This Row],[Price]]</f>
        <v>0</v>
      </c>
      <c r="H1956">
        <f>SUMIF(Table25[[#All],[Assets]],Table25[[#This Row],[Assets]],Table25[[#All],[Bought]])</f>
        <v>2</v>
      </c>
      <c r="I1956">
        <f>SUMIF(Table25[[#All],[Assets]],Table25[[#This Row],[Assets]],Table25[[#All],[Bought Amount]])</f>
        <v>649.84</v>
      </c>
      <c r="J1956" s="88">
        <f>IF(Table25[[#This Row],[Number of stocks]]&lt;0,Table25[[#This Row],[Number of stocks]],0)</f>
        <v>-2</v>
      </c>
      <c r="K1956" s="5">
        <f>Table25[[#This Row],[Sold]]*Table25[[#This Row],[Price]]</f>
        <v>-678.9</v>
      </c>
      <c r="L1956" s="8">
        <f>ABS(SUMIF(Table25[[#All],[Assets]],Table25[[#This Row],[Assets]],Table25[[#All],[Sold]]))</f>
        <v>2</v>
      </c>
      <c r="M1956" s="5">
        <f>ABS(SUMIF(Table25[[#All],[Assets]],Table25[[#This Row],[Assets]],Table25[[#All],[Sold Amount]]))</f>
        <v>678.9</v>
      </c>
      <c r="N1956" s="5">
        <f>IFERROR(Table25[[#This Row],[Total sold amount]]/Table25[[#This Row],[Total Sold number of stocks]],"")</f>
        <v>339.45</v>
      </c>
      <c r="O1956" s="4">
        <f>IFERROR(Table25[[#This Row],[Total Amount bought]]/Table25[[#This Row],[Total number bought]],"")</f>
        <v>324.92</v>
      </c>
      <c r="P1956" s="4">
        <f>IFERROR((Table25[[#This Row],[Average sell price]]-Table25[[#This Row],[Average buy price]])*Table25[[#This Row],[Total Sold number of stocks]],0)</f>
        <v>29.059999999999945</v>
      </c>
      <c r="Q1956" s="85">
        <f>SUMIF(Table25[[#All],[Assets]],Table25[[#This Row],[Assets]],Table25[[#All],[Number of stocks]])</f>
        <v>0</v>
      </c>
    </row>
    <row r="1957" spans="1:17">
      <c r="A1957" t="e" vm="216">
        <v>#VALUE!</v>
      </c>
      <c r="B1957" s="2">
        <v>46029</v>
      </c>
      <c r="C1957" t="str" cm="1">
        <f t="array" aca="1" ref="C1957" ca="1">_FV(A1957,"Ticker symbol",TRUE)</f>
        <v>INSG</v>
      </c>
      <c r="D1957" s="4">
        <v>10.25</v>
      </c>
      <c r="E1957" s="50">
        <v>-60</v>
      </c>
      <c r="F1957" s="81">
        <f>IF(Table25[[#This Row],[Number of stocks]]&gt;0,Table25[[#This Row],[Number of stocks]],0)</f>
        <v>0</v>
      </c>
      <c r="G1957" s="73">
        <f>Table25[[#This Row],[Bought]]*Table25[[#This Row],[Price]]</f>
        <v>0</v>
      </c>
      <c r="H1957">
        <f>SUMIF(Table25[[#All],[Assets]],Table25[[#This Row],[Assets]],Table25[[#All],[Bought]])</f>
        <v>310</v>
      </c>
      <c r="I1957">
        <f>SUMIF(Table25[[#All],[Assets]],Table25[[#This Row],[Assets]],Table25[[#All],[Bought Amount]])</f>
        <v>3450.2</v>
      </c>
      <c r="J1957" s="88">
        <f>IF(Table25[[#This Row],[Number of stocks]]&lt;0,Table25[[#This Row],[Number of stocks]],0)</f>
        <v>-60</v>
      </c>
      <c r="K1957" s="5">
        <f>Table25[[#This Row],[Sold]]*Table25[[#This Row],[Price]]</f>
        <v>-615</v>
      </c>
      <c r="L1957" s="8">
        <f>ABS(SUMIF(Table25[[#All],[Assets]],Table25[[#This Row],[Assets]],Table25[[#All],[Sold]]))</f>
        <v>310</v>
      </c>
      <c r="M1957" s="5">
        <f>ABS(SUMIF(Table25[[#All],[Assets]],Table25[[#This Row],[Assets]],Table25[[#All],[Sold Amount]]))</f>
        <v>3081.5</v>
      </c>
      <c r="N1957" s="5">
        <f>IFERROR(Table25[[#This Row],[Total sold amount]]/Table25[[#This Row],[Total Sold number of stocks]],"")</f>
        <v>9.9403225806451605</v>
      </c>
      <c r="O1957" s="4">
        <f>IFERROR(Table25[[#This Row],[Total Amount bought]]/Table25[[#This Row],[Total number bought]],"")</f>
        <v>11.129677419354838</v>
      </c>
      <c r="P1957" s="4">
        <f>IFERROR((Table25[[#This Row],[Average sell price]]-Table25[[#This Row],[Average buy price]])*Table25[[#This Row],[Total Sold number of stocks]],0)</f>
        <v>-368.70000000000005</v>
      </c>
      <c r="Q1957" s="85">
        <f>SUMIF(Table25[[#All],[Assets]],Table25[[#This Row],[Assets]],Table25[[#All],[Number of stocks]])</f>
        <v>0</v>
      </c>
    </row>
    <row r="1958" spans="1:17">
      <c r="A1958" t="e" vm="180">
        <v>#VALUE!</v>
      </c>
      <c r="B1958" s="2">
        <v>46030</v>
      </c>
      <c r="C1958" t="str" cm="1">
        <f t="array" aca="1" ref="C1958" ca="1">_FV(A1958,"Ticker symbol",TRUE)</f>
        <v>VELO</v>
      </c>
      <c r="D1958" s="4">
        <v>18.59</v>
      </c>
      <c r="E1958" s="50">
        <v>-100</v>
      </c>
      <c r="F1958" s="81">
        <f>IF(Table25[[#This Row],[Number of stocks]]&gt;0,Table25[[#This Row],[Number of stocks]],0)</f>
        <v>0</v>
      </c>
      <c r="G1958" s="73">
        <f>Table25[[#This Row],[Bought]]*Table25[[#This Row],[Price]]</f>
        <v>0</v>
      </c>
      <c r="H1958">
        <f>SUMIF(Table25[[#All],[Assets]],Table25[[#This Row],[Assets]],Table25[[#All],[Bought]])</f>
        <v>423</v>
      </c>
      <c r="I1958">
        <f>SUMIF(Table25[[#All],[Assets]],Table25[[#This Row],[Assets]],Table25[[#All],[Bought Amount]])</f>
        <v>2540.92</v>
      </c>
      <c r="J1958" s="88">
        <f>IF(Table25[[#This Row],[Number of stocks]]&lt;0,Table25[[#This Row],[Number of stocks]],0)</f>
        <v>-100</v>
      </c>
      <c r="K1958" s="5">
        <f>Table25[[#This Row],[Sold]]*Table25[[#This Row],[Price]]</f>
        <v>-1859</v>
      </c>
      <c r="L1958" s="8">
        <f>ABS(SUMIF(Table25[[#All],[Assets]],Table25[[#This Row],[Assets]],Table25[[#All],[Sold]]))</f>
        <v>213</v>
      </c>
      <c r="M1958" s="5">
        <f>ABS(SUMIF(Table25[[#All],[Assets]],Table25[[#This Row],[Assets]],Table25[[#All],[Sold Amount]]))</f>
        <v>2820.5899999999997</v>
      </c>
      <c r="N1958" s="5">
        <f>IFERROR(Table25[[#This Row],[Total sold amount]]/Table25[[#This Row],[Total Sold number of stocks]],"")</f>
        <v>13.242206572769952</v>
      </c>
      <c r="O1958" s="4">
        <f>IFERROR(Table25[[#This Row],[Total Amount bought]]/Table25[[#This Row],[Total number bought]],"")</f>
        <v>6.0069030732860522</v>
      </c>
      <c r="P1958" s="4">
        <f>IFERROR((Table25[[#This Row],[Average sell price]]-Table25[[#This Row],[Average buy price]])*Table25[[#This Row],[Total Sold number of stocks]],0)</f>
        <v>1541.1196453900707</v>
      </c>
      <c r="Q1958" s="85">
        <f>SUMIF(Table25[[#All],[Assets]],Table25[[#This Row],[Assets]],Table25[[#All],[Number of stocks]])</f>
        <v>210</v>
      </c>
    </row>
    <row r="1959" spans="1:17">
      <c r="A1959" t="e" vm="24">
        <v>#VALUE!</v>
      </c>
      <c r="B1959" s="2">
        <v>46030</v>
      </c>
      <c r="C1959" t="str" cm="1">
        <f t="array" aca="1" ref="C1959" ca="1">_FV(A1959,"Ticker symbol",TRUE)</f>
        <v>QCOM</v>
      </c>
      <c r="D1959" s="4">
        <v>180.64</v>
      </c>
      <c r="E1959" s="50">
        <v>10</v>
      </c>
      <c r="F1959" s="81">
        <f>IF(Table25[[#This Row],[Number of stocks]]&gt;0,Table25[[#This Row],[Number of stocks]],0)</f>
        <v>10</v>
      </c>
      <c r="G1959" s="73">
        <f>Table25[[#This Row],[Bought]]*Table25[[#This Row],[Price]]</f>
        <v>1806.3999999999999</v>
      </c>
      <c r="H1959">
        <f>SUMIF(Table25[[#All],[Assets]],Table25[[#This Row],[Assets]],Table25[[#All],[Bought]])</f>
        <v>58</v>
      </c>
      <c r="I1959">
        <f>SUMIF(Table25[[#All],[Assets]],Table25[[#This Row],[Assets]],Table25[[#All],[Bought Amount]])</f>
        <v>9670.27</v>
      </c>
      <c r="J1959" s="88">
        <f>IF(Table25[[#This Row],[Number of stocks]]&lt;0,Table25[[#This Row],[Number of stocks]],0)</f>
        <v>0</v>
      </c>
      <c r="K1959" s="5">
        <f>Table25[[#This Row],[Sold]]*Table25[[#This Row],[Price]]</f>
        <v>0</v>
      </c>
      <c r="L1959" s="8">
        <f>ABS(SUMIF(Table25[[#All],[Assets]],Table25[[#This Row],[Assets]],Table25[[#All],[Sold]]))</f>
        <v>57</v>
      </c>
      <c r="M1959" s="5">
        <f>ABS(SUMIF(Table25[[#All],[Assets]],Table25[[#This Row],[Assets]],Table25[[#All],[Sold Amount]]))</f>
        <v>8530.1</v>
      </c>
      <c r="N1959" s="5">
        <f>IFERROR(Table25[[#This Row],[Total sold amount]]/Table25[[#This Row],[Total Sold number of stocks]],"")</f>
        <v>149.65087719298245</v>
      </c>
      <c r="O1959" s="4">
        <f>IFERROR(Table25[[#This Row],[Total Amount bought]]/Table25[[#This Row],[Total number bought]],"")</f>
        <v>166.72879310344828</v>
      </c>
      <c r="P1959" s="4">
        <f>IFERROR((Table25[[#This Row],[Average sell price]]-Table25[[#This Row],[Average buy price]])*Table25[[#This Row],[Total Sold number of stocks]],0)</f>
        <v>-973.44120689655256</v>
      </c>
      <c r="Q1959" s="85">
        <f>SUMIF(Table25[[#All],[Assets]],Table25[[#This Row],[Assets]],Table25[[#All],[Number of stocks]])</f>
        <v>1</v>
      </c>
    </row>
    <row r="1960" spans="1:17">
      <c r="A1960" t="e" vm="196">
        <v>#VALUE!</v>
      </c>
      <c r="B1960" s="2">
        <v>46031</v>
      </c>
      <c r="C1960" t="str" cm="1">
        <f t="array" aca="1" ref="C1960" ca="1">_FV(A1960,"Ticker symbol",TRUE)</f>
        <v>TTMI</v>
      </c>
      <c r="D1960" s="4">
        <v>70.599999999999994</v>
      </c>
      <c r="E1960" s="50">
        <v>4</v>
      </c>
      <c r="F1960" s="81">
        <f>IF(Table25[[#This Row],[Number of stocks]]&gt;0,Table25[[#This Row],[Number of stocks]],0)</f>
        <v>4</v>
      </c>
      <c r="G1960" s="73">
        <f>Table25[[#This Row],[Bought]]*Table25[[#This Row],[Price]]</f>
        <v>282.39999999999998</v>
      </c>
      <c r="H1960">
        <f>SUMIF(Table25[[#All],[Assets]],Table25[[#This Row],[Assets]],Table25[[#All],[Bought]])</f>
        <v>14</v>
      </c>
      <c r="I1960">
        <f>SUMIF(Table25[[#All],[Assets]],Table25[[#This Row],[Assets]],Table25[[#All],[Bought Amount]])</f>
        <v>1058</v>
      </c>
      <c r="J1960" s="88">
        <f>IF(Table25[[#This Row],[Number of stocks]]&lt;0,Table25[[#This Row],[Number of stocks]],0)</f>
        <v>0</v>
      </c>
      <c r="K1960" s="5">
        <f>Table25[[#This Row],[Sold]]*Table25[[#This Row],[Price]]</f>
        <v>0</v>
      </c>
      <c r="L1960" s="8">
        <f>ABS(SUMIF(Table25[[#All],[Assets]],Table25[[#This Row],[Assets]],Table25[[#All],[Sold]]))</f>
        <v>0</v>
      </c>
      <c r="M1960" s="5">
        <f>ABS(SUMIF(Table25[[#All],[Assets]],Table25[[#This Row],[Assets]],Table25[[#All],[Sold Amount]]))</f>
        <v>0</v>
      </c>
      <c r="N1960" s="5" t="str">
        <f>IFERROR(Table25[[#This Row],[Total sold amount]]/Table25[[#This Row],[Total Sold number of stocks]],"")</f>
        <v/>
      </c>
      <c r="O1960" s="4">
        <f>IFERROR(Table25[[#This Row],[Total Amount bought]]/Table25[[#This Row],[Total number bought]],"")</f>
        <v>75.571428571428569</v>
      </c>
      <c r="P1960" s="4">
        <f>IFERROR((Table25[[#This Row],[Average sell price]]-Table25[[#This Row],[Average buy price]])*Table25[[#This Row],[Total Sold number of stocks]],0)</f>
        <v>0</v>
      </c>
      <c r="Q1960" s="85">
        <f>SUMIF(Table25[[#All],[Assets]],Table25[[#This Row],[Assets]],Table25[[#All],[Number of stocks]])</f>
        <v>14</v>
      </c>
    </row>
    <row r="1961" spans="1:17">
      <c r="A1961" t="e" vm="189">
        <v>#VALUE!</v>
      </c>
      <c r="B1961" s="2">
        <v>46031</v>
      </c>
      <c r="C1961" t="str" cm="1">
        <f t="array" aca="1" ref="C1961" ca="1">_FV(A1961,"Ticker symbol",TRUE)</f>
        <v>NVO</v>
      </c>
      <c r="D1961" s="4">
        <v>60.1</v>
      </c>
      <c r="E1961" s="50">
        <v>8</v>
      </c>
      <c r="F1961" s="81">
        <f>IF(Table25[[#This Row],[Number of stocks]]&gt;0,Table25[[#This Row],[Number of stocks]],0)</f>
        <v>8</v>
      </c>
      <c r="G1961" s="73">
        <f>Table25[[#This Row],[Bought]]*Table25[[#This Row],[Price]]</f>
        <v>480.8</v>
      </c>
      <c r="H1961">
        <f>SUMIF(Table25[[#All],[Assets]],Table25[[#This Row],[Assets]],Table25[[#All],[Bought]])</f>
        <v>32</v>
      </c>
      <c r="I1961">
        <f>SUMIF(Table25[[#All],[Assets]],Table25[[#This Row],[Assets]],Table25[[#All],[Bought Amount]])</f>
        <v>1652.72</v>
      </c>
      <c r="J1961" s="88">
        <f>IF(Table25[[#This Row],[Number of stocks]]&lt;0,Table25[[#This Row],[Number of stocks]],0)</f>
        <v>0</v>
      </c>
      <c r="K1961" s="5">
        <f>Table25[[#This Row],[Sold]]*Table25[[#This Row],[Price]]</f>
        <v>0</v>
      </c>
      <c r="L1961" s="8">
        <f>ABS(SUMIF(Table25[[#All],[Assets]],Table25[[#This Row],[Assets]],Table25[[#All],[Sold]]))</f>
        <v>8</v>
      </c>
      <c r="M1961" s="5">
        <f>ABS(SUMIF(Table25[[#All],[Assets]],Table25[[#This Row],[Assets]],Table25[[#All],[Sold Amount]]))</f>
        <v>495.68</v>
      </c>
      <c r="N1961" s="5">
        <f>IFERROR(Table25[[#This Row],[Total sold amount]]/Table25[[#This Row],[Total Sold number of stocks]],"")</f>
        <v>61.96</v>
      </c>
      <c r="O1961" s="4">
        <f>IFERROR(Table25[[#This Row],[Total Amount bought]]/Table25[[#This Row],[Total number bought]],"")</f>
        <v>51.647500000000001</v>
      </c>
      <c r="P1961" s="4">
        <f>IFERROR((Table25[[#This Row],[Average sell price]]-Table25[[#This Row],[Average buy price]])*Table25[[#This Row],[Total Sold number of stocks]],0)</f>
        <v>82.5</v>
      </c>
      <c r="Q1961" s="85">
        <f>SUMIF(Table25[[#All],[Assets]],Table25[[#This Row],[Assets]],Table25[[#All],[Number of stocks]])</f>
        <v>24</v>
      </c>
    </row>
    <row r="1962" spans="1:17">
      <c r="A1962" t="e" vm="30">
        <v>#VALUE!</v>
      </c>
      <c r="B1962" s="2">
        <v>46031</v>
      </c>
      <c r="C1962" t="str" cm="1">
        <f t="array" aca="1" ref="C1962" ca="1">_FV(A1962,"Ticker symbol",TRUE)</f>
        <v>NBIS</v>
      </c>
      <c r="D1962" s="4">
        <v>104.03</v>
      </c>
      <c r="E1962" s="50">
        <v>-20</v>
      </c>
      <c r="F1962" s="81">
        <f>IF(Table25[[#This Row],[Number of stocks]]&gt;0,Table25[[#This Row],[Number of stocks]],0)</f>
        <v>0</v>
      </c>
      <c r="G1962" s="73">
        <f>Table25[[#This Row],[Bought]]*Table25[[#This Row],[Price]]</f>
        <v>0</v>
      </c>
      <c r="H1962">
        <f>SUMIF(Table25[[#All],[Assets]],Table25[[#This Row],[Assets]],Table25[[#All],[Bought]])</f>
        <v>70</v>
      </c>
      <c r="I1962">
        <f>SUMIF(Table25[[#All],[Assets]],Table25[[#This Row],[Assets]],Table25[[#All],[Bought Amount]])</f>
        <v>2691.1</v>
      </c>
      <c r="J1962" s="88">
        <f>IF(Table25[[#This Row],[Number of stocks]]&lt;0,Table25[[#This Row],[Number of stocks]],0)</f>
        <v>-20</v>
      </c>
      <c r="K1962" s="5">
        <f>Table25[[#This Row],[Sold]]*Table25[[#This Row],[Price]]</f>
        <v>-2080.6</v>
      </c>
      <c r="L1962" s="8">
        <f>ABS(SUMIF(Table25[[#All],[Assets]],Table25[[#This Row],[Assets]],Table25[[#All],[Sold]]))</f>
        <v>30</v>
      </c>
      <c r="M1962" s="5">
        <f>ABS(SUMIF(Table25[[#All],[Assets]],Table25[[#This Row],[Assets]],Table25[[#All],[Sold Amount]]))</f>
        <v>3282.8</v>
      </c>
      <c r="N1962" s="5">
        <f>IFERROR(Table25[[#This Row],[Total sold amount]]/Table25[[#This Row],[Total Sold number of stocks]],"")</f>
        <v>109.42666666666668</v>
      </c>
      <c r="O1962" s="4">
        <f>IFERROR(Table25[[#This Row],[Total Amount bought]]/Table25[[#This Row],[Total number bought]],"")</f>
        <v>38.444285714285712</v>
      </c>
      <c r="P1962" s="4">
        <f>IFERROR((Table25[[#This Row],[Average sell price]]-Table25[[#This Row],[Average buy price]])*Table25[[#This Row],[Total Sold number of stocks]],0)</f>
        <v>2129.471428571429</v>
      </c>
      <c r="Q1962" s="85">
        <f>SUMIF(Table25[[#All],[Assets]],Table25[[#This Row],[Assets]],Table25[[#All],[Number of stocks]])</f>
        <v>40</v>
      </c>
    </row>
    <row r="1963" spans="1:17">
      <c r="A1963" t="e" vm="178">
        <v>#VALUE!</v>
      </c>
      <c r="B1963" s="2">
        <v>46031</v>
      </c>
      <c r="C1963" t="str" cm="1">
        <f t="array" aca="1" ref="C1963" ca="1">_FV(A1963,"Ticker symbol",TRUE)</f>
        <v>MARA</v>
      </c>
      <c r="D1963" s="4">
        <v>10.56</v>
      </c>
      <c r="E1963" s="50">
        <v>200</v>
      </c>
      <c r="F1963" s="81">
        <f>IF(Table25[[#This Row],[Number of stocks]]&gt;0,Table25[[#This Row],[Number of stocks]],0)</f>
        <v>200</v>
      </c>
      <c r="G1963" s="73">
        <f>Table25[[#This Row],[Bought]]*Table25[[#This Row],[Price]]</f>
        <v>2112</v>
      </c>
      <c r="H1963">
        <f>SUMIF(Table25[[#All],[Assets]],Table25[[#This Row],[Assets]],Table25[[#All],[Bought]])</f>
        <v>586</v>
      </c>
      <c r="I1963">
        <f>SUMIF(Table25[[#All],[Assets]],Table25[[#This Row],[Assets]],Table25[[#All],[Bought Amount]])</f>
        <v>6128.42</v>
      </c>
      <c r="J1963" s="88">
        <f>IF(Table25[[#This Row],[Number of stocks]]&lt;0,Table25[[#This Row],[Number of stocks]],0)</f>
        <v>0</v>
      </c>
      <c r="K1963" s="5">
        <f>Table25[[#This Row],[Sold]]*Table25[[#This Row],[Price]]</f>
        <v>0</v>
      </c>
      <c r="L1963" s="8">
        <f>ABS(SUMIF(Table25[[#All],[Assets]],Table25[[#This Row],[Assets]],Table25[[#All],[Sold]]))</f>
        <v>79</v>
      </c>
      <c r="M1963" s="5">
        <f>ABS(SUMIF(Table25[[#All],[Assets]],Table25[[#This Row],[Assets]],Table25[[#All],[Sold Amount]]))</f>
        <v>634.37</v>
      </c>
      <c r="N1963" s="5">
        <f>IFERROR(Table25[[#This Row],[Total sold amount]]/Table25[[#This Row],[Total Sold number of stocks]],"")</f>
        <v>8.0299999999999994</v>
      </c>
      <c r="O1963" s="4">
        <f>IFERROR(Table25[[#This Row],[Total Amount bought]]/Table25[[#This Row],[Total number bought]],"")</f>
        <v>10.458054607508533</v>
      </c>
      <c r="P1963" s="4">
        <f>IFERROR((Table25[[#This Row],[Average sell price]]-Table25[[#This Row],[Average buy price]])*Table25[[#This Row],[Total Sold number of stocks]],0)</f>
        <v>-191.81631399317416</v>
      </c>
      <c r="Q1963" s="85">
        <f>SUMIF(Table25[[#All],[Assets]],Table25[[#This Row],[Assets]],Table25[[#All],[Number of stocks]])</f>
        <v>507</v>
      </c>
    </row>
    <row r="1964" spans="1:17">
      <c r="A1964" t="e" vm="317">
        <v>#VALUE!</v>
      </c>
      <c r="B1964" s="2">
        <v>46031</v>
      </c>
      <c r="C1964" t="str" cm="1">
        <f t="array" aca="1" ref="C1964" ca="1">_FV(A1964,"Ticker symbol",TRUE)</f>
        <v>RUM</v>
      </c>
      <c r="D1964" s="4">
        <v>6.84</v>
      </c>
      <c r="E1964" s="50">
        <v>-80</v>
      </c>
      <c r="F1964" s="81">
        <f>IF(Table25[[#This Row],[Number of stocks]]&gt;0,Table25[[#This Row],[Number of stocks]],0)</f>
        <v>0</v>
      </c>
      <c r="G1964" s="73">
        <f>Table25[[#This Row],[Bought]]*Table25[[#This Row],[Price]]</f>
        <v>0</v>
      </c>
      <c r="H1964">
        <f>SUMIF(Table25[[#All],[Assets]],Table25[[#This Row],[Assets]],Table25[[#All],[Bought]])</f>
        <v>80</v>
      </c>
      <c r="I1964">
        <f>SUMIF(Table25[[#All],[Assets]],Table25[[#This Row],[Assets]],Table25[[#All],[Bought Amount]])</f>
        <v>492.8</v>
      </c>
      <c r="J1964" s="88">
        <f>IF(Table25[[#This Row],[Number of stocks]]&lt;0,Table25[[#This Row],[Number of stocks]],0)</f>
        <v>-80</v>
      </c>
      <c r="K1964" s="5">
        <f>Table25[[#This Row],[Sold]]*Table25[[#This Row],[Price]]</f>
        <v>-547.20000000000005</v>
      </c>
      <c r="L1964" s="8">
        <f>ABS(SUMIF(Table25[[#All],[Assets]],Table25[[#This Row],[Assets]],Table25[[#All],[Sold]]))</f>
        <v>80</v>
      </c>
      <c r="M1964" s="5">
        <f>ABS(SUMIF(Table25[[#All],[Assets]],Table25[[#This Row],[Assets]],Table25[[#All],[Sold Amount]]))</f>
        <v>547.20000000000005</v>
      </c>
      <c r="N1964" s="5">
        <f>IFERROR(Table25[[#This Row],[Total sold amount]]/Table25[[#This Row],[Total Sold number of stocks]],"")</f>
        <v>6.8400000000000007</v>
      </c>
      <c r="O1964" s="4">
        <f>IFERROR(Table25[[#This Row],[Total Amount bought]]/Table25[[#This Row],[Total number bought]],"")</f>
        <v>6.16</v>
      </c>
      <c r="P1964" s="4">
        <f>IFERROR((Table25[[#This Row],[Average sell price]]-Table25[[#This Row],[Average buy price]])*Table25[[#This Row],[Total Sold number of stocks]],0)</f>
        <v>54.400000000000048</v>
      </c>
      <c r="Q1964" s="85">
        <f>SUMIF(Table25[[#All],[Assets]],Table25[[#This Row],[Assets]],Table25[[#All],[Number of stocks]])</f>
        <v>0</v>
      </c>
    </row>
    <row r="1965" spans="1:17">
      <c r="A1965" t="e" vm="80">
        <v>#VALUE!</v>
      </c>
      <c r="B1965" s="2">
        <v>46031</v>
      </c>
      <c r="C1965" t="str" cm="1">
        <f t="array" aca="1" ref="C1965" ca="1">_FV(A1965,"Ticker symbol",TRUE)</f>
        <v>PYPL</v>
      </c>
      <c r="D1965" s="4">
        <v>57.73</v>
      </c>
      <c r="E1965" s="50">
        <v>-3</v>
      </c>
      <c r="F1965" s="81">
        <f>IF(Table25[[#This Row],[Number of stocks]]&gt;0,Table25[[#This Row],[Number of stocks]],0)</f>
        <v>0</v>
      </c>
      <c r="G1965" s="73">
        <f>Table25[[#This Row],[Bought]]*Table25[[#This Row],[Price]]</f>
        <v>0</v>
      </c>
      <c r="H1965">
        <f>SUMIF(Table25[[#All],[Assets]],Table25[[#This Row],[Assets]],Table25[[#All],[Bought]])</f>
        <v>223</v>
      </c>
      <c r="I1965">
        <f>SUMIF(Table25[[#All],[Assets]],Table25[[#This Row],[Assets]],Table25[[#All],[Bought Amount]])</f>
        <v>14862.050000000003</v>
      </c>
      <c r="J1965" s="88">
        <f>IF(Table25[[#This Row],[Number of stocks]]&lt;0,Table25[[#This Row],[Number of stocks]],0)</f>
        <v>-3</v>
      </c>
      <c r="K1965" s="5">
        <f>Table25[[#This Row],[Sold]]*Table25[[#This Row],[Price]]</f>
        <v>-173.19</v>
      </c>
      <c r="L1965" s="8">
        <f>ABS(SUMIF(Table25[[#All],[Assets]],Table25[[#This Row],[Assets]],Table25[[#All],[Sold]]))</f>
        <v>222</v>
      </c>
      <c r="M1965" s="5">
        <f>ABS(SUMIF(Table25[[#All],[Assets]],Table25[[#This Row],[Assets]],Table25[[#All],[Sold Amount]]))</f>
        <v>15255.44</v>
      </c>
      <c r="N1965" s="5">
        <f>IFERROR(Table25[[#This Row],[Total sold amount]]/Table25[[#This Row],[Total Sold number of stocks]],"")</f>
        <v>68.718198198198195</v>
      </c>
      <c r="O1965" s="4">
        <f>IFERROR(Table25[[#This Row],[Total Amount bought]]/Table25[[#This Row],[Total number bought]],"")</f>
        <v>66.645964125560553</v>
      </c>
      <c r="P1965" s="4">
        <f>IFERROR((Table25[[#This Row],[Average sell price]]-Table25[[#This Row],[Average buy price]])*Table25[[#This Row],[Total Sold number of stocks]],0)</f>
        <v>460.03596412555646</v>
      </c>
      <c r="Q1965" s="85">
        <f>SUMIF(Table25[[#All],[Assets]],Table25[[#This Row],[Assets]],Table25[[#All],[Number of stocks]])</f>
        <v>1</v>
      </c>
    </row>
    <row r="1966" spans="1:17">
      <c r="A1966" t="e" vm="202">
        <v>#VALUE!</v>
      </c>
      <c r="B1966" s="2">
        <v>46031</v>
      </c>
      <c r="C1966" t="str" cm="1">
        <f t="array" aca="1" ref="C1966" ca="1">_FV(A1966,"Ticker symbol",TRUE)</f>
        <v>ASTI</v>
      </c>
      <c r="D1966" s="4">
        <v>4.4000000000000004</v>
      </c>
      <c r="E1966" s="50">
        <v>200</v>
      </c>
      <c r="F1966" s="81">
        <f>IF(Table25[[#This Row],[Number of stocks]]&gt;0,Table25[[#This Row],[Number of stocks]],0)</f>
        <v>200</v>
      </c>
      <c r="G1966" s="73">
        <f>Table25[[#This Row],[Bought]]*Table25[[#This Row],[Price]]</f>
        <v>880.00000000000011</v>
      </c>
      <c r="H1966">
        <f>SUMIF(Table25[[#All],[Assets]],Table25[[#This Row],[Assets]],Table25[[#All],[Bought]])</f>
        <v>200</v>
      </c>
      <c r="I1966">
        <f>SUMIF(Table25[[#All],[Assets]],Table25[[#This Row],[Assets]],Table25[[#All],[Bought Amount]])</f>
        <v>880.00000000000011</v>
      </c>
      <c r="J1966" s="88">
        <f>IF(Table25[[#This Row],[Number of stocks]]&lt;0,Table25[[#This Row],[Number of stocks]],0)</f>
        <v>0</v>
      </c>
      <c r="K1966" s="5">
        <f>Table25[[#This Row],[Sold]]*Table25[[#This Row],[Price]]</f>
        <v>0</v>
      </c>
      <c r="L1966" s="8">
        <f>ABS(SUMIF(Table25[[#All],[Assets]],Table25[[#This Row],[Assets]],Table25[[#All],[Sold]]))</f>
        <v>100</v>
      </c>
      <c r="M1966" s="5">
        <f>ABS(SUMIF(Table25[[#All],[Assets]],Table25[[#This Row],[Assets]],Table25[[#All],[Sold Amount]]))</f>
        <v>599</v>
      </c>
      <c r="N1966" s="5">
        <f>IFERROR(Table25[[#This Row],[Total sold amount]]/Table25[[#This Row],[Total Sold number of stocks]],"")</f>
        <v>5.99</v>
      </c>
      <c r="O1966" s="4">
        <f>IFERROR(Table25[[#This Row],[Total Amount bought]]/Table25[[#This Row],[Total number bought]],"")</f>
        <v>4.4000000000000004</v>
      </c>
      <c r="P1966" s="4">
        <f>IFERROR((Table25[[#This Row],[Average sell price]]-Table25[[#This Row],[Average buy price]])*Table25[[#This Row],[Total Sold number of stocks]],0)</f>
        <v>159</v>
      </c>
      <c r="Q1966" s="85">
        <f>SUMIF(Table25[[#All],[Assets]],Table25[[#This Row],[Assets]],Table25[[#All],[Number of stocks]])</f>
        <v>100</v>
      </c>
    </row>
    <row r="1967" spans="1:17">
      <c r="A1967" t="e" vm="80">
        <v>#VALUE!</v>
      </c>
      <c r="B1967" s="2">
        <v>46034</v>
      </c>
      <c r="C1967" t="str" cm="1">
        <f t="array" aca="1" ref="C1967" ca="1">_FV(A1967,"Ticker symbol",TRUE)</f>
        <v>PYPL</v>
      </c>
      <c r="D1967" s="4">
        <v>57.12</v>
      </c>
      <c r="E1967" s="50">
        <v>-8</v>
      </c>
      <c r="F1967" s="81">
        <f>IF(Table25[[#This Row],[Number of stocks]]&gt;0,Table25[[#This Row],[Number of stocks]],0)</f>
        <v>0</v>
      </c>
      <c r="G1967" s="73">
        <f>Table25[[#This Row],[Bought]]*Table25[[#This Row],[Price]]</f>
        <v>0</v>
      </c>
      <c r="H1967">
        <f>SUMIF(Table25[[#All],[Assets]],Table25[[#This Row],[Assets]],Table25[[#All],[Bought]])</f>
        <v>223</v>
      </c>
      <c r="I1967">
        <f>SUMIF(Table25[[#All],[Assets]],Table25[[#This Row],[Assets]],Table25[[#All],[Bought Amount]])</f>
        <v>14862.050000000003</v>
      </c>
      <c r="J1967" s="88">
        <f>IF(Table25[[#This Row],[Number of stocks]]&lt;0,Table25[[#This Row],[Number of stocks]],0)</f>
        <v>-8</v>
      </c>
      <c r="K1967" s="5">
        <f>Table25[[#This Row],[Sold]]*Table25[[#This Row],[Price]]</f>
        <v>-456.96</v>
      </c>
      <c r="L1967" s="8">
        <f>ABS(SUMIF(Table25[[#All],[Assets]],Table25[[#This Row],[Assets]],Table25[[#All],[Sold]]))</f>
        <v>222</v>
      </c>
      <c r="M1967" s="5">
        <f>ABS(SUMIF(Table25[[#All],[Assets]],Table25[[#This Row],[Assets]],Table25[[#All],[Sold Amount]]))</f>
        <v>15255.44</v>
      </c>
      <c r="N1967" s="5">
        <f>IFERROR(Table25[[#This Row],[Total sold amount]]/Table25[[#This Row],[Total Sold number of stocks]],"")</f>
        <v>68.718198198198195</v>
      </c>
      <c r="O1967" s="4">
        <f>IFERROR(Table25[[#This Row],[Total Amount bought]]/Table25[[#This Row],[Total number bought]],"")</f>
        <v>66.645964125560553</v>
      </c>
      <c r="P1967" s="4">
        <f>IFERROR((Table25[[#This Row],[Average sell price]]-Table25[[#This Row],[Average buy price]])*Table25[[#This Row],[Total Sold number of stocks]],0)</f>
        <v>460.03596412555646</v>
      </c>
      <c r="Q1967" s="85">
        <f>SUMIF(Table25[[#All],[Assets]],Table25[[#This Row],[Assets]],Table25[[#All],[Number of stocks]])</f>
        <v>1</v>
      </c>
    </row>
    <row r="1968" spans="1:17">
      <c r="A1968" t="e" vm="203">
        <v>#VALUE!</v>
      </c>
      <c r="B1968" s="2">
        <v>46034</v>
      </c>
      <c r="C1968" t="str" cm="1">
        <f t="array" aca="1" ref="C1968" ca="1">_FV(A1968,"Ticker symbol",TRUE)</f>
        <v>TWLO</v>
      </c>
      <c r="D1968" s="4">
        <v>132.44999999999999</v>
      </c>
      <c r="E1968" s="50">
        <v>-4</v>
      </c>
      <c r="F1968" s="81">
        <f>IF(Table25[[#This Row],[Number of stocks]]&gt;0,Table25[[#This Row],[Number of stocks]],0)</f>
        <v>0</v>
      </c>
      <c r="G1968" s="73">
        <f>Table25[[#This Row],[Bought]]*Table25[[#This Row],[Price]]</f>
        <v>0</v>
      </c>
      <c r="H1968">
        <f>SUMIF(Table25[[#All],[Assets]],Table25[[#This Row],[Assets]],Table25[[#All],[Bought]])</f>
        <v>64</v>
      </c>
      <c r="I1968">
        <f>SUMIF(Table25[[#All],[Assets]],Table25[[#This Row],[Assets]],Table25[[#All],[Bought Amount]])</f>
        <v>7733.8899999999994</v>
      </c>
      <c r="J1968" s="88">
        <f>IF(Table25[[#This Row],[Number of stocks]]&lt;0,Table25[[#This Row],[Number of stocks]],0)</f>
        <v>-4</v>
      </c>
      <c r="K1968" s="5">
        <f>Table25[[#This Row],[Sold]]*Table25[[#This Row],[Price]]</f>
        <v>-529.79999999999995</v>
      </c>
      <c r="L1968" s="8">
        <f>ABS(SUMIF(Table25[[#All],[Assets]],Table25[[#This Row],[Assets]],Table25[[#All],[Sold]]))</f>
        <v>64</v>
      </c>
      <c r="M1968" s="5">
        <f>ABS(SUMIF(Table25[[#All],[Assets]],Table25[[#This Row],[Assets]],Table25[[#All],[Sold Amount]]))</f>
        <v>7331.26</v>
      </c>
      <c r="N1968" s="5">
        <f>IFERROR(Table25[[#This Row],[Total sold amount]]/Table25[[#This Row],[Total Sold number of stocks]],"")</f>
        <v>114.5509375</v>
      </c>
      <c r="O1968" s="4">
        <f>IFERROR(Table25[[#This Row],[Total Amount bought]]/Table25[[#This Row],[Total number bought]],"")</f>
        <v>120.84203124999999</v>
      </c>
      <c r="P1968" s="4">
        <f>IFERROR((Table25[[#This Row],[Average sell price]]-Table25[[#This Row],[Average buy price]])*Table25[[#This Row],[Total Sold number of stocks]],0)</f>
        <v>-402.6299999999992</v>
      </c>
      <c r="Q1968" s="85">
        <f>SUMIF(Table25[[#All],[Assets]],Table25[[#This Row],[Assets]],Table25[[#All],[Number of stocks]])</f>
        <v>0</v>
      </c>
    </row>
    <row r="1969" spans="1:17">
      <c r="A1969" t="e" vm="194">
        <v>#VALUE!</v>
      </c>
      <c r="B1969" s="2">
        <v>46034</v>
      </c>
      <c r="C1969" t="str" cm="1">
        <f t="array" aca="1" ref="C1969" ca="1">_FV(A1969,"Ticker symbol",TRUE)</f>
        <v>CIFR</v>
      </c>
      <c r="D1969" s="4">
        <v>17.59</v>
      </c>
      <c r="E1969" s="50">
        <v>-35</v>
      </c>
      <c r="F1969" s="81">
        <f>IF(Table25[[#This Row],[Number of stocks]]&gt;0,Table25[[#This Row],[Number of stocks]],0)</f>
        <v>0</v>
      </c>
      <c r="G1969" s="73">
        <f>Table25[[#This Row],[Bought]]*Table25[[#This Row],[Price]]</f>
        <v>0</v>
      </c>
      <c r="H1969">
        <f>SUMIF(Table25[[#All],[Assets]],Table25[[#This Row],[Assets]],Table25[[#All],[Bought]])</f>
        <v>120</v>
      </c>
      <c r="I1969">
        <f>SUMIF(Table25[[#All],[Assets]],Table25[[#This Row],[Assets]],Table25[[#All],[Bought Amount]])</f>
        <v>1946</v>
      </c>
      <c r="J1969" s="88">
        <f>IF(Table25[[#This Row],[Number of stocks]]&lt;0,Table25[[#This Row],[Number of stocks]],0)</f>
        <v>-35</v>
      </c>
      <c r="K1969" s="5">
        <f>Table25[[#This Row],[Sold]]*Table25[[#This Row],[Price]]</f>
        <v>-615.65</v>
      </c>
      <c r="L1969" s="8">
        <f>ABS(SUMIF(Table25[[#All],[Assets]],Table25[[#This Row],[Assets]],Table25[[#All],[Sold]]))</f>
        <v>120</v>
      </c>
      <c r="M1969" s="5">
        <f>ABS(SUMIF(Table25[[#All],[Assets]],Table25[[#This Row],[Assets]],Table25[[#All],[Sold Amount]]))</f>
        <v>2077.65</v>
      </c>
      <c r="N1969" s="5">
        <f>IFERROR(Table25[[#This Row],[Total sold amount]]/Table25[[#This Row],[Total Sold number of stocks]],"")</f>
        <v>17.313750000000002</v>
      </c>
      <c r="O1969" s="4">
        <f>IFERROR(Table25[[#This Row],[Total Amount bought]]/Table25[[#This Row],[Total number bought]],"")</f>
        <v>16.216666666666665</v>
      </c>
      <c r="P1969" s="4">
        <f>IFERROR((Table25[[#This Row],[Average sell price]]-Table25[[#This Row],[Average buy price]])*Table25[[#This Row],[Total Sold number of stocks]],0)</f>
        <v>131.65000000000049</v>
      </c>
      <c r="Q1969" s="85">
        <f>SUMIF(Table25[[#All],[Assets]],Table25[[#This Row],[Assets]],Table25[[#All],[Number of stocks]])</f>
        <v>0</v>
      </c>
    </row>
    <row r="1970" spans="1:17">
      <c r="A1970" t="e" vm="342">
        <v>#VALUE!</v>
      </c>
      <c r="B1970" s="2">
        <v>46034</v>
      </c>
      <c r="C1970" t="str" cm="1">
        <f t="array" aca="1" ref="C1970" ca="1">_FV(A1970,"Ticker symbol",TRUE)</f>
        <v>VKTX</v>
      </c>
      <c r="D1970" s="4">
        <v>31.9</v>
      </c>
      <c r="E1970" s="50">
        <v>-15</v>
      </c>
      <c r="F1970" s="81">
        <f>IF(Table25[[#This Row],[Number of stocks]]&gt;0,Table25[[#This Row],[Number of stocks]],0)</f>
        <v>0</v>
      </c>
      <c r="G1970" s="73">
        <f>Table25[[#This Row],[Bought]]*Table25[[#This Row],[Price]]</f>
        <v>0</v>
      </c>
      <c r="H1970">
        <f>SUMIF(Table25[[#All],[Assets]],Table25[[#This Row],[Assets]],Table25[[#All],[Bought]])</f>
        <v>37</v>
      </c>
      <c r="I1970">
        <f>SUMIF(Table25[[#All],[Assets]],Table25[[#This Row],[Assets]],Table25[[#All],[Bought Amount]])</f>
        <v>1461.42</v>
      </c>
      <c r="J1970" s="88">
        <f>IF(Table25[[#This Row],[Number of stocks]]&lt;0,Table25[[#This Row],[Number of stocks]],0)</f>
        <v>-15</v>
      </c>
      <c r="K1970" s="5">
        <f>Table25[[#This Row],[Sold]]*Table25[[#This Row],[Price]]</f>
        <v>-478.5</v>
      </c>
      <c r="L1970" s="8">
        <f>ABS(SUMIF(Table25[[#All],[Assets]],Table25[[#This Row],[Assets]],Table25[[#All],[Sold]]))</f>
        <v>37</v>
      </c>
      <c r="M1970" s="5">
        <f>ABS(SUMIF(Table25[[#All],[Assets]],Table25[[#This Row],[Assets]],Table25[[#All],[Sold Amount]]))</f>
        <v>1546.19</v>
      </c>
      <c r="N1970" s="5">
        <f>IFERROR(Table25[[#This Row],[Total sold amount]]/Table25[[#This Row],[Total Sold number of stocks]],"")</f>
        <v>41.788918918918924</v>
      </c>
      <c r="O1970" s="4">
        <f>IFERROR(Table25[[#This Row],[Total Amount bought]]/Table25[[#This Row],[Total number bought]],"")</f>
        <v>39.497837837837842</v>
      </c>
      <c r="P1970" s="4">
        <f>IFERROR((Table25[[#This Row],[Average sell price]]-Table25[[#This Row],[Average buy price]])*Table25[[#This Row],[Total Sold number of stocks]],0)</f>
        <v>84.77000000000001</v>
      </c>
      <c r="Q1970" s="85">
        <f>SUMIF(Table25[[#All],[Assets]],Table25[[#This Row],[Assets]],Table25[[#All],[Number of stocks]])</f>
        <v>0</v>
      </c>
    </row>
    <row r="1971" spans="1:17">
      <c r="A1971" t="e" vm="196">
        <v>#VALUE!</v>
      </c>
      <c r="B1971" s="2">
        <v>46034</v>
      </c>
      <c r="C1971" t="str" cm="1">
        <f t="array" aca="1" ref="C1971" ca="1">_FV(A1971,"Ticker symbol",TRUE)</f>
        <v>TTMI</v>
      </c>
      <c r="D1971" s="4">
        <v>77.56</v>
      </c>
      <c r="E1971" s="50">
        <v>10</v>
      </c>
      <c r="F1971" s="81">
        <f>IF(Table25[[#This Row],[Number of stocks]]&gt;0,Table25[[#This Row],[Number of stocks]],0)</f>
        <v>10</v>
      </c>
      <c r="G1971" s="73">
        <f>Table25[[#This Row],[Bought]]*Table25[[#This Row],[Price]]</f>
        <v>775.6</v>
      </c>
      <c r="H1971">
        <f>SUMIF(Table25[[#All],[Assets]],Table25[[#This Row],[Assets]],Table25[[#All],[Bought]])</f>
        <v>14</v>
      </c>
      <c r="I1971">
        <f>SUMIF(Table25[[#All],[Assets]],Table25[[#This Row],[Assets]],Table25[[#All],[Bought Amount]])</f>
        <v>1058</v>
      </c>
      <c r="J1971" s="88">
        <f>IF(Table25[[#This Row],[Number of stocks]]&lt;0,Table25[[#This Row],[Number of stocks]],0)</f>
        <v>0</v>
      </c>
      <c r="K1971" s="5">
        <f>Table25[[#This Row],[Sold]]*Table25[[#This Row],[Price]]</f>
        <v>0</v>
      </c>
      <c r="L1971" s="8">
        <f>ABS(SUMIF(Table25[[#All],[Assets]],Table25[[#This Row],[Assets]],Table25[[#All],[Sold]]))</f>
        <v>0</v>
      </c>
      <c r="M1971" s="5">
        <f>ABS(SUMIF(Table25[[#All],[Assets]],Table25[[#This Row],[Assets]],Table25[[#All],[Sold Amount]]))</f>
        <v>0</v>
      </c>
      <c r="N1971" s="5" t="str">
        <f>IFERROR(Table25[[#This Row],[Total sold amount]]/Table25[[#This Row],[Total Sold number of stocks]],"")</f>
        <v/>
      </c>
      <c r="O1971" s="4">
        <f>IFERROR(Table25[[#This Row],[Total Amount bought]]/Table25[[#This Row],[Total number bought]],"")</f>
        <v>75.571428571428569</v>
      </c>
      <c r="P1971" s="4">
        <f>IFERROR((Table25[[#This Row],[Average sell price]]-Table25[[#This Row],[Average buy price]])*Table25[[#This Row],[Total Sold number of stocks]],0)</f>
        <v>0</v>
      </c>
      <c r="Q1971" s="85">
        <f>SUMIF(Table25[[#All],[Assets]],Table25[[#This Row],[Assets]],Table25[[#All],[Number of stocks]])</f>
        <v>14</v>
      </c>
    </row>
    <row r="1972" spans="1:17">
      <c r="A1972" t="e" vm="216">
        <v>#VALUE!</v>
      </c>
      <c r="B1972" s="2">
        <v>46035</v>
      </c>
      <c r="C1972" t="str" cm="1">
        <f t="array" aca="1" ref="C1972" ca="1">_FV(A1972,"Ticker symbol",TRUE)</f>
        <v>INSG</v>
      </c>
      <c r="D1972" s="4">
        <v>10.79</v>
      </c>
      <c r="E1972" s="50">
        <v>-30</v>
      </c>
      <c r="F1972" s="81">
        <f>IF(Table25[[#This Row],[Number of stocks]]&gt;0,Table25[[#This Row],[Number of stocks]],0)</f>
        <v>0</v>
      </c>
      <c r="G1972" s="73">
        <f>Table25[[#This Row],[Bought]]*Table25[[#This Row],[Price]]</f>
        <v>0</v>
      </c>
      <c r="H1972">
        <f>SUMIF(Table25[[#All],[Assets]],Table25[[#This Row],[Assets]],Table25[[#All],[Bought]])</f>
        <v>310</v>
      </c>
      <c r="I1972">
        <f>SUMIF(Table25[[#All],[Assets]],Table25[[#This Row],[Assets]],Table25[[#All],[Bought Amount]])</f>
        <v>3450.2</v>
      </c>
      <c r="J1972" s="88">
        <f>IF(Table25[[#This Row],[Number of stocks]]&lt;0,Table25[[#This Row],[Number of stocks]],0)</f>
        <v>-30</v>
      </c>
      <c r="K1972" s="5">
        <f>Table25[[#This Row],[Sold]]*Table25[[#This Row],[Price]]</f>
        <v>-323.7</v>
      </c>
      <c r="L1972" s="8">
        <f>ABS(SUMIF(Table25[[#All],[Assets]],Table25[[#This Row],[Assets]],Table25[[#All],[Sold]]))</f>
        <v>310</v>
      </c>
      <c r="M1972" s="5">
        <f>ABS(SUMIF(Table25[[#All],[Assets]],Table25[[#This Row],[Assets]],Table25[[#All],[Sold Amount]]))</f>
        <v>3081.5</v>
      </c>
      <c r="N1972" s="5">
        <f>IFERROR(Table25[[#This Row],[Total sold amount]]/Table25[[#This Row],[Total Sold number of stocks]],"")</f>
        <v>9.9403225806451605</v>
      </c>
      <c r="O1972" s="4">
        <f>IFERROR(Table25[[#This Row],[Total Amount bought]]/Table25[[#This Row],[Total number bought]],"")</f>
        <v>11.129677419354838</v>
      </c>
      <c r="P1972" s="4">
        <f>IFERROR((Table25[[#This Row],[Average sell price]]-Table25[[#This Row],[Average buy price]])*Table25[[#This Row],[Total Sold number of stocks]],0)</f>
        <v>-368.70000000000005</v>
      </c>
      <c r="Q1972" s="85">
        <f>SUMIF(Table25[[#All],[Assets]],Table25[[#This Row],[Assets]],Table25[[#All],[Number of stocks]])</f>
        <v>0</v>
      </c>
    </row>
    <row r="1973" spans="1:17">
      <c r="A1973" t="e" vm="223">
        <v>#VALUE!</v>
      </c>
      <c r="B1973" s="2">
        <v>46035</v>
      </c>
      <c r="C1973" t="str" cm="1">
        <f t="array" aca="1" ref="C1973" ca="1">_FV(A1973,"Ticker symbol",TRUE)</f>
        <v>NFE</v>
      </c>
      <c r="D1973" s="4">
        <v>1.24</v>
      </c>
      <c r="E1973" s="50">
        <v>-289</v>
      </c>
      <c r="F1973" s="81">
        <f>IF(Table25[[#This Row],[Number of stocks]]&gt;0,Table25[[#This Row],[Number of stocks]],0)</f>
        <v>0</v>
      </c>
      <c r="G1973" s="73">
        <f>Table25[[#This Row],[Bought]]*Table25[[#This Row],[Price]]</f>
        <v>0</v>
      </c>
      <c r="H1973">
        <f>SUMIF(Table25[[#All],[Assets]],Table25[[#This Row],[Assets]],Table25[[#All],[Bought]])</f>
        <v>389</v>
      </c>
      <c r="I1973">
        <f>SUMIF(Table25[[#All],[Assets]],Table25[[#This Row],[Assets]],Table25[[#All],[Bought Amount]])</f>
        <v>584.42000000000007</v>
      </c>
      <c r="J1973" s="88">
        <f>IF(Table25[[#This Row],[Number of stocks]]&lt;0,Table25[[#This Row],[Number of stocks]],0)</f>
        <v>-289</v>
      </c>
      <c r="K1973" s="5">
        <f>Table25[[#This Row],[Sold]]*Table25[[#This Row],[Price]]</f>
        <v>-358.36</v>
      </c>
      <c r="L1973" s="8">
        <f>ABS(SUMIF(Table25[[#All],[Assets]],Table25[[#This Row],[Assets]],Table25[[#All],[Sold]]))</f>
        <v>289</v>
      </c>
      <c r="M1973" s="5">
        <f>ABS(SUMIF(Table25[[#All],[Assets]],Table25[[#This Row],[Assets]],Table25[[#All],[Sold Amount]]))</f>
        <v>358.36</v>
      </c>
      <c r="N1973" s="5">
        <f>IFERROR(Table25[[#This Row],[Total sold amount]]/Table25[[#This Row],[Total Sold number of stocks]],"")</f>
        <v>1.24</v>
      </c>
      <c r="O1973" s="4">
        <f>IFERROR(Table25[[#This Row],[Total Amount bought]]/Table25[[#This Row],[Total number bought]],"")</f>
        <v>1.5023650385604115</v>
      </c>
      <c r="P1973" s="4">
        <f>IFERROR((Table25[[#This Row],[Average sell price]]-Table25[[#This Row],[Average buy price]])*Table25[[#This Row],[Total Sold number of stocks]],0)</f>
        <v>-75.82349614395892</v>
      </c>
      <c r="Q1973" s="85">
        <f>SUMIF(Table25[[#All],[Assets]],Table25[[#This Row],[Assets]],Table25[[#All],[Number of stocks]])</f>
        <v>100</v>
      </c>
    </row>
    <row r="1974" spans="1:17">
      <c r="A1974" t="e" vm="24">
        <v>#VALUE!</v>
      </c>
      <c r="B1974" s="2">
        <v>46036</v>
      </c>
      <c r="C1974" t="str" cm="1">
        <f t="array" aca="1" ref="C1974" ca="1">_FV(A1974,"Ticker symbol",TRUE)</f>
        <v>QCOM</v>
      </c>
      <c r="D1974" s="4">
        <v>163.69999999999999</v>
      </c>
      <c r="E1974" s="50">
        <v>-7</v>
      </c>
      <c r="F1974" s="81">
        <f>IF(Table25[[#This Row],[Number of stocks]]&gt;0,Table25[[#This Row],[Number of stocks]],0)</f>
        <v>0</v>
      </c>
      <c r="G1974" s="73">
        <f>Table25[[#This Row],[Bought]]*Table25[[#This Row],[Price]]</f>
        <v>0</v>
      </c>
      <c r="H1974">
        <f>SUMIF(Table25[[#All],[Assets]],Table25[[#This Row],[Assets]],Table25[[#All],[Bought]])</f>
        <v>58</v>
      </c>
      <c r="I1974">
        <f>SUMIF(Table25[[#All],[Assets]],Table25[[#This Row],[Assets]],Table25[[#All],[Bought Amount]])</f>
        <v>9670.27</v>
      </c>
      <c r="J1974" s="88">
        <f>IF(Table25[[#This Row],[Number of stocks]]&lt;0,Table25[[#This Row],[Number of stocks]],0)</f>
        <v>-7</v>
      </c>
      <c r="K1974" s="5">
        <f>Table25[[#This Row],[Sold]]*Table25[[#This Row],[Price]]</f>
        <v>-1145.8999999999999</v>
      </c>
      <c r="L1974" s="8">
        <f>ABS(SUMIF(Table25[[#All],[Assets]],Table25[[#This Row],[Assets]],Table25[[#All],[Sold]]))</f>
        <v>57</v>
      </c>
      <c r="M1974" s="5">
        <f>ABS(SUMIF(Table25[[#All],[Assets]],Table25[[#This Row],[Assets]],Table25[[#All],[Sold Amount]]))</f>
        <v>8530.1</v>
      </c>
      <c r="N1974" s="5">
        <f>IFERROR(Table25[[#This Row],[Total sold amount]]/Table25[[#This Row],[Total Sold number of stocks]],"")</f>
        <v>149.65087719298245</v>
      </c>
      <c r="O1974" s="4">
        <f>IFERROR(Table25[[#This Row],[Total Amount bought]]/Table25[[#This Row],[Total number bought]],"")</f>
        <v>166.72879310344828</v>
      </c>
      <c r="P1974" s="4">
        <f>IFERROR((Table25[[#This Row],[Average sell price]]-Table25[[#This Row],[Average buy price]])*Table25[[#This Row],[Total Sold number of stocks]],0)</f>
        <v>-973.44120689655256</v>
      </c>
      <c r="Q1974" s="85">
        <f>SUMIF(Table25[[#All],[Assets]],Table25[[#This Row],[Assets]],Table25[[#All],[Number of stocks]])</f>
        <v>1</v>
      </c>
    </row>
    <row r="1975" spans="1:17">
      <c r="A1975" t="e" vm="203">
        <v>#VALUE!</v>
      </c>
      <c r="B1975" s="2">
        <v>46036</v>
      </c>
      <c r="C1975" t="str" cm="1">
        <f t="array" aca="1" ref="C1975" ca="1">_FV(A1975,"Ticker symbol",TRUE)</f>
        <v>TWLO</v>
      </c>
      <c r="D1975" s="4">
        <v>128.16999999999999</v>
      </c>
      <c r="E1975" s="50">
        <v>-1</v>
      </c>
      <c r="F1975" s="81">
        <f>IF(Table25[[#This Row],[Number of stocks]]&gt;0,Table25[[#This Row],[Number of stocks]],0)</f>
        <v>0</v>
      </c>
      <c r="G1975" s="73">
        <f>Table25[[#This Row],[Bought]]*Table25[[#This Row],[Price]]</f>
        <v>0</v>
      </c>
      <c r="H1975">
        <f>SUMIF(Table25[[#All],[Assets]],Table25[[#This Row],[Assets]],Table25[[#All],[Bought]])</f>
        <v>64</v>
      </c>
      <c r="I1975">
        <f>SUMIF(Table25[[#All],[Assets]],Table25[[#This Row],[Assets]],Table25[[#All],[Bought Amount]])</f>
        <v>7733.8899999999994</v>
      </c>
      <c r="J1975" s="88">
        <f>IF(Table25[[#This Row],[Number of stocks]]&lt;0,Table25[[#This Row],[Number of stocks]],0)</f>
        <v>-1</v>
      </c>
      <c r="K1975" s="5">
        <f>Table25[[#This Row],[Sold]]*Table25[[#This Row],[Price]]</f>
        <v>-128.16999999999999</v>
      </c>
      <c r="L1975" s="8">
        <f>ABS(SUMIF(Table25[[#All],[Assets]],Table25[[#This Row],[Assets]],Table25[[#All],[Sold]]))</f>
        <v>64</v>
      </c>
      <c r="M1975" s="5">
        <f>ABS(SUMIF(Table25[[#All],[Assets]],Table25[[#This Row],[Assets]],Table25[[#All],[Sold Amount]]))</f>
        <v>7331.26</v>
      </c>
      <c r="N1975" s="5">
        <f>IFERROR(Table25[[#This Row],[Total sold amount]]/Table25[[#This Row],[Total Sold number of stocks]],"")</f>
        <v>114.5509375</v>
      </c>
      <c r="O1975" s="4">
        <f>IFERROR(Table25[[#This Row],[Total Amount bought]]/Table25[[#This Row],[Total number bought]],"")</f>
        <v>120.84203124999999</v>
      </c>
      <c r="P1975" s="4">
        <f>IFERROR((Table25[[#This Row],[Average sell price]]-Table25[[#This Row],[Average buy price]])*Table25[[#This Row],[Total Sold number of stocks]],0)</f>
        <v>-402.6299999999992</v>
      </c>
      <c r="Q1975" s="85">
        <f>SUMIF(Table25[[#All],[Assets]],Table25[[#This Row],[Assets]],Table25[[#All],[Number of stocks]])</f>
        <v>0</v>
      </c>
    </row>
    <row r="1976" spans="1:17">
      <c r="A1976" t="e" vm="122">
        <v>#VALUE!</v>
      </c>
      <c r="B1976" s="2">
        <v>46037</v>
      </c>
      <c r="C1976" t="str" cm="1">
        <f t="array" aca="1" ref="C1976" ca="1">_FV(A1976,"Ticker symbol",TRUE)</f>
        <v>AVGO</v>
      </c>
      <c r="D1976" s="4">
        <v>348.84</v>
      </c>
      <c r="E1976" s="50">
        <v>1</v>
      </c>
      <c r="F1976" s="81">
        <f>IF(Table25[[#This Row],[Number of stocks]]&gt;0,Table25[[#This Row],[Number of stocks]],0)</f>
        <v>1</v>
      </c>
      <c r="G1976" s="73">
        <f>Table25[[#This Row],[Bought]]*Table25[[#This Row],[Price]]</f>
        <v>348.84</v>
      </c>
      <c r="H1976">
        <f>SUMIF(Table25[[#All],[Assets]],Table25[[#This Row],[Assets]],Table25[[#All],[Bought]])</f>
        <v>3</v>
      </c>
      <c r="I1976">
        <f>SUMIF(Table25[[#All],[Assets]],Table25[[#This Row],[Assets]],Table25[[#All],[Bought Amount]])</f>
        <v>1043.68</v>
      </c>
      <c r="J1976" s="88">
        <f>IF(Table25[[#This Row],[Number of stocks]]&lt;0,Table25[[#This Row],[Number of stocks]],0)</f>
        <v>0</v>
      </c>
      <c r="K1976" s="5">
        <f>Table25[[#This Row],[Sold]]*Table25[[#This Row],[Price]]</f>
        <v>0</v>
      </c>
      <c r="L1976" s="8">
        <f>ABS(SUMIF(Table25[[#All],[Assets]],Table25[[#This Row],[Assets]],Table25[[#All],[Sold]]))</f>
        <v>0</v>
      </c>
      <c r="M1976" s="5">
        <f>ABS(SUMIF(Table25[[#All],[Assets]],Table25[[#This Row],[Assets]],Table25[[#All],[Sold Amount]]))</f>
        <v>0</v>
      </c>
      <c r="N1976" s="5" t="str">
        <f>IFERROR(Table25[[#This Row],[Total sold amount]]/Table25[[#This Row],[Total Sold number of stocks]],"")</f>
        <v/>
      </c>
      <c r="O1976" s="4">
        <f>IFERROR(Table25[[#This Row],[Total Amount bought]]/Table25[[#This Row],[Total number bought]],"")</f>
        <v>347.89333333333337</v>
      </c>
      <c r="P1976" s="4">
        <f>IFERROR((Table25[[#This Row],[Average sell price]]-Table25[[#This Row],[Average buy price]])*Table25[[#This Row],[Total Sold number of stocks]],0)</f>
        <v>0</v>
      </c>
      <c r="Q1976" s="85">
        <f>SUMIF(Table25[[#All],[Assets]],Table25[[#This Row],[Assets]],Table25[[#All],[Number of stocks]])</f>
        <v>3</v>
      </c>
    </row>
    <row r="1977" spans="1:17">
      <c r="A1977" t="e" vm="162">
        <v>#VALUE!</v>
      </c>
      <c r="B1977" s="2">
        <v>46037</v>
      </c>
      <c r="C1977" t="str" cm="1">
        <f t="array" aca="1" ref="C1977" ca="1">_FV(A1977,"Ticker symbol",TRUE)</f>
        <v>APA</v>
      </c>
      <c r="D1977" s="4">
        <v>25.95</v>
      </c>
      <c r="E1977" s="50">
        <v>-10</v>
      </c>
      <c r="F1977" s="81">
        <f>IF(Table25[[#This Row],[Number of stocks]]&gt;0,Table25[[#This Row],[Number of stocks]],0)</f>
        <v>0</v>
      </c>
      <c r="G1977" s="73">
        <f>Table25[[#This Row],[Bought]]*Table25[[#This Row],[Price]]</f>
        <v>0</v>
      </c>
      <c r="H1977">
        <f>SUMIF(Table25[[#All],[Assets]],Table25[[#This Row],[Assets]],Table25[[#All],[Bought]])</f>
        <v>87.289999999999992</v>
      </c>
      <c r="I1977">
        <f>SUMIF(Table25[[#All],[Assets]],Table25[[#This Row],[Assets]],Table25[[#All],[Bought Amount]])</f>
        <v>2368.7374999999997</v>
      </c>
      <c r="J1977" s="88">
        <f>IF(Table25[[#This Row],[Number of stocks]]&lt;0,Table25[[#This Row],[Number of stocks]],0)</f>
        <v>-10</v>
      </c>
      <c r="K1977" s="5">
        <f>Table25[[#This Row],[Sold]]*Table25[[#This Row],[Price]]</f>
        <v>-259.5</v>
      </c>
      <c r="L1977" s="8">
        <f>ABS(SUMIF(Table25[[#All],[Assets]],Table25[[#This Row],[Assets]],Table25[[#All],[Sold]]))</f>
        <v>87.289999999999992</v>
      </c>
      <c r="M1977" s="5">
        <f>ABS(SUMIF(Table25[[#All],[Assets]],Table25[[#This Row],[Assets]],Table25[[#All],[Sold Amount]]))</f>
        <v>2259.0844999999999</v>
      </c>
      <c r="N1977" s="5">
        <f>IFERROR(Table25[[#This Row],[Total sold amount]]/Table25[[#This Row],[Total Sold number of stocks]],"")</f>
        <v>25.880221102073548</v>
      </c>
      <c r="O1977" s="4">
        <f>IFERROR(Table25[[#This Row],[Total Amount bought]]/Table25[[#This Row],[Total number bought]],"")</f>
        <v>27.136413105739489</v>
      </c>
      <c r="P1977" s="4">
        <f>IFERROR((Table25[[#This Row],[Average sell price]]-Table25[[#This Row],[Average buy price]])*Table25[[#This Row],[Total Sold number of stocks]],0)</f>
        <v>-109.65299999999996</v>
      </c>
      <c r="Q1977" s="85">
        <f>SUMIF(Table25[[#All],[Assets]],Table25[[#This Row],[Assets]],Table25[[#All],[Number of stocks]])</f>
        <v>0</v>
      </c>
    </row>
    <row r="1978" spans="1:17">
      <c r="A1978" t="e" vm="24">
        <v>#VALUE!</v>
      </c>
      <c r="B1978" s="2">
        <v>46037</v>
      </c>
      <c r="C1978" t="str" cm="1">
        <f t="array" aca="1" ref="C1978" ca="1">_FV(A1978,"Ticker symbol",TRUE)</f>
        <v>QCOM</v>
      </c>
      <c r="D1978" s="4">
        <v>163</v>
      </c>
      <c r="E1978" s="50">
        <v>-3</v>
      </c>
      <c r="F1978" s="81">
        <f>IF(Table25[[#This Row],[Number of stocks]]&gt;0,Table25[[#This Row],[Number of stocks]],0)</f>
        <v>0</v>
      </c>
      <c r="G1978" s="73">
        <f>Table25[[#This Row],[Bought]]*Table25[[#This Row],[Price]]</f>
        <v>0</v>
      </c>
      <c r="H1978">
        <f>SUMIF(Table25[[#All],[Assets]],Table25[[#This Row],[Assets]],Table25[[#All],[Bought]])</f>
        <v>58</v>
      </c>
      <c r="I1978">
        <f>SUMIF(Table25[[#All],[Assets]],Table25[[#This Row],[Assets]],Table25[[#All],[Bought Amount]])</f>
        <v>9670.27</v>
      </c>
      <c r="J1978" s="88">
        <f>IF(Table25[[#This Row],[Number of stocks]]&lt;0,Table25[[#This Row],[Number of stocks]],0)</f>
        <v>-3</v>
      </c>
      <c r="K1978" s="5">
        <f>Table25[[#This Row],[Sold]]*Table25[[#This Row],[Price]]</f>
        <v>-489</v>
      </c>
      <c r="L1978" s="8">
        <f>ABS(SUMIF(Table25[[#All],[Assets]],Table25[[#This Row],[Assets]],Table25[[#All],[Sold]]))</f>
        <v>57</v>
      </c>
      <c r="M1978" s="5">
        <f>ABS(SUMIF(Table25[[#All],[Assets]],Table25[[#This Row],[Assets]],Table25[[#All],[Sold Amount]]))</f>
        <v>8530.1</v>
      </c>
      <c r="N1978" s="5">
        <f>IFERROR(Table25[[#This Row],[Total sold amount]]/Table25[[#This Row],[Total Sold number of stocks]],"")</f>
        <v>149.65087719298245</v>
      </c>
      <c r="O1978" s="4">
        <f>IFERROR(Table25[[#This Row],[Total Amount bought]]/Table25[[#This Row],[Total number bought]],"")</f>
        <v>166.72879310344828</v>
      </c>
      <c r="P1978" s="4">
        <f>IFERROR((Table25[[#This Row],[Average sell price]]-Table25[[#This Row],[Average buy price]])*Table25[[#This Row],[Total Sold number of stocks]],0)</f>
        <v>-973.44120689655256</v>
      </c>
      <c r="Q1978" s="85">
        <f>SUMIF(Table25[[#All],[Assets]],Table25[[#This Row],[Assets]],Table25[[#All],[Number of stocks]])</f>
        <v>1</v>
      </c>
    </row>
    <row r="1979" spans="1:17">
      <c r="A1979" t="e" vm="24">
        <v>#VALUE!</v>
      </c>
      <c r="B1979" s="2">
        <v>46037</v>
      </c>
      <c r="C1979" t="str" cm="1">
        <f t="array" aca="1" ref="C1979" ca="1">_FV(A1979,"Ticker symbol",TRUE)</f>
        <v>QCOM</v>
      </c>
      <c r="D1979" s="4">
        <v>163.07</v>
      </c>
      <c r="E1979" s="50">
        <v>-6</v>
      </c>
      <c r="F1979" s="81">
        <f>IF(Table25[[#This Row],[Number of stocks]]&gt;0,Table25[[#This Row],[Number of stocks]],0)</f>
        <v>0</v>
      </c>
      <c r="G1979" s="73">
        <f>Table25[[#This Row],[Bought]]*Table25[[#This Row],[Price]]</f>
        <v>0</v>
      </c>
      <c r="H1979">
        <f>SUMIF(Table25[[#All],[Assets]],Table25[[#This Row],[Assets]],Table25[[#All],[Bought]])</f>
        <v>58</v>
      </c>
      <c r="I1979">
        <f>SUMIF(Table25[[#All],[Assets]],Table25[[#This Row],[Assets]],Table25[[#All],[Bought Amount]])</f>
        <v>9670.27</v>
      </c>
      <c r="J1979" s="88">
        <f>IF(Table25[[#This Row],[Number of stocks]]&lt;0,Table25[[#This Row],[Number of stocks]],0)</f>
        <v>-6</v>
      </c>
      <c r="K1979" s="5">
        <f>Table25[[#This Row],[Sold]]*Table25[[#This Row],[Price]]</f>
        <v>-978.42</v>
      </c>
      <c r="L1979" s="8">
        <f>ABS(SUMIF(Table25[[#All],[Assets]],Table25[[#This Row],[Assets]],Table25[[#All],[Sold]]))</f>
        <v>57</v>
      </c>
      <c r="M1979" s="5">
        <f>ABS(SUMIF(Table25[[#All],[Assets]],Table25[[#This Row],[Assets]],Table25[[#All],[Sold Amount]]))</f>
        <v>8530.1</v>
      </c>
      <c r="N1979" s="5">
        <f>IFERROR(Table25[[#This Row],[Total sold amount]]/Table25[[#This Row],[Total Sold number of stocks]],"")</f>
        <v>149.65087719298245</v>
      </c>
      <c r="O1979" s="4">
        <f>IFERROR(Table25[[#This Row],[Total Amount bought]]/Table25[[#This Row],[Total number bought]],"")</f>
        <v>166.72879310344828</v>
      </c>
      <c r="P1979" s="4">
        <f>IFERROR((Table25[[#This Row],[Average sell price]]-Table25[[#This Row],[Average buy price]])*Table25[[#This Row],[Total Sold number of stocks]],0)</f>
        <v>-973.44120689655256</v>
      </c>
      <c r="Q1979" s="85">
        <f>SUMIF(Table25[[#All],[Assets]],Table25[[#This Row],[Assets]],Table25[[#All],[Number of stocks]])</f>
        <v>1</v>
      </c>
    </row>
    <row r="1980" spans="1:17">
      <c r="A1980" t="e" vm="129">
        <v>#VALUE!</v>
      </c>
      <c r="B1980" s="2">
        <v>46037</v>
      </c>
      <c r="C1980" t="str" cm="1">
        <f t="array" aca="1" ref="C1980" ca="1">_FV(A1980,"Ticker symbol",TRUE)</f>
        <v>MRVL</v>
      </c>
      <c r="D1980" s="4">
        <v>82.34</v>
      </c>
      <c r="E1980" s="50">
        <v>19</v>
      </c>
      <c r="F1980" s="81">
        <f>IF(Table25[[#This Row],[Number of stocks]]&gt;0,Table25[[#This Row],[Number of stocks]],0)</f>
        <v>19</v>
      </c>
      <c r="G1980" s="73">
        <f>Table25[[#This Row],[Bought]]*Table25[[#This Row],[Price]]</f>
        <v>1564.46</v>
      </c>
      <c r="H1980">
        <f>SUMIF(Table25[[#All],[Assets]],Table25[[#This Row],[Assets]],Table25[[#All],[Bought]])</f>
        <v>105</v>
      </c>
      <c r="I1980">
        <f>SUMIF(Table25[[#All],[Assets]],Table25[[#This Row],[Assets]],Table25[[#All],[Bought Amount]])</f>
        <v>8175.6200000000008</v>
      </c>
      <c r="J1980" s="88">
        <f>IF(Table25[[#This Row],[Number of stocks]]&lt;0,Table25[[#This Row],[Number of stocks]],0)</f>
        <v>0</v>
      </c>
      <c r="K1980" s="5">
        <f>Table25[[#This Row],[Sold]]*Table25[[#This Row],[Price]]</f>
        <v>0</v>
      </c>
      <c r="L1980" s="8">
        <f>ABS(SUMIF(Table25[[#All],[Assets]],Table25[[#This Row],[Assets]],Table25[[#All],[Sold]]))</f>
        <v>83</v>
      </c>
      <c r="M1980" s="5">
        <f>ABS(SUMIF(Table25[[#All],[Assets]],Table25[[#This Row],[Assets]],Table25[[#All],[Sold Amount]]))</f>
        <v>6745.73</v>
      </c>
      <c r="N1980" s="5">
        <f>IFERROR(Table25[[#This Row],[Total sold amount]]/Table25[[#This Row],[Total Sold number of stocks]],"")</f>
        <v>81.273855421686747</v>
      </c>
      <c r="O1980" s="4">
        <f>IFERROR(Table25[[#This Row],[Total Amount bought]]/Table25[[#This Row],[Total number bought]],"")</f>
        <v>77.86304761904762</v>
      </c>
      <c r="P1980" s="4">
        <f>IFERROR((Table25[[#This Row],[Average sell price]]-Table25[[#This Row],[Average buy price]])*Table25[[#This Row],[Total Sold number of stocks]],0)</f>
        <v>283.09704761904754</v>
      </c>
      <c r="Q1980" s="85">
        <f>SUMIF(Table25[[#All],[Assets]],Table25[[#This Row],[Assets]],Table25[[#All],[Number of stocks]])</f>
        <v>22</v>
      </c>
    </row>
    <row r="1981" spans="1:17">
      <c r="A1981" t="e" vm="122">
        <v>#VALUE!</v>
      </c>
      <c r="B1981" s="2">
        <v>46037</v>
      </c>
      <c r="C1981" t="str" cm="1">
        <f t="array" aca="1" ref="C1981" ca="1">_FV(A1981,"Ticker symbol",TRUE)</f>
        <v>AVGO</v>
      </c>
      <c r="D1981" s="4">
        <v>347.42</v>
      </c>
      <c r="E1981" s="50">
        <v>2</v>
      </c>
      <c r="F1981" s="81">
        <f>IF(Table25[[#This Row],[Number of stocks]]&gt;0,Table25[[#This Row],[Number of stocks]],0)</f>
        <v>2</v>
      </c>
      <c r="G1981" s="73">
        <f>Table25[[#This Row],[Bought]]*Table25[[#This Row],[Price]]</f>
        <v>694.84</v>
      </c>
      <c r="H1981">
        <f>SUMIF(Table25[[#All],[Assets]],Table25[[#This Row],[Assets]],Table25[[#All],[Bought]])</f>
        <v>3</v>
      </c>
      <c r="I1981">
        <f>SUMIF(Table25[[#All],[Assets]],Table25[[#This Row],[Assets]],Table25[[#All],[Bought Amount]])</f>
        <v>1043.68</v>
      </c>
      <c r="J1981" s="88">
        <f>IF(Table25[[#This Row],[Number of stocks]]&lt;0,Table25[[#This Row],[Number of stocks]],0)</f>
        <v>0</v>
      </c>
      <c r="K1981" s="5">
        <f>Table25[[#This Row],[Sold]]*Table25[[#This Row],[Price]]</f>
        <v>0</v>
      </c>
      <c r="L1981" s="8">
        <f>ABS(SUMIF(Table25[[#All],[Assets]],Table25[[#This Row],[Assets]],Table25[[#All],[Sold]]))</f>
        <v>0</v>
      </c>
      <c r="M1981" s="5">
        <f>ABS(SUMIF(Table25[[#All],[Assets]],Table25[[#This Row],[Assets]],Table25[[#All],[Sold Amount]]))</f>
        <v>0</v>
      </c>
      <c r="N1981" s="5" t="str">
        <f>IFERROR(Table25[[#This Row],[Total sold amount]]/Table25[[#This Row],[Total Sold number of stocks]],"")</f>
        <v/>
      </c>
      <c r="O1981" s="4">
        <f>IFERROR(Table25[[#This Row],[Total Amount bought]]/Table25[[#This Row],[Total number bought]],"")</f>
        <v>347.89333333333337</v>
      </c>
      <c r="P1981" s="4">
        <f>IFERROR((Table25[[#This Row],[Average sell price]]-Table25[[#This Row],[Average buy price]])*Table25[[#This Row],[Total Sold number of stocks]],0)</f>
        <v>0</v>
      </c>
      <c r="Q1981" s="85">
        <f>SUMIF(Table25[[#All],[Assets]],Table25[[#This Row],[Assets]],Table25[[#All],[Number of stocks]])</f>
        <v>3</v>
      </c>
    </row>
    <row r="1982" spans="1:17">
      <c r="A1982" t="e" vm="185">
        <v>#VALUE!</v>
      </c>
      <c r="B1982" s="2">
        <v>46037</v>
      </c>
      <c r="C1982" t="str" cm="1">
        <f t="array" aca="1" ref="C1982" ca="1">_FV(A1982,"Ticker symbol",TRUE)</f>
        <v>ALMU</v>
      </c>
      <c r="D1982" s="4">
        <v>22.49</v>
      </c>
      <c r="E1982" s="50">
        <v>20</v>
      </c>
      <c r="F1982" s="81">
        <f>IF(Table25[[#This Row],[Number of stocks]]&gt;0,Table25[[#This Row],[Number of stocks]],0)</f>
        <v>20</v>
      </c>
      <c r="G1982" s="73">
        <f>Table25[[#This Row],[Bought]]*Table25[[#This Row],[Price]]</f>
        <v>449.79999999999995</v>
      </c>
      <c r="H1982">
        <f>SUMIF(Table25[[#All],[Assets]],Table25[[#This Row],[Assets]],Table25[[#All],[Bought]])</f>
        <v>153</v>
      </c>
      <c r="I1982">
        <f>SUMIF(Table25[[#All],[Assets]],Table25[[#This Row],[Assets]],Table25[[#All],[Bought Amount]])</f>
        <v>2675.17</v>
      </c>
      <c r="J1982" s="88">
        <f>IF(Table25[[#This Row],[Number of stocks]]&lt;0,Table25[[#This Row],[Number of stocks]],0)</f>
        <v>0</v>
      </c>
      <c r="K1982" s="5">
        <f>Table25[[#This Row],[Sold]]*Table25[[#This Row],[Price]]</f>
        <v>0</v>
      </c>
      <c r="L1982" s="8">
        <f>ABS(SUMIF(Table25[[#All],[Assets]],Table25[[#This Row],[Assets]],Table25[[#All],[Sold]]))</f>
        <v>0</v>
      </c>
      <c r="M1982" s="5">
        <f>ABS(SUMIF(Table25[[#All],[Assets]],Table25[[#This Row],[Assets]],Table25[[#All],[Sold Amount]]))</f>
        <v>0</v>
      </c>
      <c r="N1982" s="5" t="str">
        <f>IFERROR(Table25[[#This Row],[Total sold amount]]/Table25[[#This Row],[Total Sold number of stocks]],"")</f>
        <v/>
      </c>
      <c r="O1982" s="4">
        <f>IFERROR(Table25[[#This Row],[Total Amount bought]]/Table25[[#This Row],[Total number bought]],"")</f>
        <v>17.484771241830067</v>
      </c>
      <c r="P1982" s="4">
        <f>IFERROR((Table25[[#This Row],[Average sell price]]-Table25[[#This Row],[Average buy price]])*Table25[[#This Row],[Total Sold number of stocks]],0)</f>
        <v>0</v>
      </c>
      <c r="Q1982" s="85">
        <f>SUMIF(Table25[[#All],[Assets]],Table25[[#This Row],[Assets]],Table25[[#All],[Number of stocks]])</f>
        <v>153</v>
      </c>
    </row>
    <row r="1983" spans="1:17">
      <c r="A1983" t="e" vm="201">
        <v>#VALUE!</v>
      </c>
      <c r="B1983" s="2">
        <v>46063</v>
      </c>
      <c r="C1983" t="str" cm="1">
        <f t="array" aca="1" ref="C1983" ca="1">_FV(A1983,"Ticker symbol",TRUE)</f>
        <v>AXTI</v>
      </c>
      <c r="D1983" s="4">
        <v>25.78</v>
      </c>
      <c r="E1983" s="50">
        <v>-20</v>
      </c>
      <c r="F1983" s="81">
        <f>IF(Table25[[#This Row],[Number of stocks]]&gt;0,Table25[[#This Row],[Number of stocks]],0)</f>
        <v>0</v>
      </c>
      <c r="G1983" s="73">
        <f>Table25[[#This Row],[Bought]]*Table25[[#This Row],[Price]]</f>
        <v>0</v>
      </c>
      <c r="H1983">
        <f>SUMIF(Table25[[#All],[Assets]],Table25[[#This Row],[Assets]],Table25[[#All],[Bought]])</f>
        <v>40</v>
      </c>
      <c r="I1983">
        <f>SUMIF(Table25[[#All],[Assets]],Table25[[#This Row],[Assets]],Table25[[#All],[Bought Amount]])</f>
        <v>589.6</v>
      </c>
      <c r="J1983" s="88">
        <f>IF(Table25[[#This Row],[Number of stocks]]&lt;0,Table25[[#This Row],[Number of stocks]],0)</f>
        <v>-20</v>
      </c>
      <c r="K1983" s="5">
        <f>Table25[[#This Row],[Sold]]*Table25[[#This Row],[Price]]</f>
        <v>-515.6</v>
      </c>
      <c r="L1983" s="8">
        <f>ABS(SUMIF(Table25[[#All],[Assets]],Table25[[#This Row],[Assets]],Table25[[#All],[Sold]]))</f>
        <v>20</v>
      </c>
      <c r="M1983" s="5">
        <f>ABS(SUMIF(Table25[[#All],[Assets]],Table25[[#This Row],[Assets]],Table25[[#All],[Sold Amount]]))</f>
        <v>515.6</v>
      </c>
      <c r="N1983" s="5">
        <f>IFERROR(Table25[[#This Row],[Total sold amount]]/Table25[[#This Row],[Total Sold number of stocks]],"")</f>
        <v>25.78</v>
      </c>
      <c r="O1983" s="4">
        <f>IFERROR(Table25[[#This Row],[Total Amount bought]]/Table25[[#This Row],[Total number bought]],"")</f>
        <v>14.74</v>
      </c>
      <c r="P1983" s="4">
        <f>IFERROR((Table25[[#This Row],[Average sell price]]-Table25[[#This Row],[Average buy price]])*Table25[[#This Row],[Total Sold number of stocks]],0)</f>
        <v>220.8</v>
      </c>
      <c r="Q1983" s="85">
        <f>SUMIF(Table25[[#All],[Assets]],Table25[[#This Row],[Assets]],Table25[[#All],[Number of stocks]])</f>
        <v>20</v>
      </c>
    </row>
    <row r="1984" spans="1:17">
      <c r="A1984" t="e" vm="178">
        <v>#VALUE!</v>
      </c>
      <c r="B1984" s="2">
        <v>46063</v>
      </c>
      <c r="C1984" t="str" cm="1">
        <f t="array" aca="1" ref="C1984" ca="1">_FV(A1984,"Ticker symbol",TRUE)</f>
        <v>MARA</v>
      </c>
      <c r="D1984" s="4">
        <v>8.0299999999999994</v>
      </c>
      <c r="E1984" s="50">
        <v>-79</v>
      </c>
      <c r="F1984" s="81">
        <f>IF(Table25[[#This Row],[Number of stocks]]&gt;0,Table25[[#This Row],[Number of stocks]],0)</f>
        <v>0</v>
      </c>
      <c r="G1984" s="73">
        <f>Table25[[#This Row],[Bought]]*Table25[[#This Row],[Price]]</f>
        <v>0</v>
      </c>
      <c r="H1984">
        <f>SUMIF(Table25[[#All],[Assets]],Table25[[#This Row],[Assets]],Table25[[#All],[Bought]])</f>
        <v>586</v>
      </c>
      <c r="I1984">
        <f>SUMIF(Table25[[#All],[Assets]],Table25[[#This Row],[Assets]],Table25[[#All],[Bought Amount]])</f>
        <v>6128.42</v>
      </c>
      <c r="J1984" s="88">
        <f>IF(Table25[[#This Row],[Number of stocks]]&lt;0,Table25[[#This Row],[Number of stocks]],0)</f>
        <v>-79</v>
      </c>
      <c r="K1984" s="5">
        <f>Table25[[#This Row],[Sold]]*Table25[[#This Row],[Price]]</f>
        <v>-634.37</v>
      </c>
      <c r="L1984" s="8">
        <f>ABS(SUMIF(Table25[[#All],[Assets]],Table25[[#This Row],[Assets]],Table25[[#All],[Sold]]))</f>
        <v>79</v>
      </c>
      <c r="M1984" s="5">
        <f>ABS(SUMIF(Table25[[#All],[Assets]],Table25[[#This Row],[Assets]],Table25[[#All],[Sold Amount]]))</f>
        <v>634.37</v>
      </c>
      <c r="N1984" s="5">
        <f>IFERROR(Table25[[#This Row],[Total sold amount]]/Table25[[#This Row],[Total Sold number of stocks]],"")</f>
        <v>8.0299999999999994</v>
      </c>
      <c r="O1984" s="4">
        <f>IFERROR(Table25[[#This Row],[Total Amount bought]]/Table25[[#This Row],[Total number bought]],"")</f>
        <v>10.458054607508533</v>
      </c>
      <c r="P1984" s="4">
        <f>IFERROR((Table25[[#This Row],[Average sell price]]-Table25[[#This Row],[Average buy price]])*Table25[[#This Row],[Total Sold number of stocks]],0)</f>
        <v>-191.81631399317416</v>
      </c>
      <c r="Q1984" s="85">
        <f>SUMIF(Table25[[#All],[Assets]],Table25[[#This Row],[Assets]],Table25[[#All],[Number of stocks]])</f>
        <v>507</v>
      </c>
    </row>
    <row r="1985" spans="1:17">
      <c r="A1985" t="e" vm="511">
        <v>#VALUE!</v>
      </c>
      <c r="B1985" s="2">
        <v>46063</v>
      </c>
      <c r="C1985" t="str" cm="1">
        <f t="array" aca="1" ref="C1985" ca="1">_FV(A1985,"Ticker symbol",TRUE)</f>
        <v>ARM</v>
      </c>
      <c r="D1985" s="4">
        <v>127.45</v>
      </c>
      <c r="E1985" s="50">
        <v>9</v>
      </c>
      <c r="F1985" s="81">
        <f>IF(Table25[[#This Row],[Number of stocks]]&gt;0,Table25[[#This Row],[Number of stocks]],0)</f>
        <v>9</v>
      </c>
      <c r="G1985" s="73">
        <f>Table25[[#This Row],[Bought]]*Table25[[#This Row],[Price]]</f>
        <v>1147.05</v>
      </c>
      <c r="H1985">
        <f>SUMIF(Table25[[#All],[Assets]],Table25[[#This Row],[Assets]],Table25[[#All],[Bought]])</f>
        <v>14</v>
      </c>
      <c r="I1985">
        <f>SUMIF(Table25[[#All],[Assets]],Table25[[#This Row],[Assets]],Table25[[#All],[Bought Amount]])</f>
        <v>1938</v>
      </c>
      <c r="J1985" s="88">
        <f>IF(Table25[[#This Row],[Number of stocks]]&lt;0,Table25[[#This Row],[Number of stocks]],0)</f>
        <v>0</v>
      </c>
      <c r="K1985" s="5">
        <f>Table25[[#This Row],[Sold]]*Table25[[#This Row],[Price]]</f>
        <v>0</v>
      </c>
      <c r="L1985" s="8">
        <f>ABS(SUMIF(Table25[[#All],[Assets]],Table25[[#This Row],[Assets]],Table25[[#All],[Sold]]))</f>
        <v>9</v>
      </c>
      <c r="M1985" s="5">
        <f>ABS(SUMIF(Table25[[#All],[Assets]],Table25[[#This Row],[Assets]],Table25[[#All],[Sold Amount]]))</f>
        <v>1075.4099999999999</v>
      </c>
      <c r="N1985" s="5">
        <f>IFERROR(Table25[[#This Row],[Total sold amount]]/Table25[[#This Row],[Total Sold number of stocks]],"")</f>
        <v>119.48999999999998</v>
      </c>
      <c r="O1985" s="4">
        <f>IFERROR(Table25[[#This Row],[Total Amount bought]]/Table25[[#This Row],[Total number bought]],"")</f>
        <v>138.42857142857142</v>
      </c>
      <c r="P1985" s="4">
        <f>IFERROR((Table25[[#This Row],[Average sell price]]-Table25[[#This Row],[Average buy price]])*Table25[[#This Row],[Total Sold number of stocks]],0)</f>
        <v>-170.44714285714292</v>
      </c>
      <c r="Q1985" s="85">
        <f>SUMIF(Table25[[#All],[Assets]],Table25[[#This Row],[Assets]],Table25[[#All],[Number of stocks]])</f>
        <v>5</v>
      </c>
    </row>
    <row r="1986" spans="1:17">
      <c r="A1986" t="e" vm="72">
        <v>#VALUE!</v>
      </c>
      <c r="B1986" s="2">
        <v>46066</v>
      </c>
      <c r="C1986" t="str" cm="1">
        <f t="array" aca="1" ref="C1986" ca="1">_FV(A1986,"Ticker symbol",TRUE)</f>
        <v>AIRS</v>
      </c>
      <c r="D1986" s="4">
        <v>1.99</v>
      </c>
      <c r="E1986" s="50">
        <v>-300</v>
      </c>
      <c r="F1986" s="81">
        <f>IF(Table25[[#This Row],[Number of stocks]]&gt;0,Table25[[#This Row],[Number of stocks]],0)</f>
        <v>0</v>
      </c>
      <c r="G1986" s="73">
        <f>Table25[[#This Row],[Bought]]*Table25[[#This Row],[Price]]</f>
        <v>0</v>
      </c>
      <c r="H1986">
        <f>SUMIF(Table25[[#All],[Assets]],Table25[[#This Row],[Assets]],Table25[[#All],[Bought]])</f>
        <v>2980</v>
      </c>
      <c r="I1986">
        <f>SUMIF(Table25[[#All],[Assets]],Table25[[#This Row],[Assets]],Table25[[#All],[Bought Amount]])</f>
        <v>14267.900000000001</v>
      </c>
      <c r="J1986" s="88">
        <f>IF(Table25[[#This Row],[Number of stocks]]&lt;0,Table25[[#This Row],[Number of stocks]],0)</f>
        <v>-300</v>
      </c>
      <c r="K1986" s="5">
        <f>Table25[[#This Row],[Sold]]*Table25[[#This Row],[Price]]</f>
        <v>-597</v>
      </c>
      <c r="L1986" s="8">
        <f>ABS(SUMIF(Table25[[#All],[Assets]],Table25[[#This Row],[Assets]],Table25[[#All],[Sold]]))</f>
        <v>2360</v>
      </c>
      <c r="M1986" s="5">
        <f>ABS(SUMIF(Table25[[#All],[Assets]],Table25[[#This Row],[Assets]],Table25[[#All],[Sold Amount]]))</f>
        <v>7796.6</v>
      </c>
      <c r="N1986" s="5">
        <f>IFERROR(Table25[[#This Row],[Total sold amount]]/Table25[[#This Row],[Total Sold number of stocks]],"")</f>
        <v>3.3036440677966104</v>
      </c>
      <c r="O1986" s="4">
        <f>IFERROR(Table25[[#This Row],[Total Amount bought]]/Table25[[#This Row],[Total number bought]],"")</f>
        <v>4.7878859060402688</v>
      </c>
      <c r="P1986" s="4">
        <f>IFERROR((Table25[[#This Row],[Average sell price]]-Table25[[#This Row],[Average buy price]])*Table25[[#This Row],[Total Sold number of stocks]],0)</f>
        <v>-3502.8107382550338</v>
      </c>
      <c r="Q1986" s="85">
        <f>SUMIF(Table25[[#All],[Assets]],Table25[[#This Row],[Assets]],Table25[[#All],[Number of stocks]])</f>
        <v>620</v>
      </c>
    </row>
    <row r="1987" spans="1:17">
      <c r="A1987" t="e" vm="185">
        <v>#VALUE!</v>
      </c>
      <c r="B1987" s="2">
        <v>46066</v>
      </c>
      <c r="C1987" t="str" cm="1">
        <f t="array" aca="1" ref="C1987" ca="1">_FV(A1987,"Ticker symbol",TRUE)</f>
        <v>ALMU</v>
      </c>
      <c r="D1987" s="4">
        <v>15.81</v>
      </c>
      <c r="E1987" s="50">
        <v>30</v>
      </c>
      <c r="F1987" s="81">
        <f>IF(Table25[[#This Row],[Number of stocks]]&gt;0,Table25[[#This Row],[Number of stocks]],0)</f>
        <v>30</v>
      </c>
      <c r="G1987" s="73">
        <f>Table25[[#This Row],[Bought]]*Table25[[#This Row],[Price]]</f>
        <v>474.3</v>
      </c>
      <c r="H1987">
        <f>SUMIF(Table25[[#All],[Assets]],Table25[[#This Row],[Assets]],Table25[[#All],[Bought]])</f>
        <v>153</v>
      </c>
      <c r="I1987">
        <f>SUMIF(Table25[[#All],[Assets]],Table25[[#This Row],[Assets]],Table25[[#All],[Bought Amount]])</f>
        <v>2675.17</v>
      </c>
      <c r="J1987" s="88">
        <f>IF(Table25[[#This Row],[Number of stocks]]&lt;0,Table25[[#This Row],[Number of stocks]],0)</f>
        <v>0</v>
      </c>
      <c r="K1987" s="5">
        <f>Table25[[#This Row],[Sold]]*Table25[[#This Row],[Price]]</f>
        <v>0</v>
      </c>
      <c r="L1987" s="8">
        <f>ABS(SUMIF(Table25[[#All],[Assets]],Table25[[#This Row],[Assets]],Table25[[#All],[Sold]]))</f>
        <v>0</v>
      </c>
      <c r="M1987" s="5">
        <f>ABS(SUMIF(Table25[[#All],[Assets]],Table25[[#This Row],[Assets]],Table25[[#All],[Sold Amount]]))</f>
        <v>0</v>
      </c>
      <c r="N1987" s="5" t="str">
        <f>IFERROR(Table25[[#This Row],[Total sold amount]]/Table25[[#This Row],[Total Sold number of stocks]],"")</f>
        <v/>
      </c>
      <c r="O1987" s="4">
        <f>IFERROR(Table25[[#This Row],[Total Amount bought]]/Table25[[#This Row],[Total number bought]],"")</f>
        <v>17.484771241830067</v>
      </c>
      <c r="P1987" s="4">
        <f>IFERROR((Table25[[#This Row],[Average sell price]]-Table25[[#This Row],[Average buy price]])*Table25[[#This Row],[Total Sold number of stocks]],0)</f>
        <v>0</v>
      </c>
      <c r="Q1987" s="85">
        <f>SUMIF(Table25[[#All],[Assets]],Table25[[#This Row],[Assets]],Table25[[#All],[Number of stocks]])</f>
        <v>153</v>
      </c>
    </row>
    <row r="1988" spans="1:17">
      <c r="A1988" t="e" vm="46">
        <v>#VALUE!</v>
      </c>
      <c r="B1988" s="2">
        <v>46066</v>
      </c>
      <c r="C1988" t="str" cm="1">
        <f t="array" aca="1" ref="C1988" ca="1">_FV(A1988,"Ticker symbol",TRUE)</f>
        <v>ASPI</v>
      </c>
      <c r="D1988" s="4">
        <v>5.29</v>
      </c>
      <c r="E1988" s="50">
        <v>149</v>
      </c>
      <c r="F1988" s="81">
        <f>IF(Table25[[#This Row],[Number of stocks]]&gt;0,Table25[[#This Row],[Number of stocks]],0)</f>
        <v>149</v>
      </c>
      <c r="G1988" s="73">
        <f>Table25[[#This Row],[Bought]]*Table25[[#This Row],[Price]]</f>
        <v>788.21</v>
      </c>
      <c r="H1988">
        <f>SUMIF(Table25[[#All],[Assets]],Table25[[#This Row],[Assets]],Table25[[#All],[Bought]])</f>
        <v>1899</v>
      </c>
      <c r="I1988">
        <f>SUMIF(Table25[[#All],[Assets]],Table25[[#This Row],[Assets]],Table25[[#All],[Bought Amount]])</f>
        <v>8555.869999999999</v>
      </c>
      <c r="J1988" s="88">
        <f>IF(Table25[[#This Row],[Number of stocks]]&lt;0,Table25[[#This Row],[Number of stocks]],0)</f>
        <v>0</v>
      </c>
      <c r="K1988" s="5">
        <f>Table25[[#This Row],[Sold]]*Table25[[#This Row],[Price]]</f>
        <v>0</v>
      </c>
      <c r="L1988" s="8">
        <f>ABS(SUMIF(Table25[[#All],[Assets]],Table25[[#This Row],[Assets]],Table25[[#All],[Sold]]))</f>
        <v>1599</v>
      </c>
      <c r="M1988" s="5">
        <f>ABS(SUMIF(Table25[[#All],[Assets]],Table25[[#This Row],[Assets]],Table25[[#All],[Sold Amount]]))</f>
        <v>8799.17</v>
      </c>
      <c r="N1988" s="5">
        <f>IFERROR(Table25[[#This Row],[Total sold amount]]/Table25[[#This Row],[Total Sold number of stocks]],"")</f>
        <v>5.5029205753595996</v>
      </c>
      <c r="O1988" s="4">
        <f>IFERROR(Table25[[#This Row],[Total Amount bought]]/Table25[[#This Row],[Total number bought]],"")</f>
        <v>4.5054607688256976</v>
      </c>
      <c r="P1988" s="4">
        <f>IFERROR((Table25[[#This Row],[Average sell price]]-Table25[[#This Row],[Average buy price]])*Table25[[#This Row],[Total Sold number of stocks]],0)</f>
        <v>1594.9382306477094</v>
      </c>
      <c r="Q1988" s="85">
        <f>SUMIF(Table25[[#All],[Assets]],Table25[[#This Row],[Assets]],Table25[[#All],[Number of stocks]])</f>
        <v>300</v>
      </c>
    </row>
    <row r="1989" spans="1:17">
      <c r="A1989" t="e" vm="78">
        <v>#VALUE!</v>
      </c>
      <c r="B1989" s="2">
        <v>46066</v>
      </c>
      <c r="C1989" t="str" cm="1">
        <f t="array" aca="1" ref="C1989" ca="1">_FV(A1989,"Ticker symbol",TRUE)</f>
        <v>TOI</v>
      </c>
      <c r="D1989" s="4">
        <v>2.5099999999999998</v>
      </c>
      <c r="E1989" s="50">
        <v>-200</v>
      </c>
      <c r="F1989" s="81">
        <f>IF(Table25[[#This Row],[Number of stocks]]&gt;0,Table25[[#This Row],[Number of stocks]],0)</f>
        <v>0</v>
      </c>
      <c r="G1989" s="73">
        <f>Table25[[#This Row],[Bought]]*Table25[[#This Row],[Price]]</f>
        <v>0</v>
      </c>
      <c r="H1989">
        <f>SUMIF(Table25[[#All],[Assets]],Table25[[#This Row],[Assets]],Table25[[#All],[Bought]])</f>
        <v>2120</v>
      </c>
      <c r="I1989">
        <f>SUMIF(Table25[[#All],[Assets]],Table25[[#This Row],[Assets]],Table25[[#All],[Bought Amount]])</f>
        <v>4215.1000000000004</v>
      </c>
      <c r="J1989" s="88">
        <f>IF(Table25[[#This Row],[Number of stocks]]&lt;0,Table25[[#This Row],[Number of stocks]],0)</f>
        <v>-200</v>
      </c>
      <c r="K1989" s="5">
        <f>Table25[[#This Row],[Sold]]*Table25[[#This Row],[Price]]</f>
        <v>-501.99999999999994</v>
      </c>
      <c r="L1989" s="8">
        <f>ABS(SUMIF(Table25[[#All],[Assets]],Table25[[#This Row],[Assets]],Table25[[#All],[Sold]]))</f>
        <v>1120</v>
      </c>
      <c r="M1989" s="5">
        <f>ABS(SUMIF(Table25[[#All],[Assets]],Table25[[#This Row],[Assets]],Table25[[#All],[Sold Amount]]))</f>
        <v>3202.4</v>
      </c>
      <c r="N1989" s="5">
        <f>IFERROR(Table25[[#This Row],[Total sold amount]]/Table25[[#This Row],[Total Sold number of stocks]],"")</f>
        <v>2.8592857142857144</v>
      </c>
      <c r="O1989" s="4">
        <f>IFERROR(Table25[[#This Row],[Total Amount bought]]/Table25[[#This Row],[Total number bought]],"")</f>
        <v>1.9882547169811322</v>
      </c>
      <c r="P1989" s="4">
        <f>IFERROR((Table25[[#This Row],[Average sell price]]-Table25[[#This Row],[Average buy price]])*Table25[[#This Row],[Total Sold number of stocks]],0)</f>
        <v>975.55471698113206</v>
      </c>
      <c r="Q1989" s="85">
        <f>SUMIF(Table25[[#All],[Assets]],Table25[[#This Row],[Assets]],Table25[[#All],[Number of stocks]])</f>
        <v>1000</v>
      </c>
    </row>
    <row r="1990" spans="1:17">
      <c r="A1990" t="e" vm="589">
        <v>#VALUE!</v>
      </c>
      <c r="B1990" s="2">
        <v>46066</v>
      </c>
      <c r="C1990" t="str" cm="1">
        <f t="array" aca="1" ref="C1990" ca="1">_FV(A1990,"Ticker symbol",TRUE)</f>
        <v>EWY</v>
      </c>
      <c r="D1990" s="4">
        <v>133.83000000000001</v>
      </c>
      <c r="E1990" s="50">
        <v>3</v>
      </c>
      <c r="F1990" s="81">
        <f>IF(Table25[[#This Row],[Number of stocks]]&gt;0,Table25[[#This Row],[Number of stocks]],0)</f>
        <v>3</v>
      </c>
      <c r="G1990" s="73">
        <f>Table25[[#This Row],[Bought]]*Table25[[#This Row],[Price]]</f>
        <v>401.49</v>
      </c>
      <c r="H1990">
        <f>SUMIF(Table25[[#All],[Assets]],Table25[[#This Row],[Assets]],Table25[[#All],[Bought]])</f>
        <v>11</v>
      </c>
      <c r="I1990">
        <f>SUMIF(Table25[[#All],[Assets]],Table25[[#This Row],[Assets]],Table25[[#All],[Bought Amount]])</f>
        <v>1292.69</v>
      </c>
      <c r="J1990" s="88">
        <f>IF(Table25[[#This Row],[Number of stocks]]&lt;0,Table25[[#This Row],[Number of stocks]],0)</f>
        <v>0</v>
      </c>
      <c r="K1990" s="5">
        <f>Table25[[#This Row],[Sold]]*Table25[[#This Row],[Price]]</f>
        <v>0</v>
      </c>
      <c r="L1990" s="8">
        <f>ABS(SUMIF(Table25[[#All],[Assets]],Table25[[#This Row],[Assets]],Table25[[#All],[Sold]]))</f>
        <v>0</v>
      </c>
      <c r="M1990" s="5">
        <f>ABS(SUMIF(Table25[[#All],[Assets]],Table25[[#This Row],[Assets]],Table25[[#All],[Sold Amount]]))</f>
        <v>0</v>
      </c>
      <c r="N1990" s="5" t="str">
        <f>IFERROR(Table25[[#This Row],[Total sold amount]]/Table25[[#This Row],[Total Sold number of stocks]],"")</f>
        <v/>
      </c>
      <c r="O1990" s="4">
        <f>IFERROR(Table25[[#This Row],[Total Amount bought]]/Table25[[#This Row],[Total number bought]],"")</f>
        <v>117.51727272727273</v>
      </c>
      <c r="P1990" s="4">
        <f>IFERROR((Table25[[#This Row],[Average sell price]]-Table25[[#This Row],[Average buy price]])*Table25[[#This Row],[Total Sold number of stocks]],0)</f>
        <v>0</v>
      </c>
      <c r="Q1990" s="85">
        <f>SUMIF(Table25[[#All],[Assets]],Table25[[#This Row],[Assets]],Table25[[#All],[Number of stocks]])</f>
        <v>11</v>
      </c>
    </row>
    <row r="1991" spans="1:17">
      <c r="A1991" t="e" vm="32">
        <v>#VALUE!</v>
      </c>
      <c r="B1991" s="2">
        <v>46066</v>
      </c>
      <c r="C1991" t="str" cm="1">
        <f t="array" aca="1" ref="C1991" ca="1">_FV(A1991,"Ticker symbol",TRUE)</f>
        <v>MU</v>
      </c>
      <c r="D1991" s="4">
        <v>416.7</v>
      </c>
      <c r="E1991" s="50">
        <v>1</v>
      </c>
      <c r="F1991" s="81">
        <f>IF(Table25[[#This Row],[Number of stocks]]&gt;0,Table25[[#This Row],[Number of stocks]],0)</f>
        <v>1</v>
      </c>
      <c r="G1991" s="73">
        <f>Table25[[#This Row],[Bought]]*Table25[[#This Row],[Price]]</f>
        <v>416.7</v>
      </c>
      <c r="H1991">
        <f>SUMIF(Table25[[#All],[Assets]],Table25[[#This Row],[Assets]],Table25[[#All],[Bought]])</f>
        <v>59</v>
      </c>
      <c r="I1991">
        <f>SUMIF(Table25[[#All],[Assets]],Table25[[#This Row],[Assets]],Table25[[#All],[Bought Amount]])</f>
        <v>6964.04</v>
      </c>
      <c r="J1991" s="88">
        <f>IF(Table25[[#This Row],[Number of stocks]]&lt;0,Table25[[#This Row],[Number of stocks]],0)</f>
        <v>0</v>
      </c>
      <c r="K1991" s="5">
        <f>Table25[[#This Row],[Sold]]*Table25[[#This Row],[Price]]</f>
        <v>0</v>
      </c>
      <c r="L1991" s="8">
        <f>ABS(SUMIF(Table25[[#All],[Assets]],Table25[[#This Row],[Assets]],Table25[[#All],[Sold]]))</f>
        <v>58</v>
      </c>
      <c r="M1991" s="5">
        <f>ABS(SUMIF(Table25[[#All],[Assets]],Table25[[#This Row],[Assets]],Table25[[#All],[Sold Amount]]))</f>
        <v>6974.51</v>
      </c>
      <c r="N1991" s="5">
        <f>IFERROR(Table25[[#This Row],[Total sold amount]]/Table25[[#This Row],[Total Sold number of stocks]],"")</f>
        <v>120.25017241379311</v>
      </c>
      <c r="O1991" s="4">
        <f>IFERROR(Table25[[#This Row],[Total Amount bought]]/Table25[[#This Row],[Total number bought]],"")</f>
        <v>118.03457627118644</v>
      </c>
      <c r="P1991" s="4">
        <f>IFERROR((Table25[[#This Row],[Average sell price]]-Table25[[#This Row],[Average buy price]])*Table25[[#This Row],[Total Sold number of stocks]],0)</f>
        <v>128.50457627118692</v>
      </c>
      <c r="Q1991" s="85">
        <f>SUMIF(Table25[[#All],[Assets]],Table25[[#This Row],[Assets]],Table25[[#All],[Number of stocks]])</f>
        <v>1</v>
      </c>
    </row>
    <row r="1992" spans="1:17">
      <c r="A1992" t="e" vm="29">
        <v>#VALUE!</v>
      </c>
      <c r="B1992" s="2">
        <v>46066</v>
      </c>
      <c r="C1992" t="str" cm="1">
        <f t="array" aca="1" ref="C1992" ca="1">_FV(A1992,"Ticker symbol",TRUE)</f>
        <v>NVDA</v>
      </c>
      <c r="D1992" s="4">
        <v>183.91</v>
      </c>
      <c r="E1992" s="50">
        <v>1</v>
      </c>
      <c r="F1992" s="81">
        <f>IF(Table25[[#This Row],[Number of stocks]]&gt;0,Table25[[#This Row],[Number of stocks]],0)</f>
        <v>1</v>
      </c>
      <c r="G1992" s="73">
        <f>Table25[[#This Row],[Bought]]*Table25[[#This Row],[Price]]</f>
        <v>183.91</v>
      </c>
      <c r="H1992">
        <f>SUMIF(Table25[[#All],[Assets]],Table25[[#This Row],[Assets]],Table25[[#All],[Bought]])</f>
        <v>4</v>
      </c>
      <c r="I1992">
        <f>SUMIF(Table25[[#All],[Assets]],Table25[[#This Row],[Assets]],Table25[[#All],[Bought Amount]])</f>
        <v>519.04</v>
      </c>
      <c r="J1992" s="88">
        <f>IF(Table25[[#This Row],[Number of stocks]]&lt;0,Table25[[#This Row],[Number of stocks]],0)</f>
        <v>0</v>
      </c>
      <c r="K1992" s="5">
        <f>Table25[[#This Row],[Sold]]*Table25[[#This Row],[Price]]</f>
        <v>0</v>
      </c>
      <c r="L1992" s="8">
        <f>ABS(SUMIF(Table25[[#All],[Assets]],Table25[[#This Row],[Assets]],Table25[[#All],[Sold]]))</f>
        <v>3</v>
      </c>
      <c r="M1992" s="5">
        <f>ABS(SUMIF(Table25[[#All],[Assets]],Table25[[#This Row],[Assets]],Table25[[#All],[Sold Amount]]))</f>
        <v>455.75</v>
      </c>
      <c r="N1992" s="5">
        <f>IFERROR(Table25[[#This Row],[Total sold amount]]/Table25[[#This Row],[Total Sold number of stocks]],"")</f>
        <v>151.91666666666666</v>
      </c>
      <c r="O1992" s="4">
        <f>IFERROR(Table25[[#This Row],[Total Amount bought]]/Table25[[#This Row],[Total number bought]],"")</f>
        <v>129.76</v>
      </c>
      <c r="P1992" s="4">
        <f>IFERROR((Table25[[#This Row],[Average sell price]]-Table25[[#This Row],[Average buy price]])*Table25[[#This Row],[Total Sold number of stocks]],0)</f>
        <v>66.47</v>
      </c>
      <c r="Q1992" s="85">
        <f>SUMIF(Table25[[#All],[Assets]],Table25[[#This Row],[Assets]],Table25[[#All],[Number of stocks]])</f>
        <v>1</v>
      </c>
    </row>
    <row r="1993" spans="1:17">
      <c r="A1993" t="e" vm="590">
        <v>#VALUE!</v>
      </c>
      <c r="B1993" s="2">
        <v>46066</v>
      </c>
      <c r="C1993" t="str" cm="1">
        <f t="array" aca="1" ref="C1993" ca="1">_FV(A1993,"Ticker symbol",TRUE)</f>
        <v>VSH</v>
      </c>
      <c r="D1993" s="4">
        <v>19.09</v>
      </c>
      <c r="E1993" s="50">
        <v>4</v>
      </c>
      <c r="F1993" s="81">
        <f>IF(Table25[[#This Row],[Number of stocks]]&gt;0,Table25[[#This Row],[Number of stocks]],0)</f>
        <v>4</v>
      </c>
      <c r="G1993" s="73">
        <f>Table25[[#This Row],[Bought]]*Table25[[#This Row],[Price]]</f>
        <v>76.36</v>
      </c>
      <c r="H1993">
        <f>SUMIF(Table25[[#All],[Assets]],Table25[[#This Row],[Assets]],Table25[[#All],[Bought]])</f>
        <v>4</v>
      </c>
      <c r="I1993">
        <f>SUMIF(Table25[[#All],[Assets]],Table25[[#This Row],[Assets]],Table25[[#All],[Bought Amount]])</f>
        <v>76.36</v>
      </c>
      <c r="J1993" s="88">
        <f>IF(Table25[[#This Row],[Number of stocks]]&lt;0,Table25[[#This Row],[Number of stocks]],0)</f>
        <v>0</v>
      </c>
      <c r="K1993" s="5">
        <f>Table25[[#This Row],[Sold]]*Table25[[#This Row],[Price]]</f>
        <v>0</v>
      </c>
      <c r="L1993" s="8">
        <f>ABS(SUMIF(Table25[[#All],[Assets]],Table25[[#This Row],[Assets]],Table25[[#All],[Sold]]))</f>
        <v>0</v>
      </c>
      <c r="M1993" s="5">
        <f>ABS(SUMIF(Table25[[#All],[Assets]],Table25[[#This Row],[Assets]],Table25[[#All],[Sold Amount]]))</f>
        <v>0</v>
      </c>
      <c r="N1993" s="5" t="str">
        <f>IFERROR(Table25[[#This Row],[Total sold amount]]/Table25[[#This Row],[Total Sold number of stocks]],"")</f>
        <v/>
      </c>
      <c r="O1993" s="4">
        <f>IFERROR(Table25[[#This Row],[Total Amount bought]]/Table25[[#This Row],[Total number bought]],"")</f>
        <v>19.09</v>
      </c>
      <c r="P1993" s="4">
        <f>IFERROR((Table25[[#This Row],[Average sell price]]-Table25[[#This Row],[Average buy price]])*Table25[[#This Row],[Total Sold number of stocks]],0)</f>
        <v>0</v>
      </c>
      <c r="Q1993" s="85">
        <f>SUMIF(Table25[[#All],[Assets]],Table25[[#This Row],[Assets]],Table25[[#All],[Number of stocks]])</f>
        <v>4</v>
      </c>
    </row>
    <row r="1994" spans="1:17">
      <c r="A1994" t="e" vm="202">
        <v>#VALUE!</v>
      </c>
      <c r="B1994" s="2">
        <v>46090</v>
      </c>
      <c r="C1994" t="str" cm="1">
        <f t="array" aca="1" ref="C1994" ca="1">_FV(A1994,"Ticker symbol",TRUE)</f>
        <v>ASTI</v>
      </c>
      <c r="D1994" s="4">
        <v>5.99</v>
      </c>
      <c r="E1994" s="50">
        <v>-100</v>
      </c>
      <c r="F1994" s="81">
        <f>IF(Table25[[#This Row],[Number of stocks]]&gt;0,Table25[[#This Row],[Number of stocks]],0)</f>
        <v>0</v>
      </c>
      <c r="G1994" s="73">
        <f>Table25[[#This Row],[Bought]]*Table25[[#This Row],[Price]]</f>
        <v>0</v>
      </c>
      <c r="H1994">
        <f>SUMIF(Table25[[#All],[Assets]],Table25[[#This Row],[Assets]],Table25[[#All],[Bought]])</f>
        <v>200</v>
      </c>
      <c r="I1994">
        <f>SUMIF(Table25[[#All],[Assets]],Table25[[#This Row],[Assets]],Table25[[#All],[Bought Amount]])</f>
        <v>880.00000000000011</v>
      </c>
      <c r="J1994" s="88">
        <f>IF(Table25[[#This Row],[Number of stocks]]&lt;0,Table25[[#This Row],[Number of stocks]],0)</f>
        <v>-100</v>
      </c>
      <c r="K1994" s="5">
        <f>Table25[[#This Row],[Sold]]*Table25[[#This Row],[Price]]</f>
        <v>-599</v>
      </c>
      <c r="L1994" s="8">
        <f>ABS(SUMIF(Table25[[#All],[Assets]],Table25[[#This Row],[Assets]],Table25[[#All],[Sold]]))</f>
        <v>100</v>
      </c>
      <c r="M1994" s="5">
        <f>ABS(SUMIF(Table25[[#All],[Assets]],Table25[[#This Row],[Assets]],Table25[[#All],[Sold Amount]]))</f>
        <v>599</v>
      </c>
      <c r="N1994" s="5">
        <f>IFERROR(Table25[[#This Row],[Total sold amount]]/Table25[[#This Row],[Total Sold number of stocks]],"")</f>
        <v>5.99</v>
      </c>
      <c r="O1994" s="4">
        <f>IFERROR(Table25[[#This Row],[Total Amount bought]]/Table25[[#This Row],[Total number bought]],"")</f>
        <v>4.4000000000000004</v>
      </c>
      <c r="P1994" s="4">
        <f>IFERROR((Table25[[#This Row],[Average sell price]]-Table25[[#This Row],[Average buy price]])*Table25[[#This Row],[Total Sold number of stocks]],0)</f>
        <v>159</v>
      </c>
      <c r="Q1994" s="85">
        <f>SUMIF(Table25[[#All],[Assets]],Table25[[#This Row],[Assets]],Table25[[#All],[Number of stocks]])</f>
        <v>100</v>
      </c>
    </row>
    <row r="1995" spans="1:17">
      <c r="A1995" t="e" vm="190">
        <v>#VALUE!</v>
      </c>
      <c r="B1995" s="2">
        <v>46090</v>
      </c>
      <c r="C1995" t="str" cm="1">
        <f t="array" aca="1" ref="C1995" ca="1">_FV(A1995,"Ticker symbol",TRUE)</f>
        <v>LASR</v>
      </c>
      <c r="D1995" s="4">
        <v>58.65</v>
      </c>
      <c r="E1995" s="50">
        <v>10</v>
      </c>
      <c r="F1995" s="81">
        <f>IF(Table25[[#This Row],[Number of stocks]]&gt;0,Table25[[#This Row],[Number of stocks]],0)</f>
        <v>10</v>
      </c>
      <c r="G1995" s="73">
        <f>Table25[[#This Row],[Bought]]*Table25[[#This Row],[Price]]</f>
        <v>586.5</v>
      </c>
      <c r="H1995">
        <f>SUMIF(Table25[[#All],[Assets]],Table25[[#This Row],[Assets]],Table25[[#All],[Bought]])</f>
        <v>59</v>
      </c>
      <c r="I1995">
        <f>SUMIF(Table25[[#All],[Assets]],Table25[[#This Row],[Assets]],Table25[[#All],[Bought Amount]])</f>
        <v>2261.08</v>
      </c>
      <c r="J1995" s="88">
        <f>IF(Table25[[#This Row],[Number of stocks]]&lt;0,Table25[[#This Row],[Number of stocks]],0)</f>
        <v>0</v>
      </c>
      <c r="K1995" s="5">
        <f>Table25[[#This Row],[Sold]]*Table25[[#This Row],[Price]]</f>
        <v>0</v>
      </c>
      <c r="L1995" s="8">
        <f>ABS(SUMIF(Table25[[#All],[Assets]],Table25[[#This Row],[Assets]],Table25[[#All],[Sold]]))</f>
        <v>10</v>
      </c>
      <c r="M1995" s="5">
        <f>ABS(SUMIF(Table25[[#All],[Assets]],Table25[[#This Row],[Assets]],Table25[[#All],[Sold Amount]]))</f>
        <v>322.8</v>
      </c>
      <c r="N1995" s="5">
        <f>IFERROR(Table25[[#This Row],[Total sold amount]]/Table25[[#This Row],[Total Sold number of stocks]],"")</f>
        <v>32.28</v>
      </c>
      <c r="O1995" s="4">
        <f>IFERROR(Table25[[#This Row],[Total Amount bought]]/Table25[[#This Row],[Total number bought]],"")</f>
        <v>38.323389830508475</v>
      </c>
      <c r="P1995" s="4">
        <f>IFERROR((Table25[[#This Row],[Average sell price]]-Table25[[#This Row],[Average buy price]])*Table25[[#This Row],[Total Sold number of stocks]],0)</f>
        <v>-60.433898305084739</v>
      </c>
      <c r="Q1995" s="85">
        <f>SUMIF(Table25[[#All],[Assets]],Table25[[#This Row],[Assets]],Table25[[#All],[Number of stocks]])</f>
        <v>49</v>
      </c>
    </row>
    <row r="1996" spans="1:17">
      <c r="A1996" t="e" vm="591">
        <v>#VALUE!</v>
      </c>
      <c r="B1996" s="2">
        <v>46090</v>
      </c>
      <c r="C1996" t="str" cm="1">
        <f t="array" aca="1" ref="C1996" ca="1">_FV(A1996,"Ticker symbol",TRUE)</f>
        <v>IPX</v>
      </c>
      <c r="D1996" s="4">
        <v>45.53</v>
      </c>
      <c r="E1996" s="50">
        <v>-12</v>
      </c>
      <c r="F1996" s="81">
        <f>IF(Table25[[#This Row],[Number of stocks]]&gt;0,Table25[[#This Row],[Number of stocks]],0)</f>
        <v>0</v>
      </c>
      <c r="G1996" s="73">
        <f>Table25[[#This Row],[Bought]]*Table25[[#This Row],[Price]]</f>
        <v>0</v>
      </c>
      <c r="H1996">
        <f>SUMIF(Table25[[#All],[Assets]],Table25[[#This Row],[Assets]],Table25[[#All],[Bought]])</f>
        <v>0</v>
      </c>
      <c r="I1996">
        <f>SUMIF(Table25[[#All],[Assets]],Table25[[#This Row],[Assets]],Table25[[#All],[Bought Amount]])</f>
        <v>0</v>
      </c>
      <c r="J1996" s="88">
        <f>IF(Table25[[#This Row],[Number of stocks]]&lt;0,Table25[[#This Row],[Number of stocks]],0)</f>
        <v>-12</v>
      </c>
      <c r="K1996" s="5">
        <f>Table25[[#This Row],[Sold]]*Table25[[#This Row],[Price]]</f>
        <v>-546.36</v>
      </c>
      <c r="L1996" s="8">
        <f>ABS(SUMIF(Table25[[#All],[Assets]],Table25[[#This Row],[Assets]],Table25[[#All],[Sold]]))</f>
        <v>12</v>
      </c>
      <c r="M1996" s="5">
        <f>ABS(SUMIF(Table25[[#All],[Assets]],Table25[[#This Row],[Assets]],Table25[[#All],[Sold Amount]]))</f>
        <v>546.36</v>
      </c>
      <c r="N1996" s="5">
        <f>IFERROR(Table25[[#This Row],[Total sold amount]]/Table25[[#This Row],[Total Sold number of stocks]],"")</f>
        <v>45.53</v>
      </c>
      <c r="O1996" s="4" t="str">
        <f>IFERROR(Table25[[#This Row],[Total Amount bought]]/Table25[[#This Row],[Total number bought]],"")</f>
        <v/>
      </c>
      <c r="P1996" s="4">
        <f>IFERROR((Table25[[#This Row],[Average sell price]]-Table25[[#This Row],[Average buy price]])*Table25[[#This Row],[Total Sold number of stocks]],0)</f>
        <v>0</v>
      </c>
      <c r="Q1996" s="85">
        <f>SUMIF(Table25[[#All],[Assets]],Table25[[#This Row],[Assets]],Table25[[#All],[Number of stocks]])</f>
        <v>-12</v>
      </c>
    </row>
    <row r="1997" spans="1:17">
      <c r="A1997" t="e" vm="592">
        <v>#VALUE!</v>
      </c>
      <c r="B1997" s="2">
        <v>46090</v>
      </c>
      <c r="C1997" t="str" cm="1">
        <f t="array" aca="1" ref="C1997" ca="1">_FV(A1997,"Ticker symbol",TRUE)</f>
        <v>ZM</v>
      </c>
      <c r="D1997" s="4">
        <v>77.09</v>
      </c>
      <c r="E1997" s="50">
        <v>-11</v>
      </c>
      <c r="F1997" s="81">
        <f>IF(Table25[[#This Row],[Number of stocks]]&gt;0,Table25[[#This Row],[Number of stocks]],0)</f>
        <v>0</v>
      </c>
      <c r="G1997" s="73">
        <f>Table25[[#This Row],[Bought]]*Table25[[#This Row],[Price]]</f>
        <v>0</v>
      </c>
      <c r="H1997">
        <f>SUMIF(Table25[[#All],[Assets]],Table25[[#This Row],[Assets]],Table25[[#All],[Bought]])</f>
        <v>0</v>
      </c>
      <c r="I1997">
        <f>SUMIF(Table25[[#All],[Assets]],Table25[[#This Row],[Assets]],Table25[[#All],[Bought Amount]])</f>
        <v>0</v>
      </c>
      <c r="J1997" s="88">
        <f>IF(Table25[[#This Row],[Number of stocks]]&lt;0,Table25[[#This Row],[Number of stocks]],0)</f>
        <v>-11</v>
      </c>
      <c r="K1997" s="5">
        <f>Table25[[#This Row],[Sold]]*Table25[[#This Row],[Price]]</f>
        <v>-847.99</v>
      </c>
      <c r="L1997" s="8">
        <f>ABS(SUMIF(Table25[[#All],[Assets]],Table25[[#This Row],[Assets]],Table25[[#All],[Sold]]))</f>
        <v>11</v>
      </c>
      <c r="M1997" s="5">
        <f>ABS(SUMIF(Table25[[#All],[Assets]],Table25[[#This Row],[Assets]],Table25[[#All],[Sold Amount]]))</f>
        <v>847.99</v>
      </c>
      <c r="N1997" s="5">
        <f>IFERROR(Table25[[#This Row],[Total sold amount]]/Table25[[#This Row],[Total Sold number of stocks]],"")</f>
        <v>77.09</v>
      </c>
      <c r="O1997" s="4" t="str">
        <f>IFERROR(Table25[[#This Row],[Total Amount bought]]/Table25[[#This Row],[Total number bought]],"")</f>
        <v/>
      </c>
      <c r="P1997" s="4">
        <f>IFERROR((Table25[[#This Row],[Average sell price]]-Table25[[#This Row],[Average buy price]])*Table25[[#This Row],[Total Sold number of stocks]],0)</f>
        <v>0</v>
      </c>
      <c r="Q1997" s="85">
        <f>SUMIF(Table25[[#All],[Assets]],Table25[[#This Row],[Assets]],Table25[[#All],[Number of stocks]])</f>
        <v>-11</v>
      </c>
    </row>
    <row r="1998" spans="1:17">
      <c r="A1998" t="e" vm="191">
        <v>#VALUE!</v>
      </c>
      <c r="B1998" s="2">
        <v>46090</v>
      </c>
      <c r="C1998" t="str" cm="1">
        <f t="array" aca="1" ref="C1998" ca="1">_FV(A1998,"Ticker symbol",TRUE)</f>
        <v>SHMD</v>
      </c>
      <c r="D1998" s="4">
        <v>5.97</v>
      </c>
      <c r="E1998" s="50">
        <v>150</v>
      </c>
      <c r="F1998" s="81">
        <f>IF(Table25[[#This Row],[Number of stocks]]&gt;0,Table25[[#This Row],[Number of stocks]],0)</f>
        <v>150</v>
      </c>
      <c r="G1998" s="73">
        <f>Table25[[#This Row],[Bought]]*Table25[[#This Row],[Price]]</f>
        <v>895.5</v>
      </c>
      <c r="H1998">
        <f>SUMIF(Table25[[#All],[Assets]],Table25[[#This Row],[Assets]],Table25[[#All],[Bought]])</f>
        <v>445</v>
      </c>
      <c r="I1998">
        <f>SUMIF(Table25[[#All],[Assets]],Table25[[#This Row],[Assets]],Table25[[#All],[Bought Amount]])</f>
        <v>2767.06</v>
      </c>
      <c r="J1998" s="88">
        <f>IF(Table25[[#This Row],[Number of stocks]]&lt;0,Table25[[#This Row],[Number of stocks]],0)</f>
        <v>0</v>
      </c>
      <c r="K1998" s="5">
        <f>Table25[[#This Row],[Sold]]*Table25[[#This Row],[Price]]</f>
        <v>0</v>
      </c>
      <c r="L1998" s="8">
        <f>ABS(SUMIF(Table25[[#All],[Assets]],Table25[[#This Row],[Assets]],Table25[[#All],[Sold]]))</f>
        <v>0</v>
      </c>
      <c r="M1998" s="5">
        <f>ABS(SUMIF(Table25[[#All],[Assets]],Table25[[#This Row],[Assets]],Table25[[#All],[Sold Amount]]))</f>
        <v>0</v>
      </c>
      <c r="N1998" s="5" t="str">
        <f>IFERROR(Table25[[#This Row],[Total sold amount]]/Table25[[#This Row],[Total Sold number of stocks]],"")</f>
        <v/>
      </c>
      <c r="O1998" s="4">
        <f>IFERROR(Table25[[#This Row],[Total Amount bought]]/Table25[[#This Row],[Total number bought]],"")</f>
        <v>6.2181123595505614</v>
      </c>
      <c r="P1998" s="4">
        <f>IFERROR((Table25[[#This Row],[Average sell price]]-Table25[[#This Row],[Average buy price]])*Table25[[#This Row],[Total Sold number of stocks]],0)</f>
        <v>0</v>
      </c>
      <c r="Q1998" s="85">
        <f>SUMIF(Table25[[#All],[Assets]],Table25[[#This Row],[Assets]],Table25[[#All],[Number of stocks]])</f>
        <v>445</v>
      </c>
    </row>
    <row r="1999" spans="1:17">
      <c r="A1999" t="e" vm="191">
        <v>#VALUE!</v>
      </c>
      <c r="B1999" s="2">
        <v>46090</v>
      </c>
      <c r="C1999" t="str" cm="1">
        <f t="array" aca="1" ref="C1999" ca="1">_FV(A1999,"Ticker symbol",TRUE)</f>
        <v>SHMD</v>
      </c>
      <c r="D1999" s="4">
        <v>5.98</v>
      </c>
      <c r="E1999" s="50">
        <v>78</v>
      </c>
      <c r="F1999" s="81">
        <f>IF(Table25[[#This Row],[Number of stocks]]&gt;0,Table25[[#This Row],[Number of stocks]],0)</f>
        <v>78</v>
      </c>
      <c r="G1999" s="73">
        <f>Table25[[#This Row],[Bought]]*Table25[[#This Row],[Price]]</f>
        <v>466.44000000000005</v>
      </c>
      <c r="H1999">
        <f>SUMIF(Table25[[#All],[Assets]],Table25[[#This Row],[Assets]],Table25[[#All],[Bought]])</f>
        <v>445</v>
      </c>
      <c r="I1999">
        <f>SUMIF(Table25[[#All],[Assets]],Table25[[#This Row],[Assets]],Table25[[#All],[Bought Amount]])</f>
        <v>2767.06</v>
      </c>
      <c r="J1999" s="88">
        <f>IF(Table25[[#This Row],[Number of stocks]]&lt;0,Table25[[#This Row],[Number of stocks]],0)</f>
        <v>0</v>
      </c>
      <c r="K1999" s="5">
        <f>Table25[[#This Row],[Sold]]*Table25[[#This Row],[Price]]</f>
        <v>0</v>
      </c>
      <c r="L1999" s="8">
        <f>ABS(SUMIF(Table25[[#All],[Assets]],Table25[[#This Row],[Assets]],Table25[[#All],[Sold]]))</f>
        <v>0</v>
      </c>
      <c r="M1999" s="5">
        <f>ABS(SUMIF(Table25[[#All],[Assets]],Table25[[#This Row],[Assets]],Table25[[#All],[Sold Amount]]))</f>
        <v>0</v>
      </c>
      <c r="N1999" s="5" t="str">
        <f>IFERROR(Table25[[#This Row],[Total sold amount]]/Table25[[#This Row],[Total Sold number of stocks]],"")</f>
        <v/>
      </c>
      <c r="O1999" s="4">
        <f>IFERROR(Table25[[#This Row],[Total Amount bought]]/Table25[[#This Row],[Total number bought]],"")</f>
        <v>6.2181123595505614</v>
      </c>
      <c r="P1999" s="4">
        <f>IFERROR((Table25[[#This Row],[Average sell price]]-Table25[[#This Row],[Average buy price]])*Table25[[#This Row],[Total Sold number of stocks]],0)</f>
        <v>0</v>
      </c>
      <c r="Q1999" s="85">
        <f>SUMIF(Table25[[#All],[Assets]],Table25[[#This Row],[Assets]],Table25[[#All],[Number of stocks]])</f>
        <v>445</v>
      </c>
    </row>
    <row r="2000" spans="1:17">
      <c r="A2000" t="e" vm="576">
        <v>#VALUE!</v>
      </c>
      <c r="B2000" s="2">
        <v>46091</v>
      </c>
      <c r="C2000" t="str" cm="1">
        <f t="array" aca="1" ref="C2000" ca="1">_FV(A2000,"Ticker symbol",TRUE)</f>
        <v>DUOL</v>
      </c>
      <c r="D2000" s="4">
        <v>96.36</v>
      </c>
      <c r="E2000" s="50">
        <v>-10</v>
      </c>
      <c r="F2000" s="81">
        <f>IF(Table25[[#This Row],[Number of stocks]]&gt;0,Table25[[#This Row],[Number of stocks]],0)</f>
        <v>0</v>
      </c>
      <c r="G2000" s="73">
        <f>Table25[[#This Row],[Bought]]*Table25[[#This Row],[Price]]</f>
        <v>0</v>
      </c>
      <c r="H2000">
        <f>SUMIF(Table25[[#All],[Assets]],Table25[[#This Row],[Assets]],Table25[[#All],[Bought]])</f>
        <v>33</v>
      </c>
      <c r="I2000">
        <f>SUMIF(Table25[[#All],[Assets]],Table25[[#This Row],[Assets]],Table25[[#All],[Bought Amount]])</f>
        <v>8243.81</v>
      </c>
      <c r="J2000" s="88">
        <f>IF(Table25[[#This Row],[Number of stocks]]&lt;0,Table25[[#This Row],[Number of stocks]],0)</f>
        <v>-10</v>
      </c>
      <c r="K2000" s="5">
        <f>Table25[[#This Row],[Sold]]*Table25[[#This Row],[Price]]</f>
        <v>-963.6</v>
      </c>
      <c r="L2000" s="8">
        <f>ABS(SUMIF(Table25[[#All],[Assets]],Table25[[#This Row],[Assets]],Table25[[#All],[Sold]]))</f>
        <v>43</v>
      </c>
      <c r="M2000" s="5">
        <f>ABS(SUMIF(Table25[[#All],[Assets]],Table25[[#This Row],[Assets]],Table25[[#All],[Sold Amount]]))</f>
        <v>8577.89</v>
      </c>
      <c r="N2000" s="5">
        <f>IFERROR(Table25[[#This Row],[Total sold amount]]/Table25[[#This Row],[Total Sold number of stocks]],"")</f>
        <v>199.48581395348836</v>
      </c>
      <c r="O2000" s="4">
        <f>IFERROR(Table25[[#This Row],[Total Amount bought]]/Table25[[#This Row],[Total number bought]],"")</f>
        <v>249.81242424242421</v>
      </c>
      <c r="P2000" s="4">
        <f>IFERROR((Table25[[#This Row],[Average sell price]]-Table25[[#This Row],[Average buy price]])*Table25[[#This Row],[Total Sold number of stocks]],0)</f>
        <v>-2164.0442424242419</v>
      </c>
      <c r="Q2000" s="85">
        <f>SUMIF(Table25[[#All],[Assets]],Table25[[#This Row],[Assets]],Table25[[#All],[Number of stocks]])</f>
        <v>-10</v>
      </c>
    </row>
    <row r="2001" spans="1:17">
      <c r="A2001" t="e" vm="511">
        <v>#VALUE!</v>
      </c>
      <c r="B2001" s="2">
        <v>46091</v>
      </c>
      <c r="C2001" t="str" cm="1">
        <f t="array" aca="1" ref="C2001" ca="1">_FV(A2001,"Ticker symbol",TRUE)</f>
        <v>ARM</v>
      </c>
      <c r="D2001" s="4">
        <v>119.49</v>
      </c>
      <c r="E2001" s="50">
        <v>-9</v>
      </c>
      <c r="F2001" s="81">
        <f>IF(Table25[[#This Row],[Number of stocks]]&gt;0,Table25[[#This Row],[Number of stocks]],0)</f>
        <v>0</v>
      </c>
      <c r="G2001" s="73">
        <f>Table25[[#This Row],[Bought]]*Table25[[#This Row],[Price]]</f>
        <v>0</v>
      </c>
      <c r="H2001">
        <f>SUMIF(Table25[[#All],[Assets]],Table25[[#This Row],[Assets]],Table25[[#All],[Bought]])</f>
        <v>14</v>
      </c>
      <c r="I2001">
        <f>SUMIF(Table25[[#All],[Assets]],Table25[[#This Row],[Assets]],Table25[[#All],[Bought Amount]])</f>
        <v>1938</v>
      </c>
      <c r="J2001" s="88">
        <f>IF(Table25[[#This Row],[Number of stocks]]&lt;0,Table25[[#This Row],[Number of stocks]],0)</f>
        <v>-9</v>
      </c>
      <c r="K2001" s="5">
        <f>Table25[[#This Row],[Sold]]*Table25[[#This Row],[Price]]</f>
        <v>-1075.4099999999999</v>
      </c>
      <c r="L2001" s="8">
        <f>ABS(SUMIF(Table25[[#All],[Assets]],Table25[[#This Row],[Assets]],Table25[[#All],[Sold]]))</f>
        <v>9</v>
      </c>
      <c r="M2001" s="5">
        <f>ABS(SUMIF(Table25[[#All],[Assets]],Table25[[#This Row],[Assets]],Table25[[#All],[Sold Amount]]))</f>
        <v>1075.4099999999999</v>
      </c>
      <c r="N2001" s="5">
        <f>IFERROR(Table25[[#This Row],[Total sold amount]]/Table25[[#This Row],[Total Sold number of stocks]],"")</f>
        <v>119.48999999999998</v>
      </c>
      <c r="O2001" s="4">
        <f>IFERROR(Table25[[#This Row],[Total Amount bought]]/Table25[[#This Row],[Total number bought]],"")</f>
        <v>138.42857142857142</v>
      </c>
      <c r="P2001" s="4">
        <f>IFERROR((Table25[[#This Row],[Average sell price]]-Table25[[#This Row],[Average buy price]])*Table25[[#This Row],[Total Sold number of stocks]],0)</f>
        <v>-170.44714285714292</v>
      </c>
      <c r="Q2001" s="85">
        <f>SUMIF(Table25[[#All],[Assets]],Table25[[#This Row],[Assets]],Table25[[#All],[Number of stocks]])</f>
        <v>5</v>
      </c>
    </row>
    <row r="2002" spans="1:17">
      <c r="A2002" t="e" vm="46">
        <v>#VALUE!</v>
      </c>
      <c r="B2002" s="2">
        <v>46091</v>
      </c>
      <c r="C2002" t="str" cm="1">
        <f t="array" aca="1" ref="C2002" ca="1">_FV(A2002,"Ticker symbol",TRUE)</f>
        <v>ASPI</v>
      </c>
      <c r="D2002" s="4">
        <v>6.29</v>
      </c>
      <c r="E2002" s="50">
        <v>151</v>
      </c>
      <c r="F2002" s="81">
        <f>IF(Table25[[#This Row],[Number of stocks]]&gt;0,Table25[[#This Row],[Number of stocks]],0)</f>
        <v>151</v>
      </c>
      <c r="G2002" s="73">
        <f>Table25[[#This Row],[Bought]]*Table25[[#This Row],[Price]]</f>
        <v>949.79</v>
      </c>
      <c r="H2002">
        <f>SUMIF(Table25[[#All],[Assets]],Table25[[#This Row],[Assets]],Table25[[#All],[Bought]])</f>
        <v>1899</v>
      </c>
      <c r="I2002">
        <f>SUMIF(Table25[[#All],[Assets]],Table25[[#This Row],[Assets]],Table25[[#All],[Bought Amount]])</f>
        <v>8555.869999999999</v>
      </c>
      <c r="J2002" s="88">
        <f>IF(Table25[[#This Row],[Number of stocks]]&lt;0,Table25[[#This Row],[Number of stocks]],0)</f>
        <v>0</v>
      </c>
      <c r="K2002" s="5">
        <f>Table25[[#This Row],[Sold]]*Table25[[#This Row],[Price]]</f>
        <v>0</v>
      </c>
      <c r="L2002" s="8">
        <f>ABS(SUMIF(Table25[[#All],[Assets]],Table25[[#This Row],[Assets]],Table25[[#All],[Sold]]))</f>
        <v>1599</v>
      </c>
      <c r="M2002" s="5">
        <f>ABS(SUMIF(Table25[[#All],[Assets]],Table25[[#This Row],[Assets]],Table25[[#All],[Sold Amount]]))</f>
        <v>8799.17</v>
      </c>
      <c r="N2002" s="5">
        <f>IFERROR(Table25[[#This Row],[Total sold amount]]/Table25[[#This Row],[Total Sold number of stocks]],"")</f>
        <v>5.5029205753595996</v>
      </c>
      <c r="O2002" s="4">
        <f>IFERROR(Table25[[#This Row],[Total Amount bought]]/Table25[[#This Row],[Total number bought]],"")</f>
        <v>4.5054607688256976</v>
      </c>
      <c r="P2002" s="4">
        <f>IFERROR((Table25[[#This Row],[Average sell price]]-Table25[[#This Row],[Average buy price]])*Table25[[#This Row],[Total Sold number of stocks]],0)</f>
        <v>1594.9382306477094</v>
      </c>
      <c r="Q2002" s="85">
        <f>SUMIF(Table25[[#All],[Assets]],Table25[[#This Row],[Assets]],Table25[[#All],[Number of stocks]])</f>
        <v>300</v>
      </c>
    </row>
    <row r="2003" spans="1:17">
      <c r="A2003" t="e" vm="593">
        <v>#VALUE!</v>
      </c>
      <c r="B2003" s="2">
        <v>46091</v>
      </c>
      <c r="C2003" t="str" cm="1">
        <f t="array" aca="1" ref="C2003" ca="1">_FV(A2003,"Ticker symbol",TRUE)</f>
        <v>NPK</v>
      </c>
      <c r="D2003" s="4">
        <v>148.12</v>
      </c>
      <c r="E2003" s="50">
        <v>3</v>
      </c>
      <c r="F2003" s="81">
        <f>IF(Table25[[#This Row],[Number of stocks]]&gt;0,Table25[[#This Row],[Number of stocks]],0)</f>
        <v>3</v>
      </c>
      <c r="G2003" s="73">
        <f>Table25[[#This Row],[Bought]]*Table25[[#This Row],[Price]]</f>
        <v>444.36</v>
      </c>
      <c r="H2003">
        <f>SUMIF(Table25[[#All],[Assets]],Table25[[#This Row],[Assets]],Table25[[#All],[Bought]])</f>
        <v>3</v>
      </c>
      <c r="I2003">
        <f>SUMIF(Table25[[#All],[Assets]],Table25[[#This Row],[Assets]],Table25[[#All],[Bought Amount]])</f>
        <v>444.36</v>
      </c>
      <c r="J2003" s="88">
        <f>IF(Table25[[#This Row],[Number of stocks]]&lt;0,Table25[[#This Row],[Number of stocks]],0)</f>
        <v>0</v>
      </c>
      <c r="K2003" s="5">
        <f>Table25[[#This Row],[Sold]]*Table25[[#This Row],[Price]]</f>
        <v>0</v>
      </c>
      <c r="L2003" s="8">
        <f>ABS(SUMIF(Table25[[#All],[Assets]],Table25[[#This Row],[Assets]],Table25[[#All],[Sold]]))</f>
        <v>0</v>
      </c>
      <c r="M2003" s="5">
        <f>ABS(SUMIF(Table25[[#All],[Assets]],Table25[[#This Row],[Assets]],Table25[[#All],[Sold Amount]]))</f>
        <v>0</v>
      </c>
      <c r="N2003" s="5" t="str">
        <f>IFERROR(Table25[[#This Row],[Total sold amount]]/Table25[[#This Row],[Total Sold number of stocks]],"")</f>
        <v/>
      </c>
      <c r="O2003" s="4">
        <f>IFERROR(Table25[[#This Row],[Total Amount bought]]/Table25[[#This Row],[Total number bought]],"")</f>
        <v>148.12</v>
      </c>
      <c r="P2003" s="4">
        <f>IFERROR((Table25[[#This Row],[Average sell price]]-Table25[[#This Row],[Average buy price]])*Table25[[#This Row],[Total Sold number of stocks]],0)</f>
        <v>0</v>
      </c>
      <c r="Q2003" s="85">
        <f>SUMIF(Table25[[#All],[Assets]],Table25[[#This Row],[Assets]],Table25[[#All],[Number of stocks]])</f>
        <v>3</v>
      </c>
    </row>
    <row r="2004" spans="1:17">
      <c r="A2004" t="e" vm="31">
        <v>#VALUE!</v>
      </c>
      <c r="B2004" s="2">
        <v>46101</v>
      </c>
      <c r="C2004" t="str" cm="1">
        <f t="array" aca="1" ref="C2004" ca="1">_FV(A2004,"Ticker symbol",TRUE)</f>
        <v>SMCI</v>
      </c>
      <c r="D2004" s="4">
        <v>21.93</v>
      </c>
      <c r="E2004" s="50">
        <v>-35</v>
      </c>
      <c r="F2004" s="81">
        <f>IF(Table25[[#This Row],[Number of stocks]]&gt;0,Table25[[#This Row],[Number of stocks]],0)</f>
        <v>0</v>
      </c>
      <c r="G2004" s="73">
        <f>Table25[[#This Row],[Bought]]*Table25[[#This Row],[Price]]</f>
        <v>0</v>
      </c>
      <c r="H2004">
        <f>SUMIF(Table25[[#All],[Assets]],Table25[[#This Row],[Assets]],Table25[[#All],[Bought]])</f>
        <v>35</v>
      </c>
      <c r="I2004">
        <f>SUMIF(Table25[[#All],[Assets]],Table25[[#This Row],[Assets]],Table25[[#All],[Bought Amount]])</f>
        <v>1088.5</v>
      </c>
      <c r="J2004" s="88">
        <f>IF(Table25[[#This Row],[Number of stocks]]&lt;0,Table25[[#This Row],[Number of stocks]],0)</f>
        <v>-35</v>
      </c>
      <c r="K2004" s="5">
        <f>Table25[[#This Row],[Sold]]*Table25[[#This Row],[Price]]</f>
        <v>-767.55</v>
      </c>
      <c r="L2004" s="8">
        <f>ABS(SUMIF(Table25[[#All],[Assets]],Table25[[#This Row],[Assets]],Table25[[#All],[Sold]]))</f>
        <v>35</v>
      </c>
      <c r="M2004" s="5">
        <f>ABS(SUMIF(Table25[[#All],[Assets]],Table25[[#This Row],[Assets]],Table25[[#All],[Sold Amount]]))</f>
        <v>767.55</v>
      </c>
      <c r="N2004" s="5">
        <f>IFERROR(Table25[[#This Row],[Total sold amount]]/Table25[[#This Row],[Total Sold number of stocks]],"")</f>
        <v>21.93</v>
      </c>
      <c r="O2004" s="4">
        <f>IFERROR(Table25[[#This Row],[Total Amount bought]]/Table25[[#This Row],[Total number bought]],"")</f>
        <v>31.1</v>
      </c>
      <c r="P2004" s="4">
        <f>IFERROR((Table25[[#This Row],[Average sell price]]-Table25[[#This Row],[Average buy price]])*Table25[[#This Row],[Total Sold number of stocks]],0)</f>
        <v>-320.95000000000005</v>
      </c>
      <c r="Q2004" s="85">
        <f>SUMIF(Table25[[#All],[Assets]],Table25[[#This Row],[Assets]],Table25[[#All],[Number of stocks]])</f>
        <v>0</v>
      </c>
    </row>
    <row r="2005" spans="1:17">
      <c r="A2005" t="e" vm="326">
        <v>#VALUE!</v>
      </c>
      <c r="B2005" s="2">
        <v>46101</v>
      </c>
      <c r="C2005" t="str" cm="1">
        <f t="array" aca="1" ref="C2005" ca="1">_FV(A2005,"Ticker symbol",TRUE)</f>
        <v>SMTC</v>
      </c>
      <c r="D2005" s="4">
        <v>75.38</v>
      </c>
      <c r="E2005" s="50">
        <v>7</v>
      </c>
      <c r="F2005" s="81">
        <f>IF(Table25[[#This Row],[Number of stocks]]&gt;0,Table25[[#This Row],[Number of stocks]],0)</f>
        <v>7</v>
      </c>
      <c r="G2005" s="73">
        <f>Table25[[#This Row],[Bought]]*Table25[[#This Row],[Price]]</f>
        <v>527.66</v>
      </c>
      <c r="H2005">
        <f>SUMIF(Table25[[#All],[Assets]],Table25[[#This Row],[Assets]],Table25[[#All],[Bought]])</f>
        <v>22</v>
      </c>
      <c r="I2005">
        <f>SUMIF(Table25[[#All],[Assets]],Table25[[#This Row],[Assets]],Table25[[#All],[Bought Amount]])</f>
        <v>1101.26</v>
      </c>
      <c r="J2005" s="88">
        <f>IF(Table25[[#This Row],[Number of stocks]]&lt;0,Table25[[#This Row],[Number of stocks]],0)</f>
        <v>0</v>
      </c>
      <c r="K2005" s="5">
        <f>Table25[[#This Row],[Sold]]*Table25[[#This Row],[Price]]</f>
        <v>0</v>
      </c>
      <c r="L2005" s="8">
        <f>ABS(SUMIF(Table25[[#All],[Assets]],Table25[[#This Row],[Assets]],Table25[[#All],[Sold]]))</f>
        <v>15</v>
      </c>
      <c r="M2005" s="5">
        <f>ABS(SUMIF(Table25[[#All],[Assets]],Table25[[#This Row],[Assets]],Table25[[#All],[Sold Amount]]))</f>
        <v>481.95000000000005</v>
      </c>
      <c r="N2005" s="5">
        <f>IFERROR(Table25[[#This Row],[Total sold amount]]/Table25[[#This Row],[Total Sold number of stocks]],"")</f>
        <v>32.130000000000003</v>
      </c>
      <c r="O2005" s="4">
        <f>IFERROR(Table25[[#This Row],[Total Amount bought]]/Table25[[#This Row],[Total number bought]],"")</f>
        <v>50.057272727272725</v>
      </c>
      <c r="P2005" s="4">
        <f>IFERROR((Table25[[#This Row],[Average sell price]]-Table25[[#This Row],[Average buy price]])*Table25[[#This Row],[Total Sold number of stocks]],0)</f>
        <v>-268.90909090909082</v>
      </c>
      <c r="Q2005" s="85">
        <f>SUMIF(Table25[[#All],[Assets]],Table25[[#This Row],[Assets]],Table25[[#All],[Number of stocks]])</f>
        <v>7</v>
      </c>
    </row>
    <row r="2006" spans="1:17">
      <c r="A2006" t="e" vm="594">
        <v>#VALUE!</v>
      </c>
      <c r="B2006" s="2">
        <v>46101</v>
      </c>
      <c r="C2006" t="str" cm="1">
        <f t="array" aca="1" ref="C2006" ca="1">_FV(A2006,"Ticker symbol",TRUE)</f>
        <v>LUNR</v>
      </c>
      <c r="D2006" s="4">
        <v>18.78</v>
      </c>
      <c r="E2006" s="50">
        <v>18</v>
      </c>
      <c r="F2006" s="81">
        <f>IF(Table25[[#This Row],[Number of stocks]]&gt;0,Table25[[#This Row],[Number of stocks]],0)</f>
        <v>18</v>
      </c>
      <c r="G2006" s="73">
        <f>Table25[[#This Row],[Bought]]*Table25[[#This Row],[Price]]</f>
        <v>338.04</v>
      </c>
      <c r="H2006">
        <f>SUMIF(Table25[[#All],[Assets]],Table25[[#This Row],[Assets]],Table25[[#All],[Bought]])</f>
        <v>18</v>
      </c>
      <c r="I2006">
        <f>SUMIF(Table25[[#All],[Assets]],Table25[[#This Row],[Assets]],Table25[[#All],[Bought Amount]])</f>
        <v>338.04</v>
      </c>
      <c r="J2006" s="88">
        <f>IF(Table25[[#This Row],[Number of stocks]]&lt;0,Table25[[#This Row],[Number of stocks]],0)</f>
        <v>0</v>
      </c>
      <c r="K2006" s="5">
        <f>Table25[[#This Row],[Sold]]*Table25[[#This Row],[Price]]</f>
        <v>0</v>
      </c>
      <c r="L2006" s="8">
        <f>ABS(SUMIF(Table25[[#All],[Assets]],Table25[[#This Row],[Assets]],Table25[[#All],[Sold]]))</f>
        <v>0</v>
      </c>
      <c r="M2006" s="5">
        <f>ABS(SUMIF(Table25[[#All],[Assets]],Table25[[#This Row],[Assets]],Table25[[#All],[Sold Amount]]))</f>
        <v>0</v>
      </c>
      <c r="N2006" s="5" t="str">
        <f>IFERROR(Table25[[#This Row],[Total sold amount]]/Table25[[#This Row],[Total Sold number of stocks]],"")</f>
        <v/>
      </c>
      <c r="O2006" s="4">
        <f>IFERROR(Table25[[#This Row],[Total Amount bought]]/Table25[[#This Row],[Total number bought]],"")</f>
        <v>18.78</v>
      </c>
      <c r="P2006" s="4">
        <f>IFERROR((Table25[[#This Row],[Average sell price]]-Table25[[#This Row],[Average buy price]])*Table25[[#This Row],[Total Sold number of stocks]],0)</f>
        <v>0</v>
      </c>
      <c r="Q2006" s="85">
        <f>SUMIF(Table25[[#All],[Assets]],Table25[[#This Row],[Assets]],Table25[[#All],[Number of stocks]])</f>
        <v>18</v>
      </c>
    </row>
    <row r="2007" spans="1:17">
      <c r="A2007" t="e" vm="12">
        <v>#VALUE!</v>
      </c>
      <c r="B2007" s="2">
        <v>46106</v>
      </c>
      <c r="C2007" t="str" cm="1">
        <f t="array" aca="1" ref="C2007" ca="1">_FV(A2007,"Ticker symbol",TRUE)</f>
        <v>TER</v>
      </c>
      <c r="D2007" s="4">
        <v>323.06</v>
      </c>
      <c r="E2007" s="50">
        <v>-5</v>
      </c>
      <c r="F2007" s="247">
        <f>IF(Table25[[#This Row],[Number of stocks]]&gt;0,Table25[[#This Row],[Number of stocks]],0)</f>
        <v>0</v>
      </c>
      <c r="G2007" s="248">
        <f>Table25[[#This Row],[Bought]]*Table25[[#This Row],[Price]]</f>
        <v>0</v>
      </c>
      <c r="H2007" s="249">
        <f>SUMIF(Table25[[#All],[Assets]],Table25[[#This Row],[Assets]],Table25[[#All],[Bought]])</f>
        <v>37</v>
      </c>
      <c r="I2007" s="249">
        <f>SUMIF(Table25[[#All],[Assets]],Table25[[#This Row],[Assets]],Table25[[#All],[Bought Amount]])</f>
        <v>4100.1100000000006</v>
      </c>
      <c r="J2007" s="88">
        <f>IF(Table25[[#This Row],[Number of stocks]]&lt;0,Table25[[#This Row],[Number of stocks]],0)</f>
        <v>-5</v>
      </c>
      <c r="K2007" s="5">
        <f>Table25[[#This Row],[Sold]]*Table25[[#This Row],[Price]]</f>
        <v>-1615.3</v>
      </c>
      <c r="L2007" s="8">
        <f>ABS(SUMIF(Table25[[#All],[Assets]],Table25[[#This Row],[Assets]],Table25[[#All],[Sold]]))</f>
        <v>16</v>
      </c>
      <c r="M2007" s="5">
        <f>ABS(SUMIF(Table25[[#All],[Assets]],Table25[[#This Row],[Assets]],Table25[[#All],[Sold Amount]]))</f>
        <v>2853.3999999999996</v>
      </c>
      <c r="N2007" s="5">
        <f>IFERROR(Table25[[#This Row],[Total sold amount]]/Table25[[#This Row],[Total Sold number of stocks]],"")</f>
        <v>178.33749999999998</v>
      </c>
      <c r="O2007" s="250">
        <f>IFERROR(Table25[[#This Row],[Total Amount bought]]/Table25[[#This Row],[Total number bought]],"")</f>
        <v>110.8137837837838</v>
      </c>
      <c r="P2007" s="250">
        <f>IFERROR((Table25[[#This Row],[Average sell price]]-Table25[[#This Row],[Average buy price]])*Table25[[#This Row],[Total Sold number of stocks]],0)</f>
        <v>1080.3794594594588</v>
      </c>
      <c r="Q2007" s="85">
        <f>SUMIF(Table25[[#All],[Assets]],Table25[[#This Row],[Assets]],Table25[[#All],[Number of stocks]])</f>
        <v>21</v>
      </c>
    </row>
    <row r="2008" spans="1:17">
      <c r="A2008" t="e" vm="511">
        <v>#VALUE!</v>
      </c>
      <c r="B2008" s="2">
        <v>46106</v>
      </c>
      <c r="C2008" t="str" cm="1">
        <f t="array" aca="1" ref="C2008" ca="1">_FV(A2008,"Ticker symbol",TRUE)</f>
        <v>ARM</v>
      </c>
      <c r="D2008" s="4">
        <v>158.19</v>
      </c>
      <c r="E2008" s="50">
        <v>5</v>
      </c>
      <c r="F2008" s="247">
        <f>IF(Table25[[#This Row],[Number of stocks]]&gt;0,Table25[[#This Row],[Number of stocks]],0)</f>
        <v>5</v>
      </c>
      <c r="G2008" s="248">
        <f>Table25[[#This Row],[Bought]]*Table25[[#This Row],[Price]]</f>
        <v>790.95</v>
      </c>
      <c r="H2008" s="249">
        <f>SUMIF(Table25[[#All],[Assets]],Table25[[#This Row],[Assets]],Table25[[#All],[Bought]])</f>
        <v>14</v>
      </c>
      <c r="I2008" s="249">
        <f>SUMIF(Table25[[#All],[Assets]],Table25[[#This Row],[Assets]],Table25[[#All],[Bought Amount]])</f>
        <v>1938</v>
      </c>
      <c r="J2008" s="88">
        <f>IF(Table25[[#This Row],[Number of stocks]]&lt;0,Table25[[#This Row],[Number of stocks]],0)</f>
        <v>0</v>
      </c>
      <c r="K2008" s="5">
        <f>Table25[[#This Row],[Sold]]*Table25[[#This Row],[Price]]</f>
        <v>0</v>
      </c>
      <c r="L2008" s="8">
        <f>ABS(SUMIF(Table25[[#All],[Assets]],Table25[[#This Row],[Assets]],Table25[[#All],[Sold]]))</f>
        <v>9</v>
      </c>
      <c r="M2008" s="5">
        <f>ABS(SUMIF(Table25[[#All],[Assets]],Table25[[#This Row],[Assets]],Table25[[#All],[Sold Amount]]))</f>
        <v>1075.4099999999999</v>
      </c>
      <c r="N2008" s="5">
        <f>IFERROR(Table25[[#This Row],[Total sold amount]]/Table25[[#This Row],[Total Sold number of stocks]],"")</f>
        <v>119.48999999999998</v>
      </c>
      <c r="O2008" s="250">
        <f>IFERROR(Table25[[#This Row],[Total Amount bought]]/Table25[[#This Row],[Total number bought]],"")</f>
        <v>138.42857142857142</v>
      </c>
      <c r="P2008" s="250">
        <f>IFERROR((Table25[[#This Row],[Average sell price]]-Table25[[#This Row],[Average buy price]])*Table25[[#This Row],[Total Sold number of stocks]],0)</f>
        <v>-170.44714285714292</v>
      </c>
      <c r="Q2008" s="85">
        <f>SUMIF(Table25[[#All],[Assets]],Table25[[#This Row],[Assets]],Table25[[#All],[Number of stocks]])</f>
        <v>5</v>
      </c>
    </row>
    <row r="2009" spans="1:17">
      <c r="A2009" t="e" vm="595">
        <v>#VALUE!</v>
      </c>
      <c r="B2009" s="2">
        <v>46034</v>
      </c>
      <c r="C2009" t="str" cm="1">
        <f t="array" aca="1" ref="C2009" ca="1">_FV(A2009,"Ticker symbol",TRUE)</f>
        <v>AI</v>
      </c>
      <c r="D2009" s="4">
        <v>14.39</v>
      </c>
      <c r="E2009" s="50">
        <v>80</v>
      </c>
      <c r="F2009" s="247">
        <f>IF(Table25[[#This Row],[Number of stocks]]&gt;0,Table25[[#This Row],[Number of stocks]],0)</f>
        <v>80</v>
      </c>
      <c r="G2009" s="248">
        <f>Table25[[#This Row],[Bought]]*Table25[[#This Row],[Price]]</f>
        <v>1151.2</v>
      </c>
      <c r="H2009" s="249">
        <f>SUMIF(Table25[[#All],[Assets]],Table25[[#This Row],[Assets]],Table25[[#All],[Bought]])</f>
        <v>80</v>
      </c>
      <c r="I2009" s="249">
        <f>SUMIF(Table25[[#All],[Assets]],Table25[[#This Row],[Assets]],Table25[[#All],[Bought Amount]])</f>
        <v>1151.2</v>
      </c>
      <c r="J2009" s="88">
        <f>IF(Table25[[#This Row],[Number of stocks]]&lt;0,Table25[[#This Row],[Number of stocks]],0)</f>
        <v>0</v>
      </c>
      <c r="K2009" s="5">
        <f>Table25[[#This Row],[Sold]]*Table25[[#This Row],[Price]]</f>
        <v>0</v>
      </c>
      <c r="L2009" s="8">
        <f>ABS(SUMIF(Table25[[#All],[Assets]],Table25[[#This Row],[Assets]],Table25[[#All],[Sold]]))</f>
        <v>80</v>
      </c>
      <c r="M2009" s="5">
        <f>ABS(SUMIF(Table25[[#All],[Assets]],Table25[[#This Row],[Assets]],Table25[[#All],[Sold Amount]]))</f>
        <v>996.80000000000007</v>
      </c>
      <c r="N2009" s="5">
        <f>IFERROR(Table25[[#This Row],[Total sold amount]]/Table25[[#This Row],[Total Sold number of stocks]],"")</f>
        <v>12.46</v>
      </c>
      <c r="O2009" s="250">
        <f>IFERROR(Table25[[#This Row],[Total Amount bought]]/Table25[[#This Row],[Total number bought]],"")</f>
        <v>14.39</v>
      </c>
      <c r="P2009" s="250">
        <f>IFERROR((Table25[[#This Row],[Average sell price]]-Table25[[#This Row],[Average buy price]])*Table25[[#This Row],[Total Sold number of stocks]],0)</f>
        <v>-154.39999999999998</v>
      </c>
      <c r="Q2009" s="85">
        <f>SUMIF(Table25[[#All],[Assets]],Table25[[#This Row],[Assets]],Table25[[#All],[Number of stocks]])</f>
        <v>0</v>
      </c>
    </row>
    <row r="2010" spans="1:17">
      <c r="A2010" t="e" vm="596">
        <v>#VALUE!</v>
      </c>
      <c r="B2010" s="2">
        <v>46034</v>
      </c>
      <c r="C2010" t="str" cm="1">
        <f t="array" aca="1" ref="C2010" ca="1">_FV(A2010,"Ticker symbol",TRUE)</f>
        <v>PSTG</v>
      </c>
      <c r="D2010" s="4">
        <v>72.11</v>
      </c>
      <c r="E2010" s="50">
        <v>6</v>
      </c>
      <c r="F2010" s="247">
        <f>IF(Table25[[#This Row],[Number of stocks]]&gt;0,Table25[[#This Row],[Number of stocks]],0)</f>
        <v>6</v>
      </c>
      <c r="G2010" s="248">
        <f>Table25[[#This Row],[Bought]]*Table25[[#This Row],[Price]]</f>
        <v>432.65999999999997</v>
      </c>
      <c r="H2010" s="249">
        <f>SUMIF(Table25[[#All],[Assets]],Table25[[#This Row],[Assets]],Table25[[#All],[Bought]])</f>
        <v>9</v>
      </c>
      <c r="I2010" s="249">
        <f>SUMIF(Table25[[#All],[Assets]],Table25[[#This Row],[Assets]],Table25[[#All],[Bought Amount]])</f>
        <v>641.97</v>
      </c>
      <c r="J2010" s="88">
        <f>IF(Table25[[#This Row],[Number of stocks]]&lt;0,Table25[[#This Row],[Number of stocks]],0)</f>
        <v>0</v>
      </c>
      <c r="K2010" s="5">
        <f>Table25[[#This Row],[Sold]]*Table25[[#This Row],[Price]]</f>
        <v>0</v>
      </c>
      <c r="L2010" s="8">
        <f>ABS(SUMIF(Table25[[#All],[Assets]],Table25[[#This Row],[Assets]],Table25[[#All],[Sold]]))</f>
        <v>0</v>
      </c>
      <c r="M2010" s="5">
        <f>ABS(SUMIF(Table25[[#All],[Assets]],Table25[[#This Row],[Assets]],Table25[[#All],[Sold Amount]]))</f>
        <v>0</v>
      </c>
      <c r="N2010" s="5" t="str">
        <f>IFERROR(Table25[[#This Row],[Total sold amount]]/Table25[[#This Row],[Total Sold number of stocks]],"")</f>
        <v/>
      </c>
      <c r="O2010" s="250">
        <f>IFERROR(Table25[[#This Row],[Total Amount bought]]/Table25[[#This Row],[Total number bought]],"")</f>
        <v>71.33</v>
      </c>
      <c r="P2010" s="250">
        <f>IFERROR((Table25[[#This Row],[Average sell price]]-Table25[[#This Row],[Average buy price]])*Table25[[#This Row],[Total Sold number of stocks]],0)</f>
        <v>0</v>
      </c>
      <c r="Q2010" s="85">
        <f>SUMIF(Table25[[#All],[Assets]],Table25[[#This Row],[Assets]],Table25[[#All],[Number of stocks]])</f>
        <v>9</v>
      </c>
    </row>
    <row r="2011" spans="1:17">
      <c r="A2011" t="e" vm="271">
        <v>#VALUE!</v>
      </c>
      <c r="B2011" s="2">
        <v>46038</v>
      </c>
      <c r="C2011" t="str" cm="1">
        <f t="array" aca="1" ref="C2011" ca="1">_FV(A2011,"Ticker symbol",TRUE)</f>
        <v>POET</v>
      </c>
      <c r="D2011" s="4">
        <v>8.17</v>
      </c>
      <c r="E2011" s="50">
        <v>20</v>
      </c>
      <c r="F2011" s="247">
        <f>IF(Table25[[#This Row],[Number of stocks]]&gt;0,Table25[[#This Row],[Number of stocks]],0)</f>
        <v>20</v>
      </c>
      <c r="G2011" s="248">
        <f>Table25[[#This Row],[Bought]]*Table25[[#This Row],[Price]]</f>
        <v>163.4</v>
      </c>
      <c r="H2011" s="249">
        <f>SUMIF(Table25[[#All],[Assets]],Table25[[#This Row],[Assets]],Table25[[#All],[Bought]])</f>
        <v>150</v>
      </c>
      <c r="I2011" s="249">
        <f>SUMIF(Table25[[#All],[Assets]],Table25[[#This Row],[Assets]],Table25[[#All],[Bought Amount]])</f>
        <v>673</v>
      </c>
      <c r="J2011" s="88">
        <f>IF(Table25[[#This Row],[Number of stocks]]&lt;0,Table25[[#This Row],[Number of stocks]],0)</f>
        <v>0</v>
      </c>
      <c r="K2011" s="5">
        <f>Table25[[#This Row],[Sold]]*Table25[[#This Row],[Price]]</f>
        <v>0</v>
      </c>
      <c r="L2011" s="8">
        <f>ABS(SUMIF(Table25[[#All],[Assets]],Table25[[#This Row],[Assets]],Table25[[#All],[Sold]]))</f>
        <v>130</v>
      </c>
      <c r="M2011" s="5">
        <f>ABS(SUMIF(Table25[[#All],[Assets]],Table25[[#This Row],[Assets]],Table25[[#All],[Sold Amount]]))</f>
        <v>650</v>
      </c>
      <c r="N2011" s="5">
        <f>IFERROR(Table25[[#This Row],[Total sold amount]]/Table25[[#This Row],[Total Sold number of stocks]],"")</f>
        <v>5</v>
      </c>
      <c r="O2011" s="250">
        <f>IFERROR(Table25[[#This Row],[Total Amount bought]]/Table25[[#This Row],[Total number bought]],"")</f>
        <v>4.4866666666666664</v>
      </c>
      <c r="P2011" s="250">
        <f>IFERROR((Table25[[#This Row],[Average sell price]]-Table25[[#This Row],[Average buy price]])*Table25[[#This Row],[Total Sold number of stocks]],0)</f>
        <v>66.733333333333377</v>
      </c>
      <c r="Q2011" s="85">
        <f>SUMIF(Table25[[#All],[Assets]],Table25[[#This Row],[Assets]],Table25[[#All],[Number of stocks]])</f>
        <v>20</v>
      </c>
    </row>
    <row r="2012" spans="1:17">
      <c r="A2012" t="e" vm="32">
        <v>#VALUE!</v>
      </c>
      <c r="B2012" s="2">
        <v>46038</v>
      </c>
      <c r="C2012" t="str" cm="1">
        <f t="array" aca="1" ref="C2012" ca="1">_FV(A2012,"Ticker symbol",TRUE)</f>
        <v>MU</v>
      </c>
      <c r="D2012" s="4">
        <v>355.17</v>
      </c>
      <c r="E2012" s="50">
        <v>-4</v>
      </c>
      <c r="F2012" s="247">
        <f>IF(Table25[[#This Row],[Number of stocks]]&gt;0,Table25[[#This Row],[Number of stocks]],0)</f>
        <v>0</v>
      </c>
      <c r="G2012" s="248">
        <f>Table25[[#This Row],[Bought]]*Table25[[#This Row],[Price]]</f>
        <v>0</v>
      </c>
      <c r="H2012" s="249">
        <f>SUMIF(Table25[[#All],[Assets]],Table25[[#This Row],[Assets]],Table25[[#All],[Bought]])</f>
        <v>59</v>
      </c>
      <c r="I2012" s="249">
        <f>SUMIF(Table25[[#All],[Assets]],Table25[[#This Row],[Assets]],Table25[[#All],[Bought Amount]])</f>
        <v>6964.04</v>
      </c>
      <c r="J2012" s="88">
        <f>IF(Table25[[#This Row],[Number of stocks]]&lt;0,Table25[[#This Row],[Number of stocks]],0)</f>
        <v>-4</v>
      </c>
      <c r="K2012" s="5">
        <f>Table25[[#This Row],[Sold]]*Table25[[#This Row],[Price]]</f>
        <v>-1420.68</v>
      </c>
      <c r="L2012" s="8">
        <f>ABS(SUMIF(Table25[[#All],[Assets]],Table25[[#This Row],[Assets]],Table25[[#All],[Sold]]))</f>
        <v>58</v>
      </c>
      <c r="M2012" s="5">
        <f>ABS(SUMIF(Table25[[#All],[Assets]],Table25[[#This Row],[Assets]],Table25[[#All],[Sold Amount]]))</f>
        <v>6974.51</v>
      </c>
      <c r="N2012" s="5">
        <f>IFERROR(Table25[[#This Row],[Total sold amount]]/Table25[[#This Row],[Total Sold number of stocks]],"")</f>
        <v>120.25017241379311</v>
      </c>
      <c r="O2012" s="250">
        <f>IFERROR(Table25[[#This Row],[Total Amount bought]]/Table25[[#This Row],[Total number bought]],"")</f>
        <v>118.03457627118644</v>
      </c>
      <c r="P2012" s="250">
        <f>IFERROR((Table25[[#This Row],[Average sell price]]-Table25[[#This Row],[Average buy price]])*Table25[[#This Row],[Total Sold number of stocks]],0)</f>
        <v>128.50457627118692</v>
      </c>
      <c r="Q2012" s="85">
        <f>SUMIF(Table25[[#All],[Assets]],Table25[[#This Row],[Assets]],Table25[[#All],[Number of stocks]])</f>
        <v>1</v>
      </c>
    </row>
    <row r="2013" spans="1:17">
      <c r="A2013" t="e" vm="199">
        <v>#VALUE!</v>
      </c>
      <c r="B2013" s="2">
        <v>46038</v>
      </c>
      <c r="C2013" t="str" cm="1">
        <f t="array" aca="1" ref="C2013" ca="1">_FV(A2013,"Ticker symbol",TRUE)</f>
        <v>HROW</v>
      </c>
      <c r="D2013" s="4">
        <v>48.79</v>
      </c>
      <c r="E2013" s="50">
        <v>-24</v>
      </c>
      <c r="F2013" s="247">
        <f>IF(Table25[[#This Row],[Number of stocks]]&gt;0,Table25[[#This Row],[Number of stocks]],0)</f>
        <v>0</v>
      </c>
      <c r="G2013" s="248">
        <f>Table25[[#This Row],[Bought]]*Table25[[#This Row],[Price]]</f>
        <v>0</v>
      </c>
      <c r="H2013" s="249">
        <f>SUMIF(Table25[[#All],[Assets]],Table25[[#This Row],[Assets]],Table25[[#All],[Bought]])</f>
        <v>55</v>
      </c>
      <c r="I2013" s="249">
        <f>SUMIF(Table25[[#All],[Assets]],Table25[[#This Row],[Assets]],Table25[[#All],[Bought Amount]])</f>
        <v>2004.09</v>
      </c>
      <c r="J2013" s="88">
        <f>IF(Table25[[#This Row],[Number of stocks]]&lt;0,Table25[[#This Row],[Number of stocks]],0)</f>
        <v>-24</v>
      </c>
      <c r="K2013" s="5">
        <f>Table25[[#This Row],[Sold]]*Table25[[#This Row],[Price]]</f>
        <v>-1170.96</v>
      </c>
      <c r="L2013" s="8">
        <f>ABS(SUMIF(Table25[[#All],[Assets]],Table25[[#This Row],[Assets]],Table25[[#All],[Sold]]))</f>
        <v>55</v>
      </c>
      <c r="M2013" s="5">
        <f>ABS(SUMIF(Table25[[#All],[Assets]],Table25[[#This Row],[Assets]],Table25[[#All],[Sold Amount]]))</f>
        <v>2792.46</v>
      </c>
      <c r="N2013" s="5">
        <f>IFERROR(Table25[[#This Row],[Total sold amount]]/Table25[[#This Row],[Total Sold number of stocks]],"")</f>
        <v>50.771999999999998</v>
      </c>
      <c r="O2013" s="250">
        <f>IFERROR(Table25[[#This Row],[Total Amount bought]]/Table25[[#This Row],[Total number bought]],"")</f>
        <v>36.437999999999995</v>
      </c>
      <c r="P2013" s="250">
        <f>IFERROR((Table25[[#This Row],[Average sell price]]-Table25[[#This Row],[Average buy price]])*Table25[[#This Row],[Total Sold number of stocks]],0)</f>
        <v>788.37000000000012</v>
      </c>
      <c r="Q2013" s="85">
        <f>SUMIF(Table25[[#All],[Assets]],Table25[[#This Row],[Assets]],Table25[[#All],[Number of stocks]])</f>
        <v>0</v>
      </c>
    </row>
    <row r="2014" spans="1:17">
      <c r="A2014" t="e" vm="214">
        <v>#VALUE!</v>
      </c>
      <c r="B2014" s="2">
        <v>46038</v>
      </c>
      <c r="C2014" t="str" cm="1">
        <f t="array" aca="1" ref="C2014" ca="1">_FV(A2014,"Ticker symbol",TRUE)</f>
        <v>CGNX</v>
      </c>
      <c r="D2014" s="4">
        <v>40.71</v>
      </c>
      <c r="E2014" s="50">
        <v>-10</v>
      </c>
      <c r="F2014" s="247">
        <f>IF(Table25[[#This Row],[Number of stocks]]&gt;0,Table25[[#This Row],[Number of stocks]],0)</f>
        <v>0</v>
      </c>
      <c r="G2014" s="248">
        <f>Table25[[#This Row],[Bought]]*Table25[[#This Row],[Price]]</f>
        <v>0</v>
      </c>
      <c r="H2014" s="249">
        <f>SUMIF(Table25[[#All],[Assets]],Table25[[#This Row],[Assets]],Table25[[#All],[Bought]])</f>
        <v>20</v>
      </c>
      <c r="I2014" s="249">
        <f>SUMIF(Table25[[#All],[Assets]],Table25[[#This Row],[Assets]],Table25[[#All],[Bought Amount]])</f>
        <v>865.19999999999993</v>
      </c>
      <c r="J2014" s="88">
        <f>IF(Table25[[#This Row],[Number of stocks]]&lt;0,Table25[[#This Row],[Number of stocks]],0)</f>
        <v>-10</v>
      </c>
      <c r="K2014" s="5">
        <f>Table25[[#This Row],[Sold]]*Table25[[#This Row],[Price]]</f>
        <v>-407.1</v>
      </c>
      <c r="L2014" s="8">
        <f>ABS(SUMIF(Table25[[#All],[Assets]],Table25[[#This Row],[Assets]],Table25[[#All],[Sold]]))</f>
        <v>20</v>
      </c>
      <c r="M2014" s="5">
        <f>ABS(SUMIF(Table25[[#All],[Assets]],Table25[[#This Row],[Assets]],Table25[[#All],[Sold Amount]]))</f>
        <v>852</v>
      </c>
      <c r="N2014" s="5">
        <f>IFERROR(Table25[[#This Row],[Total sold amount]]/Table25[[#This Row],[Total Sold number of stocks]],"")</f>
        <v>42.6</v>
      </c>
      <c r="O2014" s="250">
        <f>IFERROR(Table25[[#This Row],[Total Amount bought]]/Table25[[#This Row],[Total number bought]],"")</f>
        <v>43.26</v>
      </c>
      <c r="P2014" s="250">
        <f>IFERROR((Table25[[#This Row],[Average sell price]]-Table25[[#This Row],[Average buy price]])*Table25[[#This Row],[Total Sold number of stocks]],0)</f>
        <v>-13.199999999999932</v>
      </c>
      <c r="Q2014" s="85">
        <f>SUMIF(Table25[[#All],[Assets]],Table25[[#This Row],[Assets]],Table25[[#All],[Number of stocks]])</f>
        <v>0</v>
      </c>
    </row>
    <row r="2015" spans="1:17">
      <c r="A2015" t="e" vm="187">
        <v>#VALUE!</v>
      </c>
      <c r="B2015" s="2">
        <v>46038</v>
      </c>
      <c r="C2015" t="str" cm="1">
        <f t="array" aca="1" ref="C2015" ca="1">_FV(A2015,"Ticker symbol",TRUE)</f>
        <v>ZETA</v>
      </c>
      <c r="D2015" s="4">
        <v>20.99</v>
      </c>
      <c r="E2015" s="50">
        <v>-50</v>
      </c>
      <c r="F2015" s="247">
        <f>IF(Table25[[#This Row],[Number of stocks]]&gt;0,Table25[[#This Row],[Number of stocks]],0)</f>
        <v>0</v>
      </c>
      <c r="G2015" s="248">
        <f>Table25[[#This Row],[Bought]]*Table25[[#This Row],[Price]]</f>
        <v>0</v>
      </c>
      <c r="H2015" s="249">
        <f>SUMIF(Table25[[#All],[Assets]],Table25[[#This Row],[Assets]],Table25[[#All],[Bought]])</f>
        <v>214</v>
      </c>
      <c r="I2015" s="249">
        <f>SUMIF(Table25[[#All],[Assets]],Table25[[#This Row],[Assets]],Table25[[#All],[Bought Amount]])</f>
        <v>4123.5200000000004</v>
      </c>
      <c r="J2015" s="88">
        <f>IF(Table25[[#This Row],[Number of stocks]]&lt;0,Table25[[#This Row],[Number of stocks]],0)</f>
        <v>-50</v>
      </c>
      <c r="K2015" s="5">
        <f>Table25[[#This Row],[Sold]]*Table25[[#This Row],[Price]]</f>
        <v>-1049.5</v>
      </c>
      <c r="L2015" s="8">
        <f>ABS(SUMIF(Table25[[#All],[Assets]],Table25[[#This Row],[Assets]],Table25[[#All],[Sold]]))</f>
        <v>214</v>
      </c>
      <c r="M2015" s="5">
        <f>ABS(SUMIF(Table25[[#All],[Assets]],Table25[[#This Row],[Assets]],Table25[[#All],[Sold Amount]]))</f>
        <v>4425.6400000000003</v>
      </c>
      <c r="N2015" s="5">
        <f>IFERROR(Table25[[#This Row],[Total sold amount]]/Table25[[#This Row],[Total Sold number of stocks]],"")</f>
        <v>20.680560747663552</v>
      </c>
      <c r="O2015" s="250">
        <f>IFERROR(Table25[[#This Row],[Total Amount bought]]/Table25[[#This Row],[Total number bought]],"")</f>
        <v>19.268785046728976</v>
      </c>
      <c r="P2015" s="250">
        <f>IFERROR((Table25[[#This Row],[Average sell price]]-Table25[[#This Row],[Average buy price]])*Table25[[#This Row],[Total Sold number of stocks]],0)</f>
        <v>302.11999999999938</v>
      </c>
      <c r="Q2015" s="85">
        <f>SUMIF(Table25[[#All],[Assets]],Table25[[#This Row],[Assets]],Table25[[#All],[Number of stocks]])</f>
        <v>0</v>
      </c>
    </row>
    <row r="2016" spans="1:17">
      <c r="A2016" t="e" vm="207">
        <v>#VALUE!</v>
      </c>
      <c r="B2016" s="2">
        <v>46038</v>
      </c>
      <c r="C2016" t="str" cm="1">
        <f t="array" aca="1" ref="C2016" ca="1">_FV(A2016,"Ticker symbol",TRUE)</f>
        <v>CLPT</v>
      </c>
      <c r="D2016" s="4">
        <v>14.85</v>
      </c>
      <c r="E2016" s="50">
        <v>-47</v>
      </c>
      <c r="F2016" s="247">
        <f>IF(Table25[[#This Row],[Number of stocks]]&gt;0,Table25[[#This Row],[Number of stocks]],0)</f>
        <v>0</v>
      </c>
      <c r="G2016" s="248">
        <f>Table25[[#This Row],[Bought]]*Table25[[#This Row],[Price]]</f>
        <v>0</v>
      </c>
      <c r="H2016" s="249">
        <f>SUMIF(Table25[[#All],[Assets]],Table25[[#This Row],[Assets]],Table25[[#All],[Bought]])</f>
        <v>167</v>
      </c>
      <c r="I2016" s="249">
        <f>SUMIF(Table25[[#All],[Assets]],Table25[[#This Row],[Assets]],Table25[[#All],[Bought Amount]])</f>
        <v>2399.79</v>
      </c>
      <c r="J2016" s="88">
        <f>IF(Table25[[#This Row],[Number of stocks]]&lt;0,Table25[[#This Row],[Number of stocks]],0)</f>
        <v>-47</v>
      </c>
      <c r="K2016" s="5">
        <f>Table25[[#This Row],[Sold]]*Table25[[#This Row],[Price]]</f>
        <v>-697.94999999999993</v>
      </c>
      <c r="L2016" s="8">
        <f>ABS(SUMIF(Table25[[#All],[Assets]],Table25[[#This Row],[Assets]],Table25[[#All],[Sold]]))</f>
        <v>167</v>
      </c>
      <c r="M2016" s="5">
        <f>ABS(SUMIF(Table25[[#All],[Assets]],Table25[[#This Row],[Assets]],Table25[[#All],[Sold Amount]]))</f>
        <v>2385.15</v>
      </c>
      <c r="N2016" s="5">
        <f>IFERROR(Table25[[#This Row],[Total sold amount]]/Table25[[#This Row],[Total Sold number of stocks]],"")</f>
        <v>14.282335329341318</v>
      </c>
      <c r="O2016" s="250">
        <f>IFERROR(Table25[[#This Row],[Total Amount bought]]/Table25[[#This Row],[Total number bought]],"")</f>
        <v>14.37</v>
      </c>
      <c r="P2016" s="250">
        <f>IFERROR((Table25[[#This Row],[Average sell price]]-Table25[[#This Row],[Average buy price]])*Table25[[#This Row],[Total Sold number of stocks]],0)</f>
        <v>-14.63999999999969</v>
      </c>
      <c r="Q2016" s="85">
        <f>SUMIF(Table25[[#All],[Assets]],Table25[[#This Row],[Assets]],Table25[[#All],[Number of stocks]])</f>
        <v>0</v>
      </c>
    </row>
    <row r="2017" spans="1:17">
      <c r="A2017" t="e" vm="219">
        <v>#VALUE!</v>
      </c>
      <c r="B2017" s="2">
        <v>46038</v>
      </c>
      <c r="C2017" t="str" cm="1">
        <f t="array" aca="1" ref="C2017" ca="1">_FV(A2017,"Ticker symbol",TRUE)</f>
        <v>CLSK</v>
      </c>
      <c r="D2017" s="4">
        <v>13.28</v>
      </c>
      <c r="E2017" s="50">
        <v>-17</v>
      </c>
      <c r="F2017" s="247">
        <f>IF(Table25[[#This Row],[Number of stocks]]&gt;0,Table25[[#This Row],[Number of stocks]],0)</f>
        <v>0</v>
      </c>
      <c r="G2017" s="248">
        <f>Table25[[#This Row],[Bought]]*Table25[[#This Row],[Price]]</f>
        <v>0</v>
      </c>
      <c r="H2017" s="249">
        <f>SUMIF(Table25[[#All],[Assets]],Table25[[#This Row],[Assets]],Table25[[#All],[Bought]])</f>
        <v>57</v>
      </c>
      <c r="I2017" s="249">
        <f>SUMIF(Table25[[#All],[Assets]],Table25[[#This Row],[Assets]],Table25[[#All],[Bought Amount]])</f>
        <v>761</v>
      </c>
      <c r="J2017" s="88">
        <f>IF(Table25[[#This Row],[Number of stocks]]&lt;0,Table25[[#This Row],[Number of stocks]],0)</f>
        <v>-17</v>
      </c>
      <c r="K2017" s="5">
        <f>Table25[[#This Row],[Sold]]*Table25[[#This Row],[Price]]</f>
        <v>-225.76</v>
      </c>
      <c r="L2017" s="8">
        <f>ABS(SUMIF(Table25[[#All],[Assets]],Table25[[#This Row],[Assets]],Table25[[#All],[Sold]]))</f>
        <v>57</v>
      </c>
      <c r="M2017" s="5">
        <f>ABS(SUMIF(Table25[[#All],[Assets]],Table25[[#This Row],[Assets]],Table25[[#All],[Sold Amount]]))</f>
        <v>1045.3599999999999</v>
      </c>
      <c r="N2017" s="5">
        <f>IFERROR(Table25[[#This Row],[Total sold amount]]/Table25[[#This Row],[Total Sold number of stocks]],"")</f>
        <v>18.339649122807018</v>
      </c>
      <c r="O2017" s="250">
        <f>IFERROR(Table25[[#This Row],[Total Amount bought]]/Table25[[#This Row],[Total number bought]],"")</f>
        <v>13.350877192982455</v>
      </c>
      <c r="P2017" s="250">
        <f>IFERROR((Table25[[#This Row],[Average sell price]]-Table25[[#This Row],[Average buy price]])*Table25[[#This Row],[Total Sold number of stocks]],0)</f>
        <v>284.36</v>
      </c>
      <c r="Q2017" s="85">
        <f>SUMIF(Table25[[#All],[Assets]],Table25[[#This Row],[Assets]],Table25[[#All],[Number of stocks]])</f>
        <v>0</v>
      </c>
    </row>
    <row r="2018" spans="1:17">
      <c r="A2018" t="e" vm="181">
        <v>#VALUE!</v>
      </c>
      <c r="B2018" s="2">
        <v>46038</v>
      </c>
      <c r="C2018" t="str" cm="1">
        <f t="array" aca="1" ref="C2018" ca="1">_FV(A2018,"Ticker symbol",TRUE)</f>
        <v>TIC</v>
      </c>
      <c r="D2018" s="4">
        <v>11.44</v>
      </c>
      <c r="E2018" s="50">
        <v>-10</v>
      </c>
      <c r="F2018" s="247">
        <f>IF(Table25[[#This Row],[Number of stocks]]&gt;0,Table25[[#This Row],[Number of stocks]],0)</f>
        <v>0</v>
      </c>
      <c r="G2018" s="248">
        <f>Table25[[#This Row],[Bought]]*Table25[[#This Row],[Price]]</f>
        <v>0</v>
      </c>
      <c r="H2018" s="249">
        <f>SUMIF(Table25[[#All],[Assets]],Table25[[#This Row],[Assets]],Table25[[#All],[Bought]])</f>
        <v>487</v>
      </c>
      <c r="I2018" s="249">
        <f>SUMIF(Table25[[#All],[Assets]],Table25[[#This Row],[Assets]],Table25[[#All],[Bought Amount]])</f>
        <v>6140.8099999999995</v>
      </c>
      <c r="J2018" s="88">
        <f>IF(Table25[[#This Row],[Number of stocks]]&lt;0,Table25[[#This Row],[Number of stocks]],0)</f>
        <v>-10</v>
      </c>
      <c r="K2018" s="5">
        <f>Table25[[#This Row],[Sold]]*Table25[[#This Row],[Price]]</f>
        <v>-114.39999999999999</v>
      </c>
      <c r="L2018" s="8">
        <f>ABS(SUMIF(Table25[[#All],[Assets]],Table25[[#This Row],[Assets]],Table25[[#All],[Sold]]))</f>
        <v>397</v>
      </c>
      <c r="M2018" s="5">
        <f>ABS(SUMIF(Table25[[#All],[Assets]],Table25[[#This Row],[Assets]],Table25[[#All],[Sold Amount]]))</f>
        <v>3999.4</v>
      </c>
      <c r="N2018" s="5">
        <f>IFERROR(Table25[[#This Row],[Total sold amount]]/Table25[[#This Row],[Total Sold number of stocks]],"")</f>
        <v>10.074055415617128</v>
      </c>
      <c r="O2018" s="250">
        <f>IFERROR(Table25[[#This Row],[Total Amount bought]]/Table25[[#This Row],[Total number bought]],"")</f>
        <v>12.609466119096508</v>
      </c>
      <c r="P2018" s="250">
        <f>IFERROR((Table25[[#This Row],[Average sell price]]-Table25[[#This Row],[Average buy price]])*Table25[[#This Row],[Total Sold number of stocks]],0)</f>
        <v>-1006.558049281314</v>
      </c>
      <c r="Q2018" s="85">
        <f>SUMIF(Table25[[#All],[Assets]],Table25[[#This Row],[Assets]],Table25[[#All],[Number of stocks]])</f>
        <v>90</v>
      </c>
    </row>
    <row r="2019" spans="1:17">
      <c r="A2019" t="e" vm="39">
        <v>#VALUE!</v>
      </c>
      <c r="B2019" s="2">
        <v>46042</v>
      </c>
      <c r="C2019" t="str" cm="1">
        <f t="array" aca="1" ref="C2019" ca="1">_FV(A2019,"Ticker symbol",TRUE)</f>
        <v>AMSC</v>
      </c>
      <c r="D2019" s="4">
        <v>31.17</v>
      </c>
      <c r="E2019" s="50">
        <v>17</v>
      </c>
      <c r="F2019" s="247">
        <f>IF(Table25[[#This Row],[Number of stocks]]&gt;0,Table25[[#This Row],[Number of stocks]],0)</f>
        <v>17</v>
      </c>
      <c r="G2019" s="248">
        <f>Table25[[#This Row],[Bought]]*Table25[[#This Row],[Price]]</f>
        <v>529.89</v>
      </c>
      <c r="H2019" s="249">
        <f>SUMIF(Table25[[#All],[Assets]],Table25[[#This Row],[Assets]],Table25[[#All],[Bought]])</f>
        <v>812.4</v>
      </c>
      <c r="I2019" s="249">
        <f>SUMIF(Table25[[#All],[Assets]],Table25[[#This Row],[Assets]],Table25[[#All],[Bought Amount]])</f>
        <v>24146.880000000001</v>
      </c>
      <c r="J2019" s="88">
        <f>IF(Table25[[#This Row],[Number of stocks]]&lt;0,Table25[[#This Row],[Number of stocks]],0)</f>
        <v>0</v>
      </c>
      <c r="K2019" s="5">
        <f>Table25[[#This Row],[Sold]]*Table25[[#This Row],[Price]]</f>
        <v>0</v>
      </c>
      <c r="L2019" s="8">
        <f>ABS(SUMIF(Table25[[#All],[Assets]],Table25[[#This Row],[Assets]],Table25[[#All],[Sold]]))</f>
        <v>535</v>
      </c>
      <c r="M2019" s="5">
        <f>ABS(SUMIF(Table25[[#All],[Assets]],Table25[[#This Row],[Assets]],Table25[[#All],[Sold Amount]]))</f>
        <v>14777.289999999999</v>
      </c>
      <c r="N2019" s="5">
        <f>IFERROR(Table25[[#This Row],[Total sold amount]]/Table25[[#This Row],[Total Sold number of stocks]],"")</f>
        <v>27.621102803738317</v>
      </c>
      <c r="O2019" s="250">
        <f>IFERROR(Table25[[#This Row],[Total Amount bought]]/Table25[[#This Row],[Total number bought]],"")</f>
        <v>29.722895125553915</v>
      </c>
      <c r="P2019" s="250">
        <f>IFERROR((Table25[[#This Row],[Average sell price]]-Table25[[#This Row],[Average buy price]])*Table25[[#This Row],[Total Sold number of stocks]],0)</f>
        <v>-1124.4588921713448</v>
      </c>
      <c r="Q2019" s="85">
        <f>SUMIF(Table25[[#All],[Assets]],Table25[[#This Row],[Assets]],Table25[[#All],[Number of stocks]])</f>
        <v>277.39999999999998</v>
      </c>
    </row>
    <row r="2020" spans="1:17">
      <c r="A2020" t="e" vm="91">
        <v>#VALUE!</v>
      </c>
      <c r="B2020" s="2">
        <v>46042</v>
      </c>
      <c r="C2020" t="str" cm="1">
        <f t="array" aca="1" ref="C2020" ca="1">_FV(A2020,"Ticker symbol",TRUE)</f>
        <v>RKLB</v>
      </c>
      <c r="D2020" s="4">
        <v>96.37</v>
      </c>
      <c r="E2020" s="50">
        <v>-10</v>
      </c>
      <c r="F2020" s="247">
        <f>IF(Table25[[#This Row],[Number of stocks]]&gt;0,Table25[[#This Row],[Number of stocks]],0)</f>
        <v>0</v>
      </c>
      <c r="G2020" s="248">
        <f>Table25[[#This Row],[Bought]]*Table25[[#This Row],[Price]]</f>
        <v>0</v>
      </c>
      <c r="H2020" s="249">
        <f>SUMIF(Table25[[#All],[Assets]],Table25[[#This Row],[Assets]],Table25[[#All],[Bought]])</f>
        <v>22</v>
      </c>
      <c r="I2020" s="249">
        <f>SUMIF(Table25[[#All],[Assets]],Table25[[#This Row],[Assets]],Table25[[#All],[Bought Amount]])</f>
        <v>1045.0999999999999</v>
      </c>
      <c r="J2020" s="88">
        <f>IF(Table25[[#This Row],[Number of stocks]]&lt;0,Table25[[#This Row],[Number of stocks]],0)</f>
        <v>-10</v>
      </c>
      <c r="K2020" s="5">
        <f>Table25[[#This Row],[Sold]]*Table25[[#This Row],[Price]]</f>
        <v>-963.7</v>
      </c>
      <c r="L2020" s="8">
        <f>ABS(SUMIF(Table25[[#All],[Assets]],Table25[[#This Row],[Assets]],Table25[[#All],[Sold]]))</f>
        <v>21</v>
      </c>
      <c r="M2020" s="5">
        <f>ABS(SUMIF(Table25[[#All],[Assets]],Table25[[#This Row],[Assets]],Table25[[#All],[Sold Amount]]))</f>
        <v>1696.64</v>
      </c>
      <c r="N2020" s="5">
        <f>IFERROR(Table25[[#This Row],[Total sold amount]]/Table25[[#This Row],[Total Sold number of stocks]],"")</f>
        <v>80.792380952380952</v>
      </c>
      <c r="O2020" s="250">
        <f>IFERROR(Table25[[#This Row],[Total Amount bought]]/Table25[[#This Row],[Total number bought]],"")</f>
        <v>47.50454545454545</v>
      </c>
      <c r="P2020" s="250">
        <f>IFERROR((Table25[[#This Row],[Average sell price]]-Table25[[#This Row],[Average buy price]])*Table25[[#This Row],[Total Sold number of stocks]],0)</f>
        <v>699.04454545454553</v>
      </c>
      <c r="Q2020" s="85">
        <f>SUMIF(Table25[[#All],[Assets]],Table25[[#This Row],[Assets]],Table25[[#All],[Number of stocks]])</f>
        <v>1</v>
      </c>
    </row>
    <row r="2021" spans="1:17">
      <c r="A2021" t="e" vm="583">
        <v>#VALUE!</v>
      </c>
      <c r="B2021" s="2">
        <v>46042</v>
      </c>
      <c r="C2021" t="str" cm="1">
        <f t="array" aca="1" ref="C2021" ca="1">_FV(A2021,"Ticker symbol",TRUE)</f>
        <v>RIG</v>
      </c>
      <c r="D2021" s="4">
        <v>4.2</v>
      </c>
      <c r="E2021" s="50">
        <v>-150</v>
      </c>
      <c r="F2021" s="247">
        <f>IF(Table25[[#This Row],[Number of stocks]]&gt;0,Table25[[#This Row],[Number of stocks]],0)</f>
        <v>0</v>
      </c>
      <c r="G2021" s="248">
        <f>Table25[[#This Row],[Bought]]*Table25[[#This Row],[Price]]</f>
        <v>0</v>
      </c>
      <c r="H2021" s="249">
        <f>SUMIF(Table25[[#All],[Assets]],Table25[[#This Row],[Assets]],Table25[[#All],[Bought]])</f>
        <v>200</v>
      </c>
      <c r="I2021" s="249">
        <f>SUMIF(Table25[[#All],[Assets]],Table25[[#This Row],[Assets]],Table25[[#All],[Bought Amount]])</f>
        <v>672</v>
      </c>
      <c r="J2021" s="88">
        <f>IF(Table25[[#This Row],[Number of stocks]]&lt;0,Table25[[#This Row],[Number of stocks]],0)</f>
        <v>-150</v>
      </c>
      <c r="K2021" s="5">
        <f>Table25[[#This Row],[Sold]]*Table25[[#This Row],[Price]]</f>
        <v>-630</v>
      </c>
      <c r="L2021" s="8">
        <f>ABS(SUMIF(Table25[[#All],[Assets]],Table25[[#This Row],[Assets]],Table25[[#All],[Sold]]))</f>
        <v>350</v>
      </c>
      <c r="M2021" s="5">
        <f>ABS(SUMIF(Table25[[#All],[Assets]],Table25[[#This Row],[Assets]],Table25[[#All],[Sold Amount]]))</f>
        <v>1260</v>
      </c>
      <c r="N2021" s="5">
        <f>IFERROR(Table25[[#This Row],[Total sold amount]]/Table25[[#This Row],[Total Sold number of stocks]],"")</f>
        <v>3.6</v>
      </c>
      <c r="O2021" s="250">
        <f>IFERROR(Table25[[#This Row],[Total Amount bought]]/Table25[[#This Row],[Total number bought]],"")</f>
        <v>3.36</v>
      </c>
      <c r="P2021" s="250">
        <f>IFERROR((Table25[[#This Row],[Average sell price]]-Table25[[#This Row],[Average buy price]])*Table25[[#This Row],[Total Sold number of stocks]],0)</f>
        <v>84.000000000000071</v>
      </c>
      <c r="Q2021" s="85">
        <f>SUMIF(Table25[[#All],[Assets]],Table25[[#This Row],[Assets]],Table25[[#All],[Number of stocks]])</f>
        <v>-150</v>
      </c>
    </row>
    <row r="2022" spans="1:17">
      <c r="A2022" t="e" vm="216">
        <v>#VALUE!</v>
      </c>
      <c r="B2022" s="2">
        <v>46042</v>
      </c>
      <c r="C2022" t="str" cm="1">
        <f t="array" aca="1" ref="C2022" ca="1">_FV(A2022,"Ticker symbol",TRUE)</f>
        <v>INSG</v>
      </c>
      <c r="D2022" s="4">
        <v>12.34</v>
      </c>
      <c r="E2022" s="50">
        <v>50</v>
      </c>
      <c r="F2022" s="247">
        <f>IF(Table25[[#This Row],[Number of stocks]]&gt;0,Table25[[#This Row],[Number of stocks]],0)</f>
        <v>50</v>
      </c>
      <c r="G2022" s="248">
        <f>Table25[[#This Row],[Bought]]*Table25[[#This Row],[Price]]</f>
        <v>617</v>
      </c>
      <c r="H2022" s="249">
        <f>SUMIF(Table25[[#All],[Assets]],Table25[[#This Row],[Assets]],Table25[[#All],[Bought]])</f>
        <v>310</v>
      </c>
      <c r="I2022" s="249">
        <f>SUMIF(Table25[[#All],[Assets]],Table25[[#This Row],[Assets]],Table25[[#All],[Bought Amount]])</f>
        <v>3450.2</v>
      </c>
      <c r="J2022" s="88">
        <f>IF(Table25[[#This Row],[Number of stocks]]&lt;0,Table25[[#This Row],[Number of stocks]],0)</f>
        <v>0</v>
      </c>
      <c r="K2022" s="5">
        <f>Table25[[#This Row],[Sold]]*Table25[[#This Row],[Price]]</f>
        <v>0</v>
      </c>
      <c r="L2022" s="8">
        <f>ABS(SUMIF(Table25[[#All],[Assets]],Table25[[#This Row],[Assets]],Table25[[#All],[Sold]]))</f>
        <v>310</v>
      </c>
      <c r="M2022" s="5">
        <f>ABS(SUMIF(Table25[[#All],[Assets]],Table25[[#This Row],[Assets]],Table25[[#All],[Sold Amount]]))</f>
        <v>3081.5</v>
      </c>
      <c r="N2022" s="5">
        <f>IFERROR(Table25[[#This Row],[Total sold amount]]/Table25[[#This Row],[Total Sold number of stocks]],"")</f>
        <v>9.9403225806451605</v>
      </c>
      <c r="O2022" s="250">
        <f>IFERROR(Table25[[#This Row],[Total Amount bought]]/Table25[[#This Row],[Total number bought]],"")</f>
        <v>11.129677419354838</v>
      </c>
      <c r="P2022" s="250">
        <f>IFERROR((Table25[[#This Row],[Average sell price]]-Table25[[#This Row],[Average buy price]])*Table25[[#This Row],[Total Sold number of stocks]],0)</f>
        <v>-368.70000000000005</v>
      </c>
      <c r="Q2022" s="85">
        <f>SUMIF(Table25[[#All],[Assets]],Table25[[#This Row],[Assets]],Table25[[#All],[Number of stocks]])</f>
        <v>0</v>
      </c>
    </row>
    <row r="2023" spans="1:17">
      <c r="A2023" t="e" vm="240">
        <v>#VALUE!</v>
      </c>
      <c r="B2023" s="2">
        <v>46042</v>
      </c>
      <c r="C2023" t="str" cm="1">
        <f t="array" aca="1" ref="C2023" ca="1">_FV(A2023,"Ticker symbol",TRUE)</f>
        <v>SBSW</v>
      </c>
      <c r="D2023" s="4">
        <v>17.13</v>
      </c>
      <c r="E2023" s="50">
        <v>18</v>
      </c>
      <c r="F2023" s="247">
        <f>IF(Table25[[#This Row],[Number of stocks]]&gt;0,Table25[[#This Row],[Number of stocks]],0)</f>
        <v>18</v>
      </c>
      <c r="G2023" s="248">
        <f>Table25[[#This Row],[Bought]]*Table25[[#This Row],[Price]]</f>
        <v>308.33999999999997</v>
      </c>
      <c r="H2023" s="249">
        <f>SUMIF(Table25[[#All],[Assets]],Table25[[#This Row],[Assets]],Table25[[#All],[Bought]])</f>
        <v>187</v>
      </c>
      <c r="I2023" s="249">
        <f>SUMIF(Table25[[#All],[Assets]],Table25[[#This Row],[Assets]],Table25[[#All],[Bought Amount]])</f>
        <v>1654.1</v>
      </c>
      <c r="J2023" s="88">
        <f>IF(Table25[[#This Row],[Number of stocks]]&lt;0,Table25[[#This Row],[Number of stocks]],0)</f>
        <v>0</v>
      </c>
      <c r="K2023" s="5">
        <f>Table25[[#This Row],[Sold]]*Table25[[#This Row],[Price]]</f>
        <v>0</v>
      </c>
      <c r="L2023" s="8">
        <f>ABS(SUMIF(Table25[[#All],[Assets]],Table25[[#This Row],[Assets]],Table25[[#All],[Sold]]))</f>
        <v>139</v>
      </c>
      <c r="M2023" s="5">
        <f>ABS(SUMIF(Table25[[#All],[Assets]],Table25[[#This Row],[Assets]],Table25[[#All],[Sold Amount]]))</f>
        <v>909.86999999999989</v>
      </c>
      <c r="N2023" s="5">
        <f>IFERROR(Table25[[#This Row],[Total sold amount]]/Table25[[#This Row],[Total Sold number of stocks]],"")</f>
        <v>6.545827338129496</v>
      </c>
      <c r="O2023" s="250">
        <f>IFERROR(Table25[[#This Row],[Total Amount bought]]/Table25[[#This Row],[Total number bought]],"")</f>
        <v>8.8454545454545457</v>
      </c>
      <c r="P2023" s="250">
        <f>IFERROR((Table25[[#This Row],[Average sell price]]-Table25[[#This Row],[Average buy price]])*Table25[[#This Row],[Total Sold number of stocks]],0)</f>
        <v>-319.64818181818191</v>
      </c>
      <c r="Q2023" s="85">
        <f>SUMIF(Table25[[#All],[Assets]],Table25[[#This Row],[Assets]],Table25[[#All],[Number of stocks]])</f>
        <v>48</v>
      </c>
    </row>
    <row r="2024" spans="1:17">
      <c r="A2024" t="e" vm="240">
        <v>#VALUE!</v>
      </c>
      <c r="B2024" s="2">
        <v>46042</v>
      </c>
      <c r="C2024" t="str" cm="1">
        <f t="array" aca="1" ref="C2024" ca="1">_FV(A2024,"Ticker symbol",TRUE)</f>
        <v>SBSW</v>
      </c>
      <c r="D2024" s="4">
        <v>17.13</v>
      </c>
      <c r="E2024" s="50">
        <v>30</v>
      </c>
      <c r="F2024" s="247">
        <f>IF(Table25[[#This Row],[Number of stocks]]&gt;0,Table25[[#This Row],[Number of stocks]],0)</f>
        <v>30</v>
      </c>
      <c r="G2024" s="248">
        <f>Table25[[#This Row],[Bought]]*Table25[[#This Row],[Price]]</f>
        <v>513.9</v>
      </c>
      <c r="H2024" s="249">
        <f>SUMIF(Table25[[#All],[Assets]],Table25[[#This Row],[Assets]],Table25[[#All],[Bought]])</f>
        <v>187</v>
      </c>
      <c r="I2024" s="249">
        <f>SUMIF(Table25[[#All],[Assets]],Table25[[#This Row],[Assets]],Table25[[#All],[Bought Amount]])</f>
        <v>1654.1</v>
      </c>
      <c r="J2024" s="88">
        <f>IF(Table25[[#This Row],[Number of stocks]]&lt;0,Table25[[#This Row],[Number of stocks]],0)</f>
        <v>0</v>
      </c>
      <c r="K2024" s="5">
        <f>Table25[[#This Row],[Sold]]*Table25[[#This Row],[Price]]</f>
        <v>0</v>
      </c>
      <c r="L2024" s="8">
        <f>ABS(SUMIF(Table25[[#All],[Assets]],Table25[[#This Row],[Assets]],Table25[[#All],[Sold]]))</f>
        <v>139</v>
      </c>
      <c r="M2024" s="5">
        <f>ABS(SUMIF(Table25[[#All],[Assets]],Table25[[#This Row],[Assets]],Table25[[#All],[Sold Amount]]))</f>
        <v>909.86999999999989</v>
      </c>
      <c r="N2024" s="5">
        <f>IFERROR(Table25[[#This Row],[Total sold amount]]/Table25[[#This Row],[Total Sold number of stocks]],"")</f>
        <v>6.545827338129496</v>
      </c>
      <c r="O2024" s="250">
        <f>IFERROR(Table25[[#This Row],[Total Amount bought]]/Table25[[#This Row],[Total number bought]],"")</f>
        <v>8.8454545454545457</v>
      </c>
      <c r="P2024" s="250">
        <f>IFERROR((Table25[[#This Row],[Average sell price]]-Table25[[#This Row],[Average buy price]])*Table25[[#This Row],[Total Sold number of stocks]],0)</f>
        <v>-319.64818181818191</v>
      </c>
      <c r="Q2024" s="85">
        <f>SUMIF(Table25[[#All],[Assets]],Table25[[#This Row],[Assets]],Table25[[#All],[Number of stocks]])</f>
        <v>48</v>
      </c>
    </row>
    <row r="2025" spans="1:17">
      <c r="A2025" t="e" vm="203">
        <v>#VALUE!</v>
      </c>
      <c r="B2025" s="2">
        <v>46042</v>
      </c>
      <c r="C2025" t="str" cm="1">
        <f t="array" aca="1" ref="C2025" ca="1">_FV(A2025,"Ticker symbol",TRUE)</f>
        <v>TWLO</v>
      </c>
      <c r="D2025" s="4">
        <v>117.31</v>
      </c>
      <c r="E2025" s="50">
        <v>-5</v>
      </c>
      <c r="F2025" s="247">
        <f>IF(Table25[[#This Row],[Number of stocks]]&gt;0,Table25[[#This Row],[Number of stocks]],0)</f>
        <v>0</v>
      </c>
      <c r="G2025" s="248">
        <f>Table25[[#This Row],[Bought]]*Table25[[#This Row],[Price]]</f>
        <v>0</v>
      </c>
      <c r="H2025" s="249">
        <f>SUMIF(Table25[[#All],[Assets]],Table25[[#This Row],[Assets]],Table25[[#All],[Bought]])</f>
        <v>64</v>
      </c>
      <c r="I2025" s="249">
        <f>SUMIF(Table25[[#All],[Assets]],Table25[[#This Row],[Assets]],Table25[[#All],[Bought Amount]])</f>
        <v>7733.8899999999994</v>
      </c>
      <c r="J2025" s="88">
        <f>IF(Table25[[#This Row],[Number of stocks]]&lt;0,Table25[[#This Row],[Number of stocks]],0)</f>
        <v>-5</v>
      </c>
      <c r="K2025" s="5">
        <f>Table25[[#This Row],[Sold]]*Table25[[#This Row],[Price]]</f>
        <v>-586.54999999999995</v>
      </c>
      <c r="L2025" s="8">
        <f>ABS(SUMIF(Table25[[#All],[Assets]],Table25[[#This Row],[Assets]],Table25[[#All],[Sold]]))</f>
        <v>64</v>
      </c>
      <c r="M2025" s="5">
        <f>ABS(SUMIF(Table25[[#All],[Assets]],Table25[[#This Row],[Assets]],Table25[[#All],[Sold Amount]]))</f>
        <v>7331.26</v>
      </c>
      <c r="N2025" s="5">
        <f>IFERROR(Table25[[#This Row],[Total sold amount]]/Table25[[#This Row],[Total Sold number of stocks]],"")</f>
        <v>114.5509375</v>
      </c>
      <c r="O2025" s="250">
        <f>IFERROR(Table25[[#This Row],[Total Amount bought]]/Table25[[#This Row],[Total number bought]],"")</f>
        <v>120.84203124999999</v>
      </c>
      <c r="P2025" s="250">
        <f>IFERROR((Table25[[#This Row],[Average sell price]]-Table25[[#This Row],[Average buy price]])*Table25[[#This Row],[Total Sold number of stocks]],0)</f>
        <v>-402.6299999999992</v>
      </c>
      <c r="Q2025" s="85">
        <f>SUMIF(Table25[[#All],[Assets]],Table25[[#This Row],[Assets]],Table25[[#All],[Number of stocks]])</f>
        <v>0</v>
      </c>
    </row>
    <row r="2026" spans="1:17">
      <c r="A2026" t="e" vm="595">
        <v>#VALUE!</v>
      </c>
      <c r="B2026" s="2">
        <v>46042</v>
      </c>
      <c r="C2026" t="str" cm="1">
        <f t="array" aca="1" ref="C2026" ca="1">_FV(A2026,"Ticker symbol",TRUE)</f>
        <v>AI</v>
      </c>
      <c r="D2026" s="4">
        <v>12.46</v>
      </c>
      <c r="E2026" s="50">
        <v>-80</v>
      </c>
      <c r="F2026" s="247">
        <f>IF(Table25[[#This Row],[Number of stocks]]&gt;0,Table25[[#This Row],[Number of stocks]],0)</f>
        <v>0</v>
      </c>
      <c r="G2026" s="248">
        <f>Table25[[#This Row],[Bought]]*Table25[[#This Row],[Price]]</f>
        <v>0</v>
      </c>
      <c r="H2026" s="249">
        <f>SUMIF(Table25[[#All],[Assets]],Table25[[#This Row],[Assets]],Table25[[#All],[Bought]])</f>
        <v>80</v>
      </c>
      <c r="I2026" s="249">
        <f>SUMIF(Table25[[#All],[Assets]],Table25[[#This Row],[Assets]],Table25[[#All],[Bought Amount]])</f>
        <v>1151.2</v>
      </c>
      <c r="J2026" s="88">
        <f>IF(Table25[[#This Row],[Number of stocks]]&lt;0,Table25[[#This Row],[Number of stocks]],0)</f>
        <v>-80</v>
      </c>
      <c r="K2026" s="5">
        <f>Table25[[#This Row],[Sold]]*Table25[[#This Row],[Price]]</f>
        <v>-996.80000000000007</v>
      </c>
      <c r="L2026" s="8">
        <f>ABS(SUMIF(Table25[[#All],[Assets]],Table25[[#This Row],[Assets]],Table25[[#All],[Sold]]))</f>
        <v>80</v>
      </c>
      <c r="M2026" s="5">
        <f>ABS(SUMIF(Table25[[#All],[Assets]],Table25[[#This Row],[Assets]],Table25[[#All],[Sold Amount]]))</f>
        <v>996.80000000000007</v>
      </c>
      <c r="N2026" s="5">
        <f>IFERROR(Table25[[#This Row],[Total sold amount]]/Table25[[#This Row],[Total Sold number of stocks]],"")</f>
        <v>12.46</v>
      </c>
      <c r="O2026" s="250">
        <f>IFERROR(Table25[[#This Row],[Total Amount bought]]/Table25[[#This Row],[Total number bought]],"")</f>
        <v>14.39</v>
      </c>
      <c r="P2026" s="250">
        <f>IFERROR((Table25[[#This Row],[Average sell price]]-Table25[[#This Row],[Average buy price]])*Table25[[#This Row],[Total Sold number of stocks]],0)</f>
        <v>-154.39999999999998</v>
      </c>
      <c r="Q2026" s="85">
        <f>SUMIF(Table25[[#All],[Assets]],Table25[[#This Row],[Assets]],Table25[[#All],[Number of stocks]])</f>
        <v>0</v>
      </c>
    </row>
    <row r="2027" spans="1:17">
      <c r="A2027" t="e" vm="180">
        <v>#VALUE!</v>
      </c>
      <c r="B2027" s="2">
        <v>46042</v>
      </c>
      <c r="C2027" t="str" cm="1">
        <f t="array" aca="1" ref="C2027" ca="1">_FV(A2027,"Ticker symbol",TRUE)</f>
        <v>VELO</v>
      </c>
      <c r="D2027" s="4">
        <v>20.13</v>
      </c>
      <c r="E2027" s="50">
        <v>-23</v>
      </c>
      <c r="F2027" s="247">
        <f>IF(Table25[[#This Row],[Number of stocks]]&gt;0,Table25[[#This Row],[Number of stocks]],0)</f>
        <v>0</v>
      </c>
      <c r="G2027" s="248">
        <f>Table25[[#This Row],[Bought]]*Table25[[#This Row],[Price]]</f>
        <v>0</v>
      </c>
      <c r="H2027" s="249">
        <f>SUMIF(Table25[[#All],[Assets]],Table25[[#This Row],[Assets]],Table25[[#All],[Bought]])</f>
        <v>423</v>
      </c>
      <c r="I2027" s="249">
        <f>SUMIF(Table25[[#All],[Assets]],Table25[[#This Row],[Assets]],Table25[[#All],[Bought Amount]])</f>
        <v>2540.92</v>
      </c>
      <c r="J2027" s="88">
        <f>IF(Table25[[#This Row],[Number of stocks]]&lt;0,Table25[[#This Row],[Number of stocks]],0)</f>
        <v>-23</v>
      </c>
      <c r="K2027" s="5">
        <f>Table25[[#This Row],[Sold]]*Table25[[#This Row],[Price]]</f>
        <v>-462.98999999999995</v>
      </c>
      <c r="L2027" s="8">
        <f>ABS(SUMIF(Table25[[#All],[Assets]],Table25[[#This Row],[Assets]],Table25[[#All],[Sold]]))</f>
        <v>213</v>
      </c>
      <c r="M2027" s="5">
        <f>ABS(SUMIF(Table25[[#All],[Assets]],Table25[[#This Row],[Assets]],Table25[[#All],[Sold Amount]]))</f>
        <v>2820.5899999999997</v>
      </c>
      <c r="N2027" s="5">
        <f>IFERROR(Table25[[#This Row],[Total sold amount]]/Table25[[#This Row],[Total Sold number of stocks]],"")</f>
        <v>13.242206572769952</v>
      </c>
      <c r="O2027" s="250">
        <f>IFERROR(Table25[[#This Row],[Total Amount bought]]/Table25[[#This Row],[Total number bought]],"")</f>
        <v>6.0069030732860522</v>
      </c>
      <c r="P2027" s="250">
        <f>IFERROR((Table25[[#This Row],[Average sell price]]-Table25[[#This Row],[Average buy price]])*Table25[[#This Row],[Total Sold number of stocks]],0)</f>
        <v>1541.1196453900707</v>
      </c>
      <c r="Q2027" s="85">
        <f>SUMIF(Table25[[#All],[Assets]],Table25[[#This Row],[Assets]],Table25[[#All],[Number of stocks]])</f>
        <v>210</v>
      </c>
    </row>
    <row r="2028" spans="1:17">
      <c r="A2028" t="e" vm="39">
        <v>#VALUE!</v>
      </c>
      <c r="B2028" s="2">
        <v>46042</v>
      </c>
      <c r="C2028" t="str" cm="1">
        <f t="array" aca="1" ref="C2028" ca="1">_FV(A2028,"Ticker symbol",TRUE)</f>
        <v>AMSC</v>
      </c>
      <c r="D2028" s="4">
        <v>30.55</v>
      </c>
      <c r="E2028" s="50">
        <v>33</v>
      </c>
      <c r="F2028" s="247">
        <f>IF(Table25[[#This Row],[Number of stocks]]&gt;0,Table25[[#This Row],[Number of stocks]],0)</f>
        <v>33</v>
      </c>
      <c r="G2028" s="248">
        <f>Table25[[#This Row],[Bought]]*Table25[[#This Row],[Price]]</f>
        <v>1008.15</v>
      </c>
      <c r="H2028" s="249">
        <f>SUMIF(Table25[[#All],[Assets]],Table25[[#This Row],[Assets]],Table25[[#All],[Bought]])</f>
        <v>812.4</v>
      </c>
      <c r="I2028" s="249">
        <f>SUMIF(Table25[[#All],[Assets]],Table25[[#This Row],[Assets]],Table25[[#All],[Bought Amount]])</f>
        <v>24146.880000000001</v>
      </c>
      <c r="J2028" s="88">
        <f>IF(Table25[[#This Row],[Number of stocks]]&lt;0,Table25[[#This Row],[Number of stocks]],0)</f>
        <v>0</v>
      </c>
      <c r="K2028" s="5">
        <f>Table25[[#This Row],[Sold]]*Table25[[#This Row],[Price]]</f>
        <v>0</v>
      </c>
      <c r="L2028" s="8">
        <f>ABS(SUMIF(Table25[[#All],[Assets]],Table25[[#This Row],[Assets]],Table25[[#All],[Sold]]))</f>
        <v>535</v>
      </c>
      <c r="M2028" s="5">
        <f>ABS(SUMIF(Table25[[#All],[Assets]],Table25[[#This Row],[Assets]],Table25[[#All],[Sold Amount]]))</f>
        <v>14777.289999999999</v>
      </c>
      <c r="N2028" s="5">
        <f>IFERROR(Table25[[#This Row],[Total sold amount]]/Table25[[#This Row],[Total Sold number of stocks]],"")</f>
        <v>27.621102803738317</v>
      </c>
      <c r="O2028" s="250">
        <f>IFERROR(Table25[[#This Row],[Total Amount bought]]/Table25[[#This Row],[Total number bought]],"")</f>
        <v>29.722895125553915</v>
      </c>
      <c r="P2028" s="250">
        <f>IFERROR((Table25[[#This Row],[Average sell price]]-Table25[[#This Row],[Average buy price]])*Table25[[#This Row],[Total Sold number of stocks]],0)</f>
        <v>-1124.4588921713448</v>
      </c>
      <c r="Q2028" s="85">
        <f>SUMIF(Table25[[#All],[Assets]],Table25[[#This Row],[Assets]],Table25[[#All],[Number of stocks]])</f>
        <v>277.39999999999998</v>
      </c>
    </row>
    <row r="2029" spans="1:17">
      <c r="A2029" t="e" vm="589">
        <v>#VALUE!</v>
      </c>
      <c r="B2029" s="2">
        <v>46042</v>
      </c>
      <c r="C2029" t="str" cm="1">
        <f t="array" aca="1" ref="C2029" ca="1">_FV(A2029,"Ticker symbol",TRUE)</f>
        <v>EWY</v>
      </c>
      <c r="D2029" s="4">
        <v>111.4</v>
      </c>
      <c r="E2029" s="50">
        <v>8</v>
      </c>
      <c r="F2029" s="247">
        <f>IF(Table25[[#This Row],[Number of stocks]]&gt;0,Table25[[#This Row],[Number of stocks]],0)</f>
        <v>8</v>
      </c>
      <c r="G2029" s="248">
        <f>Table25[[#This Row],[Bought]]*Table25[[#This Row],[Price]]</f>
        <v>891.2</v>
      </c>
      <c r="H2029" s="249">
        <f>SUMIF(Table25[[#All],[Assets]],Table25[[#This Row],[Assets]],Table25[[#All],[Bought]])</f>
        <v>11</v>
      </c>
      <c r="I2029" s="249">
        <f>SUMIF(Table25[[#All],[Assets]],Table25[[#This Row],[Assets]],Table25[[#All],[Bought Amount]])</f>
        <v>1292.69</v>
      </c>
      <c r="J2029" s="88">
        <f>IF(Table25[[#This Row],[Number of stocks]]&lt;0,Table25[[#This Row],[Number of stocks]],0)</f>
        <v>0</v>
      </c>
      <c r="K2029" s="5">
        <f>Table25[[#This Row],[Sold]]*Table25[[#This Row],[Price]]</f>
        <v>0</v>
      </c>
      <c r="L2029" s="8">
        <f>ABS(SUMIF(Table25[[#All],[Assets]],Table25[[#This Row],[Assets]],Table25[[#All],[Sold]]))</f>
        <v>0</v>
      </c>
      <c r="M2029" s="5">
        <f>ABS(SUMIF(Table25[[#All],[Assets]],Table25[[#This Row],[Assets]],Table25[[#All],[Sold Amount]]))</f>
        <v>0</v>
      </c>
      <c r="N2029" s="5" t="str">
        <f>IFERROR(Table25[[#This Row],[Total sold amount]]/Table25[[#This Row],[Total Sold number of stocks]],"")</f>
        <v/>
      </c>
      <c r="O2029" s="250">
        <f>IFERROR(Table25[[#This Row],[Total Amount bought]]/Table25[[#This Row],[Total number bought]],"")</f>
        <v>117.51727272727273</v>
      </c>
      <c r="P2029" s="250">
        <f>IFERROR((Table25[[#This Row],[Average sell price]]-Table25[[#This Row],[Average buy price]])*Table25[[#This Row],[Total Sold number of stocks]],0)</f>
        <v>0</v>
      </c>
      <c r="Q2029" s="85">
        <f>SUMIF(Table25[[#All],[Assets]],Table25[[#This Row],[Assets]],Table25[[#All],[Number of stocks]])</f>
        <v>11</v>
      </c>
    </row>
    <row r="2030" spans="1:17">
      <c r="A2030" t="e" vm="205">
        <v>#VALUE!</v>
      </c>
      <c r="B2030" s="2">
        <v>46042</v>
      </c>
      <c r="C2030" t="str" cm="1">
        <f t="array" aca="1" ref="C2030" ca="1">_FV(A2030,"Ticker symbol",TRUE)</f>
        <v>NOK</v>
      </c>
      <c r="D2030" s="4">
        <v>6.45</v>
      </c>
      <c r="E2030" s="50">
        <v>-70</v>
      </c>
      <c r="F2030" s="247">
        <f>IF(Table25[[#This Row],[Number of stocks]]&gt;0,Table25[[#This Row],[Number of stocks]],0)</f>
        <v>0</v>
      </c>
      <c r="G2030" s="248">
        <f>Table25[[#This Row],[Bought]]*Table25[[#This Row],[Price]]</f>
        <v>0</v>
      </c>
      <c r="H2030" s="249">
        <f>SUMIF(Table25[[#All],[Assets]],Table25[[#This Row],[Assets]],Table25[[#All],[Bought]])</f>
        <v>455</v>
      </c>
      <c r="I2030" s="249">
        <f>SUMIF(Table25[[#All],[Assets]],Table25[[#This Row],[Assets]],Table25[[#All],[Bought Amount]])</f>
        <v>2449.6999999999998</v>
      </c>
      <c r="J2030" s="88">
        <f>IF(Table25[[#This Row],[Number of stocks]]&lt;0,Table25[[#This Row],[Number of stocks]],0)</f>
        <v>-70</v>
      </c>
      <c r="K2030" s="5">
        <f>Table25[[#This Row],[Sold]]*Table25[[#This Row],[Price]]</f>
        <v>-451.5</v>
      </c>
      <c r="L2030" s="8">
        <f>ABS(SUMIF(Table25[[#All],[Assets]],Table25[[#This Row],[Assets]],Table25[[#All],[Sold]]))</f>
        <v>390</v>
      </c>
      <c r="M2030" s="5">
        <f>ABS(SUMIF(Table25[[#All],[Assets]],Table25[[#This Row],[Assets]],Table25[[#All],[Sold Amount]]))</f>
        <v>2112.3000000000002</v>
      </c>
      <c r="N2030" s="5">
        <f>IFERROR(Table25[[#This Row],[Total sold amount]]/Table25[[#This Row],[Total Sold number of stocks]],"")</f>
        <v>5.416153846153847</v>
      </c>
      <c r="O2030" s="250">
        <f>IFERROR(Table25[[#This Row],[Total Amount bought]]/Table25[[#This Row],[Total number bought]],"")</f>
        <v>5.3839560439560437</v>
      </c>
      <c r="P2030" s="250">
        <f>IFERROR((Table25[[#This Row],[Average sell price]]-Table25[[#This Row],[Average buy price]])*Table25[[#This Row],[Total Sold number of stocks]],0)</f>
        <v>12.557142857143297</v>
      </c>
      <c r="Q2030" s="85">
        <f>SUMIF(Table25[[#All],[Assets]],Table25[[#This Row],[Assets]],Table25[[#All],[Number of stocks]])</f>
        <v>65</v>
      </c>
    </row>
    <row r="2031" spans="1:17">
      <c r="A2031" t="e" vm="22">
        <v>#VALUE!</v>
      </c>
      <c r="B2031" s="2">
        <v>46043</v>
      </c>
      <c r="C2031" t="str" cm="1">
        <f t="array" aca="1" ref="C2031" ca="1">_FV(A2031,"Ticker symbol",TRUE)</f>
        <v>RMBS</v>
      </c>
      <c r="D2031" s="4">
        <v>123.5</v>
      </c>
      <c r="E2031" s="50">
        <v>1</v>
      </c>
      <c r="F2031" s="247">
        <f>IF(Table25[[#This Row],[Number of stocks]]&gt;0,Table25[[#This Row],[Number of stocks]],0)</f>
        <v>1</v>
      </c>
      <c r="G2031" s="248">
        <f>Table25[[#This Row],[Bought]]*Table25[[#This Row],[Price]]</f>
        <v>123.5</v>
      </c>
      <c r="H2031" s="249">
        <f>SUMIF(Table25[[#All],[Assets]],Table25[[#This Row],[Assets]],Table25[[#All],[Bought]])</f>
        <v>36</v>
      </c>
      <c r="I2031" s="249">
        <f>SUMIF(Table25[[#All],[Assets]],Table25[[#This Row],[Assets]],Table25[[#All],[Bought Amount]])</f>
        <v>1746.8</v>
      </c>
      <c r="J2031" s="88">
        <f>IF(Table25[[#This Row],[Number of stocks]]&lt;0,Table25[[#This Row],[Number of stocks]],0)</f>
        <v>0</v>
      </c>
      <c r="K2031" s="5">
        <f>Table25[[#This Row],[Sold]]*Table25[[#This Row],[Price]]</f>
        <v>0</v>
      </c>
      <c r="L2031" s="8">
        <f>ABS(SUMIF(Table25[[#All],[Assets]],Table25[[#This Row],[Assets]],Table25[[#All],[Sold]]))</f>
        <v>25</v>
      </c>
      <c r="M2031" s="5">
        <f>ABS(SUMIF(Table25[[#All],[Assets]],Table25[[#This Row],[Assets]],Table25[[#All],[Sold Amount]]))</f>
        <v>1340.1</v>
      </c>
      <c r="N2031" s="5">
        <f>IFERROR(Table25[[#This Row],[Total sold amount]]/Table25[[#This Row],[Total Sold number of stocks]],"")</f>
        <v>53.603999999999999</v>
      </c>
      <c r="O2031" s="250">
        <f>IFERROR(Table25[[#This Row],[Total Amount bought]]/Table25[[#This Row],[Total number bought]],"")</f>
        <v>48.522222222222219</v>
      </c>
      <c r="P2031" s="250">
        <f>IFERROR((Table25[[#This Row],[Average sell price]]-Table25[[#This Row],[Average buy price]])*Table25[[#This Row],[Total Sold number of stocks]],0)</f>
        <v>127.04444444444451</v>
      </c>
      <c r="Q2031" s="85">
        <f>SUMIF(Table25[[#All],[Assets]],Table25[[#This Row],[Assets]],Table25[[#All],[Number of stocks]])</f>
        <v>11</v>
      </c>
    </row>
    <row r="2032" spans="1:17">
      <c r="A2032" t="e" vm="129">
        <v>#VALUE!</v>
      </c>
      <c r="B2032" s="2">
        <v>46043</v>
      </c>
      <c r="C2032" t="str" cm="1">
        <f t="array" aca="1" ref="C2032" ca="1">_FV(A2032,"Ticker symbol",TRUE)</f>
        <v>MRVL</v>
      </c>
      <c r="D2032" s="4">
        <v>81.430000000000007</v>
      </c>
      <c r="E2032" s="50">
        <v>8</v>
      </c>
      <c r="F2032" s="247">
        <f>IF(Table25[[#This Row],[Number of stocks]]&gt;0,Table25[[#This Row],[Number of stocks]],0)</f>
        <v>8</v>
      </c>
      <c r="G2032" s="248">
        <f>Table25[[#This Row],[Bought]]*Table25[[#This Row],[Price]]</f>
        <v>651.44000000000005</v>
      </c>
      <c r="H2032" s="249">
        <f>SUMIF(Table25[[#All],[Assets]],Table25[[#This Row],[Assets]],Table25[[#All],[Bought]])</f>
        <v>105</v>
      </c>
      <c r="I2032" s="249">
        <f>SUMIF(Table25[[#All],[Assets]],Table25[[#This Row],[Assets]],Table25[[#All],[Bought Amount]])</f>
        <v>8175.6200000000008</v>
      </c>
      <c r="J2032" s="88">
        <f>IF(Table25[[#This Row],[Number of stocks]]&lt;0,Table25[[#This Row],[Number of stocks]],0)</f>
        <v>0</v>
      </c>
      <c r="K2032" s="5">
        <f>Table25[[#This Row],[Sold]]*Table25[[#This Row],[Price]]</f>
        <v>0</v>
      </c>
      <c r="L2032" s="8">
        <f>ABS(SUMIF(Table25[[#All],[Assets]],Table25[[#This Row],[Assets]],Table25[[#All],[Sold]]))</f>
        <v>83</v>
      </c>
      <c r="M2032" s="5">
        <f>ABS(SUMIF(Table25[[#All],[Assets]],Table25[[#This Row],[Assets]],Table25[[#All],[Sold Amount]]))</f>
        <v>6745.73</v>
      </c>
      <c r="N2032" s="5">
        <f>IFERROR(Table25[[#This Row],[Total sold amount]]/Table25[[#This Row],[Total Sold number of stocks]],"")</f>
        <v>81.273855421686747</v>
      </c>
      <c r="O2032" s="250">
        <f>IFERROR(Table25[[#This Row],[Total Amount bought]]/Table25[[#This Row],[Total number bought]],"")</f>
        <v>77.86304761904762</v>
      </c>
      <c r="P2032" s="250">
        <f>IFERROR((Table25[[#This Row],[Average sell price]]-Table25[[#This Row],[Average buy price]])*Table25[[#This Row],[Total Sold number of stocks]],0)</f>
        <v>283.09704761904754</v>
      </c>
      <c r="Q2032" s="85">
        <f>SUMIF(Table25[[#All],[Assets]],Table25[[#This Row],[Assets]],Table25[[#All],[Number of stocks]])</f>
        <v>22</v>
      </c>
    </row>
    <row r="2033" spans="1:17">
      <c r="A2033" t="e" vm="246">
        <v>#VALUE!</v>
      </c>
      <c r="B2033" s="2">
        <v>46043</v>
      </c>
      <c r="C2033" t="str" cm="1">
        <f t="array" aca="1" ref="C2033" ca="1">_FV(A2033,"Ticker symbol",TRUE)</f>
        <v>ALAB</v>
      </c>
      <c r="D2033" s="4">
        <v>170.95</v>
      </c>
      <c r="E2033" s="50">
        <v>3</v>
      </c>
      <c r="F2033" s="247">
        <f>IF(Table25[[#This Row],[Number of stocks]]&gt;0,Table25[[#This Row],[Number of stocks]],0)</f>
        <v>3</v>
      </c>
      <c r="G2033" s="248">
        <f>Table25[[#This Row],[Bought]]*Table25[[#This Row],[Price]]</f>
        <v>512.84999999999991</v>
      </c>
      <c r="H2033" s="249">
        <f>SUMIF(Table25[[#All],[Assets]],Table25[[#This Row],[Assets]],Table25[[#All],[Bought]])</f>
        <v>6</v>
      </c>
      <c r="I2033" s="249">
        <f>SUMIF(Table25[[#All],[Assets]],Table25[[#This Row],[Assets]],Table25[[#All],[Bought Amount]])</f>
        <v>902.3599999999999</v>
      </c>
      <c r="J2033" s="88">
        <f>IF(Table25[[#This Row],[Number of stocks]]&lt;0,Table25[[#This Row],[Number of stocks]],0)</f>
        <v>0</v>
      </c>
      <c r="K2033" s="5">
        <f>Table25[[#This Row],[Sold]]*Table25[[#This Row],[Price]]</f>
        <v>0</v>
      </c>
      <c r="L2033" s="8">
        <f>ABS(SUMIF(Table25[[#All],[Assets]],Table25[[#This Row],[Assets]],Table25[[#All],[Sold]]))</f>
        <v>3</v>
      </c>
      <c r="M2033" s="5">
        <f>ABS(SUMIF(Table25[[#All],[Assets]],Table25[[#This Row],[Assets]],Table25[[#All],[Sold Amount]]))</f>
        <v>359.03999999999996</v>
      </c>
      <c r="N2033" s="5">
        <f>IFERROR(Table25[[#This Row],[Total sold amount]]/Table25[[#This Row],[Total Sold number of stocks]],"")</f>
        <v>119.67999999999999</v>
      </c>
      <c r="O2033" s="250">
        <f>IFERROR(Table25[[#This Row],[Total Amount bought]]/Table25[[#This Row],[Total number bought]],"")</f>
        <v>150.39333333333332</v>
      </c>
      <c r="P2033" s="250">
        <f>IFERROR((Table25[[#This Row],[Average sell price]]-Table25[[#This Row],[Average buy price]])*Table25[[#This Row],[Total Sold number of stocks]],0)</f>
        <v>-92.139999999999972</v>
      </c>
      <c r="Q2033" s="85">
        <f>SUMIF(Table25[[#All],[Assets]],Table25[[#This Row],[Assets]],Table25[[#All],[Number of stocks]])</f>
        <v>3</v>
      </c>
    </row>
    <row r="2034" spans="1:17">
      <c r="A2034" t="e" vm="203">
        <v>#VALUE!</v>
      </c>
      <c r="B2034" s="2">
        <v>46044</v>
      </c>
      <c r="C2034" t="str" cm="1">
        <f t="array" aca="1" ref="C2034" ca="1">_FV(A2034,"Ticker symbol",TRUE)</f>
        <v>TWLO</v>
      </c>
      <c r="D2034" s="4">
        <v>122.22</v>
      </c>
      <c r="E2034" s="50">
        <v>-3</v>
      </c>
      <c r="F2034" s="247">
        <f>IF(Table25[[#This Row],[Number of stocks]]&gt;0,Table25[[#This Row],[Number of stocks]],0)</f>
        <v>0</v>
      </c>
      <c r="G2034" s="248">
        <f>Table25[[#This Row],[Bought]]*Table25[[#This Row],[Price]]</f>
        <v>0</v>
      </c>
      <c r="H2034" s="249">
        <f>SUMIF(Table25[[#All],[Assets]],Table25[[#This Row],[Assets]],Table25[[#All],[Bought]])</f>
        <v>64</v>
      </c>
      <c r="I2034" s="249">
        <f>SUMIF(Table25[[#All],[Assets]],Table25[[#This Row],[Assets]],Table25[[#All],[Bought Amount]])</f>
        <v>7733.8899999999994</v>
      </c>
      <c r="J2034" s="88">
        <f>IF(Table25[[#This Row],[Number of stocks]]&lt;0,Table25[[#This Row],[Number of stocks]],0)</f>
        <v>-3</v>
      </c>
      <c r="K2034" s="5">
        <f>Table25[[#This Row],[Sold]]*Table25[[#This Row],[Price]]</f>
        <v>-366.65999999999997</v>
      </c>
      <c r="L2034" s="8">
        <f>ABS(SUMIF(Table25[[#All],[Assets]],Table25[[#This Row],[Assets]],Table25[[#All],[Sold]]))</f>
        <v>64</v>
      </c>
      <c r="M2034" s="5">
        <f>ABS(SUMIF(Table25[[#All],[Assets]],Table25[[#This Row],[Assets]],Table25[[#All],[Sold Amount]]))</f>
        <v>7331.26</v>
      </c>
      <c r="N2034" s="5">
        <f>IFERROR(Table25[[#This Row],[Total sold amount]]/Table25[[#This Row],[Total Sold number of stocks]],"")</f>
        <v>114.5509375</v>
      </c>
      <c r="O2034" s="250">
        <f>IFERROR(Table25[[#This Row],[Total Amount bought]]/Table25[[#This Row],[Total number bought]],"")</f>
        <v>120.84203124999999</v>
      </c>
      <c r="P2034" s="250">
        <f>IFERROR((Table25[[#This Row],[Average sell price]]-Table25[[#This Row],[Average buy price]])*Table25[[#This Row],[Total Sold number of stocks]],0)</f>
        <v>-402.6299999999992</v>
      </c>
      <c r="Q2034" s="85">
        <f>SUMIF(Table25[[#All],[Assets]],Table25[[#This Row],[Assets]],Table25[[#All],[Number of stocks]])</f>
        <v>0</v>
      </c>
    </row>
    <row r="2035" spans="1:17">
      <c r="A2035" t="e" vm="77">
        <v>#VALUE!</v>
      </c>
      <c r="B2035" s="2">
        <v>46044</v>
      </c>
      <c r="C2035" t="str" cm="1">
        <f t="array" aca="1" ref="C2035" ca="1">_FV(A2035,"Ticker symbol",TRUE)</f>
        <v>STIM</v>
      </c>
      <c r="D2035" s="4">
        <v>2.19</v>
      </c>
      <c r="E2035" s="50">
        <v>-100</v>
      </c>
      <c r="F2035" s="247">
        <f>IF(Table25[[#This Row],[Number of stocks]]&gt;0,Table25[[#This Row],[Number of stocks]],0)</f>
        <v>0</v>
      </c>
      <c r="G2035" s="248">
        <f>Table25[[#This Row],[Bought]]*Table25[[#This Row],[Price]]</f>
        <v>0</v>
      </c>
      <c r="H2035" s="249">
        <f>SUMIF(Table25[[#All],[Assets]],Table25[[#This Row],[Assets]],Table25[[#All],[Bought]])</f>
        <v>7036.45</v>
      </c>
      <c r="I2035" s="249">
        <f>SUMIF(Table25[[#All],[Assets]],Table25[[#This Row],[Assets]],Table25[[#All],[Bought Amount]])</f>
        <v>19162.260000000002</v>
      </c>
      <c r="J2035" s="88">
        <f>IF(Table25[[#This Row],[Number of stocks]]&lt;0,Table25[[#This Row],[Number of stocks]],0)</f>
        <v>-100</v>
      </c>
      <c r="K2035" s="5">
        <f>Table25[[#This Row],[Sold]]*Table25[[#This Row],[Price]]</f>
        <v>-219</v>
      </c>
      <c r="L2035" s="8">
        <f>ABS(SUMIF(Table25[[#All],[Assets]],Table25[[#This Row],[Assets]],Table25[[#All],[Sold]]))</f>
        <v>6686.45</v>
      </c>
      <c r="M2035" s="5">
        <f>ABS(SUMIF(Table25[[#All],[Assets]],Table25[[#This Row],[Assets]],Table25[[#All],[Sold Amount]]))</f>
        <v>19226.484999999997</v>
      </c>
      <c r="N2035" s="5">
        <f>IFERROR(Table25[[#This Row],[Total sold amount]]/Table25[[#This Row],[Total Sold number of stocks]],"")</f>
        <v>2.8754398821497205</v>
      </c>
      <c r="O2035" s="250">
        <f>IFERROR(Table25[[#This Row],[Total Amount bought]]/Table25[[#This Row],[Total number bought]],"")</f>
        <v>2.7232851793162749</v>
      </c>
      <c r="P2035" s="250">
        <f>IFERROR((Table25[[#This Row],[Average sell price]]-Table25[[#This Row],[Average buy price]])*Table25[[#This Row],[Total Sold number of stocks]],0)</f>
        <v>1017.3748127606921</v>
      </c>
      <c r="Q2035" s="85">
        <f>SUMIF(Table25[[#All],[Assets]],Table25[[#This Row],[Assets]],Table25[[#All],[Number of stocks]])</f>
        <v>349.99999999999977</v>
      </c>
    </row>
    <row r="2036" spans="1:17">
      <c r="A2036" t="e" vm="564">
        <v>#VALUE!</v>
      </c>
      <c r="B2036" s="2">
        <v>46044</v>
      </c>
      <c r="C2036" t="str" cm="1">
        <f t="array" aca="1" ref="C2036" ca="1">_FV(A2036,"Ticker symbol",TRUE)</f>
        <v>UBER</v>
      </c>
      <c r="D2036" s="4">
        <v>82.35</v>
      </c>
      <c r="E2036" s="50">
        <v>-1</v>
      </c>
      <c r="F2036" s="247">
        <f>IF(Table25[[#This Row],[Number of stocks]]&gt;0,Table25[[#This Row],[Number of stocks]],0)</f>
        <v>0</v>
      </c>
      <c r="G2036" s="248">
        <f>Table25[[#This Row],[Bought]]*Table25[[#This Row],[Price]]</f>
        <v>0</v>
      </c>
      <c r="H2036" s="249">
        <f>SUMIF(Table25[[#All],[Assets]],Table25[[#This Row],[Assets]],Table25[[#All],[Bought]])</f>
        <v>0</v>
      </c>
      <c r="I2036" s="249">
        <f>SUMIF(Table25[[#All],[Assets]],Table25[[#This Row],[Assets]],Table25[[#All],[Bought Amount]])</f>
        <v>0</v>
      </c>
      <c r="J2036" s="88">
        <f>IF(Table25[[#This Row],[Number of stocks]]&lt;0,Table25[[#This Row],[Number of stocks]],0)</f>
        <v>-1</v>
      </c>
      <c r="K2036" s="5">
        <f>Table25[[#This Row],[Sold]]*Table25[[#This Row],[Price]]</f>
        <v>-82.35</v>
      </c>
      <c r="L2036" s="8">
        <f>ABS(SUMIF(Table25[[#All],[Assets]],Table25[[#This Row],[Assets]],Table25[[#All],[Sold]]))</f>
        <v>1</v>
      </c>
      <c r="M2036" s="5">
        <f>ABS(SUMIF(Table25[[#All],[Assets]],Table25[[#This Row],[Assets]],Table25[[#All],[Sold Amount]]))</f>
        <v>82.35</v>
      </c>
      <c r="N2036" s="5">
        <f>IFERROR(Table25[[#This Row],[Total sold amount]]/Table25[[#This Row],[Total Sold number of stocks]],"")</f>
        <v>82.35</v>
      </c>
      <c r="O2036" s="250" t="str">
        <f>IFERROR(Table25[[#This Row],[Total Amount bought]]/Table25[[#This Row],[Total number bought]],"")</f>
        <v/>
      </c>
      <c r="P2036" s="250">
        <f>IFERROR((Table25[[#This Row],[Average sell price]]-Table25[[#This Row],[Average buy price]])*Table25[[#This Row],[Total Sold number of stocks]],0)</f>
        <v>0</v>
      </c>
      <c r="Q2036" s="85">
        <f>SUMIF(Table25[[#All],[Assets]],Table25[[#This Row],[Assets]],Table25[[#All],[Number of stocks]])</f>
        <v>-1</v>
      </c>
    </row>
    <row r="2037" spans="1:17">
      <c r="A2037" t="e" vm="189">
        <v>#VALUE!</v>
      </c>
      <c r="B2037" s="2">
        <v>46044</v>
      </c>
      <c r="C2037" t="str" cm="1">
        <f t="array" aca="1" ref="C2037" ca="1">_FV(A2037,"Ticker symbol",TRUE)</f>
        <v>NVO</v>
      </c>
      <c r="D2037" s="4">
        <v>61.96</v>
      </c>
      <c r="E2037" s="50">
        <v>-8</v>
      </c>
      <c r="F2037" s="247">
        <f>IF(Table25[[#This Row],[Number of stocks]]&gt;0,Table25[[#This Row],[Number of stocks]],0)</f>
        <v>0</v>
      </c>
      <c r="G2037" s="248">
        <f>Table25[[#This Row],[Bought]]*Table25[[#This Row],[Price]]</f>
        <v>0</v>
      </c>
      <c r="H2037" s="249">
        <f>SUMIF(Table25[[#All],[Assets]],Table25[[#This Row],[Assets]],Table25[[#All],[Bought]])</f>
        <v>32</v>
      </c>
      <c r="I2037" s="249">
        <f>SUMIF(Table25[[#All],[Assets]],Table25[[#This Row],[Assets]],Table25[[#All],[Bought Amount]])</f>
        <v>1652.72</v>
      </c>
      <c r="J2037" s="88">
        <f>IF(Table25[[#This Row],[Number of stocks]]&lt;0,Table25[[#This Row],[Number of stocks]],0)</f>
        <v>-8</v>
      </c>
      <c r="K2037" s="5">
        <f>Table25[[#This Row],[Sold]]*Table25[[#This Row],[Price]]</f>
        <v>-495.68</v>
      </c>
      <c r="L2037" s="8">
        <f>ABS(SUMIF(Table25[[#All],[Assets]],Table25[[#This Row],[Assets]],Table25[[#All],[Sold]]))</f>
        <v>8</v>
      </c>
      <c r="M2037" s="5">
        <f>ABS(SUMIF(Table25[[#All],[Assets]],Table25[[#This Row],[Assets]],Table25[[#All],[Sold Amount]]))</f>
        <v>495.68</v>
      </c>
      <c r="N2037" s="5">
        <f>IFERROR(Table25[[#This Row],[Total sold amount]]/Table25[[#This Row],[Total Sold number of stocks]],"")</f>
        <v>61.96</v>
      </c>
      <c r="O2037" s="250">
        <f>IFERROR(Table25[[#This Row],[Total Amount bought]]/Table25[[#This Row],[Total number bought]],"")</f>
        <v>51.647500000000001</v>
      </c>
      <c r="P2037" s="250">
        <f>IFERROR((Table25[[#This Row],[Average sell price]]-Table25[[#This Row],[Average buy price]])*Table25[[#This Row],[Total Sold number of stocks]],0)</f>
        <v>82.5</v>
      </c>
      <c r="Q2037" s="85">
        <f>SUMIF(Table25[[#All],[Assets]],Table25[[#This Row],[Assets]],Table25[[#All],[Number of stocks]])</f>
        <v>24</v>
      </c>
    </row>
    <row r="2038" spans="1:17">
      <c r="A2038" t="e" vm="597">
        <v>#VALUE!</v>
      </c>
      <c r="B2038" s="2">
        <v>46044</v>
      </c>
      <c r="C2038" t="str" cm="1">
        <f t="array" aca="1" ref="C2038" ca="1">_FV(A2038,"Ticker symbol",TRUE)</f>
        <v>IRDM</v>
      </c>
      <c r="D2038" s="4">
        <v>21.66</v>
      </c>
      <c r="E2038" s="50">
        <v>25</v>
      </c>
      <c r="F2038" s="247">
        <f>IF(Table25[[#This Row],[Number of stocks]]&gt;0,Table25[[#This Row],[Number of stocks]],0)</f>
        <v>25</v>
      </c>
      <c r="G2038" s="248">
        <f>Table25[[#This Row],[Bought]]*Table25[[#This Row],[Price]]</f>
        <v>541.5</v>
      </c>
      <c r="H2038" s="249">
        <f>SUMIF(Table25[[#All],[Assets]],Table25[[#This Row],[Assets]],Table25[[#All],[Bought]])</f>
        <v>25</v>
      </c>
      <c r="I2038" s="249">
        <f>SUMIF(Table25[[#All],[Assets]],Table25[[#This Row],[Assets]],Table25[[#All],[Bought Amount]])</f>
        <v>541.5</v>
      </c>
      <c r="J2038" s="88">
        <f>IF(Table25[[#This Row],[Number of stocks]]&lt;0,Table25[[#This Row],[Number of stocks]],0)</f>
        <v>0</v>
      </c>
      <c r="K2038" s="5">
        <f>Table25[[#This Row],[Sold]]*Table25[[#This Row],[Price]]</f>
        <v>0</v>
      </c>
      <c r="L2038" s="8">
        <f>ABS(SUMIF(Table25[[#All],[Assets]],Table25[[#This Row],[Assets]],Table25[[#All],[Sold]]))</f>
        <v>0</v>
      </c>
      <c r="M2038" s="5">
        <f>ABS(SUMIF(Table25[[#All],[Assets]],Table25[[#This Row],[Assets]],Table25[[#All],[Sold Amount]]))</f>
        <v>0</v>
      </c>
      <c r="N2038" s="5" t="str">
        <f>IFERROR(Table25[[#This Row],[Total sold amount]]/Table25[[#This Row],[Total Sold number of stocks]],"")</f>
        <v/>
      </c>
      <c r="O2038" s="250">
        <f>IFERROR(Table25[[#This Row],[Total Amount bought]]/Table25[[#This Row],[Total number bought]],"")</f>
        <v>21.66</v>
      </c>
      <c r="P2038" s="250">
        <f>IFERROR((Table25[[#This Row],[Average sell price]]-Table25[[#This Row],[Average buy price]])*Table25[[#This Row],[Total Sold number of stocks]],0)</f>
        <v>0</v>
      </c>
      <c r="Q2038" s="85">
        <f>SUMIF(Table25[[#All],[Assets]],Table25[[#This Row],[Assets]],Table25[[#All],[Number of stocks]])</f>
        <v>25</v>
      </c>
    </row>
    <row r="2039" spans="1:17">
      <c r="A2039" t="e" vm="596">
        <v>#VALUE!</v>
      </c>
      <c r="B2039" s="2">
        <v>46045</v>
      </c>
      <c r="C2039" t="str" cm="1">
        <f t="array" aca="1" ref="C2039" ca="1">_FV(A2039,"Ticker symbol",TRUE)</f>
        <v>PSTG</v>
      </c>
      <c r="D2039" s="4">
        <v>69.77</v>
      </c>
      <c r="E2039" s="50">
        <v>3</v>
      </c>
      <c r="F2039" s="247">
        <f>IF(Table25[[#This Row],[Number of stocks]]&gt;0,Table25[[#This Row],[Number of stocks]],0)</f>
        <v>3</v>
      </c>
      <c r="G2039" s="248">
        <f>Table25[[#This Row],[Bought]]*Table25[[#This Row],[Price]]</f>
        <v>209.31</v>
      </c>
      <c r="H2039" s="249">
        <f>SUMIF(Table25[[#All],[Assets]],Table25[[#This Row],[Assets]],Table25[[#All],[Bought]])</f>
        <v>9</v>
      </c>
      <c r="I2039" s="249">
        <f>SUMIF(Table25[[#All],[Assets]],Table25[[#This Row],[Assets]],Table25[[#All],[Bought Amount]])</f>
        <v>641.97</v>
      </c>
      <c r="J2039" s="88">
        <f>IF(Table25[[#This Row],[Number of stocks]]&lt;0,Table25[[#This Row],[Number of stocks]],0)</f>
        <v>0</v>
      </c>
      <c r="K2039" s="5">
        <f>Table25[[#This Row],[Sold]]*Table25[[#This Row],[Price]]</f>
        <v>0</v>
      </c>
      <c r="L2039" s="8">
        <f>ABS(SUMIF(Table25[[#All],[Assets]],Table25[[#This Row],[Assets]],Table25[[#All],[Sold]]))</f>
        <v>0</v>
      </c>
      <c r="M2039" s="5">
        <f>ABS(SUMIF(Table25[[#All],[Assets]],Table25[[#This Row],[Assets]],Table25[[#All],[Sold Amount]]))</f>
        <v>0</v>
      </c>
      <c r="N2039" s="5" t="str">
        <f>IFERROR(Table25[[#This Row],[Total sold amount]]/Table25[[#This Row],[Total Sold number of stocks]],"")</f>
        <v/>
      </c>
      <c r="O2039" s="250">
        <f>IFERROR(Table25[[#This Row],[Total Amount bought]]/Table25[[#This Row],[Total number bought]],"")</f>
        <v>71.33</v>
      </c>
      <c r="P2039" s="250">
        <f>IFERROR((Table25[[#This Row],[Average sell price]]-Table25[[#This Row],[Average buy price]])*Table25[[#This Row],[Total Sold number of stocks]],0)</f>
        <v>0</v>
      </c>
      <c r="Q2039" s="85">
        <f>SUMIF(Table25[[#All],[Assets]],Table25[[#This Row],[Assets]],Table25[[#All],[Number of stocks]])</f>
        <v>9</v>
      </c>
    </row>
    <row r="2040" spans="1:17">
      <c r="A2040" t="e" vm="198">
        <v>#VALUE!</v>
      </c>
      <c r="B2040" s="2">
        <v>46048</v>
      </c>
      <c r="C2040" t="str" cm="1">
        <f t="array" aca="1" ref="C2040" ca="1">_FV(A2040,"Ticker symbol",TRUE)</f>
        <v>INDV</v>
      </c>
      <c r="D2040" s="4">
        <v>33.76</v>
      </c>
      <c r="E2040" s="50">
        <v>-18</v>
      </c>
      <c r="F2040" s="247">
        <f>IF(Table25[[#This Row],[Number of stocks]]&gt;0,Table25[[#This Row],[Number of stocks]],0)</f>
        <v>0</v>
      </c>
      <c r="G2040" s="248">
        <f>Table25[[#This Row],[Bought]]*Table25[[#This Row],[Price]]</f>
        <v>0</v>
      </c>
      <c r="H2040" s="249">
        <f>SUMIF(Table25[[#All],[Assets]],Table25[[#This Row],[Assets]],Table25[[#All],[Bought]])</f>
        <v>58</v>
      </c>
      <c r="I2040" s="249">
        <f>SUMIF(Table25[[#All],[Assets]],Table25[[#This Row],[Assets]],Table25[[#All],[Bought Amount]])</f>
        <v>1433.8400000000001</v>
      </c>
      <c r="J2040" s="88">
        <f>IF(Table25[[#This Row],[Number of stocks]]&lt;0,Table25[[#This Row],[Number of stocks]],0)</f>
        <v>-18</v>
      </c>
      <c r="K2040" s="5">
        <f>Table25[[#This Row],[Sold]]*Table25[[#This Row],[Price]]</f>
        <v>-607.67999999999995</v>
      </c>
      <c r="L2040" s="8">
        <f>ABS(SUMIF(Table25[[#All],[Assets]],Table25[[#This Row],[Assets]],Table25[[#All],[Sold]]))</f>
        <v>58</v>
      </c>
      <c r="M2040" s="5">
        <f>ABS(SUMIF(Table25[[#All],[Assets]],Table25[[#This Row],[Assets]],Table25[[#All],[Sold Amount]]))</f>
        <v>2022.2799999999997</v>
      </c>
      <c r="N2040" s="5">
        <f>IFERROR(Table25[[#This Row],[Total sold amount]]/Table25[[#This Row],[Total Sold number of stocks]],"")</f>
        <v>34.866896551724132</v>
      </c>
      <c r="O2040" s="250">
        <f>IFERROR(Table25[[#This Row],[Total Amount bought]]/Table25[[#This Row],[Total number bought]],"")</f>
        <v>24.72137931034483</v>
      </c>
      <c r="P2040" s="250">
        <f>IFERROR((Table25[[#This Row],[Average sell price]]-Table25[[#This Row],[Average buy price]])*Table25[[#This Row],[Total Sold number of stocks]],0)</f>
        <v>588.43999999999949</v>
      </c>
      <c r="Q2040" s="85">
        <f>SUMIF(Table25[[#All],[Assets]],Table25[[#This Row],[Assets]],Table25[[#All],[Number of stocks]])</f>
        <v>0</v>
      </c>
    </row>
    <row r="2041" spans="1:17">
      <c r="A2041" t="e" vm="194">
        <v>#VALUE!</v>
      </c>
      <c r="B2041" s="2">
        <v>46048</v>
      </c>
      <c r="C2041" t="str" cm="1">
        <f t="array" aca="1" ref="C2041" ca="1">_FV(A2041,"Ticker symbol",TRUE)</f>
        <v>CIFR</v>
      </c>
      <c r="D2041" s="4">
        <v>17.2</v>
      </c>
      <c r="E2041" s="50">
        <v>-50</v>
      </c>
      <c r="F2041" s="247">
        <f>IF(Table25[[#This Row],[Number of stocks]]&gt;0,Table25[[#This Row],[Number of stocks]],0)</f>
        <v>0</v>
      </c>
      <c r="G2041" s="248">
        <f>Table25[[#This Row],[Bought]]*Table25[[#This Row],[Price]]</f>
        <v>0</v>
      </c>
      <c r="H2041" s="249">
        <f>SUMIF(Table25[[#All],[Assets]],Table25[[#This Row],[Assets]],Table25[[#All],[Bought]])</f>
        <v>120</v>
      </c>
      <c r="I2041" s="249">
        <f>SUMIF(Table25[[#All],[Assets]],Table25[[#This Row],[Assets]],Table25[[#All],[Bought Amount]])</f>
        <v>1946</v>
      </c>
      <c r="J2041" s="88">
        <f>IF(Table25[[#This Row],[Number of stocks]]&lt;0,Table25[[#This Row],[Number of stocks]],0)</f>
        <v>-50</v>
      </c>
      <c r="K2041" s="5">
        <f>Table25[[#This Row],[Sold]]*Table25[[#This Row],[Price]]</f>
        <v>-860</v>
      </c>
      <c r="L2041" s="8">
        <f>ABS(SUMIF(Table25[[#All],[Assets]],Table25[[#This Row],[Assets]],Table25[[#All],[Sold]]))</f>
        <v>120</v>
      </c>
      <c r="M2041" s="5">
        <f>ABS(SUMIF(Table25[[#All],[Assets]],Table25[[#This Row],[Assets]],Table25[[#All],[Sold Amount]]))</f>
        <v>2077.65</v>
      </c>
      <c r="N2041" s="5">
        <f>IFERROR(Table25[[#This Row],[Total sold amount]]/Table25[[#This Row],[Total Sold number of stocks]],"")</f>
        <v>17.313750000000002</v>
      </c>
      <c r="O2041" s="250">
        <f>IFERROR(Table25[[#This Row],[Total Amount bought]]/Table25[[#This Row],[Total number bought]],"")</f>
        <v>16.216666666666665</v>
      </c>
      <c r="P2041" s="250">
        <f>IFERROR((Table25[[#This Row],[Average sell price]]-Table25[[#This Row],[Average buy price]])*Table25[[#This Row],[Total Sold number of stocks]],0)</f>
        <v>131.65000000000049</v>
      </c>
      <c r="Q2041" s="85">
        <f>SUMIF(Table25[[#All],[Assets]],Table25[[#This Row],[Assets]],Table25[[#All],[Number of stocks]])</f>
        <v>0</v>
      </c>
    </row>
    <row r="2042" spans="1:17">
      <c r="A2042" t="e" vm="39">
        <v>#VALUE!</v>
      </c>
      <c r="B2042" s="2">
        <v>46048</v>
      </c>
      <c r="C2042" t="str" cm="1">
        <f t="array" aca="1" ref="C2042" ca="1">_FV(A2042,"Ticker symbol",TRUE)</f>
        <v>AMSC</v>
      </c>
      <c r="D2042" s="4">
        <v>33.01</v>
      </c>
      <c r="E2042" s="50">
        <v>20</v>
      </c>
      <c r="F2042" s="247">
        <f>IF(Table25[[#This Row],[Number of stocks]]&gt;0,Table25[[#This Row],[Number of stocks]],0)</f>
        <v>20</v>
      </c>
      <c r="G2042" s="248">
        <f>Table25[[#This Row],[Bought]]*Table25[[#This Row],[Price]]</f>
        <v>660.19999999999993</v>
      </c>
      <c r="H2042" s="249">
        <f>SUMIF(Table25[[#All],[Assets]],Table25[[#This Row],[Assets]],Table25[[#All],[Bought]])</f>
        <v>812.4</v>
      </c>
      <c r="I2042" s="249">
        <f>SUMIF(Table25[[#All],[Assets]],Table25[[#This Row],[Assets]],Table25[[#All],[Bought Amount]])</f>
        <v>24146.880000000001</v>
      </c>
      <c r="J2042" s="88">
        <f>IF(Table25[[#This Row],[Number of stocks]]&lt;0,Table25[[#This Row],[Number of stocks]],0)</f>
        <v>0</v>
      </c>
      <c r="K2042" s="5">
        <f>Table25[[#This Row],[Sold]]*Table25[[#This Row],[Price]]</f>
        <v>0</v>
      </c>
      <c r="L2042" s="8">
        <f>ABS(SUMIF(Table25[[#All],[Assets]],Table25[[#This Row],[Assets]],Table25[[#All],[Sold]]))</f>
        <v>535</v>
      </c>
      <c r="M2042" s="5">
        <f>ABS(SUMIF(Table25[[#All],[Assets]],Table25[[#This Row],[Assets]],Table25[[#All],[Sold Amount]]))</f>
        <v>14777.289999999999</v>
      </c>
      <c r="N2042" s="5">
        <f>IFERROR(Table25[[#This Row],[Total sold amount]]/Table25[[#This Row],[Total Sold number of stocks]],"")</f>
        <v>27.621102803738317</v>
      </c>
      <c r="O2042" s="250">
        <f>IFERROR(Table25[[#This Row],[Total Amount bought]]/Table25[[#This Row],[Total number bought]],"")</f>
        <v>29.722895125553915</v>
      </c>
      <c r="P2042" s="250">
        <f>IFERROR((Table25[[#This Row],[Average sell price]]-Table25[[#This Row],[Average buy price]])*Table25[[#This Row],[Total Sold number of stocks]],0)</f>
        <v>-1124.4588921713448</v>
      </c>
      <c r="Q2042" s="85">
        <f>SUMIF(Table25[[#All],[Assets]],Table25[[#This Row],[Assets]],Table25[[#All],[Number of stocks]])</f>
        <v>277.39999999999998</v>
      </c>
    </row>
    <row r="2043" spans="1:17">
      <c r="A2043" t="e" vm="372">
        <v>#VALUE!</v>
      </c>
      <c r="B2043" s="2">
        <v>46048</v>
      </c>
      <c r="C2043" t="str" cm="1">
        <f t="array" aca="1" ref="C2043" ca="1">_FV(A2043,"Ticker symbol",TRUE)</f>
        <v>AMKR</v>
      </c>
      <c r="D2043" s="4">
        <v>50.91</v>
      </c>
      <c r="E2043" s="50">
        <v>6</v>
      </c>
      <c r="F2043" s="247">
        <f>IF(Table25[[#This Row],[Number of stocks]]&gt;0,Table25[[#This Row],[Number of stocks]],0)</f>
        <v>6</v>
      </c>
      <c r="G2043" s="248">
        <f>Table25[[#This Row],[Bought]]*Table25[[#This Row],[Price]]</f>
        <v>305.45999999999998</v>
      </c>
      <c r="H2043" s="249">
        <f>SUMIF(Table25[[#All],[Assets]],Table25[[#This Row],[Assets]],Table25[[#All],[Bought]])</f>
        <v>20</v>
      </c>
      <c r="I2043" s="249">
        <f>SUMIF(Table25[[#All],[Assets]],Table25[[#This Row],[Assets]],Table25[[#All],[Bought Amount]])</f>
        <v>961.45</v>
      </c>
      <c r="J2043" s="88">
        <f>IF(Table25[[#This Row],[Number of stocks]]&lt;0,Table25[[#This Row],[Number of stocks]],0)</f>
        <v>0</v>
      </c>
      <c r="K2043" s="5">
        <f>Table25[[#This Row],[Sold]]*Table25[[#This Row],[Price]]</f>
        <v>0</v>
      </c>
      <c r="L2043" s="8">
        <f>ABS(SUMIF(Table25[[#All],[Assets]],Table25[[#This Row],[Assets]],Table25[[#All],[Sold]]))</f>
        <v>5</v>
      </c>
      <c r="M2043" s="5">
        <f>ABS(SUMIF(Table25[[#All],[Assets]],Table25[[#This Row],[Assets]],Table25[[#All],[Sold Amount]]))</f>
        <v>102</v>
      </c>
      <c r="N2043" s="5">
        <f>IFERROR(Table25[[#This Row],[Total sold amount]]/Table25[[#This Row],[Total Sold number of stocks]],"")</f>
        <v>20.399999999999999</v>
      </c>
      <c r="O2043" s="250">
        <f>IFERROR(Table25[[#This Row],[Total Amount bought]]/Table25[[#This Row],[Total number bought]],"")</f>
        <v>48.072500000000005</v>
      </c>
      <c r="P2043" s="250">
        <f>IFERROR((Table25[[#This Row],[Average sell price]]-Table25[[#This Row],[Average buy price]])*Table25[[#This Row],[Total Sold number of stocks]],0)</f>
        <v>-138.36250000000004</v>
      </c>
      <c r="Q2043" s="85">
        <f>SUMIF(Table25[[#All],[Assets]],Table25[[#This Row],[Assets]],Table25[[#All],[Number of stocks]])</f>
        <v>15</v>
      </c>
    </row>
    <row r="2044" spans="1:17">
      <c r="A2044" t="e" vm="187">
        <v>#VALUE!</v>
      </c>
      <c r="B2044" s="2">
        <v>46048</v>
      </c>
      <c r="C2044" t="str" cm="1">
        <f t="array" aca="1" ref="C2044" ca="1">_FV(A2044,"Ticker symbol",TRUE)</f>
        <v>ZETA</v>
      </c>
      <c r="D2044" s="4">
        <v>21.61</v>
      </c>
      <c r="E2044" s="50">
        <v>-57</v>
      </c>
      <c r="F2044" s="247">
        <f>IF(Table25[[#This Row],[Number of stocks]]&gt;0,Table25[[#This Row],[Number of stocks]],0)</f>
        <v>0</v>
      </c>
      <c r="G2044" s="248">
        <f>Table25[[#This Row],[Bought]]*Table25[[#This Row],[Price]]</f>
        <v>0</v>
      </c>
      <c r="H2044" s="249">
        <f>SUMIF(Table25[[#All],[Assets]],Table25[[#This Row],[Assets]],Table25[[#All],[Bought]])</f>
        <v>214</v>
      </c>
      <c r="I2044" s="249">
        <f>SUMIF(Table25[[#All],[Assets]],Table25[[#This Row],[Assets]],Table25[[#All],[Bought Amount]])</f>
        <v>4123.5200000000004</v>
      </c>
      <c r="J2044" s="88">
        <f>IF(Table25[[#This Row],[Number of stocks]]&lt;0,Table25[[#This Row],[Number of stocks]],0)</f>
        <v>-57</v>
      </c>
      <c r="K2044" s="5">
        <f>Table25[[#This Row],[Sold]]*Table25[[#This Row],[Price]]</f>
        <v>-1231.77</v>
      </c>
      <c r="L2044" s="8">
        <f>ABS(SUMIF(Table25[[#All],[Assets]],Table25[[#This Row],[Assets]],Table25[[#All],[Sold]]))</f>
        <v>214</v>
      </c>
      <c r="M2044" s="5">
        <f>ABS(SUMIF(Table25[[#All],[Assets]],Table25[[#This Row],[Assets]],Table25[[#All],[Sold Amount]]))</f>
        <v>4425.6400000000003</v>
      </c>
      <c r="N2044" s="5">
        <f>IFERROR(Table25[[#This Row],[Total sold amount]]/Table25[[#This Row],[Total Sold number of stocks]],"")</f>
        <v>20.680560747663552</v>
      </c>
      <c r="O2044" s="250">
        <f>IFERROR(Table25[[#This Row],[Total Amount bought]]/Table25[[#This Row],[Total number bought]],"")</f>
        <v>19.268785046728976</v>
      </c>
      <c r="P2044" s="250">
        <f>IFERROR((Table25[[#This Row],[Average sell price]]-Table25[[#This Row],[Average buy price]])*Table25[[#This Row],[Total Sold number of stocks]],0)</f>
        <v>302.11999999999938</v>
      </c>
      <c r="Q2044" s="85">
        <f>SUMIF(Table25[[#All],[Assets]],Table25[[#This Row],[Assets]],Table25[[#All],[Number of stocks]])</f>
        <v>0</v>
      </c>
    </row>
    <row r="2045" spans="1:17">
      <c r="A2045" t="e" vm="181">
        <v>#VALUE!</v>
      </c>
      <c r="B2045" s="2">
        <v>46048</v>
      </c>
      <c r="C2045" t="str" cm="1">
        <f t="array" aca="1" ref="C2045" ca="1">_FV(A2045,"Ticker symbol",TRUE)</f>
        <v>TIC</v>
      </c>
      <c r="D2045" s="4">
        <v>10.94</v>
      </c>
      <c r="E2045" s="50">
        <v>-100</v>
      </c>
      <c r="F2045" s="247">
        <f>IF(Table25[[#This Row],[Number of stocks]]&gt;0,Table25[[#This Row],[Number of stocks]],0)</f>
        <v>0</v>
      </c>
      <c r="G2045" s="248">
        <f>Table25[[#This Row],[Bought]]*Table25[[#This Row],[Price]]</f>
        <v>0</v>
      </c>
      <c r="H2045" s="249">
        <f>SUMIF(Table25[[#All],[Assets]],Table25[[#This Row],[Assets]],Table25[[#All],[Bought]])</f>
        <v>487</v>
      </c>
      <c r="I2045" s="249">
        <f>SUMIF(Table25[[#All],[Assets]],Table25[[#This Row],[Assets]],Table25[[#All],[Bought Amount]])</f>
        <v>6140.8099999999995</v>
      </c>
      <c r="J2045" s="88">
        <f>IF(Table25[[#This Row],[Number of stocks]]&lt;0,Table25[[#This Row],[Number of stocks]],0)</f>
        <v>-100</v>
      </c>
      <c r="K2045" s="5">
        <f>Table25[[#This Row],[Sold]]*Table25[[#This Row],[Price]]</f>
        <v>-1094</v>
      </c>
      <c r="L2045" s="8">
        <f>ABS(SUMIF(Table25[[#All],[Assets]],Table25[[#This Row],[Assets]],Table25[[#All],[Sold]]))</f>
        <v>397</v>
      </c>
      <c r="M2045" s="5">
        <f>ABS(SUMIF(Table25[[#All],[Assets]],Table25[[#This Row],[Assets]],Table25[[#All],[Sold Amount]]))</f>
        <v>3999.4</v>
      </c>
      <c r="N2045" s="5">
        <f>IFERROR(Table25[[#This Row],[Total sold amount]]/Table25[[#This Row],[Total Sold number of stocks]],"")</f>
        <v>10.074055415617128</v>
      </c>
      <c r="O2045" s="250">
        <f>IFERROR(Table25[[#This Row],[Total Amount bought]]/Table25[[#This Row],[Total number bought]],"")</f>
        <v>12.609466119096508</v>
      </c>
      <c r="P2045" s="250">
        <f>IFERROR((Table25[[#This Row],[Average sell price]]-Table25[[#This Row],[Average buy price]])*Table25[[#This Row],[Total Sold number of stocks]],0)</f>
        <v>-1006.558049281314</v>
      </c>
      <c r="Q2045" s="85">
        <f>SUMIF(Table25[[#All],[Assets]],Table25[[#This Row],[Assets]],Table25[[#All],[Number of stocks]])</f>
        <v>90</v>
      </c>
    </row>
    <row r="2046" spans="1:17">
      <c r="A2046" t="e" vm="39">
        <v>#VALUE!</v>
      </c>
      <c r="B2046" s="2">
        <v>46048</v>
      </c>
      <c r="C2046" t="str" cm="1">
        <f t="array" aca="1" ref="C2046" ca="1">_FV(A2046,"Ticker symbol",TRUE)</f>
        <v>AMSC</v>
      </c>
      <c r="D2046" s="4">
        <v>33.619999999999997</v>
      </c>
      <c r="E2046" s="50">
        <v>60</v>
      </c>
      <c r="F2046" s="247">
        <f>IF(Table25[[#This Row],[Number of stocks]]&gt;0,Table25[[#This Row],[Number of stocks]],0)</f>
        <v>60</v>
      </c>
      <c r="G2046" s="248">
        <f>Table25[[#This Row],[Bought]]*Table25[[#This Row],[Price]]</f>
        <v>2017.1999999999998</v>
      </c>
      <c r="H2046" s="249">
        <f>SUMIF(Table25[[#All],[Assets]],Table25[[#This Row],[Assets]],Table25[[#All],[Bought]])</f>
        <v>812.4</v>
      </c>
      <c r="I2046" s="249">
        <f>SUMIF(Table25[[#All],[Assets]],Table25[[#This Row],[Assets]],Table25[[#All],[Bought Amount]])</f>
        <v>24146.880000000001</v>
      </c>
      <c r="J2046" s="88">
        <f>IF(Table25[[#This Row],[Number of stocks]]&lt;0,Table25[[#This Row],[Number of stocks]],0)</f>
        <v>0</v>
      </c>
      <c r="K2046" s="5">
        <f>Table25[[#This Row],[Sold]]*Table25[[#This Row],[Price]]</f>
        <v>0</v>
      </c>
      <c r="L2046" s="8">
        <f>ABS(SUMIF(Table25[[#All],[Assets]],Table25[[#This Row],[Assets]],Table25[[#All],[Sold]]))</f>
        <v>535</v>
      </c>
      <c r="M2046" s="5">
        <f>ABS(SUMIF(Table25[[#All],[Assets]],Table25[[#This Row],[Assets]],Table25[[#All],[Sold Amount]]))</f>
        <v>14777.289999999999</v>
      </c>
      <c r="N2046" s="5">
        <f>IFERROR(Table25[[#This Row],[Total sold amount]]/Table25[[#This Row],[Total Sold number of stocks]],"")</f>
        <v>27.621102803738317</v>
      </c>
      <c r="O2046" s="250">
        <f>IFERROR(Table25[[#This Row],[Total Amount bought]]/Table25[[#This Row],[Total number bought]],"")</f>
        <v>29.722895125553915</v>
      </c>
      <c r="P2046" s="250">
        <f>IFERROR((Table25[[#This Row],[Average sell price]]-Table25[[#This Row],[Average buy price]])*Table25[[#This Row],[Total Sold number of stocks]],0)</f>
        <v>-1124.4588921713448</v>
      </c>
      <c r="Q2046" s="85">
        <f>SUMIF(Table25[[#All],[Assets]],Table25[[#This Row],[Assets]],Table25[[#All],[Number of stocks]])</f>
        <v>277.39999999999998</v>
      </c>
    </row>
    <row r="2047" spans="1:17">
      <c r="A2047" t="e" vm="372">
        <v>#VALUE!</v>
      </c>
      <c r="B2047" s="2">
        <v>46048</v>
      </c>
      <c r="C2047" t="str" cm="1">
        <f t="array" aca="1" ref="C2047" ca="1">_FV(A2047,"Ticker symbol",TRUE)</f>
        <v>AMKR</v>
      </c>
      <c r="D2047" s="4">
        <v>50.71</v>
      </c>
      <c r="E2047" s="50">
        <v>9</v>
      </c>
      <c r="F2047" s="247">
        <f>IF(Table25[[#This Row],[Number of stocks]]&gt;0,Table25[[#This Row],[Number of stocks]],0)</f>
        <v>9</v>
      </c>
      <c r="G2047" s="248">
        <f>Table25[[#This Row],[Bought]]*Table25[[#This Row],[Price]]</f>
        <v>456.39</v>
      </c>
      <c r="H2047" s="249">
        <f>SUMIF(Table25[[#All],[Assets]],Table25[[#This Row],[Assets]],Table25[[#All],[Bought]])</f>
        <v>20</v>
      </c>
      <c r="I2047" s="249">
        <f>SUMIF(Table25[[#All],[Assets]],Table25[[#This Row],[Assets]],Table25[[#All],[Bought Amount]])</f>
        <v>961.45</v>
      </c>
      <c r="J2047" s="88">
        <f>IF(Table25[[#This Row],[Number of stocks]]&lt;0,Table25[[#This Row],[Number of stocks]],0)</f>
        <v>0</v>
      </c>
      <c r="K2047" s="5">
        <f>Table25[[#This Row],[Sold]]*Table25[[#This Row],[Price]]</f>
        <v>0</v>
      </c>
      <c r="L2047" s="8">
        <f>ABS(SUMIF(Table25[[#All],[Assets]],Table25[[#This Row],[Assets]],Table25[[#All],[Sold]]))</f>
        <v>5</v>
      </c>
      <c r="M2047" s="5">
        <f>ABS(SUMIF(Table25[[#All],[Assets]],Table25[[#This Row],[Assets]],Table25[[#All],[Sold Amount]]))</f>
        <v>102</v>
      </c>
      <c r="N2047" s="5">
        <f>IFERROR(Table25[[#This Row],[Total sold amount]]/Table25[[#This Row],[Total Sold number of stocks]],"")</f>
        <v>20.399999999999999</v>
      </c>
      <c r="O2047" s="250">
        <f>IFERROR(Table25[[#This Row],[Total Amount bought]]/Table25[[#This Row],[Total number bought]],"")</f>
        <v>48.072500000000005</v>
      </c>
      <c r="P2047" s="250">
        <f>IFERROR((Table25[[#This Row],[Average sell price]]-Table25[[#This Row],[Average buy price]])*Table25[[#This Row],[Total Sold number of stocks]],0)</f>
        <v>-138.36250000000004</v>
      </c>
      <c r="Q2047" s="85">
        <f>SUMIF(Table25[[#All],[Assets]],Table25[[#This Row],[Assets]],Table25[[#All],[Number of stocks]])</f>
        <v>15</v>
      </c>
    </row>
    <row r="2048" spans="1:17">
      <c r="A2048" t="e" vm="77">
        <v>#VALUE!</v>
      </c>
      <c r="B2048" s="2">
        <v>46048</v>
      </c>
      <c r="C2048" t="str" cm="1">
        <f t="array" aca="1" ref="C2048" ca="1">_FV(A2048,"Ticker symbol",TRUE)</f>
        <v>STIM</v>
      </c>
      <c r="D2048" s="4">
        <v>2.0699999999999998</v>
      </c>
      <c r="E2048" s="50">
        <v>-350</v>
      </c>
      <c r="F2048" s="247">
        <f>IF(Table25[[#This Row],[Number of stocks]]&gt;0,Table25[[#This Row],[Number of stocks]],0)</f>
        <v>0</v>
      </c>
      <c r="G2048" s="248">
        <f>Table25[[#This Row],[Bought]]*Table25[[#This Row],[Price]]</f>
        <v>0</v>
      </c>
      <c r="H2048" s="249">
        <f>SUMIF(Table25[[#All],[Assets]],Table25[[#This Row],[Assets]],Table25[[#All],[Bought]])</f>
        <v>7036.45</v>
      </c>
      <c r="I2048" s="249">
        <f>SUMIF(Table25[[#All],[Assets]],Table25[[#This Row],[Assets]],Table25[[#All],[Bought Amount]])</f>
        <v>19162.260000000002</v>
      </c>
      <c r="J2048" s="88">
        <f>IF(Table25[[#This Row],[Number of stocks]]&lt;0,Table25[[#This Row],[Number of stocks]],0)</f>
        <v>-350</v>
      </c>
      <c r="K2048" s="5">
        <f>Table25[[#This Row],[Sold]]*Table25[[#This Row],[Price]]</f>
        <v>-724.5</v>
      </c>
      <c r="L2048" s="8">
        <f>ABS(SUMIF(Table25[[#All],[Assets]],Table25[[#This Row],[Assets]],Table25[[#All],[Sold]]))</f>
        <v>6686.45</v>
      </c>
      <c r="M2048" s="5">
        <f>ABS(SUMIF(Table25[[#All],[Assets]],Table25[[#This Row],[Assets]],Table25[[#All],[Sold Amount]]))</f>
        <v>19226.484999999997</v>
      </c>
      <c r="N2048" s="5">
        <f>IFERROR(Table25[[#This Row],[Total sold amount]]/Table25[[#This Row],[Total Sold number of stocks]],"")</f>
        <v>2.8754398821497205</v>
      </c>
      <c r="O2048" s="250">
        <f>IFERROR(Table25[[#This Row],[Total Amount bought]]/Table25[[#This Row],[Total number bought]],"")</f>
        <v>2.7232851793162749</v>
      </c>
      <c r="P2048" s="250">
        <f>IFERROR((Table25[[#This Row],[Average sell price]]-Table25[[#This Row],[Average buy price]])*Table25[[#This Row],[Total Sold number of stocks]],0)</f>
        <v>1017.3748127606921</v>
      </c>
      <c r="Q2048" s="85">
        <f>SUMIF(Table25[[#All],[Assets]],Table25[[#This Row],[Assets]],Table25[[#All],[Number of stocks]])</f>
        <v>349.99999999999977</v>
      </c>
    </row>
    <row r="2049" spans="1:17">
      <c r="A2049" t="e" vm="598">
        <v>#VALUE!</v>
      </c>
      <c r="B2049" s="2">
        <v>46048</v>
      </c>
      <c r="C2049" t="str" cm="1">
        <f t="array" aca="1" ref="C2049" ca="1">_FV(A2049,"Ticker symbol",TRUE)</f>
        <v>COPJ</v>
      </c>
      <c r="D2049" s="4">
        <v>52.24</v>
      </c>
      <c r="E2049" s="50">
        <v>10</v>
      </c>
      <c r="F2049" s="247">
        <f>IF(Table25[[#This Row],[Number of stocks]]&gt;0,Table25[[#This Row],[Number of stocks]],0)</f>
        <v>10</v>
      </c>
      <c r="G2049" s="248">
        <f>Table25[[#This Row],[Bought]]*Table25[[#This Row],[Price]]</f>
        <v>522.4</v>
      </c>
      <c r="H2049" s="249">
        <f>SUMIF(Table25[[#All],[Assets]],Table25[[#This Row],[Assets]],Table25[[#All],[Bought]])</f>
        <v>10</v>
      </c>
      <c r="I2049" s="249">
        <f>SUMIF(Table25[[#All],[Assets]],Table25[[#This Row],[Assets]],Table25[[#All],[Bought Amount]])</f>
        <v>522.4</v>
      </c>
      <c r="J2049" s="88">
        <f>IF(Table25[[#This Row],[Number of stocks]]&lt;0,Table25[[#This Row],[Number of stocks]],0)</f>
        <v>0</v>
      </c>
      <c r="K2049" s="5">
        <f>Table25[[#This Row],[Sold]]*Table25[[#This Row],[Price]]</f>
        <v>0</v>
      </c>
      <c r="L2049" s="8">
        <f>ABS(SUMIF(Table25[[#All],[Assets]],Table25[[#This Row],[Assets]],Table25[[#All],[Sold]]))</f>
        <v>0</v>
      </c>
      <c r="M2049" s="5">
        <f>ABS(SUMIF(Table25[[#All],[Assets]],Table25[[#This Row],[Assets]],Table25[[#All],[Sold Amount]]))</f>
        <v>0</v>
      </c>
      <c r="N2049" s="5" t="str">
        <f>IFERROR(Table25[[#This Row],[Total sold amount]]/Table25[[#This Row],[Total Sold number of stocks]],"")</f>
        <v/>
      </c>
      <c r="O2049" s="250">
        <f>IFERROR(Table25[[#This Row],[Total Amount bought]]/Table25[[#This Row],[Total number bought]],"")</f>
        <v>52.239999999999995</v>
      </c>
      <c r="P2049" s="250">
        <f>IFERROR((Table25[[#This Row],[Average sell price]]-Table25[[#This Row],[Average buy price]])*Table25[[#This Row],[Total Sold number of stocks]],0)</f>
        <v>0</v>
      </c>
      <c r="Q2049" s="85">
        <f>SUMIF(Table25[[#All],[Assets]],Table25[[#This Row],[Assets]],Table25[[#All],[Number of stocks]])</f>
        <v>10</v>
      </c>
    </row>
    <row r="2050" spans="1:17">
      <c r="A2050" t="e" vm="78">
        <v>#VALUE!</v>
      </c>
      <c r="B2050" s="2">
        <v>46048</v>
      </c>
      <c r="C2050" t="str" cm="1">
        <f t="array" aca="1" ref="C2050" ca="1">_FV(A2050,"Ticker symbol",TRUE)</f>
        <v>TOI</v>
      </c>
      <c r="D2050" s="4">
        <v>3.26</v>
      </c>
      <c r="E2050" s="50">
        <v>-250</v>
      </c>
      <c r="F2050" s="247">
        <f>IF(Table25[[#This Row],[Number of stocks]]&gt;0,Table25[[#This Row],[Number of stocks]],0)</f>
        <v>0</v>
      </c>
      <c r="G2050" s="248">
        <f>Table25[[#This Row],[Bought]]*Table25[[#This Row],[Price]]</f>
        <v>0</v>
      </c>
      <c r="H2050" s="249">
        <f>SUMIF(Table25[[#All],[Assets]],Table25[[#This Row],[Assets]],Table25[[#All],[Bought]])</f>
        <v>2120</v>
      </c>
      <c r="I2050" s="249">
        <f>SUMIF(Table25[[#All],[Assets]],Table25[[#This Row],[Assets]],Table25[[#All],[Bought Amount]])</f>
        <v>4215.1000000000004</v>
      </c>
      <c r="J2050" s="88">
        <f>IF(Table25[[#This Row],[Number of stocks]]&lt;0,Table25[[#This Row],[Number of stocks]],0)</f>
        <v>-250</v>
      </c>
      <c r="K2050" s="5">
        <f>Table25[[#This Row],[Sold]]*Table25[[#This Row],[Price]]</f>
        <v>-815</v>
      </c>
      <c r="L2050" s="8">
        <f>ABS(SUMIF(Table25[[#All],[Assets]],Table25[[#This Row],[Assets]],Table25[[#All],[Sold]]))</f>
        <v>1120</v>
      </c>
      <c r="M2050" s="5">
        <f>ABS(SUMIF(Table25[[#All],[Assets]],Table25[[#This Row],[Assets]],Table25[[#All],[Sold Amount]]))</f>
        <v>3202.4</v>
      </c>
      <c r="N2050" s="5">
        <f>IFERROR(Table25[[#This Row],[Total sold amount]]/Table25[[#This Row],[Total Sold number of stocks]],"")</f>
        <v>2.8592857142857144</v>
      </c>
      <c r="O2050" s="250">
        <f>IFERROR(Table25[[#This Row],[Total Amount bought]]/Table25[[#This Row],[Total number bought]],"")</f>
        <v>1.9882547169811322</v>
      </c>
      <c r="P2050" s="250">
        <f>IFERROR((Table25[[#This Row],[Average sell price]]-Table25[[#This Row],[Average buy price]])*Table25[[#This Row],[Total Sold number of stocks]],0)</f>
        <v>975.55471698113206</v>
      </c>
      <c r="Q2050" s="85">
        <f>SUMIF(Table25[[#All],[Assets]],Table25[[#This Row],[Assets]],Table25[[#All],[Number of stocks]])</f>
        <v>1000</v>
      </c>
    </row>
    <row r="2051" spans="1:17">
      <c r="A2051" t="e" vm="204">
        <v>#VALUE!</v>
      </c>
      <c r="B2051" s="2">
        <v>46048</v>
      </c>
      <c r="C2051" t="str" cm="1">
        <f t="array" aca="1" ref="C2051" ca="1">_FV(A2051,"Ticker symbol",TRUE)</f>
        <v>CRWV</v>
      </c>
      <c r="D2051" s="4">
        <v>104.72</v>
      </c>
      <c r="E2051" s="50">
        <v>6</v>
      </c>
      <c r="F2051" s="247">
        <f>IF(Table25[[#This Row],[Number of stocks]]&gt;0,Table25[[#This Row],[Number of stocks]],0)</f>
        <v>6</v>
      </c>
      <c r="G2051" s="248">
        <f>Table25[[#This Row],[Bought]]*Table25[[#This Row],[Price]]</f>
        <v>628.31999999999994</v>
      </c>
      <c r="H2051" s="249">
        <f>SUMIF(Table25[[#All],[Assets]],Table25[[#This Row],[Assets]],Table25[[#All],[Bought]])</f>
        <v>36</v>
      </c>
      <c r="I2051" s="249">
        <f>SUMIF(Table25[[#All],[Assets]],Table25[[#This Row],[Assets]],Table25[[#All],[Bought Amount]])</f>
        <v>3513.64</v>
      </c>
      <c r="J2051" s="88">
        <f>IF(Table25[[#This Row],[Number of stocks]]&lt;0,Table25[[#This Row],[Number of stocks]],0)</f>
        <v>0</v>
      </c>
      <c r="K2051" s="5">
        <f>Table25[[#This Row],[Sold]]*Table25[[#This Row],[Price]]</f>
        <v>0</v>
      </c>
      <c r="L2051" s="8">
        <f>ABS(SUMIF(Table25[[#All],[Assets]],Table25[[#This Row],[Assets]],Table25[[#All],[Sold]]))</f>
        <v>0</v>
      </c>
      <c r="M2051" s="5">
        <f>ABS(SUMIF(Table25[[#All],[Assets]],Table25[[#This Row],[Assets]],Table25[[#All],[Sold Amount]]))</f>
        <v>0</v>
      </c>
      <c r="N2051" s="5" t="str">
        <f>IFERROR(Table25[[#This Row],[Total sold amount]]/Table25[[#This Row],[Total Sold number of stocks]],"")</f>
        <v/>
      </c>
      <c r="O2051" s="250">
        <f>IFERROR(Table25[[#This Row],[Total Amount bought]]/Table25[[#This Row],[Total number bought]],"")</f>
        <v>97.601111111111109</v>
      </c>
      <c r="P2051" s="250">
        <f>IFERROR((Table25[[#This Row],[Average sell price]]-Table25[[#This Row],[Average buy price]])*Table25[[#This Row],[Total Sold number of stocks]],0)</f>
        <v>0</v>
      </c>
      <c r="Q2051" s="85">
        <f>SUMIF(Table25[[#All],[Assets]],Table25[[#This Row],[Assets]],Table25[[#All],[Number of stocks]])</f>
        <v>36</v>
      </c>
    </row>
    <row r="2052" spans="1:17">
      <c r="A2052" t="e" vm="163">
        <v>#VALUE!</v>
      </c>
      <c r="B2052" s="2">
        <v>46048</v>
      </c>
      <c r="C2052" t="str" cm="1">
        <f t="array" aca="1" ref="C2052" ca="1">_FV(A2052,"Ticker symbol",TRUE)</f>
        <v>LLY</v>
      </c>
      <c r="D2052" s="4">
        <v>1061</v>
      </c>
      <c r="E2052" s="50">
        <v>-1</v>
      </c>
      <c r="F2052" s="247">
        <f>IF(Table25[[#This Row],[Number of stocks]]&gt;0,Table25[[#This Row],[Number of stocks]],0)</f>
        <v>0</v>
      </c>
      <c r="G2052" s="248">
        <f>Table25[[#This Row],[Bought]]*Table25[[#This Row],[Price]]</f>
        <v>0</v>
      </c>
      <c r="H2052" s="249">
        <f>SUMIF(Table25[[#All],[Assets]],Table25[[#This Row],[Assets]],Table25[[#All],[Bought]])</f>
        <v>3</v>
      </c>
      <c r="I2052" s="249">
        <f>SUMIF(Table25[[#All],[Assets]],Table25[[#This Row],[Assets]],Table25[[#All],[Bought Amount]])</f>
        <v>2011.2400000000002</v>
      </c>
      <c r="J2052" s="88">
        <f>IF(Table25[[#This Row],[Number of stocks]]&lt;0,Table25[[#This Row],[Number of stocks]],0)</f>
        <v>-1</v>
      </c>
      <c r="K2052" s="5">
        <f>Table25[[#This Row],[Sold]]*Table25[[#This Row],[Price]]</f>
        <v>-1061</v>
      </c>
      <c r="L2052" s="8">
        <f>ABS(SUMIF(Table25[[#All],[Assets]],Table25[[#This Row],[Assets]],Table25[[#All],[Sold]]))</f>
        <v>1</v>
      </c>
      <c r="M2052" s="5">
        <f>ABS(SUMIF(Table25[[#All],[Assets]],Table25[[#This Row],[Assets]],Table25[[#All],[Sold Amount]]))</f>
        <v>1061</v>
      </c>
      <c r="N2052" s="5">
        <f>IFERROR(Table25[[#This Row],[Total sold amount]]/Table25[[#This Row],[Total Sold number of stocks]],"")</f>
        <v>1061</v>
      </c>
      <c r="O2052" s="250">
        <f>IFERROR(Table25[[#This Row],[Total Amount bought]]/Table25[[#This Row],[Total number bought]],"")</f>
        <v>670.41333333333341</v>
      </c>
      <c r="P2052" s="250">
        <f>IFERROR((Table25[[#This Row],[Average sell price]]-Table25[[#This Row],[Average buy price]])*Table25[[#This Row],[Total Sold number of stocks]],0)</f>
        <v>390.58666666666659</v>
      </c>
      <c r="Q2052" s="85">
        <f>SUMIF(Table25[[#All],[Assets]],Table25[[#This Row],[Assets]],Table25[[#All],[Number of stocks]])</f>
        <v>2</v>
      </c>
    </row>
    <row r="2053" spans="1:17">
      <c r="A2053" t="e" vm="208">
        <v>#VALUE!</v>
      </c>
      <c r="B2053" s="2">
        <v>46048</v>
      </c>
      <c r="C2053" t="str" cm="1">
        <f t="array" aca="1" ref="C2053" ca="1">_FV(A2053,"Ticker symbol",TRUE)</f>
        <v>PPSI</v>
      </c>
      <c r="D2053" s="4">
        <v>4.67</v>
      </c>
      <c r="E2053" s="50">
        <v>-125</v>
      </c>
      <c r="F2053" s="247">
        <f>IF(Table25[[#This Row],[Number of stocks]]&gt;0,Table25[[#This Row],[Number of stocks]],0)</f>
        <v>0</v>
      </c>
      <c r="G2053" s="248">
        <f>Table25[[#This Row],[Bought]]*Table25[[#This Row],[Price]]</f>
        <v>0</v>
      </c>
      <c r="H2053" s="249">
        <f>SUMIF(Table25[[#All],[Assets]],Table25[[#This Row],[Assets]],Table25[[#All],[Bought]])</f>
        <v>125</v>
      </c>
      <c r="I2053" s="249">
        <f>SUMIF(Table25[[#All],[Assets]],Table25[[#This Row],[Assets]],Table25[[#All],[Bought Amount]])</f>
        <v>575</v>
      </c>
      <c r="J2053" s="88">
        <f>IF(Table25[[#This Row],[Number of stocks]]&lt;0,Table25[[#This Row],[Number of stocks]],0)</f>
        <v>-125</v>
      </c>
      <c r="K2053" s="5">
        <f>Table25[[#This Row],[Sold]]*Table25[[#This Row],[Price]]</f>
        <v>-583.75</v>
      </c>
      <c r="L2053" s="8">
        <f>ABS(SUMIF(Table25[[#All],[Assets]],Table25[[#This Row],[Assets]],Table25[[#All],[Sold]]))</f>
        <v>125</v>
      </c>
      <c r="M2053" s="5">
        <f>ABS(SUMIF(Table25[[#All],[Assets]],Table25[[#This Row],[Assets]],Table25[[#All],[Sold Amount]]))</f>
        <v>583.75</v>
      </c>
      <c r="N2053" s="5">
        <f>IFERROR(Table25[[#This Row],[Total sold amount]]/Table25[[#This Row],[Total Sold number of stocks]],"")</f>
        <v>4.67</v>
      </c>
      <c r="O2053" s="250">
        <f>IFERROR(Table25[[#This Row],[Total Amount bought]]/Table25[[#This Row],[Total number bought]],"")</f>
        <v>4.5999999999999996</v>
      </c>
      <c r="P2053" s="250">
        <f>IFERROR((Table25[[#This Row],[Average sell price]]-Table25[[#This Row],[Average buy price]])*Table25[[#This Row],[Total Sold number of stocks]],0)</f>
        <v>8.7500000000000355</v>
      </c>
      <c r="Q2053" s="85">
        <f>SUMIF(Table25[[#All],[Assets]],Table25[[#This Row],[Assets]],Table25[[#All],[Number of stocks]])</f>
        <v>0</v>
      </c>
    </row>
    <row r="2054" spans="1:17">
      <c r="A2054" t="e" vm="194">
        <v>#VALUE!</v>
      </c>
      <c r="B2054" s="2">
        <v>46048</v>
      </c>
      <c r="C2054" t="str" cm="1">
        <f t="array" aca="1" ref="C2054" ca="1">_FV(A2054,"Ticker symbol",TRUE)</f>
        <v>CIFR</v>
      </c>
      <c r="D2054" s="4">
        <v>17.2</v>
      </c>
      <c r="E2054" s="50">
        <v>-35</v>
      </c>
      <c r="F2054" s="247">
        <f>IF(Table25[[#This Row],[Number of stocks]]&gt;0,Table25[[#This Row],[Number of stocks]],0)</f>
        <v>0</v>
      </c>
      <c r="G2054" s="248">
        <f>Table25[[#This Row],[Bought]]*Table25[[#This Row],[Price]]</f>
        <v>0</v>
      </c>
      <c r="H2054" s="249">
        <f>SUMIF(Table25[[#All],[Assets]],Table25[[#This Row],[Assets]],Table25[[#All],[Bought]])</f>
        <v>120</v>
      </c>
      <c r="I2054" s="249">
        <f>SUMIF(Table25[[#All],[Assets]],Table25[[#This Row],[Assets]],Table25[[#All],[Bought Amount]])</f>
        <v>1946</v>
      </c>
      <c r="J2054" s="88">
        <f>IF(Table25[[#This Row],[Number of stocks]]&lt;0,Table25[[#This Row],[Number of stocks]],0)</f>
        <v>-35</v>
      </c>
      <c r="K2054" s="5">
        <f>Table25[[#This Row],[Sold]]*Table25[[#This Row],[Price]]</f>
        <v>-602</v>
      </c>
      <c r="L2054" s="8">
        <f>ABS(SUMIF(Table25[[#All],[Assets]],Table25[[#This Row],[Assets]],Table25[[#All],[Sold]]))</f>
        <v>120</v>
      </c>
      <c r="M2054" s="5">
        <f>ABS(SUMIF(Table25[[#All],[Assets]],Table25[[#This Row],[Assets]],Table25[[#All],[Sold Amount]]))</f>
        <v>2077.65</v>
      </c>
      <c r="N2054" s="5">
        <f>IFERROR(Table25[[#This Row],[Total sold amount]]/Table25[[#This Row],[Total Sold number of stocks]],"")</f>
        <v>17.313750000000002</v>
      </c>
      <c r="O2054" s="250">
        <f>IFERROR(Table25[[#This Row],[Total Amount bought]]/Table25[[#This Row],[Total number bought]],"")</f>
        <v>16.216666666666665</v>
      </c>
      <c r="P2054" s="250">
        <f>IFERROR((Table25[[#This Row],[Average sell price]]-Table25[[#This Row],[Average buy price]])*Table25[[#This Row],[Total Sold number of stocks]],0)</f>
        <v>131.65000000000049</v>
      </c>
      <c r="Q2054" s="85">
        <f>SUMIF(Table25[[#All],[Assets]],Table25[[#This Row],[Assets]],Table25[[#All],[Number of stocks]])</f>
        <v>0</v>
      </c>
    </row>
    <row r="2055" spans="1:17">
      <c r="A2055" t="e" vm="204">
        <v>#VALUE!</v>
      </c>
      <c r="B2055" s="2">
        <v>46048</v>
      </c>
      <c r="C2055" t="str" cm="1">
        <f t="array" aca="1" ref="C2055" ca="1">_FV(A2055,"Ticker symbol",TRUE)</f>
        <v>CRWV</v>
      </c>
      <c r="D2055" s="4">
        <v>104.13</v>
      </c>
      <c r="E2055" s="50">
        <v>20</v>
      </c>
      <c r="F2055" s="247">
        <f>IF(Table25[[#This Row],[Number of stocks]]&gt;0,Table25[[#This Row],[Number of stocks]],0)</f>
        <v>20</v>
      </c>
      <c r="G2055" s="248">
        <f>Table25[[#This Row],[Bought]]*Table25[[#This Row],[Price]]</f>
        <v>2082.6</v>
      </c>
      <c r="H2055" s="249">
        <f>SUMIF(Table25[[#All],[Assets]],Table25[[#This Row],[Assets]],Table25[[#All],[Bought]])</f>
        <v>36</v>
      </c>
      <c r="I2055" s="249">
        <f>SUMIF(Table25[[#All],[Assets]],Table25[[#This Row],[Assets]],Table25[[#All],[Bought Amount]])</f>
        <v>3513.64</v>
      </c>
      <c r="J2055" s="88">
        <f>IF(Table25[[#This Row],[Number of stocks]]&lt;0,Table25[[#This Row],[Number of stocks]],0)</f>
        <v>0</v>
      </c>
      <c r="K2055" s="5">
        <f>Table25[[#This Row],[Sold]]*Table25[[#This Row],[Price]]</f>
        <v>0</v>
      </c>
      <c r="L2055" s="8">
        <f>ABS(SUMIF(Table25[[#All],[Assets]],Table25[[#This Row],[Assets]],Table25[[#All],[Sold]]))</f>
        <v>0</v>
      </c>
      <c r="M2055" s="5">
        <f>ABS(SUMIF(Table25[[#All],[Assets]],Table25[[#This Row],[Assets]],Table25[[#All],[Sold Amount]]))</f>
        <v>0</v>
      </c>
      <c r="N2055" s="5" t="str">
        <f>IFERROR(Table25[[#This Row],[Total sold amount]]/Table25[[#This Row],[Total Sold number of stocks]],"")</f>
        <v/>
      </c>
      <c r="O2055" s="250">
        <f>IFERROR(Table25[[#This Row],[Total Amount bought]]/Table25[[#This Row],[Total number bought]],"")</f>
        <v>97.601111111111109</v>
      </c>
      <c r="P2055" s="250">
        <f>IFERROR((Table25[[#This Row],[Average sell price]]-Table25[[#This Row],[Average buy price]])*Table25[[#This Row],[Total Sold number of stocks]],0)</f>
        <v>0</v>
      </c>
      <c r="Q2055" s="85">
        <f>SUMIF(Table25[[#All],[Assets]],Table25[[#This Row],[Assets]],Table25[[#All],[Number of stocks]])</f>
        <v>36</v>
      </c>
    </row>
    <row r="2056" spans="1:17">
      <c r="A2056" t="e" vm="46">
        <v>#VALUE!</v>
      </c>
      <c r="B2056" s="2">
        <v>46049</v>
      </c>
      <c r="C2056" t="str" cm="1">
        <f t="array" aca="1" ref="C2056" ca="1">_FV(A2056,"Ticker symbol",TRUE)</f>
        <v>ASPI</v>
      </c>
      <c r="D2056" s="4">
        <v>7.44</v>
      </c>
      <c r="E2056" s="50">
        <v>-100</v>
      </c>
      <c r="F2056" s="247">
        <f>IF(Table25[[#This Row],[Number of stocks]]&gt;0,Table25[[#This Row],[Number of stocks]],0)</f>
        <v>0</v>
      </c>
      <c r="G2056" s="248">
        <f>Table25[[#This Row],[Bought]]*Table25[[#This Row],[Price]]</f>
        <v>0</v>
      </c>
      <c r="H2056" s="249">
        <f>SUMIF(Table25[[#All],[Assets]],Table25[[#This Row],[Assets]],Table25[[#All],[Bought]])</f>
        <v>1899</v>
      </c>
      <c r="I2056" s="249">
        <f>SUMIF(Table25[[#All],[Assets]],Table25[[#This Row],[Assets]],Table25[[#All],[Bought Amount]])</f>
        <v>8555.869999999999</v>
      </c>
      <c r="J2056" s="88">
        <f>IF(Table25[[#This Row],[Number of stocks]]&lt;0,Table25[[#This Row],[Number of stocks]],0)</f>
        <v>-100</v>
      </c>
      <c r="K2056" s="5">
        <f>Table25[[#This Row],[Sold]]*Table25[[#This Row],[Price]]</f>
        <v>-744</v>
      </c>
      <c r="L2056" s="8">
        <f>ABS(SUMIF(Table25[[#All],[Assets]],Table25[[#This Row],[Assets]],Table25[[#All],[Sold]]))</f>
        <v>1599</v>
      </c>
      <c r="M2056" s="5">
        <f>ABS(SUMIF(Table25[[#All],[Assets]],Table25[[#This Row],[Assets]],Table25[[#All],[Sold Amount]]))</f>
        <v>8799.17</v>
      </c>
      <c r="N2056" s="5">
        <f>IFERROR(Table25[[#This Row],[Total sold amount]]/Table25[[#This Row],[Total Sold number of stocks]],"")</f>
        <v>5.5029205753595996</v>
      </c>
      <c r="O2056" s="250">
        <f>IFERROR(Table25[[#This Row],[Total Amount bought]]/Table25[[#This Row],[Total number bought]],"")</f>
        <v>4.5054607688256976</v>
      </c>
      <c r="P2056" s="250">
        <f>IFERROR((Table25[[#This Row],[Average sell price]]-Table25[[#This Row],[Average buy price]])*Table25[[#This Row],[Total Sold number of stocks]],0)</f>
        <v>1594.9382306477094</v>
      </c>
      <c r="Q2056" s="85">
        <f>SUMIF(Table25[[#All],[Assets]],Table25[[#This Row],[Assets]],Table25[[#All],[Number of stocks]])</f>
        <v>300</v>
      </c>
    </row>
    <row r="2057" spans="1:17">
      <c r="A2057" t="e" vm="599">
        <v>#VALUE!</v>
      </c>
      <c r="B2057" s="2">
        <v>46049</v>
      </c>
      <c r="C2057" t="str" cm="1">
        <f t="array" aca="1" ref="C2057" ca="1">_FV(A2057,"Ticker symbol",TRUE)</f>
        <v>AMPX</v>
      </c>
      <c r="D2057" s="4">
        <v>10.95</v>
      </c>
      <c r="E2057" s="50">
        <v>36</v>
      </c>
      <c r="F2057" s="247">
        <f>IF(Table25[[#This Row],[Number of stocks]]&gt;0,Table25[[#This Row],[Number of stocks]],0)</f>
        <v>36</v>
      </c>
      <c r="G2057" s="248">
        <f>Table25[[#This Row],[Bought]]*Table25[[#This Row],[Price]]</f>
        <v>394.2</v>
      </c>
      <c r="H2057" s="249">
        <f>SUMIF(Table25[[#All],[Assets]],Table25[[#This Row],[Assets]],Table25[[#All],[Bought]])</f>
        <v>136</v>
      </c>
      <c r="I2057" s="249">
        <f>SUMIF(Table25[[#All],[Assets]],Table25[[#This Row],[Assets]],Table25[[#All],[Bought Amount]])</f>
        <v>1547.2</v>
      </c>
      <c r="J2057" s="88">
        <f>IF(Table25[[#This Row],[Number of stocks]]&lt;0,Table25[[#This Row],[Number of stocks]],0)</f>
        <v>0</v>
      </c>
      <c r="K2057" s="5">
        <f>Table25[[#This Row],[Sold]]*Table25[[#This Row],[Price]]</f>
        <v>0</v>
      </c>
      <c r="L2057" s="8">
        <f>ABS(SUMIF(Table25[[#All],[Assets]],Table25[[#This Row],[Assets]],Table25[[#All],[Sold]]))</f>
        <v>0</v>
      </c>
      <c r="M2057" s="5">
        <f>ABS(SUMIF(Table25[[#All],[Assets]],Table25[[#This Row],[Assets]],Table25[[#All],[Sold Amount]]))</f>
        <v>0</v>
      </c>
      <c r="N2057" s="5" t="str">
        <f>IFERROR(Table25[[#This Row],[Total sold amount]]/Table25[[#This Row],[Total Sold number of stocks]],"")</f>
        <v/>
      </c>
      <c r="O2057" s="250">
        <f>IFERROR(Table25[[#This Row],[Total Amount bought]]/Table25[[#This Row],[Total number bought]],"")</f>
        <v>11.376470588235295</v>
      </c>
      <c r="P2057" s="250">
        <f>IFERROR((Table25[[#This Row],[Average sell price]]-Table25[[#This Row],[Average buy price]])*Table25[[#This Row],[Total Sold number of stocks]],0)</f>
        <v>0</v>
      </c>
      <c r="Q2057" s="85">
        <f>SUMIF(Table25[[#All],[Assets]],Table25[[#This Row],[Assets]],Table25[[#All],[Number of stocks]])</f>
        <v>136</v>
      </c>
    </row>
    <row r="2058" spans="1:17">
      <c r="A2058" t="e" vm="198">
        <v>#VALUE!</v>
      </c>
      <c r="B2058" s="2">
        <v>46049</v>
      </c>
      <c r="C2058" t="str" cm="1">
        <f t="array" aca="1" ref="C2058" ca="1">_FV(A2058,"Ticker symbol",TRUE)</f>
        <v>INDV</v>
      </c>
      <c r="D2058" s="4">
        <v>34.33</v>
      </c>
      <c r="E2058" s="50">
        <v>-20</v>
      </c>
      <c r="F2058" s="247">
        <f>IF(Table25[[#This Row],[Number of stocks]]&gt;0,Table25[[#This Row],[Number of stocks]],0)</f>
        <v>0</v>
      </c>
      <c r="G2058" s="248">
        <f>Table25[[#This Row],[Bought]]*Table25[[#This Row],[Price]]</f>
        <v>0</v>
      </c>
      <c r="H2058" s="249">
        <f>SUMIF(Table25[[#All],[Assets]],Table25[[#This Row],[Assets]],Table25[[#All],[Bought]])</f>
        <v>58</v>
      </c>
      <c r="I2058" s="249">
        <f>SUMIF(Table25[[#All],[Assets]],Table25[[#This Row],[Assets]],Table25[[#All],[Bought Amount]])</f>
        <v>1433.8400000000001</v>
      </c>
      <c r="J2058" s="88">
        <f>IF(Table25[[#This Row],[Number of stocks]]&lt;0,Table25[[#This Row],[Number of stocks]],0)</f>
        <v>-20</v>
      </c>
      <c r="K2058" s="5">
        <f>Table25[[#This Row],[Sold]]*Table25[[#This Row],[Price]]</f>
        <v>-686.59999999999991</v>
      </c>
      <c r="L2058" s="8">
        <f>ABS(SUMIF(Table25[[#All],[Assets]],Table25[[#This Row],[Assets]],Table25[[#All],[Sold]]))</f>
        <v>58</v>
      </c>
      <c r="M2058" s="5">
        <f>ABS(SUMIF(Table25[[#All],[Assets]],Table25[[#This Row],[Assets]],Table25[[#All],[Sold Amount]]))</f>
        <v>2022.2799999999997</v>
      </c>
      <c r="N2058" s="5">
        <f>IFERROR(Table25[[#This Row],[Total sold amount]]/Table25[[#This Row],[Total Sold number of stocks]],"")</f>
        <v>34.866896551724132</v>
      </c>
      <c r="O2058" s="250">
        <f>IFERROR(Table25[[#This Row],[Total Amount bought]]/Table25[[#This Row],[Total number bought]],"")</f>
        <v>24.72137931034483</v>
      </c>
      <c r="P2058" s="250">
        <f>IFERROR((Table25[[#This Row],[Average sell price]]-Table25[[#This Row],[Average buy price]])*Table25[[#This Row],[Total Sold number of stocks]],0)</f>
        <v>588.43999999999949</v>
      </c>
      <c r="Q2058" s="85">
        <f>SUMIF(Table25[[#All],[Assets]],Table25[[#This Row],[Assets]],Table25[[#All],[Number of stocks]])</f>
        <v>0</v>
      </c>
    </row>
    <row r="2059" spans="1:17">
      <c r="A2059" t="e" vm="192">
        <v>#VALUE!</v>
      </c>
      <c r="B2059" s="2">
        <v>46049</v>
      </c>
      <c r="C2059" t="str" cm="1">
        <f t="array" aca="1" ref="C2059" ca="1">_FV(A2059,"Ticker symbol",TRUE)</f>
        <v>NUTX</v>
      </c>
      <c r="D2059" s="4">
        <v>151.94</v>
      </c>
      <c r="E2059" s="50">
        <v>-3</v>
      </c>
      <c r="F2059" s="247">
        <f>IF(Table25[[#This Row],[Number of stocks]]&gt;0,Table25[[#This Row],[Number of stocks]],0)</f>
        <v>0</v>
      </c>
      <c r="G2059" s="248">
        <f>Table25[[#This Row],[Bought]]*Table25[[#This Row],[Price]]</f>
        <v>0</v>
      </c>
      <c r="H2059" s="249">
        <f>SUMIF(Table25[[#All],[Assets]],Table25[[#This Row],[Assets]],Table25[[#All],[Bought]])</f>
        <v>14</v>
      </c>
      <c r="I2059" s="249">
        <f>SUMIF(Table25[[#All],[Assets]],Table25[[#This Row],[Assets]],Table25[[#All],[Bought Amount]])</f>
        <v>1201.06</v>
      </c>
      <c r="J2059" s="88">
        <f>IF(Table25[[#This Row],[Number of stocks]]&lt;0,Table25[[#This Row],[Number of stocks]],0)</f>
        <v>-3</v>
      </c>
      <c r="K2059" s="5">
        <f>Table25[[#This Row],[Sold]]*Table25[[#This Row],[Price]]</f>
        <v>-455.82</v>
      </c>
      <c r="L2059" s="8">
        <f>ABS(SUMIF(Table25[[#All],[Assets]],Table25[[#This Row],[Assets]],Table25[[#All],[Sold]]))</f>
        <v>7</v>
      </c>
      <c r="M2059" s="5">
        <f>ABS(SUMIF(Table25[[#All],[Assets]],Table25[[#This Row],[Assets]],Table25[[#All],[Sold Amount]]))</f>
        <v>816.18000000000006</v>
      </c>
      <c r="N2059" s="5">
        <f>IFERROR(Table25[[#This Row],[Total sold amount]]/Table25[[#This Row],[Total Sold number of stocks]],"")</f>
        <v>116.59714285714287</v>
      </c>
      <c r="O2059" s="250">
        <f>IFERROR(Table25[[#This Row],[Total Amount bought]]/Table25[[#This Row],[Total number bought]],"")</f>
        <v>85.789999999999992</v>
      </c>
      <c r="P2059" s="250">
        <f>IFERROR((Table25[[#This Row],[Average sell price]]-Table25[[#This Row],[Average buy price]])*Table25[[#This Row],[Total Sold number of stocks]],0)</f>
        <v>215.65000000000015</v>
      </c>
      <c r="Q2059" s="85">
        <f>SUMIF(Table25[[#All],[Assets]],Table25[[#This Row],[Assets]],Table25[[#All],[Number of stocks]])</f>
        <v>7</v>
      </c>
    </row>
    <row r="2060" spans="1:17">
      <c r="A2060" t="e" vm="599">
        <v>#VALUE!</v>
      </c>
      <c r="B2060" s="2">
        <v>46049</v>
      </c>
      <c r="C2060" t="str" cm="1">
        <f t="array" aca="1" ref="C2060" ca="1">_FV(A2060,"Ticker symbol",TRUE)</f>
        <v>AMPX</v>
      </c>
      <c r="D2060" s="4">
        <v>11.53</v>
      </c>
      <c r="E2060" s="50">
        <v>100</v>
      </c>
      <c r="F2060" s="247">
        <f>IF(Table25[[#This Row],[Number of stocks]]&gt;0,Table25[[#This Row],[Number of stocks]],0)</f>
        <v>100</v>
      </c>
      <c r="G2060" s="248">
        <f>Table25[[#This Row],[Bought]]*Table25[[#This Row],[Price]]</f>
        <v>1153</v>
      </c>
      <c r="H2060" s="249">
        <f>SUMIF(Table25[[#All],[Assets]],Table25[[#This Row],[Assets]],Table25[[#All],[Bought]])</f>
        <v>136</v>
      </c>
      <c r="I2060" s="249">
        <f>SUMIF(Table25[[#All],[Assets]],Table25[[#This Row],[Assets]],Table25[[#All],[Bought Amount]])</f>
        <v>1547.2</v>
      </c>
      <c r="J2060" s="88">
        <f>IF(Table25[[#This Row],[Number of stocks]]&lt;0,Table25[[#This Row],[Number of stocks]],0)</f>
        <v>0</v>
      </c>
      <c r="K2060" s="5">
        <f>Table25[[#This Row],[Sold]]*Table25[[#This Row],[Price]]</f>
        <v>0</v>
      </c>
      <c r="L2060" s="8">
        <f>ABS(SUMIF(Table25[[#All],[Assets]],Table25[[#This Row],[Assets]],Table25[[#All],[Sold]]))</f>
        <v>0</v>
      </c>
      <c r="M2060" s="5">
        <f>ABS(SUMIF(Table25[[#All],[Assets]],Table25[[#This Row],[Assets]],Table25[[#All],[Sold Amount]]))</f>
        <v>0</v>
      </c>
      <c r="N2060" s="5" t="str">
        <f>IFERROR(Table25[[#This Row],[Total sold amount]]/Table25[[#This Row],[Total Sold number of stocks]],"")</f>
        <v/>
      </c>
      <c r="O2060" s="250">
        <f>IFERROR(Table25[[#This Row],[Total Amount bought]]/Table25[[#This Row],[Total number bought]],"")</f>
        <v>11.376470588235295</v>
      </c>
      <c r="P2060" s="250">
        <f>IFERROR((Table25[[#This Row],[Average sell price]]-Table25[[#This Row],[Average buy price]])*Table25[[#This Row],[Total Sold number of stocks]],0)</f>
        <v>0</v>
      </c>
      <c r="Q2060" s="85">
        <f>SUMIF(Table25[[#All],[Assets]],Table25[[#This Row],[Assets]],Table25[[#All],[Number of stocks]])</f>
        <v>136</v>
      </c>
    </row>
    <row r="2061" spans="1:17">
      <c r="A2061" t="e" vm="13">
        <v>#VALUE!</v>
      </c>
      <c r="B2061" s="2">
        <v>46050</v>
      </c>
      <c r="C2061" t="str" cm="1">
        <f t="array" aca="1" ref="C2061" ca="1">_FV(A2061,"Ticker symbol",TRUE)</f>
        <v>ON</v>
      </c>
      <c r="D2061" s="4">
        <v>66.16</v>
      </c>
      <c r="E2061" s="50">
        <v>8</v>
      </c>
      <c r="F2061" s="247">
        <f>IF(Table25[[#This Row],[Number of stocks]]&gt;0,Table25[[#This Row],[Number of stocks]],0)</f>
        <v>8</v>
      </c>
      <c r="G2061" s="248">
        <f>Table25[[#This Row],[Bought]]*Table25[[#This Row],[Price]]</f>
        <v>529.28</v>
      </c>
      <c r="H2061" s="249">
        <f>SUMIF(Table25[[#All],[Assets]],Table25[[#This Row],[Assets]],Table25[[#All],[Bought]])</f>
        <v>326</v>
      </c>
      <c r="I2061" s="249">
        <f>SUMIF(Table25[[#All],[Assets]],Table25[[#This Row],[Assets]],Table25[[#All],[Bought Amount]])</f>
        <v>19172.809999999998</v>
      </c>
      <c r="J2061" s="88">
        <f>IF(Table25[[#This Row],[Number of stocks]]&lt;0,Table25[[#This Row],[Number of stocks]],0)</f>
        <v>0</v>
      </c>
      <c r="K2061" s="5">
        <f>Table25[[#This Row],[Sold]]*Table25[[#This Row],[Price]]</f>
        <v>0</v>
      </c>
      <c r="L2061" s="8">
        <f>ABS(SUMIF(Table25[[#All],[Assets]],Table25[[#This Row],[Assets]],Table25[[#All],[Sold]]))</f>
        <v>283</v>
      </c>
      <c r="M2061" s="5">
        <f>ABS(SUMIF(Table25[[#All],[Assets]],Table25[[#This Row],[Assets]],Table25[[#All],[Sold Amount]]))</f>
        <v>15700.74</v>
      </c>
      <c r="N2061" s="5">
        <f>IFERROR(Table25[[#This Row],[Total sold amount]]/Table25[[#This Row],[Total Sold number of stocks]],"")</f>
        <v>55.47964664310954</v>
      </c>
      <c r="O2061" s="250">
        <f>IFERROR(Table25[[#This Row],[Total Amount bought]]/Table25[[#This Row],[Total number bought]],"")</f>
        <v>58.812300613496923</v>
      </c>
      <c r="P2061" s="250">
        <f>IFERROR((Table25[[#This Row],[Average sell price]]-Table25[[#This Row],[Average buy price]])*Table25[[#This Row],[Total Sold number of stocks]],0)</f>
        <v>-943.14107361962954</v>
      </c>
      <c r="Q2061" s="85">
        <f>SUMIF(Table25[[#All],[Assets]],Table25[[#This Row],[Assets]],Table25[[#All],[Number of stocks]])</f>
        <v>43</v>
      </c>
    </row>
    <row r="2062" spans="1:17">
      <c r="A2062" t="e" vm="23">
        <v>#VALUE!</v>
      </c>
      <c r="B2062" s="2">
        <v>46050</v>
      </c>
      <c r="C2062" t="str" cm="1">
        <f t="array" aca="1" ref="C2062" ca="1">_FV(A2062,"Ticker symbol",TRUE)</f>
        <v>ALGM</v>
      </c>
      <c r="D2062" s="4">
        <v>34.96</v>
      </c>
      <c r="E2062" s="50">
        <v>5</v>
      </c>
      <c r="F2062" s="247">
        <f>IF(Table25[[#This Row],[Number of stocks]]&gt;0,Table25[[#This Row],[Number of stocks]],0)</f>
        <v>5</v>
      </c>
      <c r="G2062" s="248">
        <f>Table25[[#This Row],[Bought]]*Table25[[#This Row],[Price]]</f>
        <v>174.8</v>
      </c>
      <c r="H2062" s="249">
        <f>SUMIF(Table25[[#All],[Assets]],Table25[[#This Row],[Assets]],Table25[[#All],[Bought]])</f>
        <v>30</v>
      </c>
      <c r="I2062" s="249">
        <f>SUMIF(Table25[[#All],[Assets]],Table25[[#This Row],[Assets]],Table25[[#All],[Bought Amount]])</f>
        <v>766.3</v>
      </c>
      <c r="J2062" s="88">
        <f>IF(Table25[[#This Row],[Number of stocks]]&lt;0,Table25[[#This Row],[Number of stocks]],0)</f>
        <v>0</v>
      </c>
      <c r="K2062" s="5">
        <f>Table25[[#This Row],[Sold]]*Table25[[#This Row],[Price]]</f>
        <v>0</v>
      </c>
      <c r="L2062" s="8">
        <f>ABS(SUMIF(Table25[[#All],[Assets]],Table25[[#This Row],[Assets]],Table25[[#All],[Sold]]))</f>
        <v>25</v>
      </c>
      <c r="M2062" s="5">
        <f>ABS(SUMIF(Table25[[#All],[Assets]],Table25[[#This Row],[Assets]],Table25[[#All],[Sold Amount]]))</f>
        <v>525.25</v>
      </c>
      <c r="N2062" s="5">
        <f>IFERROR(Table25[[#This Row],[Total sold amount]]/Table25[[#This Row],[Total Sold number of stocks]],"")</f>
        <v>21.01</v>
      </c>
      <c r="O2062" s="250">
        <f>IFERROR(Table25[[#This Row],[Total Amount bought]]/Table25[[#This Row],[Total number bought]],"")</f>
        <v>25.543333333333333</v>
      </c>
      <c r="P2062" s="250">
        <f>IFERROR((Table25[[#This Row],[Average sell price]]-Table25[[#This Row],[Average buy price]])*Table25[[#This Row],[Total Sold number of stocks]],0)</f>
        <v>-113.33333333333329</v>
      </c>
      <c r="Q2062" s="85">
        <f>SUMIF(Table25[[#All],[Assets]],Table25[[#This Row],[Assets]],Table25[[#All],[Number of stocks]])</f>
        <v>5</v>
      </c>
    </row>
    <row r="2063" spans="1:17">
      <c r="A2063" t="e" vm="600">
        <v>#VALUE!</v>
      </c>
      <c r="B2063" s="2">
        <v>46051</v>
      </c>
      <c r="C2063" t="str" cm="1">
        <f t="array" aca="1" ref="C2063" ca="1">_FV(A2063,"Ticker symbol",TRUE)</f>
        <v>UMC</v>
      </c>
      <c r="D2063" s="4">
        <v>10.51</v>
      </c>
      <c r="E2063" s="50">
        <v>23</v>
      </c>
      <c r="F2063" s="247">
        <f>IF(Table25[[#This Row],[Number of stocks]]&gt;0,Table25[[#This Row],[Number of stocks]],0)</f>
        <v>23</v>
      </c>
      <c r="G2063" s="248">
        <f>Table25[[#This Row],[Bought]]*Table25[[#This Row],[Price]]</f>
        <v>241.73</v>
      </c>
      <c r="H2063" s="249">
        <f>SUMIF(Table25[[#All],[Assets]],Table25[[#This Row],[Assets]],Table25[[#All],[Bought]])</f>
        <v>23</v>
      </c>
      <c r="I2063" s="249">
        <f>SUMIF(Table25[[#All],[Assets]],Table25[[#This Row],[Assets]],Table25[[#All],[Bought Amount]])</f>
        <v>241.73</v>
      </c>
      <c r="J2063" s="88">
        <f>IF(Table25[[#This Row],[Number of stocks]]&lt;0,Table25[[#This Row],[Number of stocks]],0)</f>
        <v>0</v>
      </c>
      <c r="K2063" s="5">
        <f>Table25[[#This Row],[Sold]]*Table25[[#This Row],[Price]]</f>
        <v>0</v>
      </c>
      <c r="L2063" s="8">
        <f>ABS(SUMIF(Table25[[#All],[Assets]],Table25[[#This Row],[Assets]],Table25[[#All],[Sold]]))</f>
        <v>0</v>
      </c>
      <c r="M2063" s="5">
        <f>ABS(SUMIF(Table25[[#All],[Assets]],Table25[[#This Row],[Assets]],Table25[[#All],[Sold Amount]]))</f>
        <v>0</v>
      </c>
      <c r="N2063" s="5" t="str">
        <f>IFERROR(Table25[[#This Row],[Total sold amount]]/Table25[[#This Row],[Total Sold number of stocks]],"")</f>
        <v/>
      </c>
      <c r="O2063" s="250">
        <f>IFERROR(Table25[[#This Row],[Total Amount bought]]/Table25[[#This Row],[Total number bought]],"")</f>
        <v>10.51</v>
      </c>
      <c r="P2063" s="250">
        <f>IFERROR((Table25[[#This Row],[Average sell price]]-Table25[[#This Row],[Average buy price]])*Table25[[#This Row],[Total Sold number of stocks]],0)</f>
        <v>0</v>
      </c>
      <c r="Q2063" s="85">
        <f>SUMIF(Table25[[#All],[Assets]],Table25[[#This Row],[Assets]],Table25[[#All],[Number of stocks]])</f>
        <v>23</v>
      </c>
    </row>
    <row r="2064" spans="1:17">
      <c r="A2064" t="e" vm="77">
        <v>#VALUE!</v>
      </c>
      <c r="B2064" s="2">
        <v>46052</v>
      </c>
      <c r="C2064" t="str" cm="1">
        <f t="array" aca="1" ref="C2064" ca="1">_FV(A2064,"Ticker symbol",TRUE)</f>
        <v>STIM</v>
      </c>
      <c r="D2064" s="4">
        <v>2.17</v>
      </c>
      <c r="E2064" s="50">
        <v>-300</v>
      </c>
      <c r="F2064" s="247">
        <f>IF(Table25[[#This Row],[Number of stocks]]&gt;0,Table25[[#This Row],[Number of stocks]],0)</f>
        <v>0</v>
      </c>
      <c r="G2064" s="248">
        <f>Table25[[#This Row],[Bought]]*Table25[[#This Row],[Price]]</f>
        <v>0</v>
      </c>
      <c r="H2064" s="249">
        <f>SUMIF(Table25[[#All],[Assets]],Table25[[#This Row],[Assets]],Table25[[#All],[Bought]])</f>
        <v>7036.45</v>
      </c>
      <c r="I2064" s="249">
        <f>SUMIF(Table25[[#All],[Assets]],Table25[[#This Row],[Assets]],Table25[[#All],[Bought Amount]])</f>
        <v>19162.260000000002</v>
      </c>
      <c r="J2064" s="88">
        <f>IF(Table25[[#This Row],[Number of stocks]]&lt;0,Table25[[#This Row],[Number of stocks]],0)</f>
        <v>-300</v>
      </c>
      <c r="K2064" s="5">
        <f>Table25[[#This Row],[Sold]]*Table25[[#This Row],[Price]]</f>
        <v>-651</v>
      </c>
      <c r="L2064" s="8">
        <f>ABS(SUMIF(Table25[[#All],[Assets]],Table25[[#This Row],[Assets]],Table25[[#All],[Sold]]))</f>
        <v>6686.45</v>
      </c>
      <c r="M2064" s="5">
        <f>ABS(SUMIF(Table25[[#All],[Assets]],Table25[[#This Row],[Assets]],Table25[[#All],[Sold Amount]]))</f>
        <v>19226.484999999997</v>
      </c>
      <c r="N2064" s="5">
        <f>IFERROR(Table25[[#This Row],[Total sold amount]]/Table25[[#This Row],[Total Sold number of stocks]],"")</f>
        <v>2.8754398821497205</v>
      </c>
      <c r="O2064" s="250">
        <f>IFERROR(Table25[[#This Row],[Total Amount bought]]/Table25[[#This Row],[Total number bought]],"")</f>
        <v>2.7232851793162749</v>
      </c>
      <c r="P2064" s="250">
        <f>IFERROR((Table25[[#This Row],[Average sell price]]-Table25[[#This Row],[Average buy price]])*Table25[[#This Row],[Total Sold number of stocks]],0)</f>
        <v>1017.3748127606921</v>
      </c>
      <c r="Q2064" s="85">
        <f>SUMIF(Table25[[#All],[Assets]],Table25[[#This Row],[Assets]],Table25[[#All],[Number of stocks]])</f>
        <v>349.99999999999977</v>
      </c>
    </row>
    <row r="2065" spans="1:17">
      <c r="A2065" t="e" vm="19">
        <v>#VALUE!</v>
      </c>
      <c r="B2065" s="2">
        <v>46052</v>
      </c>
      <c r="C2065" t="str" cm="1">
        <f t="array" aca="1" ref="C2065" ca="1">_FV(A2065,"Ticker symbol",TRUE)</f>
        <v>OUST</v>
      </c>
      <c r="D2065" s="4">
        <v>21.73</v>
      </c>
      <c r="E2065" s="50">
        <v>-66</v>
      </c>
      <c r="F2065" s="247">
        <f>IF(Table25[[#This Row],[Number of stocks]]&gt;0,Table25[[#This Row],[Number of stocks]],0)</f>
        <v>0</v>
      </c>
      <c r="G2065" s="248">
        <f>Table25[[#This Row],[Bought]]*Table25[[#This Row],[Price]]</f>
        <v>0</v>
      </c>
      <c r="H2065" s="249">
        <f>SUMIF(Table25[[#All],[Assets]],Table25[[#This Row],[Assets]],Table25[[#All],[Bought]])</f>
        <v>324</v>
      </c>
      <c r="I2065" s="249">
        <f>SUMIF(Table25[[#All],[Assets]],Table25[[#This Row],[Assets]],Table25[[#All],[Bought Amount]])</f>
        <v>4403.8500000000004</v>
      </c>
      <c r="J2065" s="88">
        <f>IF(Table25[[#This Row],[Number of stocks]]&lt;0,Table25[[#This Row],[Number of stocks]],0)</f>
        <v>-66</v>
      </c>
      <c r="K2065" s="5">
        <f>Table25[[#This Row],[Sold]]*Table25[[#This Row],[Price]]</f>
        <v>-1434.18</v>
      </c>
      <c r="L2065" s="8">
        <f>ABS(SUMIF(Table25[[#All],[Assets]],Table25[[#This Row],[Assets]],Table25[[#All],[Sold]]))</f>
        <v>299</v>
      </c>
      <c r="M2065" s="5">
        <f>ABS(SUMIF(Table25[[#All],[Assets]],Table25[[#This Row],[Assets]],Table25[[#All],[Sold Amount]]))</f>
        <v>6222.84</v>
      </c>
      <c r="N2065" s="5">
        <f>IFERROR(Table25[[#This Row],[Total sold amount]]/Table25[[#This Row],[Total Sold number of stocks]],"")</f>
        <v>20.81217391304348</v>
      </c>
      <c r="O2065" s="250">
        <f>IFERROR(Table25[[#This Row],[Total Amount bought]]/Table25[[#This Row],[Total number bought]],"")</f>
        <v>13.59212962962963</v>
      </c>
      <c r="P2065" s="250">
        <f>IFERROR((Table25[[#This Row],[Average sell price]]-Table25[[#This Row],[Average buy price]])*Table25[[#This Row],[Total Sold number of stocks]],0)</f>
        <v>2158.7932407407411</v>
      </c>
      <c r="Q2065" s="85">
        <f>SUMIF(Table25[[#All],[Assets]],Table25[[#This Row],[Assets]],Table25[[#All],[Number of stocks]])</f>
        <v>25</v>
      </c>
    </row>
    <row r="2066" spans="1:17">
      <c r="A2066" t="e" vm="39">
        <v>#VALUE!</v>
      </c>
      <c r="B2066" s="2">
        <v>46052</v>
      </c>
      <c r="C2066" t="str" cm="1">
        <f t="array" aca="1" ref="C2066" ca="1">_FV(A2066,"Ticker symbol",TRUE)</f>
        <v>AMSC</v>
      </c>
      <c r="D2066" s="4">
        <v>29.92</v>
      </c>
      <c r="E2066" s="50">
        <v>54</v>
      </c>
      <c r="F2066" s="247">
        <f>IF(Table25[[#This Row],[Number of stocks]]&gt;0,Table25[[#This Row],[Number of stocks]],0)</f>
        <v>54</v>
      </c>
      <c r="G2066" s="248">
        <f>Table25[[#This Row],[Bought]]*Table25[[#This Row],[Price]]</f>
        <v>1615.68</v>
      </c>
      <c r="H2066" s="249">
        <f>SUMIF(Table25[[#All],[Assets]],Table25[[#This Row],[Assets]],Table25[[#All],[Bought]])</f>
        <v>812.4</v>
      </c>
      <c r="I2066" s="249">
        <f>SUMIF(Table25[[#All],[Assets]],Table25[[#This Row],[Assets]],Table25[[#All],[Bought Amount]])</f>
        <v>24146.880000000001</v>
      </c>
      <c r="J2066" s="88">
        <f>IF(Table25[[#This Row],[Number of stocks]]&lt;0,Table25[[#This Row],[Number of stocks]],0)</f>
        <v>0</v>
      </c>
      <c r="K2066" s="5">
        <f>Table25[[#This Row],[Sold]]*Table25[[#This Row],[Price]]</f>
        <v>0</v>
      </c>
      <c r="L2066" s="8">
        <f>ABS(SUMIF(Table25[[#All],[Assets]],Table25[[#This Row],[Assets]],Table25[[#All],[Sold]]))</f>
        <v>535</v>
      </c>
      <c r="M2066" s="5">
        <f>ABS(SUMIF(Table25[[#All],[Assets]],Table25[[#This Row],[Assets]],Table25[[#All],[Sold Amount]]))</f>
        <v>14777.289999999999</v>
      </c>
      <c r="N2066" s="5">
        <f>IFERROR(Table25[[#This Row],[Total sold amount]]/Table25[[#This Row],[Total Sold number of stocks]],"")</f>
        <v>27.621102803738317</v>
      </c>
      <c r="O2066" s="250">
        <f>IFERROR(Table25[[#This Row],[Total Amount bought]]/Table25[[#This Row],[Total number bought]],"")</f>
        <v>29.722895125553915</v>
      </c>
      <c r="P2066" s="250">
        <f>IFERROR((Table25[[#This Row],[Average sell price]]-Table25[[#This Row],[Average buy price]])*Table25[[#This Row],[Total Sold number of stocks]],0)</f>
        <v>-1124.4588921713448</v>
      </c>
      <c r="Q2066" s="85">
        <f>SUMIF(Table25[[#All],[Assets]],Table25[[#This Row],[Assets]],Table25[[#All],[Number of stocks]])</f>
        <v>277.39999999999998</v>
      </c>
    </row>
    <row r="2067" spans="1:17">
      <c r="A2067" t="e" vm="181">
        <v>#VALUE!</v>
      </c>
      <c r="B2067" s="2">
        <v>46055</v>
      </c>
      <c r="C2067" t="str" cm="1">
        <f t="array" aca="1" ref="C2067" ca="1">_FV(A2067,"Ticker symbol",TRUE)</f>
        <v>TIC</v>
      </c>
      <c r="D2067" s="4">
        <v>9.98</v>
      </c>
      <c r="E2067" s="50">
        <v>-100</v>
      </c>
      <c r="F2067" s="247">
        <f>IF(Table25[[#This Row],[Number of stocks]]&gt;0,Table25[[#This Row],[Number of stocks]],0)</f>
        <v>0</v>
      </c>
      <c r="G2067" s="248">
        <f>Table25[[#This Row],[Bought]]*Table25[[#This Row],[Price]]</f>
        <v>0</v>
      </c>
      <c r="H2067" s="249">
        <f>SUMIF(Table25[[#All],[Assets]],Table25[[#This Row],[Assets]],Table25[[#All],[Bought]])</f>
        <v>487</v>
      </c>
      <c r="I2067" s="249">
        <f>SUMIF(Table25[[#All],[Assets]],Table25[[#This Row],[Assets]],Table25[[#All],[Bought Amount]])</f>
        <v>6140.8099999999995</v>
      </c>
      <c r="J2067" s="88">
        <f>IF(Table25[[#This Row],[Number of stocks]]&lt;0,Table25[[#This Row],[Number of stocks]],0)</f>
        <v>-100</v>
      </c>
      <c r="K2067" s="5">
        <f>Table25[[#This Row],[Sold]]*Table25[[#This Row],[Price]]</f>
        <v>-998</v>
      </c>
      <c r="L2067" s="8">
        <f>ABS(SUMIF(Table25[[#All],[Assets]],Table25[[#This Row],[Assets]],Table25[[#All],[Sold]]))</f>
        <v>397</v>
      </c>
      <c r="M2067" s="5">
        <f>ABS(SUMIF(Table25[[#All],[Assets]],Table25[[#This Row],[Assets]],Table25[[#All],[Sold Amount]]))</f>
        <v>3999.4</v>
      </c>
      <c r="N2067" s="5">
        <f>IFERROR(Table25[[#This Row],[Total sold amount]]/Table25[[#This Row],[Total Sold number of stocks]],"")</f>
        <v>10.074055415617128</v>
      </c>
      <c r="O2067" s="250">
        <f>IFERROR(Table25[[#This Row],[Total Amount bought]]/Table25[[#This Row],[Total number bought]],"")</f>
        <v>12.609466119096508</v>
      </c>
      <c r="P2067" s="250">
        <f>IFERROR((Table25[[#This Row],[Average sell price]]-Table25[[#This Row],[Average buy price]])*Table25[[#This Row],[Total Sold number of stocks]],0)</f>
        <v>-1006.558049281314</v>
      </c>
      <c r="Q2067" s="85">
        <f>SUMIF(Table25[[#All],[Assets]],Table25[[#This Row],[Assets]],Table25[[#All],[Number of stocks]])</f>
        <v>90</v>
      </c>
    </row>
    <row r="2068" spans="1:17">
      <c r="A2068" t="e" vm="601">
        <v>#VALUE!</v>
      </c>
      <c r="B2068" s="2">
        <v>46055</v>
      </c>
      <c r="C2068" t="str" cm="1">
        <f t="array" aca="1" ref="C2068" ca="1">_FV(A2068,"Ticker symbol",TRUE)</f>
        <v>ORCL</v>
      </c>
      <c r="D2068" s="4">
        <v>168.34</v>
      </c>
      <c r="E2068" s="50">
        <v>5</v>
      </c>
      <c r="F2068" s="247">
        <f>IF(Table25[[#This Row],[Number of stocks]]&gt;0,Table25[[#This Row],[Number of stocks]],0)</f>
        <v>5</v>
      </c>
      <c r="G2068" s="248">
        <f>Table25[[#This Row],[Bought]]*Table25[[#This Row],[Price]]</f>
        <v>841.7</v>
      </c>
      <c r="H2068" s="249">
        <f>SUMIF(Table25[[#All],[Assets]],Table25[[#This Row],[Assets]],Table25[[#All],[Bought]])</f>
        <v>5</v>
      </c>
      <c r="I2068" s="249">
        <f>SUMIF(Table25[[#All],[Assets]],Table25[[#This Row],[Assets]],Table25[[#All],[Bought Amount]])</f>
        <v>841.7</v>
      </c>
      <c r="J2068" s="88">
        <f>IF(Table25[[#This Row],[Number of stocks]]&lt;0,Table25[[#This Row],[Number of stocks]],0)</f>
        <v>0</v>
      </c>
      <c r="K2068" s="5">
        <f>Table25[[#This Row],[Sold]]*Table25[[#This Row],[Price]]</f>
        <v>0</v>
      </c>
      <c r="L2068" s="8">
        <f>ABS(SUMIF(Table25[[#All],[Assets]],Table25[[#This Row],[Assets]],Table25[[#All],[Sold]]))</f>
        <v>0</v>
      </c>
      <c r="M2068" s="5">
        <f>ABS(SUMIF(Table25[[#All],[Assets]],Table25[[#This Row],[Assets]],Table25[[#All],[Sold Amount]]))</f>
        <v>0</v>
      </c>
      <c r="N2068" s="5" t="str">
        <f>IFERROR(Table25[[#This Row],[Total sold amount]]/Table25[[#This Row],[Total Sold number of stocks]],"")</f>
        <v/>
      </c>
      <c r="O2068" s="250">
        <f>IFERROR(Table25[[#This Row],[Total Amount bought]]/Table25[[#This Row],[Total number bought]],"")</f>
        <v>168.34</v>
      </c>
      <c r="P2068" s="250">
        <f>IFERROR((Table25[[#This Row],[Average sell price]]-Table25[[#This Row],[Average buy price]])*Table25[[#This Row],[Total Sold number of stocks]],0)</f>
        <v>0</v>
      </c>
      <c r="Q2068" s="85">
        <f>SUMIF(Table25[[#All],[Assets]],Table25[[#This Row],[Assets]],Table25[[#All],[Number of stocks]])</f>
        <v>5</v>
      </c>
    </row>
    <row r="2069" spans="1:17">
      <c r="A2069" t="e" vm="39">
        <v>#VALUE!</v>
      </c>
      <c r="B2069" s="2">
        <v>46055</v>
      </c>
      <c r="C2069" t="str" cm="1">
        <f t="array" aca="1" ref="C2069" ca="1">_FV(A2069,"Ticker symbol",TRUE)</f>
        <v>AMSC</v>
      </c>
      <c r="D2069" s="4">
        <v>29.77</v>
      </c>
      <c r="E2069" s="50">
        <v>3</v>
      </c>
      <c r="F2069" s="247">
        <f>IF(Table25[[#This Row],[Number of stocks]]&gt;0,Table25[[#This Row],[Number of stocks]],0)</f>
        <v>3</v>
      </c>
      <c r="G2069" s="248">
        <f>Table25[[#This Row],[Bought]]*Table25[[#This Row],[Price]]</f>
        <v>89.31</v>
      </c>
      <c r="H2069" s="249">
        <f>SUMIF(Table25[[#All],[Assets]],Table25[[#This Row],[Assets]],Table25[[#All],[Bought]])</f>
        <v>812.4</v>
      </c>
      <c r="I2069" s="249">
        <f>SUMIF(Table25[[#All],[Assets]],Table25[[#This Row],[Assets]],Table25[[#All],[Bought Amount]])</f>
        <v>24146.880000000001</v>
      </c>
      <c r="J2069" s="88">
        <f>IF(Table25[[#This Row],[Number of stocks]]&lt;0,Table25[[#This Row],[Number of stocks]],0)</f>
        <v>0</v>
      </c>
      <c r="K2069" s="5">
        <f>Table25[[#This Row],[Sold]]*Table25[[#This Row],[Price]]</f>
        <v>0</v>
      </c>
      <c r="L2069" s="8">
        <f>ABS(SUMIF(Table25[[#All],[Assets]],Table25[[#This Row],[Assets]],Table25[[#All],[Sold]]))</f>
        <v>535</v>
      </c>
      <c r="M2069" s="5">
        <f>ABS(SUMIF(Table25[[#All],[Assets]],Table25[[#This Row],[Assets]],Table25[[#All],[Sold Amount]]))</f>
        <v>14777.289999999999</v>
      </c>
      <c r="N2069" s="5">
        <f>IFERROR(Table25[[#This Row],[Total sold amount]]/Table25[[#This Row],[Total Sold number of stocks]],"")</f>
        <v>27.621102803738317</v>
      </c>
      <c r="O2069" s="250">
        <f>IFERROR(Table25[[#This Row],[Total Amount bought]]/Table25[[#This Row],[Total number bought]],"")</f>
        <v>29.722895125553915</v>
      </c>
      <c r="P2069" s="250">
        <f>IFERROR((Table25[[#This Row],[Average sell price]]-Table25[[#This Row],[Average buy price]])*Table25[[#This Row],[Total Sold number of stocks]],0)</f>
        <v>-1124.4588921713448</v>
      </c>
      <c r="Q2069" s="85">
        <f>SUMIF(Table25[[#All],[Assets]],Table25[[#This Row],[Assets]],Table25[[#All],[Number of stocks]])</f>
        <v>277.39999999999998</v>
      </c>
    </row>
    <row r="2070" spans="1:17">
      <c r="A2070" t="e" vm="183">
        <v>#VALUE!</v>
      </c>
      <c r="B2070" s="2">
        <v>46055</v>
      </c>
      <c r="C2070" t="str" cm="1">
        <f t="array" aca="1" ref="C2070" ca="1">_FV(A2070,"Ticker symbol",TRUE)</f>
        <v>ESOA</v>
      </c>
      <c r="D2070" s="4">
        <v>9.23</v>
      </c>
      <c r="E2070" s="50">
        <v>-100</v>
      </c>
      <c r="F2070" s="247">
        <f>IF(Table25[[#This Row],[Number of stocks]]&gt;0,Table25[[#This Row],[Number of stocks]],0)</f>
        <v>0</v>
      </c>
      <c r="G2070" s="248">
        <f>Table25[[#This Row],[Bought]]*Table25[[#This Row],[Price]]</f>
        <v>0</v>
      </c>
      <c r="H2070" s="249">
        <f>SUMIF(Table25[[#All],[Assets]],Table25[[#This Row],[Assets]],Table25[[#All],[Bought]])</f>
        <v>1832</v>
      </c>
      <c r="I2070" s="249">
        <f>SUMIF(Table25[[#All],[Assets]],Table25[[#This Row],[Assets]],Table25[[#All],[Bought Amount]])</f>
        <v>18152.78</v>
      </c>
      <c r="J2070" s="88">
        <f>IF(Table25[[#This Row],[Number of stocks]]&lt;0,Table25[[#This Row],[Number of stocks]],0)</f>
        <v>-100</v>
      </c>
      <c r="K2070" s="5">
        <f>Table25[[#This Row],[Sold]]*Table25[[#This Row],[Price]]</f>
        <v>-923</v>
      </c>
      <c r="L2070" s="8">
        <f>ABS(SUMIF(Table25[[#All],[Assets]],Table25[[#This Row],[Assets]],Table25[[#All],[Sold]]))</f>
        <v>1568</v>
      </c>
      <c r="M2070" s="5">
        <f>ABS(SUMIF(Table25[[#All],[Assets]],Table25[[#This Row],[Assets]],Table25[[#All],[Sold Amount]]))</f>
        <v>14668</v>
      </c>
      <c r="N2070" s="5">
        <f>IFERROR(Table25[[#This Row],[Total sold amount]]/Table25[[#This Row],[Total Sold number of stocks]],"")</f>
        <v>9.3545918367346932</v>
      </c>
      <c r="O2070" s="250">
        <f>IFERROR(Table25[[#This Row],[Total Amount bought]]/Table25[[#This Row],[Total number bought]],"")</f>
        <v>9.9087227074235802</v>
      </c>
      <c r="P2070" s="250">
        <f>IFERROR((Table25[[#This Row],[Average sell price]]-Table25[[#This Row],[Average buy price]])*Table25[[#This Row],[Total Sold number of stocks]],0)</f>
        <v>-868.87720524017482</v>
      </c>
      <c r="Q2070" s="85">
        <f>SUMIF(Table25[[#All],[Assets]],Table25[[#This Row],[Assets]],Table25[[#All],[Number of stocks]])</f>
        <v>264</v>
      </c>
    </row>
    <row r="2071" spans="1:17">
      <c r="A2071" t="e" vm="39">
        <v>#VALUE!</v>
      </c>
      <c r="B2071" s="2">
        <v>46055</v>
      </c>
      <c r="C2071" t="str" cm="1">
        <f t="array" aca="1" ref="C2071" ca="1">_FV(A2071,"Ticker symbol",TRUE)</f>
        <v>AMSC</v>
      </c>
      <c r="D2071" s="4">
        <v>30.17</v>
      </c>
      <c r="E2071" s="50">
        <v>30</v>
      </c>
      <c r="F2071" s="247">
        <f>IF(Table25[[#This Row],[Number of stocks]]&gt;0,Table25[[#This Row],[Number of stocks]],0)</f>
        <v>30</v>
      </c>
      <c r="G2071" s="248">
        <f>Table25[[#This Row],[Bought]]*Table25[[#This Row],[Price]]</f>
        <v>905.1</v>
      </c>
      <c r="H2071" s="249">
        <f>SUMIF(Table25[[#All],[Assets]],Table25[[#This Row],[Assets]],Table25[[#All],[Bought]])</f>
        <v>812.4</v>
      </c>
      <c r="I2071" s="249">
        <f>SUMIF(Table25[[#All],[Assets]],Table25[[#This Row],[Assets]],Table25[[#All],[Bought Amount]])</f>
        <v>24146.880000000001</v>
      </c>
      <c r="J2071" s="88">
        <f>IF(Table25[[#This Row],[Number of stocks]]&lt;0,Table25[[#This Row],[Number of stocks]],0)</f>
        <v>0</v>
      </c>
      <c r="K2071" s="5">
        <f>Table25[[#This Row],[Sold]]*Table25[[#This Row],[Price]]</f>
        <v>0</v>
      </c>
      <c r="L2071" s="8">
        <f>ABS(SUMIF(Table25[[#All],[Assets]],Table25[[#This Row],[Assets]],Table25[[#All],[Sold]]))</f>
        <v>535</v>
      </c>
      <c r="M2071" s="5">
        <f>ABS(SUMIF(Table25[[#All],[Assets]],Table25[[#This Row],[Assets]],Table25[[#All],[Sold Amount]]))</f>
        <v>14777.289999999999</v>
      </c>
      <c r="N2071" s="5">
        <f>IFERROR(Table25[[#This Row],[Total sold amount]]/Table25[[#This Row],[Total Sold number of stocks]],"")</f>
        <v>27.621102803738317</v>
      </c>
      <c r="O2071" s="250">
        <f>IFERROR(Table25[[#This Row],[Total Amount bought]]/Table25[[#This Row],[Total number bought]],"")</f>
        <v>29.722895125553915</v>
      </c>
      <c r="P2071" s="250">
        <f>IFERROR((Table25[[#This Row],[Average sell price]]-Table25[[#This Row],[Average buy price]])*Table25[[#This Row],[Total Sold number of stocks]],0)</f>
        <v>-1124.4588921713448</v>
      </c>
      <c r="Q2071" s="85">
        <f>SUMIF(Table25[[#All],[Assets]],Table25[[#This Row],[Assets]],Table25[[#All],[Number of stocks]])</f>
        <v>277.39999999999998</v>
      </c>
    </row>
    <row r="2072" spans="1:17">
      <c r="A2072" t="e" vm="129">
        <v>#VALUE!</v>
      </c>
      <c r="B2072" s="2">
        <v>46056</v>
      </c>
      <c r="C2072" t="str" cm="1">
        <f t="array" aca="1" ref="C2072" ca="1">_FV(A2072,"Ticker symbol",TRUE)</f>
        <v>MRVL</v>
      </c>
      <c r="D2072" s="4">
        <v>73.180000000000007</v>
      </c>
      <c r="E2072" s="50">
        <v>-27</v>
      </c>
      <c r="F2072" s="247">
        <f>IF(Table25[[#This Row],[Number of stocks]]&gt;0,Table25[[#This Row],[Number of stocks]],0)</f>
        <v>0</v>
      </c>
      <c r="G2072" s="248">
        <f>Table25[[#This Row],[Bought]]*Table25[[#This Row],[Price]]</f>
        <v>0</v>
      </c>
      <c r="H2072" s="249">
        <f>SUMIF(Table25[[#All],[Assets]],Table25[[#This Row],[Assets]],Table25[[#All],[Bought]])</f>
        <v>105</v>
      </c>
      <c r="I2072" s="249">
        <f>SUMIF(Table25[[#All],[Assets]],Table25[[#This Row],[Assets]],Table25[[#All],[Bought Amount]])</f>
        <v>8175.6200000000008</v>
      </c>
      <c r="J2072" s="88">
        <f>IF(Table25[[#This Row],[Number of stocks]]&lt;0,Table25[[#This Row],[Number of stocks]],0)</f>
        <v>-27</v>
      </c>
      <c r="K2072" s="5">
        <f>Table25[[#This Row],[Sold]]*Table25[[#This Row],[Price]]</f>
        <v>-1975.8600000000001</v>
      </c>
      <c r="L2072" s="8">
        <f>ABS(SUMIF(Table25[[#All],[Assets]],Table25[[#This Row],[Assets]],Table25[[#All],[Sold]]))</f>
        <v>83</v>
      </c>
      <c r="M2072" s="5">
        <f>ABS(SUMIF(Table25[[#All],[Assets]],Table25[[#This Row],[Assets]],Table25[[#All],[Sold Amount]]))</f>
        <v>6745.73</v>
      </c>
      <c r="N2072" s="5">
        <f>IFERROR(Table25[[#This Row],[Total sold amount]]/Table25[[#This Row],[Total Sold number of stocks]],"")</f>
        <v>81.273855421686747</v>
      </c>
      <c r="O2072" s="250">
        <f>IFERROR(Table25[[#This Row],[Total Amount bought]]/Table25[[#This Row],[Total number bought]],"")</f>
        <v>77.86304761904762</v>
      </c>
      <c r="P2072" s="250">
        <f>IFERROR((Table25[[#This Row],[Average sell price]]-Table25[[#This Row],[Average buy price]])*Table25[[#This Row],[Total Sold number of stocks]],0)</f>
        <v>283.09704761904754</v>
      </c>
      <c r="Q2072" s="85">
        <f>SUMIF(Table25[[#All],[Assets]],Table25[[#This Row],[Assets]],Table25[[#All],[Number of stocks]])</f>
        <v>22</v>
      </c>
    </row>
    <row r="2073" spans="1:17">
      <c r="A2073" t="e" vm="197">
        <v>#VALUE!</v>
      </c>
      <c r="B2073" s="2">
        <v>46056</v>
      </c>
      <c r="C2073" t="str" cm="1">
        <f t="array" aca="1" ref="C2073" ca="1">_FV(A2073,"Ticker symbol",TRUE)</f>
        <v>AMBA</v>
      </c>
      <c r="D2073" s="4">
        <v>59.49</v>
      </c>
      <c r="E2073" s="50">
        <v>-6</v>
      </c>
      <c r="F2073" s="247">
        <f>IF(Table25[[#This Row],[Number of stocks]]&gt;0,Table25[[#This Row],[Number of stocks]],0)</f>
        <v>0</v>
      </c>
      <c r="G2073" s="248">
        <f>Table25[[#This Row],[Bought]]*Table25[[#This Row],[Price]]</f>
        <v>0</v>
      </c>
      <c r="H2073" s="249">
        <f>SUMIF(Table25[[#All],[Assets]],Table25[[#This Row],[Assets]],Table25[[#All],[Bought]])</f>
        <v>21</v>
      </c>
      <c r="I2073" s="249">
        <f>SUMIF(Table25[[#All],[Assets]],Table25[[#This Row],[Assets]],Table25[[#All],[Bought Amount]])</f>
        <v>1531.0499999999997</v>
      </c>
      <c r="J2073" s="88">
        <f>IF(Table25[[#This Row],[Number of stocks]]&lt;0,Table25[[#This Row],[Number of stocks]],0)</f>
        <v>-6</v>
      </c>
      <c r="K2073" s="5">
        <f>Table25[[#This Row],[Sold]]*Table25[[#This Row],[Price]]</f>
        <v>-356.94</v>
      </c>
      <c r="L2073" s="8">
        <f>ABS(SUMIF(Table25[[#All],[Assets]],Table25[[#This Row],[Assets]],Table25[[#All],[Sold]]))</f>
        <v>21</v>
      </c>
      <c r="M2073" s="5">
        <f>ABS(SUMIF(Table25[[#All],[Assets]],Table25[[#This Row],[Assets]],Table25[[#All],[Sold Amount]]))</f>
        <v>1248.69</v>
      </c>
      <c r="N2073" s="5">
        <f>IFERROR(Table25[[#This Row],[Total sold amount]]/Table25[[#This Row],[Total Sold number of stocks]],"")</f>
        <v>59.461428571428577</v>
      </c>
      <c r="O2073" s="250">
        <f>IFERROR(Table25[[#This Row],[Total Amount bought]]/Table25[[#This Row],[Total number bought]],"")</f>
        <v>72.907142857142844</v>
      </c>
      <c r="P2073" s="250">
        <f>IFERROR((Table25[[#This Row],[Average sell price]]-Table25[[#This Row],[Average buy price]])*Table25[[#This Row],[Total Sold number of stocks]],0)</f>
        <v>-282.35999999999962</v>
      </c>
      <c r="Q2073" s="85">
        <f>SUMIF(Table25[[#All],[Assets]],Table25[[#This Row],[Assets]],Table25[[#All],[Number of stocks]])</f>
        <v>0</v>
      </c>
    </row>
    <row r="2074" spans="1:17">
      <c r="A2074" t="e" vm="197">
        <v>#VALUE!</v>
      </c>
      <c r="B2074" s="2">
        <v>46056</v>
      </c>
      <c r="C2074" t="str" cm="1">
        <f t="array" aca="1" ref="C2074" ca="1">_FV(A2074,"Ticker symbol",TRUE)</f>
        <v>AMBA</v>
      </c>
      <c r="D2074" s="4">
        <v>59.45</v>
      </c>
      <c r="E2074" s="50">
        <v>-15</v>
      </c>
      <c r="F2074" s="247">
        <f>IF(Table25[[#This Row],[Number of stocks]]&gt;0,Table25[[#This Row],[Number of stocks]],0)</f>
        <v>0</v>
      </c>
      <c r="G2074" s="248">
        <f>Table25[[#This Row],[Bought]]*Table25[[#This Row],[Price]]</f>
        <v>0</v>
      </c>
      <c r="H2074" s="249">
        <f>SUMIF(Table25[[#All],[Assets]],Table25[[#This Row],[Assets]],Table25[[#All],[Bought]])</f>
        <v>21</v>
      </c>
      <c r="I2074" s="249">
        <f>SUMIF(Table25[[#All],[Assets]],Table25[[#This Row],[Assets]],Table25[[#All],[Bought Amount]])</f>
        <v>1531.0499999999997</v>
      </c>
      <c r="J2074" s="88">
        <f>IF(Table25[[#This Row],[Number of stocks]]&lt;0,Table25[[#This Row],[Number of stocks]],0)</f>
        <v>-15</v>
      </c>
      <c r="K2074" s="5">
        <f>Table25[[#This Row],[Sold]]*Table25[[#This Row],[Price]]</f>
        <v>-891.75</v>
      </c>
      <c r="L2074" s="8">
        <f>ABS(SUMIF(Table25[[#All],[Assets]],Table25[[#This Row],[Assets]],Table25[[#All],[Sold]]))</f>
        <v>21</v>
      </c>
      <c r="M2074" s="5">
        <f>ABS(SUMIF(Table25[[#All],[Assets]],Table25[[#This Row],[Assets]],Table25[[#All],[Sold Amount]]))</f>
        <v>1248.69</v>
      </c>
      <c r="N2074" s="5">
        <f>IFERROR(Table25[[#This Row],[Total sold amount]]/Table25[[#This Row],[Total Sold number of stocks]],"")</f>
        <v>59.461428571428577</v>
      </c>
      <c r="O2074" s="250">
        <f>IFERROR(Table25[[#This Row],[Total Amount bought]]/Table25[[#This Row],[Total number bought]],"")</f>
        <v>72.907142857142844</v>
      </c>
      <c r="P2074" s="250">
        <f>IFERROR((Table25[[#This Row],[Average sell price]]-Table25[[#This Row],[Average buy price]])*Table25[[#This Row],[Total Sold number of stocks]],0)</f>
        <v>-282.35999999999962</v>
      </c>
      <c r="Q2074" s="85">
        <f>SUMIF(Table25[[#All],[Assets]],Table25[[#This Row],[Assets]],Table25[[#All],[Number of stocks]])</f>
        <v>0</v>
      </c>
    </row>
    <row r="2075" spans="1:17">
      <c r="A2075" t="e" vm="216">
        <v>#VALUE!</v>
      </c>
      <c r="B2075" s="2">
        <v>46056</v>
      </c>
      <c r="C2075" t="str" cm="1">
        <f t="array" aca="1" ref="C2075" ca="1">_FV(A2075,"Ticker symbol",TRUE)</f>
        <v>INSG</v>
      </c>
      <c r="D2075" s="4">
        <v>10.41</v>
      </c>
      <c r="E2075" s="50">
        <v>-80</v>
      </c>
      <c r="F2075" s="247">
        <f>IF(Table25[[#This Row],[Number of stocks]]&gt;0,Table25[[#This Row],[Number of stocks]],0)</f>
        <v>0</v>
      </c>
      <c r="G2075" s="248">
        <f>Table25[[#This Row],[Bought]]*Table25[[#This Row],[Price]]</f>
        <v>0</v>
      </c>
      <c r="H2075" s="249">
        <f>SUMIF(Table25[[#All],[Assets]],Table25[[#This Row],[Assets]],Table25[[#All],[Bought]])</f>
        <v>310</v>
      </c>
      <c r="I2075" s="249">
        <f>SUMIF(Table25[[#All],[Assets]],Table25[[#This Row],[Assets]],Table25[[#All],[Bought Amount]])</f>
        <v>3450.2</v>
      </c>
      <c r="J2075" s="88">
        <f>IF(Table25[[#This Row],[Number of stocks]]&lt;0,Table25[[#This Row],[Number of stocks]],0)</f>
        <v>-80</v>
      </c>
      <c r="K2075" s="5">
        <f>Table25[[#This Row],[Sold]]*Table25[[#This Row],[Price]]</f>
        <v>-832.8</v>
      </c>
      <c r="L2075" s="8">
        <f>ABS(SUMIF(Table25[[#All],[Assets]],Table25[[#This Row],[Assets]],Table25[[#All],[Sold]]))</f>
        <v>310</v>
      </c>
      <c r="M2075" s="5">
        <f>ABS(SUMIF(Table25[[#All],[Assets]],Table25[[#This Row],[Assets]],Table25[[#All],[Sold Amount]]))</f>
        <v>3081.5</v>
      </c>
      <c r="N2075" s="5">
        <f>IFERROR(Table25[[#This Row],[Total sold amount]]/Table25[[#This Row],[Total Sold number of stocks]],"")</f>
        <v>9.9403225806451605</v>
      </c>
      <c r="O2075" s="250">
        <f>IFERROR(Table25[[#This Row],[Total Amount bought]]/Table25[[#This Row],[Total number bought]],"")</f>
        <v>11.129677419354838</v>
      </c>
      <c r="P2075" s="250">
        <f>IFERROR((Table25[[#This Row],[Average sell price]]-Table25[[#This Row],[Average buy price]])*Table25[[#This Row],[Total Sold number of stocks]],0)</f>
        <v>-368.70000000000005</v>
      </c>
      <c r="Q2075" s="85">
        <f>SUMIF(Table25[[#All],[Assets]],Table25[[#This Row],[Assets]],Table25[[#All],[Number of stocks]])</f>
        <v>0</v>
      </c>
    </row>
  </sheetData>
  <conditionalFormatting sqref="A187:A196">
    <cfRule type="cellIs" dxfId="21" priority="3" operator="equal">
      <formula>"None"</formula>
    </cfRule>
  </conditionalFormatting>
  <conditionalFormatting sqref="P4:P2075">
    <cfRule type="cellIs" dxfId="20" priority="1" operator="lessThan">
      <formula>0</formula>
    </cfRule>
    <cfRule type="cellIs" dxfId="19" priority="2" operator="greaterThan">
      <formula>0</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59AD5E3-C873-494F-B30C-F3C6946CA4E7}">
          <x14:formula1>
            <xm:f>EquityPortfolio!$A:$A</xm:f>
          </x14:formula1>
          <xm:sqref>A1332:A1504 A1:A1120 A1122:A1330 A1506:A1048576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2A0CC-AEF8-DE48-828D-09DDA68CEA8C}">
  <dimension ref="A1:AR1114"/>
  <sheetViews>
    <sheetView zoomScale="80" zoomScaleNormal="80" workbookViewId="0">
      <pane xSplit="1" topLeftCell="B1" activePane="topRight" state="frozen"/>
      <selection activeCell="A344" sqref="A344"/>
      <selection pane="topRight" activeCell="L852" sqref="L852"/>
    </sheetView>
  </sheetViews>
  <sheetFormatPr baseColWidth="10" defaultRowHeight="16"/>
  <cols>
    <col min="1" max="1" width="28" customWidth="1"/>
    <col min="2" max="2" width="27.5" customWidth="1"/>
    <col min="3" max="3" width="22.33203125" customWidth="1"/>
    <col min="4" max="4" width="19.1640625" bestFit="1" customWidth="1"/>
    <col min="5" max="5" width="16.33203125" customWidth="1"/>
    <col min="6" max="6" width="14.83203125" customWidth="1"/>
    <col min="7" max="7" width="12" customWidth="1"/>
    <col min="8" max="8" width="15.1640625" customWidth="1"/>
    <col min="9" max="9" width="9.1640625" customWidth="1"/>
    <col min="10" max="10" width="14.1640625" bestFit="1" customWidth="1"/>
    <col min="11" max="11" width="11.83203125" bestFit="1" customWidth="1"/>
    <col min="12" max="12" width="13.33203125" customWidth="1"/>
    <col min="13" max="13" width="17.33203125" customWidth="1"/>
    <col min="14" max="14" width="11" customWidth="1"/>
    <col min="15" max="15" width="12.6640625" customWidth="1"/>
    <col min="16" max="16" width="11.6640625" customWidth="1"/>
    <col min="17" max="17" width="12.5" customWidth="1"/>
    <col min="18" max="18" width="13.5" customWidth="1"/>
    <col min="19" max="19" width="16.5" bestFit="1" customWidth="1"/>
    <col min="20" max="21" width="16.1640625" customWidth="1"/>
    <col min="22" max="22" width="12.33203125" customWidth="1"/>
    <col min="23" max="23" width="9.83203125" hidden="1" customWidth="1"/>
    <col min="24" max="24" width="12.83203125" customWidth="1"/>
    <col min="25" max="25" width="10.1640625" bestFit="1" customWidth="1"/>
    <col min="26" max="26" width="17.83203125" customWidth="1"/>
    <col min="27" max="27" width="17.33203125" customWidth="1"/>
    <col min="28" max="28" width="8.1640625" hidden="1" customWidth="1"/>
    <col min="29" max="29" width="6.5" customWidth="1"/>
    <col min="30" max="30" width="16" bestFit="1" customWidth="1"/>
    <col min="31" max="31" width="11.6640625" bestFit="1" customWidth="1"/>
  </cols>
  <sheetData>
    <row r="1" spans="1:32" s="116" customFormat="1" ht="24">
      <c r="A1" s="117" t="s">
        <v>314</v>
      </c>
    </row>
    <row r="2" spans="1:32" ht="21">
      <c r="A2" s="122" t="s">
        <v>105</v>
      </c>
      <c r="B2" s="123">
        <v>3.6269999999999997E-2</v>
      </c>
      <c r="C2" s="124"/>
      <c r="D2" s="124"/>
      <c r="E2" s="124"/>
      <c r="F2" s="124"/>
      <c r="G2" s="124"/>
      <c r="H2" s="124"/>
      <c r="I2" s="124"/>
      <c r="J2" s="124"/>
      <c r="K2" s="124"/>
      <c r="L2" s="124"/>
      <c r="M2" s="124"/>
      <c r="N2" s="124"/>
      <c r="O2" s="124"/>
      <c r="P2" s="124"/>
      <c r="Q2" s="124"/>
      <c r="R2" s="124"/>
      <c r="S2" s="124"/>
      <c r="T2" s="215">
        <f>SUM(Table20[[#All],[realized_profit]])</f>
        <v>25969.009999999995</v>
      </c>
      <c r="U2" s="125">
        <f>SUMIF(Table20[[#All],[Remaining]],"&gt;0",Table20[[#All],[Invested]])</f>
        <v>12925</v>
      </c>
      <c r="V2" s="124"/>
      <c r="W2" s="124"/>
      <c r="X2" s="124"/>
      <c r="Y2" s="124"/>
      <c r="Z2" s="126">
        <f ca="1">SUM(Table20[nominal_exposure])</f>
        <v>804011.92</v>
      </c>
      <c r="AA2" s="127">
        <f ca="1">SUM(Table20[[#All],[delta_exposure]])</f>
        <v>27680.76241963388</v>
      </c>
      <c r="AB2" s="127"/>
      <c r="AC2" s="124"/>
      <c r="AD2" s="125">
        <f>SUM(Table20[[#All],[Value at risk]])</f>
        <v>11779</v>
      </c>
    </row>
    <row r="3" spans="1:32" ht="19">
      <c r="A3" s="29"/>
      <c r="B3" s="28"/>
    </row>
    <row r="4" spans="1:32" ht="21">
      <c r="A4" s="79">
        <v>1</v>
      </c>
      <c r="B4" s="79">
        <v>2</v>
      </c>
      <c r="C4" s="79">
        <v>3</v>
      </c>
      <c r="D4" s="79">
        <v>4</v>
      </c>
      <c r="E4" s="79">
        <v>5</v>
      </c>
      <c r="F4" s="79">
        <v>6</v>
      </c>
      <c r="G4" s="79">
        <v>7</v>
      </c>
      <c r="H4" s="79">
        <v>8</v>
      </c>
      <c r="I4" s="79">
        <v>9</v>
      </c>
      <c r="J4" s="79">
        <v>10</v>
      </c>
      <c r="K4" s="79">
        <v>11</v>
      </c>
      <c r="L4" s="79">
        <v>12</v>
      </c>
      <c r="M4" s="79">
        <v>13</v>
      </c>
      <c r="N4" s="79">
        <v>14</v>
      </c>
      <c r="O4" s="79">
        <v>15</v>
      </c>
      <c r="P4" s="79">
        <v>16</v>
      </c>
      <c r="Q4" s="79">
        <v>17</v>
      </c>
      <c r="R4" s="79">
        <v>18</v>
      </c>
      <c r="S4" s="79">
        <v>19</v>
      </c>
      <c r="T4" s="79">
        <v>20</v>
      </c>
      <c r="U4" s="79">
        <v>21</v>
      </c>
      <c r="V4" s="79">
        <v>22</v>
      </c>
      <c r="W4" s="79">
        <v>23</v>
      </c>
      <c r="X4" s="79">
        <v>24</v>
      </c>
      <c r="Y4" s="79">
        <v>25</v>
      </c>
      <c r="Z4" s="79">
        <v>26</v>
      </c>
      <c r="AA4" s="79">
        <v>27</v>
      </c>
      <c r="AB4" s="79">
        <v>28</v>
      </c>
      <c r="AC4" s="79">
        <v>29</v>
      </c>
      <c r="AD4" s="79">
        <v>30</v>
      </c>
      <c r="AE4" s="79">
        <v>31</v>
      </c>
      <c r="AF4" s="79">
        <v>32</v>
      </c>
    </row>
    <row r="5" spans="1:32">
      <c r="A5" s="35" t="s">
        <v>21</v>
      </c>
      <c r="B5" s="21" t="s">
        <v>61</v>
      </c>
      <c r="C5" s="21" t="s">
        <v>60</v>
      </c>
      <c r="D5" s="21" t="s">
        <v>2</v>
      </c>
      <c r="E5" s="21" t="s">
        <v>89</v>
      </c>
      <c r="F5" s="32" t="s">
        <v>95</v>
      </c>
      <c r="G5" s="156" t="s">
        <v>111</v>
      </c>
      <c r="H5" s="111" t="s">
        <v>40</v>
      </c>
      <c r="I5" s="21" t="s">
        <v>116</v>
      </c>
      <c r="J5" s="157" t="s">
        <v>102</v>
      </c>
      <c r="K5" s="158" t="s">
        <v>94</v>
      </c>
      <c r="L5" s="32" t="s">
        <v>103</v>
      </c>
      <c r="M5" s="23" t="s">
        <v>96</v>
      </c>
      <c r="N5" s="23" t="s">
        <v>97</v>
      </c>
      <c r="O5" s="23" t="s">
        <v>98</v>
      </c>
      <c r="P5" s="23" t="s">
        <v>99</v>
      </c>
      <c r="Q5" t="s">
        <v>101</v>
      </c>
      <c r="R5" t="s">
        <v>100</v>
      </c>
      <c r="S5" t="s">
        <v>91</v>
      </c>
      <c r="T5" t="s">
        <v>90</v>
      </c>
      <c r="U5" t="s">
        <v>104</v>
      </c>
      <c r="V5" s="8" t="s">
        <v>66</v>
      </c>
      <c r="W5" t="s">
        <v>106</v>
      </c>
      <c r="X5" t="s">
        <v>107</v>
      </c>
      <c r="Y5" t="s">
        <v>108</v>
      </c>
      <c r="Z5" t="s">
        <v>92</v>
      </c>
      <c r="AA5" s="159" t="s">
        <v>93</v>
      </c>
      <c r="AB5" s="160" t="s">
        <v>77</v>
      </c>
      <c r="AC5" t="s">
        <v>313</v>
      </c>
      <c r="AD5" t="s">
        <v>327</v>
      </c>
      <c r="AE5" t="s">
        <v>349</v>
      </c>
      <c r="AF5" t="s">
        <v>389</v>
      </c>
    </row>
    <row r="6" spans="1:32" hidden="1">
      <c r="A6" s="35">
        <v>45471</v>
      </c>
      <c r="B6" s="21" t="e" vm="29">
        <v>#VALUE!</v>
      </c>
      <c r="C6" s="109" t="str" cm="1">
        <f t="array" aca="1" ref="C6" ca="1">_FV(Table20[[#This Row],[Asset]],"Ticker symbol",TRUE)</f>
        <v>NVDA</v>
      </c>
      <c r="D6" s="26" cm="1">
        <f t="array" aca="1" ref="D6" ca="1">_FV(Table20[[#This Row],[Asset]],"Price")</f>
        <v>180.405</v>
      </c>
      <c r="E6" s="26">
        <v>120</v>
      </c>
      <c r="F6" s="32">
        <v>2</v>
      </c>
      <c r="G6" s="34">
        <v>1</v>
      </c>
      <c r="H6" s="21" t="s">
        <v>65</v>
      </c>
      <c r="I6" s="25">
        <v>45469</v>
      </c>
      <c r="J6" s="26">
        <v>0.97</v>
      </c>
      <c r="K6" s="24">
        <v>0.60129999999999995</v>
      </c>
      <c r="L6" s="34">
        <f>VLOOKUP(Table20[[#This Row],[Strategy]],Table29[#All],6,FALSE)</f>
        <v>-1</v>
      </c>
      <c r="M6" s="23">
        <v>2</v>
      </c>
      <c r="N6" s="23">
        <v>0.32</v>
      </c>
      <c r="O6" s="23"/>
      <c r="P6" s="23"/>
      <c r="Q6">
        <f>Table20[[#This Row],[Exit1]]*Table20[[#This Row],[ex1_price]]</f>
        <v>0.64</v>
      </c>
      <c r="R6">
        <f>Table20[[#This Row],[Exit2]]*Table20[[#This Row],[ex2_price]]</f>
        <v>0</v>
      </c>
      <c r="S6">
        <f>IFERROR((Table20[[#This Row],[ex2_amnt]]+Table20[[#This Row],[ex1_amnt]])/(Table20[[#This Row],[Exit2]]+Table20[[#This Row],[Exit1]]),0)</f>
        <v>0.32</v>
      </c>
      <c r="T6" s="5">
        <f>(Table20[[#This Row],[Exit1]]+Table20[[#This Row],[Exit2]])*(Table20[[#This Row],[avg_exit_price]]-Table20[[#This Row],[AvePrice]])*100*Table20[[#This Row],[Buy or Sell]]</f>
        <v>-129.99999999999997</v>
      </c>
      <c r="U6" s="5">
        <f>Table20[[#This Row],[Number of options]]*Table20[[#This Row],[AvePrice]]*100*Table20[[#This Row],[Buy or Sell]]</f>
        <v>194</v>
      </c>
      <c r="V6" s="8">
        <f>Table20[[#This Row],[Number of options]]-Table20[[#This Row],[Exit1]]-Table20[[#This Row],[Exit2]]</f>
        <v>0</v>
      </c>
      <c r="W6" s="30">
        <f ca="1">(Table20[[#This Row],[Expiration Date]]-TODAY())/365</f>
        <v>-1.7424657534246575</v>
      </c>
      <c r="X6" t="e">
        <f ca="1">(LN(Table20[[#This Row],[Current Price]]/Table20[[#This Row],[strike_price]]) + ($B$2 + (Table20[[#This Row],[Vol]]^2)/2)*Table20[[#This Row],[Time to expiration]]) / (Table20[[#This Row],[Vol]] * SQRT(Table20[[#This Row],[Time to expiration]]))</f>
        <v>#NUM!</v>
      </c>
      <c r="Y6" s="30" t="e">
        <f ca="1">IF(Table20[[#This Row],[Direction]]&gt;0, _xlfn.NORM.S.DIST(Table20[[#This Row],[d1]], TRUE), _xlfn.NORM.S.DIST(Table20[[#This Row],[d1]], TRUE) - 1) * Table20[[#This Row],[Buy or Sell]]</f>
        <v>#NUM!</v>
      </c>
      <c r="Z6" s="9">
        <f ca="1">Table20[[#This Row],[Remaining]]*Table20[[#This Row],[Current Price]]*100</f>
        <v>0</v>
      </c>
      <c r="AA6" s="22">
        <f ca="1">IFERROR(Table20[[#This Row],[nominal_exposure]]*Table20[[#This Row],[Delta]],0)</f>
        <v>0</v>
      </c>
      <c r="AB6" s="95" t="b">
        <f>IF(Table20[[#This Row],[date_purchased]]&lt;&gt;Table20[[#This Row],[Expiration Date]],FALSE,TRUE)</f>
        <v>0</v>
      </c>
      <c r="AC6" s="30" t="str">
        <f>VLOOKUP(Table20[[#This Row],[Asset]],Table19[#All],3,FALSE)</f>
        <v>AI</v>
      </c>
      <c r="AD6" s="30">
        <f>IF(Table20[[#This Row],[Remaining]]&lt;&gt;0,Table20[[#This Row],[Invested]]*Table20[[#This Row],[Remaining]]/Table20[[#This Row],[Number of options]],0)</f>
        <v>0</v>
      </c>
      <c r="AE6" s="30">
        <f ca="1">SUMIF(Table20[Ticker],Table20[[#This Row],[Ticker]],Table20[realized_profit])</f>
        <v>-637.99999999999955</v>
      </c>
      <c r="AF6" s="30" t="str">
        <f>VLOOKUP(Table20[[#This Row],[Strategy]],Table29[#All],7,FALSE)</f>
        <v>Bearish</v>
      </c>
    </row>
    <row r="7" spans="1:32" hidden="1">
      <c r="A7" s="35">
        <v>45471</v>
      </c>
      <c r="B7" s="21" t="e" vm="115">
        <v>#VALUE!</v>
      </c>
      <c r="C7" s="109" t="str" cm="1">
        <f t="array" aca="1" ref="C7" ca="1">_FV(Table20[[#This Row],[Asset]],"Ticker symbol",TRUE)</f>
        <v>QQQ</v>
      </c>
      <c r="D7" s="26" cm="1">
        <f t="array" aca="1" ref="D7" ca="1">_FV(Table20[[#This Row],[Asset]],"Price")</f>
        <v>590.62</v>
      </c>
      <c r="E7" s="26">
        <v>475</v>
      </c>
      <c r="F7" s="32">
        <v>1</v>
      </c>
      <c r="G7" s="34">
        <v>1</v>
      </c>
      <c r="H7" s="21" t="s">
        <v>65</v>
      </c>
      <c r="I7" s="25">
        <v>45468</v>
      </c>
      <c r="J7" s="26">
        <v>1.43</v>
      </c>
      <c r="K7" s="24">
        <v>0.18049999999999999</v>
      </c>
      <c r="L7" s="34">
        <f>VLOOKUP(Table20[[#This Row],[Strategy]],Table29[#All],6,FALSE)</f>
        <v>-1</v>
      </c>
      <c r="M7" s="23">
        <v>1</v>
      </c>
      <c r="N7" s="23">
        <v>0.04</v>
      </c>
      <c r="O7" s="23"/>
      <c r="P7" s="23"/>
      <c r="Q7">
        <f>Table20[[#This Row],[Exit1]]*Table20[[#This Row],[ex1_price]]</f>
        <v>0.04</v>
      </c>
      <c r="R7">
        <f>Table20[[#This Row],[Exit2]]*Table20[[#This Row],[ex2_price]]</f>
        <v>0</v>
      </c>
      <c r="S7">
        <f>IFERROR((Table20[[#This Row],[ex2_amnt]]+Table20[[#This Row],[ex1_amnt]])/(Table20[[#This Row],[Exit2]]+Table20[[#This Row],[Exit1]]),0)</f>
        <v>0.04</v>
      </c>
      <c r="T7" s="5">
        <f>(Table20[[#This Row],[Exit1]]+Table20[[#This Row],[Exit2]])*(Table20[[#This Row],[avg_exit_price]]-Table20[[#This Row],[AvePrice]])*100*Table20[[#This Row],[Buy or Sell]]</f>
        <v>-139</v>
      </c>
      <c r="U7" s="5">
        <f>Table20[[#This Row],[Number of options]]*Table20[[#This Row],[AvePrice]]*100*Table20[[#This Row],[Buy or Sell]]</f>
        <v>143</v>
      </c>
      <c r="V7" s="8">
        <f>Table20[[#This Row],[Number of options]]-Table20[[#This Row],[Exit1]]-Table20[[#This Row],[Exit2]]</f>
        <v>0</v>
      </c>
      <c r="W7" s="30">
        <f ca="1">(Table20[[#This Row],[Expiration Date]]-TODAY())/365</f>
        <v>-1.7424657534246575</v>
      </c>
      <c r="X7" t="e">
        <f ca="1">(LN(Table20[[#This Row],[Current Price]]/Table20[[#This Row],[strike_price]]) + ($B$2 + (Table20[[#This Row],[Vol]]^2)/2)*Table20[[#This Row],[Time to expiration]]) / (Table20[[#This Row],[Vol]] * SQRT(Table20[[#This Row],[Time to expiration]]))</f>
        <v>#NUM!</v>
      </c>
      <c r="Y7" s="30" t="e">
        <f ca="1">IF(Table20[[#This Row],[Direction]]&gt;0, _xlfn.NORM.S.DIST(Table20[[#This Row],[d1]], TRUE), _xlfn.NORM.S.DIST(Table20[[#This Row],[d1]], TRUE) - 1) * Table20[[#This Row],[Buy or Sell]]</f>
        <v>#NUM!</v>
      </c>
      <c r="Z7" s="9">
        <f ca="1">Table20[[#This Row],[Remaining]]*Table20[[#This Row],[Current Price]]*100</f>
        <v>0</v>
      </c>
      <c r="AA7" s="22">
        <f ca="1">IFERROR(Table20[[#This Row],[nominal_exposure]]*Table20[[#This Row],[Delta]],0)</f>
        <v>0</v>
      </c>
      <c r="AB7" s="95" t="b">
        <f>IF(Table20[[#This Row],[date_purchased]]&lt;&gt;Table20[[#This Row],[Expiration Date]],FALSE,TRUE)</f>
        <v>0</v>
      </c>
      <c r="AC7" s="30" t="str">
        <f>VLOOKUP(Table20[[#This Row],[Asset]],Table19[#All],3,FALSE)</f>
        <v>Market</v>
      </c>
      <c r="AD7" s="30">
        <f>IF(Table20[[#This Row],[Remaining]]&lt;&gt;0,Table20[[#This Row],[Invested]]*Table20[[#This Row],[Remaining]]/Table20[[#This Row],[Number of options]],0)</f>
        <v>0</v>
      </c>
      <c r="AE7" s="30">
        <f ca="1">SUMIF(Table20[Ticker],Table20[[#This Row],[Ticker]],Table20[realized_profit])</f>
        <v>-1212</v>
      </c>
      <c r="AF7" s="30" t="str">
        <f>VLOOKUP(Table20[[#This Row],[Strategy]],Table29[#All],7,FALSE)</f>
        <v>Bearish</v>
      </c>
    </row>
    <row r="8" spans="1:32" hidden="1">
      <c r="A8" s="35">
        <v>45471</v>
      </c>
      <c r="B8" s="21" t="e" vm="32">
        <v>#VALUE!</v>
      </c>
      <c r="C8" s="109" t="str" cm="1">
        <f t="array" aca="1" ref="C8" ca="1">_FV(Table20[[#This Row],[Asset]],"Ticker symbol",TRUE)</f>
        <v>MU</v>
      </c>
      <c r="D8" s="26" cm="1">
        <f t="array" aca="1" ref="D8" ca="1">_FV(Table20[[#This Row],[Asset]],"Price")</f>
        <v>381.57</v>
      </c>
      <c r="E8" s="26">
        <v>135</v>
      </c>
      <c r="F8" s="33">
        <v>2</v>
      </c>
      <c r="G8" s="34">
        <v>1</v>
      </c>
      <c r="H8" s="21" t="s">
        <v>113</v>
      </c>
      <c r="I8" s="31">
        <v>45471</v>
      </c>
      <c r="J8" s="26">
        <v>0.82</v>
      </c>
      <c r="K8" s="24">
        <v>0.65180000000000005</v>
      </c>
      <c r="L8" s="33">
        <f>VLOOKUP(Table20[[#This Row],[Strategy]],Table29[#All],6,FALSE)</f>
        <v>1</v>
      </c>
      <c r="M8" s="23">
        <v>2</v>
      </c>
      <c r="N8" s="23">
        <v>0.05</v>
      </c>
      <c r="O8" s="23"/>
      <c r="P8" s="23"/>
      <c r="Q8">
        <f>Table20[[#This Row],[Exit1]]*Table20[[#This Row],[ex1_price]]</f>
        <v>0.1</v>
      </c>
      <c r="R8">
        <f>Table20[[#This Row],[Exit2]]*Table20[[#This Row],[ex2_price]]</f>
        <v>0</v>
      </c>
      <c r="S8">
        <f>IFERROR((Table20[[#This Row],[ex2_amnt]]+Table20[[#This Row],[ex1_amnt]])/(Table20[[#This Row],[Exit2]]+Table20[[#This Row],[Exit1]]),0)</f>
        <v>0.05</v>
      </c>
      <c r="T8" s="5">
        <f>(Table20[[#This Row],[Exit1]]+Table20[[#This Row],[Exit2]])*(Table20[[#This Row],[avg_exit_price]]-Table20[[#This Row],[AvePrice]])*100*Table20[[#This Row],[Buy or Sell]]</f>
        <v>-153.99999999999997</v>
      </c>
      <c r="U8" s="5">
        <f>Table20[[#This Row],[Number of options]]*Table20[[#This Row],[AvePrice]]*100*Table20[[#This Row],[Buy or Sell]]</f>
        <v>164</v>
      </c>
      <c r="V8" s="8">
        <f>Table20[[#This Row],[Number of options]]-Table20[[#This Row],[Exit1]]-Table20[[#This Row],[Exit2]]</f>
        <v>0</v>
      </c>
      <c r="W8" s="30">
        <f ca="1">(Table20[[#This Row],[Expiration Date]]-TODAY())/365</f>
        <v>-1.7424657534246575</v>
      </c>
      <c r="X8" s="30" t="e">
        <f ca="1">(LN(Table20[[#This Row],[Current Price]]/Table20[[#This Row],[strike_price]]) + ($B$2 + (Table20[[#This Row],[Vol]]^2)/2)*Table20[[#This Row],[Time to expiration]]) / (Table20[[#This Row],[Vol]] * SQRT(Table20[[#This Row],[Time to expiration]]))</f>
        <v>#NUM!</v>
      </c>
      <c r="Y8" s="30" t="e">
        <f ca="1">IF(Table20[[#This Row],[Direction]]&gt;0, _xlfn.NORM.S.DIST(Table20[[#This Row],[d1]], TRUE), _xlfn.NORM.S.DIST(Table20[[#This Row],[d1]], TRUE) - 1) * Table20[[#This Row],[Buy or Sell]]</f>
        <v>#NUM!</v>
      </c>
      <c r="Z8" s="9">
        <f ca="1">Table20[[#This Row],[Remaining]]*Table20[[#This Row],[Current Price]]*100</f>
        <v>0</v>
      </c>
      <c r="AA8" s="22">
        <f ca="1">IFERROR(Table20[[#This Row],[nominal_exposure]]*Table20[[#This Row],[Delta]],0)</f>
        <v>0</v>
      </c>
      <c r="AB8" s="95" t="b">
        <f>IF(Table20[[#This Row],[date_purchased]]&lt;&gt;Table20[[#This Row],[Expiration Date]],FALSE,TRUE)</f>
        <v>1</v>
      </c>
      <c r="AC8" s="30" t="str">
        <f>VLOOKUP(Table20[[#This Row],[Asset]],Table19[#All],3,FALSE)</f>
        <v>AI</v>
      </c>
      <c r="AD8" s="30">
        <f>IF(Table20[[#This Row],[Remaining]]&lt;&gt;0,Table20[[#This Row],[Invested]]*Table20[[#This Row],[Remaining]]/Table20[[#This Row],[Number of options]],0)</f>
        <v>0</v>
      </c>
      <c r="AE8" s="30">
        <f ca="1">SUMIF(Table20[Ticker],Table20[[#This Row],[Ticker]],Table20[realized_profit])</f>
        <v>-4181</v>
      </c>
      <c r="AF8" s="30" t="str">
        <f>VLOOKUP(Table20[[#This Row],[Strategy]],Table29[#All],7,FALSE)</f>
        <v>Bullish</v>
      </c>
    </row>
    <row r="9" spans="1:32" hidden="1">
      <c r="A9" s="180">
        <v>45674</v>
      </c>
      <c r="B9" s="21" t="e" vm="25">
        <v>#VALUE!</v>
      </c>
      <c r="C9" s="109" t="str" cm="1">
        <f t="array" aca="1" ref="C9" ca="1">_FV(Table20[[#This Row],[Asset]],"Ticker symbol",TRUE)</f>
        <v>AMAT</v>
      </c>
      <c r="D9" s="26" cm="1">
        <f t="array" aca="1" ref="D9" ca="1">_FV(Table20[[#This Row],[Asset]],"Price")</f>
        <v>374.08</v>
      </c>
      <c r="E9" s="26">
        <v>220</v>
      </c>
      <c r="F9" s="33">
        <v>1</v>
      </c>
      <c r="G9" s="34">
        <v>1</v>
      </c>
      <c r="H9" s="34" t="s">
        <v>114</v>
      </c>
      <c r="I9" s="31">
        <v>45608</v>
      </c>
      <c r="J9" s="26">
        <v>0.72</v>
      </c>
      <c r="K9" s="24">
        <v>0.40689999999999998</v>
      </c>
      <c r="L9" s="33">
        <f>VLOOKUP(Table20[[#This Row],[Strategy]],Table29[#All],6,FALSE)</f>
        <v>1</v>
      </c>
      <c r="M9" s="23">
        <v>1</v>
      </c>
      <c r="N9" s="23">
        <v>0</v>
      </c>
      <c r="O9" s="23"/>
      <c r="P9" s="23"/>
      <c r="Q9">
        <f>Table20[[#This Row],[Exit1]]*Table20[[#This Row],[ex1_price]]</f>
        <v>0</v>
      </c>
      <c r="R9">
        <f>Table20[[#This Row],[Exit2]]*Table20[[#This Row],[ex2_price]]</f>
        <v>0</v>
      </c>
      <c r="S9">
        <f>IFERROR((Table20[[#This Row],[ex2_amnt]]+Table20[[#This Row],[ex1_amnt]])/(Table20[[#This Row],[Exit2]]+Table20[[#This Row],[Exit1]]),0)</f>
        <v>0</v>
      </c>
      <c r="T9" s="5">
        <f>(Table20[[#This Row],[Exit1]]+Table20[[#This Row],[Exit2]])*(Table20[[#This Row],[avg_exit_price]]-Table20[[#This Row],[AvePrice]])*100*Table20[[#This Row],[Buy or Sell]]</f>
        <v>-72</v>
      </c>
      <c r="U9" s="5">
        <f>Table20[[#This Row],[Number of options]]*Table20[[#This Row],[AvePrice]]*100*Table20[[#This Row],[Buy or Sell]]</f>
        <v>72</v>
      </c>
      <c r="V9" s="8">
        <f>Table20[[#This Row],[Number of options]]-Table20[[#This Row],[Exit1]]-Table20[[#This Row],[Exit2]]</f>
        <v>0</v>
      </c>
      <c r="W9" s="30">
        <f ca="1">(Table20[[#This Row],[Expiration Date]]-TODAY())/365</f>
        <v>-1.1863013698630136</v>
      </c>
      <c r="X9" s="30" t="e">
        <f ca="1">(LN(Table20[[#This Row],[Current Price]]/Table20[[#This Row],[strike_price]]) + ($B$2 + (Table20[[#This Row],[Vol]]^2)/2)*Table20[[#This Row],[Time to expiration]]) / (Table20[[#This Row],[Vol]] * SQRT(Table20[[#This Row],[Time to expiration]]))</f>
        <v>#NUM!</v>
      </c>
      <c r="Y9" s="30" t="e">
        <f ca="1">IF(Table20[[#This Row],[Direction]]&gt;0, _xlfn.NORM.S.DIST(Table20[[#This Row],[d1]], TRUE), _xlfn.NORM.S.DIST(Table20[[#This Row],[d1]], TRUE) - 1) * Table20[[#This Row],[Buy or Sell]]</f>
        <v>#NUM!</v>
      </c>
      <c r="Z9" s="9">
        <f ca="1">Table20[[#This Row],[Remaining]]*Table20[[#This Row],[Current Price]]*100</f>
        <v>0</v>
      </c>
      <c r="AA9" s="22">
        <f ca="1">IFERROR(Table20[[#This Row],[nominal_exposure]]*Table20[[#This Row],[Delta]],0)</f>
        <v>0</v>
      </c>
      <c r="AB9" s="30" t="b">
        <f>IF(Table20[[#This Row],[date_purchased]]&lt;&gt;Table20[[#This Row],[Expiration Date]],FALSE,TRUE)</f>
        <v>0</v>
      </c>
      <c r="AC9" s="30" t="str">
        <f>VLOOKUP(Table20[[#This Row],[Asset]],Table19[#All],3,FALSE)</f>
        <v>Semiconductor</v>
      </c>
      <c r="AD9" s="30">
        <f>IF(Table20[[#This Row],[Remaining]]&lt;&gt;0,Table20[[#This Row],[Invested]]*Table20[[#This Row],[Remaining]]/Table20[[#This Row],[Number of options]],0)</f>
        <v>0</v>
      </c>
      <c r="AE9" s="30">
        <f ca="1">SUMIF(Table20[Ticker],Table20[[#This Row],[Ticker]],Table20[realized_profit])</f>
        <v>-1490.0000000000002</v>
      </c>
      <c r="AF9" s="30" t="str">
        <f>VLOOKUP(Table20[[#This Row],[Strategy]],Table29[#All],7,FALSE)</f>
        <v>Bullish</v>
      </c>
    </row>
    <row r="10" spans="1:32" hidden="1">
      <c r="A10" s="180">
        <v>45674</v>
      </c>
      <c r="B10" s="21" t="e" vm="25">
        <v>#VALUE!</v>
      </c>
      <c r="C10" s="109" t="str" cm="1">
        <f t="array" aca="1" ref="C10" ca="1">_FV(Table20[[#This Row],[Asset]],"Ticker symbol",TRUE)</f>
        <v>AMAT</v>
      </c>
      <c r="D10" s="26" cm="1">
        <f t="array" aca="1" ref="D10" ca="1">_FV(Table20[[#This Row],[Asset]],"Price")</f>
        <v>374.08</v>
      </c>
      <c r="E10" s="26">
        <v>250</v>
      </c>
      <c r="F10" s="33">
        <v>1</v>
      </c>
      <c r="G10" s="34">
        <v>-1</v>
      </c>
      <c r="H10" s="34" t="s">
        <v>114</v>
      </c>
      <c r="I10" s="31">
        <v>45608</v>
      </c>
      <c r="J10" s="26">
        <v>3.33</v>
      </c>
      <c r="K10" s="24">
        <v>0.3851</v>
      </c>
      <c r="L10" s="33">
        <f>VLOOKUP(Table20[[#This Row],[Strategy]],Table29[#All],6,FALSE)</f>
        <v>1</v>
      </c>
      <c r="M10" s="23">
        <v>1</v>
      </c>
      <c r="N10" s="23">
        <v>0</v>
      </c>
      <c r="O10" s="23"/>
      <c r="P10" s="23"/>
      <c r="Q10">
        <f>Table20[[#This Row],[Exit1]]*Table20[[#This Row],[ex1_price]]</f>
        <v>0</v>
      </c>
      <c r="R10">
        <f>Table20[[#This Row],[Exit2]]*Table20[[#This Row],[ex2_price]]</f>
        <v>0</v>
      </c>
      <c r="S10">
        <f>IFERROR((Table20[[#This Row],[ex2_amnt]]+Table20[[#This Row],[ex1_amnt]])/(Table20[[#This Row],[Exit2]]+Table20[[#This Row],[Exit1]]),0)</f>
        <v>0</v>
      </c>
      <c r="T10" s="5">
        <f>(Table20[[#This Row],[Exit1]]+Table20[[#This Row],[Exit2]])*(Table20[[#This Row],[avg_exit_price]]-Table20[[#This Row],[AvePrice]])*100*Table20[[#This Row],[Buy or Sell]]</f>
        <v>333</v>
      </c>
      <c r="U10" s="5">
        <f>Table20[[#This Row],[Number of options]]*Table20[[#This Row],[AvePrice]]*100*Table20[[#This Row],[Buy or Sell]]</f>
        <v>-333</v>
      </c>
      <c r="V10" s="8">
        <f>Table20[[#This Row],[Number of options]]-Table20[[#This Row],[Exit1]]-Table20[[#This Row],[Exit2]]</f>
        <v>0</v>
      </c>
      <c r="W10" s="30">
        <f ca="1">(Table20[[#This Row],[Expiration Date]]-TODAY())/365</f>
        <v>-1.1863013698630136</v>
      </c>
      <c r="X10" s="30" t="e">
        <f ca="1">(LN(Table20[[#This Row],[Current Price]]/Table20[[#This Row],[strike_price]]) + ($B$2 + (Table20[[#This Row],[Vol]]^2)/2)*Table20[[#This Row],[Time to expiration]]) / (Table20[[#This Row],[Vol]] * SQRT(Table20[[#This Row],[Time to expiration]]))</f>
        <v>#NUM!</v>
      </c>
      <c r="Y10" s="30" t="e">
        <f ca="1">IF(Table20[[#This Row],[Direction]]&gt;0, _xlfn.NORM.S.DIST(Table20[[#This Row],[d1]], TRUE), _xlfn.NORM.S.DIST(Table20[[#This Row],[d1]], TRUE) - 1) * Table20[[#This Row],[Buy or Sell]]</f>
        <v>#NUM!</v>
      </c>
      <c r="Z10" s="9">
        <f ca="1">Table20[[#This Row],[Remaining]]*Table20[[#This Row],[Current Price]]*100</f>
        <v>0</v>
      </c>
      <c r="AA10" s="22">
        <f ca="1">IFERROR(Table20[[#This Row],[nominal_exposure]]*Table20[[#This Row],[Delta]],0)</f>
        <v>0</v>
      </c>
      <c r="AB10" s="30" t="b">
        <f>IF(Table20[[#This Row],[date_purchased]]&lt;&gt;Table20[[#This Row],[Expiration Date]],FALSE,TRUE)</f>
        <v>0</v>
      </c>
      <c r="AC10" s="30" t="str">
        <f>VLOOKUP(Table20[[#This Row],[Asset]],Table19[#All],3,FALSE)</f>
        <v>Semiconductor</v>
      </c>
      <c r="AD10" s="30">
        <f>IF(Table20[[#This Row],[Remaining]]&lt;&gt;0,Table20[[#This Row],[Invested]]*Table20[[#This Row],[Remaining]]/Table20[[#This Row],[Number of options]],0)</f>
        <v>0</v>
      </c>
      <c r="AE10" s="30">
        <f ca="1">SUMIF(Table20[Ticker],Table20[[#This Row],[Ticker]],Table20[realized_profit])</f>
        <v>-1490.0000000000002</v>
      </c>
      <c r="AF10" s="30" t="str">
        <f>VLOOKUP(Table20[[#This Row],[Strategy]],Table29[#All],7,FALSE)</f>
        <v>Bullish</v>
      </c>
    </row>
    <row r="11" spans="1:32" hidden="1">
      <c r="A11" s="180">
        <v>45681</v>
      </c>
      <c r="B11" s="21" t="e" vm="96">
        <v>#VALUE!</v>
      </c>
      <c r="C11" s="109" t="str" cm="1">
        <f t="array" aca="1" ref="C11" ca="1">_FV(Table20[[#This Row],[Asset]],"Ticker symbol",TRUE)</f>
        <v>SPY</v>
      </c>
      <c r="D11" s="26" cm="1">
        <f t="array" aca="1" ref="D11" ca="1">_FV(Table20[[#This Row],[Asset]],"Price")</f>
        <v>658.59</v>
      </c>
      <c r="E11" s="26">
        <v>585</v>
      </c>
      <c r="F11" s="33">
        <v>1</v>
      </c>
      <c r="G11" s="34">
        <v>1</v>
      </c>
      <c r="H11" s="34" t="s">
        <v>113</v>
      </c>
      <c r="I11" s="31">
        <v>45670</v>
      </c>
      <c r="J11" s="26">
        <v>3.42</v>
      </c>
      <c r="K11" s="24">
        <v>0.1661</v>
      </c>
      <c r="L11" s="33">
        <f>VLOOKUP(Table20[[#This Row],[Strategy]],Table29[#All],6,FALSE)</f>
        <v>1</v>
      </c>
      <c r="M11" s="23">
        <v>1</v>
      </c>
      <c r="N11" s="23">
        <v>5.34</v>
      </c>
      <c r="O11" s="23"/>
      <c r="P11" s="23"/>
      <c r="Q11">
        <f>Table20[[#This Row],[Exit1]]*Table20[[#This Row],[ex1_price]]</f>
        <v>5.34</v>
      </c>
      <c r="R11">
        <f>Table20[[#This Row],[Exit2]]*Table20[[#This Row],[ex2_price]]</f>
        <v>0</v>
      </c>
      <c r="S11">
        <f>IFERROR((Table20[[#This Row],[ex2_amnt]]+Table20[[#This Row],[ex1_amnt]])/(Table20[[#This Row],[Exit2]]+Table20[[#This Row],[Exit1]]),0)</f>
        <v>5.34</v>
      </c>
      <c r="T11" s="5">
        <f>(Table20[[#This Row],[Exit1]]+Table20[[#This Row],[Exit2]])*(Table20[[#This Row],[avg_exit_price]]-Table20[[#This Row],[AvePrice]])*100*Table20[[#This Row],[Buy or Sell]]</f>
        <v>192</v>
      </c>
      <c r="U11" s="5">
        <f>Table20[[#This Row],[Number of options]]*Table20[[#This Row],[AvePrice]]*100*Table20[[#This Row],[Buy or Sell]]</f>
        <v>342</v>
      </c>
      <c r="V11" s="8">
        <f>Table20[[#This Row],[Number of options]]-Table20[[#This Row],[Exit1]]-Table20[[#This Row],[Exit2]]</f>
        <v>0</v>
      </c>
      <c r="W11" s="30">
        <f ca="1">(Table20[[#This Row],[Expiration Date]]-TODAY())/365</f>
        <v>-1.167123287671233</v>
      </c>
      <c r="X11" s="30" t="e">
        <f ca="1">(LN(Table20[[#This Row],[Current Price]]/Table20[[#This Row],[strike_price]]) + ($B$2 + (Table20[[#This Row],[Vol]]^2)/2)*Table20[[#This Row],[Time to expiration]]) / (Table20[[#This Row],[Vol]] * SQRT(Table20[[#This Row],[Time to expiration]]))</f>
        <v>#NUM!</v>
      </c>
      <c r="Y11" s="30" t="e">
        <f ca="1">IF(Table20[[#This Row],[Direction]]&gt;0, _xlfn.NORM.S.DIST(Table20[[#This Row],[d1]], TRUE), _xlfn.NORM.S.DIST(Table20[[#This Row],[d1]], TRUE) - 1) * Table20[[#This Row],[Buy or Sell]]</f>
        <v>#NUM!</v>
      </c>
      <c r="Z11" s="9">
        <f ca="1">Table20[[#This Row],[Remaining]]*Table20[[#This Row],[Current Price]]*100</f>
        <v>0</v>
      </c>
      <c r="AA11" s="22">
        <f ca="1">IFERROR(Table20[[#This Row],[nominal_exposure]]*Table20[[#This Row],[Delta]],0)</f>
        <v>0</v>
      </c>
      <c r="AB11" s="30" t="b">
        <f>IF(Table20[[#This Row],[date_purchased]]&lt;&gt;Table20[[#This Row],[Expiration Date]],FALSE,TRUE)</f>
        <v>0</v>
      </c>
      <c r="AC11" s="30" t="str">
        <f>VLOOKUP(Table20[[#This Row],[Asset]],Table19[#All],3,FALSE)</f>
        <v>Market</v>
      </c>
      <c r="AD11" s="30">
        <f>IF(Table20[[#This Row],[Remaining]]&lt;&gt;0,Table20[[#This Row],[Invested]]*Table20[[#This Row],[Remaining]]/Table20[[#This Row],[Number of options]],0)</f>
        <v>0</v>
      </c>
      <c r="AE11" s="30">
        <f ca="1">SUMIF(Table20[Ticker],Table20[[#This Row],[Ticker]],Table20[realized_profit])</f>
        <v>-5077</v>
      </c>
      <c r="AF11" s="30" t="str">
        <f>VLOOKUP(Table20[[#This Row],[Strategy]],Table29[#All],7,FALSE)</f>
        <v>Bullish</v>
      </c>
    </row>
    <row r="12" spans="1:32" hidden="1">
      <c r="A12" s="35">
        <v>45485</v>
      </c>
      <c r="B12" s="21" t="e" vm="63">
        <v>#VALUE!</v>
      </c>
      <c r="C12" s="109" t="str" cm="1">
        <f t="array" aca="1" ref="C12" ca="1">_FV(Table20[[#This Row],[Asset]],"Ticker symbol",TRUE)</f>
        <v>TSLA</v>
      </c>
      <c r="D12" s="26" cm="1">
        <f t="array" aca="1" ref="D12" ca="1">_FV(Table20[[#This Row],[Asset]],"Price")</f>
        <v>394.5401</v>
      </c>
      <c r="E12" s="26">
        <v>192.5</v>
      </c>
      <c r="F12" s="32">
        <v>3</v>
      </c>
      <c r="G12" s="34">
        <v>-1</v>
      </c>
      <c r="H12" s="21" t="s">
        <v>112</v>
      </c>
      <c r="I12" s="25">
        <v>45470</v>
      </c>
      <c r="J12" s="26">
        <v>6.88</v>
      </c>
      <c r="K12" s="24">
        <v>0.4572</v>
      </c>
      <c r="L12" s="33">
        <f>VLOOKUP(Table20[[#This Row],[Strategy]],Table29[#All],6,FALSE)</f>
        <v>-1</v>
      </c>
      <c r="M12" s="23">
        <v>3</v>
      </c>
      <c r="N12" s="23">
        <v>1.64</v>
      </c>
      <c r="O12" s="23"/>
      <c r="P12" s="23"/>
      <c r="Q12">
        <f>Table20[[#This Row],[Exit1]]*Table20[[#This Row],[ex1_price]]</f>
        <v>4.92</v>
      </c>
      <c r="R12">
        <f>Table20[[#This Row],[Exit2]]*Table20[[#This Row],[ex2_price]]</f>
        <v>0</v>
      </c>
      <c r="S12">
        <f>IFERROR((Table20[[#This Row],[ex2_amnt]]+Table20[[#This Row],[ex1_amnt]])/(Table20[[#This Row],[Exit2]]+Table20[[#This Row],[Exit1]]),0)</f>
        <v>1.64</v>
      </c>
      <c r="T12" s="5">
        <f>(Table20[[#This Row],[Exit1]]+Table20[[#This Row],[Exit2]])*(Table20[[#This Row],[avg_exit_price]]-Table20[[#This Row],[AvePrice]])*100*Table20[[#This Row],[Buy or Sell]]</f>
        <v>1572</v>
      </c>
      <c r="U12" s="5">
        <f>Table20[[#This Row],[Number of options]]*Table20[[#This Row],[AvePrice]]*100*Table20[[#This Row],[Buy or Sell]]</f>
        <v>-2064</v>
      </c>
      <c r="V12" s="8">
        <f>Table20[[#This Row],[Number of options]]-Table20[[#This Row],[Exit1]]-Table20[[#This Row],[Exit2]]</f>
        <v>0</v>
      </c>
      <c r="W12" s="30">
        <f ca="1">(Table20[[#This Row],[Expiration Date]]-TODAY())/365</f>
        <v>-1.704109589041096</v>
      </c>
      <c r="X12" t="e">
        <f ca="1">(LN(Table20[[#This Row],[Current Price]]/Table20[[#This Row],[strike_price]]) + ($B$2 + (Table20[[#This Row],[Vol]]^2)/2)*Table20[[#This Row],[Time to expiration]]) / (Table20[[#This Row],[Vol]] * SQRT(Table20[[#This Row],[Time to expiration]]))</f>
        <v>#NUM!</v>
      </c>
      <c r="Y12" s="30" t="e">
        <f ca="1">IF(Table20[[#This Row],[Direction]]&gt;0, _xlfn.NORM.S.DIST(Table20[[#This Row],[d1]], TRUE), _xlfn.NORM.S.DIST(Table20[[#This Row],[d1]], TRUE) - 1) * Table20[[#This Row],[Buy or Sell]]</f>
        <v>#NUM!</v>
      </c>
      <c r="Z12" s="9">
        <f ca="1">Table20[[#This Row],[Remaining]]*Table20[[#This Row],[Current Price]]*100</f>
        <v>0</v>
      </c>
      <c r="AA12" s="22">
        <f ca="1">IFERROR(Table20[[#This Row],[nominal_exposure]]*Table20[[#This Row],[Delta]],0)</f>
        <v>0</v>
      </c>
      <c r="AB12" s="95" t="b">
        <f>IF(Table20[[#This Row],[date_purchased]]&lt;&gt;Table20[[#This Row],[Expiration Date]],FALSE,TRUE)</f>
        <v>0</v>
      </c>
      <c r="AC12" s="30" t="str">
        <f>VLOOKUP(Table20[[#This Row],[Asset]],Table19[#All],3,FALSE)</f>
        <v>Auto</v>
      </c>
      <c r="AD12" s="30">
        <f>IF(Table20[[#This Row],[Remaining]]&lt;&gt;0,Table20[[#This Row],[Invested]]*Table20[[#This Row],[Remaining]]/Table20[[#This Row],[Number of options]],0)</f>
        <v>0</v>
      </c>
      <c r="AE12" s="30">
        <f ca="1">SUMIF(Table20[Ticker],Table20[[#This Row],[Ticker]],Table20[realized_profit])</f>
        <v>4153</v>
      </c>
      <c r="AF12" s="30" t="str">
        <f>VLOOKUP(Table20[[#This Row],[Strategy]],Table29[#All],7,FALSE)</f>
        <v>Bearish</v>
      </c>
    </row>
    <row r="13" spans="1:32" hidden="1">
      <c r="A13" s="35">
        <v>45485</v>
      </c>
      <c r="B13" s="21" t="e" vm="63">
        <v>#VALUE!</v>
      </c>
      <c r="C13" s="109" t="str" cm="1">
        <f t="array" aca="1" ref="C13" ca="1">_FV(Table20[[#This Row],[Asset]],"Ticker symbol",TRUE)</f>
        <v>TSLA</v>
      </c>
      <c r="D13" s="26" cm="1">
        <f t="array" aca="1" ref="D13" ca="1">_FV(Table20[[#This Row],[Asset]],"Price")</f>
        <v>394.5401</v>
      </c>
      <c r="E13" s="26">
        <v>190</v>
      </c>
      <c r="F13" s="32">
        <v>3</v>
      </c>
      <c r="G13" s="34">
        <v>1</v>
      </c>
      <c r="H13" s="21" t="s">
        <v>112</v>
      </c>
      <c r="I13" s="25">
        <v>45470</v>
      </c>
      <c r="J13" s="26">
        <v>5.7</v>
      </c>
      <c r="K13" s="24">
        <v>0.45579999999999998</v>
      </c>
      <c r="L13" s="33">
        <f>VLOOKUP(Table20[[#This Row],[Strategy]],Table29[#All],6,FALSE)</f>
        <v>-1</v>
      </c>
      <c r="M13" s="23">
        <v>3</v>
      </c>
      <c r="N13" s="23">
        <v>1.24</v>
      </c>
      <c r="O13" s="23"/>
      <c r="P13" s="23"/>
      <c r="Q13">
        <f>Table20[[#This Row],[Exit1]]*Table20[[#This Row],[ex1_price]]</f>
        <v>3.7199999999999998</v>
      </c>
      <c r="R13">
        <f>Table20[[#This Row],[Exit2]]*Table20[[#This Row],[ex2_price]]</f>
        <v>0</v>
      </c>
      <c r="S13">
        <f>IFERROR((Table20[[#This Row],[ex2_amnt]]+Table20[[#This Row],[ex1_amnt]])/(Table20[[#This Row],[Exit2]]+Table20[[#This Row],[Exit1]]),0)</f>
        <v>1.24</v>
      </c>
      <c r="T13" s="5">
        <f>(Table20[[#This Row],[Exit1]]+Table20[[#This Row],[Exit2]])*(Table20[[#This Row],[avg_exit_price]]-Table20[[#This Row],[AvePrice]])*100*Table20[[#This Row],[Buy or Sell]]</f>
        <v>-1338</v>
      </c>
      <c r="U13" s="5">
        <f>Table20[[#This Row],[Number of options]]*Table20[[#This Row],[AvePrice]]*100*Table20[[#This Row],[Buy or Sell]]</f>
        <v>1710.0000000000002</v>
      </c>
      <c r="V13" s="8">
        <f>Table20[[#This Row],[Number of options]]-Table20[[#This Row],[Exit1]]-Table20[[#This Row],[Exit2]]</f>
        <v>0</v>
      </c>
      <c r="W13" s="30">
        <f ca="1">(Table20[[#This Row],[Expiration Date]]-TODAY())/365</f>
        <v>-1.704109589041096</v>
      </c>
      <c r="X13" s="30" t="e">
        <f ca="1">(LN(Table20[[#This Row],[Current Price]]/Table20[[#This Row],[strike_price]]) + ($B$2 + (Table20[[#This Row],[Vol]]^2)/2)*Table20[[#This Row],[Time to expiration]]) / (Table20[[#This Row],[Vol]] * SQRT(Table20[[#This Row],[Time to expiration]]))</f>
        <v>#NUM!</v>
      </c>
      <c r="Y13" s="30" t="e">
        <f ca="1">IF(Table20[[#This Row],[Direction]]&gt;0, _xlfn.NORM.S.DIST(Table20[[#This Row],[d1]], TRUE), _xlfn.NORM.S.DIST(Table20[[#This Row],[d1]], TRUE) - 1) * Table20[[#This Row],[Buy or Sell]]</f>
        <v>#NUM!</v>
      </c>
      <c r="Z13" s="9">
        <f ca="1">Table20[[#This Row],[Remaining]]*Table20[[#This Row],[Current Price]]*100</f>
        <v>0</v>
      </c>
      <c r="AA13" s="22">
        <f ca="1">IFERROR(Table20[[#This Row],[nominal_exposure]]*Table20[[#This Row],[Delta]],0)</f>
        <v>0</v>
      </c>
      <c r="AB13" s="95" t="b">
        <f>IF(Table20[[#This Row],[date_purchased]]&lt;&gt;Table20[[#This Row],[Expiration Date]],FALSE,TRUE)</f>
        <v>0</v>
      </c>
      <c r="AC13" s="30" t="str">
        <f>VLOOKUP(Table20[[#This Row],[Asset]],Table19[#All],3,FALSE)</f>
        <v>Auto</v>
      </c>
      <c r="AD13" s="30">
        <f>IF(Table20[[#This Row],[Remaining]]&lt;&gt;0,Table20[[#This Row],[Invested]]*Table20[[#This Row],[Remaining]]/Table20[[#This Row],[Number of options]],0)</f>
        <v>0</v>
      </c>
      <c r="AE13" s="30">
        <f ca="1">SUMIF(Table20[Ticker],Table20[[#This Row],[Ticker]],Table20[realized_profit])</f>
        <v>4153</v>
      </c>
      <c r="AF13" s="30" t="str">
        <f>VLOOKUP(Table20[[#This Row],[Strategy]],Table29[#All],7,FALSE)</f>
        <v>Bearish</v>
      </c>
    </row>
    <row r="14" spans="1:32" hidden="1">
      <c r="A14" s="35">
        <v>45485</v>
      </c>
      <c r="B14" s="21" t="e" vm="85">
        <v>#VALUE!</v>
      </c>
      <c r="C14" s="109" t="str" cm="1">
        <f t="array" aca="1" ref="C14" ca="1">_FV(Table20[[#This Row],[Asset]],"Ticker symbol",TRUE)</f>
        <v>HOOD</v>
      </c>
      <c r="D14" s="26" cm="1">
        <f t="array" aca="1" ref="D14" ca="1">_FV(Table20[[#This Row],[Asset]],"Price")</f>
        <v>73.7517</v>
      </c>
      <c r="E14" s="26">
        <v>25</v>
      </c>
      <c r="F14" s="32">
        <v>1</v>
      </c>
      <c r="G14" s="34">
        <v>1</v>
      </c>
      <c r="H14" s="21" t="s">
        <v>113</v>
      </c>
      <c r="I14" s="25">
        <v>45469</v>
      </c>
      <c r="J14" s="26">
        <v>0.55000000000000004</v>
      </c>
      <c r="K14" s="24">
        <v>0.59430000000000005</v>
      </c>
      <c r="L14" s="33">
        <f>VLOOKUP(Table20[[#This Row],[Strategy]],Table29[#All],6,FALSE)</f>
        <v>1</v>
      </c>
      <c r="M14" s="23">
        <v>1</v>
      </c>
      <c r="N14" s="23">
        <v>0.01</v>
      </c>
      <c r="O14" s="23"/>
      <c r="P14" s="23"/>
      <c r="Q14">
        <f>Table20[[#This Row],[Exit1]]*Table20[[#This Row],[ex1_price]]</f>
        <v>0.01</v>
      </c>
      <c r="R14">
        <f>Table20[[#This Row],[Exit2]]*Table20[[#This Row],[ex2_price]]</f>
        <v>0</v>
      </c>
      <c r="S14">
        <f>IFERROR((Table20[[#This Row],[ex2_amnt]]+Table20[[#This Row],[ex1_amnt]])/(Table20[[#This Row],[Exit2]]+Table20[[#This Row],[Exit1]]),0)</f>
        <v>0.01</v>
      </c>
      <c r="T14" s="5">
        <f>(Table20[[#This Row],[Exit1]]+Table20[[#This Row],[Exit2]])*(Table20[[#This Row],[avg_exit_price]]-Table20[[#This Row],[AvePrice]])*100*Table20[[#This Row],[Buy or Sell]]</f>
        <v>-54</v>
      </c>
      <c r="U14" s="5">
        <f>Table20[[#This Row],[Number of options]]*Table20[[#This Row],[AvePrice]]*100*Table20[[#This Row],[Buy or Sell]]</f>
        <v>55.000000000000007</v>
      </c>
      <c r="V14" s="8">
        <f>Table20[[#This Row],[Number of options]]-Table20[[#This Row],[Exit1]]-Table20[[#This Row],[Exit2]]</f>
        <v>0</v>
      </c>
      <c r="W14" s="30">
        <f ca="1">(Table20[[#This Row],[Expiration Date]]-TODAY())/365</f>
        <v>-1.704109589041096</v>
      </c>
      <c r="X14" s="30" t="e">
        <f ca="1">(LN(Table20[[#This Row],[Current Price]]/Table20[[#This Row],[strike_price]]) + ($B$2 + (Table20[[#This Row],[Vol]]^2)/2)*Table20[[#This Row],[Time to expiration]]) / (Table20[[#This Row],[Vol]] * SQRT(Table20[[#This Row],[Time to expiration]]))</f>
        <v>#NUM!</v>
      </c>
      <c r="Y14" s="30" t="e">
        <f ca="1">IF(Table20[[#This Row],[Direction]]&gt;0, _xlfn.NORM.S.DIST(Table20[[#This Row],[d1]], TRUE), _xlfn.NORM.S.DIST(Table20[[#This Row],[d1]], TRUE) - 1) * Table20[[#This Row],[Buy or Sell]]</f>
        <v>#NUM!</v>
      </c>
      <c r="Z14" s="9">
        <f ca="1">Table20[[#This Row],[Remaining]]*Table20[[#This Row],[Current Price]]*100</f>
        <v>0</v>
      </c>
      <c r="AA14" s="22">
        <f ca="1">IFERROR(Table20[[#This Row],[nominal_exposure]]*Table20[[#This Row],[Delta]],0)</f>
        <v>0</v>
      </c>
      <c r="AB14" s="95" t="b">
        <f>IF(Table20[[#This Row],[date_purchased]]&lt;&gt;Table20[[#This Row],[Expiration Date]],FALSE,TRUE)</f>
        <v>0</v>
      </c>
      <c r="AC14" s="30" t="str">
        <f>VLOOKUP(Table20[[#This Row],[Asset]],Table19[#All],3,FALSE)</f>
        <v>Financials</v>
      </c>
      <c r="AD14" s="30">
        <f>IF(Table20[[#This Row],[Remaining]]&lt;&gt;0,Table20[[#This Row],[Invested]]*Table20[[#This Row],[Remaining]]/Table20[[#This Row],[Number of options]],0)</f>
        <v>0</v>
      </c>
      <c r="AE14" s="30">
        <f ca="1">SUMIF(Table20[Ticker],Table20[[#This Row],[Ticker]],Table20[realized_profit])</f>
        <v>-371</v>
      </c>
      <c r="AF14" s="30" t="str">
        <f>VLOOKUP(Table20[[#This Row],[Strategy]],Table29[#All],7,FALSE)</f>
        <v>Bullish</v>
      </c>
    </row>
    <row r="15" spans="1:32" hidden="1">
      <c r="A15" s="35">
        <v>45485</v>
      </c>
      <c r="B15" s="21" t="e" vm="29">
        <v>#VALUE!</v>
      </c>
      <c r="C15" s="109" t="str" cm="1">
        <f t="array" aca="1" ref="C15" ca="1">_FV(Table20[[#This Row],[Asset]],"Ticker symbol",TRUE)</f>
        <v>NVDA</v>
      </c>
      <c r="D15" s="26" cm="1">
        <f t="array" aca="1" ref="D15" ca="1">_FV(Table20[[#This Row],[Asset]],"Price")</f>
        <v>180.405</v>
      </c>
      <c r="E15" s="26">
        <v>110</v>
      </c>
      <c r="F15" s="32">
        <v>3</v>
      </c>
      <c r="G15" s="34">
        <v>1</v>
      </c>
      <c r="H15" s="21" t="s">
        <v>65</v>
      </c>
      <c r="I15" s="25">
        <v>45464</v>
      </c>
      <c r="J15" s="26">
        <v>1.4</v>
      </c>
      <c r="K15" s="24">
        <v>0.50160000000000005</v>
      </c>
      <c r="L15" s="33">
        <f>VLOOKUP(Table20[[#This Row],[Strategy]],Table29[#All],6,FALSE)</f>
        <v>-1</v>
      </c>
      <c r="M15" s="23">
        <v>3</v>
      </c>
      <c r="N15" s="23">
        <v>0.03</v>
      </c>
      <c r="O15" s="23"/>
      <c r="P15" s="23"/>
      <c r="Q15">
        <f>Table20[[#This Row],[Exit1]]*Table20[[#This Row],[ex1_price]]</f>
        <v>0.09</v>
      </c>
      <c r="R15">
        <f>Table20[[#This Row],[Exit2]]*Table20[[#This Row],[ex2_price]]</f>
        <v>0</v>
      </c>
      <c r="S15">
        <f>IFERROR((Table20[[#This Row],[ex2_amnt]]+Table20[[#This Row],[ex1_amnt]])/(Table20[[#This Row],[Exit2]]+Table20[[#This Row],[Exit1]]),0)</f>
        <v>0.03</v>
      </c>
      <c r="T15" s="5">
        <f>(Table20[[#This Row],[Exit1]]+Table20[[#This Row],[Exit2]])*(Table20[[#This Row],[avg_exit_price]]-Table20[[#This Row],[AvePrice]])*100*Table20[[#This Row],[Buy or Sell]]</f>
        <v>-410.99999999999994</v>
      </c>
      <c r="U15" s="5">
        <f>Table20[[#This Row],[Number of options]]*Table20[[#This Row],[AvePrice]]*100*Table20[[#This Row],[Buy or Sell]]</f>
        <v>419.99999999999994</v>
      </c>
      <c r="V15" s="8">
        <f>Table20[[#This Row],[Number of options]]-Table20[[#This Row],[Exit1]]-Table20[[#This Row],[Exit2]]</f>
        <v>0</v>
      </c>
      <c r="W15" s="30">
        <f ca="1">(Table20[[#This Row],[Expiration Date]]-TODAY())/365</f>
        <v>-1.704109589041096</v>
      </c>
      <c r="X15" s="30" t="e">
        <f ca="1">(LN(Table20[[#This Row],[Current Price]]/Table20[[#This Row],[strike_price]]) + ($B$2 + (Table20[[#This Row],[Vol]]^2)/2)*Table20[[#This Row],[Time to expiration]]) / (Table20[[#This Row],[Vol]] * SQRT(Table20[[#This Row],[Time to expiration]]))</f>
        <v>#NUM!</v>
      </c>
      <c r="Y15" s="30" t="e">
        <f ca="1">IF(Table20[[#This Row],[Direction]]&gt;0, _xlfn.NORM.S.DIST(Table20[[#This Row],[d1]], TRUE), _xlfn.NORM.S.DIST(Table20[[#This Row],[d1]], TRUE) - 1) * Table20[[#This Row],[Buy or Sell]]</f>
        <v>#NUM!</v>
      </c>
      <c r="Z15" s="9">
        <f ca="1">Table20[[#This Row],[Remaining]]*Table20[[#This Row],[Current Price]]*100</f>
        <v>0</v>
      </c>
      <c r="AA15" s="22">
        <f ca="1">IFERROR(Table20[[#This Row],[nominal_exposure]]*Table20[[#This Row],[Delta]],0)</f>
        <v>0</v>
      </c>
      <c r="AB15" s="95" t="b">
        <f>IF(Table20[[#This Row],[date_purchased]]&lt;&gt;Table20[[#This Row],[Expiration Date]],FALSE,TRUE)</f>
        <v>0</v>
      </c>
      <c r="AC15" s="30" t="str">
        <f>VLOOKUP(Table20[[#This Row],[Asset]],Table19[#All],3,FALSE)</f>
        <v>AI</v>
      </c>
      <c r="AD15" s="30">
        <f>IF(Table20[[#This Row],[Remaining]]&lt;&gt;0,Table20[[#This Row],[Invested]]*Table20[[#This Row],[Remaining]]/Table20[[#This Row],[Number of options]],0)</f>
        <v>0</v>
      </c>
      <c r="AE15" s="30">
        <f ca="1">SUMIF(Table20[Ticker],Table20[[#This Row],[Ticker]],Table20[realized_profit])</f>
        <v>-637.99999999999955</v>
      </c>
      <c r="AF15" s="30" t="str">
        <f>VLOOKUP(Table20[[#This Row],[Strategy]],Table29[#All],7,FALSE)</f>
        <v>Bearish</v>
      </c>
    </row>
    <row r="16" spans="1:32" hidden="1">
      <c r="A16" s="35">
        <v>45485</v>
      </c>
      <c r="B16" s="21" t="e" vm="34">
        <v>#VALUE!</v>
      </c>
      <c r="C16" s="109" t="str" cm="1">
        <f t="array" aca="1" ref="C16" ca="1">_FV(Table20[[#This Row],[Asset]],"Ticker symbol",TRUE)</f>
        <v>TSM</v>
      </c>
      <c r="D16" s="26" cm="1">
        <f t="array" aca="1" ref="D16" ca="1">_FV(Table20[[#This Row],[Asset]],"Price")</f>
        <v>348.52499999999998</v>
      </c>
      <c r="E16" s="26">
        <v>180</v>
      </c>
      <c r="F16" s="32">
        <v>3</v>
      </c>
      <c r="G16" s="34">
        <v>1</v>
      </c>
      <c r="H16" s="21" t="s">
        <v>114</v>
      </c>
      <c r="I16" s="25">
        <v>45456</v>
      </c>
      <c r="J16" s="26">
        <v>5.47</v>
      </c>
      <c r="K16" s="24">
        <v>0.39319999999999999</v>
      </c>
      <c r="L16" s="33">
        <f>VLOOKUP(Table20[[#This Row],[Strategy]],Table29[#All],6,FALSE)</f>
        <v>1</v>
      </c>
      <c r="M16" s="23">
        <v>3</v>
      </c>
      <c r="N16" s="23">
        <v>5.95</v>
      </c>
      <c r="O16" s="23"/>
      <c r="P16" s="23"/>
      <c r="Q16">
        <f>Table20[[#This Row],[Exit1]]*Table20[[#This Row],[ex1_price]]</f>
        <v>17.850000000000001</v>
      </c>
      <c r="R16">
        <f>Table20[[#This Row],[Exit2]]*Table20[[#This Row],[ex2_price]]</f>
        <v>0</v>
      </c>
      <c r="S16">
        <f>IFERROR((Table20[[#This Row],[ex2_amnt]]+Table20[[#This Row],[ex1_amnt]])/(Table20[[#This Row],[Exit2]]+Table20[[#This Row],[Exit1]]),0)</f>
        <v>5.95</v>
      </c>
      <c r="T16" s="5">
        <f>(Table20[[#This Row],[Exit1]]+Table20[[#This Row],[Exit2]])*(Table20[[#This Row],[avg_exit_price]]-Table20[[#This Row],[AvePrice]])*100*Table20[[#This Row],[Buy or Sell]]</f>
        <v>144.00000000000011</v>
      </c>
      <c r="U16" s="5">
        <f>Table20[[#This Row],[Number of options]]*Table20[[#This Row],[AvePrice]]*100*Table20[[#This Row],[Buy or Sell]]</f>
        <v>1641</v>
      </c>
      <c r="V16" s="8">
        <f>Table20[[#This Row],[Number of options]]-Table20[[#This Row],[Exit1]]-Table20[[#This Row],[Exit2]]</f>
        <v>0</v>
      </c>
      <c r="W16" s="30">
        <f ca="1">(Table20[[#This Row],[Expiration Date]]-TODAY())/365</f>
        <v>-1.704109589041096</v>
      </c>
      <c r="X16" s="30" t="e">
        <f ca="1">(LN(Table20[[#This Row],[Current Price]]/Table20[[#This Row],[strike_price]]) + ($B$2 + (Table20[[#This Row],[Vol]]^2)/2)*Table20[[#This Row],[Time to expiration]]) / (Table20[[#This Row],[Vol]] * SQRT(Table20[[#This Row],[Time to expiration]]))</f>
        <v>#NUM!</v>
      </c>
      <c r="Y16" s="30" t="e">
        <f ca="1">IF(Table20[[#This Row],[Direction]]&gt;0, _xlfn.NORM.S.DIST(Table20[[#This Row],[d1]], TRUE), _xlfn.NORM.S.DIST(Table20[[#This Row],[d1]], TRUE) - 1) * Table20[[#This Row],[Buy or Sell]]</f>
        <v>#NUM!</v>
      </c>
      <c r="Z16" s="9">
        <f ca="1">Table20[[#This Row],[Remaining]]*Table20[[#This Row],[Current Price]]*100</f>
        <v>0</v>
      </c>
      <c r="AA16" s="22">
        <f ca="1">IFERROR(Table20[[#This Row],[nominal_exposure]]*Table20[[#This Row],[Delta]],0)</f>
        <v>0</v>
      </c>
      <c r="AB16" s="95" t="b">
        <f>IF(Table20[[#This Row],[date_purchased]]&lt;&gt;Table20[[#This Row],[Expiration Date]],FALSE,TRUE)</f>
        <v>0</v>
      </c>
      <c r="AC16" s="30" t="str">
        <f>VLOOKUP(Table20[[#This Row],[Asset]],Table19[#All],3,FALSE)</f>
        <v>AI</v>
      </c>
      <c r="AD16" s="30">
        <f>IF(Table20[[#This Row],[Remaining]]&lt;&gt;0,Table20[[#This Row],[Invested]]*Table20[[#This Row],[Remaining]]/Table20[[#This Row],[Number of options]],0)</f>
        <v>0</v>
      </c>
      <c r="AE16" s="30">
        <f ca="1">SUMIF(Table20[Ticker],Table20[[#This Row],[Ticker]],Table20[realized_profit])</f>
        <v>-444.99999999999977</v>
      </c>
      <c r="AF16" s="30" t="str">
        <f>VLOOKUP(Table20[[#This Row],[Strategy]],Table29[#All],7,FALSE)</f>
        <v>Bullish</v>
      </c>
    </row>
    <row r="17" spans="1:32" hidden="1">
      <c r="A17" s="35">
        <v>45485</v>
      </c>
      <c r="B17" s="21" t="e" vm="34">
        <v>#VALUE!</v>
      </c>
      <c r="C17" s="109" t="str" cm="1">
        <f t="array" aca="1" ref="C17" ca="1">_FV(Table20[[#This Row],[Asset]],"Ticker symbol",TRUE)</f>
        <v>TSM</v>
      </c>
      <c r="D17" s="26" cm="1">
        <f t="array" aca="1" ref="D17" ca="1">_FV(Table20[[#This Row],[Asset]],"Price")</f>
        <v>348.52499999999998</v>
      </c>
      <c r="E17" s="26">
        <v>200</v>
      </c>
      <c r="F17" s="32">
        <v>3</v>
      </c>
      <c r="G17" s="34">
        <v>-1</v>
      </c>
      <c r="H17" s="21" t="s">
        <v>114</v>
      </c>
      <c r="I17" s="25">
        <v>45456</v>
      </c>
      <c r="J17" s="26">
        <v>1.25</v>
      </c>
      <c r="K17" s="24">
        <v>0.4446</v>
      </c>
      <c r="L17" s="33">
        <f>VLOOKUP(Table20[[#This Row],[Strategy]],Table29[#All],6,FALSE)</f>
        <v>1</v>
      </c>
      <c r="M17" s="23">
        <v>3</v>
      </c>
      <c r="N17" s="23">
        <v>0.41</v>
      </c>
      <c r="O17" s="23"/>
      <c r="P17" s="23"/>
      <c r="Q17">
        <f>Table20[[#This Row],[Exit1]]*Table20[[#This Row],[ex1_price]]</f>
        <v>1.23</v>
      </c>
      <c r="R17">
        <f>Table20[[#This Row],[Exit2]]*Table20[[#This Row],[ex2_price]]</f>
        <v>0</v>
      </c>
      <c r="S17">
        <f>IFERROR((Table20[[#This Row],[ex2_amnt]]+Table20[[#This Row],[ex1_amnt]])/(Table20[[#This Row],[Exit2]]+Table20[[#This Row],[Exit1]]),0)</f>
        <v>0.41</v>
      </c>
      <c r="T17" s="5">
        <f>(Table20[[#This Row],[Exit1]]+Table20[[#This Row],[Exit2]])*(Table20[[#This Row],[avg_exit_price]]-Table20[[#This Row],[AvePrice]])*100*Table20[[#This Row],[Buy or Sell]]</f>
        <v>252.00000000000006</v>
      </c>
      <c r="U17" s="5">
        <f>Table20[[#This Row],[Number of options]]*Table20[[#This Row],[AvePrice]]*100*Table20[[#This Row],[Buy or Sell]]</f>
        <v>-375</v>
      </c>
      <c r="V17" s="8">
        <f>Table20[[#This Row],[Number of options]]-Table20[[#This Row],[Exit1]]-Table20[[#This Row],[Exit2]]</f>
        <v>0</v>
      </c>
      <c r="W17" s="30">
        <f ca="1">(Table20[[#This Row],[Expiration Date]]-TODAY())/365</f>
        <v>-1.704109589041096</v>
      </c>
      <c r="X17" s="30" t="e">
        <f ca="1">(LN(Table20[[#This Row],[Current Price]]/Table20[[#This Row],[strike_price]]) + ($B$2 + (Table20[[#This Row],[Vol]]^2)/2)*Table20[[#This Row],[Time to expiration]]) / (Table20[[#This Row],[Vol]] * SQRT(Table20[[#This Row],[Time to expiration]]))</f>
        <v>#NUM!</v>
      </c>
      <c r="Y17" s="30" t="e">
        <f ca="1">IF(Table20[[#This Row],[Direction]]&gt;0, _xlfn.NORM.S.DIST(Table20[[#This Row],[d1]], TRUE), _xlfn.NORM.S.DIST(Table20[[#This Row],[d1]], TRUE) - 1) * Table20[[#This Row],[Buy or Sell]]</f>
        <v>#NUM!</v>
      </c>
      <c r="Z17" s="9">
        <f ca="1">Table20[[#This Row],[Remaining]]*Table20[[#This Row],[Current Price]]*100</f>
        <v>0</v>
      </c>
      <c r="AA17" s="22">
        <f ca="1">IFERROR(Table20[[#This Row],[nominal_exposure]]*Table20[[#This Row],[Delta]],0)</f>
        <v>0</v>
      </c>
      <c r="AB17" s="95" t="b">
        <f>IF(Table20[[#This Row],[date_purchased]]&lt;&gt;Table20[[#This Row],[Expiration Date]],FALSE,TRUE)</f>
        <v>0</v>
      </c>
      <c r="AC17" s="30" t="str">
        <f>VLOOKUP(Table20[[#This Row],[Asset]],Table19[#All],3,FALSE)</f>
        <v>AI</v>
      </c>
      <c r="AD17" s="30">
        <f>IF(Table20[[#This Row],[Remaining]]&lt;&gt;0,Table20[[#This Row],[Invested]]*Table20[[#This Row],[Remaining]]/Table20[[#This Row],[Number of options]],0)</f>
        <v>0</v>
      </c>
      <c r="AE17" s="30">
        <f ca="1">SUMIF(Table20[Ticker],Table20[[#This Row],[Ticker]],Table20[realized_profit])</f>
        <v>-444.99999999999977</v>
      </c>
      <c r="AF17" s="30" t="str">
        <f>VLOOKUP(Table20[[#This Row],[Strategy]],Table29[#All],7,FALSE)</f>
        <v>Bullish</v>
      </c>
    </row>
    <row r="18" spans="1:32" hidden="1">
      <c r="A18" s="35">
        <v>45485</v>
      </c>
      <c r="B18" s="21" t="e" vm="11">
        <v>#VALUE!</v>
      </c>
      <c r="C18" s="109" t="str" cm="1">
        <f t="array" aca="1" ref="C18" ca="1">_FV(Table20[[#This Row],[Asset]],"Ticker symbol",TRUE)</f>
        <v>AMZN</v>
      </c>
      <c r="D18" s="26" cm="1">
        <f t="array" aca="1" ref="D18" ca="1">_FV(Table20[[#This Row],[Asset]],"Price")</f>
        <v>212.15</v>
      </c>
      <c r="E18" s="26">
        <v>200</v>
      </c>
      <c r="F18" s="33">
        <v>2</v>
      </c>
      <c r="G18" s="34">
        <v>1</v>
      </c>
      <c r="H18" s="21" t="s">
        <v>113</v>
      </c>
      <c r="I18" s="31">
        <v>45471</v>
      </c>
      <c r="J18" s="26">
        <v>2.27</v>
      </c>
      <c r="K18" s="24">
        <v>0.27489999999999998</v>
      </c>
      <c r="L18" s="33">
        <f>VLOOKUP(Table20[[#This Row],[Strategy]],Table29[#All],6,FALSE)</f>
        <v>1</v>
      </c>
      <c r="M18" s="23">
        <v>2</v>
      </c>
      <c r="N18" s="23">
        <v>2.56</v>
      </c>
      <c r="O18" s="23"/>
      <c r="P18" s="23"/>
      <c r="Q18">
        <f>Table20[[#This Row],[Exit1]]*Table20[[#This Row],[ex1_price]]</f>
        <v>5.12</v>
      </c>
      <c r="R18">
        <f>Table20[[#This Row],[Exit2]]*Table20[[#This Row],[ex2_price]]</f>
        <v>0</v>
      </c>
      <c r="S18">
        <f>IFERROR((Table20[[#This Row],[ex2_amnt]]+Table20[[#This Row],[ex1_amnt]])/(Table20[[#This Row],[Exit2]]+Table20[[#This Row],[Exit1]]),0)</f>
        <v>2.56</v>
      </c>
      <c r="T18" s="5">
        <f>(Table20[[#This Row],[Exit1]]+Table20[[#This Row],[Exit2]])*(Table20[[#This Row],[avg_exit_price]]-Table20[[#This Row],[AvePrice]])*100*Table20[[#This Row],[Buy or Sell]]</f>
        <v>58.000000000000007</v>
      </c>
      <c r="U18" s="5">
        <f>Table20[[#This Row],[Number of options]]*Table20[[#This Row],[AvePrice]]*100*Table20[[#This Row],[Buy or Sell]]</f>
        <v>454</v>
      </c>
      <c r="V18" s="8">
        <f>Table20[[#This Row],[Number of options]]-Table20[[#This Row],[Exit1]]-Table20[[#This Row],[Exit2]]</f>
        <v>0</v>
      </c>
      <c r="W18" s="30">
        <f ca="1">(Table20[[#This Row],[Expiration Date]]-TODAY())/365</f>
        <v>-1.704109589041096</v>
      </c>
      <c r="X18" s="30" t="e">
        <f ca="1">(LN(Table20[[#This Row],[Current Price]]/Table20[[#This Row],[strike_price]]) + ($B$2 + (Table20[[#This Row],[Vol]]^2)/2)*Table20[[#This Row],[Time to expiration]]) / (Table20[[#This Row],[Vol]] * SQRT(Table20[[#This Row],[Time to expiration]]))</f>
        <v>#NUM!</v>
      </c>
      <c r="Y18" s="30" t="e">
        <f ca="1">IF(Table20[[#This Row],[Direction]]&gt;0, _xlfn.NORM.S.DIST(Table20[[#This Row],[d1]], TRUE), _xlfn.NORM.S.DIST(Table20[[#This Row],[d1]], TRUE) - 1) * Table20[[#This Row],[Buy or Sell]]</f>
        <v>#NUM!</v>
      </c>
      <c r="Z18" s="9">
        <f ca="1">Table20[[#This Row],[Remaining]]*Table20[[#This Row],[Current Price]]*100</f>
        <v>0</v>
      </c>
      <c r="AA18" s="22">
        <f ca="1">IFERROR(Table20[[#This Row],[nominal_exposure]]*Table20[[#This Row],[Delta]],0)</f>
        <v>0</v>
      </c>
      <c r="AB18" s="95" t="b">
        <f>IF(Table20[[#This Row],[date_purchased]]&lt;&gt;Table20[[#This Row],[Expiration Date]],FALSE,TRUE)</f>
        <v>0</v>
      </c>
      <c r="AC18" s="30" t="str">
        <f>VLOOKUP(Table20[[#This Row],[Asset]],Table19[#All],3,FALSE)</f>
        <v>Robotics</v>
      </c>
      <c r="AD18" s="30">
        <f>IF(Table20[[#This Row],[Remaining]]&lt;&gt;0,Table20[[#This Row],[Invested]]*Table20[[#This Row],[Remaining]]/Table20[[#This Row],[Number of options]],0)</f>
        <v>0</v>
      </c>
      <c r="AE18" s="30">
        <f ca="1">SUMIF(Table20[Ticker],Table20[[#This Row],[Ticker]],Table20[realized_profit])</f>
        <v>-1350</v>
      </c>
      <c r="AF18" s="30" t="str">
        <f>VLOOKUP(Table20[[#This Row],[Strategy]],Table29[#All],7,FALSE)</f>
        <v>Bullish</v>
      </c>
    </row>
    <row r="19" spans="1:32" hidden="1">
      <c r="A19" s="35">
        <v>45485</v>
      </c>
      <c r="B19" s="21" t="e" vm="115">
        <v>#VALUE!</v>
      </c>
      <c r="C19" s="109" t="str" cm="1">
        <f t="array" aca="1" ref="C19" ca="1">_FV(Table20[[#This Row],[Asset]],"Ticker symbol",TRUE)</f>
        <v>QQQ</v>
      </c>
      <c r="D19" s="26" cm="1">
        <f t="array" aca="1" ref="D19" ca="1">_FV(Table20[[#This Row],[Asset]],"Price")</f>
        <v>590.62</v>
      </c>
      <c r="E19" s="26">
        <v>470</v>
      </c>
      <c r="F19" s="33">
        <v>6</v>
      </c>
      <c r="G19" s="34">
        <v>1</v>
      </c>
      <c r="H19" s="21" t="s">
        <v>65</v>
      </c>
      <c r="I19" s="31">
        <v>45474</v>
      </c>
      <c r="J19" s="26">
        <v>2.2400000000000002</v>
      </c>
      <c r="K19" s="24">
        <v>0.1673</v>
      </c>
      <c r="L19" s="33">
        <f>VLOOKUP(Table20[[#This Row],[Strategy]],Table29[#All],6,FALSE)</f>
        <v>-1</v>
      </c>
      <c r="M19" s="23">
        <v>6</v>
      </c>
      <c r="N19" s="23">
        <v>0.04</v>
      </c>
      <c r="O19" s="23"/>
      <c r="P19" s="23"/>
      <c r="Q19">
        <f>Table20[[#This Row],[Exit1]]*Table20[[#This Row],[ex1_price]]</f>
        <v>0.24</v>
      </c>
      <c r="R19">
        <f>Table20[[#This Row],[Exit2]]*Table20[[#This Row],[ex2_price]]</f>
        <v>0</v>
      </c>
      <c r="S19">
        <f>IFERROR((Table20[[#This Row],[ex2_amnt]]+Table20[[#This Row],[ex1_amnt]])/(Table20[[#This Row],[Exit2]]+Table20[[#This Row],[Exit1]]),0)</f>
        <v>0.04</v>
      </c>
      <c r="T19" s="5">
        <f>(Table20[[#This Row],[Exit1]]+Table20[[#This Row],[Exit2]])*(Table20[[#This Row],[avg_exit_price]]-Table20[[#This Row],[AvePrice]])*100*Table20[[#This Row],[Buy or Sell]]</f>
        <v>-1320</v>
      </c>
      <c r="U19" s="5">
        <f>Table20[[#This Row],[Number of options]]*Table20[[#This Row],[AvePrice]]*100*Table20[[#This Row],[Buy or Sell]]</f>
        <v>1344.0000000000002</v>
      </c>
      <c r="V19" s="8">
        <f>Table20[[#This Row],[Number of options]]-Table20[[#This Row],[Exit1]]-Table20[[#This Row],[Exit2]]</f>
        <v>0</v>
      </c>
      <c r="W19" s="30">
        <f ca="1">(Table20[[#This Row],[Expiration Date]]-TODAY())/365</f>
        <v>-1.704109589041096</v>
      </c>
      <c r="X19" s="30" t="e">
        <f ca="1">(LN(Table20[[#This Row],[Current Price]]/Table20[[#This Row],[strike_price]]) + ($B$2 + (Table20[[#This Row],[Vol]]^2)/2)*Table20[[#This Row],[Time to expiration]]) / (Table20[[#This Row],[Vol]] * SQRT(Table20[[#This Row],[Time to expiration]]))</f>
        <v>#NUM!</v>
      </c>
      <c r="Y19" s="30" t="e">
        <f ca="1">IF(Table20[[#This Row],[Direction]]&gt;0, _xlfn.NORM.S.DIST(Table20[[#This Row],[d1]], TRUE), _xlfn.NORM.S.DIST(Table20[[#This Row],[d1]], TRUE) - 1) * Table20[[#This Row],[Buy or Sell]]</f>
        <v>#NUM!</v>
      </c>
      <c r="Z19" s="9">
        <f ca="1">Table20[[#This Row],[Remaining]]*Table20[[#This Row],[Current Price]]*100</f>
        <v>0</v>
      </c>
      <c r="AA19" s="22">
        <f ca="1">IFERROR(Table20[[#This Row],[nominal_exposure]]*Table20[[#This Row],[Delta]],0)</f>
        <v>0</v>
      </c>
      <c r="AB19" s="95" t="b">
        <f>IF(Table20[[#This Row],[date_purchased]]&lt;&gt;Table20[[#This Row],[Expiration Date]],FALSE,TRUE)</f>
        <v>0</v>
      </c>
      <c r="AC19" s="30" t="str">
        <f>VLOOKUP(Table20[[#This Row],[Asset]],Table19[#All],3,FALSE)</f>
        <v>Market</v>
      </c>
      <c r="AD19" s="30">
        <f>IF(Table20[[#This Row],[Remaining]]&lt;&gt;0,Table20[[#This Row],[Invested]]*Table20[[#This Row],[Remaining]]/Table20[[#This Row],[Number of options]],0)</f>
        <v>0</v>
      </c>
      <c r="AE19" s="30">
        <f ca="1">SUMIF(Table20[Ticker],Table20[[#This Row],[Ticker]],Table20[realized_profit])</f>
        <v>-1212</v>
      </c>
      <c r="AF19" s="30" t="str">
        <f>VLOOKUP(Table20[[#This Row],[Strategy]],Table29[#All],7,FALSE)</f>
        <v>Bearish</v>
      </c>
    </row>
    <row r="20" spans="1:32" hidden="1">
      <c r="A20" s="180">
        <v>45657</v>
      </c>
      <c r="B20" s="21" t="e" vm="96">
        <v>#VALUE!</v>
      </c>
      <c r="C20" s="109" t="str" cm="1">
        <f t="array" aca="1" ref="C20" ca="1">_FV(Table20[[#This Row],[Asset]],"Ticker symbol",TRUE)</f>
        <v>SPY</v>
      </c>
      <c r="D20" s="26" cm="1">
        <f t="array" aca="1" ref="D20" ca="1">_FV(Table20[[#This Row],[Asset]],"Price")</f>
        <v>658.59</v>
      </c>
      <c r="E20" s="26">
        <v>390</v>
      </c>
      <c r="F20" s="33">
        <v>1</v>
      </c>
      <c r="G20" s="34">
        <v>-1</v>
      </c>
      <c r="H20" s="110" t="s">
        <v>112</v>
      </c>
      <c r="I20" s="31">
        <v>45323</v>
      </c>
      <c r="J20" s="26">
        <v>5.33</v>
      </c>
      <c r="K20" s="24">
        <v>0.2863</v>
      </c>
      <c r="L20" s="33">
        <f>VLOOKUP(Table20[[#This Row],[Strategy]],Table29[#All],6,FALSE)</f>
        <v>-1</v>
      </c>
      <c r="M20" s="23">
        <v>1</v>
      </c>
      <c r="N20" s="23">
        <v>0.26</v>
      </c>
      <c r="O20" s="23"/>
      <c r="P20" s="23"/>
      <c r="Q20">
        <f>Table20[[#This Row],[Exit1]]*Table20[[#This Row],[ex1_price]]</f>
        <v>0.26</v>
      </c>
      <c r="R20">
        <f>Table20[[#This Row],[Exit2]]*Table20[[#This Row],[ex2_price]]</f>
        <v>0</v>
      </c>
      <c r="S20">
        <f>IFERROR((Table20[[#This Row],[ex2_amnt]]+Table20[[#This Row],[ex1_amnt]])/(Table20[[#This Row],[Exit2]]+Table20[[#This Row],[Exit1]]),0)</f>
        <v>0.26</v>
      </c>
      <c r="T20" s="5">
        <f>(Table20[[#This Row],[Exit1]]+Table20[[#This Row],[Exit2]])*(Table20[[#This Row],[avg_exit_price]]-Table20[[#This Row],[AvePrice]])*100*Table20[[#This Row],[Buy or Sell]]</f>
        <v>507</v>
      </c>
      <c r="U20" s="5">
        <f>Table20[[#This Row],[Number of options]]*Table20[[#This Row],[AvePrice]]*100*Table20[[#This Row],[Buy or Sell]]</f>
        <v>-533</v>
      </c>
      <c r="V20" s="8">
        <f>Table20[[#This Row],[Number of options]]-Table20[[#This Row],[Exit1]]-Table20[[#This Row],[Exit2]]</f>
        <v>0</v>
      </c>
      <c r="W20" s="30">
        <f ca="1">(Table20[[#This Row],[Expiration Date]]-TODAY())/365</f>
        <v>-1.2328767123287672</v>
      </c>
      <c r="X20" s="30" t="e">
        <f ca="1">(LN(Table20[[#This Row],[Current Price]]/Table20[[#This Row],[strike_price]]) + ($B$2 + (Table20[[#This Row],[Vol]]^2)/2)*Table20[[#This Row],[Time to expiration]]) / (Table20[[#This Row],[Vol]] * SQRT(Table20[[#This Row],[Time to expiration]]))</f>
        <v>#NUM!</v>
      </c>
      <c r="Y20" s="30" t="e">
        <f ca="1">IF(Table20[[#This Row],[Direction]]&gt;0, _xlfn.NORM.S.DIST(Table20[[#This Row],[d1]], TRUE), _xlfn.NORM.S.DIST(Table20[[#This Row],[d1]], TRUE) - 1) * Table20[[#This Row],[Buy or Sell]]</f>
        <v>#NUM!</v>
      </c>
      <c r="Z20" s="9">
        <f ca="1">Table20[[#This Row],[Remaining]]*Table20[[#This Row],[Current Price]]*100</f>
        <v>0</v>
      </c>
      <c r="AA20" s="22">
        <f ca="1">IFERROR(Table20[[#This Row],[nominal_exposure]]*Table20[[#This Row],[Delta]],0)</f>
        <v>0</v>
      </c>
      <c r="AB20" s="99" t="b">
        <f>IF(Table20[[#This Row],[date_purchased]]&lt;&gt;Table20[[#This Row],[Expiration Date]],FALSE,TRUE)</f>
        <v>0</v>
      </c>
      <c r="AC20" s="30" t="str">
        <f>VLOOKUP(Table20[[#This Row],[Asset]],Table19[#All],3,FALSE)</f>
        <v>Market</v>
      </c>
      <c r="AD20" s="4">
        <f>IF(Table20[[#This Row],[Remaining]]&lt;&gt;0,Table20[[#This Row],[Invested]]*Table20[[#This Row],[Remaining]]/Table20[[#This Row],[Number of options]],0)</f>
        <v>0</v>
      </c>
      <c r="AE20" s="4">
        <f ca="1">SUMIF(Table20[Ticker],Table20[[#This Row],[Ticker]],Table20[realized_profit])</f>
        <v>-5077</v>
      </c>
      <c r="AF20" s="30" t="str">
        <f>VLOOKUP(Table20[[#This Row],[Strategy]],Table29[#All],7,FALSE)</f>
        <v>Bearish</v>
      </c>
    </row>
    <row r="21" spans="1:32" hidden="1">
      <c r="A21" s="35">
        <v>45492</v>
      </c>
      <c r="B21" s="21" t="e" vm="422">
        <v>#VALUE!</v>
      </c>
      <c r="C21" s="109" t="str" cm="1">
        <f t="array" aca="1" ref="C21" ca="1">_FV(Table20[[#This Row],[Asset]],"Ticker symbol",TRUE)</f>
        <v>VALE</v>
      </c>
      <c r="D21" s="26" cm="1">
        <f t="array" aca="1" ref="D21" ca="1">_FV(Table20[[#This Row],[Asset]],"Price")</f>
        <v>15.25</v>
      </c>
      <c r="E21" s="26">
        <v>12</v>
      </c>
      <c r="F21" s="32">
        <v>10</v>
      </c>
      <c r="G21" s="34">
        <v>1</v>
      </c>
      <c r="H21" s="21" t="s">
        <v>47</v>
      </c>
      <c r="I21" s="25">
        <v>45470</v>
      </c>
      <c r="J21" s="26">
        <v>0.23</v>
      </c>
      <c r="K21" s="24">
        <v>0.2918</v>
      </c>
      <c r="L21" s="33">
        <f>VLOOKUP(Table20[[#This Row],[Strategy]],Table29[#All],6,FALSE)</f>
        <v>1</v>
      </c>
      <c r="M21" s="23">
        <v>10</v>
      </c>
      <c r="N21" s="23">
        <v>0.03</v>
      </c>
      <c r="O21" s="23"/>
      <c r="P21" s="23"/>
      <c r="Q21">
        <f>Table20[[#This Row],[Exit1]]*Table20[[#This Row],[ex1_price]]</f>
        <v>0.3</v>
      </c>
      <c r="R21">
        <f>Table20[[#This Row],[Exit2]]*Table20[[#This Row],[ex2_price]]</f>
        <v>0</v>
      </c>
      <c r="S21">
        <f>IFERROR((Table20[[#This Row],[ex2_amnt]]+Table20[[#This Row],[ex1_amnt]])/(Table20[[#This Row],[Exit2]]+Table20[[#This Row],[Exit1]]),0)</f>
        <v>0.03</v>
      </c>
      <c r="T21" s="5">
        <f>(Table20[[#This Row],[Exit1]]+Table20[[#This Row],[Exit2]])*(Table20[[#This Row],[avg_exit_price]]-Table20[[#This Row],[AvePrice]])*100*Table20[[#This Row],[Buy or Sell]]</f>
        <v>-200</v>
      </c>
      <c r="U21" s="5">
        <f>Table20[[#This Row],[Number of options]]*Table20[[#This Row],[AvePrice]]*100*Table20[[#This Row],[Buy or Sell]]</f>
        <v>230.00000000000003</v>
      </c>
      <c r="V21" s="8">
        <f>Table20[[#This Row],[Number of options]]-Table20[[#This Row],[Exit1]]-Table20[[#This Row],[Exit2]]</f>
        <v>0</v>
      </c>
      <c r="W21" s="30">
        <f ca="1">(Table20[[#This Row],[Expiration Date]]-TODAY())/365</f>
        <v>-1.6849315068493151</v>
      </c>
      <c r="X21" s="30" t="e">
        <f ca="1">(LN(Table20[[#This Row],[Current Price]]/Table20[[#This Row],[strike_price]]) + ($B$2 + (Table20[[#This Row],[Vol]]^2)/2)*Table20[[#This Row],[Time to expiration]]) / (Table20[[#This Row],[Vol]] * SQRT(Table20[[#This Row],[Time to expiration]]))</f>
        <v>#NUM!</v>
      </c>
      <c r="Y21" s="30" t="e">
        <f ca="1">IF(Table20[[#This Row],[Direction]]&gt;0, _xlfn.NORM.S.DIST(Table20[[#This Row],[d1]], TRUE), _xlfn.NORM.S.DIST(Table20[[#This Row],[d1]], TRUE) - 1) * Table20[[#This Row],[Buy or Sell]]</f>
        <v>#NUM!</v>
      </c>
      <c r="Z21" s="9">
        <f ca="1">Table20[[#This Row],[Remaining]]*Table20[[#This Row],[Current Price]]*100</f>
        <v>0</v>
      </c>
      <c r="AA21" s="22">
        <f ca="1">IFERROR(Table20[[#This Row],[nominal_exposure]]*Table20[[#This Row],[Delta]],0)</f>
        <v>0</v>
      </c>
      <c r="AB21" s="95" t="b">
        <f>IF(Table20[[#This Row],[date_purchased]]&lt;&gt;Table20[[#This Row],[Expiration Date]],FALSE,TRUE)</f>
        <v>0</v>
      </c>
      <c r="AC21" s="30" t="str">
        <f>VLOOKUP(Table20[[#This Row],[Asset]],Table19[#All],3,FALSE)</f>
        <v>Steel</v>
      </c>
      <c r="AD21" s="30">
        <f>IF(Table20[[#This Row],[Remaining]]&lt;&gt;0,Table20[[#This Row],[Invested]]*Table20[[#This Row],[Remaining]]/Table20[[#This Row],[Number of options]],0)</f>
        <v>0</v>
      </c>
      <c r="AE21" s="30">
        <f ca="1">SUMIF(Table20[Ticker],Table20[[#This Row],[Ticker]],Table20[realized_profit])</f>
        <v>-365</v>
      </c>
      <c r="AF21" s="30" t="str">
        <f>VLOOKUP(Table20[[#This Row],[Strategy]],Table29[#All],7,FALSE)</f>
        <v>Bullish</v>
      </c>
    </row>
    <row r="22" spans="1:32" hidden="1">
      <c r="A22" s="35">
        <v>45492</v>
      </c>
      <c r="B22" s="21" t="e" vm="34">
        <v>#VALUE!</v>
      </c>
      <c r="C22" s="109" t="str" cm="1">
        <f t="array" aca="1" ref="C22" ca="1">_FV(Table20[[#This Row],[Asset]],"Ticker symbol",TRUE)</f>
        <v>TSM</v>
      </c>
      <c r="D22" s="26" cm="1">
        <f t="array" aca="1" ref="D22" ca="1">_FV(Table20[[#This Row],[Asset]],"Price")</f>
        <v>348.52499999999998</v>
      </c>
      <c r="E22" s="26">
        <v>210</v>
      </c>
      <c r="F22" s="32">
        <v>2</v>
      </c>
      <c r="G22" s="34">
        <v>-1</v>
      </c>
      <c r="H22" s="21" t="s">
        <v>115</v>
      </c>
      <c r="I22" s="25">
        <v>45470</v>
      </c>
      <c r="J22" s="26">
        <v>1.53</v>
      </c>
      <c r="K22" s="24">
        <v>0.51339999999999997</v>
      </c>
      <c r="L22" s="33">
        <f>VLOOKUP(Table20[[#This Row],[Strategy]],Table29[#All],6,FALSE)</f>
        <v>1</v>
      </c>
      <c r="M22" s="23">
        <v>2</v>
      </c>
      <c r="N22" s="23">
        <v>0.01</v>
      </c>
      <c r="O22" s="23"/>
      <c r="P22" s="23"/>
      <c r="Q22">
        <f>Table20[[#This Row],[Exit1]]*Table20[[#This Row],[ex1_price]]</f>
        <v>0.02</v>
      </c>
      <c r="R22">
        <f>Table20[[#This Row],[Exit2]]*Table20[[#This Row],[ex2_price]]</f>
        <v>0</v>
      </c>
      <c r="S22">
        <f>IFERROR((Table20[[#This Row],[ex2_amnt]]+Table20[[#This Row],[ex1_amnt]])/(Table20[[#This Row],[Exit2]]+Table20[[#This Row],[Exit1]]),0)</f>
        <v>0.01</v>
      </c>
      <c r="T22" s="5">
        <f>(Table20[[#This Row],[Exit1]]+Table20[[#This Row],[Exit2]])*(Table20[[#This Row],[avg_exit_price]]-Table20[[#This Row],[AvePrice]])*100*Table20[[#This Row],[Buy or Sell]]</f>
        <v>304</v>
      </c>
      <c r="U22" s="5">
        <f>Table20[[#This Row],[Number of options]]*Table20[[#This Row],[AvePrice]]*100*Table20[[#This Row],[Buy or Sell]]</f>
        <v>-306</v>
      </c>
      <c r="V22" s="8">
        <f>Table20[[#This Row],[Number of options]]-Table20[[#This Row],[Exit1]]-Table20[[#This Row],[Exit2]]</f>
        <v>0</v>
      </c>
      <c r="W22" s="30">
        <f ca="1">(Table20[[#This Row],[Expiration Date]]-TODAY())/365</f>
        <v>-1.6849315068493151</v>
      </c>
      <c r="X22" s="30" t="e">
        <f ca="1">(LN(Table20[[#This Row],[Current Price]]/Table20[[#This Row],[strike_price]]) + ($B$2 + (Table20[[#This Row],[Vol]]^2)/2)*Table20[[#This Row],[Time to expiration]]) / (Table20[[#This Row],[Vol]] * SQRT(Table20[[#This Row],[Time to expiration]]))</f>
        <v>#NUM!</v>
      </c>
      <c r="Y22" s="30" t="e">
        <f ca="1">IF(Table20[[#This Row],[Direction]]&gt;0, _xlfn.NORM.S.DIST(Table20[[#This Row],[d1]], TRUE), _xlfn.NORM.S.DIST(Table20[[#This Row],[d1]], TRUE) - 1) * Table20[[#This Row],[Buy or Sell]]</f>
        <v>#NUM!</v>
      </c>
      <c r="Z22" s="9">
        <f ca="1">Table20[[#This Row],[Remaining]]*Table20[[#This Row],[Current Price]]*100</f>
        <v>0</v>
      </c>
      <c r="AA22" s="22">
        <f ca="1">IFERROR(Table20[[#This Row],[nominal_exposure]]*Table20[[#This Row],[Delta]],0)</f>
        <v>0</v>
      </c>
      <c r="AB22" s="95" t="b">
        <f>IF(Table20[[#This Row],[date_purchased]]&lt;&gt;Table20[[#This Row],[Expiration Date]],FALSE,TRUE)</f>
        <v>0</v>
      </c>
      <c r="AC22" s="30" t="str">
        <f>VLOOKUP(Table20[[#This Row],[Asset]],Table19[#All],3,FALSE)</f>
        <v>AI</v>
      </c>
      <c r="AD22" s="30">
        <f>IF(Table20[[#This Row],[Remaining]]&lt;&gt;0,Table20[[#This Row],[Invested]]*Table20[[#This Row],[Remaining]]/Table20[[#This Row],[Number of options]],0)</f>
        <v>0</v>
      </c>
      <c r="AE22" s="30">
        <f ca="1">SUMIF(Table20[Ticker],Table20[[#This Row],[Ticker]],Table20[realized_profit])</f>
        <v>-444.99999999999977</v>
      </c>
      <c r="AF22" s="30" t="str">
        <f>VLOOKUP(Table20[[#This Row],[Strategy]],Table29[#All],7,FALSE)</f>
        <v>Bullish</v>
      </c>
    </row>
    <row r="23" spans="1:32" hidden="1">
      <c r="A23" s="35">
        <v>45492</v>
      </c>
      <c r="B23" s="21" t="e" vm="33">
        <v>#VALUE!</v>
      </c>
      <c r="C23" s="109" t="str" cm="1">
        <f t="array" aca="1" ref="C23" ca="1">_FV(Table20[[#This Row],[Asset]],"Ticker symbol",TRUE)</f>
        <v>CRDO</v>
      </c>
      <c r="D23" s="26" cm="1">
        <f t="array" aca="1" ref="D23" ca="1">_FV(Table20[[#This Row],[Asset]],"Price")</f>
        <v>103.09</v>
      </c>
      <c r="E23" s="26">
        <v>30</v>
      </c>
      <c r="F23" s="32">
        <v>4</v>
      </c>
      <c r="G23" s="34">
        <v>1</v>
      </c>
      <c r="H23" s="21" t="s">
        <v>113</v>
      </c>
      <c r="I23" s="25">
        <v>45455</v>
      </c>
      <c r="J23" s="26">
        <v>1.56</v>
      </c>
      <c r="K23" s="24">
        <v>0.4864</v>
      </c>
      <c r="L23" s="33">
        <f>VLOOKUP(Table20[[#This Row],[Strategy]],Table29[#All],6,FALSE)</f>
        <v>1</v>
      </c>
      <c r="M23" s="23">
        <v>4</v>
      </c>
      <c r="N23" s="23">
        <v>2</v>
      </c>
      <c r="O23" s="23"/>
      <c r="P23" s="23"/>
      <c r="Q23">
        <f>Table20[[#This Row],[Exit1]]*Table20[[#This Row],[ex1_price]]</f>
        <v>8</v>
      </c>
      <c r="R23">
        <f>Table20[[#This Row],[Exit2]]*Table20[[#This Row],[ex2_price]]</f>
        <v>0</v>
      </c>
      <c r="S23">
        <f>IFERROR((Table20[[#This Row],[ex2_amnt]]+Table20[[#This Row],[ex1_amnt]])/(Table20[[#This Row],[Exit2]]+Table20[[#This Row],[Exit1]]),0)</f>
        <v>2</v>
      </c>
      <c r="T23" s="5">
        <f>(Table20[[#This Row],[Exit1]]+Table20[[#This Row],[Exit2]])*(Table20[[#This Row],[avg_exit_price]]-Table20[[#This Row],[AvePrice]])*100*Table20[[#This Row],[Buy or Sell]]</f>
        <v>175.99999999999997</v>
      </c>
      <c r="U23" s="5">
        <f>Table20[[#This Row],[Number of options]]*Table20[[#This Row],[AvePrice]]*100*Table20[[#This Row],[Buy or Sell]]</f>
        <v>624</v>
      </c>
      <c r="V23" s="8">
        <f>Table20[[#This Row],[Number of options]]-Table20[[#This Row],[Exit1]]-Table20[[#This Row],[Exit2]]</f>
        <v>0</v>
      </c>
      <c r="W23" s="30">
        <f ca="1">(Table20[[#This Row],[Expiration Date]]-TODAY())/365</f>
        <v>-1.6849315068493151</v>
      </c>
      <c r="X23" s="30" t="e">
        <f ca="1">(LN(Table20[[#This Row],[Current Price]]/Table20[[#This Row],[strike_price]]) + ($B$2 + (Table20[[#This Row],[Vol]]^2)/2)*Table20[[#This Row],[Time to expiration]]) / (Table20[[#This Row],[Vol]] * SQRT(Table20[[#This Row],[Time to expiration]]))</f>
        <v>#NUM!</v>
      </c>
      <c r="Y23" s="30" t="e">
        <f ca="1">IF(Table20[[#This Row],[Direction]]&gt;0, _xlfn.NORM.S.DIST(Table20[[#This Row],[d1]], TRUE), _xlfn.NORM.S.DIST(Table20[[#This Row],[d1]], TRUE) - 1) * Table20[[#This Row],[Buy or Sell]]</f>
        <v>#NUM!</v>
      </c>
      <c r="Z23" s="9">
        <f ca="1">Table20[[#This Row],[Remaining]]*Table20[[#This Row],[Current Price]]*100</f>
        <v>0</v>
      </c>
      <c r="AA23" s="22">
        <f ca="1">IFERROR(Table20[[#This Row],[nominal_exposure]]*Table20[[#This Row],[Delta]],0)</f>
        <v>0</v>
      </c>
      <c r="AB23" s="95" t="b">
        <f>IF(Table20[[#This Row],[date_purchased]]&lt;&gt;Table20[[#This Row],[Expiration Date]],FALSE,TRUE)</f>
        <v>0</v>
      </c>
      <c r="AC23" s="30" t="str">
        <f>VLOOKUP(Table20[[#This Row],[Asset]],Table19[#All],3,FALSE)</f>
        <v>AI</v>
      </c>
      <c r="AD23" s="30">
        <f>IF(Table20[[#This Row],[Remaining]]&lt;&gt;0,Table20[[#This Row],[Invested]]*Table20[[#This Row],[Remaining]]/Table20[[#This Row],[Number of options]],0)</f>
        <v>0</v>
      </c>
      <c r="AE23" s="30">
        <f ca="1">SUMIF(Table20[Ticker],Table20[[#This Row],[Ticker]],Table20[realized_profit])</f>
        <v>306.99999999999994</v>
      </c>
      <c r="AF23" s="30" t="str">
        <f>VLOOKUP(Table20[[#This Row],[Strategy]],Table29[#All],7,FALSE)</f>
        <v>Bullish</v>
      </c>
    </row>
    <row r="24" spans="1:32" hidden="1">
      <c r="A24" s="35">
        <v>45492</v>
      </c>
      <c r="B24" s="21" t="e" vm="37">
        <v>#VALUE!</v>
      </c>
      <c r="C24" s="109" t="str" cm="1">
        <f t="array" aca="1" ref="C24" ca="1">_FV(Table20[[#This Row],[Asset]],"Ticker symbol",TRUE)</f>
        <v>AMD</v>
      </c>
      <c r="D24" s="26" cm="1">
        <f t="array" aca="1" ref="D24" ca="1">_FV(Table20[[#This Row],[Asset]],"Price")</f>
        <v>218.91</v>
      </c>
      <c r="E24" s="26">
        <v>170</v>
      </c>
      <c r="F24" s="32">
        <v>1</v>
      </c>
      <c r="G24" s="34">
        <v>1</v>
      </c>
      <c r="H24" s="21" t="s">
        <v>113</v>
      </c>
      <c r="I24" s="25">
        <v>45455</v>
      </c>
      <c r="J24" s="26">
        <v>5.0999999999999996</v>
      </c>
      <c r="K24" s="24">
        <v>0.40539999999999998</v>
      </c>
      <c r="L24" s="33">
        <f>VLOOKUP(Table20[[#This Row],[Strategy]],Table29[#All],6,FALSE)</f>
        <v>1</v>
      </c>
      <c r="M24" s="23">
        <v>1</v>
      </c>
      <c r="N24" s="23">
        <v>1.67</v>
      </c>
      <c r="O24" s="23"/>
      <c r="P24" s="23"/>
      <c r="Q24">
        <f>Table20[[#This Row],[Exit1]]*Table20[[#This Row],[ex1_price]]</f>
        <v>1.67</v>
      </c>
      <c r="R24">
        <f>Table20[[#This Row],[Exit2]]*Table20[[#This Row],[ex2_price]]</f>
        <v>0</v>
      </c>
      <c r="S24">
        <f>IFERROR((Table20[[#This Row],[ex2_amnt]]+Table20[[#This Row],[ex1_amnt]])/(Table20[[#This Row],[Exit2]]+Table20[[#This Row],[Exit1]]),0)</f>
        <v>1.67</v>
      </c>
      <c r="T24" s="5">
        <f>(Table20[[#This Row],[Exit1]]+Table20[[#This Row],[Exit2]])*(Table20[[#This Row],[avg_exit_price]]-Table20[[#This Row],[AvePrice]])*100*Table20[[#This Row],[Buy or Sell]]</f>
        <v>-343</v>
      </c>
      <c r="U24" s="5">
        <f>Table20[[#This Row],[Number of options]]*Table20[[#This Row],[AvePrice]]*100*Table20[[#This Row],[Buy or Sell]]</f>
        <v>509.99999999999994</v>
      </c>
      <c r="V24" s="8">
        <f>Table20[[#This Row],[Number of options]]-Table20[[#This Row],[Exit1]]-Table20[[#This Row],[Exit2]]</f>
        <v>0</v>
      </c>
      <c r="W24" s="30">
        <f ca="1">(Table20[[#This Row],[Expiration Date]]-TODAY())/365</f>
        <v>-1.6849315068493151</v>
      </c>
      <c r="X24" s="30" t="e">
        <f ca="1">(LN(Table20[[#This Row],[Current Price]]/Table20[[#This Row],[strike_price]]) + ($B$2 + (Table20[[#This Row],[Vol]]^2)/2)*Table20[[#This Row],[Time to expiration]]) / (Table20[[#This Row],[Vol]] * SQRT(Table20[[#This Row],[Time to expiration]]))</f>
        <v>#NUM!</v>
      </c>
      <c r="Y24" s="30" t="e">
        <f ca="1">IF(Table20[[#This Row],[Direction]]&gt;0, _xlfn.NORM.S.DIST(Table20[[#This Row],[d1]], TRUE), _xlfn.NORM.S.DIST(Table20[[#This Row],[d1]], TRUE) - 1) * Table20[[#This Row],[Buy or Sell]]</f>
        <v>#NUM!</v>
      </c>
      <c r="Z24" s="9">
        <f ca="1">Table20[[#This Row],[Remaining]]*Table20[[#This Row],[Current Price]]*100</f>
        <v>0</v>
      </c>
      <c r="AA24" s="22">
        <f ca="1">IFERROR(Table20[[#This Row],[nominal_exposure]]*Table20[[#This Row],[Delta]],0)</f>
        <v>0</v>
      </c>
      <c r="AB24" s="95" t="b">
        <f>IF(Table20[[#This Row],[date_purchased]]&lt;&gt;Table20[[#This Row],[Expiration Date]],FALSE,TRUE)</f>
        <v>0</v>
      </c>
      <c r="AC24" s="30" t="str">
        <f>VLOOKUP(Table20[[#This Row],[Asset]],Table19[#All],3,FALSE)</f>
        <v>AI</v>
      </c>
      <c r="AD24" s="30">
        <f>IF(Table20[[#This Row],[Remaining]]&lt;&gt;0,Table20[[#This Row],[Invested]]*Table20[[#This Row],[Remaining]]/Table20[[#This Row],[Number of options]],0)</f>
        <v>0</v>
      </c>
      <c r="AE24" s="30">
        <f ca="1">SUMIF(Table20[Ticker],Table20[[#This Row],[Ticker]],Table20[realized_profit])</f>
        <v>1567</v>
      </c>
      <c r="AF24" s="30" t="str">
        <f>VLOOKUP(Table20[[#This Row],[Strategy]],Table29[#All],7,FALSE)</f>
        <v>Bullish</v>
      </c>
    </row>
    <row r="25" spans="1:32" hidden="1">
      <c r="A25" s="35">
        <v>45492</v>
      </c>
      <c r="B25" s="21" t="e" vm="21">
        <v>#VALUE!</v>
      </c>
      <c r="C25" s="109" t="str" cm="1">
        <f t="array" aca="1" ref="C25" ca="1">_FV(Table20[[#This Row],[Asset]],"Ticker symbol",TRUE)</f>
        <v>INTC</v>
      </c>
      <c r="D25" s="26" cm="1">
        <f t="array" aca="1" ref="D25" ca="1">_FV(Table20[[#This Row],[Asset]],"Price")</f>
        <v>47.290100000000002</v>
      </c>
      <c r="E25" s="26">
        <v>30</v>
      </c>
      <c r="F25" s="32">
        <v>4</v>
      </c>
      <c r="G25" s="34">
        <v>1</v>
      </c>
      <c r="H25" s="21" t="s">
        <v>113</v>
      </c>
      <c r="I25" s="25">
        <v>45461</v>
      </c>
      <c r="J25" s="26">
        <v>1.71</v>
      </c>
      <c r="K25" s="24">
        <v>0.32269999999999999</v>
      </c>
      <c r="L25" s="33">
        <f>VLOOKUP(Table20[[#This Row],[Strategy]],Table29[#All],6,FALSE)</f>
        <v>1</v>
      </c>
      <c r="M25" s="23">
        <v>4</v>
      </c>
      <c r="N25" s="23">
        <v>4.9000000000000004</v>
      </c>
      <c r="O25" s="23"/>
      <c r="P25" s="23"/>
      <c r="Q25">
        <f>Table20[[#This Row],[Exit1]]*Table20[[#This Row],[ex1_price]]</f>
        <v>19.600000000000001</v>
      </c>
      <c r="R25">
        <f>Table20[[#This Row],[Exit2]]*Table20[[#This Row],[ex2_price]]</f>
        <v>0</v>
      </c>
      <c r="S25">
        <f>IFERROR((Table20[[#This Row],[ex2_amnt]]+Table20[[#This Row],[ex1_amnt]])/(Table20[[#This Row],[Exit2]]+Table20[[#This Row],[Exit1]]),0)</f>
        <v>4.9000000000000004</v>
      </c>
      <c r="T25" s="5">
        <f>(Table20[[#This Row],[Exit1]]+Table20[[#This Row],[Exit2]])*(Table20[[#This Row],[avg_exit_price]]-Table20[[#This Row],[AvePrice]])*100*Table20[[#This Row],[Buy or Sell]]</f>
        <v>1276.0000000000002</v>
      </c>
      <c r="U25" s="5">
        <f>Table20[[#This Row],[Number of options]]*Table20[[#This Row],[AvePrice]]*100*Table20[[#This Row],[Buy or Sell]]</f>
        <v>684</v>
      </c>
      <c r="V25" s="8">
        <f>Table20[[#This Row],[Number of options]]-Table20[[#This Row],[Exit1]]-Table20[[#This Row],[Exit2]]</f>
        <v>0</v>
      </c>
      <c r="W25" s="30">
        <f ca="1">(Table20[[#This Row],[Expiration Date]]-TODAY())/365</f>
        <v>-1.6849315068493151</v>
      </c>
      <c r="X25" s="30" t="e">
        <f ca="1">(LN(Table20[[#This Row],[Current Price]]/Table20[[#This Row],[strike_price]]) + ($B$2 + (Table20[[#This Row],[Vol]]^2)/2)*Table20[[#This Row],[Time to expiration]]) / (Table20[[#This Row],[Vol]] * SQRT(Table20[[#This Row],[Time to expiration]]))</f>
        <v>#NUM!</v>
      </c>
      <c r="Y25" s="30" t="e">
        <f ca="1">IF(Table20[[#This Row],[Direction]]&gt;0, _xlfn.NORM.S.DIST(Table20[[#This Row],[d1]], TRUE), _xlfn.NORM.S.DIST(Table20[[#This Row],[d1]], TRUE) - 1) * Table20[[#This Row],[Buy or Sell]]</f>
        <v>#NUM!</v>
      </c>
      <c r="Z25" s="9">
        <f ca="1">Table20[[#This Row],[Remaining]]*Table20[[#This Row],[Current Price]]*100</f>
        <v>0</v>
      </c>
      <c r="AA25" s="22">
        <f ca="1">IFERROR(Table20[[#This Row],[nominal_exposure]]*Table20[[#This Row],[Delta]],0)</f>
        <v>0</v>
      </c>
      <c r="AB25" s="95" t="b">
        <f>IF(Table20[[#This Row],[date_purchased]]&lt;&gt;Table20[[#This Row],[Expiration Date]],FALSE,TRUE)</f>
        <v>0</v>
      </c>
      <c r="AC25" s="30" t="str">
        <f>VLOOKUP(Table20[[#This Row],[Asset]],Table19[#All],3,FALSE)</f>
        <v>AI</v>
      </c>
      <c r="AD25" s="30">
        <f>IF(Table20[[#This Row],[Remaining]]&lt;&gt;0,Table20[[#This Row],[Invested]]*Table20[[#This Row],[Remaining]]/Table20[[#This Row],[Number of options]],0)</f>
        <v>0</v>
      </c>
      <c r="AE25" s="30">
        <f ca="1">SUMIF(Table20[Ticker],Table20[[#This Row],[Ticker]],Table20[realized_profit])</f>
        <v>4779</v>
      </c>
      <c r="AF25" s="30" t="str">
        <f>VLOOKUP(Table20[[#This Row],[Strategy]],Table29[#All],7,FALSE)</f>
        <v>Bullish</v>
      </c>
    </row>
    <row r="26" spans="1:32" hidden="1">
      <c r="A26" s="35">
        <v>45492</v>
      </c>
      <c r="B26" s="21" t="e" vm="159">
        <v>#VALUE!</v>
      </c>
      <c r="C26" s="109" t="str" cm="1">
        <f t="array" aca="1" ref="C26" ca="1">_FV(Table20[[#This Row],[Asset]],"Ticker symbol",TRUE)</f>
        <v>BABA</v>
      </c>
      <c r="D26" s="26" cm="1">
        <f t="array" aca="1" ref="D26" ca="1">_FV(Table20[[#This Row],[Asset]],"Price")</f>
        <v>129.63999999999999</v>
      </c>
      <c r="E26" s="26">
        <v>80</v>
      </c>
      <c r="F26" s="32">
        <v>4</v>
      </c>
      <c r="G26" s="34">
        <v>1</v>
      </c>
      <c r="H26" s="21" t="s">
        <v>113</v>
      </c>
      <c r="I26" s="25">
        <v>45456</v>
      </c>
      <c r="J26" s="26">
        <v>4.1500000000000004</v>
      </c>
      <c r="K26" s="24">
        <v>0.35199999999999998</v>
      </c>
      <c r="L26" s="33">
        <f>VLOOKUP(Table20[[#This Row],[Strategy]],Table29[#All],6,FALSE)</f>
        <v>1</v>
      </c>
      <c r="M26" s="23">
        <v>4</v>
      </c>
      <c r="N26" s="23">
        <v>2.2999999999999998</v>
      </c>
      <c r="O26" s="23"/>
      <c r="P26" s="23"/>
      <c r="Q26">
        <f>Table20[[#This Row],[Exit1]]*Table20[[#This Row],[ex1_price]]</f>
        <v>9.1999999999999993</v>
      </c>
      <c r="R26">
        <f>Table20[[#This Row],[Exit2]]*Table20[[#This Row],[ex2_price]]</f>
        <v>0</v>
      </c>
      <c r="S26">
        <f>IFERROR((Table20[[#This Row],[ex2_amnt]]+Table20[[#This Row],[ex1_amnt]])/(Table20[[#This Row],[Exit2]]+Table20[[#This Row],[Exit1]]),0)</f>
        <v>2.2999999999999998</v>
      </c>
      <c r="T26" s="5">
        <f>(Table20[[#This Row],[Exit1]]+Table20[[#This Row],[Exit2]])*(Table20[[#This Row],[avg_exit_price]]-Table20[[#This Row],[AvePrice]])*100*Table20[[#This Row],[Buy or Sell]]</f>
        <v>-740.00000000000023</v>
      </c>
      <c r="U26" s="5">
        <f>Table20[[#This Row],[Number of options]]*Table20[[#This Row],[AvePrice]]*100*Table20[[#This Row],[Buy or Sell]]</f>
        <v>1660.0000000000002</v>
      </c>
      <c r="V26" s="8">
        <f>Table20[[#This Row],[Number of options]]-Table20[[#This Row],[Exit1]]-Table20[[#This Row],[Exit2]]</f>
        <v>0</v>
      </c>
      <c r="W26" s="30">
        <f ca="1">(Table20[[#This Row],[Expiration Date]]-TODAY())/365</f>
        <v>-1.6849315068493151</v>
      </c>
      <c r="X26" s="30" t="e">
        <f ca="1">(LN(Table20[[#This Row],[Current Price]]/Table20[[#This Row],[strike_price]]) + ($B$2 + (Table20[[#This Row],[Vol]]^2)/2)*Table20[[#This Row],[Time to expiration]]) / (Table20[[#This Row],[Vol]] * SQRT(Table20[[#This Row],[Time to expiration]]))</f>
        <v>#NUM!</v>
      </c>
      <c r="Y26" s="30" t="e">
        <f ca="1">IF(Table20[[#This Row],[Direction]]&gt;0, _xlfn.NORM.S.DIST(Table20[[#This Row],[d1]], TRUE), _xlfn.NORM.S.DIST(Table20[[#This Row],[d1]], TRUE) - 1) * Table20[[#This Row],[Buy or Sell]]</f>
        <v>#NUM!</v>
      </c>
      <c r="Z26" s="9">
        <f ca="1">Table20[[#This Row],[Remaining]]*Table20[[#This Row],[Current Price]]*100</f>
        <v>0</v>
      </c>
      <c r="AA26" s="22">
        <f ca="1">IFERROR(Table20[[#This Row],[nominal_exposure]]*Table20[[#This Row],[Delta]],0)</f>
        <v>0</v>
      </c>
      <c r="AB26" s="95" t="b">
        <f>IF(Table20[[#This Row],[date_purchased]]&lt;&gt;Table20[[#This Row],[Expiration Date]],FALSE,TRUE)</f>
        <v>0</v>
      </c>
      <c r="AC26" s="30" t="str">
        <f>VLOOKUP(Table20[[#This Row],[Asset]],Table19[#All],3,FALSE)</f>
        <v>China</v>
      </c>
      <c r="AD26" s="30">
        <f>IF(Table20[[#This Row],[Remaining]]&lt;&gt;0,Table20[[#This Row],[Invested]]*Table20[[#This Row],[Remaining]]/Table20[[#This Row],[Number of options]],0)</f>
        <v>0</v>
      </c>
      <c r="AE26" s="30">
        <f ca="1">SUMIF(Table20[Ticker],Table20[[#This Row],[Ticker]],Table20[realized_profit])</f>
        <v>5855</v>
      </c>
      <c r="AF26" s="30" t="str">
        <f>VLOOKUP(Table20[[#This Row],[Strategy]],Table29[#All],7,FALSE)</f>
        <v>Bullish</v>
      </c>
    </row>
    <row r="27" spans="1:32" hidden="1">
      <c r="A27" s="35">
        <v>45492</v>
      </c>
      <c r="B27" s="21" t="e" vm="37">
        <v>#VALUE!</v>
      </c>
      <c r="C27" s="109" t="str" cm="1">
        <f t="array" aca="1" ref="C27" ca="1">_FV(Table20[[#This Row],[Asset]],"Ticker symbol",TRUE)</f>
        <v>AMD</v>
      </c>
      <c r="D27" s="26" cm="1">
        <f t="array" aca="1" ref="D27" ca="1">_FV(Table20[[#This Row],[Asset]],"Price")</f>
        <v>218.91</v>
      </c>
      <c r="E27" s="26">
        <v>170</v>
      </c>
      <c r="F27" s="33">
        <v>1</v>
      </c>
      <c r="G27" s="34">
        <v>1</v>
      </c>
      <c r="H27" s="21" t="s">
        <v>113</v>
      </c>
      <c r="I27" s="31">
        <v>45475</v>
      </c>
      <c r="J27" s="26">
        <v>2.42</v>
      </c>
      <c r="K27" s="24">
        <v>0.40699999999999997</v>
      </c>
      <c r="L27" s="33">
        <f>VLOOKUP(Table20[[#This Row],[Strategy]],Table29[#All],6,FALSE)</f>
        <v>1</v>
      </c>
      <c r="M27" s="23">
        <v>1</v>
      </c>
      <c r="N27" s="23">
        <v>4.5</v>
      </c>
      <c r="O27" s="23"/>
      <c r="P27" s="23"/>
      <c r="Q27">
        <f>Table20[[#This Row],[Exit1]]*Table20[[#This Row],[ex1_price]]</f>
        <v>4.5</v>
      </c>
      <c r="R27">
        <f>Table20[[#This Row],[Exit2]]*Table20[[#This Row],[ex2_price]]</f>
        <v>0</v>
      </c>
      <c r="S27">
        <f>IFERROR((Table20[[#This Row],[ex2_amnt]]+Table20[[#This Row],[ex1_amnt]])/(Table20[[#This Row],[Exit2]]+Table20[[#This Row],[Exit1]]),0)</f>
        <v>4.5</v>
      </c>
      <c r="T27" s="5">
        <f>(Table20[[#This Row],[Exit1]]+Table20[[#This Row],[Exit2]])*(Table20[[#This Row],[avg_exit_price]]-Table20[[#This Row],[AvePrice]])*100*Table20[[#This Row],[Buy or Sell]]</f>
        <v>208</v>
      </c>
      <c r="U27" s="5">
        <f>Table20[[#This Row],[Number of options]]*Table20[[#This Row],[AvePrice]]*100*Table20[[#This Row],[Buy or Sell]]</f>
        <v>242</v>
      </c>
      <c r="V27" s="8">
        <f>Table20[[#This Row],[Number of options]]-Table20[[#This Row],[Exit1]]-Table20[[#This Row],[Exit2]]</f>
        <v>0</v>
      </c>
      <c r="W27" s="30">
        <f ca="1">(Table20[[#This Row],[Expiration Date]]-TODAY())/365</f>
        <v>-1.6849315068493151</v>
      </c>
      <c r="X27" s="30" t="e">
        <f ca="1">(LN(Table20[[#This Row],[Current Price]]/Table20[[#This Row],[strike_price]]) + ($B$2 + (Table20[[#This Row],[Vol]]^2)/2)*Table20[[#This Row],[Time to expiration]]) / (Table20[[#This Row],[Vol]] * SQRT(Table20[[#This Row],[Time to expiration]]))</f>
        <v>#NUM!</v>
      </c>
      <c r="Y27" s="30" t="e">
        <f ca="1">IF(Table20[[#This Row],[Direction]]&gt;0, _xlfn.NORM.S.DIST(Table20[[#This Row],[d1]], TRUE), _xlfn.NORM.S.DIST(Table20[[#This Row],[d1]], TRUE) - 1) * Table20[[#This Row],[Buy or Sell]]</f>
        <v>#NUM!</v>
      </c>
      <c r="Z27" s="9">
        <f ca="1">Table20[[#This Row],[Remaining]]*Table20[[#This Row],[Current Price]]*100</f>
        <v>0</v>
      </c>
      <c r="AA27" s="22">
        <f ca="1">IFERROR(Table20[[#This Row],[nominal_exposure]]*Table20[[#This Row],[Delta]],0)</f>
        <v>0</v>
      </c>
      <c r="AB27" s="95" t="b">
        <f>IF(Table20[[#This Row],[date_purchased]]&lt;&gt;Table20[[#This Row],[Expiration Date]],FALSE,TRUE)</f>
        <v>0</v>
      </c>
      <c r="AC27" s="30" t="str">
        <f>VLOOKUP(Table20[[#This Row],[Asset]],Table19[#All],3,FALSE)</f>
        <v>AI</v>
      </c>
      <c r="AD27" s="30">
        <f>IF(Table20[[#This Row],[Remaining]]&lt;&gt;0,Table20[[#This Row],[Invested]]*Table20[[#This Row],[Remaining]]/Table20[[#This Row],[Number of options]],0)</f>
        <v>0</v>
      </c>
      <c r="AE27" s="30">
        <f ca="1">SUMIF(Table20[Ticker],Table20[[#This Row],[Ticker]],Table20[realized_profit])</f>
        <v>1567</v>
      </c>
      <c r="AF27" s="30" t="str">
        <f>VLOOKUP(Table20[[#This Row],[Strategy]],Table29[#All],7,FALSE)</f>
        <v>Bullish</v>
      </c>
    </row>
    <row r="28" spans="1:32" hidden="1">
      <c r="A28" s="35">
        <v>45492</v>
      </c>
      <c r="B28" s="21" t="e" vm="34">
        <v>#VALUE!</v>
      </c>
      <c r="C28" s="109" t="str" cm="1">
        <f t="array" aca="1" ref="C28" ca="1">_FV(Table20[[#This Row],[Asset]],"Ticker symbol",TRUE)</f>
        <v>TSM</v>
      </c>
      <c r="D28" s="26" cm="1">
        <f t="array" aca="1" ref="D28" ca="1">_FV(Table20[[#This Row],[Asset]],"Price")</f>
        <v>348.52499999999998</v>
      </c>
      <c r="E28" s="26">
        <v>175</v>
      </c>
      <c r="F28" s="33">
        <v>1</v>
      </c>
      <c r="G28" s="34">
        <v>-1</v>
      </c>
      <c r="H28" s="21" t="s">
        <v>115</v>
      </c>
      <c r="I28" s="31">
        <v>45475</v>
      </c>
      <c r="J28" s="26">
        <v>6.5</v>
      </c>
      <c r="K28" s="24">
        <v>0.4884</v>
      </c>
      <c r="L28" s="33">
        <f>VLOOKUP(Table20[[#This Row],[Strategy]],Table29[#All],6,FALSE)</f>
        <v>1</v>
      </c>
      <c r="M28" s="23">
        <v>1</v>
      </c>
      <c r="N28" s="23">
        <v>16.100000000000001</v>
      </c>
      <c r="O28" s="23"/>
      <c r="P28" s="23"/>
      <c r="Q28">
        <f>Table20[[#This Row],[Exit1]]*Table20[[#This Row],[ex1_price]]</f>
        <v>16.100000000000001</v>
      </c>
      <c r="R28">
        <f>Table20[[#This Row],[Exit2]]*Table20[[#This Row],[ex2_price]]</f>
        <v>0</v>
      </c>
      <c r="S28">
        <f>IFERROR((Table20[[#This Row],[ex2_amnt]]+Table20[[#This Row],[ex1_amnt]])/(Table20[[#This Row],[Exit2]]+Table20[[#This Row],[Exit1]]),0)</f>
        <v>16.100000000000001</v>
      </c>
      <c r="T28" s="5">
        <f>(Table20[[#This Row],[Exit1]]+Table20[[#This Row],[Exit2]])*(Table20[[#This Row],[avg_exit_price]]-Table20[[#This Row],[AvePrice]])*100*Table20[[#This Row],[Buy or Sell]]</f>
        <v>-960.00000000000011</v>
      </c>
      <c r="U28" s="5">
        <f>Table20[[#This Row],[Number of options]]*Table20[[#This Row],[AvePrice]]*100*Table20[[#This Row],[Buy or Sell]]</f>
        <v>-650</v>
      </c>
      <c r="V28" s="8">
        <f>Table20[[#This Row],[Number of options]]-Table20[[#This Row],[Exit1]]-Table20[[#This Row],[Exit2]]</f>
        <v>0</v>
      </c>
      <c r="W28" s="30">
        <f ca="1">(Table20[[#This Row],[Expiration Date]]-TODAY())/365</f>
        <v>-1.6849315068493151</v>
      </c>
      <c r="X28" s="30" t="e">
        <f ca="1">(LN(Table20[[#This Row],[Current Price]]/Table20[[#This Row],[strike_price]]) + ($B$2 + (Table20[[#This Row],[Vol]]^2)/2)*Table20[[#This Row],[Time to expiration]]) / (Table20[[#This Row],[Vol]] * SQRT(Table20[[#This Row],[Time to expiration]]))</f>
        <v>#NUM!</v>
      </c>
      <c r="Y28" s="30" t="e">
        <f ca="1">IF(Table20[[#This Row],[Direction]]&gt;0, _xlfn.NORM.S.DIST(Table20[[#This Row],[d1]], TRUE), _xlfn.NORM.S.DIST(Table20[[#This Row],[d1]], TRUE) - 1) * Table20[[#This Row],[Buy or Sell]]</f>
        <v>#NUM!</v>
      </c>
      <c r="Z28" s="9">
        <f ca="1">Table20[[#This Row],[Remaining]]*Table20[[#This Row],[Current Price]]*100</f>
        <v>0</v>
      </c>
      <c r="AA28" s="22">
        <f ca="1">IFERROR(Table20[[#This Row],[nominal_exposure]]*Table20[[#This Row],[Delta]],0)</f>
        <v>0</v>
      </c>
      <c r="AB28" s="95" t="b">
        <f>IF(Table20[[#This Row],[date_purchased]]&lt;&gt;Table20[[#This Row],[Expiration Date]],FALSE,TRUE)</f>
        <v>0</v>
      </c>
      <c r="AC28" s="30" t="str">
        <f>VLOOKUP(Table20[[#This Row],[Asset]],Table19[#All],3,FALSE)</f>
        <v>AI</v>
      </c>
      <c r="AD28" s="30">
        <f>IF(Table20[[#This Row],[Remaining]]&lt;&gt;0,Table20[[#This Row],[Invested]]*Table20[[#This Row],[Remaining]]/Table20[[#This Row],[Number of options]],0)</f>
        <v>0</v>
      </c>
      <c r="AE28" s="30">
        <f ca="1">SUMIF(Table20[Ticker],Table20[[#This Row],[Ticker]],Table20[realized_profit])</f>
        <v>-444.99999999999977</v>
      </c>
      <c r="AF28" s="30" t="str">
        <f>VLOOKUP(Table20[[#This Row],[Strategy]],Table29[#All],7,FALSE)</f>
        <v>Bullish</v>
      </c>
    </row>
    <row r="29" spans="1:32" hidden="1">
      <c r="A29" s="35">
        <v>45520</v>
      </c>
      <c r="B29" s="21" t="e" vm="604">
        <v>#VALUE!</v>
      </c>
      <c r="C29" s="109" t="str" cm="1">
        <f t="array" aca="1" ref="C29" ca="1">_FV(Table20[[#This Row],[Asset]],"Ticker symbol",TRUE)</f>
        <v>MSOS</v>
      </c>
      <c r="D29" s="26" cm="1">
        <f t="array" aca="1" ref="D29" ca="1">_FV(Table20[[#This Row],[Asset]],"Price")</f>
        <v>3.83</v>
      </c>
      <c r="E29" s="26">
        <v>9</v>
      </c>
      <c r="F29" s="33">
        <v>4</v>
      </c>
      <c r="G29" s="34">
        <v>1</v>
      </c>
      <c r="H29" s="21" t="s">
        <v>113</v>
      </c>
      <c r="I29" s="31">
        <v>45470</v>
      </c>
      <c r="J29" s="26">
        <v>0.43</v>
      </c>
      <c r="K29" s="24">
        <v>0.58299999999999996</v>
      </c>
      <c r="L29" s="33">
        <f>VLOOKUP(Table20[[#This Row],[Strategy]],Table29[#All],6,FALSE)</f>
        <v>1</v>
      </c>
      <c r="M29" s="23">
        <v>4</v>
      </c>
      <c r="N29" s="23">
        <v>0.23</v>
      </c>
      <c r="O29" s="23"/>
      <c r="P29" s="23"/>
      <c r="Q29">
        <f>Table20[[#This Row],[Exit1]]*Table20[[#This Row],[ex1_price]]</f>
        <v>0.92</v>
      </c>
      <c r="R29">
        <f>Table20[[#This Row],[Exit2]]*Table20[[#This Row],[ex2_price]]</f>
        <v>0</v>
      </c>
      <c r="S29">
        <f>IFERROR((Table20[[#This Row],[ex2_amnt]]+Table20[[#This Row],[ex1_amnt]])/(Table20[[#This Row],[Exit2]]+Table20[[#This Row],[Exit1]]),0)</f>
        <v>0.23</v>
      </c>
      <c r="T29" s="5">
        <f>(Table20[[#This Row],[Exit1]]+Table20[[#This Row],[Exit2]])*(Table20[[#This Row],[avg_exit_price]]-Table20[[#This Row],[AvePrice]])*100*Table20[[#This Row],[Buy or Sell]]</f>
        <v>-80</v>
      </c>
      <c r="U29" s="5">
        <f>Table20[[#This Row],[Number of options]]*Table20[[#This Row],[AvePrice]]*100*Table20[[#This Row],[Buy or Sell]]</f>
        <v>172</v>
      </c>
      <c r="V29" s="8">
        <f>Table20[[#This Row],[Number of options]]-Table20[[#This Row],[Exit1]]-Table20[[#This Row],[Exit2]]</f>
        <v>0</v>
      </c>
      <c r="W29" s="30">
        <f ca="1">(Table20[[#This Row],[Expiration Date]]-TODAY())/365</f>
        <v>-1.6082191780821917</v>
      </c>
      <c r="X29" s="30" t="e">
        <f ca="1">(LN(Table20[[#This Row],[Current Price]]/Table20[[#This Row],[strike_price]]) + ($B$2 + (Table20[[#This Row],[Vol]]^2)/2)*Table20[[#This Row],[Time to expiration]]) / (Table20[[#This Row],[Vol]] * SQRT(Table20[[#This Row],[Time to expiration]]))</f>
        <v>#NUM!</v>
      </c>
      <c r="Y29" s="30" t="e">
        <f ca="1">IF(Table20[[#This Row],[Direction]]&gt;0, _xlfn.NORM.S.DIST(Table20[[#This Row],[d1]], TRUE), _xlfn.NORM.S.DIST(Table20[[#This Row],[d1]], TRUE) - 1) * Table20[[#This Row],[Buy or Sell]]</f>
        <v>#NUM!</v>
      </c>
      <c r="Z29" s="9">
        <f ca="1">Table20[[#This Row],[Remaining]]*Table20[[#This Row],[Current Price]]*100</f>
        <v>0</v>
      </c>
      <c r="AA29" s="22">
        <f ca="1">IFERROR(Table20[[#This Row],[nominal_exposure]]*Table20[[#This Row],[Delta]],0)</f>
        <v>0</v>
      </c>
      <c r="AB29" s="95" t="b">
        <f>IF(Table20[[#This Row],[date_purchased]]&lt;&gt;Table20[[#This Row],[Expiration Date]],FALSE,TRUE)</f>
        <v>0</v>
      </c>
      <c r="AC29" s="30" t="e">
        <f>VLOOKUP(Table20[[#This Row],[Asset]],Table19[#All],3,FALSE)</f>
        <v>#N/A</v>
      </c>
      <c r="AD29" s="30">
        <f>IF(Table20[[#This Row],[Remaining]]&lt;&gt;0,Table20[[#This Row],[Invested]]*Table20[[#This Row],[Remaining]]/Table20[[#This Row],[Number of options]],0)</f>
        <v>0</v>
      </c>
      <c r="AE29" s="30">
        <f ca="1">SUMIF(Table20[Ticker],Table20[[#This Row],[Ticker]],Table20[realized_profit])</f>
        <v>-80</v>
      </c>
      <c r="AF29" s="30" t="str">
        <f>VLOOKUP(Table20[[#This Row],[Strategy]],Table29[#All],7,FALSE)</f>
        <v>Bullish</v>
      </c>
    </row>
    <row r="30" spans="1:32" hidden="1">
      <c r="A30" s="35">
        <v>45492</v>
      </c>
      <c r="B30" s="21" t="e" vm="63">
        <v>#VALUE!</v>
      </c>
      <c r="C30" s="109" t="str" cm="1">
        <f t="array" aca="1" ref="C30" ca="1">_FV(Table20[[#This Row],[Asset]],"Ticker symbol",TRUE)</f>
        <v>TSLA</v>
      </c>
      <c r="D30" s="26" cm="1">
        <f t="array" aca="1" ref="D30" ca="1">_FV(Table20[[#This Row],[Asset]],"Price")</f>
        <v>394.5401</v>
      </c>
      <c r="E30" s="26">
        <v>250</v>
      </c>
      <c r="F30" s="33">
        <v>2</v>
      </c>
      <c r="G30" s="34">
        <v>-1</v>
      </c>
      <c r="H30" s="21" t="s">
        <v>159</v>
      </c>
      <c r="I30" s="31">
        <v>45476</v>
      </c>
      <c r="J30" s="26">
        <v>8.32</v>
      </c>
      <c r="K30" s="24">
        <v>0.57230000000000003</v>
      </c>
      <c r="L30" s="33">
        <f>VLOOKUP(Table20[[#This Row],[Strategy]],Table29[#All],6,FALSE)</f>
        <v>1</v>
      </c>
      <c r="M30" s="23">
        <v>2</v>
      </c>
      <c r="N30" s="23">
        <v>12.55</v>
      </c>
      <c r="O30" s="23"/>
      <c r="P30" s="23"/>
      <c r="Q30">
        <f>Table20[[#This Row],[Exit1]]*Table20[[#This Row],[ex1_price]]</f>
        <v>25.1</v>
      </c>
      <c r="R30">
        <f>Table20[[#This Row],[Exit2]]*Table20[[#This Row],[ex2_price]]</f>
        <v>0</v>
      </c>
      <c r="S30">
        <f>IFERROR((Table20[[#This Row],[ex2_amnt]]+Table20[[#This Row],[ex1_amnt]])/(Table20[[#This Row],[Exit2]]+Table20[[#This Row],[Exit1]]),0)</f>
        <v>12.55</v>
      </c>
      <c r="T30" s="5">
        <f>(Table20[[#This Row],[Exit1]]+Table20[[#This Row],[Exit2]])*(Table20[[#This Row],[avg_exit_price]]-Table20[[#This Row],[AvePrice]])*100*Table20[[#This Row],[Buy or Sell]]</f>
        <v>-846.00000000000011</v>
      </c>
      <c r="U30" s="5">
        <f>Table20[[#This Row],[Number of options]]*Table20[[#This Row],[AvePrice]]*100*Table20[[#This Row],[Buy or Sell]]</f>
        <v>-1664</v>
      </c>
      <c r="V30" s="8">
        <f>Table20[[#This Row],[Number of options]]-Table20[[#This Row],[Exit1]]-Table20[[#This Row],[Exit2]]</f>
        <v>0</v>
      </c>
      <c r="W30" s="30">
        <f ca="1">(Table20[[#This Row],[Expiration Date]]-TODAY())/365</f>
        <v>-1.6849315068493151</v>
      </c>
      <c r="X30" s="30" t="e">
        <f ca="1">(LN(Table20[[#This Row],[Current Price]]/Table20[[#This Row],[strike_price]]) + ($B$2 + (Table20[[#This Row],[Vol]]^2)/2)*Table20[[#This Row],[Time to expiration]]) / (Table20[[#This Row],[Vol]] * SQRT(Table20[[#This Row],[Time to expiration]]))</f>
        <v>#NUM!</v>
      </c>
      <c r="Y30" s="30" t="e">
        <f ca="1">IF(Table20[[#This Row],[Direction]]&gt;0, _xlfn.NORM.S.DIST(Table20[[#This Row],[d1]], TRUE), _xlfn.NORM.S.DIST(Table20[[#This Row],[d1]], TRUE) - 1) * Table20[[#This Row],[Buy or Sell]]</f>
        <v>#NUM!</v>
      </c>
      <c r="Z30" s="9">
        <f ca="1">Table20[[#This Row],[Remaining]]*Table20[[#This Row],[Current Price]]*100</f>
        <v>0</v>
      </c>
      <c r="AA30" s="22">
        <f ca="1">IFERROR(Table20[[#This Row],[nominal_exposure]]*Table20[[#This Row],[Delta]],0)</f>
        <v>0</v>
      </c>
      <c r="AB30" s="95" t="b">
        <f>IF(Table20[[#This Row],[date_purchased]]&lt;&gt;Table20[[#This Row],[Expiration Date]],FALSE,TRUE)</f>
        <v>0</v>
      </c>
      <c r="AC30" s="30" t="str">
        <f>VLOOKUP(Table20[[#This Row],[Asset]],Table19[#All],3,FALSE)</f>
        <v>Auto</v>
      </c>
      <c r="AD30" s="30">
        <f>IF(Table20[[#This Row],[Remaining]]&lt;&gt;0,Table20[[#This Row],[Invested]]*Table20[[#This Row],[Remaining]]/Table20[[#This Row],[Number of options]],0)</f>
        <v>0</v>
      </c>
      <c r="AE30" s="30">
        <f ca="1">SUMIF(Table20[Ticker],Table20[[#This Row],[Ticker]],Table20[realized_profit])</f>
        <v>4153</v>
      </c>
      <c r="AF30" s="30" t="str">
        <f>VLOOKUP(Table20[[#This Row],[Strategy]],Table29[#All],7,FALSE)</f>
        <v>Bearish</v>
      </c>
    </row>
    <row r="31" spans="1:32" hidden="1">
      <c r="A31" s="35">
        <v>45492</v>
      </c>
      <c r="B31" s="21" t="e" vm="63">
        <v>#VALUE!</v>
      </c>
      <c r="C31" s="109" t="str" cm="1">
        <f t="array" aca="1" ref="C31" ca="1">_FV(Table20[[#This Row],[Asset]],"Ticker symbol",TRUE)</f>
        <v>TSLA</v>
      </c>
      <c r="D31" s="26" cm="1">
        <f t="array" aca="1" ref="D31" ca="1">_FV(Table20[[#This Row],[Asset]],"Price")</f>
        <v>394.5401</v>
      </c>
      <c r="E31" s="26">
        <v>252.5</v>
      </c>
      <c r="F31" s="33">
        <v>2</v>
      </c>
      <c r="G31" s="34">
        <v>1</v>
      </c>
      <c r="H31" s="21" t="s">
        <v>159</v>
      </c>
      <c r="I31" s="31">
        <v>45476</v>
      </c>
      <c r="J31" s="26">
        <v>7.51</v>
      </c>
      <c r="K31" s="24">
        <v>0.57720000000000005</v>
      </c>
      <c r="L31" s="33">
        <f>VLOOKUP(Table20[[#This Row],[Strategy]],Table29[#All],6,FALSE)</f>
        <v>1</v>
      </c>
      <c r="M31" s="23">
        <v>2</v>
      </c>
      <c r="N31" s="23">
        <v>11.27</v>
      </c>
      <c r="O31" s="23"/>
      <c r="P31" s="23"/>
      <c r="Q31">
        <f>Table20[[#This Row],[Exit1]]*Table20[[#This Row],[ex1_price]]</f>
        <v>22.54</v>
      </c>
      <c r="R31">
        <f>Table20[[#This Row],[Exit2]]*Table20[[#This Row],[ex2_price]]</f>
        <v>0</v>
      </c>
      <c r="S31">
        <f>IFERROR((Table20[[#This Row],[ex2_amnt]]+Table20[[#This Row],[ex1_amnt]])/(Table20[[#This Row],[Exit2]]+Table20[[#This Row],[Exit1]]),0)</f>
        <v>11.27</v>
      </c>
      <c r="T31" s="5">
        <f>(Table20[[#This Row],[Exit1]]+Table20[[#This Row],[Exit2]])*(Table20[[#This Row],[avg_exit_price]]-Table20[[#This Row],[AvePrice]])*100*Table20[[#This Row],[Buy or Sell]]</f>
        <v>752</v>
      </c>
      <c r="U31" s="5">
        <f>Table20[[#This Row],[Number of options]]*Table20[[#This Row],[AvePrice]]*100*Table20[[#This Row],[Buy or Sell]]</f>
        <v>1502</v>
      </c>
      <c r="V31" s="8">
        <f>Table20[[#This Row],[Number of options]]-Table20[[#This Row],[Exit1]]-Table20[[#This Row],[Exit2]]</f>
        <v>0</v>
      </c>
      <c r="W31" s="30">
        <f ca="1">(Table20[[#This Row],[Expiration Date]]-TODAY())/365</f>
        <v>-1.6849315068493151</v>
      </c>
      <c r="X31" s="30" t="e">
        <f ca="1">(LN(Table20[[#This Row],[Current Price]]/Table20[[#This Row],[strike_price]]) + ($B$2 + (Table20[[#This Row],[Vol]]^2)/2)*Table20[[#This Row],[Time to expiration]]) / (Table20[[#This Row],[Vol]] * SQRT(Table20[[#This Row],[Time to expiration]]))</f>
        <v>#NUM!</v>
      </c>
      <c r="Y31" s="30" t="e">
        <f ca="1">IF(Table20[[#This Row],[Direction]]&gt;0, _xlfn.NORM.S.DIST(Table20[[#This Row],[d1]], TRUE), _xlfn.NORM.S.DIST(Table20[[#This Row],[d1]], TRUE) - 1) * Table20[[#This Row],[Buy or Sell]]</f>
        <v>#NUM!</v>
      </c>
      <c r="Z31" s="9">
        <f ca="1">Table20[[#This Row],[Remaining]]*Table20[[#This Row],[Current Price]]*100</f>
        <v>0</v>
      </c>
      <c r="AA31" s="22">
        <f ca="1">IFERROR(Table20[[#This Row],[nominal_exposure]]*Table20[[#This Row],[Delta]],0)</f>
        <v>0</v>
      </c>
      <c r="AB31" s="95" t="b">
        <f>IF(Table20[[#This Row],[date_purchased]]&lt;&gt;Table20[[#This Row],[Expiration Date]],FALSE,TRUE)</f>
        <v>0</v>
      </c>
      <c r="AC31" s="30" t="str">
        <f>VLOOKUP(Table20[[#This Row],[Asset]],Table19[#All],3,FALSE)</f>
        <v>Auto</v>
      </c>
      <c r="AD31" s="30">
        <f>IF(Table20[[#This Row],[Remaining]]&lt;&gt;0,Table20[[#This Row],[Invested]]*Table20[[#This Row],[Remaining]]/Table20[[#This Row],[Number of options]],0)</f>
        <v>0</v>
      </c>
      <c r="AE31" s="30">
        <f ca="1">SUMIF(Table20[Ticker],Table20[[#This Row],[Ticker]],Table20[realized_profit])</f>
        <v>4153</v>
      </c>
      <c r="AF31" s="30" t="str">
        <f>VLOOKUP(Table20[[#This Row],[Strategy]],Table29[#All],7,FALSE)</f>
        <v>Bearish</v>
      </c>
    </row>
    <row r="32" spans="1:32" hidden="1">
      <c r="A32" s="35">
        <v>45492</v>
      </c>
      <c r="B32" s="21" t="e" vm="144">
        <v>#VALUE!</v>
      </c>
      <c r="C32" s="109" t="str" cm="1">
        <f t="array" aca="1" ref="C32" ca="1">_FV(Table20[[#This Row],[Asset]],"Ticker symbol",TRUE)</f>
        <v>AAPL</v>
      </c>
      <c r="D32" s="26" cm="1">
        <f t="array" aca="1" ref="D32" ca="1">_FV(Table20[[#This Row],[Asset]],"Price")</f>
        <v>253.2</v>
      </c>
      <c r="E32" s="26">
        <v>225</v>
      </c>
      <c r="F32" s="33">
        <v>2</v>
      </c>
      <c r="G32" s="34">
        <v>1</v>
      </c>
      <c r="H32" s="21" t="s">
        <v>65</v>
      </c>
      <c r="I32" s="31">
        <v>45482</v>
      </c>
      <c r="J32" s="26">
        <v>1.82</v>
      </c>
      <c r="K32" s="24">
        <v>0.21759999999999999</v>
      </c>
      <c r="L32" s="33">
        <f>VLOOKUP(Table20[[#This Row],[Strategy]],Table29[#All],6,FALSE)</f>
        <v>-1</v>
      </c>
      <c r="M32" s="23">
        <v>2</v>
      </c>
      <c r="N32" s="23">
        <v>2.19</v>
      </c>
      <c r="O32" s="23"/>
      <c r="P32" s="23"/>
      <c r="Q32">
        <f>Table20[[#This Row],[Exit1]]*Table20[[#This Row],[ex1_price]]</f>
        <v>4.38</v>
      </c>
      <c r="R32">
        <f>Table20[[#This Row],[Exit2]]*Table20[[#This Row],[ex2_price]]</f>
        <v>0</v>
      </c>
      <c r="S32">
        <f>IFERROR((Table20[[#This Row],[ex2_amnt]]+Table20[[#This Row],[ex1_amnt]])/(Table20[[#This Row],[Exit2]]+Table20[[#This Row],[Exit1]]),0)</f>
        <v>2.19</v>
      </c>
      <c r="T32" s="5">
        <f>(Table20[[#This Row],[Exit1]]+Table20[[#This Row],[Exit2]])*(Table20[[#This Row],[avg_exit_price]]-Table20[[#This Row],[AvePrice]])*100*Table20[[#This Row],[Buy or Sell]]</f>
        <v>73.999999999999972</v>
      </c>
      <c r="U32" s="5">
        <f>Table20[[#This Row],[Number of options]]*Table20[[#This Row],[AvePrice]]*100*Table20[[#This Row],[Buy or Sell]]</f>
        <v>364</v>
      </c>
      <c r="V32" s="8">
        <f>Table20[[#This Row],[Number of options]]-Table20[[#This Row],[Exit1]]-Table20[[#This Row],[Exit2]]</f>
        <v>0</v>
      </c>
      <c r="W32" s="30">
        <f ca="1">(Table20[[#This Row],[Expiration Date]]-TODAY())/365</f>
        <v>-1.6849315068493151</v>
      </c>
      <c r="X32" s="30" t="e">
        <f ca="1">(LN(Table20[[#This Row],[Current Price]]/Table20[[#This Row],[strike_price]]) + ($B$2 + (Table20[[#This Row],[Vol]]^2)/2)*Table20[[#This Row],[Time to expiration]]) / (Table20[[#This Row],[Vol]] * SQRT(Table20[[#This Row],[Time to expiration]]))</f>
        <v>#NUM!</v>
      </c>
      <c r="Y32" s="30" t="e">
        <f ca="1">IF(Table20[[#This Row],[Direction]]&gt;0, _xlfn.NORM.S.DIST(Table20[[#This Row],[d1]], TRUE), _xlfn.NORM.S.DIST(Table20[[#This Row],[d1]], TRUE) - 1) * Table20[[#This Row],[Buy or Sell]]</f>
        <v>#NUM!</v>
      </c>
      <c r="Z32" s="9">
        <f ca="1">Table20[[#This Row],[Remaining]]*Table20[[#This Row],[Current Price]]*100</f>
        <v>0</v>
      </c>
      <c r="AA32" s="22">
        <f ca="1">IFERROR(Table20[[#This Row],[nominal_exposure]]*Table20[[#This Row],[Delta]],0)</f>
        <v>0</v>
      </c>
      <c r="AB32" s="95" t="b">
        <f>IF(Table20[[#This Row],[date_purchased]]&lt;&gt;Table20[[#This Row],[Expiration Date]],FALSE,TRUE)</f>
        <v>0</v>
      </c>
      <c r="AC32" s="30" t="str">
        <f>VLOOKUP(Table20[[#This Row],[Asset]],Table19[#All],3,FALSE)</f>
        <v>AI</v>
      </c>
      <c r="AD32" s="30">
        <f>IF(Table20[[#This Row],[Remaining]]&lt;&gt;0,Table20[[#This Row],[Invested]]*Table20[[#This Row],[Remaining]]/Table20[[#This Row],[Number of options]],0)</f>
        <v>0</v>
      </c>
      <c r="AE32" s="30">
        <f ca="1">SUMIF(Table20[Ticker],Table20[[#This Row],[Ticker]],Table20[realized_profit])</f>
        <v>-153.9999999999996</v>
      </c>
      <c r="AF32" s="30" t="str">
        <f>VLOOKUP(Table20[[#This Row],[Strategy]],Table29[#All],7,FALSE)</f>
        <v>Bearish</v>
      </c>
    </row>
    <row r="33" spans="1:32" hidden="1">
      <c r="A33" s="35">
        <v>45499</v>
      </c>
      <c r="B33" s="21" t="e" vm="173">
        <v>#VALUE!</v>
      </c>
      <c r="C33" s="109" t="str" cm="1">
        <f t="array" aca="1" ref="C33" ca="1">_FV(Table20[[#This Row],[Asset]],"Ticker symbol",TRUE)</f>
        <v>SNOW</v>
      </c>
      <c r="D33" s="26" cm="1">
        <f t="array" aca="1" ref="D33" ca="1">_FV(Table20[[#This Row],[Asset]],"Price")</f>
        <v>160.82</v>
      </c>
      <c r="E33" s="26">
        <v>150</v>
      </c>
      <c r="F33" s="33">
        <v>3</v>
      </c>
      <c r="G33" s="34">
        <v>1</v>
      </c>
      <c r="H33" s="21" t="s">
        <v>113</v>
      </c>
      <c r="I33" s="31">
        <v>45471</v>
      </c>
      <c r="J33" s="26">
        <v>1.73</v>
      </c>
      <c r="K33" s="24">
        <v>0.38779999999999998</v>
      </c>
      <c r="L33" s="33">
        <f>VLOOKUP(Table20[[#This Row],[Strategy]],Table29[#All],6,FALSE)</f>
        <v>1</v>
      </c>
      <c r="M33" s="23">
        <v>3</v>
      </c>
      <c r="N33" s="23">
        <v>2.74</v>
      </c>
      <c r="O33" s="23"/>
      <c r="P33" s="23"/>
      <c r="Q33">
        <f>Table20[[#This Row],[Exit1]]*Table20[[#This Row],[ex1_price]]</f>
        <v>8.2200000000000006</v>
      </c>
      <c r="R33">
        <f>Table20[[#This Row],[Exit2]]*Table20[[#This Row],[ex2_price]]</f>
        <v>0</v>
      </c>
      <c r="S33">
        <f>IFERROR((Table20[[#This Row],[ex2_amnt]]+Table20[[#This Row],[ex1_amnt]])/(Table20[[#This Row],[Exit2]]+Table20[[#This Row],[Exit1]]),0)</f>
        <v>2.74</v>
      </c>
      <c r="T33" s="5">
        <f>(Table20[[#This Row],[Exit1]]+Table20[[#This Row],[Exit2]])*(Table20[[#This Row],[avg_exit_price]]-Table20[[#This Row],[AvePrice]])*100*Table20[[#This Row],[Buy or Sell]]</f>
        <v>303.00000000000006</v>
      </c>
      <c r="U33" s="5">
        <f>Table20[[#This Row],[Number of options]]*Table20[[#This Row],[AvePrice]]*100*Table20[[#This Row],[Buy or Sell]]</f>
        <v>519</v>
      </c>
      <c r="V33" s="8">
        <f>Table20[[#This Row],[Number of options]]-Table20[[#This Row],[Exit1]]-Table20[[#This Row],[Exit2]]</f>
        <v>0</v>
      </c>
      <c r="W33" s="30">
        <f ca="1">(Table20[[#This Row],[Expiration Date]]-TODAY())/365</f>
        <v>-1.6657534246575343</v>
      </c>
      <c r="X33" s="30" t="e">
        <f ca="1">(LN(Table20[[#This Row],[Current Price]]/Table20[[#This Row],[strike_price]]) + ($B$2 + (Table20[[#This Row],[Vol]]^2)/2)*Table20[[#This Row],[Time to expiration]]) / (Table20[[#This Row],[Vol]] * SQRT(Table20[[#This Row],[Time to expiration]]))</f>
        <v>#NUM!</v>
      </c>
      <c r="Y33" s="30" t="e">
        <f ca="1">IF(Table20[[#This Row],[Direction]]&gt;0, _xlfn.NORM.S.DIST(Table20[[#This Row],[d1]], TRUE), _xlfn.NORM.S.DIST(Table20[[#This Row],[d1]], TRUE) - 1) * Table20[[#This Row],[Buy or Sell]]</f>
        <v>#NUM!</v>
      </c>
      <c r="Z33" s="9">
        <f ca="1">Table20[[#This Row],[Remaining]]*Table20[[#This Row],[Current Price]]*100</f>
        <v>0</v>
      </c>
      <c r="AA33" s="22">
        <f ca="1">IFERROR(Table20[[#This Row],[nominal_exposure]]*Table20[[#This Row],[Delta]],0)</f>
        <v>0</v>
      </c>
      <c r="AB33" s="95" t="b">
        <f>IF(Table20[[#This Row],[date_purchased]]&lt;&gt;Table20[[#This Row],[Expiration Date]],FALSE,TRUE)</f>
        <v>0</v>
      </c>
      <c r="AC33" s="30" t="str">
        <f>VLOOKUP(Table20[[#This Row],[Asset]],Table19[#All],3,FALSE)</f>
        <v>Technology</v>
      </c>
      <c r="AD33" s="30">
        <f>IF(Table20[[#This Row],[Remaining]]&lt;&gt;0,Table20[[#This Row],[Invested]]*Table20[[#This Row],[Remaining]]/Table20[[#This Row],[Number of options]],0)</f>
        <v>0</v>
      </c>
      <c r="AE33" s="30">
        <f ca="1">SUMIF(Table20[Ticker],Table20[[#This Row],[Ticker]],Table20[realized_profit])</f>
        <v>314</v>
      </c>
      <c r="AF33" s="30" t="str">
        <f>VLOOKUP(Table20[[#This Row],[Strategy]],Table29[#All],7,FALSE)</f>
        <v>Bullish</v>
      </c>
    </row>
    <row r="34" spans="1:32" hidden="1">
      <c r="A34" s="35">
        <v>45499</v>
      </c>
      <c r="B34" s="21" t="e" vm="32">
        <v>#VALUE!</v>
      </c>
      <c r="C34" s="109" t="str" cm="1">
        <f t="array" aca="1" ref="C34" ca="1">_FV(Table20[[#This Row],[Asset]],"Ticker symbol",TRUE)</f>
        <v>MU</v>
      </c>
      <c r="D34" s="26" cm="1">
        <f t="array" aca="1" ref="D34" ca="1">_FV(Table20[[#This Row],[Asset]],"Price")</f>
        <v>381.57</v>
      </c>
      <c r="E34" s="26">
        <v>150</v>
      </c>
      <c r="F34" s="32">
        <v>2</v>
      </c>
      <c r="G34" s="34">
        <v>1</v>
      </c>
      <c r="H34" s="21" t="s">
        <v>113</v>
      </c>
      <c r="I34" s="25">
        <v>45470</v>
      </c>
      <c r="J34" s="26">
        <v>1.72</v>
      </c>
      <c r="K34" s="24">
        <v>0.46279999999999999</v>
      </c>
      <c r="L34" s="33">
        <f>VLOOKUP(Table20[[#This Row],[Strategy]],Table29[#All],6,FALSE)</f>
        <v>1</v>
      </c>
      <c r="M34" s="23">
        <v>2</v>
      </c>
      <c r="N34" s="23">
        <v>0.5</v>
      </c>
      <c r="O34" s="23"/>
      <c r="P34" s="23"/>
      <c r="Q34">
        <f>Table20[[#This Row],[Exit1]]*Table20[[#This Row],[ex1_price]]</f>
        <v>1</v>
      </c>
      <c r="R34">
        <f>Table20[[#This Row],[Exit2]]*Table20[[#This Row],[ex2_price]]</f>
        <v>0</v>
      </c>
      <c r="S34">
        <f>IFERROR((Table20[[#This Row],[ex2_amnt]]+Table20[[#This Row],[ex1_amnt]])/(Table20[[#This Row],[Exit2]]+Table20[[#This Row],[Exit1]]),0)</f>
        <v>0.5</v>
      </c>
      <c r="T34" s="5">
        <f>(Table20[[#This Row],[Exit1]]+Table20[[#This Row],[Exit2]])*(Table20[[#This Row],[avg_exit_price]]-Table20[[#This Row],[AvePrice]])*100*Table20[[#This Row],[Buy or Sell]]</f>
        <v>-244</v>
      </c>
      <c r="U34" s="5">
        <f>Table20[[#This Row],[Number of options]]*Table20[[#This Row],[AvePrice]]*100*Table20[[#This Row],[Buy or Sell]]</f>
        <v>344</v>
      </c>
      <c r="V34" s="8">
        <f>Table20[[#This Row],[Number of options]]-Table20[[#This Row],[Exit1]]-Table20[[#This Row],[Exit2]]</f>
        <v>0</v>
      </c>
      <c r="W34" s="30">
        <f ca="1">(Table20[[#This Row],[Expiration Date]]-TODAY())/365</f>
        <v>-1.6657534246575343</v>
      </c>
      <c r="X34" s="30" t="e">
        <f ca="1">(LN(Table20[[#This Row],[Current Price]]/Table20[[#This Row],[strike_price]]) + ($B$2 + (Table20[[#This Row],[Vol]]^2)/2)*Table20[[#This Row],[Time to expiration]]) / (Table20[[#This Row],[Vol]] * SQRT(Table20[[#This Row],[Time to expiration]]))</f>
        <v>#NUM!</v>
      </c>
      <c r="Y34" s="30" t="e">
        <f ca="1">IF(Table20[[#This Row],[Direction]]&gt;0, _xlfn.NORM.S.DIST(Table20[[#This Row],[d1]], TRUE), _xlfn.NORM.S.DIST(Table20[[#This Row],[d1]], TRUE) - 1) * Table20[[#This Row],[Buy or Sell]]</f>
        <v>#NUM!</v>
      </c>
      <c r="Z34" s="9">
        <f ca="1">Table20[[#This Row],[Remaining]]*Table20[[#This Row],[Current Price]]*100</f>
        <v>0</v>
      </c>
      <c r="AA34" s="22">
        <f ca="1">IFERROR(Table20[[#This Row],[nominal_exposure]]*Table20[[#This Row],[Delta]],0)</f>
        <v>0</v>
      </c>
      <c r="AB34" s="95" t="b">
        <f>IF(Table20[[#This Row],[date_purchased]]&lt;&gt;Table20[[#This Row],[Expiration Date]],FALSE,TRUE)</f>
        <v>0</v>
      </c>
      <c r="AC34" s="30" t="str">
        <f>VLOOKUP(Table20[[#This Row],[Asset]],Table19[#All],3,FALSE)</f>
        <v>AI</v>
      </c>
      <c r="AD34" s="30">
        <f>IF(Table20[[#This Row],[Remaining]]&lt;&gt;0,Table20[[#This Row],[Invested]]*Table20[[#This Row],[Remaining]]/Table20[[#This Row],[Number of options]],0)</f>
        <v>0</v>
      </c>
      <c r="AE34" s="30">
        <f ca="1">SUMIF(Table20[Ticker],Table20[[#This Row],[Ticker]],Table20[realized_profit])</f>
        <v>-4181</v>
      </c>
      <c r="AF34" s="30" t="str">
        <f>VLOOKUP(Table20[[#This Row],[Strategy]],Table29[#All],7,FALSE)</f>
        <v>Bullish</v>
      </c>
    </row>
    <row r="35" spans="1:32" hidden="1">
      <c r="A35" s="35">
        <v>45499</v>
      </c>
      <c r="B35" s="21" t="e" vm="34">
        <v>#VALUE!</v>
      </c>
      <c r="C35" s="109" t="str" cm="1">
        <f t="array" aca="1" ref="C35" ca="1">_FV(Table20[[#This Row],[Asset]],"Ticker symbol",TRUE)</f>
        <v>TSM</v>
      </c>
      <c r="D35" s="26" cm="1">
        <f t="array" aca="1" ref="D35" ca="1">_FV(Table20[[#This Row],[Asset]],"Price")</f>
        <v>348.52499999999998</v>
      </c>
      <c r="E35" s="26">
        <v>175</v>
      </c>
      <c r="F35" s="33">
        <v>1</v>
      </c>
      <c r="G35" s="34">
        <v>1</v>
      </c>
      <c r="H35" s="21" t="s">
        <v>115</v>
      </c>
      <c r="I35" s="31">
        <v>45475</v>
      </c>
      <c r="J35" s="26">
        <v>7.58</v>
      </c>
      <c r="K35" s="24">
        <v>0.46660000000000001</v>
      </c>
      <c r="L35" s="33">
        <f>VLOOKUP(Table20[[#This Row],[Strategy]],Table29[#All],6,FALSE)</f>
        <v>1</v>
      </c>
      <c r="M35" s="23">
        <v>1</v>
      </c>
      <c r="N35" s="23">
        <v>17.18</v>
      </c>
      <c r="O35" s="23"/>
      <c r="P35" s="23"/>
      <c r="Q35">
        <f>Table20[[#This Row],[Exit1]]*Table20[[#This Row],[ex1_price]]</f>
        <v>17.18</v>
      </c>
      <c r="R35">
        <f>Table20[[#This Row],[Exit2]]*Table20[[#This Row],[ex2_price]]</f>
        <v>0</v>
      </c>
      <c r="S35">
        <f>IFERROR((Table20[[#This Row],[ex2_amnt]]+Table20[[#This Row],[ex1_amnt]])/(Table20[[#This Row],[Exit2]]+Table20[[#This Row],[Exit1]]),0)</f>
        <v>17.18</v>
      </c>
      <c r="T35" s="5">
        <f>(Table20[[#This Row],[Exit1]]+Table20[[#This Row],[Exit2]])*(Table20[[#This Row],[avg_exit_price]]-Table20[[#This Row],[AvePrice]])*100*Table20[[#This Row],[Buy or Sell]]</f>
        <v>960</v>
      </c>
      <c r="U35" s="5">
        <f>Table20[[#This Row],[Number of options]]*Table20[[#This Row],[AvePrice]]*100*Table20[[#This Row],[Buy or Sell]]</f>
        <v>758</v>
      </c>
      <c r="V35" s="8">
        <f>Table20[[#This Row],[Number of options]]-Table20[[#This Row],[Exit1]]-Table20[[#This Row],[Exit2]]</f>
        <v>0</v>
      </c>
      <c r="W35" s="30">
        <f ca="1">(Table20[[#This Row],[Expiration Date]]-TODAY())/365</f>
        <v>-1.6657534246575343</v>
      </c>
      <c r="X35" s="30" t="e">
        <f ca="1">(LN(Table20[[#This Row],[Current Price]]/Table20[[#This Row],[strike_price]]) + ($B$2 + (Table20[[#This Row],[Vol]]^2)/2)*Table20[[#This Row],[Time to expiration]]) / (Table20[[#This Row],[Vol]] * SQRT(Table20[[#This Row],[Time to expiration]]))</f>
        <v>#NUM!</v>
      </c>
      <c r="Y35" s="30" t="e">
        <f ca="1">IF(Table20[[#This Row],[Direction]]&gt;0, _xlfn.NORM.S.DIST(Table20[[#This Row],[d1]], TRUE), _xlfn.NORM.S.DIST(Table20[[#This Row],[d1]], TRUE) - 1) * Table20[[#This Row],[Buy or Sell]]</f>
        <v>#NUM!</v>
      </c>
      <c r="Z35" s="9">
        <f ca="1">Table20[[#This Row],[Remaining]]*Table20[[#This Row],[Current Price]]*100</f>
        <v>0</v>
      </c>
      <c r="AA35" s="22">
        <f ca="1">IFERROR(Table20[[#This Row],[nominal_exposure]]*Table20[[#This Row],[Delta]],0)</f>
        <v>0</v>
      </c>
      <c r="AB35" s="95" t="b">
        <f>IF(Table20[[#This Row],[date_purchased]]&lt;&gt;Table20[[#This Row],[Expiration Date]],FALSE,TRUE)</f>
        <v>0</v>
      </c>
      <c r="AC35" s="30" t="str">
        <f>VLOOKUP(Table20[[#This Row],[Asset]],Table19[#All],3,FALSE)</f>
        <v>AI</v>
      </c>
      <c r="AD35" s="30">
        <f>IF(Table20[[#This Row],[Remaining]]&lt;&gt;0,Table20[[#This Row],[Invested]]*Table20[[#This Row],[Remaining]]/Table20[[#This Row],[Number of options]],0)</f>
        <v>0</v>
      </c>
      <c r="AE35" s="30">
        <f ca="1">SUMIF(Table20[Ticker],Table20[[#This Row],[Ticker]],Table20[realized_profit])</f>
        <v>-444.99999999999977</v>
      </c>
      <c r="AF35" s="30" t="str">
        <f>VLOOKUP(Table20[[#This Row],[Strategy]],Table29[#All],7,FALSE)</f>
        <v>Bullish</v>
      </c>
    </row>
    <row r="36" spans="1:32" hidden="1">
      <c r="A36" s="35">
        <v>45492</v>
      </c>
      <c r="B36" s="21" t="e" vm="34">
        <v>#VALUE!</v>
      </c>
      <c r="C36" s="109" t="str" cm="1">
        <f t="array" aca="1" ref="C36" ca="1">_FV(Table20[[#This Row],[Asset]],"Ticker symbol",TRUE)</f>
        <v>TSM</v>
      </c>
      <c r="D36" s="26" cm="1">
        <f t="array" aca="1" ref="D36" ca="1">_FV(Table20[[#This Row],[Asset]],"Price")</f>
        <v>348.52499999999998</v>
      </c>
      <c r="E36" s="26">
        <v>200</v>
      </c>
      <c r="F36" s="33">
        <v>3</v>
      </c>
      <c r="G36" s="34">
        <v>-1</v>
      </c>
      <c r="H36" s="21" t="s">
        <v>115</v>
      </c>
      <c r="I36" s="31">
        <v>45488</v>
      </c>
      <c r="J36" s="26">
        <v>2.57</v>
      </c>
      <c r="K36" s="24">
        <v>0.83679999999999999</v>
      </c>
      <c r="L36" s="33">
        <f>VLOOKUP(Table20[[#This Row],[Strategy]],Table29[#All],6,FALSE)</f>
        <v>1</v>
      </c>
      <c r="M36" s="23">
        <v>3</v>
      </c>
      <c r="N36" s="23">
        <v>0.01</v>
      </c>
      <c r="O36" s="23"/>
      <c r="P36" s="23"/>
      <c r="Q36">
        <f>Table20[[#This Row],[Exit1]]*Table20[[#This Row],[ex1_price]]</f>
        <v>0.03</v>
      </c>
      <c r="R36">
        <f>Table20[[#This Row],[Exit2]]*Table20[[#This Row],[ex2_price]]</f>
        <v>0</v>
      </c>
      <c r="S36">
        <f>IFERROR((Table20[[#This Row],[ex2_amnt]]+Table20[[#This Row],[ex1_amnt]])/(Table20[[#This Row],[Exit2]]+Table20[[#This Row],[Exit1]]),0)</f>
        <v>0.01</v>
      </c>
      <c r="T36" s="5">
        <f>(Table20[[#This Row],[Exit1]]+Table20[[#This Row],[Exit2]])*(Table20[[#This Row],[avg_exit_price]]-Table20[[#This Row],[AvePrice]])*100*Table20[[#This Row],[Buy or Sell]]</f>
        <v>768</v>
      </c>
      <c r="U36" s="5">
        <f>Table20[[#This Row],[Number of options]]*Table20[[#This Row],[AvePrice]]*100*Table20[[#This Row],[Buy or Sell]]</f>
        <v>-770.99999999999989</v>
      </c>
      <c r="V36" s="8">
        <f>Table20[[#This Row],[Number of options]]-Table20[[#This Row],[Exit1]]-Table20[[#This Row],[Exit2]]</f>
        <v>0</v>
      </c>
      <c r="W36" s="30">
        <f ca="1">(Table20[[#This Row],[Expiration Date]]-TODAY())/365</f>
        <v>-1.6849315068493151</v>
      </c>
      <c r="X36" s="30" t="e">
        <f ca="1">(LN(Table20[[#This Row],[Current Price]]/Table20[[#This Row],[strike_price]]) + ($B$2 + (Table20[[#This Row],[Vol]]^2)/2)*Table20[[#This Row],[Time to expiration]]) / (Table20[[#This Row],[Vol]] * SQRT(Table20[[#This Row],[Time to expiration]]))</f>
        <v>#NUM!</v>
      </c>
      <c r="Y36" s="30" t="e">
        <f ca="1">IF(Table20[[#This Row],[Direction]]&gt;0, _xlfn.NORM.S.DIST(Table20[[#This Row],[d1]], TRUE), _xlfn.NORM.S.DIST(Table20[[#This Row],[d1]], TRUE) - 1) * Table20[[#This Row],[Buy or Sell]]</f>
        <v>#NUM!</v>
      </c>
      <c r="Z36" s="9">
        <f ca="1">Table20[[#This Row],[Remaining]]*Table20[[#This Row],[Current Price]]*100</f>
        <v>0</v>
      </c>
      <c r="AA36" s="22">
        <f ca="1">IFERROR(Table20[[#This Row],[nominal_exposure]]*Table20[[#This Row],[Delta]],0)</f>
        <v>0</v>
      </c>
      <c r="AB36" s="95" t="b">
        <f>IF(Table20[[#This Row],[date_purchased]]&lt;&gt;Table20[[#This Row],[Expiration Date]],FALSE,TRUE)</f>
        <v>0</v>
      </c>
      <c r="AC36" s="30" t="str">
        <f>VLOOKUP(Table20[[#This Row],[Asset]],Table19[#All],3,FALSE)</f>
        <v>AI</v>
      </c>
      <c r="AD36" s="30">
        <f>IF(Table20[[#This Row],[Remaining]]&lt;&gt;0,Table20[[#This Row],[Invested]]*Table20[[#This Row],[Remaining]]/Table20[[#This Row],[Number of options]],0)</f>
        <v>0</v>
      </c>
      <c r="AE36" s="30">
        <f ca="1">SUMIF(Table20[Ticker],Table20[[#This Row],[Ticker]],Table20[realized_profit])</f>
        <v>-444.99999999999977</v>
      </c>
      <c r="AF36" s="30" t="str">
        <f>VLOOKUP(Table20[[#This Row],[Strategy]],Table29[#All],7,FALSE)</f>
        <v>Bullish</v>
      </c>
    </row>
    <row r="37" spans="1:32" hidden="1">
      <c r="A37" s="180">
        <v>45657</v>
      </c>
      <c r="B37" s="21" t="e" vm="96">
        <v>#VALUE!</v>
      </c>
      <c r="C37" s="109" t="str" cm="1">
        <f t="array" aca="1" ref="C37" ca="1">_FV(Table20[[#This Row],[Asset]],"Ticker symbol",TRUE)</f>
        <v>SPY</v>
      </c>
      <c r="D37" s="26" cm="1">
        <f t="array" aca="1" ref="D37" ca="1">_FV(Table20[[#This Row],[Asset]],"Price")</f>
        <v>658.59</v>
      </c>
      <c r="E37" s="26">
        <v>400</v>
      </c>
      <c r="F37" s="33">
        <v>1</v>
      </c>
      <c r="G37" s="34">
        <v>1</v>
      </c>
      <c r="H37" s="110" t="s">
        <v>112</v>
      </c>
      <c r="I37" s="31">
        <v>45323</v>
      </c>
      <c r="J37" s="26">
        <v>6.1</v>
      </c>
      <c r="K37" s="24">
        <v>0.27539999999999998</v>
      </c>
      <c r="L37" s="33">
        <f>VLOOKUP(Table20[[#This Row],[Strategy]],Table29[#All],6,FALSE)</f>
        <v>-1</v>
      </c>
      <c r="M37" s="23">
        <v>1</v>
      </c>
      <c r="N37" s="23">
        <v>0.27</v>
      </c>
      <c r="O37" s="23"/>
      <c r="P37" s="23"/>
      <c r="Q37">
        <f>Table20[[#This Row],[Exit1]]*Table20[[#This Row],[ex1_price]]</f>
        <v>0.27</v>
      </c>
      <c r="R37">
        <f>Table20[[#This Row],[Exit2]]*Table20[[#This Row],[ex2_price]]</f>
        <v>0</v>
      </c>
      <c r="S37">
        <f>IFERROR((Table20[[#This Row],[ex2_amnt]]+Table20[[#This Row],[ex1_amnt]])/(Table20[[#This Row],[Exit2]]+Table20[[#This Row],[Exit1]]),0)</f>
        <v>0.27</v>
      </c>
      <c r="T37" s="5">
        <f>(Table20[[#This Row],[Exit1]]+Table20[[#This Row],[Exit2]])*(Table20[[#This Row],[avg_exit_price]]-Table20[[#This Row],[AvePrice]])*100*Table20[[#This Row],[Buy or Sell]]</f>
        <v>-583</v>
      </c>
      <c r="U37" s="5">
        <f>Table20[[#This Row],[Number of options]]*Table20[[#This Row],[AvePrice]]*100*Table20[[#This Row],[Buy or Sell]]</f>
        <v>610</v>
      </c>
      <c r="V37" s="8">
        <f>Table20[[#This Row],[Number of options]]-Table20[[#This Row],[Exit1]]-Table20[[#This Row],[Exit2]]</f>
        <v>0</v>
      </c>
      <c r="W37" s="30">
        <f ca="1">(Table20[[#This Row],[Expiration Date]]-TODAY())/365</f>
        <v>-1.2328767123287672</v>
      </c>
      <c r="X37" s="30" t="e">
        <f ca="1">(LN(Table20[[#This Row],[Current Price]]/Table20[[#This Row],[strike_price]]) + ($B$2 + (Table20[[#This Row],[Vol]]^2)/2)*Table20[[#This Row],[Time to expiration]]) / (Table20[[#This Row],[Vol]] * SQRT(Table20[[#This Row],[Time to expiration]]))</f>
        <v>#NUM!</v>
      </c>
      <c r="Y37" s="30" t="e">
        <f ca="1">IF(Table20[[#This Row],[Direction]]&gt;0, _xlfn.NORM.S.DIST(Table20[[#This Row],[d1]], TRUE), _xlfn.NORM.S.DIST(Table20[[#This Row],[d1]], TRUE) - 1) * Table20[[#This Row],[Buy or Sell]]</f>
        <v>#NUM!</v>
      </c>
      <c r="Z37" s="9">
        <f ca="1">Table20[[#This Row],[Remaining]]*Table20[[#This Row],[Current Price]]*100</f>
        <v>0</v>
      </c>
      <c r="AA37" s="22">
        <f ca="1">IFERROR(Table20[[#This Row],[nominal_exposure]]*Table20[[#This Row],[Delta]],0)</f>
        <v>0</v>
      </c>
      <c r="AB37" s="99" t="b">
        <f>IF(Table20[[#This Row],[date_purchased]]&lt;&gt;Table20[[#This Row],[Expiration Date]],FALSE,TRUE)</f>
        <v>0</v>
      </c>
      <c r="AC37" s="30" t="str">
        <f>VLOOKUP(Table20[[#This Row],[Asset]],Table19[#All],3,FALSE)</f>
        <v>Market</v>
      </c>
      <c r="AD37" s="4">
        <f>IF(Table20[[#This Row],[Remaining]]&lt;&gt;0,Table20[[#This Row],[Invested]]*Table20[[#This Row],[Remaining]]/Table20[[#This Row],[Number of options]],0)</f>
        <v>0</v>
      </c>
      <c r="AE37" s="4">
        <f ca="1">SUMIF(Table20[Ticker],Table20[[#This Row],[Ticker]],Table20[realized_profit])</f>
        <v>-5077</v>
      </c>
      <c r="AF37" s="30" t="str">
        <f>VLOOKUP(Table20[[#This Row],[Strategy]],Table29[#All],7,FALSE)</f>
        <v>Bearish</v>
      </c>
    </row>
    <row r="38" spans="1:32" hidden="1">
      <c r="A38" s="35">
        <v>45506</v>
      </c>
      <c r="B38" s="21" t="e" vm="159">
        <v>#VALUE!</v>
      </c>
      <c r="C38" s="109" t="str" cm="1">
        <f t="array" aca="1" ref="C38" ca="1">_FV(Table20[[#This Row],[Asset]],"Ticker symbol",TRUE)</f>
        <v>BABA</v>
      </c>
      <c r="D38" s="26" cm="1">
        <f t="array" aca="1" ref="D38" ca="1">_FV(Table20[[#This Row],[Asset]],"Price")</f>
        <v>129.63999999999999</v>
      </c>
      <c r="E38" s="26">
        <v>80</v>
      </c>
      <c r="F38" s="33">
        <v>1</v>
      </c>
      <c r="G38" s="34">
        <v>1</v>
      </c>
      <c r="H38" s="21" t="s">
        <v>113</v>
      </c>
      <c r="I38" s="31">
        <v>45467</v>
      </c>
      <c r="J38" s="26">
        <v>1.56</v>
      </c>
      <c r="K38" s="24">
        <v>0.32240000000000002</v>
      </c>
      <c r="L38" s="33">
        <f>VLOOKUP(Table20[[#This Row],[Strategy]],Table29[#All],6,FALSE)</f>
        <v>1</v>
      </c>
      <c r="M38" s="23">
        <v>1</v>
      </c>
      <c r="N38" s="23">
        <v>2.8</v>
      </c>
      <c r="O38" s="23"/>
      <c r="P38" s="23"/>
      <c r="Q38">
        <f>Table20[[#This Row],[Exit1]]*Table20[[#This Row],[ex1_price]]</f>
        <v>2.8</v>
      </c>
      <c r="R38">
        <f>Table20[[#This Row],[Exit2]]*Table20[[#This Row],[ex2_price]]</f>
        <v>0</v>
      </c>
      <c r="S38">
        <f>IFERROR((Table20[[#This Row],[ex2_amnt]]+Table20[[#This Row],[ex1_amnt]])/(Table20[[#This Row],[Exit2]]+Table20[[#This Row],[Exit1]]),0)</f>
        <v>2.8</v>
      </c>
      <c r="T38" s="5">
        <f>(Table20[[#This Row],[Exit1]]+Table20[[#This Row],[Exit2]])*(Table20[[#This Row],[avg_exit_price]]-Table20[[#This Row],[AvePrice]])*100*Table20[[#This Row],[Buy or Sell]]</f>
        <v>123.99999999999997</v>
      </c>
      <c r="U38" s="5">
        <f>Table20[[#This Row],[Number of options]]*Table20[[#This Row],[AvePrice]]*100*Table20[[#This Row],[Buy or Sell]]</f>
        <v>156</v>
      </c>
      <c r="V38" s="8">
        <f>Table20[[#This Row],[Number of options]]-Table20[[#This Row],[Exit1]]-Table20[[#This Row],[Exit2]]</f>
        <v>0</v>
      </c>
      <c r="W38" s="30">
        <f ca="1">(Table20[[#This Row],[Expiration Date]]-TODAY())/365</f>
        <v>-1.6465753424657534</v>
      </c>
      <c r="X38" s="30" t="e">
        <f ca="1">(LN(Table20[[#This Row],[Current Price]]/Table20[[#This Row],[strike_price]]) + ($B$2 + (Table20[[#This Row],[Vol]]^2)/2)*Table20[[#This Row],[Time to expiration]]) / (Table20[[#This Row],[Vol]] * SQRT(Table20[[#This Row],[Time to expiration]]))</f>
        <v>#NUM!</v>
      </c>
      <c r="Y38" s="30" t="e">
        <f ca="1">IF(Table20[[#This Row],[Direction]]&gt;0, _xlfn.NORM.S.DIST(Table20[[#This Row],[d1]], TRUE), _xlfn.NORM.S.DIST(Table20[[#This Row],[d1]], TRUE) - 1) * Table20[[#This Row],[Buy or Sell]]</f>
        <v>#NUM!</v>
      </c>
      <c r="Z38" s="9">
        <f ca="1">Table20[[#This Row],[Remaining]]*Table20[[#This Row],[Current Price]]*100</f>
        <v>0</v>
      </c>
      <c r="AA38" s="22">
        <f ca="1">IFERROR(Table20[[#This Row],[nominal_exposure]]*Table20[[#This Row],[Delta]],0)</f>
        <v>0</v>
      </c>
      <c r="AB38" s="95" t="b">
        <f>IF(Table20[[#This Row],[date_purchased]]&lt;&gt;Table20[[#This Row],[Expiration Date]],FALSE,TRUE)</f>
        <v>0</v>
      </c>
      <c r="AC38" s="30" t="str">
        <f>VLOOKUP(Table20[[#This Row],[Asset]],Table19[#All],3,FALSE)</f>
        <v>China</v>
      </c>
      <c r="AD38" s="30">
        <f>IF(Table20[[#This Row],[Remaining]]&lt;&gt;0,Table20[[#This Row],[Invested]]*Table20[[#This Row],[Remaining]]/Table20[[#This Row],[Number of options]],0)</f>
        <v>0</v>
      </c>
      <c r="AE38" s="30">
        <f ca="1">SUMIF(Table20[Ticker],Table20[[#This Row],[Ticker]],Table20[realized_profit])</f>
        <v>5855</v>
      </c>
      <c r="AF38" s="30" t="str">
        <f>VLOOKUP(Table20[[#This Row],[Strategy]],Table29[#All],7,FALSE)</f>
        <v>Bullish</v>
      </c>
    </row>
    <row r="39" spans="1:32" hidden="1">
      <c r="A39" s="35">
        <v>45499</v>
      </c>
      <c r="B39" s="21" t="e" vm="11">
        <v>#VALUE!</v>
      </c>
      <c r="C39" s="109" t="str" cm="1">
        <f t="array" aca="1" ref="C39" ca="1">_FV(Table20[[#This Row],[Asset]],"Ticker symbol",TRUE)</f>
        <v>AMZN</v>
      </c>
      <c r="D39" s="26" cm="1">
        <f t="array" aca="1" ref="D39" ca="1">_FV(Table20[[#This Row],[Asset]],"Price")</f>
        <v>212.15</v>
      </c>
      <c r="E39" s="26">
        <v>195</v>
      </c>
      <c r="F39" s="33">
        <v>1</v>
      </c>
      <c r="G39" s="34">
        <v>1</v>
      </c>
      <c r="H39" s="21" t="s">
        <v>181</v>
      </c>
      <c r="I39" s="31">
        <v>45478</v>
      </c>
      <c r="J39" s="26">
        <v>3.53</v>
      </c>
      <c r="K39" s="24">
        <v>0.32919999999999999</v>
      </c>
      <c r="L39" s="33">
        <f>VLOOKUP(Table20[[#This Row],[Strategy]],Table29[#All],6,FALSE)</f>
        <v>-1</v>
      </c>
      <c r="M39" s="23">
        <v>1</v>
      </c>
      <c r="N39" s="23">
        <v>0</v>
      </c>
      <c r="O39" s="23"/>
      <c r="P39" s="23"/>
      <c r="Q39">
        <f>Table20[[#This Row],[Exit1]]*Table20[[#This Row],[ex1_price]]</f>
        <v>0</v>
      </c>
      <c r="R39">
        <f>Table20[[#This Row],[Exit2]]*Table20[[#This Row],[ex2_price]]</f>
        <v>0</v>
      </c>
      <c r="S39">
        <f>IFERROR((Table20[[#This Row],[ex2_amnt]]+Table20[[#This Row],[ex1_amnt]])/(Table20[[#This Row],[Exit2]]+Table20[[#This Row],[Exit1]]),0)</f>
        <v>0</v>
      </c>
      <c r="T39" s="5">
        <f>(Table20[[#This Row],[Exit1]]+Table20[[#This Row],[Exit2]])*(Table20[[#This Row],[avg_exit_price]]-Table20[[#This Row],[AvePrice]])*100*Table20[[#This Row],[Buy or Sell]]</f>
        <v>-353</v>
      </c>
      <c r="U39" s="5">
        <f>Table20[[#This Row],[Number of options]]*Table20[[#This Row],[AvePrice]]*100*Table20[[#This Row],[Buy or Sell]]</f>
        <v>353</v>
      </c>
      <c r="V39" s="8">
        <f>Table20[[#This Row],[Number of options]]-Table20[[#This Row],[Exit1]]-Table20[[#This Row],[Exit2]]</f>
        <v>0</v>
      </c>
      <c r="W39" s="30">
        <f ca="1">(Table20[[#This Row],[Expiration Date]]-TODAY())/365</f>
        <v>-1.6657534246575343</v>
      </c>
      <c r="X39" s="30" t="e">
        <f ca="1">(LN(Table20[[#This Row],[Current Price]]/Table20[[#This Row],[strike_price]]) + ($B$2 + (Table20[[#This Row],[Vol]]^2)/2)*Table20[[#This Row],[Time to expiration]]) / (Table20[[#This Row],[Vol]] * SQRT(Table20[[#This Row],[Time to expiration]]))</f>
        <v>#NUM!</v>
      </c>
      <c r="Y39" s="30" t="e">
        <f ca="1">IF(Table20[[#This Row],[Direction]]&gt;0, _xlfn.NORM.S.DIST(Table20[[#This Row],[d1]], TRUE), _xlfn.NORM.S.DIST(Table20[[#This Row],[d1]], TRUE) - 1) * Table20[[#This Row],[Buy or Sell]]</f>
        <v>#NUM!</v>
      </c>
      <c r="Z39" s="9">
        <f ca="1">Table20[[#This Row],[Remaining]]*Table20[[#This Row],[Current Price]]*100</f>
        <v>0</v>
      </c>
      <c r="AA39" s="22">
        <f ca="1">IFERROR(Table20[[#This Row],[nominal_exposure]]*Table20[[#This Row],[Delta]],0)</f>
        <v>0</v>
      </c>
      <c r="AB39" s="95" t="b">
        <f>IF(Table20[[#This Row],[date_purchased]]&lt;&gt;Table20[[#This Row],[Expiration Date]],FALSE,TRUE)</f>
        <v>0</v>
      </c>
      <c r="AC39" s="30" t="str">
        <f>VLOOKUP(Table20[[#This Row],[Asset]],Table19[#All],3,FALSE)</f>
        <v>Robotics</v>
      </c>
      <c r="AD39" s="30">
        <f>IF(Table20[[#This Row],[Remaining]]&lt;&gt;0,Table20[[#This Row],[Invested]]*Table20[[#This Row],[Remaining]]/Table20[[#This Row],[Number of options]],0)</f>
        <v>0</v>
      </c>
      <c r="AE39" s="30">
        <f ca="1">SUMIF(Table20[Ticker],Table20[[#This Row],[Ticker]],Table20[realized_profit])</f>
        <v>-1350</v>
      </c>
      <c r="AF39" s="30" t="str">
        <f>VLOOKUP(Table20[[#This Row],[Strategy]],Table29[#All],7,FALSE)</f>
        <v>Bullish</v>
      </c>
    </row>
    <row r="40" spans="1:32" hidden="1">
      <c r="A40" s="35">
        <v>45499</v>
      </c>
      <c r="B40" s="21" t="e" vm="11">
        <v>#VALUE!</v>
      </c>
      <c r="C40" s="109" t="str" cm="1">
        <f t="array" aca="1" ref="C40" ca="1">_FV(Table20[[#This Row],[Asset]],"Ticker symbol",TRUE)</f>
        <v>AMZN</v>
      </c>
      <c r="D40" s="26" cm="1">
        <f t="array" aca="1" ref="D40" ca="1">_FV(Table20[[#This Row],[Asset]],"Price")</f>
        <v>212.15</v>
      </c>
      <c r="E40" s="26">
        <v>200</v>
      </c>
      <c r="F40" s="33">
        <v>1</v>
      </c>
      <c r="G40" s="34">
        <v>-1</v>
      </c>
      <c r="H40" s="21" t="s">
        <v>181</v>
      </c>
      <c r="I40" s="31">
        <v>45478</v>
      </c>
      <c r="J40" s="26">
        <v>5.73</v>
      </c>
      <c r="K40" s="24">
        <v>0.33090000000000003</v>
      </c>
      <c r="L40" s="33">
        <f>VLOOKUP(Table20[[#This Row],[Strategy]],Table29[#All],6,FALSE)</f>
        <v>-1</v>
      </c>
      <c r="M40" s="23">
        <v>1</v>
      </c>
      <c r="N40" s="23">
        <v>5</v>
      </c>
      <c r="O40" s="23"/>
      <c r="P40" s="23"/>
      <c r="Q40">
        <f>Table20[[#This Row],[Exit1]]*Table20[[#This Row],[ex1_price]]</f>
        <v>5</v>
      </c>
      <c r="R40">
        <f>Table20[[#This Row],[Exit2]]*Table20[[#This Row],[ex2_price]]</f>
        <v>0</v>
      </c>
      <c r="S40">
        <f>IFERROR((Table20[[#This Row],[ex2_amnt]]+Table20[[#This Row],[ex1_amnt]])/(Table20[[#This Row],[Exit2]]+Table20[[#This Row],[Exit1]]),0)</f>
        <v>5</v>
      </c>
      <c r="T40" s="5">
        <f>(Table20[[#This Row],[Exit1]]+Table20[[#This Row],[Exit2]])*(Table20[[#This Row],[avg_exit_price]]-Table20[[#This Row],[AvePrice]])*100*Table20[[#This Row],[Buy or Sell]]</f>
        <v>73.000000000000043</v>
      </c>
      <c r="U40" s="5">
        <f>Table20[[#This Row],[Number of options]]*Table20[[#This Row],[AvePrice]]*100*Table20[[#This Row],[Buy or Sell]]</f>
        <v>-573</v>
      </c>
      <c r="V40" s="8">
        <f>Table20[[#This Row],[Number of options]]-Table20[[#This Row],[Exit1]]-Table20[[#This Row],[Exit2]]</f>
        <v>0</v>
      </c>
      <c r="W40" s="30">
        <f ca="1">(Table20[[#This Row],[Expiration Date]]-TODAY())/365</f>
        <v>-1.6657534246575343</v>
      </c>
      <c r="X40" s="30" t="e">
        <f ca="1">(LN(Table20[[#This Row],[Current Price]]/Table20[[#This Row],[strike_price]]) + ($B$2 + (Table20[[#This Row],[Vol]]^2)/2)*Table20[[#This Row],[Time to expiration]]) / (Table20[[#This Row],[Vol]] * SQRT(Table20[[#This Row],[Time to expiration]]))</f>
        <v>#NUM!</v>
      </c>
      <c r="Y40" s="30" t="e">
        <f ca="1">IF(Table20[[#This Row],[Direction]]&gt;0, _xlfn.NORM.S.DIST(Table20[[#This Row],[d1]], TRUE), _xlfn.NORM.S.DIST(Table20[[#This Row],[d1]], TRUE) - 1) * Table20[[#This Row],[Buy or Sell]]</f>
        <v>#NUM!</v>
      </c>
      <c r="Z40" s="9">
        <f ca="1">Table20[[#This Row],[Remaining]]*Table20[[#This Row],[Current Price]]*100</f>
        <v>0</v>
      </c>
      <c r="AA40" s="22">
        <f ca="1">IFERROR(Table20[[#This Row],[nominal_exposure]]*Table20[[#This Row],[Delta]],0)</f>
        <v>0</v>
      </c>
      <c r="AB40" s="95" t="b">
        <f>IF(Table20[[#This Row],[date_purchased]]&lt;&gt;Table20[[#This Row],[Expiration Date]],FALSE,TRUE)</f>
        <v>0</v>
      </c>
      <c r="AC40" s="30" t="str">
        <f>VLOOKUP(Table20[[#This Row],[Asset]],Table19[#All],3,FALSE)</f>
        <v>Robotics</v>
      </c>
      <c r="AD40" s="30">
        <f>IF(Table20[[#This Row],[Remaining]]&lt;&gt;0,Table20[[#This Row],[Invested]]*Table20[[#This Row],[Remaining]]/Table20[[#This Row],[Number of options]],0)</f>
        <v>0</v>
      </c>
      <c r="AE40" s="30">
        <f ca="1">SUMIF(Table20[Ticker],Table20[[#This Row],[Ticker]],Table20[realized_profit])</f>
        <v>-1350</v>
      </c>
      <c r="AF40" s="30" t="str">
        <f>VLOOKUP(Table20[[#This Row],[Strategy]],Table29[#All],7,FALSE)</f>
        <v>Bullish</v>
      </c>
    </row>
    <row r="41" spans="1:32" hidden="1">
      <c r="A41" s="180">
        <v>45657</v>
      </c>
      <c r="B41" s="21" t="e" vm="96">
        <v>#VALUE!</v>
      </c>
      <c r="C41" s="109" t="str" cm="1">
        <f t="array" aca="1" ref="C41" ca="1">_FV(Table20[[#This Row],[Asset]],"Ticker symbol",TRUE)</f>
        <v>SPY</v>
      </c>
      <c r="D41" s="26" cm="1">
        <f t="array" aca="1" ref="D41" ca="1">_FV(Table20[[#This Row],[Asset]],"Price")</f>
        <v>658.59</v>
      </c>
      <c r="E41" s="26">
        <v>410</v>
      </c>
      <c r="F41" s="33">
        <v>1</v>
      </c>
      <c r="G41" s="34">
        <v>-1</v>
      </c>
      <c r="H41" s="110" t="s">
        <v>112</v>
      </c>
      <c r="I41" s="31">
        <v>45393</v>
      </c>
      <c r="J41" s="26">
        <v>4.32</v>
      </c>
      <c r="K41" s="24">
        <v>0.26469999999999999</v>
      </c>
      <c r="L41" s="33">
        <f>VLOOKUP(Table20[[#This Row],[Strategy]],Table29[#All],6,FALSE)</f>
        <v>-1</v>
      </c>
      <c r="M41" s="23">
        <v>1</v>
      </c>
      <c r="N41" s="23">
        <v>0.32</v>
      </c>
      <c r="O41" s="23"/>
      <c r="P41" s="23"/>
      <c r="Q41">
        <f>Table20[[#This Row],[Exit1]]*Table20[[#This Row],[ex1_price]]</f>
        <v>0.32</v>
      </c>
      <c r="R41">
        <f>Table20[[#This Row],[Exit2]]*Table20[[#This Row],[ex2_price]]</f>
        <v>0</v>
      </c>
      <c r="S41">
        <f>IFERROR((Table20[[#This Row],[ex2_amnt]]+Table20[[#This Row],[ex1_amnt]])/(Table20[[#This Row],[Exit2]]+Table20[[#This Row],[Exit1]]),0)</f>
        <v>0.32</v>
      </c>
      <c r="T41" s="5">
        <f>(Table20[[#This Row],[Exit1]]+Table20[[#This Row],[Exit2]])*(Table20[[#This Row],[avg_exit_price]]-Table20[[#This Row],[AvePrice]])*100*Table20[[#This Row],[Buy or Sell]]</f>
        <v>400</v>
      </c>
      <c r="U41" s="5">
        <f>Table20[[#This Row],[Number of options]]*Table20[[#This Row],[AvePrice]]*100*Table20[[#This Row],[Buy or Sell]]</f>
        <v>-432</v>
      </c>
      <c r="V41" s="8">
        <f>Table20[[#This Row],[Number of options]]-Table20[[#This Row],[Exit1]]-Table20[[#This Row],[Exit2]]</f>
        <v>0</v>
      </c>
      <c r="W41" s="30">
        <f ca="1">(Table20[[#This Row],[Expiration Date]]-TODAY())/365</f>
        <v>-1.2328767123287672</v>
      </c>
      <c r="X41" s="30" t="e">
        <f ca="1">(LN(Table20[[#This Row],[Current Price]]/Table20[[#This Row],[strike_price]]) + ($B$2 + (Table20[[#This Row],[Vol]]^2)/2)*Table20[[#This Row],[Time to expiration]]) / (Table20[[#This Row],[Vol]] * SQRT(Table20[[#This Row],[Time to expiration]]))</f>
        <v>#NUM!</v>
      </c>
      <c r="Y41" s="30" t="e">
        <f ca="1">IF(Table20[[#This Row],[Direction]]&gt;0, _xlfn.NORM.S.DIST(Table20[[#This Row],[d1]], TRUE), _xlfn.NORM.S.DIST(Table20[[#This Row],[d1]], TRUE) - 1) * Table20[[#This Row],[Buy or Sell]]</f>
        <v>#NUM!</v>
      </c>
      <c r="Z41" s="9">
        <f ca="1">Table20[[#This Row],[Remaining]]*Table20[[#This Row],[Current Price]]*100</f>
        <v>0</v>
      </c>
      <c r="AA41" s="22">
        <f ca="1">IFERROR(Table20[[#This Row],[nominal_exposure]]*Table20[[#This Row],[Delta]],0)</f>
        <v>0</v>
      </c>
      <c r="AB41" s="99" t="b">
        <f>IF(Table20[[#This Row],[date_purchased]]&lt;&gt;Table20[[#This Row],[Expiration Date]],FALSE,TRUE)</f>
        <v>0</v>
      </c>
      <c r="AC41" s="30" t="str">
        <f>VLOOKUP(Table20[[#This Row],[Asset]],Table19[#All],3,FALSE)</f>
        <v>Market</v>
      </c>
      <c r="AD41" s="4">
        <f>IF(Table20[[#This Row],[Remaining]]&lt;&gt;0,Table20[[#This Row],[Invested]]*Table20[[#This Row],[Remaining]]/Table20[[#This Row],[Number of options]],0)</f>
        <v>0</v>
      </c>
      <c r="AE41" s="4">
        <f ca="1">SUMIF(Table20[Ticker],Table20[[#This Row],[Ticker]],Table20[realized_profit])</f>
        <v>-5077</v>
      </c>
      <c r="AF41" s="30" t="str">
        <f>VLOOKUP(Table20[[#This Row],[Strategy]],Table29[#All],7,FALSE)</f>
        <v>Bearish</v>
      </c>
    </row>
    <row r="42" spans="1:32" hidden="1">
      <c r="A42" s="35">
        <v>45492</v>
      </c>
      <c r="B42" s="21" t="e" vm="34">
        <v>#VALUE!</v>
      </c>
      <c r="C42" s="109" t="str" cm="1">
        <f t="array" aca="1" ref="C42" ca="1">_FV(Table20[[#This Row],[Asset]],"Ticker symbol",TRUE)</f>
        <v>TSM</v>
      </c>
      <c r="D42" s="26" cm="1">
        <f t="array" aca="1" ref="D42" ca="1">_FV(Table20[[#This Row],[Asset]],"Price")</f>
        <v>348.52499999999998</v>
      </c>
      <c r="E42" s="26">
        <v>190</v>
      </c>
      <c r="F42" s="33">
        <v>1</v>
      </c>
      <c r="G42" s="34">
        <v>-1</v>
      </c>
      <c r="H42" s="21" t="s">
        <v>115</v>
      </c>
      <c r="I42" s="31">
        <v>45490</v>
      </c>
      <c r="J42" s="26">
        <v>1.1200000000000001</v>
      </c>
      <c r="K42" s="24">
        <v>1.0936999999999999</v>
      </c>
      <c r="L42" s="33">
        <f>VLOOKUP(Table20[[#This Row],[Strategy]],Table29[#All],6,FALSE)</f>
        <v>1</v>
      </c>
      <c r="M42" s="23">
        <v>1</v>
      </c>
      <c r="N42" s="23">
        <v>0.01</v>
      </c>
      <c r="O42" s="23"/>
      <c r="P42" s="23"/>
      <c r="Q42">
        <f>Table20[[#This Row],[Exit1]]*Table20[[#This Row],[ex1_price]]</f>
        <v>0.01</v>
      </c>
      <c r="R42">
        <f>Table20[[#This Row],[Exit2]]*Table20[[#This Row],[ex2_price]]</f>
        <v>0</v>
      </c>
      <c r="S42">
        <f>IFERROR((Table20[[#This Row],[ex2_amnt]]+Table20[[#This Row],[ex1_amnt]])/(Table20[[#This Row],[Exit2]]+Table20[[#This Row],[Exit1]]),0)</f>
        <v>0.01</v>
      </c>
      <c r="T42" s="5">
        <f>(Table20[[#This Row],[Exit1]]+Table20[[#This Row],[Exit2]])*(Table20[[#This Row],[avg_exit_price]]-Table20[[#This Row],[AvePrice]])*100*Table20[[#This Row],[Buy or Sell]]</f>
        <v>111.00000000000001</v>
      </c>
      <c r="U42" s="5">
        <f>Table20[[#This Row],[Number of options]]*Table20[[#This Row],[AvePrice]]*100*Table20[[#This Row],[Buy or Sell]]</f>
        <v>-112.00000000000001</v>
      </c>
      <c r="V42" s="8">
        <f>Table20[[#This Row],[Number of options]]-Table20[[#This Row],[Exit1]]-Table20[[#This Row],[Exit2]]</f>
        <v>0</v>
      </c>
      <c r="W42" s="30">
        <f ca="1">(Table20[[#This Row],[Expiration Date]]-TODAY())/365</f>
        <v>-1.6849315068493151</v>
      </c>
      <c r="X42" s="30" t="e">
        <f ca="1">(LN(Table20[[#This Row],[Current Price]]/Table20[[#This Row],[strike_price]]) + ($B$2 + (Table20[[#This Row],[Vol]]^2)/2)*Table20[[#This Row],[Time to expiration]]) / (Table20[[#This Row],[Vol]] * SQRT(Table20[[#This Row],[Time to expiration]]))</f>
        <v>#NUM!</v>
      </c>
      <c r="Y42" s="30" t="e">
        <f ca="1">IF(Table20[[#This Row],[Direction]]&gt;0, _xlfn.NORM.S.DIST(Table20[[#This Row],[d1]], TRUE), _xlfn.NORM.S.DIST(Table20[[#This Row],[d1]], TRUE) - 1) * Table20[[#This Row],[Buy or Sell]]</f>
        <v>#NUM!</v>
      </c>
      <c r="Z42" s="9">
        <f ca="1">Table20[[#This Row],[Remaining]]*Table20[[#This Row],[Current Price]]*100</f>
        <v>0</v>
      </c>
      <c r="AA42" s="22">
        <f ca="1">IFERROR(Table20[[#This Row],[nominal_exposure]]*Table20[[#This Row],[Delta]],0)</f>
        <v>0</v>
      </c>
      <c r="AB42" s="95" t="b">
        <f>IF(Table20[[#This Row],[date_purchased]]&lt;&gt;Table20[[#This Row],[Expiration Date]],FALSE,TRUE)</f>
        <v>0</v>
      </c>
      <c r="AC42" s="30" t="str">
        <f>VLOOKUP(Table20[[#This Row],[Asset]],Table19[#All],3,FALSE)</f>
        <v>AI</v>
      </c>
      <c r="AD42" s="30">
        <f>IF(Table20[[#This Row],[Remaining]]&lt;&gt;0,Table20[[#This Row],[Invested]]*Table20[[#This Row],[Remaining]]/Table20[[#This Row],[Number of options]],0)</f>
        <v>0</v>
      </c>
      <c r="AE42" s="30">
        <f ca="1">SUMIF(Table20[Ticker],Table20[[#This Row],[Ticker]],Table20[realized_profit])</f>
        <v>-444.99999999999977</v>
      </c>
      <c r="AF42" s="30" t="str">
        <f>VLOOKUP(Table20[[#This Row],[Strategy]],Table29[#All],7,FALSE)</f>
        <v>Bullish</v>
      </c>
    </row>
    <row r="43" spans="1:32" hidden="1">
      <c r="A43" s="35">
        <v>45506</v>
      </c>
      <c r="B43" s="21" t="e" vm="148">
        <v>#VALUE!</v>
      </c>
      <c r="C43" s="109" t="str" cm="1">
        <f t="array" aca="1" ref="C43" ca="1">_FV(Table20[[#This Row],[Asset]],"Ticker symbol",TRUE)</f>
        <v>META</v>
      </c>
      <c r="D43" s="26" cm="1">
        <f t="array" aca="1" ref="D43" ca="1">_FV(Table20[[#This Row],[Asset]],"Price")</f>
        <v>599.32000000000005</v>
      </c>
      <c r="E43" s="26">
        <v>600</v>
      </c>
      <c r="F43" s="33">
        <v>2</v>
      </c>
      <c r="G43" s="34">
        <v>-1</v>
      </c>
      <c r="H43" s="21" t="s">
        <v>115</v>
      </c>
      <c r="I43" s="31">
        <v>45481</v>
      </c>
      <c r="J43" s="26">
        <v>8.58</v>
      </c>
      <c r="K43" s="24">
        <v>0.52300000000000002</v>
      </c>
      <c r="L43" s="33">
        <f>VLOOKUP(Table20[[#This Row],[Strategy]],Table29[#All],6,FALSE)</f>
        <v>1</v>
      </c>
      <c r="M43" s="23">
        <v>2</v>
      </c>
      <c r="N43" s="23">
        <v>1.55</v>
      </c>
      <c r="O43" s="23"/>
      <c r="P43" s="23"/>
      <c r="Q43">
        <f>Table20[[#This Row],[Exit1]]*Table20[[#This Row],[ex1_price]]</f>
        <v>3.1</v>
      </c>
      <c r="R43">
        <f>Table20[[#This Row],[Exit2]]*Table20[[#This Row],[ex2_price]]</f>
        <v>0</v>
      </c>
      <c r="S43">
        <f>IFERROR((Table20[[#This Row],[ex2_amnt]]+Table20[[#This Row],[ex1_amnt]])/(Table20[[#This Row],[Exit2]]+Table20[[#This Row],[Exit1]]),0)</f>
        <v>1.55</v>
      </c>
      <c r="T43" s="5">
        <f>(Table20[[#This Row],[Exit1]]+Table20[[#This Row],[Exit2]])*(Table20[[#This Row],[avg_exit_price]]-Table20[[#This Row],[AvePrice]])*100*Table20[[#This Row],[Buy or Sell]]</f>
        <v>1406</v>
      </c>
      <c r="U43" s="5">
        <f>Table20[[#This Row],[Number of options]]*Table20[[#This Row],[AvePrice]]*100*Table20[[#This Row],[Buy or Sell]]</f>
        <v>-1716</v>
      </c>
      <c r="V43" s="8">
        <f>Table20[[#This Row],[Number of options]]-Table20[[#This Row],[Exit1]]-Table20[[#This Row],[Exit2]]</f>
        <v>0</v>
      </c>
      <c r="W43" s="30">
        <f ca="1">(Table20[[#This Row],[Expiration Date]]-TODAY())/365</f>
        <v>-1.6465753424657534</v>
      </c>
      <c r="X43" s="30" t="e">
        <f ca="1">(LN(Table20[[#This Row],[Current Price]]/Table20[[#This Row],[strike_price]]) + ($B$2 + (Table20[[#This Row],[Vol]]^2)/2)*Table20[[#This Row],[Time to expiration]]) / (Table20[[#This Row],[Vol]] * SQRT(Table20[[#This Row],[Time to expiration]]))</f>
        <v>#NUM!</v>
      </c>
      <c r="Y43" s="30" t="e">
        <f ca="1">IF(Table20[[#This Row],[Direction]]&gt;0, _xlfn.NORM.S.DIST(Table20[[#This Row],[d1]], TRUE), _xlfn.NORM.S.DIST(Table20[[#This Row],[d1]], TRUE) - 1) * Table20[[#This Row],[Buy or Sell]]</f>
        <v>#NUM!</v>
      </c>
      <c r="Z43" s="9">
        <f ca="1">Table20[[#This Row],[Remaining]]*Table20[[#This Row],[Current Price]]*100</f>
        <v>0</v>
      </c>
      <c r="AA43" s="22">
        <f ca="1">IFERROR(Table20[[#This Row],[nominal_exposure]]*Table20[[#This Row],[Delta]],0)</f>
        <v>0</v>
      </c>
      <c r="AB43" s="95" t="b">
        <f>IF(Table20[[#This Row],[date_purchased]]&lt;&gt;Table20[[#This Row],[Expiration Date]],FALSE,TRUE)</f>
        <v>0</v>
      </c>
      <c r="AC43" s="30" t="str">
        <f>VLOOKUP(Table20[[#This Row],[Asset]],Table19[#All],3,FALSE)</f>
        <v>AI</v>
      </c>
      <c r="AD43" s="30">
        <f>IF(Table20[[#This Row],[Remaining]]&lt;&gt;0,Table20[[#This Row],[Invested]]*Table20[[#This Row],[Remaining]]/Table20[[#This Row],[Number of options]],0)</f>
        <v>0</v>
      </c>
      <c r="AE43" s="30">
        <f ca="1">SUMIF(Table20[Ticker],Table20[[#This Row],[Ticker]],Table20[realized_profit])</f>
        <v>2450</v>
      </c>
      <c r="AF43" s="30" t="str">
        <f>VLOOKUP(Table20[[#This Row],[Strategy]],Table29[#All],7,FALSE)</f>
        <v>Bullish</v>
      </c>
    </row>
    <row r="44" spans="1:32" hidden="1">
      <c r="A44" s="35">
        <v>45499</v>
      </c>
      <c r="B44" s="21" t="e" vm="64">
        <v>#VALUE!</v>
      </c>
      <c r="C44" s="109" t="str" cm="1">
        <f t="array" aca="1" ref="C44" ca="1">_FV(Table20[[#This Row],[Asset]],"Ticker symbol",TRUE)</f>
        <v>LULU</v>
      </c>
      <c r="D44" s="26" cm="1">
        <f t="array" aca="1" ref="D44" ca="1">_FV(Table20[[#This Row],[Asset]],"Price")</f>
        <v>159.22</v>
      </c>
      <c r="E44" s="26">
        <v>300</v>
      </c>
      <c r="F44" s="33">
        <v>2</v>
      </c>
      <c r="G44" s="34">
        <v>1</v>
      </c>
      <c r="H44" s="111" t="s">
        <v>113</v>
      </c>
      <c r="I44" s="31">
        <v>45489</v>
      </c>
      <c r="J44" s="26">
        <v>2.34</v>
      </c>
      <c r="K44" s="24">
        <v>0.32800000000000001</v>
      </c>
      <c r="L44" s="33">
        <f>VLOOKUP(Table20[[#This Row],[Strategy]],Table29[#All],6,FALSE)</f>
        <v>1</v>
      </c>
      <c r="M44" s="23">
        <v>2</v>
      </c>
      <c r="N44" s="23">
        <v>2.88</v>
      </c>
      <c r="O44" s="23"/>
      <c r="P44" s="23"/>
      <c r="Q44">
        <f>Table20[[#This Row],[Exit1]]*Table20[[#This Row],[ex1_price]]</f>
        <v>5.76</v>
      </c>
      <c r="R44">
        <f>Table20[[#This Row],[Exit2]]*Table20[[#This Row],[ex2_price]]</f>
        <v>0</v>
      </c>
      <c r="S44">
        <f>IFERROR((Table20[[#This Row],[ex2_amnt]]+Table20[[#This Row],[ex1_amnt]])/(Table20[[#This Row],[Exit2]]+Table20[[#This Row],[Exit1]]),0)</f>
        <v>2.88</v>
      </c>
      <c r="T44" s="5">
        <f>(Table20[[#This Row],[Exit1]]+Table20[[#This Row],[Exit2]])*(Table20[[#This Row],[avg_exit_price]]-Table20[[#This Row],[AvePrice]])*100*Table20[[#This Row],[Buy or Sell]]</f>
        <v>108</v>
      </c>
      <c r="U44" s="5">
        <f>Table20[[#This Row],[Number of options]]*Table20[[#This Row],[AvePrice]]*100*Table20[[#This Row],[Buy or Sell]]</f>
        <v>468</v>
      </c>
      <c r="V44" s="8">
        <f>Table20[[#This Row],[Number of options]]-Table20[[#This Row],[Exit1]]-Table20[[#This Row],[Exit2]]</f>
        <v>0</v>
      </c>
      <c r="W44" s="30">
        <f ca="1">(Table20[[#This Row],[Expiration Date]]-TODAY())/365</f>
        <v>-1.6657534246575343</v>
      </c>
      <c r="X44" s="30" t="e">
        <f ca="1">(LN(Table20[[#This Row],[Current Price]]/Table20[[#This Row],[strike_price]]) + ($B$2 + (Table20[[#This Row],[Vol]]^2)/2)*Table20[[#This Row],[Time to expiration]]) / (Table20[[#This Row],[Vol]] * SQRT(Table20[[#This Row],[Time to expiration]]))</f>
        <v>#NUM!</v>
      </c>
      <c r="Y44" s="30" t="e">
        <f ca="1">IF(Table20[[#This Row],[Direction]]&gt;0, _xlfn.NORM.S.DIST(Table20[[#This Row],[d1]], TRUE), _xlfn.NORM.S.DIST(Table20[[#This Row],[d1]], TRUE) - 1) * Table20[[#This Row],[Buy or Sell]]</f>
        <v>#NUM!</v>
      </c>
      <c r="Z44" s="9">
        <f ca="1">Table20[[#This Row],[Remaining]]*Table20[[#This Row],[Current Price]]*100</f>
        <v>0</v>
      </c>
      <c r="AA44" s="22">
        <f ca="1">IFERROR(Table20[[#This Row],[nominal_exposure]]*Table20[[#This Row],[Delta]],0)</f>
        <v>0</v>
      </c>
      <c r="AB44" s="95" t="b">
        <f>IF(Table20[[#This Row],[date_purchased]]&lt;&gt;Table20[[#This Row],[Expiration Date]],FALSE,TRUE)</f>
        <v>0</v>
      </c>
      <c r="AC44" s="30" t="str">
        <f>VLOOKUP(Table20[[#This Row],[Asset]],Table19[#All],3,FALSE)</f>
        <v>Consumer Discretionary</v>
      </c>
      <c r="AD44" s="30">
        <f>IF(Table20[[#This Row],[Remaining]]&lt;&gt;0,Table20[[#This Row],[Invested]]*Table20[[#This Row],[Remaining]]/Table20[[#This Row],[Number of options]],0)</f>
        <v>0</v>
      </c>
      <c r="AE44" s="30">
        <f ca="1">SUMIF(Table20[Ticker],Table20[[#This Row],[Ticker]],Table20[realized_profit])</f>
        <v>-1317.0000000000002</v>
      </c>
      <c r="AF44" s="30" t="str">
        <f>VLOOKUP(Table20[[#This Row],[Strategy]],Table29[#All],7,FALSE)</f>
        <v>Bullish</v>
      </c>
    </row>
    <row r="45" spans="1:32" hidden="1">
      <c r="A45" s="35">
        <v>45499</v>
      </c>
      <c r="B45" s="21" t="e" vm="64">
        <v>#VALUE!</v>
      </c>
      <c r="C45" s="109" t="str" cm="1">
        <f t="array" aca="1" ref="C45" ca="1">_FV(Table20[[#This Row],[Asset]],"Ticker symbol",TRUE)</f>
        <v>LULU</v>
      </c>
      <c r="D45" s="26" cm="1">
        <f t="array" aca="1" ref="D45" ca="1">_FV(Table20[[#This Row],[Asset]],"Price")</f>
        <v>159.22</v>
      </c>
      <c r="E45" s="26">
        <v>310</v>
      </c>
      <c r="F45" s="33">
        <v>4</v>
      </c>
      <c r="G45" s="34">
        <v>-1</v>
      </c>
      <c r="H45" s="111" t="s">
        <v>115</v>
      </c>
      <c r="I45" s="31">
        <v>45491</v>
      </c>
      <c r="J45" s="26">
        <v>0.63</v>
      </c>
      <c r="K45" s="24">
        <v>0.37380000000000002</v>
      </c>
      <c r="L45" s="33">
        <f>VLOOKUP(Table20[[#This Row],[Strategy]],Table29[#All],6,FALSE)</f>
        <v>1</v>
      </c>
      <c r="M45" s="23">
        <v>4</v>
      </c>
      <c r="N45" s="23">
        <v>0.01</v>
      </c>
      <c r="O45" s="23"/>
      <c r="P45" s="23"/>
      <c r="Q45">
        <f>Table20[[#This Row],[Exit1]]*Table20[[#This Row],[ex1_price]]</f>
        <v>0.04</v>
      </c>
      <c r="R45">
        <f>Table20[[#This Row],[Exit2]]*Table20[[#This Row],[ex2_price]]</f>
        <v>0</v>
      </c>
      <c r="S45">
        <f>IFERROR((Table20[[#This Row],[ex2_amnt]]+Table20[[#This Row],[ex1_amnt]])/(Table20[[#This Row],[Exit2]]+Table20[[#This Row],[Exit1]]),0)</f>
        <v>0.01</v>
      </c>
      <c r="T45" s="5">
        <f>(Table20[[#This Row],[Exit1]]+Table20[[#This Row],[Exit2]])*(Table20[[#This Row],[avg_exit_price]]-Table20[[#This Row],[AvePrice]])*100*Table20[[#This Row],[Buy or Sell]]</f>
        <v>248</v>
      </c>
      <c r="U45" s="5">
        <f>Table20[[#This Row],[Number of options]]*Table20[[#This Row],[AvePrice]]*100*Table20[[#This Row],[Buy or Sell]]</f>
        <v>-252</v>
      </c>
      <c r="V45" s="8">
        <f>Table20[[#This Row],[Number of options]]-Table20[[#This Row],[Exit1]]-Table20[[#This Row],[Exit2]]</f>
        <v>0</v>
      </c>
      <c r="W45" s="30">
        <f ca="1">(Table20[[#This Row],[Expiration Date]]-TODAY())/365</f>
        <v>-1.6657534246575343</v>
      </c>
      <c r="X45" s="30" t="e">
        <f ca="1">(LN(Table20[[#This Row],[Current Price]]/Table20[[#This Row],[strike_price]]) + ($B$2 + (Table20[[#This Row],[Vol]]^2)/2)*Table20[[#This Row],[Time to expiration]]) / (Table20[[#This Row],[Vol]] * SQRT(Table20[[#This Row],[Time to expiration]]))</f>
        <v>#NUM!</v>
      </c>
      <c r="Y45" s="30" t="e">
        <f ca="1">IF(Table20[[#This Row],[Direction]]&gt;0, _xlfn.NORM.S.DIST(Table20[[#This Row],[d1]], TRUE), _xlfn.NORM.S.DIST(Table20[[#This Row],[d1]], TRUE) - 1) * Table20[[#This Row],[Buy or Sell]]</f>
        <v>#NUM!</v>
      </c>
      <c r="Z45" s="9">
        <f ca="1">Table20[[#This Row],[Remaining]]*Table20[[#This Row],[Current Price]]*100</f>
        <v>0</v>
      </c>
      <c r="AA45" s="22">
        <f ca="1">IFERROR(Table20[[#This Row],[nominal_exposure]]*Table20[[#This Row],[Delta]],0)</f>
        <v>0</v>
      </c>
      <c r="AB45" s="99" t="b">
        <f>IF(Table20[[#This Row],[date_purchased]]&lt;&gt;Table20[[#This Row],[Expiration Date]],FALSE,TRUE)</f>
        <v>0</v>
      </c>
      <c r="AC45" s="30" t="str">
        <f>VLOOKUP(Table20[[#This Row],[Asset]],Table19[#All],3,FALSE)</f>
        <v>Consumer Discretionary</v>
      </c>
      <c r="AD45" s="30">
        <f>IF(Table20[[#This Row],[Remaining]]&lt;&gt;0,Table20[[#This Row],[Invested]]*Table20[[#This Row],[Remaining]]/Table20[[#This Row],[Number of options]],0)</f>
        <v>0</v>
      </c>
      <c r="AE45" s="30">
        <f ca="1">SUMIF(Table20[Ticker],Table20[[#This Row],[Ticker]],Table20[realized_profit])</f>
        <v>-1317.0000000000002</v>
      </c>
      <c r="AF45" s="30" t="str">
        <f>VLOOKUP(Table20[[#This Row],[Strategy]],Table29[#All],7,FALSE)</f>
        <v>Bullish</v>
      </c>
    </row>
    <row r="46" spans="1:32" hidden="1">
      <c r="A46" s="35">
        <v>45499</v>
      </c>
      <c r="B46" s="21" t="e" vm="425">
        <v>#VALUE!</v>
      </c>
      <c r="C46" s="109" t="str" cm="1">
        <f t="array" aca="1" ref="C46" ca="1">_FV(Table20[[#This Row],[Asset]],"Ticker symbol",TRUE)</f>
        <v>SBUX</v>
      </c>
      <c r="D46" s="26" cm="1">
        <f t="array" aca="1" ref="D46" ca="1">_FV(Table20[[#This Row],[Asset]],"Price")</f>
        <v>92.6</v>
      </c>
      <c r="E46" s="26">
        <v>77</v>
      </c>
      <c r="F46" s="33">
        <v>2</v>
      </c>
      <c r="G46" s="34">
        <v>1</v>
      </c>
      <c r="H46" s="21" t="s">
        <v>113</v>
      </c>
      <c r="I46" s="31">
        <v>45495</v>
      </c>
      <c r="J46" s="26">
        <v>0.76</v>
      </c>
      <c r="K46" s="24">
        <v>0.2944</v>
      </c>
      <c r="L46" s="33">
        <f>VLOOKUP(Table20[[#This Row],[Strategy]],Table29[#All],6,FALSE)</f>
        <v>1</v>
      </c>
      <c r="M46" s="23">
        <v>2</v>
      </c>
      <c r="N46" s="23">
        <v>0.09</v>
      </c>
      <c r="O46" s="23"/>
      <c r="P46" s="23"/>
      <c r="Q46">
        <f>Table20[[#This Row],[Exit1]]*Table20[[#This Row],[ex1_price]]</f>
        <v>0.18</v>
      </c>
      <c r="R46">
        <f>Table20[[#This Row],[Exit2]]*Table20[[#This Row],[ex2_price]]</f>
        <v>0</v>
      </c>
      <c r="S46">
        <f>IFERROR((Table20[[#This Row],[ex2_amnt]]+Table20[[#This Row],[ex1_amnt]])/(Table20[[#This Row],[Exit2]]+Table20[[#This Row],[Exit1]]),0)</f>
        <v>0.09</v>
      </c>
      <c r="T46" s="5">
        <f>(Table20[[#This Row],[Exit1]]+Table20[[#This Row],[Exit2]])*(Table20[[#This Row],[avg_exit_price]]-Table20[[#This Row],[AvePrice]])*100*Table20[[#This Row],[Buy or Sell]]</f>
        <v>-134</v>
      </c>
      <c r="U46" s="5">
        <f>Table20[[#This Row],[Number of options]]*Table20[[#This Row],[AvePrice]]*100*Table20[[#This Row],[Buy or Sell]]</f>
        <v>152</v>
      </c>
      <c r="V46" s="8">
        <f>Table20[[#This Row],[Number of options]]-Table20[[#This Row],[Exit1]]-Table20[[#This Row],[Exit2]]</f>
        <v>0</v>
      </c>
      <c r="W46" s="30">
        <f ca="1">(Table20[[#This Row],[Expiration Date]]-TODAY())/365</f>
        <v>-1.6657534246575343</v>
      </c>
      <c r="X46" s="30" t="e">
        <f ca="1">(LN(Table20[[#This Row],[Current Price]]/Table20[[#This Row],[strike_price]]) + ($B$2 + (Table20[[#This Row],[Vol]]^2)/2)*Table20[[#This Row],[Time to expiration]]) / (Table20[[#This Row],[Vol]] * SQRT(Table20[[#This Row],[Time to expiration]]))</f>
        <v>#NUM!</v>
      </c>
      <c r="Y46" s="30" t="e">
        <f ca="1">IF(Table20[[#This Row],[Direction]]&gt;0, _xlfn.NORM.S.DIST(Table20[[#This Row],[d1]], TRUE), _xlfn.NORM.S.DIST(Table20[[#This Row],[d1]], TRUE) - 1) * Table20[[#This Row],[Buy or Sell]]</f>
        <v>#NUM!</v>
      </c>
      <c r="Z46" s="9">
        <f ca="1">Table20[[#This Row],[Remaining]]*Table20[[#This Row],[Current Price]]*100</f>
        <v>0</v>
      </c>
      <c r="AA46" s="22">
        <f ca="1">IFERROR(Table20[[#This Row],[nominal_exposure]]*Table20[[#This Row],[Delta]],0)</f>
        <v>0</v>
      </c>
      <c r="AB46" s="99" t="b">
        <f>IF(Table20[[#This Row],[date_purchased]]&lt;&gt;Table20[[#This Row],[Expiration Date]],FALSE,TRUE)</f>
        <v>0</v>
      </c>
      <c r="AC46" s="30" t="str">
        <f>VLOOKUP(Table20[[#This Row],[Asset]],Table19[#All],3,FALSE)</f>
        <v>Consumer Discretionary</v>
      </c>
      <c r="AD46" s="30">
        <f>IF(Table20[[#This Row],[Remaining]]&lt;&gt;0,Table20[[#This Row],[Invested]]*Table20[[#This Row],[Remaining]]/Table20[[#This Row],[Number of options]],0)</f>
        <v>0</v>
      </c>
      <c r="AE46" s="30">
        <f ca="1">SUMIF(Table20[Ticker],Table20[[#This Row],[Ticker]],Table20[realized_profit])</f>
        <v>-251.00000000000006</v>
      </c>
      <c r="AF46" s="30" t="str">
        <f>VLOOKUP(Table20[[#This Row],[Strategy]],Table29[#All],7,FALSE)</f>
        <v>Bullish</v>
      </c>
    </row>
    <row r="47" spans="1:32" hidden="1">
      <c r="A47" s="35">
        <v>45499</v>
      </c>
      <c r="B47" s="21" t="e" vm="34">
        <v>#VALUE!</v>
      </c>
      <c r="C47" s="109" t="str" cm="1">
        <f t="array" aca="1" ref="C47" ca="1">_FV(Table20[[#This Row],[Asset]],"Ticker symbol",TRUE)</f>
        <v>TSM</v>
      </c>
      <c r="D47" s="26" cm="1">
        <f t="array" aca="1" ref="D47" ca="1">_FV(Table20[[#This Row],[Asset]],"Price")</f>
        <v>348.52499999999998</v>
      </c>
      <c r="E47" s="26">
        <v>190</v>
      </c>
      <c r="F47" s="33">
        <v>1</v>
      </c>
      <c r="G47" s="34">
        <v>1</v>
      </c>
      <c r="H47" s="21" t="s">
        <v>115</v>
      </c>
      <c r="I47" s="31">
        <v>45490</v>
      </c>
      <c r="J47" s="26">
        <v>2.27</v>
      </c>
      <c r="K47" s="24">
        <v>0.69330000000000003</v>
      </c>
      <c r="L47" s="33">
        <f>VLOOKUP(Table20[[#This Row],[Strategy]],Table29[#All],6,FALSE)</f>
        <v>1</v>
      </c>
      <c r="M47" s="23">
        <v>1</v>
      </c>
      <c r="N47" s="23">
        <v>0.05</v>
      </c>
      <c r="O47" s="23"/>
      <c r="P47" s="23"/>
      <c r="Q47">
        <f>Table20[[#This Row],[Exit1]]*Table20[[#This Row],[ex1_price]]</f>
        <v>0.05</v>
      </c>
      <c r="R47">
        <f>Table20[[#This Row],[Exit2]]*Table20[[#This Row],[ex2_price]]</f>
        <v>0</v>
      </c>
      <c r="S47">
        <f>IFERROR((Table20[[#This Row],[ex2_amnt]]+Table20[[#This Row],[ex1_amnt]])/(Table20[[#This Row],[Exit2]]+Table20[[#This Row],[Exit1]]),0)</f>
        <v>0.05</v>
      </c>
      <c r="T47" s="5">
        <f>(Table20[[#This Row],[Exit1]]+Table20[[#This Row],[Exit2]])*(Table20[[#This Row],[avg_exit_price]]-Table20[[#This Row],[AvePrice]])*100*Table20[[#This Row],[Buy or Sell]]</f>
        <v>-222.00000000000003</v>
      </c>
      <c r="U47" s="5">
        <f>Table20[[#This Row],[Number of options]]*Table20[[#This Row],[AvePrice]]*100*Table20[[#This Row],[Buy or Sell]]</f>
        <v>227</v>
      </c>
      <c r="V47" s="8">
        <f>Table20[[#This Row],[Number of options]]-Table20[[#This Row],[Exit1]]-Table20[[#This Row],[Exit2]]</f>
        <v>0</v>
      </c>
      <c r="W47" s="30">
        <f ca="1">(Table20[[#This Row],[Expiration Date]]-TODAY())/365</f>
        <v>-1.6657534246575343</v>
      </c>
      <c r="X47" s="30" t="e">
        <f ca="1">(LN(Table20[[#This Row],[Current Price]]/Table20[[#This Row],[strike_price]]) + ($B$2 + (Table20[[#This Row],[Vol]]^2)/2)*Table20[[#This Row],[Time to expiration]]) / (Table20[[#This Row],[Vol]] * SQRT(Table20[[#This Row],[Time to expiration]]))</f>
        <v>#NUM!</v>
      </c>
      <c r="Y47" s="30" t="e">
        <f ca="1">IF(Table20[[#This Row],[Direction]]&gt;0, _xlfn.NORM.S.DIST(Table20[[#This Row],[d1]], TRUE), _xlfn.NORM.S.DIST(Table20[[#This Row],[d1]], TRUE) - 1) * Table20[[#This Row],[Buy or Sell]]</f>
        <v>#NUM!</v>
      </c>
      <c r="Z47" s="9">
        <f ca="1">Table20[[#This Row],[Remaining]]*Table20[[#This Row],[Current Price]]*100</f>
        <v>0</v>
      </c>
      <c r="AA47" s="22">
        <f ca="1">IFERROR(Table20[[#This Row],[nominal_exposure]]*Table20[[#This Row],[Delta]],0)</f>
        <v>0</v>
      </c>
      <c r="AB47" s="95" t="b">
        <f>IF(Table20[[#This Row],[date_purchased]]&lt;&gt;Table20[[#This Row],[Expiration Date]],FALSE,TRUE)</f>
        <v>0</v>
      </c>
      <c r="AC47" s="30" t="str">
        <f>VLOOKUP(Table20[[#This Row],[Asset]],Table19[#All],3,FALSE)</f>
        <v>AI</v>
      </c>
      <c r="AD47" s="30">
        <f>IF(Table20[[#This Row],[Remaining]]&lt;&gt;0,Table20[[#This Row],[Invested]]*Table20[[#This Row],[Remaining]]/Table20[[#This Row],[Number of options]],0)</f>
        <v>0</v>
      </c>
      <c r="AE47" s="30">
        <f ca="1">SUMIF(Table20[Ticker],Table20[[#This Row],[Ticker]],Table20[realized_profit])</f>
        <v>-444.99999999999977</v>
      </c>
      <c r="AF47" s="30" t="str">
        <f>VLOOKUP(Table20[[#This Row],[Strategy]],Table29[#All],7,FALSE)</f>
        <v>Bullish</v>
      </c>
    </row>
    <row r="48" spans="1:32" hidden="1">
      <c r="A48" s="180">
        <v>45657</v>
      </c>
      <c r="B48" s="21" t="e" vm="96">
        <v>#VALUE!</v>
      </c>
      <c r="C48" s="109" t="str" cm="1">
        <f t="array" aca="1" ref="C48" ca="1">_FV(Table20[[#This Row],[Asset]],"Ticker symbol",TRUE)</f>
        <v>SPY</v>
      </c>
      <c r="D48" s="26" cm="1">
        <f t="array" aca="1" ref="D48" ca="1">_FV(Table20[[#This Row],[Asset]],"Price")</f>
        <v>658.59</v>
      </c>
      <c r="E48" s="26">
        <v>450</v>
      </c>
      <c r="F48" s="33">
        <v>1</v>
      </c>
      <c r="G48" s="34">
        <v>1</v>
      </c>
      <c r="H48" s="110" t="s">
        <v>112</v>
      </c>
      <c r="I48" s="31">
        <v>45393</v>
      </c>
      <c r="J48" s="26">
        <v>7.35</v>
      </c>
      <c r="K48" s="24">
        <v>0.22389999999999999</v>
      </c>
      <c r="L48" s="33">
        <f>VLOOKUP(Table20[[#This Row],[Strategy]],Table29[#All],6,FALSE)</f>
        <v>-1</v>
      </c>
      <c r="M48" s="23">
        <v>1</v>
      </c>
      <c r="N48" s="23">
        <v>0.49</v>
      </c>
      <c r="O48" s="23"/>
      <c r="P48" s="23"/>
      <c r="Q48">
        <f>Table20[[#This Row],[Exit1]]*Table20[[#This Row],[ex1_price]]</f>
        <v>0.49</v>
      </c>
      <c r="R48">
        <f>Table20[[#This Row],[Exit2]]*Table20[[#This Row],[ex2_price]]</f>
        <v>0</v>
      </c>
      <c r="S48">
        <f>IFERROR((Table20[[#This Row],[ex2_amnt]]+Table20[[#This Row],[ex1_amnt]])/(Table20[[#This Row],[Exit2]]+Table20[[#This Row],[Exit1]]),0)</f>
        <v>0.49</v>
      </c>
      <c r="T48" s="5">
        <f>(Table20[[#This Row],[Exit1]]+Table20[[#This Row],[Exit2]])*(Table20[[#This Row],[avg_exit_price]]-Table20[[#This Row],[AvePrice]])*100*Table20[[#This Row],[Buy or Sell]]</f>
        <v>-686</v>
      </c>
      <c r="U48" s="5">
        <f>Table20[[#This Row],[Number of options]]*Table20[[#This Row],[AvePrice]]*100*Table20[[#This Row],[Buy or Sell]]</f>
        <v>735</v>
      </c>
      <c r="V48" s="8">
        <f>Table20[[#This Row],[Number of options]]-Table20[[#This Row],[Exit1]]-Table20[[#This Row],[Exit2]]</f>
        <v>0</v>
      </c>
      <c r="W48" s="30">
        <f ca="1">(Table20[[#This Row],[Expiration Date]]-TODAY())/365</f>
        <v>-1.2328767123287672</v>
      </c>
      <c r="X48" s="30" t="e">
        <f ca="1">(LN(Table20[[#This Row],[Current Price]]/Table20[[#This Row],[strike_price]]) + ($B$2 + (Table20[[#This Row],[Vol]]^2)/2)*Table20[[#This Row],[Time to expiration]]) / (Table20[[#This Row],[Vol]] * SQRT(Table20[[#This Row],[Time to expiration]]))</f>
        <v>#NUM!</v>
      </c>
      <c r="Y48" s="30" t="e">
        <f ca="1">IF(Table20[[#This Row],[Direction]]&gt;0, _xlfn.NORM.S.DIST(Table20[[#This Row],[d1]], TRUE), _xlfn.NORM.S.DIST(Table20[[#This Row],[d1]], TRUE) - 1) * Table20[[#This Row],[Buy or Sell]]</f>
        <v>#NUM!</v>
      </c>
      <c r="Z48" s="9">
        <f ca="1">Table20[[#This Row],[Remaining]]*Table20[[#This Row],[Current Price]]*100</f>
        <v>0</v>
      </c>
      <c r="AA48" s="22">
        <f ca="1">IFERROR(Table20[[#This Row],[nominal_exposure]]*Table20[[#This Row],[Delta]],0)</f>
        <v>0</v>
      </c>
      <c r="AB48" s="99" t="b">
        <f>IF(Table20[[#This Row],[date_purchased]]&lt;&gt;Table20[[#This Row],[Expiration Date]],FALSE,TRUE)</f>
        <v>0</v>
      </c>
      <c r="AC48" s="30" t="str">
        <f>VLOOKUP(Table20[[#This Row],[Asset]],Table19[#All],3,FALSE)</f>
        <v>Market</v>
      </c>
      <c r="AD48" s="4">
        <f>IF(Table20[[#This Row],[Remaining]]&lt;&gt;0,Table20[[#This Row],[Invested]]*Table20[[#This Row],[Remaining]]/Table20[[#This Row],[Number of options]],0)</f>
        <v>0</v>
      </c>
      <c r="AE48" s="4">
        <f ca="1">SUMIF(Table20[Ticker],Table20[[#This Row],[Ticker]],Table20[realized_profit])</f>
        <v>-5077</v>
      </c>
      <c r="AF48" s="30" t="str">
        <f>VLOOKUP(Table20[[#This Row],[Strategy]],Table29[#All],7,FALSE)</f>
        <v>Bearish</v>
      </c>
    </row>
    <row r="49" spans="1:32" hidden="1">
      <c r="A49" s="35">
        <v>45506</v>
      </c>
      <c r="B49" s="21" t="e" vm="121">
        <v>#VALUE!</v>
      </c>
      <c r="C49" s="109" t="str" cm="1">
        <f t="array" aca="1" ref="C49" ca="1">_FV(Table20[[#This Row],[Asset]],"Ticker symbol",TRUE)</f>
        <v>IWM</v>
      </c>
      <c r="D49" s="26" cm="1">
        <f t="array" aca="1" ref="D49" ca="1">_FV(Table20[[#This Row],[Asset]],"Price")</f>
        <v>252.46010000000001</v>
      </c>
      <c r="E49" s="26">
        <v>220</v>
      </c>
      <c r="F49" s="33">
        <v>1</v>
      </c>
      <c r="G49" s="34">
        <v>-1</v>
      </c>
      <c r="H49" s="111" t="s">
        <v>115</v>
      </c>
      <c r="I49" s="31">
        <v>45484</v>
      </c>
      <c r="J49" s="26">
        <v>1</v>
      </c>
      <c r="K49" s="24">
        <v>0.19270000000000001</v>
      </c>
      <c r="L49" s="33">
        <f>VLOOKUP(Table20[[#This Row],[Strategy]],Table29[#All],6,FALSE)</f>
        <v>1</v>
      </c>
      <c r="M49" s="23">
        <v>1</v>
      </c>
      <c r="N49" s="23">
        <v>5.2</v>
      </c>
      <c r="O49" s="23"/>
      <c r="P49" s="23"/>
      <c r="Q49">
        <f>Table20[[#This Row],[Exit1]]*Table20[[#This Row],[ex1_price]]</f>
        <v>5.2</v>
      </c>
      <c r="R49">
        <f>Table20[[#This Row],[Exit2]]*Table20[[#This Row],[ex2_price]]</f>
        <v>0</v>
      </c>
      <c r="S49">
        <f>IFERROR((Table20[[#This Row],[ex2_amnt]]+Table20[[#This Row],[ex1_amnt]])/(Table20[[#This Row],[Exit2]]+Table20[[#This Row],[Exit1]]),0)</f>
        <v>5.2</v>
      </c>
      <c r="T49" s="5">
        <f>(Table20[[#This Row],[Exit1]]+Table20[[#This Row],[Exit2]])*(Table20[[#This Row],[avg_exit_price]]-Table20[[#This Row],[AvePrice]])*100*Table20[[#This Row],[Buy or Sell]]</f>
        <v>-420</v>
      </c>
      <c r="U49" s="5">
        <f>Table20[[#This Row],[Number of options]]*Table20[[#This Row],[AvePrice]]*100*Table20[[#This Row],[Buy or Sell]]</f>
        <v>-100</v>
      </c>
      <c r="V49" s="8">
        <f>Table20[[#This Row],[Number of options]]-Table20[[#This Row],[Exit1]]-Table20[[#This Row],[Exit2]]</f>
        <v>0</v>
      </c>
      <c r="W49" s="30">
        <f ca="1">(Table20[[#This Row],[Expiration Date]]-TODAY())/365</f>
        <v>-1.6465753424657534</v>
      </c>
      <c r="X49" s="30" t="e">
        <f ca="1">(LN(Table20[[#This Row],[Current Price]]/Table20[[#This Row],[strike_price]]) + ($B$2 + (Table20[[#This Row],[Vol]]^2)/2)*Table20[[#This Row],[Time to expiration]]) / (Table20[[#This Row],[Vol]] * SQRT(Table20[[#This Row],[Time to expiration]]))</f>
        <v>#NUM!</v>
      </c>
      <c r="Y49" s="30" t="e">
        <f ca="1">IF(Table20[[#This Row],[Direction]]&gt;0, _xlfn.NORM.S.DIST(Table20[[#This Row],[d1]], TRUE), _xlfn.NORM.S.DIST(Table20[[#This Row],[d1]], TRUE) - 1) * Table20[[#This Row],[Buy or Sell]]</f>
        <v>#NUM!</v>
      </c>
      <c r="Z49" s="9">
        <f ca="1">Table20[[#This Row],[Remaining]]*Table20[[#This Row],[Current Price]]*100</f>
        <v>0</v>
      </c>
      <c r="AA49" s="22">
        <f ca="1">IFERROR(Table20[[#This Row],[nominal_exposure]]*Table20[[#This Row],[Delta]],0)</f>
        <v>0</v>
      </c>
      <c r="AB49" s="99" t="b">
        <f>IF(Table20[[#This Row],[date_purchased]]&lt;&gt;Table20[[#This Row],[Expiration Date]],FALSE,TRUE)</f>
        <v>0</v>
      </c>
      <c r="AC49" s="30" t="str">
        <f>VLOOKUP(Table20[[#This Row],[Asset]],Table19[#All],3,FALSE)</f>
        <v>Market</v>
      </c>
      <c r="AD49" s="30">
        <f>IF(Table20[[#This Row],[Remaining]]&lt;&gt;0,Table20[[#This Row],[Invested]]*Table20[[#This Row],[Remaining]]/Table20[[#This Row],[Number of options]],0)</f>
        <v>0</v>
      </c>
      <c r="AE49" s="30">
        <f ca="1">SUMIF(Table20[Ticker],Table20[[#This Row],[Ticker]],Table20[realized_profit])</f>
        <v>-331.99999999999994</v>
      </c>
      <c r="AF49" s="30" t="str">
        <f>VLOOKUP(Table20[[#This Row],[Strategy]],Table29[#All],7,FALSE)</f>
        <v>Bullish</v>
      </c>
    </row>
    <row r="50" spans="1:32" hidden="1">
      <c r="A50" s="35">
        <v>45555</v>
      </c>
      <c r="B50" s="21" t="e" vm="159">
        <v>#VALUE!</v>
      </c>
      <c r="C50" s="109" t="str" cm="1">
        <f t="array" aca="1" ref="C50" ca="1">_FV(Table20[[#This Row],[Asset]],"Ticker symbol",TRUE)</f>
        <v>BABA</v>
      </c>
      <c r="D50" s="26" cm="1">
        <f t="array" aca="1" ref="D50" ca="1">_FV(Table20[[#This Row],[Asset]],"Price")</f>
        <v>129.63999999999999</v>
      </c>
      <c r="E50" s="26">
        <v>75</v>
      </c>
      <c r="F50" s="33">
        <v>1</v>
      </c>
      <c r="G50" s="34">
        <v>1</v>
      </c>
      <c r="H50" s="111" t="s">
        <v>113</v>
      </c>
      <c r="I50" s="31">
        <v>45474</v>
      </c>
      <c r="J50" s="26">
        <v>4.1500000000000004</v>
      </c>
      <c r="K50" s="24">
        <v>0.3412</v>
      </c>
      <c r="L50" s="33">
        <f>VLOOKUP(Table20[[#This Row],[Strategy]],Table29[#All],6,FALSE)</f>
        <v>1</v>
      </c>
      <c r="M50" s="23">
        <v>1</v>
      </c>
      <c r="N50" s="23">
        <v>8.4</v>
      </c>
      <c r="O50" s="23"/>
      <c r="P50" s="23"/>
      <c r="Q50">
        <f>Table20[[#This Row],[Exit1]]*Table20[[#This Row],[ex1_price]]</f>
        <v>8.4</v>
      </c>
      <c r="R50">
        <f>Table20[[#This Row],[Exit2]]*Table20[[#This Row],[ex2_price]]</f>
        <v>0</v>
      </c>
      <c r="S50">
        <f>IFERROR((Table20[[#This Row],[ex2_amnt]]+Table20[[#This Row],[ex1_amnt]])/(Table20[[#This Row],[Exit2]]+Table20[[#This Row],[Exit1]]),0)</f>
        <v>8.4</v>
      </c>
      <c r="T50" s="5">
        <f>(Table20[[#This Row],[Exit1]]+Table20[[#This Row],[Exit2]])*(Table20[[#This Row],[avg_exit_price]]-Table20[[#This Row],[AvePrice]])*100*Table20[[#This Row],[Buy or Sell]]</f>
        <v>425</v>
      </c>
      <c r="U50" s="5">
        <f>Table20[[#This Row],[Number of options]]*Table20[[#This Row],[AvePrice]]*100*Table20[[#This Row],[Buy or Sell]]</f>
        <v>415.00000000000006</v>
      </c>
      <c r="V50" s="8">
        <f>Table20[[#This Row],[Number of options]]-Table20[[#This Row],[Exit1]]-Table20[[#This Row],[Exit2]]</f>
        <v>0</v>
      </c>
      <c r="W50" s="30">
        <f ca="1">(Table20[[#This Row],[Expiration Date]]-TODAY())/365</f>
        <v>-1.5123287671232877</v>
      </c>
      <c r="X50" s="30" t="e">
        <f ca="1">(LN(Table20[[#This Row],[Current Price]]/Table20[[#This Row],[strike_price]]) + ($B$2 + (Table20[[#This Row],[Vol]]^2)/2)*Table20[[#This Row],[Time to expiration]]) / (Table20[[#This Row],[Vol]] * SQRT(Table20[[#This Row],[Time to expiration]]))</f>
        <v>#NUM!</v>
      </c>
      <c r="Y50" s="30" t="e">
        <f ca="1">IF(Table20[[#This Row],[Direction]]&gt;0, _xlfn.NORM.S.DIST(Table20[[#This Row],[d1]], TRUE), _xlfn.NORM.S.DIST(Table20[[#This Row],[d1]], TRUE) - 1) * Table20[[#This Row],[Buy or Sell]]</f>
        <v>#NUM!</v>
      </c>
      <c r="Z50" s="9">
        <f ca="1">Table20[[#This Row],[Remaining]]*Table20[[#This Row],[Current Price]]*100</f>
        <v>0</v>
      </c>
      <c r="AA50" s="22">
        <f ca="1">IFERROR(Table20[[#This Row],[nominal_exposure]]*Table20[[#This Row],[Delta]],0)</f>
        <v>0</v>
      </c>
      <c r="AB50" s="95" t="b">
        <f>IF(Table20[[#This Row],[date_purchased]]&lt;&gt;Table20[[#This Row],[Expiration Date]],FALSE,TRUE)</f>
        <v>0</v>
      </c>
      <c r="AC50" s="30" t="str">
        <f>VLOOKUP(Table20[[#This Row],[Asset]],Table19[#All],3,FALSE)</f>
        <v>China</v>
      </c>
      <c r="AD50" s="30">
        <f>IF(Table20[[#This Row],[Remaining]]&lt;&gt;0,Table20[[#This Row],[Invested]]*Table20[[#This Row],[Remaining]]/Table20[[#This Row],[Number of options]],0)</f>
        <v>0</v>
      </c>
      <c r="AE50" s="30">
        <f ca="1">SUMIF(Table20[Ticker],Table20[[#This Row],[Ticker]],Table20[realized_profit])</f>
        <v>5855</v>
      </c>
      <c r="AF50" s="30" t="str">
        <f>VLOOKUP(Table20[[#This Row],[Strategy]],Table29[#All],7,FALSE)</f>
        <v>Bullish</v>
      </c>
    </row>
    <row r="51" spans="1:32" hidden="1">
      <c r="A51" s="35">
        <v>45513</v>
      </c>
      <c r="B51" s="21" t="e" vm="29">
        <v>#VALUE!</v>
      </c>
      <c r="C51" s="109" t="str" cm="1">
        <f t="array" aca="1" ref="C51" ca="1">_FV(Table20[[#This Row],[Asset]],"Ticker symbol",TRUE)</f>
        <v>NVDA</v>
      </c>
      <c r="D51" s="26" cm="1">
        <f t="array" aca="1" ref="D51" ca="1">_FV(Table20[[#This Row],[Asset]],"Price")</f>
        <v>180.405</v>
      </c>
      <c r="E51" s="26">
        <v>110</v>
      </c>
      <c r="F51" s="33">
        <v>1</v>
      </c>
      <c r="G51" s="34">
        <v>1</v>
      </c>
      <c r="H51" s="21" t="s">
        <v>65</v>
      </c>
      <c r="I51" s="31">
        <v>45475</v>
      </c>
      <c r="J51" s="26">
        <v>2.66</v>
      </c>
      <c r="K51" s="24">
        <v>0.4803</v>
      </c>
      <c r="L51" s="33">
        <f>VLOOKUP(Table20[[#This Row],[Strategy]],Table29[#All],6,FALSE)</f>
        <v>-1</v>
      </c>
      <c r="M51" s="23">
        <v>1</v>
      </c>
      <c r="N51" s="23">
        <v>2.66</v>
      </c>
      <c r="O51" s="23"/>
      <c r="P51" s="23"/>
      <c r="Q51">
        <f>Table20[[#This Row],[Exit1]]*Table20[[#This Row],[ex1_price]]</f>
        <v>2.66</v>
      </c>
      <c r="R51">
        <f>Table20[[#This Row],[Exit2]]*Table20[[#This Row],[ex2_price]]</f>
        <v>0</v>
      </c>
      <c r="S51">
        <f>IFERROR((Table20[[#This Row],[ex2_amnt]]+Table20[[#This Row],[ex1_amnt]])/(Table20[[#This Row],[Exit2]]+Table20[[#This Row],[Exit1]]),0)</f>
        <v>2.66</v>
      </c>
      <c r="T51" s="5">
        <f>(Table20[[#This Row],[Exit1]]+Table20[[#This Row],[Exit2]])*(Table20[[#This Row],[avg_exit_price]]-Table20[[#This Row],[AvePrice]])*100*Table20[[#This Row],[Buy or Sell]]</f>
        <v>0</v>
      </c>
      <c r="U51" s="5">
        <f>Table20[[#This Row],[Number of options]]*Table20[[#This Row],[AvePrice]]*100*Table20[[#This Row],[Buy or Sell]]</f>
        <v>266</v>
      </c>
      <c r="V51" s="8">
        <f>Table20[[#This Row],[Number of options]]-Table20[[#This Row],[Exit1]]-Table20[[#This Row],[Exit2]]</f>
        <v>0</v>
      </c>
      <c r="W51" s="30">
        <f ca="1">(Table20[[#This Row],[Expiration Date]]-TODAY())/365</f>
        <v>-1.6273972602739726</v>
      </c>
      <c r="X51" s="30" t="e">
        <f ca="1">(LN(Table20[[#This Row],[Current Price]]/Table20[[#This Row],[strike_price]]) + ($B$2 + (Table20[[#This Row],[Vol]]^2)/2)*Table20[[#This Row],[Time to expiration]]) / (Table20[[#This Row],[Vol]] * SQRT(Table20[[#This Row],[Time to expiration]]))</f>
        <v>#NUM!</v>
      </c>
      <c r="Y51" s="30" t="e">
        <f ca="1">IF(Table20[[#This Row],[Direction]]&gt;0, _xlfn.NORM.S.DIST(Table20[[#This Row],[d1]], TRUE), _xlfn.NORM.S.DIST(Table20[[#This Row],[d1]], TRUE) - 1) * Table20[[#This Row],[Buy or Sell]]</f>
        <v>#NUM!</v>
      </c>
      <c r="Z51" s="9">
        <f ca="1">Table20[[#This Row],[Remaining]]*Table20[[#This Row],[Current Price]]*100</f>
        <v>0</v>
      </c>
      <c r="AA51" s="22">
        <f ca="1">IFERROR(Table20[[#This Row],[nominal_exposure]]*Table20[[#This Row],[Delta]],0)</f>
        <v>0</v>
      </c>
      <c r="AB51" s="95" t="b">
        <f>IF(Table20[[#This Row],[date_purchased]]&lt;&gt;Table20[[#This Row],[Expiration Date]],FALSE,TRUE)</f>
        <v>0</v>
      </c>
      <c r="AC51" s="30" t="str">
        <f>VLOOKUP(Table20[[#This Row],[Asset]],Table19[#All],3,FALSE)</f>
        <v>AI</v>
      </c>
      <c r="AD51" s="30">
        <f>IF(Table20[[#This Row],[Remaining]]&lt;&gt;0,Table20[[#This Row],[Invested]]*Table20[[#This Row],[Remaining]]/Table20[[#This Row],[Number of options]],0)</f>
        <v>0</v>
      </c>
      <c r="AE51" s="30">
        <f ca="1">SUMIF(Table20[Ticker],Table20[[#This Row],[Ticker]],Table20[realized_profit])</f>
        <v>-637.99999999999955</v>
      </c>
      <c r="AF51" s="30" t="str">
        <f>VLOOKUP(Table20[[#This Row],[Strategy]],Table29[#All],7,FALSE)</f>
        <v>Bearish</v>
      </c>
    </row>
    <row r="52" spans="1:32" hidden="1">
      <c r="A52" s="35">
        <v>45506</v>
      </c>
      <c r="B52" s="21" t="e" vm="80">
        <v>#VALUE!</v>
      </c>
      <c r="C52" s="109" t="str" cm="1">
        <f t="array" aca="1" ref="C52" ca="1">_FV(Table20[[#This Row],[Asset]],"Ticker symbol",TRUE)</f>
        <v>PYPL</v>
      </c>
      <c r="D52" s="26" cm="1">
        <f t="array" aca="1" ref="D52" ca="1">_FV(Table20[[#This Row],[Asset]],"Price")</f>
        <v>45.11</v>
      </c>
      <c r="E52" s="26">
        <v>65</v>
      </c>
      <c r="F52" s="33">
        <v>5</v>
      </c>
      <c r="G52" s="34">
        <v>-1</v>
      </c>
      <c r="H52" s="112" t="s">
        <v>115</v>
      </c>
      <c r="I52" s="31">
        <v>45492</v>
      </c>
      <c r="J52" s="26">
        <v>0.96</v>
      </c>
      <c r="K52" s="24">
        <v>0.65959999999999996</v>
      </c>
      <c r="L52" s="33">
        <f>VLOOKUP(Table20[[#This Row],[Strategy]],Table29[#All],6,FALSE)</f>
        <v>1</v>
      </c>
      <c r="M52" s="23">
        <v>5</v>
      </c>
      <c r="N52" s="23">
        <v>0.76</v>
      </c>
      <c r="O52" s="23"/>
      <c r="P52" s="23"/>
      <c r="Q52">
        <f>Table20[[#This Row],[Exit1]]*Table20[[#This Row],[ex1_price]]</f>
        <v>3.8</v>
      </c>
      <c r="R52">
        <f>Table20[[#This Row],[Exit2]]*Table20[[#This Row],[ex2_price]]</f>
        <v>0</v>
      </c>
      <c r="S52">
        <f>IFERROR((Table20[[#This Row],[ex2_amnt]]+Table20[[#This Row],[ex1_amnt]])/(Table20[[#This Row],[Exit2]]+Table20[[#This Row],[Exit1]]),0)</f>
        <v>0.76</v>
      </c>
      <c r="T52" s="5">
        <f>(Table20[[#This Row],[Exit1]]+Table20[[#This Row],[Exit2]])*(Table20[[#This Row],[avg_exit_price]]-Table20[[#This Row],[AvePrice]])*100*Table20[[#This Row],[Buy or Sell]]</f>
        <v>99.999999999999972</v>
      </c>
      <c r="U52" s="5">
        <f>Table20[[#This Row],[Number of options]]*Table20[[#This Row],[AvePrice]]*100*Table20[[#This Row],[Buy or Sell]]</f>
        <v>-480</v>
      </c>
      <c r="V52" s="8">
        <f>Table20[[#This Row],[Number of options]]-Table20[[#This Row],[Exit1]]-Table20[[#This Row],[Exit2]]</f>
        <v>0</v>
      </c>
      <c r="W52" s="30">
        <f ca="1">(Table20[[#This Row],[Expiration Date]]-TODAY())/365</f>
        <v>-1.6465753424657534</v>
      </c>
      <c r="X52" s="30" t="e">
        <f ca="1">(LN(Table20[[#This Row],[Current Price]]/Table20[[#This Row],[strike_price]]) + ($B$2 + (Table20[[#This Row],[Vol]]^2)/2)*Table20[[#This Row],[Time to expiration]]) / (Table20[[#This Row],[Vol]] * SQRT(Table20[[#This Row],[Time to expiration]]))</f>
        <v>#NUM!</v>
      </c>
      <c r="Y52" s="30" t="e">
        <f ca="1">IF(Table20[[#This Row],[Direction]]&gt;0, _xlfn.NORM.S.DIST(Table20[[#This Row],[d1]], TRUE), _xlfn.NORM.S.DIST(Table20[[#This Row],[d1]], TRUE) - 1) * Table20[[#This Row],[Buy or Sell]]</f>
        <v>#NUM!</v>
      </c>
      <c r="Z52" s="9">
        <f ca="1">Table20[[#This Row],[Remaining]]*Table20[[#This Row],[Current Price]]*100</f>
        <v>0</v>
      </c>
      <c r="AA52" s="22">
        <f ca="1">IFERROR(Table20[[#This Row],[nominal_exposure]]*Table20[[#This Row],[Delta]],0)</f>
        <v>0</v>
      </c>
      <c r="AB52" s="30" t="b">
        <f>IF(Table20[[#This Row],[date_purchased]]&lt;&gt;Table20[[#This Row],[Expiration Date]],FALSE,TRUE)</f>
        <v>0</v>
      </c>
      <c r="AC52" s="30" t="str">
        <f>VLOOKUP(Table20[[#This Row],[Asset]],Table19[#All],3,FALSE)</f>
        <v>Financials</v>
      </c>
      <c r="AD52" s="30">
        <f>IF(Table20[[#This Row],[Remaining]]&lt;&gt;0,Table20[[#This Row],[Invested]]*Table20[[#This Row],[Remaining]]/Table20[[#This Row],[Number of options]],0)</f>
        <v>0</v>
      </c>
      <c r="AE52" s="30">
        <f ca="1">SUMIF(Table20[Ticker],Table20[[#This Row],[Ticker]],Table20[realized_profit])</f>
        <v>208.99999999999997</v>
      </c>
      <c r="AF52" s="30" t="str">
        <f>VLOOKUP(Table20[[#This Row],[Strategy]],Table29[#All],7,FALSE)</f>
        <v>Bullish</v>
      </c>
    </row>
    <row r="53" spans="1:32" hidden="1">
      <c r="A53" s="35">
        <v>45513</v>
      </c>
      <c r="B53" s="21" t="e" vm="148">
        <v>#VALUE!</v>
      </c>
      <c r="C53" s="109" t="str" cm="1">
        <f t="array" aca="1" ref="C53" ca="1">_FV(Table20[[#This Row],[Asset]],"Ticker symbol",TRUE)</f>
        <v>META</v>
      </c>
      <c r="D53" s="26" cm="1">
        <f t="array" aca="1" ref="D53" ca="1">_FV(Table20[[#This Row],[Asset]],"Price")</f>
        <v>599.32000000000005</v>
      </c>
      <c r="E53" s="26">
        <v>600</v>
      </c>
      <c r="F53" s="33">
        <v>2</v>
      </c>
      <c r="G53" s="34">
        <v>1</v>
      </c>
      <c r="H53" s="21" t="s">
        <v>115</v>
      </c>
      <c r="I53" s="31">
        <v>45481</v>
      </c>
      <c r="J53" s="26">
        <v>9.6</v>
      </c>
      <c r="K53" s="24">
        <v>0.47970000000000002</v>
      </c>
      <c r="L53" s="33">
        <f>VLOOKUP(Table20[[#This Row],[Strategy]],Table29[#All],6,FALSE)</f>
        <v>1</v>
      </c>
      <c r="M53" s="23">
        <v>2</v>
      </c>
      <c r="N53" s="23">
        <v>2</v>
      </c>
      <c r="O53" s="23"/>
      <c r="P53" s="23"/>
      <c r="Q53">
        <f>Table20[[#This Row],[Exit1]]*Table20[[#This Row],[ex1_price]]</f>
        <v>4</v>
      </c>
      <c r="R53">
        <f>Table20[[#This Row],[Exit2]]*Table20[[#This Row],[ex2_price]]</f>
        <v>0</v>
      </c>
      <c r="S53">
        <f>IFERROR((Table20[[#This Row],[ex2_amnt]]+Table20[[#This Row],[ex1_amnt]])/(Table20[[#This Row],[Exit2]]+Table20[[#This Row],[Exit1]]),0)</f>
        <v>2</v>
      </c>
      <c r="T53" s="5">
        <f>(Table20[[#This Row],[Exit1]]+Table20[[#This Row],[Exit2]])*(Table20[[#This Row],[avg_exit_price]]-Table20[[#This Row],[AvePrice]])*100*Table20[[#This Row],[Buy or Sell]]</f>
        <v>-1520</v>
      </c>
      <c r="U53" s="5">
        <f>Table20[[#This Row],[Number of options]]*Table20[[#This Row],[AvePrice]]*100*Table20[[#This Row],[Buy or Sell]]</f>
        <v>1920</v>
      </c>
      <c r="V53" s="8">
        <f>Table20[[#This Row],[Number of options]]-Table20[[#This Row],[Exit1]]-Table20[[#This Row],[Exit2]]</f>
        <v>0</v>
      </c>
      <c r="W53" s="30">
        <f ca="1">(Table20[[#This Row],[Expiration Date]]-TODAY())/365</f>
        <v>-1.6273972602739726</v>
      </c>
      <c r="X53" s="30" t="e">
        <f ca="1">(LN(Table20[[#This Row],[Current Price]]/Table20[[#This Row],[strike_price]]) + ($B$2 + (Table20[[#This Row],[Vol]]^2)/2)*Table20[[#This Row],[Time to expiration]]) / (Table20[[#This Row],[Vol]] * SQRT(Table20[[#This Row],[Time to expiration]]))</f>
        <v>#NUM!</v>
      </c>
      <c r="Y53" s="30" t="e">
        <f ca="1">IF(Table20[[#This Row],[Direction]]&gt;0, _xlfn.NORM.S.DIST(Table20[[#This Row],[d1]], TRUE), _xlfn.NORM.S.DIST(Table20[[#This Row],[d1]], TRUE) - 1) * Table20[[#This Row],[Buy or Sell]]</f>
        <v>#NUM!</v>
      </c>
      <c r="Z53" s="9">
        <f ca="1">Table20[[#This Row],[Remaining]]*Table20[[#This Row],[Current Price]]*100</f>
        <v>0</v>
      </c>
      <c r="AA53" s="22">
        <f ca="1">IFERROR(Table20[[#This Row],[nominal_exposure]]*Table20[[#This Row],[Delta]],0)</f>
        <v>0</v>
      </c>
      <c r="AB53" s="95" t="b">
        <f>IF(Table20[[#This Row],[date_purchased]]&lt;&gt;Table20[[#This Row],[Expiration Date]],FALSE,TRUE)</f>
        <v>0</v>
      </c>
      <c r="AC53" s="30" t="str">
        <f>VLOOKUP(Table20[[#This Row],[Asset]],Table19[#All],3,FALSE)</f>
        <v>AI</v>
      </c>
      <c r="AD53" s="30">
        <f>IF(Table20[[#This Row],[Remaining]]&lt;&gt;0,Table20[[#This Row],[Invested]]*Table20[[#This Row],[Remaining]]/Table20[[#This Row],[Number of options]],0)</f>
        <v>0</v>
      </c>
      <c r="AE53" s="30">
        <f ca="1">SUMIF(Table20[Ticker],Table20[[#This Row],[Ticker]],Table20[realized_profit])</f>
        <v>2450</v>
      </c>
      <c r="AF53" s="30" t="str">
        <f>VLOOKUP(Table20[[#This Row],[Strategy]],Table29[#All],7,FALSE)</f>
        <v>Bullish</v>
      </c>
    </row>
    <row r="54" spans="1:32" hidden="1">
      <c r="A54" s="180">
        <v>45657</v>
      </c>
      <c r="B54" s="21" t="e" vm="96">
        <v>#VALUE!</v>
      </c>
      <c r="C54" s="109" t="str" cm="1">
        <f t="array" aca="1" ref="C54" ca="1">_FV(Table20[[#This Row],[Asset]],"Ticker symbol",TRUE)</f>
        <v>SPY</v>
      </c>
      <c r="D54" s="26" cm="1">
        <f t="array" aca="1" ref="D54" ca="1">_FV(Table20[[#This Row],[Asset]],"Price")</f>
        <v>658.59</v>
      </c>
      <c r="E54" s="26">
        <v>530</v>
      </c>
      <c r="F54" s="33">
        <v>2</v>
      </c>
      <c r="G54" s="34">
        <v>1</v>
      </c>
      <c r="H54" s="34" t="s">
        <v>112</v>
      </c>
      <c r="I54" s="31">
        <v>45558</v>
      </c>
      <c r="J54" s="26">
        <v>6.17</v>
      </c>
      <c r="K54" s="24">
        <v>0.19320000000000001</v>
      </c>
      <c r="L54" s="33">
        <f>VLOOKUP(Table20[[#This Row],[Strategy]],Table29[#All],6,FALSE)</f>
        <v>-1</v>
      </c>
      <c r="M54" s="23">
        <v>2</v>
      </c>
      <c r="N54" s="23">
        <v>1.97</v>
      </c>
      <c r="O54" s="23"/>
      <c r="P54" s="23"/>
      <c r="Q54">
        <f>Table20[[#This Row],[Exit1]]*Table20[[#This Row],[ex1_price]]</f>
        <v>3.94</v>
      </c>
      <c r="R54">
        <f>Table20[[#This Row],[Exit2]]*Table20[[#This Row],[ex2_price]]</f>
        <v>0</v>
      </c>
      <c r="S54">
        <f>IFERROR((Table20[[#This Row],[ex2_amnt]]+Table20[[#This Row],[ex1_amnt]])/(Table20[[#This Row],[Exit2]]+Table20[[#This Row],[Exit1]]),0)</f>
        <v>1.97</v>
      </c>
      <c r="T54" s="5">
        <f>(Table20[[#This Row],[Exit1]]+Table20[[#This Row],[Exit2]])*(Table20[[#This Row],[avg_exit_price]]-Table20[[#This Row],[AvePrice]])*100*Table20[[#This Row],[Buy or Sell]]</f>
        <v>-840</v>
      </c>
      <c r="U54" s="5">
        <f>Table20[[#This Row],[Number of options]]*Table20[[#This Row],[AvePrice]]*100*Table20[[#This Row],[Buy or Sell]]</f>
        <v>1234</v>
      </c>
      <c r="V54" s="8">
        <f>Table20[[#This Row],[Number of options]]-Table20[[#This Row],[Exit1]]-Table20[[#This Row],[Exit2]]</f>
        <v>0</v>
      </c>
      <c r="W54" s="30">
        <f ca="1">(Table20[[#This Row],[Expiration Date]]-TODAY())/365</f>
        <v>-1.2328767123287672</v>
      </c>
      <c r="X54" s="30" t="e">
        <f ca="1">(LN(Table20[[#This Row],[Current Price]]/Table20[[#This Row],[strike_price]]) + ($B$2 + (Table20[[#This Row],[Vol]]^2)/2)*Table20[[#This Row],[Time to expiration]]) / (Table20[[#This Row],[Vol]] * SQRT(Table20[[#This Row],[Time to expiration]]))</f>
        <v>#NUM!</v>
      </c>
      <c r="Y54" s="30" t="e">
        <f ca="1">IF(Table20[[#This Row],[Direction]]&gt;0, _xlfn.NORM.S.DIST(Table20[[#This Row],[d1]], TRUE), _xlfn.NORM.S.DIST(Table20[[#This Row],[d1]], TRUE) - 1) * Table20[[#This Row],[Buy or Sell]]</f>
        <v>#NUM!</v>
      </c>
      <c r="Z54" s="9">
        <f ca="1">Table20[[#This Row],[Remaining]]*Table20[[#This Row],[Current Price]]*100</f>
        <v>0</v>
      </c>
      <c r="AA54" s="22">
        <f ca="1">IFERROR(Table20[[#This Row],[nominal_exposure]]*Table20[[#This Row],[Delta]],0)</f>
        <v>0</v>
      </c>
      <c r="AB54" s="30" t="b">
        <f>IF(Table20[[#This Row],[date_purchased]]&lt;&gt;Table20[[#This Row],[Expiration Date]],FALSE,TRUE)</f>
        <v>0</v>
      </c>
      <c r="AC54" s="30" t="str">
        <f>VLOOKUP(Table20[[#This Row],[Asset]],Table19[#All],3,FALSE)</f>
        <v>Market</v>
      </c>
      <c r="AD54" s="30">
        <f>IF(Table20[[#This Row],[Remaining]]&lt;&gt;0,Table20[[#This Row],[Invested]]*Table20[[#This Row],[Remaining]]/Table20[[#This Row],[Number of options]],0)</f>
        <v>0</v>
      </c>
      <c r="AE54" s="30">
        <f ca="1">SUMIF(Table20[Ticker],Table20[[#This Row],[Ticker]],Table20[realized_profit])</f>
        <v>-5077</v>
      </c>
      <c r="AF54" s="30" t="str">
        <f>VLOOKUP(Table20[[#This Row],[Strategy]],Table29[#All],7,FALSE)</f>
        <v>Bearish</v>
      </c>
    </row>
    <row r="55" spans="1:32" hidden="1">
      <c r="A55" s="35">
        <v>45499</v>
      </c>
      <c r="B55" s="21" t="e" vm="63">
        <v>#VALUE!</v>
      </c>
      <c r="C55" s="109" t="str" cm="1">
        <f t="array" aca="1" ref="C55" ca="1">_FV(Table20[[#This Row],[Asset]],"Ticker symbol",TRUE)</f>
        <v>TSLA</v>
      </c>
      <c r="D55" s="26" cm="1">
        <f t="array" aca="1" ref="D55" ca="1">_FV(Table20[[#This Row],[Asset]],"Price")</f>
        <v>394.5401</v>
      </c>
      <c r="E55" s="26">
        <v>250</v>
      </c>
      <c r="F55" s="33">
        <v>1</v>
      </c>
      <c r="G55" s="34">
        <v>-1</v>
      </c>
      <c r="H55" s="111" t="s">
        <v>115</v>
      </c>
      <c r="I55" s="31">
        <v>45489</v>
      </c>
      <c r="J55" s="26">
        <v>16.8</v>
      </c>
      <c r="K55" s="24">
        <v>0.87639999999999996</v>
      </c>
      <c r="L55" s="33">
        <f>VLOOKUP(Table20[[#This Row],[Strategy]],Table29[#All],6,FALSE)</f>
        <v>1</v>
      </c>
      <c r="M55" s="23">
        <v>1</v>
      </c>
      <c r="N55" s="23">
        <v>0.1</v>
      </c>
      <c r="O55" s="23"/>
      <c r="P55" s="23"/>
      <c r="Q55">
        <f>Table20[[#This Row],[Exit1]]*Table20[[#This Row],[ex1_price]]</f>
        <v>0.1</v>
      </c>
      <c r="R55">
        <f>Table20[[#This Row],[Exit2]]*Table20[[#This Row],[ex2_price]]</f>
        <v>0</v>
      </c>
      <c r="S55">
        <f>IFERROR((Table20[[#This Row],[ex2_amnt]]+Table20[[#This Row],[ex1_amnt]])/(Table20[[#This Row],[Exit2]]+Table20[[#This Row],[Exit1]]),0)</f>
        <v>0.1</v>
      </c>
      <c r="T55" s="5">
        <f>(Table20[[#This Row],[Exit1]]+Table20[[#This Row],[Exit2]])*(Table20[[#This Row],[avg_exit_price]]-Table20[[#This Row],[AvePrice]])*100*Table20[[#This Row],[Buy or Sell]]</f>
        <v>1670</v>
      </c>
      <c r="U55" s="5">
        <f>Table20[[#This Row],[Number of options]]*Table20[[#This Row],[AvePrice]]*100*Table20[[#This Row],[Buy or Sell]]</f>
        <v>-1680</v>
      </c>
      <c r="V55" s="8">
        <f>Table20[[#This Row],[Number of options]]-Table20[[#This Row],[Exit1]]-Table20[[#This Row],[Exit2]]</f>
        <v>0</v>
      </c>
      <c r="W55" s="30">
        <f ca="1">(Table20[[#This Row],[Expiration Date]]-TODAY())/365</f>
        <v>-1.6657534246575343</v>
      </c>
      <c r="X55" s="30" t="e">
        <f ca="1">(LN(Table20[[#This Row],[Current Price]]/Table20[[#This Row],[strike_price]]) + ($B$2 + (Table20[[#This Row],[Vol]]^2)/2)*Table20[[#This Row],[Time to expiration]]) / (Table20[[#This Row],[Vol]] * SQRT(Table20[[#This Row],[Time to expiration]]))</f>
        <v>#NUM!</v>
      </c>
      <c r="Y55" s="30" t="e">
        <f ca="1">IF(Table20[[#This Row],[Direction]]&gt;0, _xlfn.NORM.S.DIST(Table20[[#This Row],[d1]], TRUE), _xlfn.NORM.S.DIST(Table20[[#This Row],[d1]], TRUE) - 1) * Table20[[#This Row],[Buy or Sell]]</f>
        <v>#NUM!</v>
      </c>
      <c r="Z55" s="9">
        <f ca="1">Table20[[#This Row],[Remaining]]*Table20[[#This Row],[Current Price]]*100</f>
        <v>0</v>
      </c>
      <c r="AA55" s="22">
        <f ca="1">IFERROR(Table20[[#This Row],[nominal_exposure]]*Table20[[#This Row],[Delta]],0)</f>
        <v>0</v>
      </c>
      <c r="AB55" s="99" t="b">
        <f>IF(Table20[[#This Row],[date_purchased]]&lt;&gt;Table20[[#This Row],[Expiration Date]],FALSE,TRUE)</f>
        <v>0</v>
      </c>
      <c r="AC55" s="30" t="str">
        <f>VLOOKUP(Table20[[#This Row],[Asset]],Table19[#All],3,FALSE)</f>
        <v>Auto</v>
      </c>
      <c r="AD55" s="30">
        <f>IF(Table20[[#This Row],[Remaining]]&lt;&gt;0,Table20[[#This Row],[Invested]]*Table20[[#This Row],[Remaining]]/Table20[[#This Row],[Number of options]],0)</f>
        <v>0</v>
      </c>
      <c r="AE55" s="30">
        <f ca="1">SUMIF(Table20[Ticker],Table20[[#This Row],[Ticker]],Table20[realized_profit])</f>
        <v>4153</v>
      </c>
      <c r="AF55" s="30" t="str">
        <f>VLOOKUP(Table20[[#This Row],[Strategy]],Table29[#All],7,FALSE)</f>
        <v>Bullish</v>
      </c>
    </row>
    <row r="56" spans="1:32" hidden="1">
      <c r="A56" s="35">
        <v>45555</v>
      </c>
      <c r="B56" s="21" t="e" vm="21">
        <v>#VALUE!</v>
      </c>
      <c r="C56" s="109" t="str" cm="1">
        <f t="array" aca="1" ref="C56" ca="1">_FV(Table20[[#This Row],[Asset]],"Ticker symbol",TRUE)</f>
        <v>INTC</v>
      </c>
      <c r="D56" s="26" cm="1">
        <f t="array" aca="1" ref="D56" ca="1">_FV(Table20[[#This Row],[Asset]],"Price")</f>
        <v>47.290100000000002</v>
      </c>
      <c r="E56" s="26">
        <v>32</v>
      </c>
      <c r="F56" s="33">
        <v>2</v>
      </c>
      <c r="G56" s="34">
        <v>1</v>
      </c>
      <c r="H56" s="21" t="s">
        <v>113</v>
      </c>
      <c r="I56" s="31">
        <v>45478</v>
      </c>
      <c r="J56" s="26">
        <v>2.0499999999999998</v>
      </c>
      <c r="K56" s="24">
        <v>0.37169999999999997</v>
      </c>
      <c r="L56" s="33">
        <f>VLOOKUP(Table20[[#This Row],[Strategy]],Table29[#All],6,FALSE)</f>
        <v>1</v>
      </c>
      <c r="M56" s="23">
        <v>2</v>
      </c>
      <c r="N56" s="23">
        <v>4.0999999999999996</v>
      </c>
      <c r="O56" s="23"/>
      <c r="P56" s="23"/>
      <c r="Q56">
        <f>Table20[[#This Row],[Exit1]]*Table20[[#This Row],[ex1_price]]</f>
        <v>8.1999999999999993</v>
      </c>
      <c r="R56">
        <f>Table20[[#This Row],[Exit2]]*Table20[[#This Row],[ex2_price]]</f>
        <v>0</v>
      </c>
      <c r="S56">
        <f>IFERROR((Table20[[#This Row],[ex2_amnt]]+Table20[[#This Row],[ex1_amnt]])/(Table20[[#This Row],[Exit2]]+Table20[[#This Row],[Exit1]]),0)</f>
        <v>4.0999999999999996</v>
      </c>
      <c r="T56" s="5">
        <f>(Table20[[#This Row],[Exit1]]+Table20[[#This Row],[Exit2]])*(Table20[[#This Row],[avg_exit_price]]-Table20[[#This Row],[AvePrice]])*100*Table20[[#This Row],[Buy or Sell]]</f>
        <v>409.99999999999994</v>
      </c>
      <c r="U56" s="5">
        <f>Table20[[#This Row],[Number of options]]*Table20[[#This Row],[AvePrice]]*100*Table20[[#This Row],[Buy or Sell]]</f>
        <v>409.99999999999994</v>
      </c>
      <c r="V56" s="8">
        <f>Table20[[#This Row],[Number of options]]-Table20[[#This Row],[Exit1]]-Table20[[#This Row],[Exit2]]</f>
        <v>0</v>
      </c>
      <c r="W56" s="30">
        <f ca="1">(Table20[[#This Row],[Expiration Date]]-TODAY())/365</f>
        <v>-1.5123287671232877</v>
      </c>
      <c r="X56" s="30" t="e">
        <f ca="1">(LN(Table20[[#This Row],[Current Price]]/Table20[[#This Row],[strike_price]]) + ($B$2 + (Table20[[#This Row],[Vol]]^2)/2)*Table20[[#This Row],[Time to expiration]]) / (Table20[[#This Row],[Vol]] * SQRT(Table20[[#This Row],[Time to expiration]]))</f>
        <v>#NUM!</v>
      </c>
      <c r="Y56" s="30" t="e">
        <f ca="1">IF(Table20[[#This Row],[Direction]]&gt;0, _xlfn.NORM.S.DIST(Table20[[#This Row],[d1]], TRUE), _xlfn.NORM.S.DIST(Table20[[#This Row],[d1]], TRUE) - 1) * Table20[[#This Row],[Buy or Sell]]</f>
        <v>#NUM!</v>
      </c>
      <c r="Z56" s="9">
        <f ca="1">Table20[[#This Row],[Remaining]]*Table20[[#This Row],[Current Price]]*100</f>
        <v>0</v>
      </c>
      <c r="AA56" s="22">
        <f ca="1">IFERROR(Table20[[#This Row],[nominal_exposure]]*Table20[[#This Row],[Delta]],0)</f>
        <v>0</v>
      </c>
      <c r="AB56" s="95" t="b">
        <f>IF(Table20[[#This Row],[date_purchased]]&lt;&gt;Table20[[#This Row],[Expiration Date]],FALSE,TRUE)</f>
        <v>0</v>
      </c>
      <c r="AC56" s="30" t="str">
        <f>VLOOKUP(Table20[[#This Row],[Asset]],Table19[#All],3,FALSE)</f>
        <v>AI</v>
      </c>
      <c r="AD56" s="30">
        <f>IF(Table20[[#This Row],[Remaining]]&lt;&gt;0,Table20[[#This Row],[Invested]]*Table20[[#This Row],[Remaining]]/Table20[[#This Row],[Number of options]],0)</f>
        <v>0</v>
      </c>
      <c r="AE56" s="30">
        <f ca="1">SUMIF(Table20[Ticker],Table20[[#This Row],[Ticker]],Table20[realized_profit])</f>
        <v>4779</v>
      </c>
      <c r="AF56" s="30" t="str">
        <f>VLOOKUP(Table20[[#This Row],[Strategy]],Table29[#All],7,FALSE)</f>
        <v>Bullish</v>
      </c>
    </row>
    <row r="57" spans="1:32" hidden="1">
      <c r="A57" s="35">
        <v>45499</v>
      </c>
      <c r="B57" s="21" t="e" vm="105">
        <v>#VALUE!</v>
      </c>
      <c r="C57" s="109" t="str" cm="1">
        <f t="array" aca="1" ref="C57" ca="1">_FV(Table20[[#This Row],[Asset]],"Ticker symbol",TRUE)</f>
        <v>NFLX</v>
      </c>
      <c r="D57" s="26" cm="1">
        <f t="array" aca="1" ref="D57" ca="1">_FV(Table20[[#This Row],[Asset]],"Price")</f>
        <v>92.12</v>
      </c>
      <c r="E57" s="26">
        <v>640</v>
      </c>
      <c r="F57" s="33">
        <v>1</v>
      </c>
      <c r="G57" s="34">
        <v>1</v>
      </c>
      <c r="H57" s="113" t="s">
        <v>65</v>
      </c>
      <c r="I57" s="31">
        <v>45497</v>
      </c>
      <c r="J57" s="26">
        <v>3.44</v>
      </c>
      <c r="K57" s="24">
        <v>0.33129999999999998</v>
      </c>
      <c r="L57" s="33">
        <f>VLOOKUP(Table20[[#This Row],[Strategy]],Table29[#All],6,FALSE)</f>
        <v>-1</v>
      </c>
      <c r="M57" s="23">
        <v>1</v>
      </c>
      <c r="N57" s="23">
        <v>6.75</v>
      </c>
      <c r="O57" s="23"/>
      <c r="P57" s="23"/>
      <c r="Q57">
        <f>Table20[[#This Row],[Exit1]]*Table20[[#This Row],[ex1_price]]</f>
        <v>6.75</v>
      </c>
      <c r="R57">
        <f>Table20[[#This Row],[Exit2]]*Table20[[#This Row],[ex2_price]]</f>
        <v>0</v>
      </c>
      <c r="S57">
        <f>IFERROR((Table20[[#This Row],[ex2_amnt]]+Table20[[#This Row],[ex1_amnt]])/(Table20[[#This Row],[Exit2]]+Table20[[#This Row],[Exit1]]),0)</f>
        <v>6.75</v>
      </c>
      <c r="T57" s="5">
        <f>(Table20[[#This Row],[Exit1]]+Table20[[#This Row],[Exit2]])*(Table20[[#This Row],[avg_exit_price]]-Table20[[#This Row],[AvePrice]])*100*Table20[[#This Row],[Buy or Sell]]</f>
        <v>331</v>
      </c>
      <c r="U57" s="5">
        <f>Table20[[#This Row],[Number of options]]*Table20[[#This Row],[AvePrice]]*100*Table20[[#This Row],[Buy or Sell]]</f>
        <v>344</v>
      </c>
      <c r="V57" s="8">
        <f>Table20[[#This Row],[Number of options]]-Table20[[#This Row],[Exit1]]-Table20[[#This Row],[Exit2]]</f>
        <v>0</v>
      </c>
      <c r="W57" s="30">
        <f ca="1">(Table20[[#This Row],[Expiration Date]]-TODAY())/365</f>
        <v>-1.6657534246575343</v>
      </c>
      <c r="X57" s="30" t="e">
        <f ca="1">(LN(Table20[[#This Row],[Current Price]]/Table20[[#This Row],[strike_price]]) + ($B$2 + (Table20[[#This Row],[Vol]]^2)/2)*Table20[[#This Row],[Time to expiration]]) / (Table20[[#This Row],[Vol]] * SQRT(Table20[[#This Row],[Time to expiration]]))</f>
        <v>#NUM!</v>
      </c>
      <c r="Y57" s="30" t="e">
        <f ca="1">IF(Table20[[#This Row],[Direction]]&gt;0, _xlfn.NORM.S.DIST(Table20[[#This Row],[d1]], TRUE), _xlfn.NORM.S.DIST(Table20[[#This Row],[d1]], TRUE) - 1) * Table20[[#This Row],[Buy or Sell]]</f>
        <v>#NUM!</v>
      </c>
      <c r="Z57" s="9">
        <f ca="1">Table20[[#This Row],[Remaining]]*Table20[[#This Row],[Current Price]]*100</f>
        <v>0</v>
      </c>
      <c r="AA57" s="22">
        <f ca="1">IFERROR(Table20[[#This Row],[nominal_exposure]]*Table20[[#This Row],[Delta]],0)</f>
        <v>0</v>
      </c>
      <c r="AB57" s="30" t="b">
        <f>IF(Table20[[#This Row],[date_purchased]]&lt;&gt;Table20[[#This Row],[Expiration Date]],FALSE,TRUE)</f>
        <v>0</v>
      </c>
      <c r="AC57" s="30" t="str">
        <f>VLOOKUP(Table20[[#This Row],[Asset]],Table19[#All],3,FALSE)</f>
        <v>Consumer Discretionary</v>
      </c>
      <c r="AD57" s="30">
        <f>IF(Table20[[#This Row],[Remaining]]&lt;&gt;0,Table20[[#This Row],[Invested]]*Table20[[#This Row],[Remaining]]/Table20[[#This Row],[Number of options]],0)</f>
        <v>0</v>
      </c>
      <c r="AE57" s="30">
        <f ca="1">SUMIF(Table20[Ticker],Table20[[#This Row],[Ticker]],Table20[realized_profit])</f>
        <v>331</v>
      </c>
      <c r="AF57" s="30" t="str">
        <f>VLOOKUP(Table20[[#This Row],[Strategy]],Table29[#All],7,FALSE)</f>
        <v>Bearish</v>
      </c>
    </row>
    <row r="58" spans="1:32" hidden="1">
      <c r="A58" s="35">
        <v>45506</v>
      </c>
      <c r="B58" s="21" t="e" vm="24">
        <v>#VALUE!</v>
      </c>
      <c r="C58" s="109" t="str" cm="1">
        <f t="array" aca="1" ref="C58" ca="1">_FV(Table20[[#This Row],[Asset]],"Ticker symbol",TRUE)</f>
        <v>QCOM</v>
      </c>
      <c r="D58" s="26" cm="1">
        <f t="array" aca="1" ref="D58" ca="1">_FV(Table20[[#This Row],[Asset]],"Price")</f>
        <v>131.63499999999999</v>
      </c>
      <c r="E58" s="26">
        <v>230</v>
      </c>
      <c r="F58" s="33">
        <v>1</v>
      </c>
      <c r="G58" s="34">
        <v>-1</v>
      </c>
      <c r="H58" s="112" t="s">
        <v>115</v>
      </c>
      <c r="I58" s="31">
        <v>45484</v>
      </c>
      <c r="J58" s="26">
        <v>4.1100000000000003</v>
      </c>
      <c r="K58" s="24">
        <v>0.48139999999999999</v>
      </c>
      <c r="L58" s="33">
        <f>VLOOKUP(Table20[[#This Row],[Strategy]],Table29[#All],6,FALSE)</f>
        <v>1</v>
      </c>
      <c r="M58" s="23">
        <v>1</v>
      </c>
      <c r="N58" s="23">
        <v>0.28999999999999998</v>
      </c>
      <c r="O58" s="23"/>
      <c r="P58" s="23"/>
      <c r="Q58">
        <f>Table20[[#This Row],[Exit1]]*Table20[[#This Row],[ex1_price]]</f>
        <v>0.28999999999999998</v>
      </c>
      <c r="R58">
        <f>Table20[[#This Row],[Exit2]]*Table20[[#This Row],[ex2_price]]</f>
        <v>0</v>
      </c>
      <c r="S58">
        <f>IFERROR((Table20[[#This Row],[ex2_amnt]]+Table20[[#This Row],[ex1_amnt]])/(Table20[[#This Row],[Exit2]]+Table20[[#This Row],[Exit1]]),0)</f>
        <v>0.28999999999999998</v>
      </c>
      <c r="T58" s="5">
        <f>(Table20[[#This Row],[Exit1]]+Table20[[#This Row],[Exit2]])*(Table20[[#This Row],[avg_exit_price]]-Table20[[#This Row],[AvePrice]])*100*Table20[[#This Row],[Buy or Sell]]</f>
        <v>382</v>
      </c>
      <c r="U58" s="5">
        <f>Table20[[#This Row],[Number of options]]*Table20[[#This Row],[AvePrice]]*100*Table20[[#This Row],[Buy or Sell]]</f>
        <v>-411.00000000000006</v>
      </c>
      <c r="V58" s="8">
        <f>Table20[[#This Row],[Number of options]]-Table20[[#This Row],[Exit1]]-Table20[[#This Row],[Exit2]]</f>
        <v>0</v>
      </c>
      <c r="W58" s="30">
        <f ca="1">(Table20[[#This Row],[Expiration Date]]-TODAY())/365</f>
        <v>-1.6465753424657534</v>
      </c>
      <c r="X58" s="30" t="e">
        <f ca="1">(LN(Table20[[#This Row],[Current Price]]/Table20[[#This Row],[strike_price]]) + ($B$2 + (Table20[[#This Row],[Vol]]^2)/2)*Table20[[#This Row],[Time to expiration]]) / (Table20[[#This Row],[Vol]] * SQRT(Table20[[#This Row],[Time to expiration]]))</f>
        <v>#NUM!</v>
      </c>
      <c r="Y58" s="30" t="e">
        <f ca="1">IF(Table20[[#This Row],[Direction]]&gt;0, _xlfn.NORM.S.DIST(Table20[[#This Row],[d1]], TRUE), _xlfn.NORM.S.DIST(Table20[[#This Row],[d1]], TRUE) - 1) * Table20[[#This Row],[Buy or Sell]]</f>
        <v>#NUM!</v>
      </c>
      <c r="Z58" s="9">
        <f ca="1">Table20[[#This Row],[Remaining]]*Table20[[#This Row],[Current Price]]*100</f>
        <v>0</v>
      </c>
      <c r="AA58" s="22">
        <f ca="1">IFERROR(Table20[[#This Row],[nominal_exposure]]*Table20[[#This Row],[Delta]],0)</f>
        <v>0</v>
      </c>
      <c r="AB58" s="99" t="b">
        <f>IF(Table20[[#This Row],[date_purchased]]&lt;&gt;Table20[[#This Row],[Expiration Date]],FALSE,TRUE)</f>
        <v>0</v>
      </c>
      <c r="AC58" s="30" t="str">
        <f>VLOOKUP(Table20[[#This Row],[Asset]],Table19[#All],3,FALSE)</f>
        <v>AI</v>
      </c>
      <c r="AD58" s="30">
        <f>IF(Table20[[#This Row],[Remaining]]&lt;&gt;0,Table20[[#This Row],[Invested]]*Table20[[#This Row],[Remaining]]/Table20[[#This Row],[Number of options]],0)</f>
        <v>0</v>
      </c>
      <c r="AE58" s="30">
        <f ca="1">SUMIF(Table20[Ticker],Table20[[#This Row],[Ticker]],Table20[realized_profit])</f>
        <v>-2175.9999999999995</v>
      </c>
      <c r="AF58" s="30" t="str">
        <f>VLOOKUP(Table20[[#This Row],[Strategy]],Table29[#All],7,FALSE)</f>
        <v>Bullish</v>
      </c>
    </row>
    <row r="59" spans="1:32" hidden="1">
      <c r="A59" s="35">
        <v>45506</v>
      </c>
      <c r="B59" s="21" t="e" vm="21">
        <v>#VALUE!</v>
      </c>
      <c r="C59" s="109" t="str" cm="1">
        <f t="array" aca="1" ref="C59" ca="1">_FV(Table20[[#This Row],[Asset]],"Ticker symbol",TRUE)</f>
        <v>INTC</v>
      </c>
      <c r="D59" s="26" cm="1">
        <f t="array" aca="1" ref="D59" ca="1">_FV(Table20[[#This Row],[Asset]],"Price")</f>
        <v>47.290100000000002</v>
      </c>
      <c r="E59" s="26">
        <v>40</v>
      </c>
      <c r="F59" s="33">
        <v>7</v>
      </c>
      <c r="G59" s="34">
        <v>-1</v>
      </c>
      <c r="H59" s="111" t="s">
        <v>115</v>
      </c>
      <c r="I59" s="31">
        <v>45484</v>
      </c>
      <c r="J59" s="26">
        <v>0.43</v>
      </c>
      <c r="K59" s="24">
        <v>0.55400000000000005</v>
      </c>
      <c r="L59" s="33">
        <f>VLOOKUP(Table20[[#This Row],[Strategy]],Table29[#All],6,FALSE)</f>
        <v>1</v>
      </c>
      <c r="M59" s="23">
        <v>7</v>
      </c>
      <c r="N59" s="23">
        <v>7.0000000000000007E-2</v>
      </c>
      <c r="O59" s="23"/>
      <c r="P59" s="23"/>
      <c r="Q59">
        <f>Table20[[#This Row],[Exit1]]*Table20[[#This Row],[ex1_price]]</f>
        <v>0.49000000000000005</v>
      </c>
      <c r="R59">
        <f>Table20[[#This Row],[Exit2]]*Table20[[#This Row],[ex2_price]]</f>
        <v>0</v>
      </c>
      <c r="S59">
        <f>IFERROR((Table20[[#This Row],[ex2_amnt]]+Table20[[#This Row],[ex1_amnt]])/(Table20[[#This Row],[Exit2]]+Table20[[#This Row],[Exit1]]),0)</f>
        <v>7.0000000000000007E-2</v>
      </c>
      <c r="T59" s="5">
        <f>(Table20[[#This Row],[Exit1]]+Table20[[#This Row],[Exit2]])*(Table20[[#This Row],[avg_exit_price]]-Table20[[#This Row],[AvePrice]])*100*Table20[[#This Row],[Buy or Sell]]</f>
        <v>252</v>
      </c>
      <c r="U59" s="5">
        <f>Table20[[#This Row],[Number of options]]*Table20[[#This Row],[AvePrice]]*100*Table20[[#This Row],[Buy or Sell]]</f>
        <v>-301</v>
      </c>
      <c r="V59" s="8">
        <f>Table20[[#This Row],[Number of options]]-Table20[[#This Row],[Exit1]]-Table20[[#This Row],[Exit2]]</f>
        <v>0</v>
      </c>
      <c r="W59" s="30">
        <f ca="1">(Table20[[#This Row],[Expiration Date]]-TODAY())/365</f>
        <v>-1.6465753424657534</v>
      </c>
      <c r="X59" s="30" t="e">
        <f ca="1">(LN(Table20[[#This Row],[Current Price]]/Table20[[#This Row],[strike_price]]) + ($B$2 + (Table20[[#This Row],[Vol]]^2)/2)*Table20[[#This Row],[Time to expiration]]) / (Table20[[#This Row],[Vol]] * SQRT(Table20[[#This Row],[Time to expiration]]))</f>
        <v>#NUM!</v>
      </c>
      <c r="Y59" s="30" t="e">
        <f ca="1">IF(Table20[[#This Row],[Direction]]&gt;0, _xlfn.NORM.S.DIST(Table20[[#This Row],[d1]], TRUE), _xlfn.NORM.S.DIST(Table20[[#This Row],[d1]], TRUE) - 1) * Table20[[#This Row],[Buy or Sell]]</f>
        <v>#NUM!</v>
      </c>
      <c r="Z59" s="9">
        <f ca="1">Table20[[#This Row],[Remaining]]*Table20[[#This Row],[Current Price]]*100</f>
        <v>0</v>
      </c>
      <c r="AA59" s="22">
        <f ca="1">IFERROR(Table20[[#This Row],[nominal_exposure]]*Table20[[#This Row],[Delta]],0)</f>
        <v>0</v>
      </c>
      <c r="AB59" s="99" t="b">
        <f>IF(Table20[[#This Row],[date_purchased]]&lt;&gt;Table20[[#This Row],[Expiration Date]],FALSE,TRUE)</f>
        <v>0</v>
      </c>
      <c r="AC59" s="30" t="str">
        <f>VLOOKUP(Table20[[#This Row],[Asset]],Table19[#All],3,FALSE)</f>
        <v>AI</v>
      </c>
      <c r="AD59" s="30">
        <f>IF(Table20[[#This Row],[Remaining]]&lt;&gt;0,Table20[[#This Row],[Invested]]*Table20[[#This Row],[Remaining]]/Table20[[#This Row],[Number of options]],0)</f>
        <v>0</v>
      </c>
      <c r="AE59" s="30">
        <f ca="1">SUMIF(Table20[Ticker],Table20[[#This Row],[Ticker]],Table20[realized_profit])</f>
        <v>4779</v>
      </c>
      <c r="AF59" s="30" t="str">
        <f>VLOOKUP(Table20[[#This Row],[Strategy]],Table29[#All],7,FALSE)</f>
        <v>Bullish</v>
      </c>
    </row>
    <row r="60" spans="1:32" hidden="1">
      <c r="A60" s="35">
        <v>45506</v>
      </c>
      <c r="B60" s="21" t="e" vm="243">
        <v>#VALUE!</v>
      </c>
      <c r="C60" s="109" t="str" cm="1">
        <f t="array" aca="1" ref="C60" ca="1">_FV(Table20[[#This Row],[Asset]],"Ticker symbol",TRUE)</f>
        <v>CRWD</v>
      </c>
      <c r="D60" s="26" cm="1">
        <f t="array" aca="1" ref="D60" ca="1">_FV(Table20[[#This Row],[Asset]],"Price")</f>
        <v>397.29500000000002</v>
      </c>
      <c r="E60" s="26">
        <v>300</v>
      </c>
      <c r="F60" s="33">
        <v>1</v>
      </c>
      <c r="G60" s="34">
        <v>1</v>
      </c>
      <c r="H60" s="111" t="s">
        <v>113</v>
      </c>
      <c r="I60" s="31">
        <v>45495</v>
      </c>
      <c r="J60" s="26">
        <v>3.45</v>
      </c>
      <c r="K60" s="24">
        <v>0.76910000000000001</v>
      </c>
      <c r="L60" s="33">
        <f>VLOOKUP(Table20[[#This Row],[Strategy]],Table29[#All],6,FALSE)</f>
        <v>1</v>
      </c>
      <c r="M60" s="23">
        <v>1</v>
      </c>
      <c r="N60" s="23">
        <v>2.02</v>
      </c>
      <c r="O60" s="23"/>
      <c r="P60" s="23"/>
      <c r="Q60">
        <f>Table20[[#This Row],[Exit1]]*Table20[[#This Row],[ex1_price]]</f>
        <v>2.02</v>
      </c>
      <c r="R60">
        <f>Table20[[#This Row],[Exit2]]*Table20[[#This Row],[ex2_price]]</f>
        <v>0</v>
      </c>
      <c r="S60">
        <f>IFERROR((Table20[[#This Row],[ex2_amnt]]+Table20[[#This Row],[ex1_amnt]])/(Table20[[#This Row],[Exit2]]+Table20[[#This Row],[Exit1]]),0)</f>
        <v>2.02</v>
      </c>
      <c r="T60" s="5">
        <f>(Table20[[#This Row],[Exit1]]+Table20[[#This Row],[Exit2]])*(Table20[[#This Row],[avg_exit_price]]-Table20[[#This Row],[AvePrice]])*100*Table20[[#This Row],[Buy or Sell]]</f>
        <v>-143.00000000000003</v>
      </c>
      <c r="U60" s="5">
        <f>Table20[[#This Row],[Number of options]]*Table20[[#This Row],[AvePrice]]*100*Table20[[#This Row],[Buy or Sell]]</f>
        <v>345</v>
      </c>
      <c r="V60" s="8">
        <f>Table20[[#This Row],[Number of options]]-Table20[[#This Row],[Exit1]]-Table20[[#This Row],[Exit2]]</f>
        <v>0</v>
      </c>
      <c r="W60" s="30">
        <f ca="1">(Table20[[#This Row],[Expiration Date]]-TODAY())/365</f>
        <v>-1.6465753424657534</v>
      </c>
      <c r="X60" s="30" t="e">
        <f ca="1">(LN(Table20[[#This Row],[Current Price]]/Table20[[#This Row],[strike_price]]) + ($B$2 + (Table20[[#This Row],[Vol]]^2)/2)*Table20[[#This Row],[Time to expiration]]) / (Table20[[#This Row],[Vol]] * SQRT(Table20[[#This Row],[Time to expiration]]))</f>
        <v>#NUM!</v>
      </c>
      <c r="Y60" s="30" t="e">
        <f ca="1">IF(Table20[[#This Row],[Direction]]&gt;0, _xlfn.NORM.S.DIST(Table20[[#This Row],[d1]], TRUE), _xlfn.NORM.S.DIST(Table20[[#This Row],[d1]], TRUE) - 1) * Table20[[#This Row],[Buy or Sell]]</f>
        <v>#NUM!</v>
      </c>
      <c r="Z60" s="9">
        <f ca="1">Table20[[#This Row],[Remaining]]*Table20[[#This Row],[Current Price]]*100</f>
        <v>0</v>
      </c>
      <c r="AA60" s="22">
        <f ca="1">IFERROR(Table20[[#This Row],[nominal_exposure]]*Table20[[#This Row],[Delta]],0)</f>
        <v>0</v>
      </c>
      <c r="AB60" s="99" t="b">
        <f>IF(Table20[[#This Row],[date_purchased]]&lt;&gt;Table20[[#This Row],[Expiration Date]],FALSE,TRUE)</f>
        <v>0</v>
      </c>
      <c r="AC60" s="30" t="str">
        <f>VLOOKUP(Table20[[#This Row],[Asset]],Table19[#All],3,FALSE)</f>
        <v>CyberSecurity</v>
      </c>
      <c r="AD60" s="30">
        <f>IF(Table20[[#This Row],[Remaining]]&lt;&gt;0,Table20[[#This Row],[Invested]]*Table20[[#This Row],[Remaining]]/Table20[[#This Row],[Number of options]],0)</f>
        <v>0</v>
      </c>
      <c r="AE60" s="30">
        <f ca="1">SUMIF(Table20[Ticker],Table20[[#This Row],[Ticker]],Table20[realized_profit])</f>
        <v>-143.00000000000003</v>
      </c>
      <c r="AF60" s="30" t="str">
        <f>VLOOKUP(Table20[[#This Row],[Strategy]],Table29[#All],7,FALSE)</f>
        <v>Bullish</v>
      </c>
    </row>
    <row r="61" spans="1:32" hidden="1">
      <c r="A61" s="35">
        <v>45506</v>
      </c>
      <c r="B61" s="21" t="e" vm="63">
        <v>#VALUE!</v>
      </c>
      <c r="C61" s="109" t="str" cm="1">
        <f t="array" aca="1" ref="C61" ca="1">_FV(Table20[[#This Row],[Asset]],"Ticker symbol",TRUE)</f>
        <v>TSLA</v>
      </c>
      <c r="D61" s="26" cm="1">
        <f t="array" aca="1" ref="D61" ca="1">_FV(Table20[[#This Row],[Asset]],"Price")</f>
        <v>394.5401</v>
      </c>
      <c r="E61" s="26">
        <v>250</v>
      </c>
      <c r="F61" s="33">
        <v>1</v>
      </c>
      <c r="G61" s="34">
        <v>1</v>
      </c>
      <c r="H61" s="111" t="s">
        <v>115</v>
      </c>
      <c r="I61" s="31">
        <v>45489</v>
      </c>
      <c r="J61" s="26">
        <v>18.350000000000001</v>
      </c>
      <c r="K61" s="24">
        <v>0.74950000000000006</v>
      </c>
      <c r="L61" s="33">
        <f>VLOOKUP(Table20[[#This Row],[Strategy]],Table29[#All],6,FALSE)</f>
        <v>1</v>
      </c>
      <c r="M61" s="23">
        <v>1</v>
      </c>
      <c r="N61" s="23">
        <v>0.8</v>
      </c>
      <c r="O61" s="23"/>
      <c r="P61" s="23"/>
      <c r="Q61">
        <f>Table20[[#This Row],[Exit1]]*Table20[[#This Row],[ex1_price]]</f>
        <v>0.8</v>
      </c>
      <c r="R61">
        <f>Table20[[#This Row],[Exit2]]*Table20[[#This Row],[ex2_price]]</f>
        <v>0</v>
      </c>
      <c r="S61">
        <f>IFERROR((Table20[[#This Row],[ex2_amnt]]+Table20[[#This Row],[ex1_amnt]])/(Table20[[#This Row],[Exit2]]+Table20[[#This Row],[Exit1]]),0)</f>
        <v>0.8</v>
      </c>
      <c r="T61" s="5">
        <f>(Table20[[#This Row],[Exit1]]+Table20[[#This Row],[Exit2]])*(Table20[[#This Row],[avg_exit_price]]-Table20[[#This Row],[AvePrice]])*100*Table20[[#This Row],[Buy or Sell]]</f>
        <v>-1755</v>
      </c>
      <c r="U61" s="5">
        <f>Table20[[#This Row],[Number of options]]*Table20[[#This Row],[AvePrice]]*100*Table20[[#This Row],[Buy or Sell]]</f>
        <v>1835.0000000000002</v>
      </c>
      <c r="V61" s="8">
        <f>Table20[[#This Row],[Number of options]]-Table20[[#This Row],[Exit1]]-Table20[[#This Row],[Exit2]]</f>
        <v>0</v>
      </c>
      <c r="W61" s="30">
        <f ca="1">(Table20[[#This Row],[Expiration Date]]-TODAY())/365</f>
        <v>-1.6465753424657534</v>
      </c>
      <c r="X61" s="30" t="e">
        <f ca="1">(LN(Table20[[#This Row],[Current Price]]/Table20[[#This Row],[strike_price]]) + ($B$2 + (Table20[[#This Row],[Vol]]^2)/2)*Table20[[#This Row],[Time to expiration]]) / (Table20[[#This Row],[Vol]] * SQRT(Table20[[#This Row],[Time to expiration]]))</f>
        <v>#NUM!</v>
      </c>
      <c r="Y61" s="30" t="e">
        <f ca="1">IF(Table20[[#This Row],[Direction]]&gt;0, _xlfn.NORM.S.DIST(Table20[[#This Row],[d1]], TRUE), _xlfn.NORM.S.DIST(Table20[[#This Row],[d1]], TRUE) - 1) * Table20[[#This Row],[Buy or Sell]]</f>
        <v>#NUM!</v>
      </c>
      <c r="Z61" s="9">
        <f ca="1">Table20[[#This Row],[Remaining]]*Table20[[#This Row],[Current Price]]*100</f>
        <v>0</v>
      </c>
      <c r="AA61" s="22">
        <f ca="1">IFERROR(Table20[[#This Row],[nominal_exposure]]*Table20[[#This Row],[Delta]],0)</f>
        <v>0</v>
      </c>
      <c r="AB61" s="99" t="b">
        <f>IF(Table20[[#This Row],[date_purchased]]&lt;&gt;Table20[[#This Row],[Expiration Date]],FALSE,TRUE)</f>
        <v>0</v>
      </c>
      <c r="AC61" s="30" t="str">
        <f>VLOOKUP(Table20[[#This Row],[Asset]],Table19[#All],3,FALSE)</f>
        <v>Auto</v>
      </c>
      <c r="AD61" s="30">
        <f>IF(Table20[[#This Row],[Remaining]]&lt;&gt;0,Table20[[#This Row],[Invested]]*Table20[[#This Row],[Remaining]]/Table20[[#This Row],[Number of options]],0)</f>
        <v>0</v>
      </c>
      <c r="AE61" s="30">
        <f ca="1">SUMIF(Table20[Ticker],Table20[[#This Row],[Ticker]],Table20[realized_profit])</f>
        <v>4153</v>
      </c>
      <c r="AF61" s="30" t="str">
        <f>VLOOKUP(Table20[[#This Row],[Strategy]],Table29[#All],7,FALSE)</f>
        <v>Bullish</v>
      </c>
    </row>
    <row r="62" spans="1:32" hidden="1">
      <c r="A62" s="35">
        <v>45499</v>
      </c>
      <c r="B62" s="21" t="e" vm="64">
        <v>#VALUE!</v>
      </c>
      <c r="C62" s="109" t="str" cm="1">
        <f t="array" aca="1" ref="C62" ca="1">_FV(Table20[[#This Row],[Asset]],"Ticker symbol",TRUE)</f>
        <v>LULU</v>
      </c>
      <c r="D62" s="26" cm="1">
        <f t="array" aca="1" ref="D62" ca="1">_FV(Table20[[#This Row],[Asset]],"Price")</f>
        <v>159.22</v>
      </c>
      <c r="E62" s="26">
        <v>300</v>
      </c>
      <c r="F62" s="33">
        <v>1</v>
      </c>
      <c r="G62" s="34">
        <v>-1</v>
      </c>
      <c r="H62" s="111" t="s">
        <v>115</v>
      </c>
      <c r="I62" s="31">
        <v>45495</v>
      </c>
      <c r="J62" s="26">
        <v>0.47</v>
      </c>
      <c r="K62" s="24">
        <v>0.3644</v>
      </c>
      <c r="L62" s="33">
        <f>VLOOKUP(Table20[[#This Row],[Strategy]],Table29[#All],6,FALSE)</f>
        <v>1</v>
      </c>
      <c r="M62" s="23">
        <v>1</v>
      </c>
      <c r="N62" s="23">
        <v>0.01</v>
      </c>
      <c r="O62" s="23"/>
      <c r="P62" s="23"/>
      <c r="Q62">
        <f>Table20[[#This Row],[Exit1]]*Table20[[#This Row],[ex1_price]]</f>
        <v>0.01</v>
      </c>
      <c r="R62">
        <f>Table20[[#This Row],[Exit2]]*Table20[[#This Row],[ex2_price]]</f>
        <v>0</v>
      </c>
      <c r="S62">
        <f>IFERROR((Table20[[#This Row],[ex2_amnt]]+Table20[[#This Row],[ex1_amnt]])/(Table20[[#This Row],[Exit2]]+Table20[[#This Row],[Exit1]]),0)</f>
        <v>0.01</v>
      </c>
      <c r="T62" s="5">
        <f>(Table20[[#This Row],[Exit1]]+Table20[[#This Row],[Exit2]])*(Table20[[#This Row],[avg_exit_price]]-Table20[[#This Row],[AvePrice]])*100*Table20[[#This Row],[Buy or Sell]]</f>
        <v>46</v>
      </c>
      <c r="U62" s="5">
        <f>Table20[[#This Row],[Number of options]]*Table20[[#This Row],[AvePrice]]*100*Table20[[#This Row],[Buy or Sell]]</f>
        <v>-47</v>
      </c>
      <c r="V62" s="8">
        <f>Table20[[#This Row],[Number of options]]-Table20[[#This Row],[Exit1]]-Table20[[#This Row],[Exit2]]</f>
        <v>0</v>
      </c>
      <c r="W62" s="30">
        <f ca="1">(Table20[[#This Row],[Expiration Date]]-TODAY())/365</f>
        <v>-1.6657534246575343</v>
      </c>
      <c r="X62" s="30" t="e">
        <f ca="1">(LN(Table20[[#This Row],[Current Price]]/Table20[[#This Row],[strike_price]]) + ($B$2 + (Table20[[#This Row],[Vol]]^2)/2)*Table20[[#This Row],[Time to expiration]]) / (Table20[[#This Row],[Vol]] * SQRT(Table20[[#This Row],[Time to expiration]]))</f>
        <v>#NUM!</v>
      </c>
      <c r="Y62" s="30" t="e">
        <f ca="1">IF(Table20[[#This Row],[Direction]]&gt;0, _xlfn.NORM.S.DIST(Table20[[#This Row],[d1]], TRUE), _xlfn.NORM.S.DIST(Table20[[#This Row],[d1]], TRUE) - 1) * Table20[[#This Row],[Buy or Sell]]</f>
        <v>#NUM!</v>
      </c>
      <c r="Z62" s="9">
        <f ca="1">Table20[[#This Row],[Remaining]]*Table20[[#This Row],[Current Price]]*100</f>
        <v>0</v>
      </c>
      <c r="AA62" s="22">
        <f ca="1">IFERROR(Table20[[#This Row],[nominal_exposure]]*Table20[[#This Row],[Delta]],0)</f>
        <v>0</v>
      </c>
      <c r="AB62" s="99" t="b">
        <f>IF(Table20[[#This Row],[date_purchased]]&lt;&gt;Table20[[#This Row],[Expiration Date]],FALSE,TRUE)</f>
        <v>0</v>
      </c>
      <c r="AC62" s="30" t="str">
        <f>VLOOKUP(Table20[[#This Row],[Asset]],Table19[#All],3,FALSE)</f>
        <v>Consumer Discretionary</v>
      </c>
      <c r="AD62" s="30">
        <f>IF(Table20[[#This Row],[Remaining]]&lt;&gt;0,Table20[[#This Row],[Invested]]*Table20[[#This Row],[Remaining]]/Table20[[#This Row],[Number of options]],0)</f>
        <v>0</v>
      </c>
      <c r="AE62" s="30">
        <f ca="1">SUMIF(Table20[Ticker],Table20[[#This Row],[Ticker]],Table20[realized_profit])</f>
        <v>-1317.0000000000002</v>
      </c>
      <c r="AF62" s="30" t="str">
        <f>VLOOKUP(Table20[[#This Row],[Strategy]],Table29[#All],7,FALSE)</f>
        <v>Bullish</v>
      </c>
    </row>
    <row r="63" spans="1:32" hidden="1">
      <c r="A63" s="118">
        <v>45499</v>
      </c>
      <c r="B63" s="21" t="e" vm="63">
        <v>#VALUE!</v>
      </c>
      <c r="C63" s="109" t="str" cm="1">
        <f t="array" aca="1" ref="C63" ca="1">_FV(Table20[[#This Row],[Asset]],"Ticker symbol",TRUE)</f>
        <v>TSLA</v>
      </c>
      <c r="D63" s="26" cm="1">
        <f t="array" aca="1" ref="D63" ca="1">_FV(Table20[[#This Row],[Asset]],"Price")</f>
        <v>394.5401</v>
      </c>
      <c r="E63" s="26">
        <v>220</v>
      </c>
      <c r="F63" s="33">
        <v>1</v>
      </c>
      <c r="G63" s="34">
        <v>1</v>
      </c>
      <c r="H63" s="34" t="s">
        <v>65</v>
      </c>
      <c r="I63" s="31">
        <v>45499</v>
      </c>
      <c r="J63" s="26">
        <v>1.22</v>
      </c>
      <c r="K63" s="24">
        <v>0.87509999999999999</v>
      </c>
      <c r="L63" s="33">
        <f>VLOOKUP(Table20[[#This Row],[Strategy]],Table29[#All],6,FALSE)</f>
        <v>-1</v>
      </c>
      <c r="M63" s="23">
        <v>1</v>
      </c>
      <c r="N63" s="23">
        <v>0.59</v>
      </c>
      <c r="O63" s="23"/>
      <c r="P63" s="23"/>
      <c r="Q63">
        <f>Table20[[#This Row],[Exit1]]*Table20[[#This Row],[ex1_price]]</f>
        <v>0.59</v>
      </c>
      <c r="R63">
        <f>Table20[[#This Row],[Exit2]]*Table20[[#This Row],[ex2_price]]</f>
        <v>0</v>
      </c>
      <c r="S63">
        <f>IFERROR((Table20[[#This Row],[ex2_amnt]]+Table20[[#This Row],[ex1_amnt]])/(Table20[[#This Row],[Exit2]]+Table20[[#This Row],[Exit1]]),0)</f>
        <v>0.59</v>
      </c>
      <c r="T63" s="5">
        <f>(Table20[[#This Row],[Exit1]]+Table20[[#This Row],[Exit2]])*(Table20[[#This Row],[avg_exit_price]]-Table20[[#This Row],[AvePrice]])*100*Table20[[#This Row],[Buy or Sell]]</f>
        <v>-63</v>
      </c>
      <c r="U63" s="5">
        <f>Table20[[#This Row],[Number of options]]*Table20[[#This Row],[AvePrice]]*100*Table20[[#This Row],[Buy or Sell]]</f>
        <v>122</v>
      </c>
      <c r="V63" s="8">
        <f>Table20[[#This Row],[Number of options]]-Table20[[#This Row],[Exit1]]-Table20[[#This Row],[Exit2]]</f>
        <v>0</v>
      </c>
      <c r="W63" s="30">
        <f ca="1">(Table20[[#This Row],[Expiration Date]]-TODAY())/365</f>
        <v>-1.6657534246575343</v>
      </c>
      <c r="X63" s="30" t="e">
        <f ca="1">(LN(Table20[[#This Row],[Current Price]]/Table20[[#This Row],[strike_price]]) + ($B$2 + (Table20[[#This Row],[Vol]]^2)/2)*Table20[[#This Row],[Time to expiration]]) / (Table20[[#This Row],[Vol]] * SQRT(Table20[[#This Row],[Time to expiration]]))</f>
        <v>#NUM!</v>
      </c>
      <c r="Y63" s="30" t="e">
        <f ca="1">IF(Table20[[#This Row],[Direction]]&gt;0, _xlfn.NORM.S.DIST(Table20[[#This Row],[d1]], TRUE), _xlfn.NORM.S.DIST(Table20[[#This Row],[d1]], TRUE) - 1) * Table20[[#This Row],[Buy or Sell]]</f>
        <v>#NUM!</v>
      </c>
      <c r="Z63" s="9">
        <f ca="1">Table20[[#This Row],[Remaining]]*Table20[[#This Row],[Current Price]]*100</f>
        <v>0</v>
      </c>
      <c r="AA63" s="22">
        <f ca="1">IFERROR(Table20[[#This Row],[nominal_exposure]]*Table20[[#This Row],[Delta]],0)</f>
        <v>0</v>
      </c>
      <c r="AB63" s="30" t="b">
        <f>IF(Table20[[#This Row],[date_purchased]]&lt;&gt;Table20[[#This Row],[Expiration Date]],FALSE,TRUE)</f>
        <v>1</v>
      </c>
      <c r="AC63" s="30" t="str">
        <f>VLOOKUP(Table20[[#This Row],[Asset]],Table19[#All],3,FALSE)</f>
        <v>Auto</v>
      </c>
      <c r="AD63" s="30">
        <f>IF(Table20[[#This Row],[Remaining]]&lt;&gt;0,Table20[[#This Row],[Invested]]*Table20[[#This Row],[Remaining]]/Table20[[#This Row],[Number of options]],0)</f>
        <v>0</v>
      </c>
      <c r="AE63" s="30">
        <f ca="1">SUMIF(Table20[Ticker],Table20[[#This Row],[Ticker]],Table20[realized_profit])</f>
        <v>4153</v>
      </c>
      <c r="AF63" s="30" t="str">
        <f>VLOOKUP(Table20[[#This Row],[Strategy]],Table29[#All],7,FALSE)</f>
        <v>Bearish</v>
      </c>
    </row>
    <row r="64" spans="1:32" hidden="1">
      <c r="A64" s="118">
        <v>45506</v>
      </c>
      <c r="B64" s="21" t="e" vm="34">
        <v>#VALUE!</v>
      </c>
      <c r="C64" s="109" t="str" cm="1">
        <f t="array" aca="1" ref="C64" ca="1">_FV(Table20[[#This Row],[Asset]],"Ticker symbol",TRUE)</f>
        <v>TSM</v>
      </c>
      <c r="D64" s="26" cm="1">
        <f t="array" aca="1" ref="D64" ca="1">_FV(Table20[[#This Row],[Asset]],"Price")</f>
        <v>348.52499999999998</v>
      </c>
      <c r="E64" s="26">
        <v>200</v>
      </c>
      <c r="F64" s="33">
        <v>3</v>
      </c>
      <c r="G64" s="34">
        <v>1</v>
      </c>
      <c r="H64" s="111" t="s">
        <v>115</v>
      </c>
      <c r="I64" s="31">
        <v>45488</v>
      </c>
      <c r="J64" s="26">
        <v>4.8499999999999996</v>
      </c>
      <c r="K64" s="24">
        <v>0.55130000000000001</v>
      </c>
      <c r="L64" s="33">
        <f>VLOOKUP(Table20[[#This Row],[Strategy]],Table29[#All],6,FALSE)</f>
        <v>1</v>
      </c>
      <c r="M64" s="23">
        <v>3</v>
      </c>
      <c r="N64" s="23">
        <v>0</v>
      </c>
      <c r="O64" s="23"/>
      <c r="P64" s="23"/>
      <c r="Q64">
        <f>Table20[[#This Row],[Exit1]]*Table20[[#This Row],[ex1_price]]</f>
        <v>0</v>
      </c>
      <c r="R64">
        <f>Table20[[#This Row],[Exit2]]*Table20[[#This Row],[ex2_price]]</f>
        <v>0</v>
      </c>
      <c r="S64">
        <f>IFERROR((Table20[[#This Row],[ex2_amnt]]+Table20[[#This Row],[ex1_amnt]])/(Table20[[#This Row],[Exit2]]+Table20[[#This Row],[Exit1]]),0)</f>
        <v>0</v>
      </c>
      <c r="T64" s="5">
        <f>(Table20[[#This Row],[Exit1]]+Table20[[#This Row],[Exit2]])*(Table20[[#This Row],[avg_exit_price]]-Table20[[#This Row],[AvePrice]])*100*Table20[[#This Row],[Buy or Sell]]</f>
        <v>-1455</v>
      </c>
      <c r="U64" s="5">
        <f>Table20[[#This Row],[Number of options]]*Table20[[#This Row],[AvePrice]]*100*Table20[[#This Row],[Buy or Sell]]</f>
        <v>1455</v>
      </c>
      <c r="V64" s="8">
        <f>Table20[[#This Row],[Number of options]]-Table20[[#This Row],[Exit1]]-Table20[[#This Row],[Exit2]]</f>
        <v>0</v>
      </c>
      <c r="W64" s="30">
        <f ca="1">(Table20[[#This Row],[Expiration Date]]-TODAY())/365</f>
        <v>-1.6465753424657534</v>
      </c>
      <c r="X64" s="30" t="e">
        <f ca="1">(LN(Table20[[#This Row],[Current Price]]/Table20[[#This Row],[strike_price]]) + ($B$2 + (Table20[[#This Row],[Vol]]^2)/2)*Table20[[#This Row],[Time to expiration]]) / (Table20[[#This Row],[Vol]] * SQRT(Table20[[#This Row],[Time to expiration]]))</f>
        <v>#NUM!</v>
      </c>
      <c r="Y64" s="30" t="e">
        <f ca="1">IF(Table20[[#This Row],[Direction]]&gt;0, _xlfn.NORM.S.DIST(Table20[[#This Row],[d1]], TRUE), _xlfn.NORM.S.DIST(Table20[[#This Row],[d1]], TRUE) - 1) * Table20[[#This Row],[Buy or Sell]]</f>
        <v>#NUM!</v>
      </c>
      <c r="Z64" s="9">
        <f ca="1">Table20[[#This Row],[Remaining]]*Table20[[#This Row],[Current Price]]*100</f>
        <v>0</v>
      </c>
      <c r="AA64" s="22">
        <f ca="1">IFERROR(Table20[[#This Row],[nominal_exposure]]*Table20[[#This Row],[Delta]],0)</f>
        <v>0</v>
      </c>
      <c r="AB64" s="99" t="b">
        <f>IF(Table20[[#This Row],[date_purchased]]&lt;&gt;Table20[[#This Row],[Expiration Date]],FALSE,TRUE)</f>
        <v>0</v>
      </c>
      <c r="AC64" s="30" t="str">
        <f>VLOOKUP(Table20[[#This Row],[Asset]],Table19[#All],3,FALSE)</f>
        <v>AI</v>
      </c>
      <c r="AD64" s="4">
        <f>IF(Table20[[#This Row],[Remaining]]&lt;&gt;0,Table20[[#This Row],[Invested]]*Table20[[#This Row],[Remaining]]/Table20[[#This Row],[Number of options]],0)</f>
        <v>0</v>
      </c>
      <c r="AE64" s="30">
        <f ca="1">SUMIF(Table20[Ticker],Table20[[#This Row],[Ticker]],Table20[realized_profit])</f>
        <v>-444.99999999999977</v>
      </c>
      <c r="AF64" s="30" t="str">
        <f>VLOOKUP(Table20[[#This Row],[Strategy]],Table29[#All],7,FALSE)</f>
        <v>Bullish</v>
      </c>
    </row>
    <row r="65" spans="1:32" hidden="1">
      <c r="A65" s="118">
        <v>45506</v>
      </c>
      <c r="B65" s="21" t="e" vm="64">
        <v>#VALUE!</v>
      </c>
      <c r="C65" s="109" t="str" cm="1">
        <f t="array" aca="1" ref="C65" ca="1">_FV(Table20[[#This Row],[Asset]],"Ticker symbol",TRUE)</f>
        <v>LULU</v>
      </c>
      <c r="D65" s="26" cm="1">
        <f t="array" aca="1" ref="D65" ca="1">_FV(Table20[[#This Row],[Asset]],"Price")</f>
        <v>159.22</v>
      </c>
      <c r="E65" s="26">
        <v>300</v>
      </c>
      <c r="F65" s="33">
        <v>1</v>
      </c>
      <c r="G65" s="34">
        <v>1</v>
      </c>
      <c r="H65" s="111" t="s">
        <v>115</v>
      </c>
      <c r="I65" s="31">
        <v>45495</v>
      </c>
      <c r="J65" s="26">
        <v>1.7</v>
      </c>
      <c r="K65" s="24">
        <v>0.3377</v>
      </c>
      <c r="L65" s="33">
        <f>VLOOKUP(Table20[[#This Row],[Strategy]],Table29[#All],6,FALSE)</f>
        <v>1</v>
      </c>
      <c r="M65" s="23">
        <v>1</v>
      </c>
      <c r="N65" s="23">
        <v>0</v>
      </c>
      <c r="O65" s="23"/>
      <c r="P65" s="23"/>
      <c r="Q65">
        <f>Table20[[#This Row],[Exit1]]*Table20[[#This Row],[ex1_price]]</f>
        <v>0</v>
      </c>
      <c r="R65">
        <f>Table20[[#This Row],[Exit2]]*Table20[[#This Row],[ex2_price]]</f>
        <v>0</v>
      </c>
      <c r="S65">
        <f>IFERROR((Table20[[#This Row],[ex2_amnt]]+Table20[[#This Row],[ex1_amnt]])/(Table20[[#This Row],[Exit2]]+Table20[[#This Row],[Exit1]]),0)</f>
        <v>0</v>
      </c>
      <c r="T65" s="5">
        <f>(Table20[[#This Row],[Exit1]]+Table20[[#This Row],[Exit2]])*(Table20[[#This Row],[avg_exit_price]]-Table20[[#This Row],[AvePrice]])*100*Table20[[#This Row],[Buy or Sell]]</f>
        <v>-170</v>
      </c>
      <c r="U65" s="5">
        <f>Table20[[#This Row],[Number of options]]*Table20[[#This Row],[AvePrice]]*100*Table20[[#This Row],[Buy or Sell]]</f>
        <v>170</v>
      </c>
      <c r="V65" s="8">
        <f>Table20[[#This Row],[Number of options]]-Table20[[#This Row],[Exit1]]-Table20[[#This Row],[Exit2]]</f>
        <v>0</v>
      </c>
      <c r="W65" s="30">
        <f ca="1">(Table20[[#This Row],[Expiration Date]]-TODAY())/365</f>
        <v>-1.6465753424657534</v>
      </c>
      <c r="X65" s="30" t="e">
        <f ca="1">(LN(Table20[[#This Row],[Current Price]]/Table20[[#This Row],[strike_price]]) + ($B$2 + (Table20[[#This Row],[Vol]]^2)/2)*Table20[[#This Row],[Time to expiration]]) / (Table20[[#This Row],[Vol]] * SQRT(Table20[[#This Row],[Time to expiration]]))</f>
        <v>#NUM!</v>
      </c>
      <c r="Y65" s="30" t="e">
        <f ca="1">IF(Table20[[#This Row],[Direction]]&gt;0, _xlfn.NORM.S.DIST(Table20[[#This Row],[d1]], TRUE), _xlfn.NORM.S.DIST(Table20[[#This Row],[d1]], TRUE) - 1) * Table20[[#This Row],[Buy or Sell]]</f>
        <v>#NUM!</v>
      </c>
      <c r="Z65" s="9">
        <f ca="1">Table20[[#This Row],[Remaining]]*Table20[[#This Row],[Current Price]]*100</f>
        <v>0</v>
      </c>
      <c r="AA65" s="22">
        <f ca="1">IFERROR(Table20[[#This Row],[nominal_exposure]]*Table20[[#This Row],[Delta]],0)</f>
        <v>0</v>
      </c>
      <c r="AB65" s="99" t="b">
        <f>IF(Table20[[#This Row],[date_purchased]]&lt;&gt;Table20[[#This Row],[Expiration Date]],FALSE,TRUE)</f>
        <v>0</v>
      </c>
      <c r="AC65" s="30" t="str">
        <f>VLOOKUP(Table20[[#This Row],[Asset]],Table19[#All],3,FALSE)</f>
        <v>Consumer Discretionary</v>
      </c>
      <c r="AD65" s="4">
        <f>IF(Table20[[#This Row],[Remaining]]&lt;&gt;0,Table20[[#This Row],[Invested]]*Table20[[#This Row],[Remaining]]/Table20[[#This Row],[Number of options]],0)</f>
        <v>0</v>
      </c>
      <c r="AE65" s="30">
        <f ca="1">SUMIF(Table20[Ticker],Table20[[#This Row],[Ticker]],Table20[realized_profit])</f>
        <v>-1317.0000000000002</v>
      </c>
      <c r="AF65" s="30" t="str">
        <f>VLOOKUP(Table20[[#This Row],[Strategy]],Table29[#All],7,FALSE)</f>
        <v>Bullish</v>
      </c>
    </row>
    <row r="66" spans="1:32" hidden="1">
      <c r="A66" s="118">
        <v>45506</v>
      </c>
      <c r="B66" s="21" t="e" vm="64">
        <v>#VALUE!</v>
      </c>
      <c r="C66" s="109" t="str" cm="1">
        <f t="array" aca="1" ref="C66" ca="1">_FV(Table20[[#This Row],[Asset]],"Ticker symbol",TRUE)</f>
        <v>LULU</v>
      </c>
      <c r="D66" s="26" cm="1">
        <f t="array" aca="1" ref="D66" ca="1">_FV(Table20[[#This Row],[Asset]],"Price")</f>
        <v>159.22</v>
      </c>
      <c r="E66" s="26">
        <v>310</v>
      </c>
      <c r="F66" s="33">
        <v>4</v>
      </c>
      <c r="G66" s="34">
        <v>1</v>
      </c>
      <c r="H66" s="111" t="s">
        <v>115</v>
      </c>
      <c r="I66" s="31">
        <v>45491</v>
      </c>
      <c r="J66" s="26">
        <v>1.43</v>
      </c>
      <c r="K66" s="24">
        <v>0.34439999999999998</v>
      </c>
      <c r="L66" s="33">
        <f>VLOOKUP(Table20[[#This Row],[Strategy]],Table29[#All],6,FALSE)</f>
        <v>1</v>
      </c>
      <c r="M66" s="23">
        <v>4</v>
      </c>
      <c r="N66" s="23">
        <v>0</v>
      </c>
      <c r="O66" s="23"/>
      <c r="P66" s="23"/>
      <c r="Q66">
        <f>Table20[[#This Row],[Exit1]]*Table20[[#This Row],[ex1_price]]</f>
        <v>0</v>
      </c>
      <c r="R66">
        <f>Table20[[#This Row],[Exit2]]*Table20[[#This Row],[ex2_price]]</f>
        <v>0</v>
      </c>
      <c r="S66">
        <f>IFERROR((Table20[[#This Row],[ex2_amnt]]+Table20[[#This Row],[ex1_amnt]])/(Table20[[#This Row],[Exit2]]+Table20[[#This Row],[Exit1]]),0)</f>
        <v>0</v>
      </c>
      <c r="T66" s="5">
        <f>(Table20[[#This Row],[Exit1]]+Table20[[#This Row],[Exit2]])*(Table20[[#This Row],[avg_exit_price]]-Table20[[#This Row],[AvePrice]])*100*Table20[[#This Row],[Buy or Sell]]</f>
        <v>-572</v>
      </c>
      <c r="U66" s="5">
        <f>Table20[[#This Row],[Number of options]]*Table20[[#This Row],[AvePrice]]*100*Table20[[#This Row],[Buy or Sell]]</f>
        <v>572</v>
      </c>
      <c r="V66" s="8">
        <f>Table20[[#This Row],[Number of options]]-Table20[[#This Row],[Exit1]]-Table20[[#This Row],[Exit2]]</f>
        <v>0</v>
      </c>
      <c r="W66" s="30">
        <f ca="1">(Table20[[#This Row],[Expiration Date]]-TODAY())/365</f>
        <v>-1.6465753424657534</v>
      </c>
      <c r="X66" s="30" t="e">
        <f ca="1">(LN(Table20[[#This Row],[Current Price]]/Table20[[#This Row],[strike_price]]) + ($B$2 + (Table20[[#This Row],[Vol]]^2)/2)*Table20[[#This Row],[Time to expiration]]) / (Table20[[#This Row],[Vol]] * SQRT(Table20[[#This Row],[Time to expiration]]))</f>
        <v>#NUM!</v>
      </c>
      <c r="Y66" s="30" t="e">
        <f ca="1">IF(Table20[[#This Row],[Direction]]&gt;0, _xlfn.NORM.S.DIST(Table20[[#This Row],[d1]], TRUE), _xlfn.NORM.S.DIST(Table20[[#This Row],[d1]], TRUE) - 1) * Table20[[#This Row],[Buy or Sell]]</f>
        <v>#NUM!</v>
      </c>
      <c r="Z66" s="9">
        <f ca="1">Table20[[#This Row],[Remaining]]*Table20[[#This Row],[Current Price]]*100</f>
        <v>0</v>
      </c>
      <c r="AA66" s="22">
        <f ca="1">IFERROR(Table20[[#This Row],[nominal_exposure]]*Table20[[#This Row],[Delta]],0)</f>
        <v>0</v>
      </c>
      <c r="AB66" s="99" t="b">
        <f>IF(Table20[[#This Row],[date_purchased]]&lt;&gt;Table20[[#This Row],[Expiration Date]],FALSE,TRUE)</f>
        <v>0</v>
      </c>
      <c r="AC66" s="30" t="str">
        <f>VLOOKUP(Table20[[#This Row],[Asset]],Table19[#All],3,FALSE)</f>
        <v>Consumer Discretionary</v>
      </c>
      <c r="AD66" s="4">
        <f>IF(Table20[[#This Row],[Remaining]]&lt;&gt;0,Table20[[#This Row],[Invested]]*Table20[[#This Row],[Remaining]]/Table20[[#This Row],[Number of options]],0)</f>
        <v>0</v>
      </c>
      <c r="AE66" s="30">
        <f ca="1">SUMIF(Table20[Ticker],Table20[[#This Row],[Ticker]],Table20[realized_profit])</f>
        <v>-1317.0000000000002</v>
      </c>
      <c r="AF66" s="30" t="str">
        <f>VLOOKUP(Table20[[#This Row],[Strategy]],Table29[#All],7,FALSE)</f>
        <v>Bullish</v>
      </c>
    </row>
    <row r="67" spans="1:32" hidden="1">
      <c r="A67" s="118">
        <v>45506</v>
      </c>
      <c r="B67" s="21" t="e" vm="34">
        <v>#VALUE!</v>
      </c>
      <c r="C67" s="109" t="str" cm="1">
        <f t="array" aca="1" ref="C67" ca="1">_FV(Table20[[#This Row],[Asset]],"Ticker symbol",TRUE)</f>
        <v>TSM</v>
      </c>
      <c r="D67" s="26" cm="1">
        <f t="array" aca="1" ref="D67" ca="1">_FV(Table20[[#This Row],[Asset]],"Price")</f>
        <v>348.52499999999998</v>
      </c>
      <c r="E67" s="26">
        <v>210</v>
      </c>
      <c r="F67" s="33">
        <v>2</v>
      </c>
      <c r="G67" s="34">
        <v>-1</v>
      </c>
      <c r="H67" s="111" t="s">
        <v>115</v>
      </c>
      <c r="I67" s="31">
        <v>45478</v>
      </c>
      <c r="J67" s="26">
        <v>2.1800000000000002</v>
      </c>
      <c r="K67" s="24">
        <v>0.48870000000000002</v>
      </c>
      <c r="L67" s="33">
        <f>VLOOKUP(Table20[[#This Row],[Strategy]],Table29[#All],6,FALSE)</f>
        <v>1</v>
      </c>
      <c r="M67" s="23">
        <v>2</v>
      </c>
      <c r="N67" s="23">
        <v>0</v>
      </c>
      <c r="O67" s="23"/>
      <c r="P67" s="23"/>
      <c r="Q67">
        <f>Table20[[#This Row],[Exit1]]*Table20[[#This Row],[ex1_price]]</f>
        <v>0</v>
      </c>
      <c r="R67">
        <f>Table20[[#This Row],[Exit2]]*Table20[[#This Row],[ex2_price]]</f>
        <v>0</v>
      </c>
      <c r="S67">
        <f>IFERROR((Table20[[#This Row],[ex2_amnt]]+Table20[[#This Row],[ex1_amnt]])/(Table20[[#This Row],[Exit2]]+Table20[[#This Row],[Exit1]]),0)</f>
        <v>0</v>
      </c>
      <c r="T67" s="5">
        <f>(Table20[[#This Row],[Exit1]]+Table20[[#This Row],[Exit2]])*(Table20[[#This Row],[avg_exit_price]]-Table20[[#This Row],[AvePrice]])*100*Table20[[#This Row],[Buy or Sell]]</f>
        <v>436.00000000000006</v>
      </c>
      <c r="U67" s="5">
        <f>Table20[[#This Row],[Number of options]]*Table20[[#This Row],[AvePrice]]*100*Table20[[#This Row],[Buy or Sell]]</f>
        <v>-436.00000000000006</v>
      </c>
      <c r="V67" s="8">
        <f>Table20[[#This Row],[Number of options]]-Table20[[#This Row],[Exit1]]-Table20[[#This Row],[Exit2]]</f>
        <v>0</v>
      </c>
      <c r="W67" s="30">
        <f ca="1">(Table20[[#This Row],[Expiration Date]]-TODAY())/365</f>
        <v>-1.6465753424657534</v>
      </c>
      <c r="X67" s="30" t="e">
        <f ca="1">(LN(Table20[[#This Row],[Current Price]]/Table20[[#This Row],[strike_price]]) + ($B$2 + (Table20[[#This Row],[Vol]]^2)/2)*Table20[[#This Row],[Time to expiration]]) / (Table20[[#This Row],[Vol]] * SQRT(Table20[[#This Row],[Time to expiration]]))</f>
        <v>#NUM!</v>
      </c>
      <c r="Y67" s="30" t="e">
        <f ca="1">IF(Table20[[#This Row],[Direction]]&gt;0, _xlfn.NORM.S.DIST(Table20[[#This Row],[d1]], TRUE), _xlfn.NORM.S.DIST(Table20[[#This Row],[d1]], TRUE) - 1) * Table20[[#This Row],[Buy or Sell]]</f>
        <v>#NUM!</v>
      </c>
      <c r="Z67" s="9">
        <f ca="1">Table20[[#This Row],[Remaining]]*Table20[[#This Row],[Current Price]]*100</f>
        <v>0</v>
      </c>
      <c r="AA67" s="22">
        <f ca="1">IFERROR(Table20[[#This Row],[nominal_exposure]]*Table20[[#This Row],[Delta]],0)</f>
        <v>0</v>
      </c>
      <c r="AB67" s="99" t="b">
        <f>IF(Table20[[#This Row],[date_purchased]]&lt;&gt;Table20[[#This Row],[Expiration Date]],FALSE,TRUE)</f>
        <v>0</v>
      </c>
      <c r="AC67" s="30" t="str">
        <f>VLOOKUP(Table20[[#This Row],[Asset]],Table19[#All],3,FALSE)</f>
        <v>AI</v>
      </c>
      <c r="AD67" s="4">
        <f>IF(Table20[[#This Row],[Remaining]]&lt;&gt;0,Table20[[#This Row],[Invested]]*Table20[[#This Row],[Remaining]]/Table20[[#This Row],[Number of options]],0)</f>
        <v>0</v>
      </c>
      <c r="AE67" s="30">
        <f ca="1">SUMIF(Table20[Ticker],Table20[[#This Row],[Ticker]],Table20[realized_profit])</f>
        <v>-444.99999999999977</v>
      </c>
      <c r="AF67" s="30" t="str">
        <f>VLOOKUP(Table20[[#This Row],[Strategy]],Table29[#All],7,FALSE)</f>
        <v>Bullish</v>
      </c>
    </row>
    <row r="68" spans="1:32" hidden="1">
      <c r="A68" s="180">
        <v>45657</v>
      </c>
      <c r="B68" s="21" t="e" vm="96">
        <v>#VALUE!</v>
      </c>
      <c r="C68" s="109" t="str" cm="1">
        <f t="array" aca="1" ref="C68" ca="1">_FV(Table20[[#This Row],[Asset]],"Ticker symbol",TRUE)</f>
        <v>SPY</v>
      </c>
      <c r="D68" s="26" cm="1">
        <f t="array" aca="1" ref="D68" ca="1">_FV(Table20[[#This Row],[Asset]],"Price")</f>
        <v>658.59</v>
      </c>
      <c r="E68" s="26">
        <v>500</v>
      </c>
      <c r="F68" s="33">
        <v>2</v>
      </c>
      <c r="G68" s="34">
        <v>-1</v>
      </c>
      <c r="H68" s="34" t="s">
        <v>112</v>
      </c>
      <c r="I68" s="31">
        <v>45558</v>
      </c>
      <c r="J68" s="26">
        <v>3.54</v>
      </c>
      <c r="K68" s="24">
        <v>0.22850000000000001</v>
      </c>
      <c r="L68" s="33">
        <f>VLOOKUP(Table20[[#This Row],[Strategy]],Table29[#All],6,FALSE)</f>
        <v>-1</v>
      </c>
      <c r="M68" s="23">
        <v>2</v>
      </c>
      <c r="N68" s="23">
        <v>1.02</v>
      </c>
      <c r="O68" s="23"/>
      <c r="P68" s="23"/>
      <c r="Q68">
        <f>Table20[[#This Row],[Exit1]]*Table20[[#This Row],[ex1_price]]</f>
        <v>2.04</v>
      </c>
      <c r="R68">
        <f>Table20[[#This Row],[Exit2]]*Table20[[#This Row],[ex2_price]]</f>
        <v>0</v>
      </c>
      <c r="S68">
        <f>IFERROR((Table20[[#This Row],[ex2_amnt]]+Table20[[#This Row],[ex1_amnt]])/(Table20[[#This Row],[Exit2]]+Table20[[#This Row],[Exit1]]),0)</f>
        <v>1.02</v>
      </c>
      <c r="T68" s="5">
        <f>(Table20[[#This Row],[Exit1]]+Table20[[#This Row],[Exit2]])*(Table20[[#This Row],[avg_exit_price]]-Table20[[#This Row],[AvePrice]])*100*Table20[[#This Row],[Buy or Sell]]</f>
        <v>504</v>
      </c>
      <c r="U68" s="5">
        <f>Table20[[#This Row],[Number of options]]*Table20[[#This Row],[AvePrice]]*100*Table20[[#This Row],[Buy or Sell]]</f>
        <v>-708</v>
      </c>
      <c r="V68" s="8">
        <f>Table20[[#This Row],[Number of options]]-Table20[[#This Row],[Exit1]]-Table20[[#This Row],[Exit2]]</f>
        <v>0</v>
      </c>
      <c r="W68" s="30">
        <f ca="1">(Table20[[#This Row],[Expiration Date]]-TODAY())/365</f>
        <v>-1.2328767123287672</v>
      </c>
      <c r="X68" s="30" t="e">
        <f ca="1">(LN(Table20[[#This Row],[Current Price]]/Table20[[#This Row],[strike_price]]) + ($B$2 + (Table20[[#This Row],[Vol]]^2)/2)*Table20[[#This Row],[Time to expiration]]) / (Table20[[#This Row],[Vol]] * SQRT(Table20[[#This Row],[Time to expiration]]))</f>
        <v>#NUM!</v>
      </c>
      <c r="Y68" s="30" t="e">
        <f ca="1">IF(Table20[[#This Row],[Direction]]&gt;0, _xlfn.NORM.S.DIST(Table20[[#This Row],[d1]], TRUE), _xlfn.NORM.S.DIST(Table20[[#This Row],[d1]], TRUE) - 1) * Table20[[#This Row],[Buy or Sell]]</f>
        <v>#NUM!</v>
      </c>
      <c r="Z68" s="9">
        <f ca="1">Table20[[#This Row],[Remaining]]*Table20[[#This Row],[Current Price]]*100</f>
        <v>0</v>
      </c>
      <c r="AA68" s="22">
        <f ca="1">IFERROR(Table20[[#This Row],[nominal_exposure]]*Table20[[#This Row],[Delta]],0)</f>
        <v>0</v>
      </c>
      <c r="AB68" s="30" t="b">
        <f>IF(Table20[[#This Row],[date_purchased]]&lt;&gt;Table20[[#This Row],[Expiration Date]],FALSE,TRUE)</f>
        <v>0</v>
      </c>
      <c r="AC68" s="30" t="str">
        <f>VLOOKUP(Table20[[#This Row],[Asset]],Table19[#All],3,FALSE)</f>
        <v>Market</v>
      </c>
      <c r="AD68" s="30">
        <f>IF(Table20[[#This Row],[Remaining]]&lt;&gt;0,Table20[[#This Row],[Invested]]*Table20[[#This Row],[Remaining]]/Table20[[#This Row],[Number of options]],0)</f>
        <v>0</v>
      </c>
      <c r="AE68" s="30">
        <f ca="1">SUMIF(Table20[Ticker],Table20[[#This Row],[Ticker]],Table20[realized_profit])</f>
        <v>-5077</v>
      </c>
      <c r="AF68" s="30" t="str">
        <f>VLOOKUP(Table20[[#This Row],[Strategy]],Table29[#All],7,FALSE)</f>
        <v>Bearish</v>
      </c>
    </row>
    <row r="69" spans="1:32" hidden="1">
      <c r="A69" s="118">
        <v>45506</v>
      </c>
      <c r="B69" s="21" t="e" vm="32">
        <v>#VALUE!</v>
      </c>
      <c r="C69" s="109" t="str" cm="1">
        <f t="array" aca="1" ref="C69" ca="1">_FV(Table20[[#This Row],[Asset]],"Ticker symbol",TRUE)</f>
        <v>MU</v>
      </c>
      <c r="D69" s="26" cm="1">
        <f t="array" aca="1" ref="D69" ca="1">_FV(Table20[[#This Row],[Asset]],"Price")</f>
        <v>381.57</v>
      </c>
      <c r="E69" s="26">
        <v>130</v>
      </c>
      <c r="F69" s="33">
        <v>4</v>
      </c>
      <c r="G69" s="34">
        <v>-1</v>
      </c>
      <c r="H69" s="111" t="s">
        <v>115</v>
      </c>
      <c r="I69" s="31">
        <v>45491</v>
      </c>
      <c r="J69" s="26">
        <v>0.65</v>
      </c>
      <c r="K69" s="24">
        <v>0.4577</v>
      </c>
      <c r="L69" s="33">
        <f>VLOOKUP(Table20[[#This Row],[Strategy]],Table29[#All],6,FALSE)</f>
        <v>1</v>
      </c>
      <c r="M69" s="23">
        <v>4</v>
      </c>
      <c r="N69" s="23">
        <v>0.01</v>
      </c>
      <c r="O69" s="23"/>
      <c r="P69" s="23"/>
      <c r="Q69">
        <f>Table20[[#This Row],[Exit1]]*Table20[[#This Row],[ex1_price]]</f>
        <v>0.04</v>
      </c>
      <c r="R69">
        <f>Table20[[#This Row],[Exit2]]*Table20[[#This Row],[ex2_price]]</f>
        <v>0</v>
      </c>
      <c r="S69">
        <f>IFERROR((Table20[[#This Row],[ex2_amnt]]+Table20[[#This Row],[ex1_amnt]])/(Table20[[#This Row],[Exit2]]+Table20[[#This Row],[Exit1]]),0)</f>
        <v>0.01</v>
      </c>
      <c r="T69" s="5">
        <f>(Table20[[#This Row],[Exit1]]+Table20[[#This Row],[Exit2]])*(Table20[[#This Row],[avg_exit_price]]-Table20[[#This Row],[AvePrice]])*100*Table20[[#This Row],[Buy or Sell]]</f>
        <v>256</v>
      </c>
      <c r="U69" s="5">
        <f>Table20[[#This Row],[Number of options]]*Table20[[#This Row],[AvePrice]]*100*Table20[[#This Row],[Buy or Sell]]</f>
        <v>-260</v>
      </c>
      <c r="V69" s="8">
        <f>Table20[[#This Row],[Number of options]]-Table20[[#This Row],[Exit1]]-Table20[[#This Row],[Exit2]]</f>
        <v>0</v>
      </c>
      <c r="W69" s="30">
        <f ca="1">(Table20[[#This Row],[Expiration Date]]-TODAY())/365</f>
        <v>-1.6465753424657534</v>
      </c>
      <c r="X69" s="30" t="e">
        <f ca="1">(LN(Table20[[#This Row],[Current Price]]/Table20[[#This Row],[strike_price]]) + ($B$2 + (Table20[[#This Row],[Vol]]^2)/2)*Table20[[#This Row],[Time to expiration]]) / (Table20[[#This Row],[Vol]] * SQRT(Table20[[#This Row],[Time to expiration]]))</f>
        <v>#NUM!</v>
      </c>
      <c r="Y69" s="30" t="e">
        <f ca="1">IF(Table20[[#This Row],[Direction]]&gt;0, _xlfn.NORM.S.DIST(Table20[[#This Row],[d1]], TRUE), _xlfn.NORM.S.DIST(Table20[[#This Row],[d1]], TRUE) - 1) * Table20[[#This Row],[Buy or Sell]]</f>
        <v>#NUM!</v>
      </c>
      <c r="Z69" s="9">
        <f ca="1">Table20[[#This Row],[Remaining]]*Table20[[#This Row],[Current Price]]*100</f>
        <v>0</v>
      </c>
      <c r="AA69" s="22">
        <f ca="1">IFERROR(Table20[[#This Row],[nominal_exposure]]*Table20[[#This Row],[Delta]],0)</f>
        <v>0</v>
      </c>
      <c r="AB69" s="99" t="b">
        <f>IF(Table20[[#This Row],[date_purchased]]&lt;&gt;Table20[[#This Row],[Expiration Date]],FALSE,TRUE)</f>
        <v>0</v>
      </c>
      <c r="AC69" s="30" t="str">
        <f>VLOOKUP(Table20[[#This Row],[Asset]],Table19[#All],3,FALSE)</f>
        <v>AI</v>
      </c>
      <c r="AD69" s="4">
        <f>IF(Table20[[#This Row],[Remaining]]&lt;&gt;0,Table20[[#This Row],[Invested]]*Table20[[#This Row],[Remaining]]/Table20[[#This Row],[Number of options]],0)</f>
        <v>0</v>
      </c>
      <c r="AE69" s="30">
        <f ca="1">SUMIF(Table20[Ticker],Table20[[#This Row],[Ticker]],Table20[realized_profit])</f>
        <v>-4181</v>
      </c>
      <c r="AF69" s="30" t="str">
        <f>VLOOKUP(Table20[[#This Row],[Strategy]],Table29[#All],7,FALSE)</f>
        <v>Bullish</v>
      </c>
    </row>
    <row r="70" spans="1:32" hidden="1">
      <c r="A70" s="118">
        <v>45506</v>
      </c>
      <c r="B70" s="21" t="e" vm="13">
        <v>#VALUE!</v>
      </c>
      <c r="C70" s="109" t="str" cm="1">
        <f t="array" aca="1" ref="C70" ca="1">_FV(Table20[[#This Row],[Asset]],"Ticker symbol",TRUE)</f>
        <v>ON</v>
      </c>
      <c r="D70" s="26" cm="1">
        <f t="array" aca="1" ref="D70" ca="1">_FV(Table20[[#This Row],[Asset]],"Price")</f>
        <v>63.68</v>
      </c>
      <c r="E70" s="26">
        <v>85</v>
      </c>
      <c r="F70" s="33">
        <v>2</v>
      </c>
      <c r="G70" s="34">
        <v>-1</v>
      </c>
      <c r="H70" s="111" t="s">
        <v>115</v>
      </c>
      <c r="I70" s="31">
        <v>45488</v>
      </c>
      <c r="J70" s="26">
        <v>1.17</v>
      </c>
      <c r="K70" s="24">
        <v>0.52739999999999998</v>
      </c>
      <c r="L70" s="33">
        <f>VLOOKUP(Table20[[#This Row],[Strategy]],Table29[#All],6,FALSE)</f>
        <v>1</v>
      </c>
      <c r="M70" s="23">
        <v>2</v>
      </c>
      <c r="N70" s="23">
        <v>0.01</v>
      </c>
      <c r="O70" s="23"/>
      <c r="P70" s="23"/>
      <c r="Q70">
        <f>Table20[[#This Row],[Exit1]]*Table20[[#This Row],[ex1_price]]</f>
        <v>0.02</v>
      </c>
      <c r="R70">
        <f>Table20[[#This Row],[Exit2]]*Table20[[#This Row],[ex2_price]]</f>
        <v>0</v>
      </c>
      <c r="S70">
        <f>IFERROR((Table20[[#This Row],[ex2_amnt]]+Table20[[#This Row],[ex1_amnt]])/(Table20[[#This Row],[Exit2]]+Table20[[#This Row],[Exit1]]),0)</f>
        <v>0.01</v>
      </c>
      <c r="T70" s="5">
        <f>(Table20[[#This Row],[Exit1]]+Table20[[#This Row],[Exit2]])*(Table20[[#This Row],[avg_exit_price]]-Table20[[#This Row],[AvePrice]])*100*Table20[[#This Row],[Buy or Sell]]</f>
        <v>231.99999999999997</v>
      </c>
      <c r="U70" s="5">
        <f>Table20[[#This Row],[Number of options]]*Table20[[#This Row],[AvePrice]]*100*Table20[[#This Row],[Buy or Sell]]</f>
        <v>-234</v>
      </c>
      <c r="V70" s="8">
        <f>Table20[[#This Row],[Number of options]]-Table20[[#This Row],[Exit1]]-Table20[[#This Row],[Exit2]]</f>
        <v>0</v>
      </c>
      <c r="W70" s="30">
        <f ca="1">(Table20[[#This Row],[Expiration Date]]-TODAY())/365</f>
        <v>-1.6465753424657534</v>
      </c>
      <c r="X70" s="30" t="e">
        <f ca="1">(LN(Table20[[#This Row],[Current Price]]/Table20[[#This Row],[strike_price]]) + ($B$2 + (Table20[[#This Row],[Vol]]^2)/2)*Table20[[#This Row],[Time to expiration]]) / (Table20[[#This Row],[Vol]] * SQRT(Table20[[#This Row],[Time to expiration]]))</f>
        <v>#NUM!</v>
      </c>
      <c r="Y70" s="30" t="e">
        <f ca="1">IF(Table20[[#This Row],[Direction]]&gt;0, _xlfn.NORM.S.DIST(Table20[[#This Row],[d1]], TRUE), _xlfn.NORM.S.DIST(Table20[[#This Row],[d1]], TRUE) - 1) * Table20[[#This Row],[Buy or Sell]]</f>
        <v>#NUM!</v>
      </c>
      <c r="Z70" s="9">
        <f ca="1">Table20[[#This Row],[Remaining]]*Table20[[#This Row],[Current Price]]*100</f>
        <v>0</v>
      </c>
      <c r="AA70" s="22">
        <f ca="1">IFERROR(Table20[[#This Row],[nominal_exposure]]*Table20[[#This Row],[Delta]],0)</f>
        <v>0</v>
      </c>
      <c r="AB70" s="99" t="b">
        <f>IF(Table20[[#This Row],[date_purchased]]&lt;&gt;Table20[[#This Row],[Expiration Date]],FALSE,TRUE)</f>
        <v>0</v>
      </c>
      <c r="AC70" s="30" t="str">
        <f>VLOOKUP(Table20[[#This Row],[Asset]],Table19[#All],3,FALSE)</f>
        <v>Semiconductor</v>
      </c>
      <c r="AD70" s="4">
        <f>IF(Table20[[#This Row],[Remaining]]&lt;&gt;0,Table20[[#This Row],[Invested]]*Table20[[#This Row],[Remaining]]/Table20[[#This Row],[Number of options]],0)</f>
        <v>0</v>
      </c>
      <c r="AE70" s="30">
        <f ca="1">SUMIF(Table20[Ticker],Table20[[#This Row],[Ticker]],Table20[realized_profit])</f>
        <v>1055.92</v>
      </c>
      <c r="AF70" s="30" t="str">
        <f>VLOOKUP(Table20[[#This Row],[Strategy]],Table29[#All],7,FALSE)</f>
        <v>Bullish</v>
      </c>
    </row>
    <row r="71" spans="1:32" hidden="1">
      <c r="A71" s="180">
        <v>45657</v>
      </c>
      <c r="B71" s="21" t="e" vm="96">
        <v>#VALUE!</v>
      </c>
      <c r="C71" s="109" t="str" cm="1">
        <f t="array" aca="1" ref="C71" ca="1">_FV(Table20[[#This Row],[Asset]],"Ticker symbol",TRUE)</f>
        <v>SPY</v>
      </c>
      <c r="D71" s="26" cm="1">
        <f t="array" aca="1" ref="D71" ca="1">_FV(Table20[[#This Row],[Asset]],"Price")</f>
        <v>658.59</v>
      </c>
      <c r="E71" s="26">
        <v>595</v>
      </c>
      <c r="F71" s="33">
        <v>1</v>
      </c>
      <c r="G71" s="34">
        <v>1</v>
      </c>
      <c r="H71" s="34" t="s">
        <v>65</v>
      </c>
      <c r="I71" s="31">
        <v>45637</v>
      </c>
      <c r="J71" s="26">
        <v>1.91</v>
      </c>
      <c r="K71" s="24">
        <v>0.12180000000000001</v>
      </c>
      <c r="L71" s="33">
        <f>VLOOKUP(Table20[[#This Row],[Strategy]],Table29[#All],6,FALSE)</f>
        <v>-1</v>
      </c>
      <c r="M71" s="23">
        <v>1</v>
      </c>
      <c r="N71" s="23">
        <v>9.36</v>
      </c>
      <c r="O71" s="23"/>
      <c r="P71" s="23"/>
      <c r="Q71">
        <f>Table20[[#This Row],[Exit1]]*Table20[[#This Row],[ex1_price]]</f>
        <v>9.36</v>
      </c>
      <c r="R71">
        <f>Table20[[#This Row],[Exit2]]*Table20[[#This Row],[ex2_price]]</f>
        <v>0</v>
      </c>
      <c r="S71">
        <f>IFERROR((Table20[[#This Row],[ex2_amnt]]+Table20[[#This Row],[ex1_amnt]])/(Table20[[#This Row],[Exit2]]+Table20[[#This Row],[Exit1]]),0)</f>
        <v>9.36</v>
      </c>
      <c r="T71" s="5">
        <f>(Table20[[#This Row],[Exit1]]+Table20[[#This Row],[Exit2]])*(Table20[[#This Row],[avg_exit_price]]-Table20[[#This Row],[AvePrice]])*100*Table20[[#This Row],[Buy or Sell]]</f>
        <v>744.99999999999989</v>
      </c>
      <c r="U71" s="5">
        <f>Table20[[#This Row],[Number of options]]*Table20[[#This Row],[AvePrice]]*100*Table20[[#This Row],[Buy or Sell]]</f>
        <v>191</v>
      </c>
      <c r="V71" s="8">
        <f>Table20[[#This Row],[Number of options]]-Table20[[#This Row],[Exit1]]-Table20[[#This Row],[Exit2]]</f>
        <v>0</v>
      </c>
      <c r="W71" s="30">
        <f ca="1">(Table20[[#This Row],[Expiration Date]]-TODAY())/365</f>
        <v>-1.2328767123287672</v>
      </c>
      <c r="X71" s="30" t="e">
        <f ca="1">(LN(Table20[[#This Row],[Current Price]]/Table20[[#This Row],[strike_price]]) + ($B$2 + (Table20[[#This Row],[Vol]]^2)/2)*Table20[[#This Row],[Time to expiration]]) / (Table20[[#This Row],[Vol]] * SQRT(Table20[[#This Row],[Time to expiration]]))</f>
        <v>#NUM!</v>
      </c>
      <c r="Y71" s="30" t="e">
        <f ca="1">IF(Table20[[#This Row],[Direction]]&gt;0, _xlfn.NORM.S.DIST(Table20[[#This Row],[d1]], TRUE), _xlfn.NORM.S.DIST(Table20[[#This Row],[d1]], TRUE) - 1) * Table20[[#This Row],[Buy or Sell]]</f>
        <v>#NUM!</v>
      </c>
      <c r="Z71" s="9">
        <f ca="1">Table20[[#This Row],[Remaining]]*Table20[[#This Row],[Current Price]]*100</f>
        <v>0</v>
      </c>
      <c r="AA71" s="22">
        <f ca="1">IFERROR(Table20[[#This Row],[nominal_exposure]]*Table20[[#This Row],[Delta]],0)</f>
        <v>0</v>
      </c>
      <c r="AB71" s="30" t="b">
        <f>IF(Table20[[#This Row],[date_purchased]]&lt;&gt;Table20[[#This Row],[Expiration Date]],FALSE,TRUE)</f>
        <v>0</v>
      </c>
      <c r="AC71" s="30" t="str">
        <f>VLOOKUP(Table20[[#This Row],[Asset]],Table19[#All],3,FALSE)</f>
        <v>Market</v>
      </c>
      <c r="AD71" s="30">
        <f>IF(Table20[[#This Row],[Remaining]]&lt;&gt;0,Table20[[#This Row],[Invested]]*Table20[[#This Row],[Remaining]]/Table20[[#This Row],[Number of options]],0)</f>
        <v>0</v>
      </c>
      <c r="AE71" s="30">
        <f ca="1">SUMIF(Table20[Ticker],Table20[[#This Row],[Ticker]],Table20[realized_profit])</f>
        <v>-5077</v>
      </c>
      <c r="AF71" s="30" t="str">
        <f>VLOOKUP(Table20[[#This Row],[Strategy]],Table29[#All],7,FALSE)</f>
        <v>Bearish</v>
      </c>
    </row>
    <row r="72" spans="1:32" hidden="1">
      <c r="A72" s="35">
        <v>45555</v>
      </c>
      <c r="B72" s="21" t="e" vm="159">
        <v>#VALUE!</v>
      </c>
      <c r="C72" s="109" t="str" cm="1">
        <f t="array" aca="1" ref="C72" ca="1">_FV(Table20[[#This Row],[Asset]],"Ticker symbol",TRUE)</f>
        <v>BABA</v>
      </c>
      <c r="D72" s="26" cm="1">
        <f t="array" aca="1" ref="D72" ca="1">_FV(Table20[[#This Row],[Asset]],"Price")</f>
        <v>129.63999999999999</v>
      </c>
      <c r="E72" s="26">
        <v>80</v>
      </c>
      <c r="F72" s="33">
        <v>4</v>
      </c>
      <c r="G72" s="34">
        <v>1</v>
      </c>
      <c r="H72" s="111" t="s">
        <v>113</v>
      </c>
      <c r="I72" s="31">
        <v>45496</v>
      </c>
      <c r="J72" s="26">
        <v>3.03</v>
      </c>
      <c r="K72" s="24">
        <v>0.3382</v>
      </c>
      <c r="L72" s="33">
        <f>VLOOKUP(Table20[[#This Row],[Strategy]],Table29[#All],6,FALSE)</f>
        <v>1</v>
      </c>
      <c r="M72" s="23">
        <v>4</v>
      </c>
      <c r="N72" s="23">
        <v>2.2400000000000002</v>
      </c>
      <c r="O72" s="23"/>
      <c r="P72" s="23"/>
      <c r="Q72">
        <f>Table20[[#This Row],[Exit1]]*Table20[[#This Row],[ex1_price]]</f>
        <v>8.9600000000000009</v>
      </c>
      <c r="R72">
        <f>Table20[[#This Row],[Exit2]]*Table20[[#This Row],[ex2_price]]</f>
        <v>0</v>
      </c>
      <c r="S72">
        <f>IFERROR((Table20[[#This Row],[ex2_amnt]]+Table20[[#This Row],[ex1_amnt]])/(Table20[[#This Row],[Exit2]]+Table20[[#This Row],[Exit1]]),0)</f>
        <v>2.2400000000000002</v>
      </c>
      <c r="T72" s="5">
        <f>(Table20[[#This Row],[Exit1]]+Table20[[#This Row],[Exit2]])*(Table20[[#This Row],[avg_exit_price]]-Table20[[#This Row],[AvePrice]])*100*Table20[[#This Row],[Buy or Sell]]</f>
        <v>-315.99999999999983</v>
      </c>
      <c r="U72" s="5">
        <f>Table20[[#This Row],[Number of options]]*Table20[[#This Row],[AvePrice]]*100*Table20[[#This Row],[Buy or Sell]]</f>
        <v>1212</v>
      </c>
      <c r="V72" s="8">
        <f>Table20[[#This Row],[Number of options]]-Table20[[#This Row],[Exit1]]-Table20[[#This Row],[Exit2]]</f>
        <v>0</v>
      </c>
      <c r="W72" s="30">
        <f ca="1">(Table20[[#This Row],[Expiration Date]]-TODAY())/365</f>
        <v>-1.5123287671232877</v>
      </c>
      <c r="X72" s="30" t="e">
        <f ca="1">(LN(Table20[[#This Row],[Current Price]]/Table20[[#This Row],[strike_price]]) + ($B$2 + (Table20[[#This Row],[Vol]]^2)/2)*Table20[[#This Row],[Time to expiration]]) / (Table20[[#This Row],[Vol]] * SQRT(Table20[[#This Row],[Time to expiration]]))</f>
        <v>#NUM!</v>
      </c>
      <c r="Y72" s="30" t="e">
        <f ca="1">IF(Table20[[#This Row],[Direction]]&gt;0, _xlfn.NORM.S.DIST(Table20[[#This Row],[d1]], TRUE), _xlfn.NORM.S.DIST(Table20[[#This Row],[d1]], TRUE) - 1) * Table20[[#This Row],[Buy or Sell]]</f>
        <v>#NUM!</v>
      </c>
      <c r="Z72" s="9">
        <f ca="1">Table20[[#This Row],[Remaining]]*Table20[[#This Row],[Current Price]]*100</f>
        <v>0</v>
      </c>
      <c r="AA72" s="22">
        <f ca="1">IFERROR(Table20[[#This Row],[nominal_exposure]]*Table20[[#This Row],[Delta]],0)</f>
        <v>0</v>
      </c>
      <c r="AB72" s="30" t="b">
        <f>IF(Table20[[#This Row],[date_purchased]]&lt;&gt;Table20[[#This Row],[Expiration Date]],FALSE,TRUE)</f>
        <v>0</v>
      </c>
      <c r="AC72" s="30" t="str">
        <f>VLOOKUP(Table20[[#This Row],[Asset]],Table19[#All],3,FALSE)</f>
        <v>China</v>
      </c>
      <c r="AD72" s="30">
        <f>IF(Table20[[#This Row],[Remaining]]&lt;&gt;0,Table20[[#This Row],[Invested]]*Table20[[#This Row],[Remaining]]/Table20[[#This Row],[Number of options]],0)</f>
        <v>0</v>
      </c>
      <c r="AE72" s="30">
        <f ca="1">SUMIF(Table20[Ticker],Table20[[#This Row],[Ticker]],Table20[realized_profit])</f>
        <v>5855</v>
      </c>
      <c r="AF72" s="30" t="str">
        <f>VLOOKUP(Table20[[#This Row],[Strategy]],Table29[#All],7,FALSE)</f>
        <v>Bullish</v>
      </c>
    </row>
    <row r="73" spans="1:32" hidden="1">
      <c r="A73" s="118">
        <v>45506</v>
      </c>
      <c r="B73" s="21" t="e" vm="11">
        <v>#VALUE!</v>
      </c>
      <c r="C73" s="109" t="str" cm="1">
        <f t="array" aca="1" ref="C73" ca="1">_FV(Table20[[#This Row],[Asset]],"Ticker symbol",TRUE)</f>
        <v>AMZN</v>
      </c>
      <c r="D73" s="26" cm="1">
        <f t="array" aca="1" ref="D73" ca="1">_FV(Table20[[#This Row],[Asset]],"Price")</f>
        <v>212.15</v>
      </c>
      <c r="E73" s="26">
        <v>200</v>
      </c>
      <c r="F73" s="33">
        <v>2</v>
      </c>
      <c r="G73" s="34">
        <v>-1</v>
      </c>
      <c r="H73" s="111" t="s">
        <v>115</v>
      </c>
      <c r="I73" s="31">
        <v>45492</v>
      </c>
      <c r="J73" s="26">
        <v>2.7</v>
      </c>
      <c r="K73" s="24">
        <v>0.56000000000000005</v>
      </c>
      <c r="L73" s="33">
        <f>VLOOKUP(Table20[[#This Row],[Strategy]],Table29[#All],6,FALSE)</f>
        <v>1</v>
      </c>
      <c r="M73" s="23">
        <v>2</v>
      </c>
      <c r="N73" s="23">
        <v>0.01</v>
      </c>
      <c r="O73" s="23"/>
      <c r="P73" s="23"/>
      <c r="Q73">
        <f>Table20[[#This Row],[Exit1]]*Table20[[#This Row],[ex1_price]]</f>
        <v>0.02</v>
      </c>
      <c r="R73">
        <f>Table20[[#This Row],[Exit2]]*Table20[[#This Row],[ex2_price]]</f>
        <v>0</v>
      </c>
      <c r="S73">
        <f>IFERROR((Table20[[#This Row],[ex2_amnt]]+Table20[[#This Row],[ex1_amnt]])/(Table20[[#This Row],[Exit2]]+Table20[[#This Row],[Exit1]]),0)</f>
        <v>0.01</v>
      </c>
      <c r="T73" s="5">
        <f>(Table20[[#This Row],[Exit1]]+Table20[[#This Row],[Exit2]])*(Table20[[#This Row],[avg_exit_price]]-Table20[[#This Row],[AvePrice]])*100*Table20[[#This Row],[Buy or Sell]]</f>
        <v>538.00000000000011</v>
      </c>
      <c r="U73" s="5">
        <f>Table20[[#This Row],[Number of options]]*Table20[[#This Row],[AvePrice]]*100*Table20[[#This Row],[Buy or Sell]]</f>
        <v>-540</v>
      </c>
      <c r="V73" s="8">
        <f>Table20[[#This Row],[Number of options]]-Table20[[#This Row],[Exit1]]-Table20[[#This Row],[Exit2]]</f>
        <v>0</v>
      </c>
      <c r="W73" s="30">
        <f ca="1">(Table20[[#This Row],[Expiration Date]]-TODAY())/365</f>
        <v>-1.6465753424657534</v>
      </c>
      <c r="X73" s="30" t="e">
        <f ca="1">(LN(Table20[[#This Row],[Current Price]]/Table20[[#This Row],[strike_price]]) + ($B$2 + (Table20[[#This Row],[Vol]]^2)/2)*Table20[[#This Row],[Time to expiration]]) / (Table20[[#This Row],[Vol]] * SQRT(Table20[[#This Row],[Time to expiration]]))</f>
        <v>#NUM!</v>
      </c>
      <c r="Y73" s="30" t="e">
        <f ca="1">IF(Table20[[#This Row],[Direction]]&gt;0, _xlfn.NORM.S.DIST(Table20[[#This Row],[d1]], TRUE), _xlfn.NORM.S.DIST(Table20[[#This Row],[d1]], TRUE) - 1) * Table20[[#This Row],[Buy or Sell]]</f>
        <v>#NUM!</v>
      </c>
      <c r="Z73" s="9">
        <f ca="1">Table20[[#This Row],[Remaining]]*Table20[[#This Row],[Current Price]]*100</f>
        <v>0</v>
      </c>
      <c r="AA73" s="22">
        <f ca="1">IFERROR(Table20[[#This Row],[nominal_exposure]]*Table20[[#This Row],[Delta]],0)</f>
        <v>0</v>
      </c>
      <c r="AB73" s="99" t="b">
        <f>IF(Table20[[#This Row],[date_purchased]]&lt;&gt;Table20[[#This Row],[Expiration Date]],FALSE,TRUE)</f>
        <v>0</v>
      </c>
      <c r="AC73" s="30" t="str">
        <f>VLOOKUP(Table20[[#This Row],[Asset]],Table19[#All],3,FALSE)</f>
        <v>Robotics</v>
      </c>
      <c r="AD73" s="4">
        <f>IF(Table20[[#This Row],[Remaining]]&lt;&gt;0,Table20[[#This Row],[Invested]]*Table20[[#This Row],[Remaining]]/Table20[[#This Row],[Number of options]],0)</f>
        <v>0</v>
      </c>
      <c r="AE73" s="30">
        <f ca="1">SUMIF(Table20[Ticker],Table20[[#This Row],[Ticker]],Table20[realized_profit])</f>
        <v>-1350</v>
      </c>
      <c r="AF73" s="30" t="str">
        <f>VLOOKUP(Table20[[#This Row],[Strategy]],Table29[#All],7,FALSE)</f>
        <v>Bullish</v>
      </c>
    </row>
    <row r="74" spans="1:32" hidden="1">
      <c r="A74" s="118">
        <v>45506</v>
      </c>
      <c r="B74" s="21" t="e" vm="144">
        <v>#VALUE!</v>
      </c>
      <c r="C74" s="109" t="str" cm="1">
        <f t="array" aca="1" ref="C74" ca="1">_FV(Table20[[#This Row],[Asset]],"Ticker symbol",TRUE)</f>
        <v>AAPL</v>
      </c>
      <c r="D74" s="26" cm="1">
        <f t="array" aca="1" ref="D74" ca="1">_FV(Table20[[#This Row],[Asset]],"Price")</f>
        <v>253.2</v>
      </c>
      <c r="E74" s="26">
        <v>230</v>
      </c>
      <c r="F74" s="33">
        <v>2</v>
      </c>
      <c r="G74" s="34">
        <v>-1</v>
      </c>
      <c r="H74" s="34" t="s">
        <v>115</v>
      </c>
      <c r="I74" s="31">
        <v>45498</v>
      </c>
      <c r="J74" s="26">
        <v>1.24</v>
      </c>
      <c r="K74" s="24">
        <v>0.37290000000000001</v>
      </c>
      <c r="L74" s="33">
        <f>VLOOKUP(Table20[[#This Row],[Strategy]],Table29[#All],6,FALSE)</f>
        <v>1</v>
      </c>
      <c r="M74" s="23">
        <v>2</v>
      </c>
      <c r="N74" s="23">
        <v>0.16</v>
      </c>
      <c r="O74" s="23"/>
      <c r="P74" s="23"/>
      <c r="Q74">
        <f>Table20[[#This Row],[Exit1]]*Table20[[#This Row],[ex1_price]]</f>
        <v>0.32</v>
      </c>
      <c r="R74">
        <f>Table20[[#This Row],[Exit2]]*Table20[[#This Row],[ex2_price]]</f>
        <v>0</v>
      </c>
      <c r="S74">
        <f>IFERROR((Table20[[#This Row],[ex2_amnt]]+Table20[[#This Row],[ex1_amnt]])/(Table20[[#This Row],[Exit2]]+Table20[[#This Row],[Exit1]]),0)</f>
        <v>0.16</v>
      </c>
      <c r="T74" s="5">
        <f>(Table20[[#This Row],[Exit1]]+Table20[[#This Row],[Exit2]])*(Table20[[#This Row],[avg_exit_price]]-Table20[[#This Row],[AvePrice]])*100*Table20[[#This Row],[Buy or Sell]]</f>
        <v>216</v>
      </c>
      <c r="U74" s="5">
        <f>Table20[[#This Row],[Number of options]]*Table20[[#This Row],[AvePrice]]*100*Table20[[#This Row],[Buy or Sell]]</f>
        <v>-248</v>
      </c>
      <c r="V74" s="8">
        <f>Table20[[#This Row],[Number of options]]-Table20[[#This Row],[Exit1]]-Table20[[#This Row],[Exit2]]</f>
        <v>0</v>
      </c>
      <c r="W74" s="30">
        <f ca="1">(Table20[[#This Row],[Expiration Date]]-TODAY())/365</f>
        <v>-1.6465753424657534</v>
      </c>
      <c r="X74" s="30" t="e">
        <f ca="1">(LN(Table20[[#This Row],[Current Price]]/Table20[[#This Row],[strike_price]]) + ($B$2 + (Table20[[#This Row],[Vol]]^2)/2)*Table20[[#This Row],[Time to expiration]]) / (Table20[[#This Row],[Vol]] * SQRT(Table20[[#This Row],[Time to expiration]]))</f>
        <v>#NUM!</v>
      </c>
      <c r="Y74" s="30" t="e">
        <f ca="1">IF(Table20[[#This Row],[Direction]]&gt;0, _xlfn.NORM.S.DIST(Table20[[#This Row],[d1]], TRUE), _xlfn.NORM.S.DIST(Table20[[#This Row],[d1]], TRUE) - 1) * Table20[[#This Row],[Buy or Sell]]</f>
        <v>#NUM!</v>
      </c>
      <c r="Z74" s="9">
        <f ca="1">Table20[[#This Row],[Remaining]]*Table20[[#This Row],[Current Price]]*100</f>
        <v>0</v>
      </c>
      <c r="AA74" s="22">
        <f ca="1">IFERROR(Table20[[#This Row],[nominal_exposure]]*Table20[[#This Row],[Delta]],0)</f>
        <v>0</v>
      </c>
      <c r="AB74" s="30" t="b">
        <f>IF(Table20[[#This Row],[date_purchased]]&lt;&gt;Table20[[#This Row],[Expiration Date]],FALSE,TRUE)</f>
        <v>0</v>
      </c>
      <c r="AC74" s="30" t="str">
        <f>VLOOKUP(Table20[[#This Row],[Asset]],Table19[#All],3,FALSE)</f>
        <v>AI</v>
      </c>
      <c r="AD74" s="4">
        <f>IF(Table20[[#This Row],[Remaining]]&lt;&gt;0,Table20[[#This Row],[Invested]]*Table20[[#This Row],[Remaining]]/Table20[[#This Row],[Number of options]],0)</f>
        <v>0</v>
      </c>
      <c r="AE74" s="30">
        <f ca="1">SUMIF(Table20[Ticker],Table20[[#This Row],[Ticker]],Table20[realized_profit])</f>
        <v>-153.9999999999996</v>
      </c>
      <c r="AF74" s="30" t="str">
        <f>VLOOKUP(Table20[[#This Row],[Strategy]],Table29[#All],7,FALSE)</f>
        <v>Bullish</v>
      </c>
    </row>
    <row r="75" spans="1:32" hidden="1">
      <c r="A75" s="118">
        <v>45506</v>
      </c>
      <c r="B75" s="21" t="e" vm="121">
        <v>#VALUE!</v>
      </c>
      <c r="C75" s="109" t="str" cm="1">
        <f t="array" aca="1" ref="C75" ca="1">_FV(Table20[[#This Row],[Asset]],"Ticker symbol",TRUE)</f>
        <v>IWM</v>
      </c>
      <c r="D75" s="26" cm="1">
        <f t="array" aca="1" ref="D75" ca="1">_FV(Table20[[#This Row],[Asset]],"Price")</f>
        <v>252.46010000000001</v>
      </c>
      <c r="E75" s="26">
        <v>220</v>
      </c>
      <c r="F75" s="33">
        <v>1</v>
      </c>
      <c r="G75" s="34">
        <v>1</v>
      </c>
      <c r="H75" s="120" t="s">
        <v>65</v>
      </c>
      <c r="I75" s="31">
        <v>45497</v>
      </c>
      <c r="J75" s="26">
        <v>3.02</v>
      </c>
      <c r="K75" s="24">
        <v>0.28320000000000001</v>
      </c>
      <c r="L75" s="33">
        <f>VLOOKUP(Table20[[#This Row],[Strategy]],Table29[#All],6,FALSE)</f>
        <v>-1</v>
      </c>
      <c r="M75" s="23">
        <v>1</v>
      </c>
      <c r="N75" s="23">
        <v>1.51</v>
      </c>
      <c r="O75" s="23"/>
      <c r="P75" s="23"/>
      <c r="Q75">
        <f>Table20[[#This Row],[Exit1]]*Table20[[#This Row],[ex1_price]]</f>
        <v>1.51</v>
      </c>
      <c r="R75">
        <f>Table20[[#This Row],[Exit2]]*Table20[[#This Row],[ex2_price]]</f>
        <v>0</v>
      </c>
      <c r="S75">
        <f>IFERROR((Table20[[#This Row],[ex2_amnt]]+Table20[[#This Row],[ex1_amnt]])/(Table20[[#This Row],[Exit2]]+Table20[[#This Row],[Exit1]]),0)</f>
        <v>1.51</v>
      </c>
      <c r="T75" s="5">
        <f>(Table20[[#This Row],[Exit1]]+Table20[[#This Row],[Exit2]])*(Table20[[#This Row],[avg_exit_price]]-Table20[[#This Row],[AvePrice]])*100*Table20[[#This Row],[Buy or Sell]]</f>
        <v>-151</v>
      </c>
      <c r="U75" s="5">
        <f>Table20[[#This Row],[Number of options]]*Table20[[#This Row],[AvePrice]]*100*Table20[[#This Row],[Buy or Sell]]</f>
        <v>302</v>
      </c>
      <c r="V75" s="8">
        <f>Table20[[#This Row],[Number of options]]-Table20[[#This Row],[Exit1]]-Table20[[#This Row],[Exit2]]</f>
        <v>0</v>
      </c>
      <c r="W75" s="30">
        <f ca="1">(Table20[[#This Row],[Expiration Date]]-TODAY())/365</f>
        <v>-1.6465753424657534</v>
      </c>
      <c r="X75" s="30" t="e">
        <f ca="1">(LN(Table20[[#This Row],[Current Price]]/Table20[[#This Row],[strike_price]]) + ($B$2 + (Table20[[#This Row],[Vol]]^2)/2)*Table20[[#This Row],[Time to expiration]]) / (Table20[[#This Row],[Vol]] * SQRT(Table20[[#This Row],[Time to expiration]]))</f>
        <v>#NUM!</v>
      </c>
      <c r="Y75" s="30" t="e">
        <f ca="1">IF(Table20[[#This Row],[Direction]]&gt;0, _xlfn.NORM.S.DIST(Table20[[#This Row],[d1]], TRUE), _xlfn.NORM.S.DIST(Table20[[#This Row],[d1]], TRUE) - 1) * Table20[[#This Row],[Buy or Sell]]</f>
        <v>#NUM!</v>
      </c>
      <c r="Z75" s="9">
        <f ca="1">Table20[[#This Row],[Remaining]]*Table20[[#This Row],[Current Price]]*100</f>
        <v>0</v>
      </c>
      <c r="AA75" s="22">
        <f ca="1">IFERROR(Table20[[#This Row],[nominal_exposure]]*Table20[[#This Row],[Delta]],0)</f>
        <v>0</v>
      </c>
      <c r="AB75" s="30" t="b">
        <f>IF(Table20[[#This Row],[date_purchased]]&lt;&gt;Table20[[#This Row],[Expiration Date]],FALSE,TRUE)</f>
        <v>0</v>
      </c>
      <c r="AC75" s="30" t="str">
        <f>VLOOKUP(Table20[[#This Row],[Asset]],Table19[#All],3,FALSE)</f>
        <v>Market</v>
      </c>
      <c r="AD75" s="30">
        <f>IF(Table20[[#This Row],[Remaining]]&lt;&gt;0,Table20[[#This Row],[Invested]]*Table20[[#This Row],[Remaining]]/Table20[[#This Row],[Number of options]],0)</f>
        <v>0</v>
      </c>
      <c r="AE75" s="30">
        <f ca="1">SUMIF(Table20[Ticker],Table20[[#This Row],[Ticker]],Table20[realized_profit])</f>
        <v>-331.99999999999994</v>
      </c>
      <c r="AF75" s="30" t="str">
        <f>VLOOKUP(Table20[[#This Row],[Strategy]],Table29[#All],7,FALSE)</f>
        <v>Bearish</v>
      </c>
    </row>
    <row r="76" spans="1:32" hidden="1">
      <c r="A76" s="35">
        <v>45506</v>
      </c>
      <c r="B76" s="21" t="e" vm="159">
        <v>#VALUE!</v>
      </c>
      <c r="C76" s="109" t="str" cm="1">
        <f t="array" aca="1" ref="C76" ca="1">_FV(Table20[[#This Row],[Asset]],"Ticker symbol",TRUE)</f>
        <v>BABA</v>
      </c>
      <c r="D76" s="26" cm="1">
        <f t="array" aca="1" ref="D76" ca="1">_FV(Table20[[#This Row],[Asset]],"Price")</f>
        <v>129.63999999999999</v>
      </c>
      <c r="E76" s="26">
        <v>80</v>
      </c>
      <c r="F76" s="33">
        <v>1</v>
      </c>
      <c r="G76" s="34">
        <v>1</v>
      </c>
      <c r="H76" s="34" t="s">
        <v>65</v>
      </c>
      <c r="I76" s="31">
        <v>45502</v>
      </c>
      <c r="J76" s="26">
        <v>1.85</v>
      </c>
      <c r="K76" s="24">
        <v>0.39850000000000002</v>
      </c>
      <c r="L76" s="33">
        <f>VLOOKUP(Table20[[#This Row],[Strategy]],Table29[#All],6,FALSE)</f>
        <v>-1</v>
      </c>
      <c r="M76" s="23">
        <v>1</v>
      </c>
      <c r="N76" s="23">
        <v>2.13</v>
      </c>
      <c r="O76" s="23"/>
      <c r="P76" s="23"/>
      <c r="Q76">
        <f>Table20[[#This Row],[Exit1]]*Table20[[#This Row],[ex1_price]]</f>
        <v>2.13</v>
      </c>
      <c r="R76">
        <f>Table20[[#This Row],[Exit2]]*Table20[[#This Row],[ex2_price]]</f>
        <v>0</v>
      </c>
      <c r="S76">
        <f>IFERROR((Table20[[#This Row],[ex2_amnt]]+Table20[[#This Row],[ex1_amnt]])/(Table20[[#This Row],[Exit2]]+Table20[[#This Row],[Exit1]]),0)</f>
        <v>2.13</v>
      </c>
      <c r="T76" s="5">
        <f>(Table20[[#This Row],[Exit1]]+Table20[[#This Row],[Exit2]])*(Table20[[#This Row],[avg_exit_price]]-Table20[[#This Row],[AvePrice]])*100*Table20[[#This Row],[Buy or Sell]]</f>
        <v>27.999999999999979</v>
      </c>
      <c r="U76" s="5">
        <f>Table20[[#This Row],[Number of options]]*Table20[[#This Row],[AvePrice]]*100*Table20[[#This Row],[Buy or Sell]]</f>
        <v>185</v>
      </c>
      <c r="V76" s="8">
        <f>Table20[[#This Row],[Number of options]]-Table20[[#This Row],[Exit1]]-Table20[[#This Row],[Exit2]]</f>
        <v>0</v>
      </c>
      <c r="W76" s="30">
        <f ca="1">(Table20[[#This Row],[Expiration Date]]-TODAY())/365</f>
        <v>-1.6465753424657534</v>
      </c>
      <c r="X76" s="30" t="e">
        <f ca="1">(LN(Table20[[#This Row],[Current Price]]/Table20[[#This Row],[strike_price]]) + ($B$2 + (Table20[[#This Row],[Vol]]^2)/2)*Table20[[#This Row],[Time to expiration]]) / (Table20[[#This Row],[Vol]] * SQRT(Table20[[#This Row],[Time to expiration]]))</f>
        <v>#NUM!</v>
      </c>
      <c r="Y76" s="30" t="e">
        <f ca="1">IF(Table20[[#This Row],[Direction]]&gt;0, _xlfn.NORM.S.DIST(Table20[[#This Row],[d1]], TRUE), _xlfn.NORM.S.DIST(Table20[[#This Row],[d1]], TRUE) - 1) * Table20[[#This Row],[Buy or Sell]]</f>
        <v>#NUM!</v>
      </c>
      <c r="Z76" s="9">
        <f ca="1">Table20[[#This Row],[Remaining]]*Table20[[#This Row],[Current Price]]*100</f>
        <v>0</v>
      </c>
      <c r="AA76" s="22">
        <f ca="1">IFERROR(Table20[[#This Row],[nominal_exposure]]*Table20[[#This Row],[Delta]],0)</f>
        <v>0</v>
      </c>
      <c r="AB76" s="30" t="b">
        <f>IF(Table20[[#This Row],[date_purchased]]&lt;&gt;Table20[[#This Row],[Expiration Date]],FALSE,TRUE)</f>
        <v>0</v>
      </c>
      <c r="AC76" s="30" t="str">
        <f>VLOOKUP(Table20[[#This Row],[Asset]],Table19[#All],3,FALSE)</f>
        <v>China</v>
      </c>
      <c r="AD76" s="30">
        <f>IF(Table20[[#This Row],[Remaining]]&lt;&gt;0,Table20[[#This Row],[Invested]]*Table20[[#This Row],[Remaining]]/Table20[[#This Row],[Number of options]],0)</f>
        <v>0</v>
      </c>
      <c r="AE76" s="30">
        <f ca="1">SUMIF(Table20[Ticker],Table20[[#This Row],[Ticker]],Table20[realized_profit])</f>
        <v>5855</v>
      </c>
      <c r="AF76" s="30" t="str">
        <f>VLOOKUP(Table20[[#This Row],[Strategy]],Table29[#All],7,FALSE)</f>
        <v>Bearish</v>
      </c>
    </row>
    <row r="77" spans="1:32" hidden="1">
      <c r="A77" s="35">
        <v>45506</v>
      </c>
      <c r="B77" s="21" t="e" vm="24">
        <v>#VALUE!</v>
      </c>
      <c r="C77" s="109" t="str" cm="1">
        <f t="array" aca="1" ref="C77" ca="1">_FV(Table20[[#This Row],[Asset]],"Ticker symbol",TRUE)</f>
        <v>QCOM</v>
      </c>
      <c r="D77" s="26" cm="1">
        <f t="array" aca="1" ref="D77" ca="1">_FV(Table20[[#This Row],[Asset]],"Price")</f>
        <v>131.63499999999999</v>
      </c>
      <c r="E77" s="26">
        <v>200</v>
      </c>
      <c r="F77" s="33">
        <v>2</v>
      </c>
      <c r="G77" s="34">
        <v>-1</v>
      </c>
      <c r="H77" s="34" t="s">
        <v>115</v>
      </c>
      <c r="I77" s="31">
        <v>45502</v>
      </c>
      <c r="J77" s="26">
        <v>1.49</v>
      </c>
      <c r="K77" s="24">
        <v>0.89380000000000004</v>
      </c>
      <c r="L77" s="33">
        <f>VLOOKUP(Table20[[#This Row],[Strategy]],Table29[#All],6,FALSE)</f>
        <v>1</v>
      </c>
      <c r="M77" s="23">
        <v>2</v>
      </c>
      <c r="N77" s="23">
        <v>0</v>
      </c>
      <c r="O77" s="23"/>
      <c r="P77" s="23"/>
      <c r="Q77">
        <f>Table20[[#This Row],[Exit1]]*Table20[[#This Row],[ex1_price]]</f>
        <v>0</v>
      </c>
      <c r="R77">
        <f>Table20[[#This Row],[Exit2]]*Table20[[#This Row],[ex2_price]]</f>
        <v>0</v>
      </c>
      <c r="S77">
        <f>IFERROR((Table20[[#This Row],[ex2_amnt]]+Table20[[#This Row],[ex1_amnt]])/(Table20[[#This Row],[Exit2]]+Table20[[#This Row],[Exit1]]),0)</f>
        <v>0</v>
      </c>
      <c r="T77" s="5">
        <f>(Table20[[#This Row],[Exit1]]+Table20[[#This Row],[Exit2]])*(Table20[[#This Row],[avg_exit_price]]-Table20[[#This Row],[AvePrice]])*100*Table20[[#This Row],[Buy or Sell]]</f>
        <v>298</v>
      </c>
      <c r="U77" s="5">
        <f>Table20[[#This Row],[Number of options]]*Table20[[#This Row],[AvePrice]]*100*Table20[[#This Row],[Buy or Sell]]</f>
        <v>-298</v>
      </c>
      <c r="V77" s="8">
        <f>Table20[[#This Row],[Number of options]]-Table20[[#This Row],[Exit1]]-Table20[[#This Row],[Exit2]]</f>
        <v>0</v>
      </c>
      <c r="W77" s="30">
        <f ca="1">(Table20[[#This Row],[Expiration Date]]-TODAY())/365</f>
        <v>-1.6465753424657534</v>
      </c>
      <c r="X77" s="30" t="e">
        <f ca="1">(LN(Table20[[#This Row],[Current Price]]/Table20[[#This Row],[strike_price]]) + ($B$2 + (Table20[[#This Row],[Vol]]^2)/2)*Table20[[#This Row],[Time to expiration]]) / (Table20[[#This Row],[Vol]] * SQRT(Table20[[#This Row],[Time to expiration]]))</f>
        <v>#NUM!</v>
      </c>
      <c r="Y77" s="30" t="e">
        <f ca="1">IF(Table20[[#This Row],[Direction]]&gt;0, _xlfn.NORM.S.DIST(Table20[[#This Row],[d1]], TRUE), _xlfn.NORM.S.DIST(Table20[[#This Row],[d1]], TRUE) - 1) * Table20[[#This Row],[Buy or Sell]]</f>
        <v>#NUM!</v>
      </c>
      <c r="Z77" s="9">
        <f ca="1">Table20[[#This Row],[Remaining]]*Table20[[#This Row],[Current Price]]*100</f>
        <v>0</v>
      </c>
      <c r="AA77" s="22">
        <f ca="1">IFERROR(Table20[[#This Row],[nominal_exposure]]*Table20[[#This Row],[Delta]],0)</f>
        <v>0</v>
      </c>
      <c r="AB77" s="30" t="b">
        <f>IF(Table20[[#This Row],[date_purchased]]&lt;&gt;Table20[[#This Row],[Expiration Date]],FALSE,TRUE)</f>
        <v>0</v>
      </c>
      <c r="AC77" s="30" t="str">
        <f>VLOOKUP(Table20[[#This Row],[Asset]],Table19[#All],3,FALSE)</f>
        <v>AI</v>
      </c>
      <c r="AD77" s="4">
        <f>IF(Table20[[#This Row],[Remaining]]&lt;&gt;0,Table20[[#This Row],[Invested]]*Table20[[#This Row],[Remaining]]/Table20[[#This Row],[Number of options]],0)</f>
        <v>0</v>
      </c>
      <c r="AE77" s="30">
        <f ca="1">SUMIF(Table20[Ticker],Table20[[#This Row],[Ticker]],Table20[realized_profit])</f>
        <v>-2175.9999999999995</v>
      </c>
      <c r="AF77" s="30" t="str">
        <f>VLOOKUP(Table20[[#This Row],[Strategy]],Table29[#All],7,FALSE)</f>
        <v>Bullish</v>
      </c>
    </row>
    <row r="78" spans="1:32" hidden="1">
      <c r="A78" s="35">
        <v>45506</v>
      </c>
      <c r="B78" s="21" t="e" vm="21">
        <v>#VALUE!</v>
      </c>
      <c r="C78" s="109" t="str" cm="1">
        <f t="array" aca="1" ref="C78" ca="1">_FV(Table20[[#This Row],[Asset]],"Ticker symbol",TRUE)</f>
        <v>INTC</v>
      </c>
      <c r="D78" s="26" cm="1">
        <f t="array" aca="1" ref="D78" ca="1">_FV(Table20[[#This Row],[Asset]],"Price")</f>
        <v>47.290100000000002</v>
      </c>
      <c r="E78" s="26">
        <v>35</v>
      </c>
      <c r="F78" s="33">
        <v>15</v>
      </c>
      <c r="G78" s="34">
        <v>-1</v>
      </c>
      <c r="H78" s="34" t="s">
        <v>115</v>
      </c>
      <c r="I78" s="31">
        <v>45502</v>
      </c>
      <c r="J78" s="26">
        <v>0.24</v>
      </c>
      <c r="K78" s="24">
        <v>0.95520000000000005</v>
      </c>
      <c r="L78" s="33">
        <f>VLOOKUP(Table20[[#This Row],[Strategy]],Table29[#All],6,FALSE)</f>
        <v>1</v>
      </c>
      <c r="M78" s="23">
        <v>15</v>
      </c>
      <c r="N78" s="23">
        <v>0</v>
      </c>
      <c r="O78" s="23"/>
      <c r="P78" s="23"/>
      <c r="Q78">
        <f>Table20[[#This Row],[Exit1]]*Table20[[#This Row],[ex1_price]]</f>
        <v>0</v>
      </c>
      <c r="R78">
        <f>Table20[[#This Row],[Exit2]]*Table20[[#This Row],[ex2_price]]</f>
        <v>0</v>
      </c>
      <c r="S78">
        <f>IFERROR((Table20[[#This Row],[ex2_amnt]]+Table20[[#This Row],[ex1_amnt]])/(Table20[[#This Row],[Exit2]]+Table20[[#This Row],[Exit1]]),0)</f>
        <v>0</v>
      </c>
      <c r="T78" s="5">
        <f>(Table20[[#This Row],[Exit1]]+Table20[[#This Row],[Exit2]])*(Table20[[#This Row],[avg_exit_price]]-Table20[[#This Row],[AvePrice]])*100*Table20[[#This Row],[Buy or Sell]]</f>
        <v>359.99999999999994</v>
      </c>
      <c r="U78" s="5">
        <f>Table20[[#This Row],[Number of options]]*Table20[[#This Row],[AvePrice]]*100*Table20[[#This Row],[Buy or Sell]]</f>
        <v>-359.99999999999994</v>
      </c>
      <c r="V78" s="8">
        <f>Table20[[#This Row],[Number of options]]-Table20[[#This Row],[Exit1]]-Table20[[#This Row],[Exit2]]</f>
        <v>0</v>
      </c>
      <c r="W78" s="30">
        <f ca="1">(Table20[[#This Row],[Expiration Date]]-TODAY())/365</f>
        <v>-1.6465753424657534</v>
      </c>
      <c r="X78" s="30" t="e">
        <f ca="1">(LN(Table20[[#This Row],[Current Price]]/Table20[[#This Row],[strike_price]]) + ($B$2 + (Table20[[#This Row],[Vol]]^2)/2)*Table20[[#This Row],[Time to expiration]]) / (Table20[[#This Row],[Vol]] * SQRT(Table20[[#This Row],[Time to expiration]]))</f>
        <v>#NUM!</v>
      </c>
      <c r="Y78" s="30" t="e">
        <f ca="1">IF(Table20[[#This Row],[Direction]]&gt;0, _xlfn.NORM.S.DIST(Table20[[#This Row],[d1]], TRUE), _xlfn.NORM.S.DIST(Table20[[#This Row],[d1]], TRUE) - 1) * Table20[[#This Row],[Buy or Sell]]</f>
        <v>#NUM!</v>
      </c>
      <c r="Z78" s="9">
        <f ca="1">Table20[[#This Row],[Remaining]]*Table20[[#This Row],[Current Price]]*100</f>
        <v>0</v>
      </c>
      <c r="AA78" s="22">
        <f ca="1">IFERROR(Table20[[#This Row],[nominal_exposure]]*Table20[[#This Row],[Delta]],0)</f>
        <v>0</v>
      </c>
      <c r="AB78" s="30" t="b">
        <f>IF(Table20[[#This Row],[date_purchased]]&lt;&gt;Table20[[#This Row],[Expiration Date]],FALSE,TRUE)</f>
        <v>0</v>
      </c>
      <c r="AC78" s="30" t="str">
        <f>VLOOKUP(Table20[[#This Row],[Asset]],Table19[#All],3,FALSE)</f>
        <v>AI</v>
      </c>
      <c r="AD78" s="4">
        <f>IF(Table20[[#This Row],[Remaining]]&lt;&gt;0,Table20[[#This Row],[Invested]]*Table20[[#This Row],[Remaining]]/Table20[[#This Row],[Number of options]],0)</f>
        <v>0</v>
      </c>
      <c r="AE78" s="4">
        <f ca="1">SUMIF(Table20[Ticker],Table20[[#This Row],[Ticker]],Table20[realized_profit])</f>
        <v>4779</v>
      </c>
      <c r="AF78" s="30" t="str">
        <f>VLOOKUP(Table20[[#This Row],[Strategy]],Table29[#All],7,FALSE)</f>
        <v>Bullish</v>
      </c>
    </row>
    <row r="79" spans="1:32" hidden="1">
      <c r="A79" s="35">
        <v>45520</v>
      </c>
      <c r="B79" s="21" t="e" vm="80">
        <v>#VALUE!</v>
      </c>
      <c r="C79" s="109" t="str" cm="1">
        <f t="array" aca="1" ref="C79" ca="1">_FV(Table20[[#This Row],[Asset]],"Ticker symbol",TRUE)</f>
        <v>PYPL</v>
      </c>
      <c r="D79" s="26" cm="1">
        <f t="array" aca="1" ref="D79" ca="1">_FV(Table20[[#This Row],[Asset]],"Price")</f>
        <v>45.11</v>
      </c>
      <c r="E79" s="26">
        <v>65</v>
      </c>
      <c r="F79" s="33">
        <v>5</v>
      </c>
      <c r="G79" s="34">
        <v>1</v>
      </c>
      <c r="H79" s="111" t="s">
        <v>115</v>
      </c>
      <c r="I79" s="31">
        <v>45492</v>
      </c>
      <c r="J79" s="26">
        <v>1.3</v>
      </c>
      <c r="K79" s="24">
        <v>0.49059999999999998</v>
      </c>
      <c r="L79" s="33">
        <f>VLOOKUP(Table20[[#This Row],[Strategy]],Table29[#All],6,FALSE)</f>
        <v>1</v>
      </c>
      <c r="M79" s="23">
        <v>5</v>
      </c>
      <c r="N79" s="23">
        <v>1.0900000000000001</v>
      </c>
      <c r="O79" s="23"/>
      <c r="P79" s="23"/>
      <c r="Q79">
        <f>Table20[[#This Row],[Exit1]]*Table20[[#This Row],[ex1_price]]</f>
        <v>5.45</v>
      </c>
      <c r="R79">
        <f>Table20[[#This Row],[Exit2]]*Table20[[#This Row],[ex2_price]]</f>
        <v>0</v>
      </c>
      <c r="S79">
        <f>IFERROR((Table20[[#This Row],[ex2_amnt]]+Table20[[#This Row],[ex1_amnt]])/(Table20[[#This Row],[Exit2]]+Table20[[#This Row],[Exit1]]),0)</f>
        <v>1.0900000000000001</v>
      </c>
      <c r="T79" s="5">
        <f>(Table20[[#This Row],[Exit1]]+Table20[[#This Row],[Exit2]])*(Table20[[#This Row],[avg_exit_price]]-Table20[[#This Row],[AvePrice]])*100*Table20[[#This Row],[Buy or Sell]]</f>
        <v>-104.99999999999999</v>
      </c>
      <c r="U79" s="5">
        <f>Table20[[#This Row],[Number of options]]*Table20[[#This Row],[AvePrice]]*100*Table20[[#This Row],[Buy or Sell]]</f>
        <v>650</v>
      </c>
      <c r="V79" s="8">
        <f>Table20[[#This Row],[Number of options]]-Table20[[#This Row],[Exit1]]-Table20[[#This Row],[Exit2]]</f>
        <v>0</v>
      </c>
      <c r="W79" s="30">
        <f ca="1">(Table20[[#This Row],[Expiration Date]]-TODAY())/365</f>
        <v>-1.6082191780821917</v>
      </c>
      <c r="X79" s="30" t="e">
        <f ca="1">(LN(Table20[[#This Row],[Current Price]]/Table20[[#This Row],[strike_price]]) + ($B$2 + (Table20[[#This Row],[Vol]]^2)/2)*Table20[[#This Row],[Time to expiration]]) / (Table20[[#This Row],[Vol]] * SQRT(Table20[[#This Row],[Time to expiration]]))</f>
        <v>#NUM!</v>
      </c>
      <c r="Y79" s="30" t="e">
        <f ca="1">IF(Table20[[#This Row],[Direction]]&gt;0, _xlfn.NORM.S.DIST(Table20[[#This Row],[d1]], TRUE), _xlfn.NORM.S.DIST(Table20[[#This Row],[d1]], TRUE) - 1) * Table20[[#This Row],[Buy or Sell]]</f>
        <v>#NUM!</v>
      </c>
      <c r="Z79" s="9">
        <f ca="1">Table20[[#This Row],[Remaining]]*Table20[[#This Row],[Current Price]]*100</f>
        <v>0</v>
      </c>
      <c r="AA79" s="22">
        <f ca="1">IFERROR(Table20[[#This Row],[nominal_exposure]]*Table20[[#This Row],[Delta]],0)</f>
        <v>0</v>
      </c>
      <c r="AB79" s="30" t="b">
        <f>IF(Table20[[#This Row],[date_purchased]]&lt;&gt;Table20[[#This Row],[Expiration Date]],FALSE,TRUE)</f>
        <v>0</v>
      </c>
      <c r="AC79" s="30" t="str">
        <f>VLOOKUP(Table20[[#This Row],[Asset]],Table19[#All],3,FALSE)</f>
        <v>Financials</v>
      </c>
      <c r="AD79" s="30">
        <f>IF(Table20[[#This Row],[Remaining]]&lt;&gt;0,Table20[[#This Row],[Invested]]*Table20[[#This Row],[Remaining]]/Table20[[#This Row],[Number of options]],0)</f>
        <v>0</v>
      </c>
      <c r="AE79" s="30">
        <f ca="1">SUMIF(Table20[Ticker],Table20[[#This Row],[Ticker]],Table20[realized_profit])</f>
        <v>208.99999999999997</v>
      </c>
      <c r="AF79" s="30" t="str">
        <f>VLOOKUP(Table20[[#This Row],[Strategy]],Table29[#All],7,FALSE)</f>
        <v>Bullish</v>
      </c>
    </row>
    <row r="80" spans="1:32" hidden="1">
      <c r="A80" s="35">
        <v>45506</v>
      </c>
      <c r="B80" s="21" t="e" vm="80">
        <v>#VALUE!</v>
      </c>
      <c r="C80" s="109" t="str" cm="1">
        <f t="array" aca="1" ref="C80" ca="1">_FV(Table20[[#This Row],[Asset]],"Ticker symbol",TRUE)</f>
        <v>PYPL</v>
      </c>
      <c r="D80" s="26" cm="1">
        <f t="array" aca="1" ref="D80" ca="1">_FV(Table20[[#This Row],[Asset]],"Price")</f>
        <v>45.11</v>
      </c>
      <c r="E80" s="26">
        <v>65</v>
      </c>
      <c r="F80" s="33">
        <v>10</v>
      </c>
      <c r="G80" s="34">
        <v>-1</v>
      </c>
      <c r="H80" s="34" t="s">
        <v>115</v>
      </c>
      <c r="I80" s="31">
        <v>45502</v>
      </c>
      <c r="J80" s="26">
        <v>0.48</v>
      </c>
      <c r="K80" s="24">
        <v>0.95289999999999997</v>
      </c>
      <c r="L80" s="33">
        <f>VLOOKUP(Table20[[#This Row],[Strategy]],Table29[#All],6,FALSE)</f>
        <v>1</v>
      </c>
      <c r="M80" s="23">
        <v>10</v>
      </c>
      <c r="N80" s="23">
        <v>1.85</v>
      </c>
      <c r="O80" s="23"/>
      <c r="P80" s="23"/>
      <c r="Q80">
        <f>Table20[[#This Row],[Exit1]]*Table20[[#This Row],[ex1_price]]</f>
        <v>18.5</v>
      </c>
      <c r="R80">
        <f>Table20[[#This Row],[Exit2]]*Table20[[#This Row],[ex2_price]]</f>
        <v>0</v>
      </c>
      <c r="S80">
        <f>IFERROR((Table20[[#This Row],[ex2_amnt]]+Table20[[#This Row],[ex1_amnt]])/(Table20[[#This Row],[Exit2]]+Table20[[#This Row],[Exit1]]),0)</f>
        <v>1.85</v>
      </c>
      <c r="T80" s="5">
        <f>(Table20[[#This Row],[Exit1]]+Table20[[#This Row],[Exit2]])*(Table20[[#This Row],[avg_exit_price]]-Table20[[#This Row],[AvePrice]])*100*Table20[[#This Row],[Buy or Sell]]</f>
        <v>-1370</v>
      </c>
      <c r="U80" s="5">
        <f>Table20[[#This Row],[Number of options]]*Table20[[#This Row],[AvePrice]]*100*Table20[[#This Row],[Buy or Sell]]</f>
        <v>-480</v>
      </c>
      <c r="V80" s="8">
        <f>Table20[[#This Row],[Number of options]]-Table20[[#This Row],[Exit1]]-Table20[[#This Row],[Exit2]]</f>
        <v>0</v>
      </c>
      <c r="W80" s="30">
        <f ca="1">(Table20[[#This Row],[Expiration Date]]-TODAY())/365</f>
        <v>-1.6465753424657534</v>
      </c>
      <c r="X80" s="30" t="e">
        <f ca="1">(LN(Table20[[#This Row],[Current Price]]/Table20[[#This Row],[strike_price]]) + ($B$2 + (Table20[[#This Row],[Vol]]^2)/2)*Table20[[#This Row],[Time to expiration]]) / (Table20[[#This Row],[Vol]] * SQRT(Table20[[#This Row],[Time to expiration]]))</f>
        <v>#NUM!</v>
      </c>
      <c r="Y80" s="30" t="e">
        <f ca="1">IF(Table20[[#This Row],[Direction]]&gt;0, _xlfn.NORM.S.DIST(Table20[[#This Row],[d1]], TRUE), _xlfn.NORM.S.DIST(Table20[[#This Row],[d1]], TRUE) - 1) * Table20[[#This Row],[Buy or Sell]]</f>
        <v>#NUM!</v>
      </c>
      <c r="Z80" s="9">
        <f ca="1">Table20[[#This Row],[Remaining]]*Table20[[#This Row],[Current Price]]*100</f>
        <v>0</v>
      </c>
      <c r="AA80" s="22">
        <f ca="1">IFERROR(Table20[[#This Row],[nominal_exposure]]*Table20[[#This Row],[Delta]],0)</f>
        <v>0</v>
      </c>
      <c r="AB80" s="30" t="b">
        <f>IF(Table20[[#This Row],[date_purchased]]&lt;&gt;Table20[[#This Row],[Expiration Date]],FALSE,TRUE)</f>
        <v>0</v>
      </c>
      <c r="AC80" s="30" t="str">
        <f>VLOOKUP(Table20[[#This Row],[Asset]],Table19[#All],3,FALSE)</f>
        <v>Financials</v>
      </c>
      <c r="AD80" s="30">
        <f>IF(Table20[[#This Row],[Remaining]]&lt;&gt;0,Table20[[#This Row],[Invested]]*Table20[[#This Row],[Remaining]]/Table20[[#This Row],[Number of options]],0)</f>
        <v>0</v>
      </c>
      <c r="AE80" s="30">
        <f ca="1">SUMIF(Table20[Ticker],Table20[[#This Row],[Ticker]],Table20[realized_profit])</f>
        <v>208.99999999999997</v>
      </c>
      <c r="AF80" s="30" t="str">
        <f>VLOOKUP(Table20[[#This Row],[Strategy]],Table29[#All],7,FALSE)</f>
        <v>Bullish</v>
      </c>
    </row>
    <row r="81" spans="1:32" hidden="1">
      <c r="A81" s="118">
        <v>45506</v>
      </c>
      <c r="B81" s="21" t="e" vm="11">
        <v>#VALUE!</v>
      </c>
      <c r="C81" s="109" t="str" cm="1">
        <f t="array" aca="1" ref="C81" ca="1">_FV(Table20[[#This Row],[Asset]],"Ticker symbol",TRUE)</f>
        <v>AMZN</v>
      </c>
      <c r="D81" s="26" cm="1">
        <f t="array" aca="1" ref="D81" ca="1">_FV(Table20[[#This Row],[Asset]],"Price")</f>
        <v>212.15</v>
      </c>
      <c r="E81" s="26">
        <v>190</v>
      </c>
      <c r="F81" s="33">
        <v>4</v>
      </c>
      <c r="G81" s="34">
        <v>-1</v>
      </c>
      <c r="H81" s="113" t="s">
        <v>115</v>
      </c>
      <c r="I81" s="31">
        <v>45497</v>
      </c>
      <c r="J81" s="26">
        <v>4.01</v>
      </c>
      <c r="K81" s="24">
        <v>0.61419999999999997</v>
      </c>
      <c r="L81" s="33">
        <f>VLOOKUP(Table20[[#This Row],[Strategy]],Table29[#All],6,FALSE)</f>
        <v>1</v>
      </c>
      <c r="M81" s="23">
        <v>4</v>
      </c>
      <c r="N81" s="23">
        <v>0.01</v>
      </c>
      <c r="O81" s="23"/>
      <c r="P81" s="23"/>
      <c r="Q81">
        <f>Table20[[#This Row],[Exit1]]*Table20[[#This Row],[ex1_price]]</f>
        <v>0.04</v>
      </c>
      <c r="R81">
        <f>Table20[[#This Row],[Exit2]]*Table20[[#This Row],[ex2_price]]</f>
        <v>0</v>
      </c>
      <c r="S81">
        <f>IFERROR((Table20[[#This Row],[ex2_amnt]]+Table20[[#This Row],[ex1_amnt]])/(Table20[[#This Row],[Exit2]]+Table20[[#This Row],[Exit1]]),0)</f>
        <v>0.01</v>
      </c>
      <c r="T81" s="5">
        <f>(Table20[[#This Row],[Exit1]]+Table20[[#This Row],[Exit2]])*(Table20[[#This Row],[avg_exit_price]]-Table20[[#This Row],[AvePrice]])*100*Table20[[#This Row],[Buy or Sell]]</f>
        <v>1600</v>
      </c>
      <c r="U81" s="5">
        <f>Table20[[#This Row],[Number of options]]*Table20[[#This Row],[AvePrice]]*100*Table20[[#This Row],[Buy or Sell]]</f>
        <v>-1604</v>
      </c>
      <c r="V81" s="8">
        <f>Table20[[#This Row],[Number of options]]-Table20[[#This Row],[Exit1]]-Table20[[#This Row],[Exit2]]</f>
        <v>0</v>
      </c>
      <c r="W81" s="30">
        <f ca="1">(Table20[[#This Row],[Expiration Date]]-TODAY())/365</f>
        <v>-1.6465753424657534</v>
      </c>
      <c r="X81" s="30" t="e">
        <f ca="1">(LN(Table20[[#This Row],[Current Price]]/Table20[[#This Row],[strike_price]]) + ($B$2 + (Table20[[#This Row],[Vol]]^2)/2)*Table20[[#This Row],[Time to expiration]]) / (Table20[[#This Row],[Vol]] * SQRT(Table20[[#This Row],[Time to expiration]]))</f>
        <v>#NUM!</v>
      </c>
      <c r="Y81" s="30" t="e">
        <f ca="1">IF(Table20[[#This Row],[Direction]]&gt;0, _xlfn.NORM.S.DIST(Table20[[#This Row],[d1]], TRUE), _xlfn.NORM.S.DIST(Table20[[#This Row],[d1]], TRUE) - 1) * Table20[[#This Row],[Buy or Sell]]</f>
        <v>#NUM!</v>
      </c>
      <c r="Z81" s="9">
        <f ca="1">Table20[[#This Row],[Remaining]]*Table20[[#This Row],[Current Price]]*100</f>
        <v>0</v>
      </c>
      <c r="AA81" s="22">
        <f ca="1">IFERROR(Table20[[#This Row],[nominal_exposure]]*Table20[[#This Row],[Delta]],0)</f>
        <v>0</v>
      </c>
      <c r="AB81" s="30" t="b">
        <f>IF(Table20[[#This Row],[date_purchased]]&lt;&gt;Table20[[#This Row],[Expiration Date]],FALSE,TRUE)</f>
        <v>0</v>
      </c>
      <c r="AC81" s="30" t="str">
        <f>VLOOKUP(Table20[[#This Row],[Asset]],Table19[#All],3,FALSE)</f>
        <v>Robotics</v>
      </c>
      <c r="AD81" s="4">
        <f>IF(Table20[[#This Row],[Remaining]]&lt;&gt;0,Table20[[#This Row],[Invested]]*Table20[[#This Row],[Remaining]]/Table20[[#This Row],[Number of options]],0)</f>
        <v>0</v>
      </c>
      <c r="AE81" s="30">
        <f ca="1">SUMIF(Table20[Ticker],Table20[[#This Row],[Ticker]],Table20[realized_profit])</f>
        <v>-1350</v>
      </c>
      <c r="AF81" s="30" t="str">
        <f>VLOOKUP(Table20[[#This Row],[Strategy]],Table29[#All],7,FALSE)</f>
        <v>Bullish</v>
      </c>
    </row>
    <row r="82" spans="1:32" hidden="1">
      <c r="A82" s="35">
        <v>45555</v>
      </c>
      <c r="B82" s="21" t="e" vm="168">
        <v>#VALUE!</v>
      </c>
      <c r="C82" s="109" t="str" cm="1">
        <f t="array" aca="1" ref="C82" ca="1">_FV(Table20[[#This Row],[Asset]],"Ticker symbol",TRUE)</f>
        <v>PDD</v>
      </c>
      <c r="D82" s="26" cm="1">
        <f t="array" aca="1" ref="D82" ca="1">_FV(Table20[[#This Row],[Asset]],"Price")</f>
        <v>106.22</v>
      </c>
      <c r="E82" s="26">
        <v>160</v>
      </c>
      <c r="F82" s="33">
        <v>1</v>
      </c>
      <c r="G82" s="34">
        <v>1</v>
      </c>
      <c r="H82" s="111" t="s">
        <v>115</v>
      </c>
      <c r="I82" s="31">
        <v>45489</v>
      </c>
      <c r="J82" s="26">
        <v>3.48</v>
      </c>
      <c r="K82" s="24">
        <v>0.41399999999999998</v>
      </c>
      <c r="L82" s="33">
        <f>VLOOKUP(Table20[[#This Row],[Strategy]],Table29[#All],6,FALSE)</f>
        <v>1</v>
      </c>
      <c r="M82" s="23">
        <v>1</v>
      </c>
      <c r="N82" s="23">
        <v>1.94</v>
      </c>
      <c r="O82" s="23"/>
      <c r="P82" s="23"/>
      <c r="Q82">
        <f>Table20[[#This Row],[Exit1]]*Table20[[#This Row],[ex1_price]]</f>
        <v>1.94</v>
      </c>
      <c r="R82">
        <f>Table20[[#This Row],[Exit2]]*Table20[[#This Row],[ex2_price]]</f>
        <v>0</v>
      </c>
      <c r="S82">
        <f>IFERROR((Table20[[#This Row],[ex2_amnt]]+Table20[[#This Row],[ex1_amnt]])/(Table20[[#This Row],[Exit2]]+Table20[[#This Row],[Exit1]]),0)</f>
        <v>1.94</v>
      </c>
      <c r="T82" s="5">
        <f>(Table20[[#This Row],[Exit1]]+Table20[[#This Row],[Exit2]])*(Table20[[#This Row],[avg_exit_price]]-Table20[[#This Row],[AvePrice]])*100*Table20[[#This Row],[Buy or Sell]]</f>
        <v>-154</v>
      </c>
      <c r="U82" s="5">
        <f>Table20[[#This Row],[Number of options]]*Table20[[#This Row],[AvePrice]]*100*Table20[[#This Row],[Buy or Sell]]</f>
        <v>348</v>
      </c>
      <c r="V82" s="8">
        <f>Table20[[#This Row],[Number of options]]-Table20[[#This Row],[Exit1]]-Table20[[#This Row],[Exit2]]</f>
        <v>0</v>
      </c>
      <c r="W82" s="30">
        <f ca="1">(Table20[[#This Row],[Expiration Date]]-TODAY())/365</f>
        <v>-1.5123287671232877</v>
      </c>
      <c r="X82" s="30" t="e">
        <f ca="1">(LN(Table20[[#This Row],[Current Price]]/Table20[[#This Row],[strike_price]]) + ($B$2 + (Table20[[#This Row],[Vol]]^2)/2)*Table20[[#This Row],[Time to expiration]]) / (Table20[[#This Row],[Vol]] * SQRT(Table20[[#This Row],[Time to expiration]]))</f>
        <v>#NUM!</v>
      </c>
      <c r="Y82" s="30" t="e">
        <f ca="1">IF(Table20[[#This Row],[Direction]]&gt;0, _xlfn.NORM.S.DIST(Table20[[#This Row],[d1]], TRUE), _xlfn.NORM.S.DIST(Table20[[#This Row],[d1]], TRUE) - 1) * Table20[[#This Row],[Buy or Sell]]</f>
        <v>#NUM!</v>
      </c>
      <c r="Z82" s="9">
        <f ca="1">Table20[[#This Row],[Remaining]]*Table20[[#This Row],[Current Price]]*100</f>
        <v>0</v>
      </c>
      <c r="AA82" s="22">
        <f ca="1">IFERROR(Table20[[#This Row],[nominal_exposure]]*Table20[[#This Row],[Delta]],0)</f>
        <v>0</v>
      </c>
      <c r="AB82" s="99" t="b">
        <f>IF(Table20[[#This Row],[date_purchased]]&lt;&gt;Table20[[#This Row],[Expiration Date]],FALSE,TRUE)</f>
        <v>0</v>
      </c>
      <c r="AC82" s="30" t="str">
        <f>VLOOKUP(Table20[[#This Row],[Asset]],Table19[#All],3,FALSE)</f>
        <v>China</v>
      </c>
      <c r="AD82" s="30">
        <f>IF(Table20[[#This Row],[Remaining]]&lt;&gt;0,Table20[[#This Row],[Invested]]*Table20[[#This Row],[Remaining]]/Table20[[#This Row],[Number of options]],0)</f>
        <v>0</v>
      </c>
      <c r="AE82" s="30">
        <f ca="1">SUMIF(Table20[Ticker],Table20[[#This Row],[Ticker]],Table20[realized_profit])</f>
        <v>1390</v>
      </c>
      <c r="AF82" s="30" t="str">
        <f>VLOOKUP(Table20[[#This Row],[Strategy]],Table29[#All],7,FALSE)</f>
        <v>Bullish</v>
      </c>
    </row>
    <row r="83" spans="1:32" hidden="1">
      <c r="A83" s="118">
        <v>45510</v>
      </c>
      <c r="B83" s="21" t="e" vm="64">
        <v>#VALUE!</v>
      </c>
      <c r="C83" s="109" t="str" cm="1">
        <f t="array" aca="1" ref="C83" ca="1">_FV(Table20[[#This Row],[Asset]],"Ticker symbol",TRUE)</f>
        <v>LULU</v>
      </c>
      <c r="D83" s="26" cm="1">
        <f t="array" aca="1" ref="D83" ca="1">_FV(Table20[[#This Row],[Asset]],"Price")</f>
        <v>159.22</v>
      </c>
      <c r="E83" s="26">
        <v>270</v>
      </c>
      <c r="F83" s="33">
        <v>4</v>
      </c>
      <c r="G83" s="34">
        <v>1</v>
      </c>
      <c r="H83" s="120" t="s">
        <v>113</v>
      </c>
      <c r="I83" s="31">
        <v>45498</v>
      </c>
      <c r="J83" s="26">
        <v>1.79</v>
      </c>
      <c r="K83" s="24">
        <v>0.37440000000000001</v>
      </c>
      <c r="L83" s="33">
        <f>VLOOKUP(Table20[[#This Row],[Strategy]],Table29[#All],6,FALSE)</f>
        <v>1</v>
      </c>
      <c r="M83" s="23">
        <v>4</v>
      </c>
      <c r="N83" s="23">
        <v>1.94</v>
      </c>
      <c r="O83" s="23"/>
      <c r="P83" s="23"/>
      <c r="Q83">
        <f>Table20[[#This Row],[Exit1]]*Table20[[#This Row],[ex1_price]]</f>
        <v>7.76</v>
      </c>
      <c r="R83">
        <f>Table20[[#This Row],[Exit2]]*Table20[[#This Row],[ex2_price]]</f>
        <v>0</v>
      </c>
      <c r="S83">
        <f>IFERROR((Table20[[#This Row],[ex2_amnt]]+Table20[[#This Row],[ex1_amnt]])/(Table20[[#This Row],[Exit2]]+Table20[[#This Row],[Exit1]]),0)</f>
        <v>1.94</v>
      </c>
      <c r="T83" s="5">
        <f>(Table20[[#This Row],[Exit1]]+Table20[[#This Row],[Exit2]])*(Table20[[#This Row],[avg_exit_price]]-Table20[[#This Row],[AvePrice]])*100*Table20[[#This Row],[Buy or Sell]]</f>
        <v>59.999999999999964</v>
      </c>
      <c r="U83" s="5">
        <f>Table20[[#This Row],[Number of options]]*Table20[[#This Row],[AvePrice]]*100*Table20[[#This Row],[Buy or Sell]]</f>
        <v>716</v>
      </c>
      <c r="V83" s="8">
        <f>Table20[[#This Row],[Number of options]]-Table20[[#This Row],[Exit1]]-Table20[[#This Row],[Exit2]]</f>
        <v>0</v>
      </c>
      <c r="W83" s="30">
        <f ca="1">(Table20[[#This Row],[Expiration Date]]-TODAY())/365</f>
        <v>-1.6356164383561644</v>
      </c>
      <c r="X83" s="30" t="e">
        <f ca="1">(LN(Table20[[#This Row],[Current Price]]/Table20[[#This Row],[strike_price]]) + ($B$2 + (Table20[[#This Row],[Vol]]^2)/2)*Table20[[#This Row],[Time to expiration]]) / (Table20[[#This Row],[Vol]] * SQRT(Table20[[#This Row],[Time to expiration]]))</f>
        <v>#NUM!</v>
      </c>
      <c r="Y83" s="30" t="e">
        <f ca="1">IF(Table20[[#This Row],[Direction]]&gt;0, _xlfn.NORM.S.DIST(Table20[[#This Row],[d1]], TRUE), _xlfn.NORM.S.DIST(Table20[[#This Row],[d1]], TRUE) - 1) * Table20[[#This Row],[Buy or Sell]]</f>
        <v>#NUM!</v>
      </c>
      <c r="Z83" s="9">
        <f ca="1">Table20[[#This Row],[Remaining]]*Table20[[#This Row],[Current Price]]*100</f>
        <v>0</v>
      </c>
      <c r="AA83" s="22">
        <f ca="1">IFERROR(Table20[[#This Row],[nominal_exposure]]*Table20[[#This Row],[Delta]],0)</f>
        <v>0</v>
      </c>
      <c r="AB83" s="30" t="b">
        <f>IF(Table20[[#This Row],[date_purchased]]&lt;&gt;Table20[[#This Row],[Expiration Date]],FALSE,TRUE)</f>
        <v>0</v>
      </c>
      <c r="AC83" s="30" t="str">
        <f>VLOOKUP(Table20[[#This Row],[Asset]],Table19[#All],3,FALSE)</f>
        <v>Consumer Discretionary</v>
      </c>
      <c r="AD83" s="30">
        <f>IF(Table20[[#This Row],[Remaining]]&lt;&gt;0,Table20[[#This Row],[Invested]]*Table20[[#This Row],[Remaining]]/Table20[[#This Row],[Number of options]],0)</f>
        <v>0</v>
      </c>
      <c r="AE83" s="30">
        <f ca="1">SUMIF(Table20[Ticker],Table20[[#This Row],[Ticker]],Table20[realized_profit])</f>
        <v>-1317.0000000000002</v>
      </c>
      <c r="AF83" s="30" t="str">
        <f>VLOOKUP(Table20[[#This Row],[Strategy]],Table29[#All],7,FALSE)</f>
        <v>Bullish</v>
      </c>
    </row>
    <row r="84" spans="1:32" hidden="1">
      <c r="A84" s="180">
        <v>45656</v>
      </c>
      <c r="B84" s="21" t="e" vm="96">
        <v>#VALUE!</v>
      </c>
      <c r="C84" s="109" t="str" cm="1">
        <f t="array" aca="1" ref="C84" ca="1">_FV(Table20[[#This Row],[Asset]],"Ticker symbol",TRUE)</f>
        <v>SPY</v>
      </c>
      <c r="D84" s="26" cm="1">
        <f t="array" aca="1" ref="D84" ca="1">_FV(Table20[[#This Row],[Asset]],"Price")</f>
        <v>658.59</v>
      </c>
      <c r="E84" s="26">
        <v>585</v>
      </c>
      <c r="F84" s="33">
        <v>1</v>
      </c>
      <c r="G84" s="34">
        <v>1</v>
      </c>
      <c r="H84" s="34" t="s">
        <v>113</v>
      </c>
      <c r="I84" s="31">
        <v>45656</v>
      </c>
      <c r="J84" s="26">
        <v>1.91</v>
      </c>
      <c r="K84" s="24">
        <v>0.28999999999999998</v>
      </c>
      <c r="L84" s="33">
        <f>VLOOKUP(Table20[[#This Row],[Strategy]],Table29[#All],6,FALSE)</f>
        <v>1</v>
      </c>
      <c r="M84" s="23">
        <v>1</v>
      </c>
      <c r="N84" s="23">
        <v>4.7</v>
      </c>
      <c r="O84" s="23"/>
      <c r="P84" s="23"/>
      <c r="Q84">
        <f>Table20[[#This Row],[Exit1]]*Table20[[#This Row],[ex1_price]]</f>
        <v>4.7</v>
      </c>
      <c r="R84">
        <f>Table20[[#This Row],[Exit2]]*Table20[[#This Row],[ex2_price]]</f>
        <v>0</v>
      </c>
      <c r="S84">
        <f>IFERROR((Table20[[#This Row],[ex2_amnt]]+Table20[[#This Row],[ex1_amnt]])/(Table20[[#This Row],[Exit2]]+Table20[[#This Row],[Exit1]]),0)</f>
        <v>4.7</v>
      </c>
      <c r="T84" s="5">
        <f>(Table20[[#This Row],[Exit1]]+Table20[[#This Row],[Exit2]])*(Table20[[#This Row],[avg_exit_price]]-Table20[[#This Row],[AvePrice]])*100*Table20[[#This Row],[Buy or Sell]]</f>
        <v>279</v>
      </c>
      <c r="U84" s="5">
        <f>Table20[[#This Row],[Number of options]]*Table20[[#This Row],[AvePrice]]*100*Table20[[#This Row],[Buy or Sell]]</f>
        <v>191</v>
      </c>
      <c r="V84" s="8">
        <f>Table20[[#This Row],[Number of options]]-Table20[[#This Row],[Exit1]]-Table20[[#This Row],[Exit2]]</f>
        <v>0</v>
      </c>
      <c r="W84" s="30">
        <f ca="1">(Table20[[#This Row],[Expiration Date]]-TODAY())/365</f>
        <v>-1.2356164383561643</v>
      </c>
      <c r="X84" s="30" t="e">
        <f ca="1">(LN(Table20[[#This Row],[Current Price]]/Table20[[#This Row],[strike_price]]) + ($B$2 + (Table20[[#This Row],[Vol]]^2)/2)*Table20[[#This Row],[Time to expiration]]) / (Table20[[#This Row],[Vol]] * SQRT(Table20[[#This Row],[Time to expiration]]))</f>
        <v>#NUM!</v>
      </c>
      <c r="Y84" s="30" t="e">
        <f ca="1">IF(Table20[[#This Row],[Direction]]&gt;0, _xlfn.NORM.S.DIST(Table20[[#This Row],[d1]], TRUE), _xlfn.NORM.S.DIST(Table20[[#This Row],[d1]], TRUE) - 1) * Table20[[#This Row],[Buy or Sell]]</f>
        <v>#NUM!</v>
      </c>
      <c r="Z84" s="9">
        <f ca="1">Table20[[#This Row],[Remaining]]*Table20[[#This Row],[Current Price]]*100</f>
        <v>0</v>
      </c>
      <c r="AA84" s="22">
        <f ca="1">IFERROR(Table20[[#This Row],[nominal_exposure]]*Table20[[#This Row],[Delta]],0)</f>
        <v>0</v>
      </c>
      <c r="AB84" s="30" t="b">
        <f>IF(Table20[[#This Row],[date_purchased]]&lt;&gt;Table20[[#This Row],[Expiration Date]],FALSE,TRUE)</f>
        <v>1</v>
      </c>
      <c r="AC84" s="30" t="str">
        <f>VLOOKUP(Table20[[#This Row],[Asset]],Table19[#All],3,FALSE)</f>
        <v>Market</v>
      </c>
      <c r="AD84" s="30">
        <f>IF(Table20[[#This Row],[Remaining]]&lt;&gt;0,Table20[[#This Row],[Invested]]*Table20[[#This Row],[Remaining]]/Table20[[#This Row],[Number of options]],0)</f>
        <v>0</v>
      </c>
      <c r="AE84" s="30">
        <f ca="1">SUMIF(Table20[Ticker],Table20[[#This Row],[Ticker]],Table20[realized_profit])</f>
        <v>-5077</v>
      </c>
      <c r="AF84" s="30" t="str">
        <f>VLOOKUP(Table20[[#This Row],[Strategy]],Table29[#All],7,FALSE)</f>
        <v>Bullish</v>
      </c>
    </row>
    <row r="85" spans="1:32" hidden="1">
      <c r="A85" s="180">
        <v>45653</v>
      </c>
      <c r="B85" s="21" t="e" vm="96">
        <v>#VALUE!</v>
      </c>
      <c r="C85" s="109" t="str" cm="1">
        <f t="array" aca="1" ref="C85" ca="1">_FV(Table20[[#This Row],[Asset]],"Ticker symbol",TRUE)</f>
        <v>SPY</v>
      </c>
      <c r="D85" s="26" cm="1">
        <f t="array" aca="1" ref="D85" ca="1">_FV(Table20[[#This Row],[Asset]],"Price")</f>
        <v>658.59</v>
      </c>
      <c r="E85" s="26">
        <v>580</v>
      </c>
      <c r="F85" s="33">
        <v>1</v>
      </c>
      <c r="G85" s="34">
        <v>1</v>
      </c>
      <c r="H85" s="34" t="s">
        <v>65</v>
      </c>
      <c r="I85" s="31">
        <v>45645</v>
      </c>
      <c r="J85" s="26">
        <v>2.84</v>
      </c>
      <c r="K85" s="24"/>
      <c r="L85" s="33">
        <f>VLOOKUP(Table20[[#This Row],[Strategy]],Table29[#All],6,FALSE)</f>
        <v>-1</v>
      </c>
      <c r="M85" s="23">
        <v>1</v>
      </c>
      <c r="N85" s="23">
        <v>2.75</v>
      </c>
      <c r="O85" s="23"/>
      <c r="P85" s="23"/>
      <c r="Q85">
        <f>Table20[[#This Row],[Exit1]]*Table20[[#This Row],[ex1_price]]</f>
        <v>2.75</v>
      </c>
      <c r="R85">
        <f>Table20[[#This Row],[Exit2]]*Table20[[#This Row],[ex2_price]]</f>
        <v>0</v>
      </c>
      <c r="S85">
        <f>IFERROR((Table20[[#This Row],[ex2_amnt]]+Table20[[#This Row],[ex1_amnt]])/(Table20[[#This Row],[Exit2]]+Table20[[#This Row],[Exit1]]),0)</f>
        <v>2.75</v>
      </c>
      <c r="T85" s="5">
        <f>(Table20[[#This Row],[Exit1]]+Table20[[#This Row],[Exit2]])*(Table20[[#This Row],[avg_exit_price]]-Table20[[#This Row],[AvePrice]])*100*Table20[[#This Row],[Buy or Sell]]</f>
        <v>-8.9999999999999858</v>
      </c>
      <c r="U85" s="5">
        <f>Table20[[#This Row],[Number of options]]*Table20[[#This Row],[AvePrice]]*100*Table20[[#This Row],[Buy or Sell]]</f>
        <v>284</v>
      </c>
      <c r="V85" s="8">
        <f>Table20[[#This Row],[Number of options]]-Table20[[#This Row],[Exit1]]-Table20[[#This Row],[Exit2]]</f>
        <v>0</v>
      </c>
      <c r="W85" s="30">
        <f ca="1">(Table20[[#This Row],[Expiration Date]]-TODAY())/365</f>
        <v>-1.2438356164383562</v>
      </c>
      <c r="X85" s="30" t="e">
        <f ca="1">(LN(Table20[[#This Row],[Current Price]]/Table20[[#This Row],[strike_price]]) + ($B$2 + (Table20[[#This Row],[Vol]]^2)/2)*Table20[[#This Row],[Time to expiration]]) / (Table20[[#This Row],[Vol]] * SQRT(Table20[[#This Row],[Time to expiration]]))</f>
        <v>#NUM!</v>
      </c>
      <c r="Y85" s="30" t="e">
        <f ca="1">IF(Table20[[#This Row],[Direction]]&gt;0, _xlfn.NORM.S.DIST(Table20[[#This Row],[d1]], TRUE), _xlfn.NORM.S.DIST(Table20[[#This Row],[d1]], TRUE) - 1) * Table20[[#This Row],[Buy or Sell]]</f>
        <v>#NUM!</v>
      </c>
      <c r="Z85" s="9">
        <f ca="1">Table20[[#This Row],[Remaining]]*Table20[[#This Row],[Current Price]]*100</f>
        <v>0</v>
      </c>
      <c r="AA85" s="22">
        <f ca="1">IFERROR(Table20[[#This Row],[nominal_exposure]]*Table20[[#This Row],[Delta]],0)</f>
        <v>0</v>
      </c>
      <c r="AB85" s="30" t="b">
        <f>IF(Table20[[#This Row],[date_purchased]]&lt;&gt;Table20[[#This Row],[Expiration Date]],FALSE,TRUE)</f>
        <v>0</v>
      </c>
      <c r="AC85" s="30" t="str">
        <f>VLOOKUP(Table20[[#This Row],[Asset]],Table19[#All],3,FALSE)</f>
        <v>Market</v>
      </c>
      <c r="AD85" s="30">
        <f>IF(Table20[[#This Row],[Remaining]]&lt;&gt;0,Table20[[#This Row],[Invested]]*Table20[[#This Row],[Remaining]]/Table20[[#This Row],[Number of options]],0)</f>
        <v>0</v>
      </c>
      <c r="AE85" s="30">
        <f ca="1">SUMIF(Table20[Ticker],Table20[[#This Row],[Ticker]],Table20[realized_profit])</f>
        <v>-5077</v>
      </c>
      <c r="AF85" s="30" t="str">
        <f>VLOOKUP(Table20[[#This Row],[Strategy]],Table29[#All],7,FALSE)</f>
        <v>Bearish</v>
      </c>
    </row>
    <row r="86" spans="1:32" hidden="1">
      <c r="A86" s="35">
        <v>45520</v>
      </c>
      <c r="B86" s="21" t="e" vm="214">
        <v>#VALUE!</v>
      </c>
      <c r="C86" s="109" t="str" cm="1">
        <f t="array" aca="1" ref="C86" ca="1">_FV(Table20[[#This Row],[Asset]],"Ticker symbol",TRUE)</f>
        <v>CGNX</v>
      </c>
      <c r="D86" s="26" cm="1">
        <f t="array" aca="1" ref="D86" ca="1">_FV(Table20[[#This Row],[Asset]],"Price")</f>
        <v>51.564999999999998</v>
      </c>
      <c r="E86" s="26">
        <v>45</v>
      </c>
      <c r="F86" s="33">
        <v>1</v>
      </c>
      <c r="G86" s="34">
        <v>1</v>
      </c>
      <c r="H86" s="111" t="s">
        <v>113</v>
      </c>
      <c r="I86" s="31">
        <v>45448</v>
      </c>
      <c r="J86" s="26">
        <v>2.15</v>
      </c>
      <c r="K86" s="24">
        <v>0.3362</v>
      </c>
      <c r="L86" s="33">
        <f>VLOOKUP(Table20[[#This Row],[Strategy]],Table29[#All],6,FALSE)</f>
        <v>1</v>
      </c>
      <c r="M86" s="23">
        <v>1</v>
      </c>
      <c r="N86" s="23">
        <v>6.1</v>
      </c>
      <c r="O86" s="23"/>
      <c r="P86" s="23"/>
      <c r="Q86">
        <f>Table20[[#This Row],[Exit1]]*Table20[[#This Row],[ex1_price]]</f>
        <v>6.1</v>
      </c>
      <c r="R86">
        <f>Table20[[#This Row],[Exit2]]*Table20[[#This Row],[ex2_price]]</f>
        <v>0</v>
      </c>
      <c r="S86">
        <f>IFERROR((Table20[[#This Row],[ex2_amnt]]+Table20[[#This Row],[ex1_amnt]])/(Table20[[#This Row],[Exit2]]+Table20[[#This Row],[Exit1]]),0)</f>
        <v>6.1</v>
      </c>
      <c r="T86" s="5">
        <f>(Table20[[#This Row],[Exit1]]+Table20[[#This Row],[Exit2]])*(Table20[[#This Row],[avg_exit_price]]-Table20[[#This Row],[AvePrice]])*100*Table20[[#This Row],[Buy or Sell]]</f>
        <v>395</v>
      </c>
      <c r="U86" s="5">
        <f>Table20[[#This Row],[Number of options]]*Table20[[#This Row],[AvePrice]]*100*Table20[[#This Row],[Buy or Sell]]</f>
        <v>215</v>
      </c>
      <c r="V86" s="8">
        <f>Table20[[#This Row],[Number of options]]-Table20[[#This Row],[Exit1]]-Table20[[#This Row],[Exit2]]</f>
        <v>0</v>
      </c>
      <c r="W86" s="30">
        <f ca="1">(Table20[[#This Row],[Expiration Date]]-TODAY())/365</f>
        <v>-1.6082191780821917</v>
      </c>
      <c r="X86" s="30" t="e">
        <f ca="1">(LN(Table20[[#This Row],[Current Price]]/Table20[[#This Row],[strike_price]]) + ($B$2 + (Table20[[#This Row],[Vol]]^2)/2)*Table20[[#This Row],[Time to expiration]]) / (Table20[[#This Row],[Vol]] * SQRT(Table20[[#This Row],[Time to expiration]]))</f>
        <v>#NUM!</v>
      </c>
      <c r="Y86" s="30" t="e">
        <f ca="1">IF(Table20[[#This Row],[Direction]]&gt;0, _xlfn.NORM.S.DIST(Table20[[#This Row],[d1]], TRUE), _xlfn.NORM.S.DIST(Table20[[#This Row],[d1]], TRUE) - 1) * Table20[[#This Row],[Buy or Sell]]</f>
        <v>#NUM!</v>
      </c>
      <c r="Z86" s="9">
        <f ca="1">Table20[[#This Row],[Remaining]]*Table20[[#This Row],[Current Price]]*100</f>
        <v>0</v>
      </c>
      <c r="AA86" s="22">
        <f ca="1">IFERROR(Table20[[#This Row],[nominal_exposure]]*Table20[[#This Row],[Delta]],0)</f>
        <v>0</v>
      </c>
      <c r="AB86" s="99" t="b">
        <f>IF(Table20[[#This Row],[date_purchased]]&lt;&gt;Table20[[#This Row],[Expiration Date]],FALSE,TRUE)</f>
        <v>0</v>
      </c>
      <c r="AC86" s="30" t="str">
        <f>VLOOKUP(Table20[[#This Row],[Asset]],Table19[#All],3,FALSE)</f>
        <v>AI</v>
      </c>
      <c r="AD86" s="30">
        <f>IF(Table20[[#This Row],[Remaining]]&lt;&gt;0,Table20[[#This Row],[Invested]]*Table20[[#This Row],[Remaining]]/Table20[[#This Row],[Number of options]],0)</f>
        <v>0</v>
      </c>
      <c r="AE86" s="30">
        <f ca="1">SUMIF(Table20[Ticker],Table20[[#This Row],[Ticker]],Table20[realized_profit])</f>
        <v>395</v>
      </c>
      <c r="AF86" s="30" t="str">
        <f>VLOOKUP(Table20[[#This Row],[Strategy]],Table29[#All],7,FALSE)</f>
        <v>Bullish</v>
      </c>
    </row>
    <row r="87" spans="1:32" hidden="1">
      <c r="A87" s="35">
        <v>45513</v>
      </c>
      <c r="B87" s="21" t="e" vm="80">
        <v>#VALUE!</v>
      </c>
      <c r="C87" s="109" t="str" cm="1">
        <f t="array" aca="1" ref="C87" ca="1">_FV(Table20[[#This Row],[Asset]],"Ticker symbol",TRUE)</f>
        <v>PYPL</v>
      </c>
      <c r="D87" s="26" cm="1">
        <f t="array" aca="1" ref="D87" ca="1">_FV(Table20[[#This Row],[Asset]],"Price")</f>
        <v>45.11</v>
      </c>
      <c r="E87" s="26">
        <v>65</v>
      </c>
      <c r="F87" s="33">
        <v>10</v>
      </c>
      <c r="G87" s="34">
        <v>1</v>
      </c>
      <c r="H87" s="34" t="s">
        <v>115</v>
      </c>
      <c r="I87" s="31">
        <v>45502</v>
      </c>
      <c r="J87" s="26">
        <v>0.69</v>
      </c>
      <c r="K87" s="24">
        <v>0.65100000000000002</v>
      </c>
      <c r="L87" s="33">
        <f>VLOOKUP(Table20[[#This Row],[Strategy]],Table29[#All],6,FALSE)</f>
        <v>1</v>
      </c>
      <c r="M87" s="23">
        <v>10</v>
      </c>
      <c r="N87" s="23">
        <v>2.36</v>
      </c>
      <c r="O87" s="23"/>
      <c r="P87" s="23"/>
      <c r="Q87">
        <f>Table20[[#This Row],[Exit1]]*Table20[[#This Row],[ex1_price]]</f>
        <v>23.599999999999998</v>
      </c>
      <c r="R87">
        <f>Table20[[#This Row],[Exit2]]*Table20[[#This Row],[ex2_price]]</f>
        <v>0</v>
      </c>
      <c r="S87">
        <f>IFERROR((Table20[[#This Row],[ex2_amnt]]+Table20[[#This Row],[ex1_amnt]])/(Table20[[#This Row],[Exit2]]+Table20[[#This Row],[Exit1]]),0)</f>
        <v>2.36</v>
      </c>
      <c r="T87" s="5">
        <f>(Table20[[#This Row],[Exit1]]+Table20[[#This Row],[Exit2]])*(Table20[[#This Row],[avg_exit_price]]-Table20[[#This Row],[AvePrice]])*100*Table20[[#This Row],[Buy or Sell]]</f>
        <v>1670</v>
      </c>
      <c r="U87" s="5">
        <f>Table20[[#This Row],[Number of options]]*Table20[[#This Row],[AvePrice]]*100*Table20[[#This Row],[Buy or Sell]]</f>
        <v>690</v>
      </c>
      <c r="V87" s="8">
        <f>Table20[[#This Row],[Number of options]]-Table20[[#This Row],[Exit1]]-Table20[[#This Row],[Exit2]]</f>
        <v>0</v>
      </c>
      <c r="W87" s="30">
        <f ca="1">(Table20[[#This Row],[Expiration Date]]-TODAY())/365</f>
        <v>-1.6273972602739726</v>
      </c>
      <c r="X87" s="30" t="e">
        <f ca="1">(LN(Table20[[#This Row],[Current Price]]/Table20[[#This Row],[strike_price]]) + ($B$2 + (Table20[[#This Row],[Vol]]^2)/2)*Table20[[#This Row],[Time to expiration]]) / (Table20[[#This Row],[Vol]] * SQRT(Table20[[#This Row],[Time to expiration]]))</f>
        <v>#NUM!</v>
      </c>
      <c r="Y87" s="30" t="e">
        <f ca="1">IF(Table20[[#This Row],[Direction]]&gt;0, _xlfn.NORM.S.DIST(Table20[[#This Row],[d1]], TRUE), _xlfn.NORM.S.DIST(Table20[[#This Row],[d1]], TRUE) - 1) * Table20[[#This Row],[Buy or Sell]]</f>
        <v>#NUM!</v>
      </c>
      <c r="Z87" s="9">
        <f ca="1">Table20[[#This Row],[Remaining]]*Table20[[#This Row],[Current Price]]*100</f>
        <v>0</v>
      </c>
      <c r="AA87" s="22">
        <f ca="1">IFERROR(Table20[[#This Row],[nominal_exposure]]*Table20[[#This Row],[Delta]],0)</f>
        <v>0</v>
      </c>
      <c r="AB87" s="30" t="b">
        <f>IF(Table20[[#This Row],[date_purchased]]&lt;&gt;Table20[[#This Row],[Expiration Date]],FALSE,TRUE)</f>
        <v>0</v>
      </c>
      <c r="AC87" s="30" t="str">
        <f>VLOOKUP(Table20[[#This Row],[Asset]],Table19[#All],3,FALSE)</f>
        <v>Financials</v>
      </c>
      <c r="AD87" s="30">
        <f>IF(Table20[[#This Row],[Remaining]]&lt;&gt;0,Table20[[#This Row],[Invested]]*Table20[[#This Row],[Remaining]]/Table20[[#This Row],[Number of options]],0)</f>
        <v>0</v>
      </c>
      <c r="AE87" s="30">
        <f ca="1">SUMIF(Table20[Ticker],Table20[[#This Row],[Ticker]],Table20[realized_profit])</f>
        <v>208.99999999999997</v>
      </c>
      <c r="AF87" s="30" t="str">
        <f>VLOOKUP(Table20[[#This Row],[Strategy]],Table29[#All],7,FALSE)</f>
        <v>Bullish</v>
      </c>
    </row>
    <row r="88" spans="1:32" hidden="1">
      <c r="A88" s="118">
        <v>45520</v>
      </c>
      <c r="B88" s="21" t="e" vm="156">
        <v>#VALUE!</v>
      </c>
      <c r="C88" s="109" t="str" cm="1">
        <f t="array" aca="1" ref="C88" ca="1">_FV(Table20[[#This Row],[Asset]],"Ticker symbol",TRUE)</f>
        <v>FROG</v>
      </c>
      <c r="D88" s="26" cm="1">
        <f t="array" aca="1" ref="D88" ca="1">_FV(Table20[[#This Row],[Asset]],"Price")</f>
        <v>47.490099999999998</v>
      </c>
      <c r="E88" s="26">
        <v>40</v>
      </c>
      <c r="F88" s="33">
        <v>1</v>
      </c>
      <c r="G88" s="34">
        <v>1</v>
      </c>
      <c r="H88" s="119" t="s">
        <v>113</v>
      </c>
      <c r="I88" s="31">
        <v>45483</v>
      </c>
      <c r="J88" s="26">
        <v>2</v>
      </c>
      <c r="K88" s="24">
        <v>0.57389999999999997</v>
      </c>
      <c r="L88" s="33">
        <f>VLOOKUP(Table20[[#This Row],[Strategy]],Table29[#All],6,FALSE)</f>
        <v>1</v>
      </c>
      <c r="M88" s="23">
        <v>1</v>
      </c>
      <c r="N88" s="23">
        <v>2.5</v>
      </c>
      <c r="O88" s="23"/>
      <c r="P88" s="23"/>
      <c r="Q88">
        <f>Table20[[#This Row],[Exit1]]*Table20[[#This Row],[ex1_price]]</f>
        <v>2.5</v>
      </c>
      <c r="R88">
        <f>Table20[[#This Row],[Exit2]]*Table20[[#This Row],[ex2_price]]</f>
        <v>0</v>
      </c>
      <c r="S88">
        <f>IFERROR((Table20[[#This Row],[ex2_amnt]]+Table20[[#This Row],[ex1_amnt]])/(Table20[[#This Row],[Exit2]]+Table20[[#This Row],[Exit1]]),0)</f>
        <v>2.5</v>
      </c>
      <c r="T88" s="5">
        <f>(Table20[[#This Row],[Exit1]]+Table20[[#This Row],[Exit2]])*(Table20[[#This Row],[avg_exit_price]]-Table20[[#This Row],[AvePrice]])*100*Table20[[#This Row],[Buy or Sell]]</f>
        <v>50</v>
      </c>
      <c r="U88" s="5">
        <f>Table20[[#This Row],[Number of options]]*Table20[[#This Row],[AvePrice]]*100*Table20[[#This Row],[Buy or Sell]]</f>
        <v>200</v>
      </c>
      <c r="V88" s="8">
        <f>Table20[[#This Row],[Number of options]]-Table20[[#This Row],[Exit1]]-Table20[[#This Row],[Exit2]]</f>
        <v>0</v>
      </c>
      <c r="W88" s="30">
        <f ca="1">(Table20[[#This Row],[Expiration Date]]-TODAY())/365</f>
        <v>-1.6082191780821917</v>
      </c>
      <c r="X88" s="30" t="e">
        <f ca="1">(LN(Table20[[#This Row],[Current Price]]/Table20[[#This Row],[strike_price]]) + ($B$2 + (Table20[[#This Row],[Vol]]^2)/2)*Table20[[#This Row],[Time to expiration]]) / (Table20[[#This Row],[Vol]] * SQRT(Table20[[#This Row],[Time to expiration]]))</f>
        <v>#NUM!</v>
      </c>
      <c r="Y88" s="30" t="e">
        <f ca="1">IF(Table20[[#This Row],[Direction]]&gt;0, _xlfn.NORM.S.DIST(Table20[[#This Row],[d1]], TRUE), _xlfn.NORM.S.DIST(Table20[[#This Row],[d1]], TRUE) - 1) * Table20[[#This Row],[Buy or Sell]]</f>
        <v>#NUM!</v>
      </c>
      <c r="Z88" s="9">
        <f ca="1">Table20[[#This Row],[Remaining]]*Table20[[#This Row],[Current Price]]*100</f>
        <v>0</v>
      </c>
      <c r="AA88" s="22">
        <f ca="1">IFERROR(Table20[[#This Row],[nominal_exposure]]*Table20[[#This Row],[Delta]],0)</f>
        <v>0</v>
      </c>
      <c r="AB88" s="95" t="b">
        <f>IF(Table20[[#This Row],[date_purchased]]&lt;&gt;Table20[[#This Row],[Expiration Date]],FALSE,TRUE)</f>
        <v>0</v>
      </c>
      <c r="AC88" s="30" t="str">
        <f>VLOOKUP(Table20[[#This Row],[Asset]],Table19[#All],3,FALSE)</f>
        <v>Technology</v>
      </c>
      <c r="AD88" s="30">
        <f>IF(Table20[[#This Row],[Remaining]]&lt;&gt;0,Table20[[#This Row],[Invested]]*Table20[[#This Row],[Remaining]]/Table20[[#This Row],[Number of options]],0)</f>
        <v>0</v>
      </c>
      <c r="AE88" s="30">
        <f ca="1">SUMIF(Table20[Ticker],Table20[[#This Row],[Ticker]],Table20[realized_profit])</f>
        <v>19.999999999999996</v>
      </c>
      <c r="AF88" s="30" t="str">
        <f>VLOOKUP(Table20[[#This Row],[Strategy]],Table29[#All],7,FALSE)</f>
        <v>Bullish</v>
      </c>
    </row>
    <row r="89" spans="1:32" hidden="1">
      <c r="A89" s="35">
        <v>45513</v>
      </c>
      <c r="B89" s="21" t="e" vm="21">
        <v>#VALUE!</v>
      </c>
      <c r="C89" s="109" t="str" cm="1">
        <f t="array" aca="1" ref="C89" ca="1">_FV(Table20[[#This Row],[Asset]],"Ticker symbol",TRUE)</f>
        <v>INTC</v>
      </c>
      <c r="D89" s="26" cm="1">
        <f t="array" aca="1" ref="D89" ca="1">_FV(Table20[[#This Row],[Asset]],"Price")</f>
        <v>47.290100000000002</v>
      </c>
      <c r="E89" s="26">
        <v>35</v>
      </c>
      <c r="F89" s="33">
        <v>15</v>
      </c>
      <c r="G89" s="34">
        <v>1</v>
      </c>
      <c r="H89" s="34" t="s">
        <v>115</v>
      </c>
      <c r="I89" s="31">
        <v>45502</v>
      </c>
      <c r="J89" s="26">
        <v>0.34</v>
      </c>
      <c r="K89" s="24">
        <v>0.64990000000000003</v>
      </c>
      <c r="L89" s="33">
        <f>VLOOKUP(Table20[[#This Row],[Strategy]],Table29[#All],6,FALSE)</f>
        <v>1</v>
      </c>
      <c r="M89" s="23">
        <v>15</v>
      </c>
      <c r="N89" s="23">
        <v>0</v>
      </c>
      <c r="O89" s="23"/>
      <c r="P89" s="23"/>
      <c r="Q89">
        <f>Table20[[#This Row],[Exit1]]*Table20[[#This Row],[ex1_price]]</f>
        <v>0</v>
      </c>
      <c r="R89">
        <f>Table20[[#This Row],[Exit2]]*Table20[[#This Row],[ex2_price]]</f>
        <v>0</v>
      </c>
      <c r="S89">
        <f>IFERROR((Table20[[#This Row],[ex2_amnt]]+Table20[[#This Row],[ex1_amnt]])/(Table20[[#This Row],[Exit2]]+Table20[[#This Row],[Exit1]]),0)</f>
        <v>0</v>
      </c>
      <c r="T89" s="5">
        <f>(Table20[[#This Row],[Exit1]]+Table20[[#This Row],[Exit2]])*(Table20[[#This Row],[avg_exit_price]]-Table20[[#This Row],[AvePrice]])*100*Table20[[#This Row],[Buy or Sell]]</f>
        <v>-510.00000000000006</v>
      </c>
      <c r="U89" s="5">
        <f>Table20[[#This Row],[Number of options]]*Table20[[#This Row],[AvePrice]]*100*Table20[[#This Row],[Buy or Sell]]</f>
        <v>510.00000000000006</v>
      </c>
      <c r="V89" s="8">
        <f>Table20[[#This Row],[Number of options]]-Table20[[#This Row],[Exit1]]-Table20[[#This Row],[Exit2]]</f>
        <v>0</v>
      </c>
      <c r="W89" s="30">
        <f ca="1">(Table20[[#This Row],[Expiration Date]]-TODAY())/365</f>
        <v>-1.6273972602739726</v>
      </c>
      <c r="X89" s="30" t="e">
        <f ca="1">(LN(Table20[[#This Row],[Current Price]]/Table20[[#This Row],[strike_price]]) + ($B$2 + (Table20[[#This Row],[Vol]]^2)/2)*Table20[[#This Row],[Time to expiration]]) / (Table20[[#This Row],[Vol]] * SQRT(Table20[[#This Row],[Time to expiration]]))</f>
        <v>#NUM!</v>
      </c>
      <c r="Y89" s="30" t="e">
        <f ca="1">IF(Table20[[#This Row],[Direction]]&gt;0, _xlfn.NORM.S.DIST(Table20[[#This Row],[d1]], TRUE), _xlfn.NORM.S.DIST(Table20[[#This Row],[d1]], TRUE) - 1) * Table20[[#This Row],[Buy or Sell]]</f>
        <v>#NUM!</v>
      </c>
      <c r="Z89" s="9">
        <f ca="1">Table20[[#This Row],[Remaining]]*Table20[[#This Row],[Current Price]]*100</f>
        <v>0</v>
      </c>
      <c r="AA89" s="22">
        <f ca="1">IFERROR(Table20[[#This Row],[nominal_exposure]]*Table20[[#This Row],[Delta]],0)</f>
        <v>0</v>
      </c>
      <c r="AB89" s="30" t="b">
        <f>IF(Table20[[#This Row],[date_purchased]]&lt;&gt;Table20[[#This Row],[Expiration Date]],FALSE,TRUE)</f>
        <v>0</v>
      </c>
      <c r="AC89" s="30" t="str">
        <f>VLOOKUP(Table20[[#This Row],[Asset]],Table19[#All],3,FALSE)</f>
        <v>AI</v>
      </c>
      <c r="AD89" s="4">
        <f>IF(Table20[[#This Row],[Remaining]]&lt;&gt;0,Table20[[#This Row],[Invested]]*Table20[[#This Row],[Remaining]]/Table20[[#This Row],[Number of options]],0)</f>
        <v>0</v>
      </c>
      <c r="AE89" s="4">
        <f ca="1">SUMIF(Table20[Ticker],Table20[[#This Row],[Ticker]],Table20[realized_profit])</f>
        <v>4779</v>
      </c>
      <c r="AF89" s="30" t="str">
        <f>VLOOKUP(Table20[[#This Row],[Strategy]],Table29[#All],7,FALSE)</f>
        <v>Bullish</v>
      </c>
    </row>
    <row r="90" spans="1:32" hidden="1">
      <c r="A90" s="180">
        <v>45653</v>
      </c>
      <c r="B90" s="21" t="e" vm="96">
        <v>#VALUE!</v>
      </c>
      <c r="C90" s="109" t="str" cm="1">
        <f t="array" aca="1" ref="C90" ca="1">_FV(Table20[[#This Row],[Asset]],"Ticker symbol",TRUE)</f>
        <v>SPY</v>
      </c>
      <c r="D90" s="26" cm="1">
        <f t="array" aca="1" ref="D90" ca="1">_FV(Table20[[#This Row],[Asset]],"Price")</f>
        <v>658.59</v>
      </c>
      <c r="E90" s="26">
        <v>580</v>
      </c>
      <c r="F90" s="33">
        <v>1</v>
      </c>
      <c r="G90" s="34">
        <v>1</v>
      </c>
      <c r="H90" s="34" t="s">
        <v>65</v>
      </c>
      <c r="I90" s="31">
        <v>45645</v>
      </c>
      <c r="J90" s="26">
        <v>3.84</v>
      </c>
      <c r="K90" s="24">
        <v>0.2185</v>
      </c>
      <c r="L90" s="33">
        <f>VLOOKUP(Table20[[#This Row],[Strategy]],Table29[#All],6,FALSE)</f>
        <v>-1</v>
      </c>
      <c r="M90" s="23">
        <v>1</v>
      </c>
      <c r="N90" s="23">
        <v>4.62</v>
      </c>
      <c r="O90" s="23"/>
      <c r="P90" s="23"/>
      <c r="Q90">
        <f>Table20[[#This Row],[Exit1]]*Table20[[#This Row],[ex1_price]]</f>
        <v>4.62</v>
      </c>
      <c r="R90">
        <f>Table20[[#This Row],[Exit2]]*Table20[[#This Row],[ex2_price]]</f>
        <v>0</v>
      </c>
      <c r="S90">
        <f>IFERROR((Table20[[#This Row],[ex2_amnt]]+Table20[[#This Row],[ex1_amnt]])/(Table20[[#This Row],[Exit2]]+Table20[[#This Row],[Exit1]]),0)</f>
        <v>4.62</v>
      </c>
      <c r="T90" s="5">
        <f>(Table20[[#This Row],[Exit1]]+Table20[[#This Row],[Exit2]])*(Table20[[#This Row],[avg_exit_price]]-Table20[[#This Row],[AvePrice]])*100*Table20[[#This Row],[Buy or Sell]]</f>
        <v>78.000000000000028</v>
      </c>
      <c r="U90" s="5">
        <f>Table20[[#This Row],[Number of options]]*Table20[[#This Row],[AvePrice]]*100*Table20[[#This Row],[Buy or Sell]]</f>
        <v>384</v>
      </c>
      <c r="V90" s="8">
        <f>Table20[[#This Row],[Number of options]]-Table20[[#This Row],[Exit1]]-Table20[[#This Row],[Exit2]]</f>
        <v>0</v>
      </c>
      <c r="W90" s="30">
        <f ca="1">(Table20[[#This Row],[Expiration Date]]-TODAY())/365</f>
        <v>-1.2438356164383562</v>
      </c>
      <c r="X90" s="30" t="e">
        <f ca="1">(LN(Table20[[#This Row],[Current Price]]/Table20[[#This Row],[strike_price]]) + ($B$2 + (Table20[[#This Row],[Vol]]^2)/2)*Table20[[#This Row],[Time to expiration]]) / (Table20[[#This Row],[Vol]] * SQRT(Table20[[#This Row],[Time to expiration]]))</f>
        <v>#NUM!</v>
      </c>
      <c r="Y90" s="30" t="e">
        <f ca="1">IF(Table20[[#This Row],[Direction]]&gt;0, _xlfn.NORM.S.DIST(Table20[[#This Row],[d1]], TRUE), _xlfn.NORM.S.DIST(Table20[[#This Row],[d1]], TRUE) - 1) * Table20[[#This Row],[Buy or Sell]]</f>
        <v>#NUM!</v>
      </c>
      <c r="Z90" s="9">
        <f ca="1">Table20[[#This Row],[Remaining]]*Table20[[#This Row],[Current Price]]*100</f>
        <v>0</v>
      </c>
      <c r="AA90" s="22">
        <f ca="1">IFERROR(Table20[[#This Row],[nominal_exposure]]*Table20[[#This Row],[Delta]],0)</f>
        <v>0</v>
      </c>
      <c r="AB90" s="30" t="b">
        <f>IF(Table20[[#This Row],[date_purchased]]&lt;&gt;Table20[[#This Row],[Expiration Date]],FALSE,TRUE)</f>
        <v>0</v>
      </c>
      <c r="AC90" s="30" t="str">
        <f>VLOOKUP(Table20[[#This Row],[Asset]],Table19[#All],3,FALSE)</f>
        <v>Market</v>
      </c>
      <c r="AD90" s="30">
        <f>IF(Table20[[#This Row],[Remaining]]&lt;&gt;0,Table20[[#This Row],[Invested]]*Table20[[#This Row],[Remaining]]/Table20[[#This Row],[Number of options]],0)</f>
        <v>0</v>
      </c>
      <c r="AE90" s="30">
        <f ca="1">SUMIF(Table20[Ticker],Table20[[#This Row],[Ticker]],Table20[realized_profit])</f>
        <v>-5077</v>
      </c>
      <c r="AF90" s="30" t="str">
        <f>VLOOKUP(Table20[[#This Row],[Strategy]],Table29[#All],7,FALSE)</f>
        <v>Bearish</v>
      </c>
    </row>
    <row r="91" spans="1:32" hidden="1">
      <c r="A91" s="35">
        <v>45520</v>
      </c>
      <c r="B91" s="21" t="e" vm="16">
        <v>#VALUE!</v>
      </c>
      <c r="C91" s="109" t="str" cm="1">
        <f t="array" aca="1" ref="C91" ca="1">_FV(Table20[[#This Row],[Asset]],"Ticker symbol",TRUE)</f>
        <v>GOOG</v>
      </c>
      <c r="D91" s="26" cm="1">
        <f t="array" aca="1" ref="D91" ca="1">_FV(Table20[[#This Row],[Asset]],"Price")</f>
        <v>290.39</v>
      </c>
      <c r="E91" s="26">
        <v>170</v>
      </c>
      <c r="F91" s="33">
        <v>1</v>
      </c>
      <c r="G91" s="34">
        <v>1</v>
      </c>
      <c r="H91" s="111" t="s">
        <v>65</v>
      </c>
      <c r="I91" s="31">
        <v>45460</v>
      </c>
      <c r="J91" s="26">
        <v>4.5</v>
      </c>
      <c r="K91" s="24">
        <v>0.29659999999999997</v>
      </c>
      <c r="L91" s="33">
        <f>VLOOKUP(Table20[[#This Row],[Strategy]],Table29[#All],6,FALSE)</f>
        <v>-1</v>
      </c>
      <c r="M91" s="23">
        <v>1</v>
      </c>
      <c r="N91" s="23">
        <v>4.4000000000000004</v>
      </c>
      <c r="O91" s="23"/>
      <c r="P91" s="23"/>
      <c r="Q91">
        <f>Table20[[#This Row],[Exit1]]*Table20[[#This Row],[ex1_price]]</f>
        <v>4.4000000000000004</v>
      </c>
      <c r="R91">
        <f>Table20[[#This Row],[Exit2]]*Table20[[#This Row],[ex2_price]]</f>
        <v>0</v>
      </c>
      <c r="S91">
        <f>IFERROR((Table20[[#This Row],[ex2_amnt]]+Table20[[#This Row],[ex1_amnt]])/(Table20[[#This Row],[Exit2]]+Table20[[#This Row],[Exit1]]),0)</f>
        <v>4.4000000000000004</v>
      </c>
      <c r="T91" s="5">
        <f>(Table20[[#This Row],[Exit1]]+Table20[[#This Row],[Exit2]])*(Table20[[#This Row],[avg_exit_price]]-Table20[[#This Row],[AvePrice]])*100*Table20[[#This Row],[Buy or Sell]]</f>
        <v>-9.9999999999999645</v>
      </c>
      <c r="U91" s="5">
        <f>Table20[[#This Row],[Number of options]]*Table20[[#This Row],[AvePrice]]*100*Table20[[#This Row],[Buy or Sell]]</f>
        <v>450</v>
      </c>
      <c r="V91" s="8">
        <f>Table20[[#This Row],[Number of options]]-Table20[[#This Row],[Exit1]]-Table20[[#This Row],[Exit2]]</f>
        <v>0</v>
      </c>
      <c r="W91" s="30">
        <f ca="1">(Table20[[#This Row],[Expiration Date]]-TODAY())/365</f>
        <v>-1.6082191780821917</v>
      </c>
      <c r="X91" s="30" t="e">
        <f ca="1">(LN(Table20[[#This Row],[Current Price]]/Table20[[#This Row],[strike_price]]) + ($B$2 + (Table20[[#This Row],[Vol]]^2)/2)*Table20[[#This Row],[Time to expiration]]) / (Table20[[#This Row],[Vol]] * SQRT(Table20[[#This Row],[Time to expiration]]))</f>
        <v>#NUM!</v>
      </c>
      <c r="Y91" s="30" t="e">
        <f ca="1">IF(Table20[[#This Row],[Direction]]&gt;0, _xlfn.NORM.S.DIST(Table20[[#This Row],[d1]], TRUE), _xlfn.NORM.S.DIST(Table20[[#This Row],[d1]], TRUE) - 1) * Table20[[#This Row],[Buy or Sell]]</f>
        <v>#NUM!</v>
      </c>
      <c r="Z91" s="9">
        <f ca="1">Table20[[#This Row],[Remaining]]*Table20[[#This Row],[Current Price]]*100</f>
        <v>0</v>
      </c>
      <c r="AA91" s="22">
        <f ca="1">IFERROR(Table20[[#This Row],[nominal_exposure]]*Table20[[#This Row],[Delta]],0)</f>
        <v>0</v>
      </c>
      <c r="AB91" s="99" t="b">
        <f>IF(Table20[[#This Row],[date_purchased]]&lt;&gt;Table20[[#This Row],[Expiration Date]],FALSE,TRUE)</f>
        <v>0</v>
      </c>
      <c r="AC91" s="30" t="str">
        <f>VLOOKUP(Table20[[#This Row],[Asset]],Table19[#All],3,FALSE)</f>
        <v>AI</v>
      </c>
      <c r="AD91" s="30">
        <f>IF(Table20[[#This Row],[Remaining]]&lt;&gt;0,Table20[[#This Row],[Invested]]*Table20[[#This Row],[Remaining]]/Table20[[#This Row],[Number of options]],0)</f>
        <v>0</v>
      </c>
      <c r="AE91" s="30">
        <f ca="1">SUMIF(Table20[Ticker],Table20[[#This Row],[Ticker]],Table20[realized_profit])</f>
        <v>4148.03</v>
      </c>
      <c r="AF91" s="30" t="str">
        <f>VLOOKUP(Table20[[#This Row],[Strategy]],Table29[#All],7,FALSE)</f>
        <v>Bearish</v>
      </c>
    </row>
    <row r="92" spans="1:32" hidden="1">
      <c r="A92" s="180">
        <v>45646</v>
      </c>
      <c r="B92" s="21" t="e" vm="96">
        <v>#VALUE!</v>
      </c>
      <c r="C92" s="109" t="str" cm="1">
        <f t="array" aca="1" ref="C92" ca="1">_FV(Table20[[#This Row],[Asset]],"Ticker symbol",TRUE)</f>
        <v>SPY</v>
      </c>
      <c r="D92" s="26" cm="1">
        <f t="array" aca="1" ref="D92" ca="1">_FV(Table20[[#This Row],[Asset]],"Price")</f>
        <v>658.59</v>
      </c>
      <c r="E92" s="26">
        <v>550</v>
      </c>
      <c r="F92" s="33">
        <v>2</v>
      </c>
      <c r="G92" s="34">
        <v>1</v>
      </c>
      <c r="H92" s="34" t="s">
        <v>161</v>
      </c>
      <c r="I92" s="31">
        <v>45611</v>
      </c>
      <c r="J92" s="26">
        <v>2.2400000000000002</v>
      </c>
      <c r="K92" s="24"/>
      <c r="L92" s="33">
        <f>VLOOKUP(Table20[[#This Row],[Strategy]],Table29[#All],6,FALSE)</f>
        <v>-1</v>
      </c>
      <c r="M92" s="23">
        <v>2</v>
      </c>
      <c r="N92" s="23">
        <v>1.59</v>
      </c>
      <c r="O92" s="23"/>
      <c r="P92" s="23"/>
      <c r="Q92">
        <f>Table20[[#This Row],[Exit1]]*Table20[[#This Row],[ex1_price]]</f>
        <v>3.18</v>
      </c>
      <c r="R92">
        <f>Table20[[#This Row],[Exit2]]*Table20[[#This Row],[ex2_price]]</f>
        <v>0</v>
      </c>
      <c r="S92">
        <f>IFERROR((Table20[[#This Row],[ex2_amnt]]+Table20[[#This Row],[ex1_amnt]])/(Table20[[#This Row],[Exit2]]+Table20[[#This Row],[Exit1]]),0)</f>
        <v>1.59</v>
      </c>
      <c r="T92" s="5">
        <f>(Table20[[#This Row],[Exit1]]+Table20[[#This Row],[Exit2]])*(Table20[[#This Row],[avg_exit_price]]-Table20[[#This Row],[AvePrice]])*100*Table20[[#This Row],[Buy or Sell]]</f>
        <v>-130.00000000000003</v>
      </c>
      <c r="U92" s="5">
        <f>Table20[[#This Row],[Number of options]]*Table20[[#This Row],[AvePrice]]*100*Table20[[#This Row],[Buy or Sell]]</f>
        <v>448.00000000000006</v>
      </c>
      <c r="V92" s="8">
        <f>Table20[[#This Row],[Number of options]]-Table20[[#This Row],[Exit1]]-Table20[[#This Row],[Exit2]]</f>
        <v>0</v>
      </c>
      <c r="W92" s="30">
        <f ca="1">(Table20[[#This Row],[Expiration Date]]-TODAY())/365</f>
        <v>-1.263013698630137</v>
      </c>
      <c r="X92" s="30" t="e">
        <f ca="1">(LN(Table20[[#This Row],[Current Price]]/Table20[[#This Row],[strike_price]]) + ($B$2 + (Table20[[#This Row],[Vol]]^2)/2)*Table20[[#This Row],[Time to expiration]]) / (Table20[[#This Row],[Vol]] * SQRT(Table20[[#This Row],[Time to expiration]]))</f>
        <v>#NUM!</v>
      </c>
      <c r="Y92" s="30" t="e">
        <f ca="1">IF(Table20[[#This Row],[Direction]]&gt;0, _xlfn.NORM.S.DIST(Table20[[#This Row],[d1]], TRUE), _xlfn.NORM.S.DIST(Table20[[#This Row],[d1]], TRUE) - 1) * Table20[[#This Row],[Buy or Sell]]</f>
        <v>#NUM!</v>
      </c>
      <c r="Z92" s="9">
        <f ca="1">Table20[[#This Row],[Remaining]]*Table20[[#This Row],[Current Price]]*100</f>
        <v>0</v>
      </c>
      <c r="AA92" s="22">
        <f ca="1">IFERROR(Table20[[#This Row],[nominal_exposure]]*Table20[[#This Row],[Delta]],0)</f>
        <v>0</v>
      </c>
      <c r="AB92" s="30" t="b">
        <f>IF(Table20[[#This Row],[date_purchased]]&lt;&gt;Table20[[#This Row],[Expiration Date]],FALSE,TRUE)</f>
        <v>0</v>
      </c>
      <c r="AC92" s="30" t="str">
        <f>VLOOKUP(Table20[[#This Row],[Asset]],Table19[#All],3,FALSE)</f>
        <v>Market</v>
      </c>
      <c r="AD92" s="30">
        <f>IF(Table20[[#This Row],[Remaining]]&lt;&gt;0,Table20[[#This Row],[Invested]]*Table20[[#This Row],[Remaining]]/Table20[[#This Row],[Number of options]],0)</f>
        <v>0</v>
      </c>
      <c r="AE92" s="30">
        <f ca="1">SUMIF(Table20[Ticker],Table20[[#This Row],[Ticker]],Table20[realized_profit])</f>
        <v>-5077</v>
      </c>
      <c r="AF92" s="30" t="str">
        <f>VLOOKUP(Table20[[#This Row],[Strategy]],Table29[#All],7,FALSE)</f>
        <v>Bearish</v>
      </c>
    </row>
    <row r="93" spans="1:32" hidden="1">
      <c r="A93" s="118">
        <v>45513</v>
      </c>
      <c r="B93" s="21" t="e" vm="11">
        <v>#VALUE!</v>
      </c>
      <c r="C93" s="109" t="str" cm="1">
        <f t="array" aca="1" ref="C93" ca="1">_FV(Table20[[#This Row],[Asset]],"Ticker symbol",TRUE)</f>
        <v>AMZN</v>
      </c>
      <c r="D93" s="26" cm="1">
        <f t="array" aca="1" ref="D93" ca="1">_FV(Table20[[#This Row],[Asset]],"Price")</f>
        <v>212.15</v>
      </c>
      <c r="E93" s="26">
        <v>190</v>
      </c>
      <c r="F93" s="33">
        <v>4</v>
      </c>
      <c r="G93" s="34">
        <v>1</v>
      </c>
      <c r="H93" s="113" t="s">
        <v>115</v>
      </c>
      <c r="I93" s="31">
        <v>45497</v>
      </c>
      <c r="J93" s="26">
        <v>4.68</v>
      </c>
      <c r="K93" s="24">
        <v>0.50429999999999997</v>
      </c>
      <c r="L93" s="33">
        <f>VLOOKUP(Table20[[#This Row],[Strategy]],Table29[#All],6,FALSE)</f>
        <v>1</v>
      </c>
      <c r="M93" s="23">
        <v>4</v>
      </c>
      <c r="N93" s="23">
        <v>0.06</v>
      </c>
      <c r="O93" s="23"/>
      <c r="P93" s="23"/>
      <c r="Q93">
        <f>Table20[[#This Row],[Exit1]]*Table20[[#This Row],[ex1_price]]</f>
        <v>0.24</v>
      </c>
      <c r="R93">
        <f>Table20[[#This Row],[Exit2]]*Table20[[#This Row],[ex2_price]]</f>
        <v>0</v>
      </c>
      <c r="S93">
        <f>IFERROR((Table20[[#This Row],[ex2_amnt]]+Table20[[#This Row],[ex1_amnt]])/(Table20[[#This Row],[Exit2]]+Table20[[#This Row],[Exit1]]),0)</f>
        <v>0.06</v>
      </c>
      <c r="T93" s="5">
        <f>(Table20[[#This Row],[Exit1]]+Table20[[#This Row],[Exit2]])*(Table20[[#This Row],[avg_exit_price]]-Table20[[#This Row],[AvePrice]])*100*Table20[[#This Row],[Buy or Sell]]</f>
        <v>-1848</v>
      </c>
      <c r="U93" s="5">
        <f>Table20[[#This Row],[Number of options]]*Table20[[#This Row],[AvePrice]]*100*Table20[[#This Row],[Buy or Sell]]</f>
        <v>1872</v>
      </c>
      <c r="V93" s="8">
        <f>Table20[[#This Row],[Number of options]]-Table20[[#This Row],[Exit1]]-Table20[[#This Row],[Exit2]]</f>
        <v>0</v>
      </c>
      <c r="W93" s="30">
        <f ca="1">(Table20[[#This Row],[Expiration Date]]-TODAY())/365</f>
        <v>-1.6273972602739726</v>
      </c>
      <c r="X93" s="30" t="e">
        <f ca="1">(LN(Table20[[#This Row],[Current Price]]/Table20[[#This Row],[strike_price]]) + ($B$2 + (Table20[[#This Row],[Vol]]^2)/2)*Table20[[#This Row],[Time to expiration]]) / (Table20[[#This Row],[Vol]] * SQRT(Table20[[#This Row],[Time to expiration]]))</f>
        <v>#NUM!</v>
      </c>
      <c r="Y93" s="30" t="e">
        <f ca="1">IF(Table20[[#This Row],[Direction]]&gt;0, _xlfn.NORM.S.DIST(Table20[[#This Row],[d1]], TRUE), _xlfn.NORM.S.DIST(Table20[[#This Row],[d1]], TRUE) - 1) * Table20[[#This Row],[Buy or Sell]]</f>
        <v>#NUM!</v>
      </c>
      <c r="Z93" s="9">
        <f ca="1">Table20[[#This Row],[Remaining]]*Table20[[#This Row],[Current Price]]*100</f>
        <v>0</v>
      </c>
      <c r="AA93" s="22">
        <f ca="1">IFERROR(Table20[[#This Row],[nominal_exposure]]*Table20[[#This Row],[Delta]],0)</f>
        <v>0</v>
      </c>
      <c r="AB93" s="30" t="b">
        <f>IF(Table20[[#This Row],[date_purchased]]&lt;&gt;Table20[[#This Row],[Expiration Date]],FALSE,TRUE)</f>
        <v>0</v>
      </c>
      <c r="AC93" s="30" t="str">
        <f>VLOOKUP(Table20[[#This Row],[Asset]],Table19[#All],3,FALSE)</f>
        <v>Robotics</v>
      </c>
      <c r="AD93" s="4">
        <f>IF(Table20[[#This Row],[Remaining]]&lt;&gt;0,Table20[[#This Row],[Invested]]*Table20[[#This Row],[Remaining]]/Table20[[#This Row],[Number of options]],0)</f>
        <v>0</v>
      </c>
      <c r="AE93" s="30">
        <f ca="1">SUMIF(Table20[Ticker],Table20[[#This Row],[Ticker]],Table20[realized_profit])</f>
        <v>-1350</v>
      </c>
      <c r="AF93" s="30" t="str">
        <f>VLOOKUP(Table20[[#This Row],[Strategy]],Table29[#All],7,FALSE)</f>
        <v>Bullish</v>
      </c>
    </row>
    <row r="94" spans="1:32" hidden="1">
      <c r="A94" s="35">
        <v>45513</v>
      </c>
      <c r="B94" s="21" t="e" vm="24">
        <v>#VALUE!</v>
      </c>
      <c r="C94" s="109" t="str" cm="1">
        <f t="array" aca="1" ref="C94" ca="1">_FV(Table20[[#This Row],[Asset]],"Ticker symbol",TRUE)</f>
        <v>QCOM</v>
      </c>
      <c r="D94" s="26" cm="1">
        <f t="array" aca="1" ref="D94" ca="1">_FV(Table20[[#This Row],[Asset]],"Price")</f>
        <v>131.63499999999999</v>
      </c>
      <c r="E94" s="26">
        <v>200</v>
      </c>
      <c r="F94" s="33">
        <v>2</v>
      </c>
      <c r="G94" s="34">
        <v>1</v>
      </c>
      <c r="H94" s="34" t="s">
        <v>115</v>
      </c>
      <c r="I94" s="31">
        <v>45502</v>
      </c>
      <c r="J94" s="26">
        <v>2.09</v>
      </c>
      <c r="K94" s="24">
        <v>0.61280000000000001</v>
      </c>
      <c r="L94" s="33">
        <f>VLOOKUP(Table20[[#This Row],[Strategy]],Table29[#All],6,FALSE)</f>
        <v>1</v>
      </c>
      <c r="M94" s="23">
        <v>2</v>
      </c>
      <c r="N94" s="23">
        <v>0</v>
      </c>
      <c r="O94" s="23"/>
      <c r="P94" s="23"/>
      <c r="Q94">
        <f>Table20[[#This Row],[Exit1]]*Table20[[#This Row],[ex1_price]]</f>
        <v>0</v>
      </c>
      <c r="R94">
        <f>Table20[[#This Row],[Exit2]]*Table20[[#This Row],[ex2_price]]</f>
        <v>0</v>
      </c>
      <c r="S94">
        <f>IFERROR((Table20[[#This Row],[ex2_amnt]]+Table20[[#This Row],[ex1_amnt]])/(Table20[[#This Row],[Exit2]]+Table20[[#This Row],[Exit1]]),0)</f>
        <v>0</v>
      </c>
      <c r="T94" s="5">
        <f>(Table20[[#This Row],[Exit1]]+Table20[[#This Row],[Exit2]])*(Table20[[#This Row],[avg_exit_price]]-Table20[[#This Row],[AvePrice]])*100*Table20[[#This Row],[Buy or Sell]]</f>
        <v>-418</v>
      </c>
      <c r="U94" s="5">
        <f>Table20[[#This Row],[Number of options]]*Table20[[#This Row],[AvePrice]]*100*Table20[[#This Row],[Buy or Sell]]</f>
        <v>418</v>
      </c>
      <c r="V94" s="8">
        <f>Table20[[#This Row],[Number of options]]-Table20[[#This Row],[Exit1]]-Table20[[#This Row],[Exit2]]</f>
        <v>0</v>
      </c>
      <c r="W94" s="30">
        <f ca="1">(Table20[[#This Row],[Expiration Date]]-TODAY())/365</f>
        <v>-1.6273972602739726</v>
      </c>
      <c r="X94" s="30" t="e">
        <f ca="1">(LN(Table20[[#This Row],[Current Price]]/Table20[[#This Row],[strike_price]]) + ($B$2 + (Table20[[#This Row],[Vol]]^2)/2)*Table20[[#This Row],[Time to expiration]]) / (Table20[[#This Row],[Vol]] * SQRT(Table20[[#This Row],[Time to expiration]]))</f>
        <v>#NUM!</v>
      </c>
      <c r="Y94" s="30" t="e">
        <f ca="1">IF(Table20[[#This Row],[Direction]]&gt;0, _xlfn.NORM.S.DIST(Table20[[#This Row],[d1]], TRUE), _xlfn.NORM.S.DIST(Table20[[#This Row],[d1]], TRUE) - 1) * Table20[[#This Row],[Buy or Sell]]</f>
        <v>#NUM!</v>
      </c>
      <c r="Z94" s="9">
        <f ca="1">Table20[[#This Row],[Remaining]]*Table20[[#This Row],[Current Price]]*100</f>
        <v>0</v>
      </c>
      <c r="AA94" s="22">
        <f ca="1">IFERROR(Table20[[#This Row],[nominal_exposure]]*Table20[[#This Row],[Delta]],0)</f>
        <v>0</v>
      </c>
      <c r="AB94" s="30" t="b">
        <f>IF(Table20[[#This Row],[date_purchased]]&lt;&gt;Table20[[#This Row],[Expiration Date]],FALSE,TRUE)</f>
        <v>0</v>
      </c>
      <c r="AC94" s="30" t="str">
        <f>VLOOKUP(Table20[[#This Row],[Asset]],Table19[#All],3,FALSE)</f>
        <v>AI</v>
      </c>
      <c r="AD94" s="4">
        <f>IF(Table20[[#This Row],[Remaining]]&lt;&gt;0,Table20[[#This Row],[Invested]]*Table20[[#This Row],[Remaining]]/Table20[[#This Row],[Number of options]],0)</f>
        <v>0</v>
      </c>
      <c r="AE94" s="30">
        <f ca="1">SUMIF(Table20[Ticker],Table20[[#This Row],[Ticker]],Table20[realized_profit])</f>
        <v>-2175.9999999999995</v>
      </c>
      <c r="AF94" s="30" t="str">
        <f>VLOOKUP(Table20[[#This Row],[Strategy]],Table29[#All],7,FALSE)</f>
        <v>Bullish</v>
      </c>
    </row>
    <row r="95" spans="1:32" hidden="1">
      <c r="A95" s="35">
        <v>45555</v>
      </c>
      <c r="B95" s="21" t="e" vm="129">
        <v>#VALUE!</v>
      </c>
      <c r="C95" s="109" t="str" cm="1">
        <f t="array" aca="1" ref="C95" ca="1">_FV(Table20[[#This Row],[Asset]],"Ticker symbol",TRUE)</f>
        <v>MRVL</v>
      </c>
      <c r="D95" s="26" cm="1">
        <f t="array" aca="1" ref="D95" ca="1">_FV(Table20[[#This Row],[Asset]],"Price")</f>
        <v>96.84</v>
      </c>
      <c r="E95" s="26">
        <v>80</v>
      </c>
      <c r="F95" s="33">
        <v>2</v>
      </c>
      <c r="G95" s="34">
        <v>1</v>
      </c>
      <c r="H95" s="111" t="s">
        <v>113</v>
      </c>
      <c r="I95" s="31">
        <v>45481</v>
      </c>
      <c r="J95" s="26">
        <v>4.5</v>
      </c>
      <c r="K95" s="24">
        <v>0.46050000000000002</v>
      </c>
      <c r="L95" s="33">
        <f>VLOOKUP(Table20[[#This Row],[Strategy]],Table29[#All],6,FALSE)</f>
        <v>1</v>
      </c>
      <c r="M95" s="23">
        <v>2</v>
      </c>
      <c r="N95" s="23">
        <v>1.26</v>
      </c>
      <c r="O95" s="23"/>
      <c r="P95" s="23"/>
      <c r="Q95">
        <f>Table20[[#This Row],[Exit1]]*Table20[[#This Row],[ex1_price]]</f>
        <v>2.52</v>
      </c>
      <c r="R95">
        <f>Table20[[#This Row],[Exit2]]*Table20[[#This Row],[ex2_price]]</f>
        <v>0</v>
      </c>
      <c r="S95">
        <f>IFERROR((Table20[[#This Row],[ex2_amnt]]+Table20[[#This Row],[ex1_amnt]])/(Table20[[#This Row],[Exit2]]+Table20[[#This Row],[Exit1]]),0)</f>
        <v>1.26</v>
      </c>
      <c r="T95" s="5">
        <f>(Table20[[#This Row],[Exit1]]+Table20[[#This Row],[Exit2]])*(Table20[[#This Row],[avg_exit_price]]-Table20[[#This Row],[AvePrice]])*100*Table20[[#This Row],[Buy or Sell]]</f>
        <v>-648</v>
      </c>
      <c r="U95" s="5">
        <f>Table20[[#This Row],[Number of options]]*Table20[[#This Row],[AvePrice]]*100*Table20[[#This Row],[Buy or Sell]]</f>
        <v>900</v>
      </c>
      <c r="V95" s="8">
        <f>Table20[[#This Row],[Number of options]]-Table20[[#This Row],[Exit1]]-Table20[[#This Row],[Exit2]]</f>
        <v>0</v>
      </c>
      <c r="W95" s="30">
        <f ca="1">(Table20[[#This Row],[Expiration Date]]-TODAY())/365</f>
        <v>-1.5123287671232877</v>
      </c>
      <c r="X95" s="30" t="e">
        <f ca="1">(LN(Table20[[#This Row],[Current Price]]/Table20[[#This Row],[strike_price]]) + ($B$2 + (Table20[[#This Row],[Vol]]^2)/2)*Table20[[#This Row],[Time to expiration]]) / (Table20[[#This Row],[Vol]] * SQRT(Table20[[#This Row],[Time to expiration]]))</f>
        <v>#NUM!</v>
      </c>
      <c r="Y95" s="30" t="e">
        <f ca="1">IF(Table20[[#This Row],[Direction]]&gt;0, _xlfn.NORM.S.DIST(Table20[[#This Row],[d1]], TRUE), _xlfn.NORM.S.DIST(Table20[[#This Row],[d1]], TRUE) - 1) * Table20[[#This Row],[Buy or Sell]]</f>
        <v>#NUM!</v>
      </c>
      <c r="Z95" s="9">
        <f ca="1">Table20[[#This Row],[Remaining]]*Table20[[#This Row],[Current Price]]*100</f>
        <v>0</v>
      </c>
      <c r="AA95" s="22">
        <f ca="1">IFERROR(Table20[[#This Row],[nominal_exposure]]*Table20[[#This Row],[Delta]],0)</f>
        <v>0</v>
      </c>
      <c r="AB95" s="99" t="b">
        <f>IF(Table20[[#This Row],[date_purchased]]&lt;&gt;Table20[[#This Row],[Expiration Date]],FALSE,TRUE)</f>
        <v>0</v>
      </c>
      <c r="AC95" s="30" t="str">
        <f>VLOOKUP(Table20[[#This Row],[Asset]],Table19[#All],3,FALSE)</f>
        <v>AI</v>
      </c>
      <c r="AD95" s="30">
        <f>IF(Table20[[#This Row],[Remaining]]&lt;&gt;0,Table20[[#This Row],[Invested]]*Table20[[#This Row],[Remaining]]/Table20[[#This Row],[Number of options]],0)</f>
        <v>0</v>
      </c>
      <c r="AE95" s="30">
        <f ca="1">SUMIF(Table20[Ticker],Table20[[#This Row],[Ticker]],Table20[realized_profit])</f>
        <v>-1014.0000000000001</v>
      </c>
      <c r="AF95" s="30" t="str">
        <f>VLOOKUP(Table20[[#This Row],[Strategy]],Table29[#All],7,FALSE)</f>
        <v>Bullish</v>
      </c>
    </row>
    <row r="96" spans="1:32" hidden="1">
      <c r="A96" s="118">
        <v>45513</v>
      </c>
      <c r="B96" s="21" t="e" vm="63">
        <v>#VALUE!</v>
      </c>
      <c r="C96" s="109" t="str" cm="1">
        <f t="array" aca="1" ref="C96" ca="1">_FV(Table20[[#This Row],[Asset]],"Ticker symbol",TRUE)</f>
        <v>TSLA</v>
      </c>
      <c r="D96" s="26" cm="1">
        <f t="array" aca="1" ref="D96" ca="1">_FV(Table20[[#This Row],[Asset]],"Price")</f>
        <v>394.5401</v>
      </c>
      <c r="E96" s="26">
        <v>200</v>
      </c>
      <c r="F96" s="33">
        <v>2</v>
      </c>
      <c r="G96" s="34">
        <v>-1</v>
      </c>
      <c r="H96" s="111" t="s">
        <v>161</v>
      </c>
      <c r="I96" s="31">
        <v>45478</v>
      </c>
      <c r="J96" s="26">
        <v>3.38</v>
      </c>
      <c r="K96" s="24">
        <v>0.64890000000000003</v>
      </c>
      <c r="L96" s="33">
        <f>VLOOKUP(Table20[[#This Row],[Strategy]],Table29[#All],6,FALSE)</f>
        <v>-1</v>
      </c>
      <c r="M96" s="23">
        <v>2</v>
      </c>
      <c r="N96" s="23">
        <v>12.25</v>
      </c>
      <c r="O96" s="23"/>
      <c r="P96" s="23"/>
      <c r="Q96">
        <f>Table20[[#This Row],[Exit1]]*Table20[[#This Row],[ex1_price]]</f>
        <v>24.5</v>
      </c>
      <c r="R96">
        <f>Table20[[#This Row],[Exit2]]*Table20[[#This Row],[ex2_price]]</f>
        <v>0</v>
      </c>
      <c r="S96">
        <f>IFERROR((Table20[[#This Row],[ex2_amnt]]+Table20[[#This Row],[ex1_amnt]])/(Table20[[#This Row],[Exit2]]+Table20[[#This Row],[Exit1]]),0)</f>
        <v>12.25</v>
      </c>
      <c r="T96" s="5">
        <f>(Table20[[#This Row],[Exit1]]+Table20[[#This Row],[Exit2]])*(Table20[[#This Row],[avg_exit_price]]-Table20[[#This Row],[AvePrice]])*100*Table20[[#This Row],[Buy or Sell]]</f>
        <v>-1774.0000000000002</v>
      </c>
      <c r="U96" s="5">
        <f>Table20[[#This Row],[Number of options]]*Table20[[#This Row],[AvePrice]]*100*Table20[[#This Row],[Buy or Sell]]</f>
        <v>-676</v>
      </c>
      <c r="V96" s="8">
        <f>Table20[[#This Row],[Number of options]]-Table20[[#This Row],[Exit1]]-Table20[[#This Row],[Exit2]]</f>
        <v>0</v>
      </c>
      <c r="W96" s="30">
        <f ca="1">(Table20[[#This Row],[Expiration Date]]-TODAY())/365</f>
        <v>-1.6273972602739726</v>
      </c>
      <c r="X96" s="30" t="e">
        <f ca="1">(LN(Table20[[#This Row],[Current Price]]/Table20[[#This Row],[strike_price]]) + ($B$2 + (Table20[[#This Row],[Vol]]^2)/2)*Table20[[#This Row],[Time to expiration]]) / (Table20[[#This Row],[Vol]] * SQRT(Table20[[#This Row],[Time to expiration]]))</f>
        <v>#NUM!</v>
      </c>
      <c r="Y96" s="30" t="e">
        <f ca="1">IF(Table20[[#This Row],[Direction]]&gt;0, _xlfn.NORM.S.DIST(Table20[[#This Row],[d1]], TRUE), _xlfn.NORM.S.DIST(Table20[[#This Row],[d1]], TRUE) - 1) * Table20[[#This Row],[Buy or Sell]]</f>
        <v>#NUM!</v>
      </c>
      <c r="Z96" s="9">
        <f ca="1">Table20[[#This Row],[Remaining]]*Table20[[#This Row],[Current Price]]*100</f>
        <v>0</v>
      </c>
      <c r="AA96" s="22">
        <f ca="1">IFERROR(Table20[[#This Row],[nominal_exposure]]*Table20[[#This Row],[Delta]],0)</f>
        <v>0</v>
      </c>
      <c r="AB96" s="99" t="b">
        <f>IF(Table20[[#This Row],[date_purchased]]&lt;&gt;Table20[[#This Row],[Expiration Date]],FALSE,TRUE)</f>
        <v>0</v>
      </c>
      <c r="AC96" s="30" t="str">
        <f>VLOOKUP(Table20[[#This Row],[Asset]],Table19[#All],3,FALSE)</f>
        <v>Auto</v>
      </c>
      <c r="AD96" s="4">
        <f>IF(Table20[[#This Row],[Remaining]]&lt;&gt;0,Table20[[#This Row],[Invested]]*Table20[[#This Row],[Remaining]]/Table20[[#This Row],[Number of options]],0)</f>
        <v>0</v>
      </c>
      <c r="AE96" s="30">
        <f ca="1">SUMIF(Table20[Ticker],Table20[[#This Row],[Ticker]],Table20[realized_profit])</f>
        <v>4153</v>
      </c>
      <c r="AF96" s="30" t="str">
        <f>VLOOKUP(Table20[[#This Row],[Strategy]],Table29[#All],7,FALSE)</f>
        <v>Bearish</v>
      </c>
    </row>
    <row r="97" spans="1:32" hidden="1">
      <c r="A97" s="35">
        <v>45555</v>
      </c>
      <c r="B97" s="21" t="e" vm="21">
        <v>#VALUE!</v>
      </c>
      <c r="C97" s="109" t="str" cm="1">
        <f t="array" aca="1" ref="C97" ca="1">_FV(Table20[[#This Row],[Asset]],"Ticker symbol",TRUE)</f>
        <v>INTC</v>
      </c>
      <c r="D97" s="26" cm="1">
        <f t="array" aca="1" ref="D97" ca="1">_FV(Table20[[#This Row],[Asset]],"Price")</f>
        <v>47.290100000000002</v>
      </c>
      <c r="E97" s="26">
        <v>40</v>
      </c>
      <c r="F97" s="33">
        <v>7</v>
      </c>
      <c r="G97" s="34">
        <v>1</v>
      </c>
      <c r="H97" s="111" t="s">
        <v>115</v>
      </c>
      <c r="I97" s="31">
        <v>45484</v>
      </c>
      <c r="J97" s="26">
        <v>1</v>
      </c>
      <c r="K97" s="24">
        <v>0.40300000000000002</v>
      </c>
      <c r="L97" s="33">
        <f>VLOOKUP(Table20[[#This Row],[Strategy]],Table29[#All],6,FALSE)</f>
        <v>1</v>
      </c>
      <c r="M97" s="23">
        <v>7</v>
      </c>
      <c r="N97" s="23">
        <v>0.31</v>
      </c>
      <c r="O97" s="23"/>
      <c r="P97" s="23"/>
      <c r="Q97">
        <f>Table20[[#This Row],[Exit1]]*Table20[[#This Row],[ex1_price]]</f>
        <v>2.17</v>
      </c>
      <c r="R97">
        <f>Table20[[#This Row],[Exit2]]*Table20[[#This Row],[ex2_price]]</f>
        <v>0</v>
      </c>
      <c r="S97">
        <f>IFERROR((Table20[[#This Row],[ex2_amnt]]+Table20[[#This Row],[ex1_amnt]])/(Table20[[#This Row],[Exit2]]+Table20[[#This Row],[Exit1]]),0)</f>
        <v>0.31</v>
      </c>
      <c r="T97" s="5">
        <f>(Table20[[#This Row],[Exit1]]+Table20[[#This Row],[Exit2]])*(Table20[[#This Row],[avg_exit_price]]-Table20[[#This Row],[AvePrice]])*100*Table20[[#This Row],[Buy or Sell]]</f>
        <v>-483</v>
      </c>
      <c r="U97" s="5">
        <f>Table20[[#This Row],[Number of options]]*Table20[[#This Row],[AvePrice]]*100*Table20[[#This Row],[Buy or Sell]]</f>
        <v>700</v>
      </c>
      <c r="V97" s="8">
        <f>Table20[[#This Row],[Number of options]]-Table20[[#This Row],[Exit1]]-Table20[[#This Row],[Exit2]]</f>
        <v>0</v>
      </c>
      <c r="W97" s="30">
        <f ca="1">(Table20[[#This Row],[Expiration Date]]-TODAY())/365</f>
        <v>-1.5123287671232877</v>
      </c>
      <c r="X97" s="30" t="e">
        <f ca="1">(LN(Table20[[#This Row],[Current Price]]/Table20[[#This Row],[strike_price]]) + ($B$2 + (Table20[[#This Row],[Vol]]^2)/2)*Table20[[#This Row],[Time to expiration]]) / (Table20[[#This Row],[Vol]] * SQRT(Table20[[#This Row],[Time to expiration]]))</f>
        <v>#NUM!</v>
      </c>
      <c r="Y97" s="30" t="e">
        <f ca="1">IF(Table20[[#This Row],[Direction]]&gt;0, _xlfn.NORM.S.DIST(Table20[[#This Row],[d1]], TRUE), _xlfn.NORM.S.DIST(Table20[[#This Row],[d1]], TRUE) - 1) * Table20[[#This Row],[Buy or Sell]]</f>
        <v>#NUM!</v>
      </c>
      <c r="Z97" s="9">
        <f ca="1">Table20[[#This Row],[Remaining]]*Table20[[#This Row],[Current Price]]*100</f>
        <v>0</v>
      </c>
      <c r="AA97" s="22">
        <f ca="1">IFERROR(Table20[[#This Row],[nominal_exposure]]*Table20[[#This Row],[Delta]],0)</f>
        <v>0</v>
      </c>
      <c r="AB97" s="99" t="b">
        <f>IF(Table20[[#This Row],[date_purchased]]&lt;&gt;Table20[[#This Row],[Expiration Date]],FALSE,TRUE)</f>
        <v>0</v>
      </c>
      <c r="AC97" s="30" t="str">
        <f>VLOOKUP(Table20[[#This Row],[Asset]],Table19[#All],3,FALSE)</f>
        <v>AI</v>
      </c>
      <c r="AD97" s="30">
        <f>IF(Table20[[#This Row],[Remaining]]&lt;&gt;0,Table20[[#This Row],[Invested]]*Table20[[#This Row],[Remaining]]/Table20[[#This Row],[Number of options]],0)</f>
        <v>0</v>
      </c>
      <c r="AE97" s="30">
        <f ca="1">SUMIF(Table20[Ticker],Table20[[#This Row],[Ticker]],Table20[realized_profit])</f>
        <v>4779</v>
      </c>
      <c r="AF97" s="30" t="str">
        <f>VLOOKUP(Table20[[#This Row],[Strategy]],Table29[#All],7,FALSE)</f>
        <v>Bullish</v>
      </c>
    </row>
    <row r="98" spans="1:32" hidden="1">
      <c r="A98" s="118">
        <v>45520</v>
      </c>
      <c r="B98" s="21" t="e" vm="56">
        <v>#VALUE!</v>
      </c>
      <c r="C98" s="109" t="str" cm="1">
        <f t="array" aca="1" ref="C98" ca="1">_FV(Table20[[#This Row],[Asset]],"Ticker symbol",TRUE)</f>
        <v>PBF</v>
      </c>
      <c r="D98" s="26" cm="1">
        <f t="array" aca="1" ref="D98" ca="1">_FV(Table20[[#This Row],[Asset]],"Price")</f>
        <v>49.325000000000003</v>
      </c>
      <c r="E98" s="26">
        <v>50</v>
      </c>
      <c r="F98" s="33">
        <v>2</v>
      </c>
      <c r="G98" s="34">
        <v>1</v>
      </c>
      <c r="H98" s="119" t="s">
        <v>113</v>
      </c>
      <c r="I98" s="31">
        <v>45475</v>
      </c>
      <c r="J98" s="26">
        <v>1.95</v>
      </c>
      <c r="K98" s="24">
        <v>0.38600000000000001</v>
      </c>
      <c r="L98" s="33">
        <f>VLOOKUP(Table20[[#This Row],[Strategy]],Table29[#All],6,FALSE)</f>
        <v>1</v>
      </c>
      <c r="M98" s="23">
        <v>2</v>
      </c>
      <c r="N98" s="23">
        <v>0.5</v>
      </c>
      <c r="O98" s="23"/>
      <c r="P98" s="23"/>
      <c r="Q98">
        <f>Table20[[#This Row],[Exit1]]*Table20[[#This Row],[ex1_price]]</f>
        <v>1</v>
      </c>
      <c r="R98">
        <f>Table20[[#This Row],[Exit2]]*Table20[[#This Row],[ex2_price]]</f>
        <v>0</v>
      </c>
      <c r="S98">
        <f>IFERROR((Table20[[#This Row],[ex2_amnt]]+Table20[[#This Row],[ex1_amnt]])/(Table20[[#This Row],[Exit2]]+Table20[[#This Row],[Exit1]]),0)</f>
        <v>0.5</v>
      </c>
      <c r="T98" s="5">
        <f>(Table20[[#This Row],[Exit1]]+Table20[[#This Row],[Exit2]])*(Table20[[#This Row],[avg_exit_price]]-Table20[[#This Row],[AvePrice]])*100*Table20[[#This Row],[Buy or Sell]]</f>
        <v>-290</v>
      </c>
      <c r="U98" s="5">
        <f>Table20[[#This Row],[Number of options]]*Table20[[#This Row],[AvePrice]]*100*Table20[[#This Row],[Buy or Sell]]</f>
        <v>390</v>
      </c>
      <c r="V98" s="8">
        <f>Table20[[#This Row],[Number of options]]-Table20[[#This Row],[Exit1]]-Table20[[#This Row],[Exit2]]</f>
        <v>0</v>
      </c>
      <c r="W98" s="30">
        <f ca="1">(Table20[[#This Row],[Expiration Date]]-TODAY())/365</f>
        <v>-1.6082191780821917</v>
      </c>
      <c r="X98" s="30" t="e">
        <f ca="1">(LN(Table20[[#This Row],[Current Price]]/Table20[[#This Row],[strike_price]]) + ($B$2 + (Table20[[#This Row],[Vol]]^2)/2)*Table20[[#This Row],[Time to expiration]]) / (Table20[[#This Row],[Vol]] * SQRT(Table20[[#This Row],[Time to expiration]]))</f>
        <v>#NUM!</v>
      </c>
      <c r="Y98" s="30" t="e">
        <f ca="1">IF(Table20[[#This Row],[Direction]]&gt;0, _xlfn.NORM.S.DIST(Table20[[#This Row],[d1]], TRUE), _xlfn.NORM.S.DIST(Table20[[#This Row],[d1]], TRUE) - 1) * Table20[[#This Row],[Buy or Sell]]</f>
        <v>#NUM!</v>
      </c>
      <c r="Z98" s="9">
        <f ca="1">Table20[[#This Row],[Remaining]]*Table20[[#This Row],[Current Price]]*100</f>
        <v>0</v>
      </c>
      <c r="AA98" s="22">
        <f ca="1">IFERROR(Table20[[#This Row],[nominal_exposure]]*Table20[[#This Row],[Delta]],0)</f>
        <v>0</v>
      </c>
      <c r="AB98" s="99" t="b">
        <f>IF(Table20[[#This Row],[date_purchased]]&lt;&gt;Table20[[#This Row],[Expiration Date]],FALSE,TRUE)</f>
        <v>0</v>
      </c>
      <c r="AC98" s="30" t="str">
        <f>VLOOKUP(Table20[[#This Row],[Asset]],Table19[#All],3,FALSE)</f>
        <v>Energy</v>
      </c>
      <c r="AD98" s="30">
        <f>IF(Table20[[#This Row],[Remaining]]&lt;&gt;0,Table20[[#This Row],[Invested]]*Table20[[#This Row],[Remaining]]/Table20[[#This Row],[Number of options]],0)</f>
        <v>0</v>
      </c>
      <c r="AE98" s="30">
        <f ca="1">SUMIF(Table20[Ticker],Table20[[#This Row],[Ticker]],Table20[realized_profit])</f>
        <v>-790</v>
      </c>
      <c r="AF98" s="30" t="str">
        <f>VLOOKUP(Table20[[#This Row],[Strategy]],Table29[#All],7,FALSE)</f>
        <v>Bullish</v>
      </c>
    </row>
    <row r="99" spans="1:32" hidden="1">
      <c r="A99" s="118">
        <v>45506</v>
      </c>
      <c r="B99" s="21" t="e" vm="34">
        <v>#VALUE!</v>
      </c>
      <c r="C99" s="109" t="str" cm="1">
        <f t="array" aca="1" ref="C99" ca="1">_FV(Table20[[#This Row],[Asset]],"Ticker symbol",TRUE)</f>
        <v>TSM</v>
      </c>
      <c r="D99" s="26" cm="1">
        <f t="array" aca="1" ref="D99" ca="1">_FV(Table20[[#This Row],[Asset]],"Price")</f>
        <v>348.52499999999998</v>
      </c>
      <c r="E99" s="26">
        <v>155</v>
      </c>
      <c r="F99" s="33">
        <v>1</v>
      </c>
      <c r="G99" s="34">
        <v>1</v>
      </c>
      <c r="H99" s="34" t="s">
        <v>113</v>
      </c>
      <c r="I99" s="31">
        <v>45506</v>
      </c>
      <c r="J99" s="26">
        <v>1.01</v>
      </c>
      <c r="K99" s="24">
        <v>1.2291000000000001</v>
      </c>
      <c r="L99" s="33">
        <f>VLOOKUP(Table20[[#This Row],[Strategy]],Table29[#All],6,FALSE)</f>
        <v>1</v>
      </c>
      <c r="M99" s="23">
        <v>1</v>
      </c>
      <c r="N99" s="23">
        <v>0</v>
      </c>
      <c r="O99" s="23"/>
      <c r="P99" s="23"/>
      <c r="Q99">
        <f>Table20[[#This Row],[Exit1]]*Table20[[#This Row],[ex1_price]]</f>
        <v>0</v>
      </c>
      <c r="R99">
        <f>Table20[[#This Row],[Exit2]]*Table20[[#This Row],[ex2_price]]</f>
        <v>0</v>
      </c>
      <c r="S99">
        <f>IFERROR((Table20[[#This Row],[ex2_amnt]]+Table20[[#This Row],[ex1_amnt]])/(Table20[[#This Row],[Exit2]]+Table20[[#This Row],[Exit1]]),0)</f>
        <v>0</v>
      </c>
      <c r="T99" s="5">
        <f>(Table20[[#This Row],[Exit1]]+Table20[[#This Row],[Exit2]])*(Table20[[#This Row],[avg_exit_price]]-Table20[[#This Row],[AvePrice]])*100*Table20[[#This Row],[Buy or Sell]]</f>
        <v>-101</v>
      </c>
      <c r="U99" s="5">
        <f>Table20[[#This Row],[Number of options]]*Table20[[#This Row],[AvePrice]]*100*Table20[[#This Row],[Buy or Sell]]</f>
        <v>101</v>
      </c>
      <c r="V99" s="8">
        <f>Table20[[#This Row],[Number of options]]-Table20[[#This Row],[Exit1]]-Table20[[#This Row],[Exit2]]</f>
        <v>0</v>
      </c>
      <c r="W99" s="30">
        <f ca="1">(Table20[[#This Row],[Expiration Date]]-TODAY())/365</f>
        <v>-1.6465753424657534</v>
      </c>
      <c r="X99" s="30" t="e">
        <f ca="1">(LN(Table20[[#This Row],[Current Price]]/Table20[[#This Row],[strike_price]]) + ($B$2 + (Table20[[#This Row],[Vol]]^2)/2)*Table20[[#This Row],[Time to expiration]]) / (Table20[[#This Row],[Vol]] * SQRT(Table20[[#This Row],[Time to expiration]]))</f>
        <v>#NUM!</v>
      </c>
      <c r="Y99" s="30" t="e">
        <f ca="1">IF(Table20[[#This Row],[Direction]]&gt;0, _xlfn.NORM.S.DIST(Table20[[#This Row],[d1]], TRUE), _xlfn.NORM.S.DIST(Table20[[#This Row],[d1]], TRUE) - 1) * Table20[[#This Row],[Buy or Sell]]</f>
        <v>#NUM!</v>
      </c>
      <c r="Z99" s="9">
        <f ca="1">Table20[[#This Row],[Remaining]]*Table20[[#This Row],[Current Price]]*100</f>
        <v>0</v>
      </c>
      <c r="AA99" s="22">
        <f ca="1">IFERROR(Table20[[#This Row],[nominal_exposure]]*Table20[[#This Row],[Delta]],0)</f>
        <v>0</v>
      </c>
      <c r="AB99" s="30" t="b">
        <f>IF(Table20[[#This Row],[date_purchased]]&lt;&gt;Table20[[#This Row],[Expiration Date]],FALSE,TRUE)</f>
        <v>1</v>
      </c>
      <c r="AC99" s="30" t="str">
        <f>VLOOKUP(Table20[[#This Row],[Asset]],Table19[#All],3,FALSE)</f>
        <v>AI</v>
      </c>
      <c r="AD99" s="30">
        <f>IF(Table20[[#This Row],[Remaining]]&lt;&gt;0,Table20[[#This Row],[Invested]]*Table20[[#This Row],[Remaining]]/Table20[[#This Row],[Number of options]],0)</f>
        <v>0</v>
      </c>
      <c r="AE99" s="30">
        <f ca="1">SUMIF(Table20[Ticker],Table20[[#This Row],[Ticker]],Table20[realized_profit])</f>
        <v>-444.99999999999977</v>
      </c>
      <c r="AF99" s="30" t="str">
        <f>VLOOKUP(Table20[[#This Row],[Strategy]],Table29[#All],7,FALSE)</f>
        <v>Bullish</v>
      </c>
    </row>
    <row r="100" spans="1:32" hidden="1">
      <c r="A100" s="180">
        <v>45646</v>
      </c>
      <c r="B100" s="21" t="e" vm="96">
        <v>#VALUE!</v>
      </c>
      <c r="C100" s="109" t="str" cm="1">
        <f t="array" aca="1" ref="C100" ca="1">_FV(Table20[[#This Row],[Asset]],"Ticker symbol",TRUE)</f>
        <v>SPY</v>
      </c>
      <c r="D100" s="26" cm="1">
        <f t="array" aca="1" ref="D100" ca="1">_FV(Table20[[#This Row],[Asset]],"Price")</f>
        <v>658.59</v>
      </c>
      <c r="E100" s="26">
        <v>550</v>
      </c>
      <c r="F100" s="33">
        <v>2</v>
      </c>
      <c r="G100" s="34">
        <v>1</v>
      </c>
      <c r="H100" s="34" t="s">
        <v>161</v>
      </c>
      <c r="I100" s="31">
        <v>45614</v>
      </c>
      <c r="J100" s="26">
        <v>2.06</v>
      </c>
      <c r="K100" s="24"/>
      <c r="L100" s="33">
        <f>VLOOKUP(Table20[[#This Row],[Strategy]],Table29[#All],6,FALSE)</f>
        <v>-1</v>
      </c>
      <c r="M100" s="23">
        <v>2</v>
      </c>
      <c r="N100" s="23">
        <v>1.1100000000000001</v>
      </c>
      <c r="O100" s="23"/>
      <c r="P100" s="23"/>
      <c r="Q100">
        <f>Table20[[#This Row],[Exit1]]*Table20[[#This Row],[ex1_price]]</f>
        <v>2.2200000000000002</v>
      </c>
      <c r="R100">
        <f>Table20[[#This Row],[Exit2]]*Table20[[#This Row],[ex2_price]]</f>
        <v>0</v>
      </c>
      <c r="S100">
        <f>IFERROR((Table20[[#This Row],[ex2_amnt]]+Table20[[#This Row],[ex1_amnt]])/(Table20[[#This Row],[Exit2]]+Table20[[#This Row],[Exit1]]),0)</f>
        <v>1.1100000000000001</v>
      </c>
      <c r="T100" s="5">
        <f>(Table20[[#This Row],[Exit1]]+Table20[[#This Row],[Exit2]])*(Table20[[#This Row],[avg_exit_price]]-Table20[[#This Row],[AvePrice]])*100*Table20[[#This Row],[Buy or Sell]]</f>
        <v>-190</v>
      </c>
      <c r="U100" s="5">
        <f>Table20[[#This Row],[Number of options]]*Table20[[#This Row],[AvePrice]]*100*Table20[[#This Row],[Buy or Sell]]</f>
        <v>412</v>
      </c>
      <c r="V100" s="8">
        <f>Table20[[#This Row],[Number of options]]-Table20[[#This Row],[Exit1]]-Table20[[#This Row],[Exit2]]</f>
        <v>0</v>
      </c>
      <c r="W100" s="30">
        <f ca="1">(Table20[[#This Row],[Expiration Date]]-TODAY())/365</f>
        <v>-1.263013698630137</v>
      </c>
      <c r="X100" s="30" t="e">
        <f ca="1">(LN(Table20[[#This Row],[Current Price]]/Table20[[#This Row],[strike_price]]) + ($B$2 + (Table20[[#This Row],[Vol]]^2)/2)*Table20[[#This Row],[Time to expiration]]) / (Table20[[#This Row],[Vol]] * SQRT(Table20[[#This Row],[Time to expiration]]))</f>
        <v>#NUM!</v>
      </c>
      <c r="Y100" s="30" t="e">
        <f ca="1">IF(Table20[[#This Row],[Direction]]&gt;0, _xlfn.NORM.S.DIST(Table20[[#This Row],[d1]], TRUE), _xlfn.NORM.S.DIST(Table20[[#This Row],[d1]], TRUE) - 1) * Table20[[#This Row],[Buy or Sell]]</f>
        <v>#NUM!</v>
      </c>
      <c r="Z100" s="9">
        <f ca="1">Table20[[#This Row],[Remaining]]*Table20[[#This Row],[Current Price]]*100</f>
        <v>0</v>
      </c>
      <c r="AA100" s="22">
        <f ca="1">IFERROR(Table20[[#This Row],[nominal_exposure]]*Table20[[#This Row],[Delta]],0)</f>
        <v>0</v>
      </c>
      <c r="AB100" s="30" t="b">
        <f>IF(Table20[[#This Row],[date_purchased]]&lt;&gt;Table20[[#This Row],[Expiration Date]],FALSE,TRUE)</f>
        <v>0</v>
      </c>
      <c r="AC100" s="30" t="str">
        <f>VLOOKUP(Table20[[#This Row],[Asset]],Table19[#All],3,FALSE)</f>
        <v>Market</v>
      </c>
      <c r="AD100" s="30">
        <f>IF(Table20[[#This Row],[Remaining]]&lt;&gt;0,Table20[[#This Row],[Invested]]*Table20[[#This Row],[Remaining]]/Table20[[#This Row],[Number of options]],0)</f>
        <v>0</v>
      </c>
      <c r="AE100" s="30">
        <f ca="1">SUMIF(Table20[Ticker],Table20[[#This Row],[Ticker]],Table20[realized_profit])</f>
        <v>-5077</v>
      </c>
      <c r="AF100" s="30" t="str">
        <f>VLOOKUP(Table20[[#This Row],[Strategy]],Table29[#All],7,FALSE)</f>
        <v>Bearish</v>
      </c>
    </row>
    <row r="101" spans="1:32" hidden="1">
      <c r="A101" s="181">
        <v>45534</v>
      </c>
      <c r="B101" s="21" t="e" vm="121">
        <v>#VALUE!</v>
      </c>
      <c r="C101" s="109" t="str" cm="1">
        <f t="array" aca="1" ref="C101" ca="1">_FV(Table20[[#This Row],[Asset]],"Ticker symbol",TRUE)</f>
        <v>IWM</v>
      </c>
      <c r="D101" s="26" cm="1">
        <f t="array" aca="1" ref="D101" ca="1">_FV(Table20[[#This Row],[Asset]],"Price")</f>
        <v>252.46010000000001</v>
      </c>
      <c r="E101" s="26">
        <v>240</v>
      </c>
      <c r="F101" s="33">
        <v>1</v>
      </c>
      <c r="G101" s="34">
        <v>-1</v>
      </c>
      <c r="H101" s="34" t="s">
        <v>115</v>
      </c>
      <c r="I101" s="31">
        <v>45505</v>
      </c>
      <c r="J101" s="26">
        <v>1.62</v>
      </c>
      <c r="K101" s="24">
        <v>0.24460000000000001</v>
      </c>
      <c r="L101" s="33">
        <f>VLOOKUP(Table20[[#This Row],[Strategy]],Table29[#All],6,FALSE)</f>
        <v>1</v>
      </c>
      <c r="M101" s="23">
        <v>1</v>
      </c>
      <c r="N101" s="23">
        <v>0</v>
      </c>
      <c r="O101" s="23"/>
      <c r="P101" s="23"/>
      <c r="Q101">
        <f>Table20[[#This Row],[Exit1]]*Table20[[#This Row],[ex1_price]]</f>
        <v>0</v>
      </c>
      <c r="R101">
        <f>Table20[[#This Row],[Exit2]]*Table20[[#This Row],[ex2_price]]</f>
        <v>0</v>
      </c>
      <c r="S101">
        <f>IFERROR((Table20[[#This Row],[ex2_amnt]]+Table20[[#This Row],[ex1_amnt]])/(Table20[[#This Row],[Exit2]]+Table20[[#This Row],[Exit1]]),0)</f>
        <v>0</v>
      </c>
      <c r="T101" s="5">
        <f>(Table20[[#This Row],[Exit1]]+Table20[[#This Row],[Exit2]])*(Table20[[#This Row],[avg_exit_price]]-Table20[[#This Row],[AvePrice]])*100*Table20[[#This Row],[Buy or Sell]]</f>
        <v>162</v>
      </c>
      <c r="U101" s="5">
        <f>Table20[[#This Row],[Number of options]]*Table20[[#This Row],[AvePrice]]*100*Table20[[#This Row],[Buy or Sell]]</f>
        <v>-162</v>
      </c>
      <c r="V101" s="8">
        <f>Table20[[#This Row],[Number of options]]-Table20[[#This Row],[Exit1]]-Table20[[#This Row],[Exit2]]</f>
        <v>0</v>
      </c>
      <c r="W101" s="30">
        <f ca="1">(Table20[[#This Row],[Expiration Date]]-TODAY())/365</f>
        <v>-1.5698630136986302</v>
      </c>
      <c r="X101" s="30" t="e">
        <f ca="1">(LN(Table20[[#This Row],[Current Price]]/Table20[[#This Row],[strike_price]]) + ($B$2 + (Table20[[#This Row],[Vol]]^2)/2)*Table20[[#This Row],[Time to expiration]]) / (Table20[[#This Row],[Vol]] * SQRT(Table20[[#This Row],[Time to expiration]]))</f>
        <v>#NUM!</v>
      </c>
      <c r="Y101" s="30" t="e">
        <f ca="1">IF(Table20[[#This Row],[Direction]]&gt;0, _xlfn.NORM.S.DIST(Table20[[#This Row],[d1]], TRUE), _xlfn.NORM.S.DIST(Table20[[#This Row],[d1]], TRUE) - 1) * Table20[[#This Row],[Buy or Sell]]</f>
        <v>#NUM!</v>
      </c>
      <c r="Z101" s="9">
        <f ca="1">Table20[[#This Row],[Remaining]]*Table20[[#This Row],[Current Price]]*100</f>
        <v>0</v>
      </c>
      <c r="AA101" s="22">
        <f ca="1">IFERROR(Table20[[#This Row],[nominal_exposure]]*Table20[[#This Row],[Delta]],0)</f>
        <v>0</v>
      </c>
      <c r="AB101" s="30" t="b">
        <f>IF(Table20[[#This Row],[date_purchased]]&lt;&gt;Table20[[#This Row],[Expiration Date]],FALSE,TRUE)</f>
        <v>0</v>
      </c>
      <c r="AC101" s="30" t="str">
        <f>VLOOKUP(Table20[[#This Row],[Asset]],Table19[#All],3,FALSE)</f>
        <v>Market</v>
      </c>
      <c r="AD101" s="4">
        <f>IF(Table20[[#This Row],[Remaining]]&lt;&gt;0,Table20[[#This Row],[Invested]]*Table20[[#This Row],[Remaining]]/Table20[[#This Row],[Number of options]],0)</f>
        <v>0</v>
      </c>
      <c r="AE101" s="4">
        <f ca="1">SUMIF(Table20[Ticker],Table20[[#This Row],[Ticker]],Table20[realized_profit])</f>
        <v>-331.99999999999994</v>
      </c>
      <c r="AF101" s="30" t="str">
        <f>VLOOKUP(Table20[[#This Row],[Strategy]],Table29[#All],7,FALSE)</f>
        <v>Bullish</v>
      </c>
    </row>
    <row r="102" spans="1:32" hidden="1">
      <c r="A102" s="35">
        <v>45513</v>
      </c>
      <c r="B102" s="21" t="e" vm="160">
        <v>#VALUE!</v>
      </c>
      <c r="C102" s="109" t="str" cm="1">
        <f t="array" aca="1" ref="C102" ca="1">_FV(Table20[[#This Row],[Asset]],"Ticker symbol",TRUE)</f>
        <v>VST</v>
      </c>
      <c r="D102" s="26" cm="1">
        <f t="array" aca="1" ref="D102" ca="1">_FV(Table20[[#This Row],[Asset]],"Price")</f>
        <v>154.57</v>
      </c>
      <c r="E102" s="26">
        <v>85</v>
      </c>
      <c r="F102" s="33">
        <v>2</v>
      </c>
      <c r="G102" s="34">
        <v>-1</v>
      </c>
      <c r="H102" s="34" t="s">
        <v>115</v>
      </c>
      <c r="I102" s="31">
        <v>45503</v>
      </c>
      <c r="J102" s="26">
        <v>0.45</v>
      </c>
      <c r="K102" s="24">
        <v>0.73160000000000003</v>
      </c>
      <c r="L102" s="33">
        <f>VLOOKUP(Table20[[#This Row],[Strategy]],Table29[#All],6,FALSE)</f>
        <v>1</v>
      </c>
      <c r="M102" s="23">
        <v>2</v>
      </c>
      <c r="N102" s="23">
        <v>0.45</v>
      </c>
      <c r="O102" s="23"/>
      <c r="P102" s="23"/>
      <c r="Q102">
        <f>Table20[[#This Row],[Exit1]]*Table20[[#This Row],[ex1_price]]</f>
        <v>0.9</v>
      </c>
      <c r="R102">
        <f>Table20[[#This Row],[Exit2]]*Table20[[#This Row],[ex2_price]]</f>
        <v>0</v>
      </c>
      <c r="S102">
        <f>IFERROR((Table20[[#This Row],[ex2_amnt]]+Table20[[#This Row],[ex1_amnt]])/(Table20[[#This Row],[Exit2]]+Table20[[#This Row],[Exit1]]),0)</f>
        <v>0.45</v>
      </c>
      <c r="T102" s="5">
        <f>(Table20[[#This Row],[Exit1]]+Table20[[#This Row],[Exit2]])*(Table20[[#This Row],[avg_exit_price]]-Table20[[#This Row],[AvePrice]])*100*Table20[[#This Row],[Buy or Sell]]</f>
        <v>0</v>
      </c>
      <c r="U102" s="5">
        <f>Table20[[#This Row],[Number of options]]*Table20[[#This Row],[AvePrice]]*100*Table20[[#This Row],[Buy or Sell]]</f>
        <v>-90</v>
      </c>
      <c r="V102" s="8">
        <f>Table20[[#This Row],[Number of options]]-Table20[[#This Row],[Exit1]]-Table20[[#This Row],[Exit2]]</f>
        <v>0</v>
      </c>
      <c r="W102" s="30">
        <f ca="1">(Table20[[#This Row],[Expiration Date]]-TODAY())/365</f>
        <v>-1.6273972602739726</v>
      </c>
      <c r="X102" s="30" t="e">
        <f ca="1">(LN(Table20[[#This Row],[Current Price]]/Table20[[#This Row],[strike_price]]) + ($B$2 + (Table20[[#This Row],[Vol]]^2)/2)*Table20[[#This Row],[Time to expiration]]) / (Table20[[#This Row],[Vol]] * SQRT(Table20[[#This Row],[Time to expiration]]))</f>
        <v>#NUM!</v>
      </c>
      <c r="Y102" s="30" t="e">
        <f ca="1">IF(Table20[[#This Row],[Direction]]&gt;0, _xlfn.NORM.S.DIST(Table20[[#This Row],[d1]], TRUE), _xlfn.NORM.S.DIST(Table20[[#This Row],[d1]], TRUE) - 1) * Table20[[#This Row],[Buy or Sell]]</f>
        <v>#NUM!</v>
      </c>
      <c r="Z102" s="9">
        <f ca="1">Table20[[#This Row],[Remaining]]*Table20[[#This Row],[Current Price]]*100</f>
        <v>0</v>
      </c>
      <c r="AA102" s="22">
        <f ca="1">IFERROR(Table20[[#This Row],[nominal_exposure]]*Table20[[#This Row],[Delta]],0)</f>
        <v>0</v>
      </c>
      <c r="AB102" s="30" t="b">
        <f>IF(Table20[[#This Row],[date_purchased]]&lt;&gt;Table20[[#This Row],[Expiration Date]],FALSE,TRUE)</f>
        <v>0</v>
      </c>
      <c r="AC102" s="30" t="str">
        <f>VLOOKUP(Table20[[#This Row],[Asset]],Table19[#All],3,FALSE)</f>
        <v>Utilities</v>
      </c>
      <c r="AD102" s="4">
        <f>IF(Table20[[#This Row],[Remaining]]&lt;&gt;0,Table20[[#This Row],[Invested]]*Table20[[#This Row],[Remaining]]/Table20[[#This Row],[Number of options]],0)</f>
        <v>0</v>
      </c>
      <c r="AE102" s="30">
        <f ca="1">SUMIF(Table20[Ticker],Table20[[#This Row],[Ticker]],Table20[realized_profit])</f>
        <v>52.000000000000043</v>
      </c>
      <c r="AF102" s="30" t="str">
        <f>VLOOKUP(Table20[[#This Row],[Strategy]],Table29[#All],7,FALSE)</f>
        <v>Bullish</v>
      </c>
    </row>
    <row r="103" spans="1:32" hidden="1">
      <c r="A103" s="118">
        <v>45520</v>
      </c>
      <c r="B103" s="21" t="e" vm="144">
        <v>#VALUE!</v>
      </c>
      <c r="C103" s="109" t="str" cm="1">
        <f t="array" aca="1" ref="C103" ca="1">_FV(Table20[[#This Row],[Asset]],"Ticker symbol",TRUE)</f>
        <v>AAPL</v>
      </c>
      <c r="D103" s="26" cm="1">
        <f t="array" aca="1" ref="D103" ca="1">_FV(Table20[[#This Row],[Asset]],"Price")</f>
        <v>253.2</v>
      </c>
      <c r="E103" s="26">
        <v>230</v>
      </c>
      <c r="F103" s="33">
        <v>2</v>
      </c>
      <c r="G103" s="34">
        <v>1</v>
      </c>
      <c r="H103" s="34" t="s">
        <v>115</v>
      </c>
      <c r="I103" s="31">
        <v>45498</v>
      </c>
      <c r="J103" s="26">
        <v>2.2200000000000002</v>
      </c>
      <c r="K103" s="24">
        <v>0.28249999999999997</v>
      </c>
      <c r="L103" s="33">
        <f>VLOOKUP(Table20[[#This Row],[Strategy]],Table29[#All],6,FALSE)</f>
        <v>1</v>
      </c>
      <c r="M103" s="23">
        <v>2</v>
      </c>
      <c r="N103" s="23">
        <v>2.93</v>
      </c>
      <c r="O103" s="23"/>
      <c r="P103" s="23"/>
      <c r="Q103">
        <f>Table20[[#This Row],[Exit1]]*Table20[[#This Row],[ex1_price]]</f>
        <v>5.86</v>
      </c>
      <c r="R103">
        <f>Table20[[#This Row],[Exit2]]*Table20[[#This Row],[ex2_price]]</f>
        <v>0</v>
      </c>
      <c r="S103">
        <f>IFERROR((Table20[[#This Row],[ex2_amnt]]+Table20[[#This Row],[ex1_amnt]])/(Table20[[#This Row],[Exit2]]+Table20[[#This Row],[Exit1]]),0)</f>
        <v>2.93</v>
      </c>
      <c r="T103" s="5">
        <f>(Table20[[#This Row],[Exit1]]+Table20[[#This Row],[Exit2]])*(Table20[[#This Row],[avg_exit_price]]-Table20[[#This Row],[AvePrice]])*100*Table20[[#This Row],[Buy or Sell]]</f>
        <v>142</v>
      </c>
      <c r="U103" s="5">
        <f>Table20[[#This Row],[Number of options]]*Table20[[#This Row],[AvePrice]]*100*Table20[[#This Row],[Buy or Sell]]</f>
        <v>444.00000000000006</v>
      </c>
      <c r="V103" s="8">
        <f>Table20[[#This Row],[Number of options]]-Table20[[#This Row],[Exit1]]-Table20[[#This Row],[Exit2]]</f>
        <v>0</v>
      </c>
      <c r="W103" s="30">
        <f ca="1">(Table20[[#This Row],[Expiration Date]]-TODAY())/365</f>
        <v>-1.6082191780821917</v>
      </c>
      <c r="X103" s="30" t="e">
        <f ca="1">(LN(Table20[[#This Row],[Current Price]]/Table20[[#This Row],[strike_price]]) + ($B$2 + (Table20[[#This Row],[Vol]]^2)/2)*Table20[[#This Row],[Time to expiration]]) / (Table20[[#This Row],[Vol]] * SQRT(Table20[[#This Row],[Time to expiration]]))</f>
        <v>#NUM!</v>
      </c>
      <c r="Y103" s="30" t="e">
        <f ca="1">IF(Table20[[#This Row],[Direction]]&gt;0, _xlfn.NORM.S.DIST(Table20[[#This Row],[d1]], TRUE), _xlfn.NORM.S.DIST(Table20[[#This Row],[d1]], TRUE) - 1) * Table20[[#This Row],[Buy or Sell]]</f>
        <v>#NUM!</v>
      </c>
      <c r="Z103" s="9">
        <f ca="1">Table20[[#This Row],[Remaining]]*Table20[[#This Row],[Current Price]]*100</f>
        <v>0</v>
      </c>
      <c r="AA103" s="22">
        <f ca="1">IFERROR(Table20[[#This Row],[nominal_exposure]]*Table20[[#This Row],[Delta]],0)</f>
        <v>0</v>
      </c>
      <c r="AB103" s="30" t="b">
        <f>IF(Table20[[#This Row],[date_purchased]]&lt;&gt;Table20[[#This Row],[Expiration Date]],FALSE,TRUE)</f>
        <v>0</v>
      </c>
      <c r="AC103" s="30" t="str">
        <f>VLOOKUP(Table20[[#This Row],[Asset]],Table19[#All],3,FALSE)</f>
        <v>AI</v>
      </c>
      <c r="AD103" s="4">
        <f>IF(Table20[[#This Row],[Remaining]]&lt;&gt;0,Table20[[#This Row],[Invested]]*Table20[[#This Row],[Remaining]]/Table20[[#This Row],[Number of options]],0)</f>
        <v>0</v>
      </c>
      <c r="AE103" s="30">
        <f ca="1">SUMIF(Table20[Ticker],Table20[[#This Row],[Ticker]],Table20[realized_profit])</f>
        <v>-153.9999999999996</v>
      </c>
      <c r="AF103" s="30" t="str">
        <f>VLOOKUP(Table20[[#This Row],[Strategy]],Table29[#All],7,FALSE)</f>
        <v>Bullish</v>
      </c>
    </row>
    <row r="104" spans="1:32" hidden="1">
      <c r="A104" s="118">
        <v>45520</v>
      </c>
      <c r="B104" s="21" t="e" vm="11">
        <v>#VALUE!</v>
      </c>
      <c r="C104" s="109" t="str" cm="1">
        <f t="array" aca="1" ref="C104" ca="1">_FV(Table20[[#This Row],[Asset]],"Ticker symbol",TRUE)</f>
        <v>AMZN</v>
      </c>
      <c r="D104" s="26" cm="1">
        <f t="array" aca="1" ref="D104" ca="1">_FV(Table20[[#This Row],[Asset]],"Price")</f>
        <v>212.15</v>
      </c>
      <c r="E104" s="26">
        <v>200</v>
      </c>
      <c r="F104" s="33">
        <v>2</v>
      </c>
      <c r="G104" s="34">
        <v>1</v>
      </c>
      <c r="H104" s="111" t="s">
        <v>115</v>
      </c>
      <c r="I104" s="31">
        <v>45492</v>
      </c>
      <c r="J104" s="26">
        <v>3.54</v>
      </c>
      <c r="K104" s="24">
        <v>0.4204</v>
      </c>
      <c r="L104" s="33">
        <f>VLOOKUP(Table20[[#This Row],[Strategy]],Table29[#All],6,FALSE)</f>
        <v>1</v>
      </c>
      <c r="M104" s="23">
        <v>2</v>
      </c>
      <c r="N104" s="23">
        <v>0.09</v>
      </c>
      <c r="O104" s="23"/>
      <c r="P104" s="23"/>
      <c r="Q104">
        <f>Table20[[#This Row],[Exit1]]*Table20[[#This Row],[ex1_price]]</f>
        <v>0.18</v>
      </c>
      <c r="R104">
        <f>Table20[[#This Row],[Exit2]]*Table20[[#This Row],[ex2_price]]</f>
        <v>0</v>
      </c>
      <c r="S104">
        <f>IFERROR((Table20[[#This Row],[ex2_amnt]]+Table20[[#This Row],[ex1_amnt]])/(Table20[[#This Row],[Exit2]]+Table20[[#This Row],[Exit1]]),0)</f>
        <v>0.09</v>
      </c>
      <c r="T104" s="5">
        <f>(Table20[[#This Row],[Exit1]]+Table20[[#This Row],[Exit2]])*(Table20[[#This Row],[avg_exit_price]]-Table20[[#This Row],[AvePrice]])*100*Table20[[#This Row],[Buy or Sell]]</f>
        <v>-690</v>
      </c>
      <c r="U104" s="5">
        <f>Table20[[#This Row],[Number of options]]*Table20[[#This Row],[AvePrice]]*100*Table20[[#This Row],[Buy or Sell]]</f>
        <v>708</v>
      </c>
      <c r="V104" s="8">
        <f>Table20[[#This Row],[Number of options]]-Table20[[#This Row],[Exit1]]-Table20[[#This Row],[Exit2]]</f>
        <v>0</v>
      </c>
      <c r="W104" s="30">
        <f ca="1">(Table20[[#This Row],[Expiration Date]]-TODAY())/365</f>
        <v>-1.6082191780821917</v>
      </c>
      <c r="X104" s="30" t="e">
        <f ca="1">(LN(Table20[[#This Row],[Current Price]]/Table20[[#This Row],[strike_price]]) + ($B$2 + (Table20[[#This Row],[Vol]]^2)/2)*Table20[[#This Row],[Time to expiration]]) / (Table20[[#This Row],[Vol]] * SQRT(Table20[[#This Row],[Time to expiration]]))</f>
        <v>#NUM!</v>
      </c>
      <c r="Y104" s="30" t="e">
        <f ca="1">IF(Table20[[#This Row],[Direction]]&gt;0, _xlfn.NORM.S.DIST(Table20[[#This Row],[d1]], TRUE), _xlfn.NORM.S.DIST(Table20[[#This Row],[d1]], TRUE) - 1) * Table20[[#This Row],[Buy or Sell]]</f>
        <v>#NUM!</v>
      </c>
      <c r="Z104" s="9">
        <f ca="1">Table20[[#This Row],[Remaining]]*Table20[[#This Row],[Current Price]]*100</f>
        <v>0</v>
      </c>
      <c r="AA104" s="22">
        <f ca="1">IFERROR(Table20[[#This Row],[nominal_exposure]]*Table20[[#This Row],[Delta]],0)</f>
        <v>0</v>
      </c>
      <c r="AB104" s="99" t="b">
        <f>IF(Table20[[#This Row],[date_purchased]]&lt;&gt;Table20[[#This Row],[Expiration Date]],FALSE,TRUE)</f>
        <v>0</v>
      </c>
      <c r="AC104" s="30" t="str">
        <f>VLOOKUP(Table20[[#This Row],[Asset]],Table19[#All],3,FALSE)</f>
        <v>Robotics</v>
      </c>
      <c r="AD104" s="4">
        <f>IF(Table20[[#This Row],[Remaining]]&lt;&gt;0,Table20[[#This Row],[Invested]]*Table20[[#This Row],[Remaining]]/Table20[[#This Row],[Number of options]],0)</f>
        <v>0</v>
      </c>
      <c r="AE104" s="30">
        <f ca="1">SUMIF(Table20[Ticker],Table20[[#This Row],[Ticker]],Table20[realized_profit])</f>
        <v>-1350</v>
      </c>
      <c r="AF104" s="30" t="str">
        <f>VLOOKUP(Table20[[#This Row],[Strategy]],Table29[#All],7,FALSE)</f>
        <v>Bullish</v>
      </c>
    </row>
    <row r="105" spans="1:32" hidden="1">
      <c r="A105" s="35">
        <v>45555</v>
      </c>
      <c r="B105" s="21" t="e" vm="24">
        <v>#VALUE!</v>
      </c>
      <c r="C105" s="109" t="str" cm="1">
        <f t="array" aca="1" ref="C105" ca="1">_FV(Table20[[#This Row],[Asset]],"Ticker symbol",TRUE)</f>
        <v>QCOM</v>
      </c>
      <c r="D105" s="26" cm="1">
        <f t="array" aca="1" ref="D105" ca="1">_FV(Table20[[#This Row],[Asset]],"Price")</f>
        <v>131.63499999999999</v>
      </c>
      <c r="E105" s="26">
        <v>230</v>
      </c>
      <c r="F105" s="33">
        <v>1</v>
      </c>
      <c r="G105" s="34">
        <v>1</v>
      </c>
      <c r="H105" s="112" t="s">
        <v>115</v>
      </c>
      <c r="I105" s="31">
        <v>45484</v>
      </c>
      <c r="J105" s="26">
        <v>7.79</v>
      </c>
      <c r="K105" s="24">
        <v>0.36899999999999999</v>
      </c>
      <c r="L105" s="33">
        <f>VLOOKUP(Table20[[#This Row],[Strategy]],Table29[#All],6,FALSE)</f>
        <v>1</v>
      </c>
      <c r="M105" s="23">
        <v>1</v>
      </c>
      <c r="N105" s="23">
        <v>1.48</v>
      </c>
      <c r="O105" s="23"/>
      <c r="P105" s="23"/>
      <c r="Q105">
        <f>Table20[[#This Row],[Exit1]]*Table20[[#This Row],[ex1_price]]</f>
        <v>1.48</v>
      </c>
      <c r="R105">
        <f>Table20[[#This Row],[Exit2]]*Table20[[#This Row],[ex2_price]]</f>
        <v>0</v>
      </c>
      <c r="S105">
        <f>IFERROR((Table20[[#This Row],[ex2_amnt]]+Table20[[#This Row],[ex1_amnt]])/(Table20[[#This Row],[Exit2]]+Table20[[#This Row],[Exit1]]),0)</f>
        <v>1.48</v>
      </c>
      <c r="T105" s="5">
        <f>(Table20[[#This Row],[Exit1]]+Table20[[#This Row],[Exit2]])*(Table20[[#This Row],[avg_exit_price]]-Table20[[#This Row],[AvePrice]])*100*Table20[[#This Row],[Buy or Sell]]</f>
        <v>-631</v>
      </c>
      <c r="U105" s="5">
        <f>Table20[[#This Row],[Number of options]]*Table20[[#This Row],[AvePrice]]*100*Table20[[#This Row],[Buy or Sell]]</f>
        <v>779</v>
      </c>
      <c r="V105" s="8">
        <f>Table20[[#This Row],[Number of options]]-Table20[[#This Row],[Exit1]]-Table20[[#This Row],[Exit2]]</f>
        <v>0</v>
      </c>
      <c r="W105" s="30">
        <f ca="1">(Table20[[#This Row],[Expiration Date]]-TODAY())/365</f>
        <v>-1.5123287671232877</v>
      </c>
      <c r="X105" s="30" t="e">
        <f ca="1">(LN(Table20[[#This Row],[Current Price]]/Table20[[#This Row],[strike_price]]) + ($B$2 + (Table20[[#This Row],[Vol]]^2)/2)*Table20[[#This Row],[Time to expiration]]) / (Table20[[#This Row],[Vol]] * SQRT(Table20[[#This Row],[Time to expiration]]))</f>
        <v>#NUM!</v>
      </c>
      <c r="Y105" s="30" t="e">
        <f ca="1">IF(Table20[[#This Row],[Direction]]&gt;0, _xlfn.NORM.S.DIST(Table20[[#This Row],[d1]], TRUE), _xlfn.NORM.S.DIST(Table20[[#This Row],[d1]], TRUE) - 1) * Table20[[#This Row],[Buy or Sell]]</f>
        <v>#NUM!</v>
      </c>
      <c r="Z105" s="9">
        <f ca="1">Table20[[#This Row],[Remaining]]*Table20[[#This Row],[Current Price]]*100</f>
        <v>0</v>
      </c>
      <c r="AA105" s="22">
        <f ca="1">IFERROR(Table20[[#This Row],[nominal_exposure]]*Table20[[#This Row],[Delta]],0)</f>
        <v>0</v>
      </c>
      <c r="AB105" s="99" t="b">
        <f>IF(Table20[[#This Row],[date_purchased]]&lt;&gt;Table20[[#This Row],[Expiration Date]],FALSE,TRUE)</f>
        <v>0</v>
      </c>
      <c r="AC105" s="30" t="str">
        <f>VLOOKUP(Table20[[#This Row],[Asset]],Table19[#All],3,FALSE)</f>
        <v>AI</v>
      </c>
      <c r="AD105" s="30">
        <f>IF(Table20[[#This Row],[Remaining]]&lt;&gt;0,Table20[[#This Row],[Invested]]*Table20[[#This Row],[Remaining]]/Table20[[#This Row],[Number of options]],0)</f>
        <v>0</v>
      </c>
      <c r="AE105" s="30">
        <f ca="1">SUMIF(Table20[Ticker],Table20[[#This Row],[Ticker]],Table20[realized_profit])</f>
        <v>-2175.9999999999995</v>
      </c>
      <c r="AF105" s="30" t="str">
        <f>VLOOKUP(Table20[[#This Row],[Strategy]],Table29[#All],7,FALSE)</f>
        <v>Bullish</v>
      </c>
    </row>
    <row r="106" spans="1:32" hidden="1">
      <c r="A106" s="180">
        <v>45646</v>
      </c>
      <c r="B106" s="21" t="e" vm="96">
        <v>#VALUE!</v>
      </c>
      <c r="C106" s="109" t="str" cm="1">
        <f t="array" aca="1" ref="C106" ca="1">_FV(Table20[[#This Row],[Asset]],"Ticker symbol",TRUE)</f>
        <v>SPY</v>
      </c>
      <c r="D106" s="26" cm="1">
        <f t="array" aca="1" ref="D106" ca="1">_FV(Table20[[#This Row],[Asset]],"Price")</f>
        <v>658.59</v>
      </c>
      <c r="E106" s="26">
        <v>580</v>
      </c>
      <c r="F106" s="33">
        <v>1</v>
      </c>
      <c r="G106" s="34">
        <v>1</v>
      </c>
      <c r="H106" s="34" t="s">
        <v>65</v>
      </c>
      <c r="I106" s="31">
        <v>45645</v>
      </c>
      <c r="J106" s="26">
        <v>1.37</v>
      </c>
      <c r="K106" s="24">
        <v>0.37330000000000002</v>
      </c>
      <c r="L106" s="33">
        <f>VLOOKUP(Table20[[#This Row],[Strategy]],Table29[#All],6,FALSE)</f>
        <v>-1</v>
      </c>
      <c r="M106" s="23">
        <v>1</v>
      </c>
      <c r="N106" s="23">
        <v>1.32</v>
      </c>
      <c r="O106" s="23"/>
      <c r="P106" s="23"/>
      <c r="Q106">
        <f>Table20[[#This Row],[Exit1]]*Table20[[#This Row],[ex1_price]]</f>
        <v>1.32</v>
      </c>
      <c r="R106">
        <f>Table20[[#This Row],[Exit2]]*Table20[[#This Row],[ex2_price]]</f>
        <v>0</v>
      </c>
      <c r="S106">
        <f>IFERROR((Table20[[#This Row],[ex2_amnt]]+Table20[[#This Row],[ex1_amnt]])/(Table20[[#This Row],[Exit2]]+Table20[[#This Row],[Exit1]]),0)</f>
        <v>1.32</v>
      </c>
      <c r="T106" s="5">
        <f>(Table20[[#This Row],[Exit1]]+Table20[[#This Row],[Exit2]])*(Table20[[#This Row],[avg_exit_price]]-Table20[[#This Row],[AvePrice]])*100*Table20[[#This Row],[Buy or Sell]]</f>
        <v>-5.0000000000000044</v>
      </c>
      <c r="U106" s="5">
        <f>Table20[[#This Row],[Number of options]]*Table20[[#This Row],[AvePrice]]*100*Table20[[#This Row],[Buy or Sell]]</f>
        <v>137</v>
      </c>
      <c r="V106" s="8">
        <f>Table20[[#This Row],[Number of options]]-Table20[[#This Row],[Exit1]]-Table20[[#This Row],[Exit2]]</f>
        <v>0</v>
      </c>
      <c r="W106" s="30">
        <f ca="1">(Table20[[#This Row],[Expiration Date]]-TODAY())/365</f>
        <v>-1.263013698630137</v>
      </c>
      <c r="X106" s="30" t="e">
        <f ca="1">(LN(Table20[[#This Row],[Current Price]]/Table20[[#This Row],[strike_price]]) + ($B$2 + (Table20[[#This Row],[Vol]]^2)/2)*Table20[[#This Row],[Time to expiration]]) / (Table20[[#This Row],[Vol]] * SQRT(Table20[[#This Row],[Time to expiration]]))</f>
        <v>#NUM!</v>
      </c>
      <c r="Y106" s="30" t="e">
        <f ca="1">IF(Table20[[#This Row],[Direction]]&gt;0, _xlfn.NORM.S.DIST(Table20[[#This Row],[d1]], TRUE), _xlfn.NORM.S.DIST(Table20[[#This Row],[d1]], TRUE) - 1) * Table20[[#This Row],[Buy or Sell]]</f>
        <v>#NUM!</v>
      </c>
      <c r="Z106" s="9">
        <f ca="1">Table20[[#This Row],[Remaining]]*Table20[[#This Row],[Current Price]]*100</f>
        <v>0</v>
      </c>
      <c r="AA106" s="22">
        <f ca="1">IFERROR(Table20[[#This Row],[nominal_exposure]]*Table20[[#This Row],[Delta]],0)</f>
        <v>0</v>
      </c>
      <c r="AB106" s="30" t="b">
        <f>IF(Table20[[#This Row],[date_purchased]]&lt;&gt;Table20[[#This Row],[Expiration Date]],FALSE,TRUE)</f>
        <v>0</v>
      </c>
      <c r="AC106" s="30" t="str">
        <f>VLOOKUP(Table20[[#This Row],[Asset]],Table19[#All],3,FALSE)</f>
        <v>Market</v>
      </c>
      <c r="AD106" s="30">
        <f>IF(Table20[[#This Row],[Remaining]]&lt;&gt;0,Table20[[#This Row],[Invested]]*Table20[[#This Row],[Remaining]]/Table20[[#This Row],[Number of options]],0)</f>
        <v>0</v>
      </c>
      <c r="AE106" s="30">
        <f ca="1">SUMIF(Table20[Ticker],Table20[[#This Row],[Ticker]],Table20[realized_profit])</f>
        <v>-5077</v>
      </c>
      <c r="AF106" s="30" t="str">
        <f>VLOOKUP(Table20[[#This Row],[Strategy]],Table29[#All],7,FALSE)</f>
        <v>Bearish</v>
      </c>
    </row>
    <row r="107" spans="1:32" hidden="1">
      <c r="A107" s="180">
        <v>45646</v>
      </c>
      <c r="B107" s="21" t="e" vm="96">
        <v>#VALUE!</v>
      </c>
      <c r="C107" s="109" t="str" cm="1">
        <f t="array" aca="1" ref="C107" ca="1">_FV(Table20[[#This Row],[Asset]],"Ticker symbol",TRUE)</f>
        <v>SPY</v>
      </c>
      <c r="D107" s="26" cm="1">
        <f t="array" aca="1" ref="D107" ca="1">_FV(Table20[[#This Row],[Asset]],"Price")</f>
        <v>658.59</v>
      </c>
      <c r="E107" s="26">
        <v>590</v>
      </c>
      <c r="F107" s="33">
        <v>8</v>
      </c>
      <c r="G107" s="34">
        <v>1</v>
      </c>
      <c r="H107" s="34" t="s">
        <v>65</v>
      </c>
      <c r="I107" s="31">
        <v>45635</v>
      </c>
      <c r="J107" s="26">
        <v>1.26</v>
      </c>
      <c r="K107" s="24"/>
      <c r="L107" s="33">
        <f>VLOOKUP(Table20[[#This Row],[Strategy]],Table29[#All],6,FALSE)</f>
        <v>-1</v>
      </c>
      <c r="M107" s="23">
        <v>4</v>
      </c>
      <c r="N107" s="23">
        <v>0.78</v>
      </c>
      <c r="O107" s="23">
        <v>4</v>
      </c>
      <c r="P107" s="23">
        <v>0.57999999999999996</v>
      </c>
      <c r="Q107">
        <f>Table20[[#This Row],[Exit1]]*Table20[[#This Row],[ex1_price]]</f>
        <v>3.12</v>
      </c>
      <c r="R107">
        <f>Table20[[#This Row],[Exit2]]*Table20[[#This Row],[ex2_price]]</f>
        <v>2.3199999999999998</v>
      </c>
      <c r="S107">
        <f>IFERROR((Table20[[#This Row],[ex2_amnt]]+Table20[[#This Row],[ex1_amnt]])/(Table20[[#This Row],[Exit2]]+Table20[[#This Row],[Exit1]]),0)</f>
        <v>0.67999999999999994</v>
      </c>
      <c r="T107" s="5">
        <f>(Table20[[#This Row],[Exit1]]+Table20[[#This Row],[Exit2]])*(Table20[[#This Row],[avg_exit_price]]-Table20[[#This Row],[AvePrice]])*100*Table20[[#This Row],[Buy or Sell]]</f>
        <v>-464.00000000000006</v>
      </c>
      <c r="U107" s="5">
        <f>Table20[[#This Row],[Number of options]]*Table20[[#This Row],[AvePrice]]*100*Table20[[#This Row],[Buy or Sell]]</f>
        <v>1008</v>
      </c>
      <c r="V107" s="8">
        <f>Table20[[#This Row],[Number of options]]-Table20[[#This Row],[Exit1]]-Table20[[#This Row],[Exit2]]</f>
        <v>0</v>
      </c>
      <c r="W107" s="30">
        <f ca="1">(Table20[[#This Row],[Expiration Date]]-TODAY())/365</f>
        <v>-1.263013698630137</v>
      </c>
      <c r="X107" s="30" t="e">
        <f ca="1">(LN(Table20[[#This Row],[Current Price]]/Table20[[#This Row],[strike_price]]) + ($B$2 + (Table20[[#This Row],[Vol]]^2)/2)*Table20[[#This Row],[Time to expiration]]) / (Table20[[#This Row],[Vol]] * SQRT(Table20[[#This Row],[Time to expiration]]))</f>
        <v>#NUM!</v>
      </c>
      <c r="Y107" s="30" t="e">
        <f ca="1">IF(Table20[[#This Row],[Direction]]&gt;0, _xlfn.NORM.S.DIST(Table20[[#This Row],[d1]], TRUE), _xlfn.NORM.S.DIST(Table20[[#This Row],[d1]], TRUE) - 1) * Table20[[#This Row],[Buy or Sell]]</f>
        <v>#NUM!</v>
      </c>
      <c r="Z107" s="9">
        <f ca="1">Table20[[#This Row],[Remaining]]*Table20[[#This Row],[Current Price]]*100</f>
        <v>0</v>
      </c>
      <c r="AA107" s="22">
        <f ca="1">IFERROR(Table20[[#This Row],[nominal_exposure]]*Table20[[#This Row],[Delta]],0)</f>
        <v>0</v>
      </c>
      <c r="AB107" s="30" t="b">
        <f>IF(Table20[[#This Row],[date_purchased]]&lt;&gt;Table20[[#This Row],[Expiration Date]],FALSE,TRUE)</f>
        <v>0</v>
      </c>
      <c r="AC107" s="30" t="str">
        <f>VLOOKUP(Table20[[#This Row],[Asset]],Table19[#All],3,FALSE)</f>
        <v>Market</v>
      </c>
      <c r="AD107" s="30">
        <f>IF(Table20[[#This Row],[Remaining]]&lt;&gt;0,Table20[[#This Row],[Invested]]*Table20[[#This Row],[Remaining]]/Table20[[#This Row],[Number of options]],0)</f>
        <v>0</v>
      </c>
      <c r="AE107" s="30">
        <f ca="1">SUMIF(Table20[Ticker],Table20[[#This Row],[Ticker]],Table20[realized_profit])</f>
        <v>-5077</v>
      </c>
      <c r="AF107" s="30" t="str">
        <f>VLOOKUP(Table20[[#This Row],[Strategy]],Table29[#All],7,FALSE)</f>
        <v>Bearish</v>
      </c>
    </row>
    <row r="108" spans="1:32" hidden="1">
      <c r="A108" s="35">
        <v>45506</v>
      </c>
      <c r="B108" s="21" t="e" vm="115">
        <v>#VALUE!</v>
      </c>
      <c r="C108" s="109" t="str" cm="1">
        <f t="array" aca="1" ref="C108" ca="1">_FV(Table20[[#This Row],[Asset]],"Ticker symbol",TRUE)</f>
        <v>QQQ</v>
      </c>
      <c r="D108" s="26" cm="1">
        <f t="array" aca="1" ref="D108" ca="1">_FV(Table20[[#This Row],[Asset]],"Price")</f>
        <v>590.62</v>
      </c>
      <c r="E108" s="26">
        <v>460</v>
      </c>
      <c r="F108" s="33">
        <v>1</v>
      </c>
      <c r="G108" s="34">
        <v>1</v>
      </c>
      <c r="H108" s="21" t="s">
        <v>65</v>
      </c>
      <c r="I108" s="31">
        <v>45491</v>
      </c>
      <c r="J108" s="26">
        <v>1.9</v>
      </c>
      <c r="K108" s="24">
        <v>0.15</v>
      </c>
      <c r="L108" s="33">
        <f>VLOOKUP(Table20[[#This Row],[Strategy]],Table29[#All],6,FALSE)</f>
        <v>-1</v>
      </c>
      <c r="M108" s="23">
        <v>1</v>
      </c>
      <c r="N108" s="23">
        <v>2.81</v>
      </c>
      <c r="O108" s="23"/>
      <c r="P108" s="23"/>
      <c r="Q108">
        <f>Table20[[#This Row],[Exit1]]*Table20[[#This Row],[ex1_price]]</f>
        <v>2.81</v>
      </c>
      <c r="R108">
        <f>Table20[[#This Row],[Exit2]]*Table20[[#This Row],[ex2_price]]</f>
        <v>0</v>
      </c>
      <c r="S108">
        <f>IFERROR((Table20[[#This Row],[ex2_amnt]]+Table20[[#This Row],[ex1_amnt]])/(Table20[[#This Row],[Exit2]]+Table20[[#This Row],[Exit1]]),0)</f>
        <v>2.81</v>
      </c>
      <c r="T108" s="5">
        <f>(Table20[[#This Row],[Exit1]]+Table20[[#This Row],[Exit2]])*(Table20[[#This Row],[avg_exit_price]]-Table20[[#This Row],[AvePrice]])*100*Table20[[#This Row],[Buy or Sell]]</f>
        <v>91.000000000000014</v>
      </c>
      <c r="U108" s="5">
        <f>Table20[[#This Row],[Number of options]]*Table20[[#This Row],[AvePrice]]*100*Table20[[#This Row],[Buy or Sell]]</f>
        <v>190</v>
      </c>
      <c r="V108" s="8">
        <f>Table20[[#This Row],[Number of options]]-Table20[[#This Row],[Exit1]]-Table20[[#This Row],[Exit2]]</f>
        <v>0</v>
      </c>
      <c r="W108" s="30">
        <f ca="1">(Table20[[#This Row],[Expiration Date]]-TODAY())/365</f>
        <v>-1.6465753424657534</v>
      </c>
      <c r="X108" s="30" t="e">
        <f ca="1">(LN(Table20[[#This Row],[Current Price]]/Table20[[#This Row],[strike_price]]) + ($B$2 + (Table20[[#This Row],[Vol]]^2)/2)*Table20[[#This Row],[Time to expiration]]) / (Table20[[#This Row],[Vol]] * SQRT(Table20[[#This Row],[Time to expiration]]))</f>
        <v>#NUM!</v>
      </c>
      <c r="Y108" s="30" t="e">
        <f ca="1">IF(Table20[[#This Row],[Direction]]&gt;0, _xlfn.NORM.S.DIST(Table20[[#This Row],[d1]], TRUE), _xlfn.NORM.S.DIST(Table20[[#This Row],[d1]], TRUE) - 1) * Table20[[#This Row],[Buy or Sell]]</f>
        <v>#NUM!</v>
      </c>
      <c r="Z108" s="9">
        <f ca="1">Table20[[#This Row],[Remaining]]*Table20[[#This Row],[Current Price]]*100</f>
        <v>0</v>
      </c>
      <c r="AA108" s="22">
        <f ca="1">IFERROR(Table20[[#This Row],[nominal_exposure]]*Table20[[#This Row],[Delta]],0)</f>
        <v>0</v>
      </c>
      <c r="AB108" s="95" t="b">
        <f>IF(Table20[[#This Row],[date_purchased]]&lt;&gt;Table20[[#This Row],[Expiration Date]],FALSE,TRUE)</f>
        <v>0</v>
      </c>
      <c r="AC108" s="30" t="str">
        <f>VLOOKUP(Table20[[#This Row],[Asset]],Table19[#All],3,FALSE)</f>
        <v>Market</v>
      </c>
      <c r="AD108" s="30">
        <f>IF(Table20[[#This Row],[Remaining]]&lt;&gt;0,Table20[[#This Row],[Invested]]*Table20[[#This Row],[Remaining]]/Table20[[#This Row],[Number of options]],0)</f>
        <v>0</v>
      </c>
      <c r="AE108" s="30">
        <f ca="1">SUMIF(Table20[Ticker],Table20[[#This Row],[Ticker]],Table20[realized_profit])</f>
        <v>-1212</v>
      </c>
      <c r="AF108" s="30" t="str">
        <f>VLOOKUP(Table20[[#This Row],[Strategy]],Table29[#All],7,FALSE)</f>
        <v>Bearish</v>
      </c>
    </row>
    <row r="109" spans="1:32" hidden="1">
      <c r="A109" s="35">
        <v>45555</v>
      </c>
      <c r="B109" s="21" t="e" vm="121">
        <v>#VALUE!</v>
      </c>
      <c r="C109" s="109" t="str" cm="1">
        <f t="array" aca="1" ref="C109" ca="1">_FV(Table20[[#This Row],[Asset]],"Ticker symbol",TRUE)</f>
        <v>IWM</v>
      </c>
      <c r="D109" s="26" cm="1">
        <f t="array" aca="1" ref="D109" ca="1">_FV(Table20[[#This Row],[Asset]],"Price")</f>
        <v>252.46010000000001</v>
      </c>
      <c r="E109" s="26">
        <v>220</v>
      </c>
      <c r="F109" s="33">
        <v>1</v>
      </c>
      <c r="G109" s="34">
        <v>1</v>
      </c>
      <c r="H109" s="111" t="s">
        <v>115</v>
      </c>
      <c r="I109" s="31">
        <v>45484</v>
      </c>
      <c r="J109" s="26">
        <v>3.53</v>
      </c>
      <c r="K109" s="24">
        <v>0.1777</v>
      </c>
      <c r="L109" s="33">
        <f>VLOOKUP(Table20[[#This Row],[Strategy]],Table29[#All],6,FALSE)</f>
        <v>1</v>
      </c>
      <c r="M109" s="23">
        <v>1</v>
      </c>
      <c r="N109" s="23">
        <v>10.199999999999999</v>
      </c>
      <c r="O109" s="23"/>
      <c r="P109" s="23"/>
      <c r="Q109">
        <f>Table20[[#This Row],[Exit1]]*Table20[[#This Row],[ex1_price]]</f>
        <v>10.199999999999999</v>
      </c>
      <c r="R109">
        <f>Table20[[#This Row],[Exit2]]*Table20[[#This Row],[ex2_price]]</f>
        <v>0</v>
      </c>
      <c r="S109">
        <f>IFERROR((Table20[[#This Row],[ex2_amnt]]+Table20[[#This Row],[ex1_amnt]])/(Table20[[#This Row],[Exit2]]+Table20[[#This Row],[Exit1]]),0)</f>
        <v>10.199999999999999</v>
      </c>
      <c r="T109" s="5">
        <f>(Table20[[#This Row],[Exit1]]+Table20[[#This Row],[Exit2]])*(Table20[[#This Row],[avg_exit_price]]-Table20[[#This Row],[AvePrice]])*100*Table20[[#This Row],[Buy or Sell]]</f>
        <v>667</v>
      </c>
      <c r="U109" s="5">
        <f>Table20[[#This Row],[Number of options]]*Table20[[#This Row],[AvePrice]]*100*Table20[[#This Row],[Buy or Sell]]</f>
        <v>353</v>
      </c>
      <c r="V109" s="8">
        <f>Table20[[#This Row],[Number of options]]-Table20[[#This Row],[Exit1]]-Table20[[#This Row],[Exit2]]</f>
        <v>0</v>
      </c>
      <c r="W109" s="30">
        <f ca="1">(Table20[[#This Row],[Expiration Date]]-TODAY())/365</f>
        <v>-1.5123287671232877</v>
      </c>
      <c r="X109" s="30" t="e">
        <f ca="1">(LN(Table20[[#This Row],[Current Price]]/Table20[[#This Row],[strike_price]]) + ($B$2 + (Table20[[#This Row],[Vol]]^2)/2)*Table20[[#This Row],[Time to expiration]]) / (Table20[[#This Row],[Vol]] * SQRT(Table20[[#This Row],[Time to expiration]]))</f>
        <v>#NUM!</v>
      </c>
      <c r="Y109" s="30" t="e">
        <f ca="1">IF(Table20[[#This Row],[Direction]]&gt;0, _xlfn.NORM.S.DIST(Table20[[#This Row],[d1]], TRUE), _xlfn.NORM.S.DIST(Table20[[#This Row],[d1]], TRUE) - 1) * Table20[[#This Row],[Buy or Sell]]</f>
        <v>#NUM!</v>
      </c>
      <c r="Z109" s="9">
        <f ca="1">Table20[[#This Row],[Remaining]]*Table20[[#This Row],[Current Price]]*100</f>
        <v>0</v>
      </c>
      <c r="AA109" s="22">
        <f ca="1">IFERROR(Table20[[#This Row],[nominal_exposure]]*Table20[[#This Row],[Delta]],0)</f>
        <v>0</v>
      </c>
      <c r="AB109" s="99" t="b">
        <f>IF(Table20[[#This Row],[date_purchased]]&lt;&gt;Table20[[#This Row],[Expiration Date]],FALSE,TRUE)</f>
        <v>0</v>
      </c>
      <c r="AC109" s="30" t="str">
        <f>VLOOKUP(Table20[[#This Row],[Asset]],Table19[#All],3,FALSE)</f>
        <v>Market</v>
      </c>
      <c r="AD109" s="30">
        <f>IF(Table20[[#This Row],[Remaining]]&lt;&gt;0,Table20[[#This Row],[Invested]]*Table20[[#This Row],[Remaining]]/Table20[[#This Row],[Number of options]],0)</f>
        <v>0</v>
      </c>
      <c r="AE109" s="30">
        <f ca="1">SUMIF(Table20[Ticker],Table20[[#This Row],[Ticker]],Table20[realized_profit])</f>
        <v>-331.99999999999994</v>
      </c>
      <c r="AF109" s="30" t="str">
        <f>VLOOKUP(Table20[[#This Row],[Strategy]],Table29[#All],7,FALSE)</f>
        <v>Bullish</v>
      </c>
    </row>
    <row r="110" spans="1:32" hidden="1">
      <c r="A110" s="118">
        <v>45520</v>
      </c>
      <c r="B110" s="21" t="e" vm="325">
        <v>#VALUE!</v>
      </c>
      <c r="C110" s="109" t="str" cm="1">
        <f t="array" aca="1" ref="C110" ca="1">_FV(Table20[[#This Row],[Asset]],"Ticker symbol",TRUE)</f>
        <v>PAGS</v>
      </c>
      <c r="D110" s="26" cm="1">
        <f t="array" aca="1" ref="D110" ca="1">_FV(Table20[[#This Row],[Asset]],"Price")</f>
        <v>10.295</v>
      </c>
      <c r="E110" s="26">
        <v>12</v>
      </c>
      <c r="F110" s="33">
        <v>2</v>
      </c>
      <c r="G110" s="34">
        <v>1</v>
      </c>
      <c r="H110" s="119" t="s">
        <v>113</v>
      </c>
      <c r="I110" s="31">
        <v>45492</v>
      </c>
      <c r="J110" s="26">
        <v>1.18</v>
      </c>
      <c r="K110" s="24">
        <v>0.39090000000000003</v>
      </c>
      <c r="L110" s="33">
        <f>VLOOKUP(Table20[[#This Row],[Strategy]],Table29[#All],6,FALSE)</f>
        <v>1</v>
      </c>
      <c r="M110" s="23">
        <v>2</v>
      </c>
      <c r="N110" s="23">
        <v>0.95</v>
      </c>
      <c r="O110" s="23"/>
      <c r="P110" s="23"/>
      <c r="Q110">
        <f>Table20[[#This Row],[Exit1]]*Table20[[#This Row],[ex1_price]]</f>
        <v>1.9</v>
      </c>
      <c r="R110">
        <f>Table20[[#This Row],[Exit2]]*Table20[[#This Row],[ex2_price]]</f>
        <v>0</v>
      </c>
      <c r="S110">
        <f>IFERROR((Table20[[#This Row],[ex2_amnt]]+Table20[[#This Row],[ex1_amnt]])/(Table20[[#This Row],[Exit2]]+Table20[[#This Row],[Exit1]]),0)</f>
        <v>0.95</v>
      </c>
      <c r="T110" s="5">
        <f>(Table20[[#This Row],[Exit1]]+Table20[[#This Row],[Exit2]])*(Table20[[#This Row],[avg_exit_price]]-Table20[[#This Row],[AvePrice]])*100*Table20[[#This Row],[Buy or Sell]]</f>
        <v>-46</v>
      </c>
      <c r="U110" s="5">
        <f>Table20[[#This Row],[Number of options]]*Table20[[#This Row],[AvePrice]]*100*Table20[[#This Row],[Buy or Sell]]</f>
        <v>236</v>
      </c>
      <c r="V110" s="8">
        <f>Table20[[#This Row],[Number of options]]-Table20[[#This Row],[Exit1]]-Table20[[#This Row],[Exit2]]</f>
        <v>0</v>
      </c>
      <c r="W110" s="30">
        <f ca="1">(Table20[[#This Row],[Expiration Date]]-TODAY())/365</f>
        <v>-1.6082191780821917</v>
      </c>
      <c r="X110" s="30" t="e">
        <f ca="1">(LN(Table20[[#This Row],[Current Price]]/Table20[[#This Row],[strike_price]]) + ($B$2 + (Table20[[#This Row],[Vol]]^2)/2)*Table20[[#This Row],[Time to expiration]]) / (Table20[[#This Row],[Vol]] * SQRT(Table20[[#This Row],[Time to expiration]]))</f>
        <v>#NUM!</v>
      </c>
      <c r="Y110" s="30" t="e">
        <f ca="1">IF(Table20[[#This Row],[Direction]]&gt;0, _xlfn.NORM.S.DIST(Table20[[#This Row],[d1]], TRUE), _xlfn.NORM.S.DIST(Table20[[#This Row],[d1]], TRUE) - 1) * Table20[[#This Row],[Buy or Sell]]</f>
        <v>#NUM!</v>
      </c>
      <c r="Z110" s="9">
        <f ca="1">Table20[[#This Row],[Remaining]]*Table20[[#This Row],[Current Price]]*100</f>
        <v>0</v>
      </c>
      <c r="AA110" s="22">
        <f ca="1">IFERROR(Table20[[#This Row],[nominal_exposure]]*Table20[[#This Row],[Delta]],0)</f>
        <v>0</v>
      </c>
      <c r="AB110" s="99" t="b">
        <f>IF(Table20[[#This Row],[date_purchased]]&lt;&gt;Table20[[#This Row],[Expiration Date]],FALSE,TRUE)</f>
        <v>0</v>
      </c>
      <c r="AC110" s="30" t="str">
        <f>VLOOKUP(Table20[[#This Row],[Asset]],Table19[#All],3,FALSE)</f>
        <v>Brazil</v>
      </c>
      <c r="AD110" s="30">
        <f>IF(Table20[[#This Row],[Remaining]]&lt;&gt;0,Table20[[#This Row],[Invested]]*Table20[[#This Row],[Remaining]]/Table20[[#This Row],[Number of options]],0)</f>
        <v>0</v>
      </c>
      <c r="AE110" s="30">
        <f ca="1">SUMIF(Table20[Ticker],Table20[[#This Row],[Ticker]],Table20[realized_profit])</f>
        <v>-46</v>
      </c>
      <c r="AF110" s="30" t="str">
        <f>VLOOKUP(Table20[[#This Row],[Strategy]],Table29[#All],7,FALSE)</f>
        <v>Bullish</v>
      </c>
    </row>
    <row r="111" spans="1:32" hidden="1">
      <c r="A111" s="118">
        <v>45520</v>
      </c>
      <c r="B111" s="21" t="e" vm="124">
        <v>#VALUE!</v>
      </c>
      <c r="C111" s="109" t="str" cm="1">
        <f t="array" aca="1" ref="C111" ca="1">_FV(Table20[[#This Row],[Asset]],"Ticker symbol",TRUE)</f>
        <v>S</v>
      </c>
      <c r="D111" s="26" cm="1">
        <f t="array" aca="1" ref="D111" ca="1">_FV(Table20[[#This Row],[Asset]],"Price")</f>
        <v>13.605</v>
      </c>
      <c r="E111" s="26">
        <v>23</v>
      </c>
      <c r="F111" s="33">
        <v>1</v>
      </c>
      <c r="G111" s="34">
        <v>1</v>
      </c>
      <c r="H111" s="119" t="s">
        <v>113</v>
      </c>
      <c r="I111" s="31">
        <v>45496</v>
      </c>
      <c r="J111" s="26">
        <v>2.0499999999999998</v>
      </c>
      <c r="K111" s="24">
        <v>0.51910000000000001</v>
      </c>
      <c r="L111" s="33">
        <f>VLOOKUP(Table20[[#This Row],[Strategy]],Table29[#All],6,FALSE)</f>
        <v>1</v>
      </c>
      <c r="M111" s="23">
        <v>1</v>
      </c>
      <c r="N111" s="23">
        <v>0.2</v>
      </c>
      <c r="O111" s="23"/>
      <c r="P111" s="23"/>
      <c r="Q111">
        <f>Table20[[#This Row],[Exit1]]*Table20[[#This Row],[ex1_price]]</f>
        <v>0.2</v>
      </c>
      <c r="R111">
        <f>Table20[[#This Row],[Exit2]]*Table20[[#This Row],[ex2_price]]</f>
        <v>0</v>
      </c>
      <c r="S111">
        <f>IFERROR((Table20[[#This Row],[ex2_amnt]]+Table20[[#This Row],[ex1_amnt]])/(Table20[[#This Row],[Exit2]]+Table20[[#This Row],[Exit1]]),0)</f>
        <v>0.2</v>
      </c>
      <c r="T111" s="5">
        <f>(Table20[[#This Row],[Exit1]]+Table20[[#This Row],[Exit2]])*(Table20[[#This Row],[avg_exit_price]]-Table20[[#This Row],[AvePrice]])*100*Table20[[#This Row],[Buy or Sell]]</f>
        <v>-185</v>
      </c>
      <c r="U111" s="5">
        <f>Table20[[#This Row],[Number of options]]*Table20[[#This Row],[AvePrice]]*100*Table20[[#This Row],[Buy or Sell]]</f>
        <v>204.99999999999997</v>
      </c>
      <c r="V111" s="8">
        <f>Table20[[#This Row],[Number of options]]-Table20[[#This Row],[Exit1]]-Table20[[#This Row],[Exit2]]</f>
        <v>0</v>
      </c>
      <c r="W111" s="30">
        <f ca="1">(Table20[[#This Row],[Expiration Date]]-TODAY())/365</f>
        <v>-1.6082191780821917</v>
      </c>
      <c r="X111" s="30" t="e">
        <f ca="1">(LN(Table20[[#This Row],[Current Price]]/Table20[[#This Row],[strike_price]]) + ($B$2 + (Table20[[#This Row],[Vol]]^2)/2)*Table20[[#This Row],[Time to expiration]]) / (Table20[[#This Row],[Vol]] * SQRT(Table20[[#This Row],[Time to expiration]]))</f>
        <v>#NUM!</v>
      </c>
      <c r="Y111" s="30" t="e">
        <f ca="1">IF(Table20[[#This Row],[Direction]]&gt;0, _xlfn.NORM.S.DIST(Table20[[#This Row],[d1]], TRUE), _xlfn.NORM.S.DIST(Table20[[#This Row],[d1]], TRUE) - 1) * Table20[[#This Row],[Buy or Sell]]</f>
        <v>#NUM!</v>
      </c>
      <c r="Z111" s="9">
        <f ca="1">Table20[[#This Row],[Remaining]]*Table20[[#This Row],[Current Price]]*100</f>
        <v>0</v>
      </c>
      <c r="AA111" s="22">
        <f ca="1">IFERROR(Table20[[#This Row],[nominal_exposure]]*Table20[[#This Row],[Delta]],0)</f>
        <v>0</v>
      </c>
      <c r="AB111" s="30" t="b">
        <f>IF(Table20[[#This Row],[date_purchased]]&lt;&gt;Table20[[#This Row],[Expiration Date]],FALSE,TRUE)</f>
        <v>0</v>
      </c>
      <c r="AC111" s="30" t="str">
        <f>VLOOKUP(Table20[[#This Row],[Asset]],Table19[#All],3,FALSE)</f>
        <v>Technology</v>
      </c>
      <c r="AD111" s="4">
        <f>IF(Table20[[#This Row],[Remaining]]&lt;&gt;0,Table20[[#This Row],[Invested]]*Table20[[#This Row],[Remaining]]/Table20[[#This Row],[Number of options]],0)</f>
        <v>0</v>
      </c>
      <c r="AE111" s="30">
        <f ca="1">SUMIF(Table20[Ticker],Table20[[#This Row],[Ticker]],Table20[realized_profit])</f>
        <v>-185</v>
      </c>
      <c r="AF111" s="30" t="str">
        <f>VLOOKUP(Table20[[#This Row],[Strategy]],Table29[#All],7,FALSE)</f>
        <v>Bullish</v>
      </c>
    </row>
    <row r="112" spans="1:32" hidden="1">
      <c r="A112" s="118">
        <v>45520</v>
      </c>
      <c r="B112" s="21" t="e" vm="34">
        <v>#VALUE!</v>
      </c>
      <c r="C112" s="109" t="str" cm="1">
        <f t="array" aca="1" ref="C112" ca="1">_FV(Table20[[#This Row],[Asset]],"Ticker symbol",TRUE)</f>
        <v>TSM</v>
      </c>
      <c r="D112" s="26" cm="1">
        <f t="array" aca="1" ref="D112" ca="1">_FV(Table20[[#This Row],[Asset]],"Price")</f>
        <v>348.52499999999998</v>
      </c>
      <c r="E112" s="26">
        <v>210</v>
      </c>
      <c r="F112" s="32">
        <v>2</v>
      </c>
      <c r="G112" s="34">
        <v>1</v>
      </c>
      <c r="H112" s="111" t="s">
        <v>115</v>
      </c>
      <c r="I112" s="25">
        <v>45470</v>
      </c>
      <c r="J112" s="26">
        <v>3.21</v>
      </c>
      <c r="K112" s="24">
        <v>0.45550000000000002</v>
      </c>
      <c r="L112" s="33">
        <f>VLOOKUP(Table20[[#This Row],[Strategy]],Table29[#All],6,FALSE)</f>
        <v>1</v>
      </c>
      <c r="M112" s="23">
        <v>2</v>
      </c>
      <c r="N112" s="23">
        <v>0</v>
      </c>
      <c r="O112" s="23"/>
      <c r="P112" s="23"/>
      <c r="Q112">
        <f>Table20[[#This Row],[Exit1]]*Table20[[#This Row],[ex1_price]]</f>
        <v>0</v>
      </c>
      <c r="R112">
        <f>Table20[[#This Row],[Exit2]]*Table20[[#This Row],[ex2_price]]</f>
        <v>0</v>
      </c>
      <c r="S112">
        <f>IFERROR((Table20[[#This Row],[ex2_amnt]]+Table20[[#This Row],[ex1_amnt]])/(Table20[[#This Row],[Exit2]]+Table20[[#This Row],[Exit1]]),0)</f>
        <v>0</v>
      </c>
      <c r="T112" s="5">
        <f>(Table20[[#This Row],[Exit1]]+Table20[[#This Row],[Exit2]])*(Table20[[#This Row],[avg_exit_price]]-Table20[[#This Row],[AvePrice]])*100*Table20[[#This Row],[Buy or Sell]]</f>
        <v>-642</v>
      </c>
      <c r="U112" s="5">
        <f>Table20[[#This Row],[Number of options]]*Table20[[#This Row],[AvePrice]]*100*Table20[[#This Row],[Buy or Sell]]</f>
        <v>642</v>
      </c>
      <c r="V112" s="8">
        <f>Table20[[#This Row],[Number of options]]-Table20[[#This Row],[Exit1]]-Table20[[#This Row],[Exit2]]</f>
        <v>0</v>
      </c>
      <c r="W112" s="30">
        <f ca="1">(Table20[[#This Row],[Expiration Date]]-TODAY())/365</f>
        <v>-1.6082191780821917</v>
      </c>
      <c r="X112" s="30" t="e">
        <f ca="1">(LN(Table20[[#This Row],[Current Price]]/Table20[[#This Row],[strike_price]]) + ($B$2 + (Table20[[#This Row],[Vol]]^2)/2)*Table20[[#This Row],[Time to expiration]]) / (Table20[[#This Row],[Vol]] * SQRT(Table20[[#This Row],[Time to expiration]]))</f>
        <v>#NUM!</v>
      </c>
      <c r="Y112" s="30" t="e">
        <f ca="1">IF(Table20[[#This Row],[Direction]]&gt;0, _xlfn.NORM.S.DIST(Table20[[#This Row],[d1]], TRUE), _xlfn.NORM.S.DIST(Table20[[#This Row],[d1]], TRUE) - 1) * Table20[[#This Row],[Buy or Sell]]</f>
        <v>#NUM!</v>
      </c>
      <c r="Z112" s="9">
        <f ca="1">Table20[[#This Row],[Remaining]]*Table20[[#This Row],[Current Price]]*100</f>
        <v>0</v>
      </c>
      <c r="AA112" s="22">
        <f ca="1">IFERROR(Table20[[#This Row],[nominal_exposure]]*Table20[[#This Row],[Delta]],0)</f>
        <v>0</v>
      </c>
      <c r="AB112" s="99" t="b">
        <f>IF(Table20[[#This Row],[date_purchased]]&lt;&gt;Table20[[#This Row],[Expiration Date]],FALSE,TRUE)</f>
        <v>0</v>
      </c>
      <c r="AC112" s="30" t="str">
        <f>VLOOKUP(Table20[[#This Row],[Asset]],Table19[#All],3,FALSE)</f>
        <v>AI</v>
      </c>
      <c r="AD112" s="4">
        <f>IF(Table20[[#This Row],[Remaining]]&lt;&gt;0,Table20[[#This Row],[Invested]]*Table20[[#This Row],[Remaining]]/Table20[[#This Row],[Number of options]],0)</f>
        <v>0</v>
      </c>
      <c r="AE112" s="30">
        <f ca="1">SUMIF(Table20[Ticker],Table20[[#This Row],[Ticker]],Table20[realized_profit])</f>
        <v>-444.99999999999977</v>
      </c>
      <c r="AF112" s="30" t="str">
        <f>VLOOKUP(Table20[[#This Row],[Strategy]],Table29[#All],7,FALSE)</f>
        <v>Bullish</v>
      </c>
    </row>
    <row r="113" spans="1:32" hidden="1">
      <c r="A113" s="35">
        <v>45520</v>
      </c>
      <c r="B113" s="21" t="e" vm="168">
        <v>#VALUE!</v>
      </c>
      <c r="C113" s="109" t="str" cm="1">
        <f t="array" aca="1" ref="C113" ca="1">_FV(Table20[[#This Row],[Asset]],"Ticker symbol",TRUE)</f>
        <v>PDD</v>
      </c>
      <c r="D113" s="26" cm="1">
        <f t="array" aca="1" ref="D113" ca="1">_FV(Table20[[#This Row],[Asset]],"Price")</f>
        <v>106.22</v>
      </c>
      <c r="E113" s="26">
        <v>160</v>
      </c>
      <c r="F113" s="33">
        <v>1</v>
      </c>
      <c r="G113" s="34">
        <v>-1</v>
      </c>
      <c r="H113" s="111" t="s">
        <v>115</v>
      </c>
      <c r="I113" s="31">
        <v>45489</v>
      </c>
      <c r="J113" s="26">
        <v>0.78</v>
      </c>
      <c r="K113" s="24">
        <v>0.39400000000000002</v>
      </c>
      <c r="L113" s="33">
        <f>VLOOKUP(Table20[[#This Row],[Strategy]],Table29[#All],6,FALSE)</f>
        <v>1</v>
      </c>
      <c r="M113" s="23">
        <v>1</v>
      </c>
      <c r="N113" s="23">
        <v>0.24</v>
      </c>
      <c r="O113" s="23"/>
      <c r="P113" s="23"/>
      <c r="Q113">
        <f>Table20[[#This Row],[Exit1]]*Table20[[#This Row],[ex1_price]]</f>
        <v>0.24</v>
      </c>
      <c r="R113">
        <f>Table20[[#This Row],[Exit2]]*Table20[[#This Row],[ex2_price]]</f>
        <v>0</v>
      </c>
      <c r="S113">
        <f>IFERROR((Table20[[#This Row],[ex2_amnt]]+Table20[[#This Row],[ex1_amnt]])/(Table20[[#This Row],[Exit2]]+Table20[[#This Row],[Exit1]]),0)</f>
        <v>0.24</v>
      </c>
      <c r="T113" s="5">
        <f>(Table20[[#This Row],[Exit1]]+Table20[[#This Row],[Exit2]])*(Table20[[#This Row],[avg_exit_price]]-Table20[[#This Row],[AvePrice]])*100*Table20[[#This Row],[Buy or Sell]]</f>
        <v>54</v>
      </c>
      <c r="U113" s="5">
        <f>Table20[[#This Row],[Number of options]]*Table20[[#This Row],[AvePrice]]*100*Table20[[#This Row],[Buy or Sell]]</f>
        <v>-78</v>
      </c>
      <c r="V113" s="8">
        <f>Table20[[#This Row],[Number of options]]-Table20[[#This Row],[Exit1]]-Table20[[#This Row],[Exit2]]</f>
        <v>0</v>
      </c>
      <c r="W113" s="30">
        <f ca="1">(Table20[[#This Row],[Expiration Date]]-TODAY())/365</f>
        <v>-1.6082191780821917</v>
      </c>
      <c r="X113" s="30" t="e">
        <f ca="1">(LN(Table20[[#This Row],[Current Price]]/Table20[[#This Row],[strike_price]]) + ($B$2 + (Table20[[#This Row],[Vol]]^2)/2)*Table20[[#This Row],[Time to expiration]]) / (Table20[[#This Row],[Vol]] * SQRT(Table20[[#This Row],[Time to expiration]]))</f>
        <v>#NUM!</v>
      </c>
      <c r="Y113" s="30" t="e">
        <f ca="1">IF(Table20[[#This Row],[Direction]]&gt;0, _xlfn.NORM.S.DIST(Table20[[#This Row],[d1]], TRUE), _xlfn.NORM.S.DIST(Table20[[#This Row],[d1]], TRUE) - 1) * Table20[[#This Row],[Buy or Sell]]</f>
        <v>#NUM!</v>
      </c>
      <c r="Z113" s="9">
        <f ca="1">Table20[[#This Row],[Remaining]]*Table20[[#This Row],[Current Price]]*100</f>
        <v>0</v>
      </c>
      <c r="AA113" s="22">
        <f ca="1">IFERROR(Table20[[#This Row],[nominal_exposure]]*Table20[[#This Row],[Delta]],0)</f>
        <v>0</v>
      </c>
      <c r="AB113" s="99" t="b">
        <f>IF(Table20[[#This Row],[date_purchased]]&lt;&gt;Table20[[#This Row],[Expiration Date]],FALSE,TRUE)</f>
        <v>0</v>
      </c>
      <c r="AC113" s="30" t="str">
        <f>VLOOKUP(Table20[[#This Row],[Asset]],Table19[#All],3,FALSE)</f>
        <v>China</v>
      </c>
      <c r="AD113" s="30">
        <f>IF(Table20[[#This Row],[Remaining]]&lt;&gt;0,Table20[[#This Row],[Invested]]*Table20[[#This Row],[Remaining]]/Table20[[#This Row],[Number of options]],0)</f>
        <v>0</v>
      </c>
      <c r="AE113" s="30">
        <f ca="1">SUMIF(Table20[Ticker],Table20[[#This Row],[Ticker]],Table20[realized_profit])</f>
        <v>1390</v>
      </c>
      <c r="AF113" s="30" t="str">
        <f>VLOOKUP(Table20[[#This Row],[Strategy]],Table29[#All],7,FALSE)</f>
        <v>Bullish</v>
      </c>
    </row>
    <row r="114" spans="1:32" hidden="1">
      <c r="A114" s="35">
        <v>45534</v>
      </c>
      <c r="B114" s="21" t="e" vm="63">
        <v>#VALUE!</v>
      </c>
      <c r="C114" s="109" t="str" cm="1">
        <f t="array" aca="1" ref="C114" ca="1">_FV(Table20[[#This Row],[Asset]],"Ticker symbol",TRUE)</f>
        <v>TSLA</v>
      </c>
      <c r="D114" s="26" cm="1">
        <f t="array" aca="1" ref="D114" ca="1">_FV(Table20[[#This Row],[Asset]],"Price")</f>
        <v>394.5401</v>
      </c>
      <c r="E114" s="26">
        <v>300</v>
      </c>
      <c r="F114" s="33">
        <v>1</v>
      </c>
      <c r="G114" s="34">
        <v>1</v>
      </c>
      <c r="H114" s="34" t="s">
        <v>65</v>
      </c>
      <c r="I114" s="31">
        <v>45502</v>
      </c>
      <c r="J114" s="26">
        <v>4.95</v>
      </c>
      <c r="K114" s="24">
        <v>0.52100000000000002</v>
      </c>
      <c r="L114" s="33">
        <f>VLOOKUP(Table20[[#This Row],[Strategy]],Table29[#All],6,FALSE)</f>
        <v>-1</v>
      </c>
      <c r="M114" s="23">
        <v>1</v>
      </c>
      <c r="N114" s="23">
        <v>7.8</v>
      </c>
      <c r="O114" s="23"/>
      <c r="P114" s="23"/>
      <c r="Q114">
        <f>Table20[[#This Row],[Exit1]]*Table20[[#This Row],[ex1_price]]</f>
        <v>7.8</v>
      </c>
      <c r="R114">
        <f>Table20[[#This Row],[Exit2]]*Table20[[#This Row],[ex2_price]]</f>
        <v>0</v>
      </c>
      <c r="S114">
        <f>IFERROR((Table20[[#This Row],[ex2_amnt]]+Table20[[#This Row],[ex1_amnt]])/(Table20[[#This Row],[Exit2]]+Table20[[#This Row],[Exit1]]),0)</f>
        <v>7.8</v>
      </c>
      <c r="T114" s="5">
        <f>(Table20[[#This Row],[Exit1]]+Table20[[#This Row],[Exit2]])*(Table20[[#This Row],[avg_exit_price]]-Table20[[#This Row],[AvePrice]])*100*Table20[[#This Row],[Buy or Sell]]</f>
        <v>284.99999999999994</v>
      </c>
      <c r="U114" s="5">
        <f>Table20[[#This Row],[Number of options]]*Table20[[#This Row],[AvePrice]]*100*Table20[[#This Row],[Buy or Sell]]</f>
        <v>495</v>
      </c>
      <c r="V114" s="8">
        <f>Table20[[#This Row],[Number of options]]-Table20[[#This Row],[Exit1]]-Table20[[#This Row],[Exit2]]</f>
        <v>0</v>
      </c>
      <c r="W114" s="30">
        <f ca="1">(Table20[[#This Row],[Expiration Date]]-TODAY())/365</f>
        <v>-1.5698630136986302</v>
      </c>
      <c r="X114" s="30" t="e">
        <f ca="1">(LN(Table20[[#This Row],[Current Price]]/Table20[[#This Row],[strike_price]]) + ($B$2 + (Table20[[#This Row],[Vol]]^2)/2)*Table20[[#This Row],[Time to expiration]]) / (Table20[[#This Row],[Vol]] * SQRT(Table20[[#This Row],[Time to expiration]]))</f>
        <v>#NUM!</v>
      </c>
      <c r="Y114" s="30" t="e">
        <f ca="1">IF(Table20[[#This Row],[Direction]]&gt;0, _xlfn.NORM.S.DIST(Table20[[#This Row],[d1]], TRUE), _xlfn.NORM.S.DIST(Table20[[#This Row],[d1]], TRUE) - 1) * Table20[[#This Row],[Buy or Sell]]</f>
        <v>#NUM!</v>
      </c>
      <c r="Z114" s="9">
        <f ca="1">Table20[[#This Row],[Remaining]]*Table20[[#This Row],[Current Price]]*100</f>
        <v>0</v>
      </c>
      <c r="AA114" s="22">
        <f ca="1">IFERROR(Table20[[#This Row],[nominal_exposure]]*Table20[[#This Row],[Delta]],0)</f>
        <v>0</v>
      </c>
      <c r="AB114" s="30" t="b">
        <f>IF(Table20[[#This Row],[date_purchased]]&lt;&gt;Table20[[#This Row],[Expiration Date]],FALSE,TRUE)</f>
        <v>0</v>
      </c>
      <c r="AC114" s="30" t="str">
        <f>VLOOKUP(Table20[[#This Row],[Asset]],Table19[#All],3,FALSE)</f>
        <v>Auto</v>
      </c>
      <c r="AD114" s="30">
        <f>IF(Table20[[#This Row],[Remaining]]&lt;&gt;0,Table20[[#This Row],[Invested]]*Table20[[#This Row],[Remaining]]/Table20[[#This Row],[Number of options]],0)</f>
        <v>0</v>
      </c>
      <c r="AE114" s="30">
        <f ca="1">SUMIF(Table20[Ticker],Table20[[#This Row],[Ticker]],Table20[realized_profit])</f>
        <v>4153</v>
      </c>
      <c r="AF114" s="30" t="str">
        <f>VLOOKUP(Table20[[#This Row],[Strategy]],Table29[#All],7,FALSE)</f>
        <v>Bearish</v>
      </c>
    </row>
    <row r="115" spans="1:32" hidden="1">
      <c r="A115" s="180">
        <v>45632</v>
      </c>
      <c r="B115" s="21" t="e" vm="96">
        <v>#VALUE!</v>
      </c>
      <c r="C115" s="109" t="str" cm="1">
        <f t="array" aca="1" ref="C115" ca="1">_FV(Table20[[#This Row],[Asset]],"Ticker symbol",TRUE)</f>
        <v>SPY</v>
      </c>
      <c r="D115" s="26" cm="1">
        <f t="array" aca="1" ref="D115" ca="1">_FV(Table20[[#This Row],[Asset]],"Price")</f>
        <v>658.59</v>
      </c>
      <c r="E115" s="26">
        <v>580</v>
      </c>
      <c r="F115" s="33">
        <v>3</v>
      </c>
      <c r="G115" s="34">
        <v>1</v>
      </c>
      <c r="H115" s="34" t="s">
        <v>65</v>
      </c>
      <c r="I115" s="31">
        <v>45616</v>
      </c>
      <c r="J115" s="26">
        <v>3.11</v>
      </c>
      <c r="K115" s="24"/>
      <c r="L115" s="33">
        <f>VLOOKUP(Table20[[#This Row],[Strategy]],Table29[#All],6,FALSE)</f>
        <v>-1</v>
      </c>
      <c r="M115" s="23">
        <v>3</v>
      </c>
      <c r="N115" s="23">
        <v>2.27</v>
      </c>
      <c r="O115" s="23"/>
      <c r="P115" s="23"/>
      <c r="Q115">
        <f>Table20[[#This Row],[Exit1]]*Table20[[#This Row],[ex1_price]]</f>
        <v>6.8100000000000005</v>
      </c>
      <c r="R115">
        <f>Table20[[#This Row],[Exit2]]*Table20[[#This Row],[ex2_price]]</f>
        <v>0</v>
      </c>
      <c r="S115">
        <f>IFERROR((Table20[[#This Row],[ex2_amnt]]+Table20[[#This Row],[ex1_amnt]])/(Table20[[#This Row],[Exit2]]+Table20[[#This Row],[Exit1]]),0)</f>
        <v>2.27</v>
      </c>
      <c r="T115" s="5">
        <f>(Table20[[#This Row],[Exit1]]+Table20[[#This Row],[Exit2]])*(Table20[[#This Row],[avg_exit_price]]-Table20[[#This Row],[AvePrice]])*100*Table20[[#This Row],[Buy or Sell]]</f>
        <v>-251.99999999999994</v>
      </c>
      <c r="U115" s="5">
        <f>Table20[[#This Row],[Number of options]]*Table20[[#This Row],[AvePrice]]*100*Table20[[#This Row],[Buy or Sell]]</f>
        <v>933</v>
      </c>
      <c r="V115" s="8">
        <f>Table20[[#This Row],[Number of options]]-Table20[[#This Row],[Exit1]]-Table20[[#This Row],[Exit2]]</f>
        <v>0</v>
      </c>
      <c r="W115" s="30">
        <f ca="1">(Table20[[#This Row],[Expiration Date]]-TODAY())/365</f>
        <v>-1.3013698630136987</v>
      </c>
      <c r="X115" s="30" t="e">
        <f ca="1">(LN(Table20[[#This Row],[Current Price]]/Table20[[#This Row],[strike_price]]) + ($B$2 + (Table20[[#This Row],[Vol]]^2)/2)*Table20[[#This Row],[Time to expiration]]) / (Table20[[#This Row],[Vol]] * SQRT(Table20[[#This Row],[Time to expiration]]))</f>
        <v>#NUM!</v>
      </c>
      <c r="Y115" s="30" t="e">
        <f ca="1">IF(Table20[[#This Row],[Direction]]&gt;0, _xlfn.NORM.S.DIST(Table20[[#This Row],[d1]], TRUE), _xlfn.NORM.S.DIST(Table20[[#This Row],[d1]], TRUE) - 1) * Table20[[#This Row],[Buy or Sell]]</f>
        <v>#NUM!</v>
      </c>
      <c r="Z115" s="9">
        <f ca="1">Table20[[#This Row],[Remaining]]*Table20[[#This Row],[Current Price]]*100</f>
        <v>0</v>
      </c>
      <c r="AA115" s="22">
        <f ca="1">IFERROR(Table20[[#This Row],[nominal_exposure]]*Table20[[#This Row],[Delta]],0)</f>
        <v>0</v>
      </c>
      <c r="AB115" s="30" t="b">
        <f>IF(Table20[[#This Row],[date_purchased]]&lt;&gt;Table20[[#This Row],[Expiration Date]],FALSE,TRUE)</f>
        <v>0</v>
      </c>
      <c r="AC115" s="30" t="str">
        <f>VLOOKUP(Table20[[#This Row],[Asset]],Table19[#All],3,FALSE)</f>
        <v>Market</v>
      </c>
      <c r="AD115" s="30">
        <f>IF(Table20[[#This Row],[Remaining]]&lt;&gt;0,Table20[[#This Row],[Invested]]*Table20[[#This Row],[Remaining]]/Table20[[#This Row],[Number of options]],0)</f>
        <v>0</v>
      </c>
      <c r="AE115" s="30">
        <f ca="1">SUMIF(Table20[Ticker],Table20[[#This Row],[Ticker]],Table20[realized_profit])</f>
        <v>-5077</v>
      </c>
      <c r="AF115" s="30" t="str">
        <f>VLOOKUP(Table20[[#This Row],[Strategy]],Table29[#All],7,FALSE)</f>
        <v>Bearish</v>
      </c>
    </row>
    <row r="116" spans="1:32" hidden="1">
      <c r="A116" s="35">
        <v>45527</v>
      </c>
      <c r="B116" s="21" t="e" vm="32">
        <v>#VALUE!</v>
      </c>
      <c r="C116" s="109" t="str" cm="1">
        <f t="array" aca="1" ref="C116" ca="1">_FV(Table20[[#This Row],[Asset]],"Ticker symbol",TRUE)</f>
        <v>MU</v>
      </c>
      <c r="D116" s="26" cm="1">
        <f t="array" aca="1" ref="D116" ca="1">_FV(Table20[[#This Row],[Asset]],"Price")</f>
        <v>381.57</v>
      </c>
      <c r="E116" s="26">
        <v>130</v>
      </c>
      <c r="F116" s="33">
        <v>4</v>
      </c>
      <c r="G116" s="34">
        <v>1</v>
      </c>
      <c r="H116" s="111" t="s">
        <v>115</v>
      </c>
      <c r="I116" s="31">
        <v>45491</v>
      </c>
      <c r="J116" s="26">
        <v>1.95</v>
      </c>
      <c r="K116" s="24">
        <v>0.41789999999999999</v>
      </c>
      <c r="L116" s="33">
        <f>VLOOKUP(Table20[[#This Row],[Strategy]],Table29[#All],6,FALSE)</f>
        <v>1</v>
      </c>
      <c r="M116" s="23">
        <v>4</v>
      </c>
      <c r="N116" s="23">
        <v>0.15</v>
      </c>
      <c r="O116" s="23"/>
      <c r="P116" s="23"/>
      <c r="Q116">
        <f>Table20[[#This Row],[Exit1]]*Table20[[#This Row],[ex1_price]]</f>
        <v>0.6</v>
      </c>
      <c r="R116">
        <f>Table20[[#This Row],[Exit2]]*Table20[[#This Row],[ex2_price]]</f>
        <v>0</v>
      </c>
      <c r="S116">
        <f>IFERROR((Table20[[#This Row],[ex2_amnt]]+Table20[[#This Row],[ex1_amnt]])/(Table20[[#This Row],[Exit2]]+Table20[[#This Row],[Exit1]]),0)</f>
        <v>0.15</v>
      </c>
      <c r="T116" s="5">
        <f>(Table20[[#This Row],[Exit1]]+Table20[[#This Row],[Exit2]])*(Table20[[#This Row],[avg_exit_price]]-Table20[[#This Row],[AvePrice]])*100*Table20[[#This Row],[Buy or Sell]]</f>
        <v>-720</v>
      </c>
      <c r="U116" s="5">
        <f>Table20[[#This Row],[Number of options]]*Table20[[#This Row],[AvePrice]]*100*Table20[[#This Row],[Buy or Sell]]</f>
        <v>780</v>
      </c>
      <c r="V116" s="8">
        <f>Table20[[#This Row],[Number of options]]-Table20[[#This Row],[Exit1]]-Table20[[#This Row],[Exit2]]</f>
        <v>0</v>
      </c>
      <c r="W116" s="30">
        <f ca="1">(Table20[[#This Row],[Expiration Date]]-TODAY())/365</f>
        <v>-1.5890410958904109</v>
      </c>
      <c r="X116" s="30" t="e">
        <f ca="1">(LN(Table20[[#This Row],[Current Price]]/Table20[[#This Row],[strike_price]]) + ($B$2 + (Table20[[#This Row],[Vol]]^2)/2)*Table20[[#This Row],[Time to expiration]]) / (Table20[[#This Row],[Vol]] * SQRT(Table20[[#This Row],[Time to expiration]]))</f>
        <v>#NUM!</v>
      </c>
      <c r="Y116" s="30" t="e">
        <f ca="1">IF(Table20[[#This Row],[Direction]]&gt;0, _xlfn.NORM.S.DIST(Table20[[#This Row],[d1]], TRUE), _xlfn.NORM.S.DIST(Table20[[#This Row],[d1]], TRUE) - 1) * Table20[[#This Row],[Buy or Sell]]</f>
        <v>#NUM!</v>
      </c>
      <c r="Z116" s="9">
        <f ca="1">Table20[[#This Row],[Remaining]]*Table20[[#This Row],[Current Price]]*100</f>
        <v>0</v>
      </c>
      <c r="AA116" s="22">
        <f ca="1">IFERROR(Table20[[#This Row],[nominal_exposure]]*Table20[[#This Row],[Delta]],0)</f>
        <v>0</v>
      </c>
      <c r="AB116" s="99" t="b">
        <f>IF(Table20[[#This Row],[date_purchased]]&lt;&gt;Table20[[#This Row],[Expiration Date]],FALSE,TRUE)</f>
        <v>0</v>
      </c>
      <c r="AC116" s="30" t="str">
        <f>VLOOKUP(Table20[[#This Row],[Asset]],Table19[#All],3,FALSE)</f>
        <v>AI</v>
      </c>
      <c r="AD116" s="4">
        <f>IF(Table20[[#This Row],[Remaining]]&lt;&gt;0,Table20[[#This Row],[Invested]]*Table20[[#This Row],[Remaining]]/Table20[[#This Row],[Number of options]],0)</f>
        <v>0</v>
      </c>
      <c r="AE116" s="30">
        <f ca="1">SUMIF(Table20[Ticker],Table20[[#This Row],[Ticker]],Table20[realized_profit])</f>
        <v>-4181</v>
      </c>
      <c r="AF116" s="30" t="str">
        <f>VLOOKUP(Table20[[#This Row],[Strategy]],Table29[#All],7,FALSE)</f>
        <v>Bullish</v>
      </c>
    </row>
    <row r="117" spans="1:32" hidden="1">
      <c r="A117" s="35">
        <v>45527</v>
      </c>
      <c r="B117" s="21" t="e" vm="63">
        <v>#VALUE!</v>
      </c>
      <c r="C117" s="109" t="str" cm="1">
        <f t="array" aca="1" ref="C117" ca="1">_FV(Table20[[#This Row],[Asset]],"Ticker symbol",TRUE)</f>
        <v>TSLA</v>
      </c>
      <c r="D117" s="26" cm="1">
        <f t="array" aca="1" ref="D117" ca="1">_FV(Table20[[#This Row],[Asset]],"Price")</f>
        <v>394.5401</v>
      </c>
      <c r="E117" s="26">
        <v>200</v>
      </c>
      <c r="F117" s="33">
        <v>2</v>
      </c>
      <c r="G117" s="34">
        <v>1</v>
      </c>
      <c r="H117" s="111" t="s">
        <v>161</v>
      </c>
      <c r="I117" s="31">
        <v>45478</v>
      </c>
      <c r="J117" s="26">
        <v>4.43</v>
      </c>
      <c r="K117" s="24">
        <v>0.61029999999999995</v>
      </c>
      <c r="L117" s="33">
        <f>VLOOKUP(Table20[[#This Row],[Strategy]],Table29[#All],6,FALSE)</f>
        <v>-1</v>
      </c>
      <c r="M117" s="23">
        <v>2</v>
      </c>
      <c r="N117" s="23">
        <v>16.93</v>
      </c>
      <c r="O117" s="23"/>
      <c r="P117" s="23"/>
      <c r="Q117">
        <f>Table20[[#This Row],[Exit1]]*Table20[[#This Row],[ex1_price]]</f>
        <v>33.86</v>
      </c>
      <c r="R117">
        <f>Table20[[#This Row],[Exit2]]*Table20[[#This Row],[ex2_price]]</f>
        <v>0</v>
      </c>
      <c r="S117">
        <f>IFERROR((Table20[[#This Row],[ex2_amnt]]+Table20[[#This Row],[ex1_amnt]])/(Table20[[#This Row],[Exit2]]+Table20[[#This Row],[Exit1]]),0)</f>
        <v>16.93</v>
      </c>
      <c r="T117" s="5">
        <f>(Table20[[#This Row],[Exit1]]+Table20[[#This Row],[Exit2]])*(Table20[[#This Row],[avg_exit_price]]-Table20[[#This Row],[AvePrice]])*100*Table20[[#This Row],[Buy or Sell]]</f>
        <v>2500</v>
      </c>
      <c r="U117" s="5">
        <f>Table20[[#This Row],[Number of options]]*Table20[[#This Row],[AvePrice]]*100*Table20[[#This Row],[Buy or Sell]]</f>
        <v>886</v>
      </c>
      <c r="V117" s="8">
        <f>Table20[[#This Row],[Number of options]]-Table20[[#This Row],[Exit1]]-Table20[[#This Row],[Exit2]]</f>
        <v>0</v>
      </c>
      <c r="W117" s="30">
        <f ca="1">(Table20[[#This Row],[Expiration Date]]-TODAY())/365</f>
        <v>-1.5890410958904109</v>
      </c>
      <c r="X117" s="30" t="e">
        <f ca="1">(LN(Table20[[#This Row],[Current Price]]/Table20[[#This Row],[strike_price]]) + ($B$2 + (Table20[[#This Row],[Vol]]^2)/2)*Table20[[#This Row],[Time to expiration]]) / (Table20[[#This Row],[Vol]] * SQRT(Table20[[#This Row],[Time to expiration]]))</f>
        <v>#NUM!</v>
      </c>
      <c r="Y117" s="30" t="e">
        <f ca="1">IF(Table20[[#This Row],[Direction]]&gt;0, _xlfn.NORM.S.DIST(Table20[[#This Row],[d1]], TRUE), _xlfn.NORM.S.DIST(Table20[[#This Row],[d1]], TRUE) - 1) * Table20[[#This Row],[Buy or Sell]]</f>
        <v>#NUM!</v>
      </c>
      <c r="Z117" s="9">
        <f ca="1">Table20[[#This Row],[Remaining]]*Table20[[#This Row],[Current Price]]*100</f>
        <v>0</v>
      </c>
      <c r="AA117" s="22">
        <f ca="1">IFERROR(Table20[[#This Row],[nominal_exposure]]*Table20[[#This Row],[Delta]],0)</f>
        <v>0</v>
      </c>
      <c r="AB117" s="99" t="b">
        <f>IF(Table20[[#This Row],[date_purchased]]&lt;&gt;Table20[[#This Row],[Expiration Date]],FALSE,TRUE)</f>
        <v>0</v>
      </c>
      <c r="AC117" s="30" t="str">
        <f>VLOOKUP(Table20[[#This Row],[Asset]],Table19[#All],3,FALSE)</f>
        <v>Auto</v>
      </c>
      <c r="AD117" s="4">
        <f>IF(Table20[[#This Row],[Remaining]]&lt;&gt;0,Table20[[#This Row],[Invested]]*Table20[[#This Row],[Remaining]]/Table20[[#This Row],[Number of options]],0)</f>
        <v>0</v>
      </c>
      <c r="AE117" s="30">
        <f ca="1">SUMIF(Table20[Ticker],Table20[[#This Row],[Ticker]],Table20[realized_profit])</f>
        <v>4153</v>
      </c>
      <c r="AF117" s="30" t="str">
        <f>VLOOKUP(Table20[[#This Row],[Strategy]],Table29[#All],7,FALSE)</f>
        <v>Bearish</v>
      </c>
    </row>
    <row r="118" spans="1:32" hidden="1">
      <c r="A118" s="180">
        <v>45625</v>
      </c>
      <c r="B118" s="21" t="e" vm="96">
        <v>#VALUE!</v>
      </c>
      <c r="C118" s="109" t="str" cm="1">
        <f t="array" aca="1" ref="C118" ca="1">_FV(Table20[[#This Row],[Asset]],"Ticker symbol",TRUE)</f>
        <v>SPY</v>
      </c>
      <c r="D118" s="26" cm="1">
        <f t="array" aca="1" ref="D118" ca="1">_FV(Table20[[#This Row],[Asset]],"Price")</f>
        <v>658.59</v>
      </c>
      <c r="E118" s="26">
        <v>550</v>
      </c>
      <c r="F118" s="33">
        <v>10</v>
      </c>
      <c r="G118" s="34">
        <v>1</v>
      </c>
      <c r="H118" s="34" t="s">
        <v>161</v>
      </c>
      <c r="I118" s="31">
        <v>45576</v>
      </c>
      <c r="J118" s="26">
        <v>4.22</v>
      </c>
      <c r="K118" s="24">
        <v>0.2</v>
      </c>
      <c r="L118" s="33">
        <f>VLOOKUP(Table20[[#This Row],[Strategy]],Table29[#All],6,FALSE)</f>
        <v>-1</v>
      </c>
      <c r="M118" s="23">
        <v>2</v>
      </c>
      <c r="N118" s="23">
        <v>3.85</v>
      </c>
      <c r="O118" s="23">
        <v>8</v>
      </c>
      <c r="P118" s="23">
        <v>1.0900000000000001</v>
      </c>
      <c r="Q118">
        <f>Table20[[#This Row],[Exit1]]*Table20[[#This Row],[ex1_price]]</f>
        <v>7.7</v>
      </c>
      <c r="R118">
        <f>Table20[[#This Row],[Exit2]]*Table20[[#This Row],[ex2_price]]</f>
        <v>8.7200000000000006</v>
      </c>
      <c r="S118">
        <f>IFERROR((Table20[[#This Row],[ex2_amnt]]+Table20[[#This Row],[ex1_amnt]])/(Table20[[#This Row],[Exit2]]+Table20[[#This Row],[Exit1]]),0)</f>
        <v>1.6420000000000001</v>
      </c>
      <c r="T118" s="5">
        <f>(Table20[[#This Row],[Exit1]]+Table20[[#This Row],[Exit2]])*(Table20[[#This Row],[avg_exit_price]]-Table20[[#This Row],[AvePrice]])*100*Table20[[#This Row],[Buy or Sell]]</f>
        <v>-2577.9999999999995</v>
      </c>
      <c r="U118" s="5">
        <f>Table20[[#This Row],[Number of options]]*Table20[[#This Row],[AvePrice]]*100*Table20[[#This Row],[Buy or Sell]]</f>
        <v>4220</v>
      </c>
      <c r="V118" s="8">
        <f>Table20[[#This Row],[Number of options]]-Table20[[#This Row],[Exit1]]-Table20[[#This Row],[Exit2]]</f>
        <v>0</v>
      </c>
      <c r="W118" s="30">
        <f ca="1">(Table20[[#This Row],[Expiration Date]]-TODAY())/365</f>
        <v>-1.3205479452054794</v>
      </c>
      <c r="X118" s="30" t="e">
        <f ca="1">(LN(Table20[[#This Row],[Current Price]]/Table20[[#This Row],[strike_price]]) + ($B$2 + (Table20[[#This Row],[Vol]]^2)/2)*Table20[[#This Row],[Time to expiration]]) / (Table20[[#This Row],[Vol]] * SQRT(Table20[[#This Row],[Time to expiration]]))</f>
        <v>#NUM!</v>
      </c>
      <c r="Y118" s="30" t="e">
        <f ca="1">IF(Table20[[#This Row],[Direction]]&gt;0, _xlfn.NORM.S.DIST(Table20[[#This Row],[d1]], TRUE), _xlfn.NORM.S.DIST(Table20[[#This Row],[d1]], TRUE) - 1) * Table20[[#This Row],[Buy or Sell]]</f>
        <v>#NUM!</v>
      </c>
      <c r="Z118" s="9">
        <f ca="1">Table20[[#This Row],[Remaining]]*Table20[[#This Row],[Current Price]]*100</f>
        <v>0</v>
      </c>
      <c r="AA118" s="22">
        <f ca="1">IFERROR(Table20[[#This Row],[nominal_exposure]]*Table20[[#This Row],[Delta]],0)</f>
        <v>0</v>
      </c>
      <c r="AB118" s="30" t="b">
        <f>IF(Table20[[#This Row],[date_purchased]]&lt;&gt;Table20[[#This Row],[Expiration Date]],FALSE,TRUE)</f>
        <v>0</v>
      </c>
      <c r="AC118" s="30" t="str">
        <f>VLOOKUP(Table20[[#This Row],[Asset]],Table19[#All],3,FALSE)</f>
        <v>Market</v>
      </c>
      <c r="AD118" s="30">
        <f>IF(Table20[[#This Row],[Remaining]]&lt;&gt;0,Table20[[#This Row],[Invested]]*Table20[[#This Row],[Remaining]]/Table20[[#This Row],[Number of options]],0)</f>
        <v>0</v>
      </c>
      <c r="AE118" s="30">
        <f ca="1">SUMIF(Table20[Ticker],Table20[[#This Row],[Ticker]],Table20[realized_profit])</f>
        <v>-5077</v>
      </c>
      <c r="AF118" s="30" t="str">
        <f>VLOOKUP(Table20[[#This Row],[Strategy]],Table29[#All],7,FALSE)</f>
        <v>Bearish</v>
      </c>
    </row>
    <row r="119" spans="1:32" hidden="1">
      <c r="A119" s="180">
        <v>45625</v>
      </c>
      <c r="B119" s="21" t="e" vm="96">
        <v>#VALUE!</v>
      </c>
      <c r="C119" s="109" t="str" cm="1">
        <f t="array" aca="1" ref="C119" ca="1">_FV(Table20[[#This Row],[Asset]],"Ticker symbol",TRUE)</f>
        <v>SPY</v>
      </c>
      <c r="D119" s="26" cm="1">
        <f t="array" aca="1" ref="D119" ca="1">_FV(Table20[[#This Row],[Asset]],"Price")</f>
        <v>658.59</v>
      </c>
      <c r="E119" s="26">
        <v>570</v>
      </c>
      <c r="F119" s="33">
        <v>3</v>
      </c>
      <c r="G119" s="34">
        <v>1</v>
      </c>
      <c r="H119" s="34" t="s">
        <v>161</v>
      </c>
      <c r="I119" s="31">
        <v>45602</v>
      </c>
      <c r="J119" s="26">
        <v>2.62</v>
      </c>
      <c r="K119" s="24">
        <v>0.14879999999999999</v>
      </c>
      <c r="L119" s="33">
        <f>VLOOKUP(Table20[[#This Row],[Strategy]],Table29[#All],6,FALSE)</f>
        <v>-1</v>
      </c>
      <c r="M119" s="23">
        <v>3</v>
      </c>
      <c r="N119" s="23">
        <v>1.5</v>
      </c>
      <c r="O119" s="23"/>
      <c r="P119" s="23"/>
      <c r="Q119">
        <f>Table20[[#This Row],[Exit1]]*Table20[[#This Row],[ex1_price]]</f>
        <v>4.5</v>
      </c>
      <c r="R119">
        <f>Table20[[#This Row],[Exit2]]*Table20[[#This Row],[ex2_price]]</f>
        <v>0</v>
      </c>
      <c r="S119">
        <f>IFERROR((Table20[[#This Row],[ex2_amnt]]+Table20[[#This Row],[ex1_amnt]])/(Table20[[#This Row],[Exit2]]+Table20[[#This Row],[Exit1]]),0)</f>
        <v>1.5</v>
      </c>
      <c r="T119" s="5">
        <f>(Table20[[#This Row],[Exit1]]+Table20[[#This Row],[Exit2]])*(Table20[[#This Row],[avg_exit_price]]-Table20[[#This Row],[AvePrice]])*100*Table20[[#This Row],[Buy or Sell]]</f>
        <v>-336.00000000000006</v>
      </c>
      <c r="U119" s="5">
        <f>Table20[[#This Row],[Number of options]]*Table20[[#This Row],[AvePrice]]*100*Table20[[#This Row],[Buy or Sell]]</f>
        <v>786</v>
      </c>
      <c r="V119" s="8">
        <f>Table20[[#This Row],[Number of options]]-Table20[[#This Row],[Exit1]]-Table20[[#This Row],[Exit2]]</f>
        <v>0</v>
      </c>
      <c r="W119" s="30">
        <f ca="1">(Table20[[#This Row],[Expiration Date]]-TODAY())/365</f>
        <v>-1.3205479452054794</v>
      </c>
      <c r="X119" s="30" t="e">
        <f ca="1">(LN(Table20[[#This Row],[Current Price]]/Table20[[#This Row],[strike_price]]) + ($B$2 + (Table20[[#This Row],[Vol]]^2)/2)*Table20[[#This Row],[Time to expiration]]) / (Table20[[#This Row],[Vol]] * SQRT(Table20[[#This Row],[Time to expiration]]))</f>
        <v>#NUM!</v>
      </c>
      <c r="Y119" s="30" t="e">
        <f ca="1">IF(Table20[[#This Row],[Direction]]&gt;0, _xlfn.NORM.S.DIST(Table20[[#This Row],[d1]], TRUE), _xlfn.NORM.S.DIST(Table20[[#This Row],[d1]], TRUE) - 1) * Table20[[#This Row],[Buy or Sell]]</f>
        <v>#NUM!</v>
      </c>
      <c r="Z119" s="9">
        <f ca="1">Table20[[#This Row],[Remaining]]*Table20[[#This Row],[Current Price]]*100</f>
        <v>0</v>
      </c>
      <c r="AA119" s="22">
        <f ca="1">IFERROR(Table20[[#This Row],[nominal_exposure]]*Table20[[#This Row],[Delta]],0)</f>
        <v>0</v>
      </c>
      <c r="AB119" s="30" t="b">
        <f>IF(Table20[[#This Row],[date_purchased]]&lt;&gt;Table20[[#This Row],[Expiration Date]],FALSE,TRUE)</f>
        <v>0</v>
      </c>
      <c r="AC119" s="30" t="str">
        <f>VLOOKUP(Table20[[#This Row],[Asset]],Table19[#All],3,FALSE)</f>
        <v>Market</v>
      </c>
      <c r="AD119" s="30">
        <f>IF(Table20[[#This Row],[Remaining]]&lt;&gt;0,Table20[[#This Row],[Invested]]*Table20[[#This Row],[Remaining]]/Table20[[#This Row],[Number of options]],0)</f>
        <v>0</v>
      </c>
      <c r="AE119" s="30">
        <f ca="1">SUMIF(Table20[Ticker],Table20[[#This Row],[Ticker]],Table20[realized_profit])</f>
        <v>-5077</v>
      </c>
      <c r="AF119" s="30" t="str">
        <f>VLOOKUP(Table20[[#This Row],[Strategy]],Table29[#All],7,FALSE)</f>
        <v>Bearish</v>
      </c>
    </row>
    <row r="120" spans="1:32" hidden="1">
      <c r="A120" s="180">
        <v>45625</v>
      </c>
      <c r="B120" s="21" t="e" vm="96">
        <v>#VALUE!</v>
      </c>
      <c r="C120" s="109" t="str" cm="1">
        <f t="array" aca="1" ref="C120" ca="1">_FV(Table20[[#This Row],[Asset]],"Ticker symbol",TRUE)</f>
        <v>SPY</v>
      </c>
      <c r="D120" s="26" cm="1">
        <f t="array" aca="1" ref="D120" ca="1">_FV(Table20[[#This Row],[Asset]],"Price")</f>
        <v>658.59</v>
      </c>
      <c r="E120" s="26">
        <v>550</v>
      </c>
      <c r="F120" s="33">
        <v>2</v>
      </c>
      <c r="G120" s="34">
        <v>-1</v>
      </c>
      <c r="H120" s="34" t="s">
        <v>161</v>
      </c>
      <c r="I120" s="31">
        <v>45611</v>
      </c>
      <c r="J120" s="26">
        <v>0.45</v>
      </c>
      <c r="K120" s="24"/>
      <c r="L120" s="33">
        <f>VLOOKUP(Table20[[#This Row],[Strategy]],Table29[#All],6,FALSE)</f>
        <v>-1</v>
      </c>
      <c r="M120" s="23">
        <v>2</v>
      </c>
      <c r="N120" s="23">
        <v>0.19</v>
      </c>
      <c r="O120" s="23"/>
      <c r="P120" s="23"/>
      <c r="Q120">
        <f>Table20[[#This Row],[Exit1]]*Table20[[#This Row],[ex1_price]]</f>
        <v>0.38</v>
      </c>
      <c r="R120">
        <f>Table20[[#This Row],[Exit2]]*Table20[[#This Row],[ex2_price]]</f>
        <v>0</v>
      </c>
      <c r="S120">
        <f>IFERROR((Table20[[#This Row],[ex2_amnt]]+Table20[[#This Row],[ex1_amnt]])/(Table20[[#This Row],[Exit2]]+Table20[[#This Row],[Exit1]]),0)</f>
        <v>0.19</v>
      </c>
      <c r="T120" s="5">
        <f>(Table20[[#This Row],[Exit1]]+Table20[[#This Row],[Exit2]])*(Table20[[#This Row],[avg_exit_price]]-Table20[[#This Row],[AvePrice]])*100*Table20[[#This Row],[Buy or Sell]]</f>
        <v>52</v>
      </c>
      <c r="U120" s="5">
        <f>Table20[[#This Row],[Number of options]]*Table20[[#This Row],[AvePrice]]*100*Table20[[#This Row],[Buy or Sell]]</f>
        <v>-90</v>
      </c>
      <c r="V120" s="8">
        <f>Table20[[#This Row],[Number of options]]-Table20[[#This Row],[Exit1]]-Table20[[#This Row],[Exit2]]</f>
        <v>0</v>
      </c>
      <c r="W120" s="30">
        <f ca="1">(Table20[[#This Row],[Expiration Date]]-TODAY())/365</f>
        <v>-1.3205479452054794</v>
      </c>
      <c r="X120" s="30" t="e">
        <f ca="1">(LN(Table20[[#This Row],[Current Price]]/Table20[[#This Row],[strike_price]]) + ($B$2 + (Table20[[#This Row],[Vol]]^2)/2)*Table20[[#This Row],[Time to expiration]]) / (Table20[[#This Row],[Vol]] * SQRT(Table20[[#This Row],[Time to expiration]]))</f>
        <v>#NUM!</v>
      </c>
      <c r="Y120" s="30" t="e">
        <f ca="1">IF(Table20[[#This Row],[Direction]]&gt;0, _xlfn.NORM.S.DIST(Table20[[#This Row],[d1]], TRUE), _xlfn.NORM.S.DIST(Table20[[#This Row],[d1]], TRUE) - 1) * Table20[[#This Row],[Buy or Sell]]</f>
        <v>#NUM!</v>
      </c>
      <c r="Z120" s="9">
        <f ca="1">Table20[[#This Row],[Remaining]]*Table20[[#This Row],[Current Price]]*100</f>
        <v>0</v>
      </c>
      <c r="AA120" s="22">
        <f ca="1">IFERROR(Table20[[#This Row],[nominal_exposure]]*Table20[[#This Row],[Delta]],0)</f>
        <v>0</v>
      </c>
      <c r="AB120" s="30" t="b">
        <f>IF(Table20[[#This Row],[date_purchased]]&lt;&gt;Table20[[#This Row],[Expiration Date]],FALSE,TRUE)</f>
        <v>0</v>
      </c>
      <c r="AC120" s="30" t="str">
        <f>VLOOKUP(Table20[[#This Row],[Asset]],Table19[#All],3,FALSE)</f>
        <v>Market</v>
      </c>
      <c r="AD120" s="30">
        <f>IF(Table20[[#This Row],[Remaining]]&lt;&gt;0,Table20[[#This Row],[Invested]]*Table20[[#This Row],[Remaining]]/Table20[[#This Row],[Number of options]],0)</f>
        <v>0</v>
      </c>
      <c r="AE120" s="30">
        <f ca="1">SUMIF(Table20[Ticker],Table20[[#This Row],[Ticker]],Table20[realized_profit])</f>
        <v>-5077</v>
      </c>
      <c r="AF120" s="30" t="str">
        <f>VLOOKUP(Table20[[#This Row],[Strategy]],Table29[#All],7,FALSE)</f>
        <v>Bearish</v>
      </c>
    </row>
    <row r="121" spans="1:32" hidden="1">
      <c r="A121" s="118">
        <v>45513</v>
      </c>
      <c r="B121" s="21" t="e" vm="11">
        <v>#VALUE!</v>
      </c>
      <c r="C121" s="109" t="str" cm="1">
        <f t="array" aca="1" ref="C121" ca="1">_FV(Table20[[#This Row],[Asset]],"Ticker symbol",TRUE)</f>
        <v>AMZN</v>
      </c>
      <c r="D121" s="26" cm="1">
        <f t="array" aca="1" ref="D121" ca="1">_FV(Table20[[#This Row],[Asset]],"Price")</f>
        <v>212.15</v>
      </c>
      <c r="E121" s="26">
        <v>220</v>
      </c>
      <c r="F121" s="33">
        <v>1</v>
      </c>
      <c r="G121" s="34">
        <v>-1</v>
      </c>
      <c r="H121" s="111" t="s">
        <v>115</v>
      </c>
      <c r="I121" s="31">
        <v>45483</v>
      </c>
      <c r="J121" s="26">
        <v>2.57</v>
      </c>
      <c r="K121" s="24">
        <v>0.4783</v>
      </c>
      <c r="L121" s="33">
        <f>VLOOKUP(Table20[[#This Row],[Strategy]],Table29[#All],6,FALSE)</f>
        <v>1</v>
      </c>
      <c r="M121" s="23">
        <v>1</v>
      </c>
      <c r="N121" s="23">
        <v>0</v>
      </c>
      <c r="O121" s="23"/>
      <c r="P121" s="23"/>
      <c r="Q121">
        <f>Table20[[#This Row],[Exit1]]*Table20[[#This Row],[ex1_price]]</f>
        <v>0</v>
      </c>
      <c r="R121">
        <f>Table20[[#This Row],[Exit2]]*Table20[[#This Row],[ex2_price]]</f>
        <v>0</v>
      </c>
      <c r="S121">
        <f>IFERROR((Table20[[#This Row],[ex2_amnt]]+Table20[[#This Row],[ex1_amnt]])/(Table20[[#This Row],[Exit2]]+Table20[[#This Row],[Exit1]]),0)</f>
        <v>0</v>
      </c>
      <c r="T121" s="5">
        <f>(Table20[[#This Row],[Exit1]]+Table20[[#This Row],[Exit2]])*(Table20[[#This Row],[avg_exit_price]]-Table20[[#This Row],[AvePrice]])*100*Table20[[#This Row],[Buy or Sell]]</f>
        <v>257</v>
      </c>
      <c r="U121" s="5">
        <f>Table20[[#This Row],[Number of options]]*Table20[[#This Row],[AvePrice]]*100*Table20[[#This Row],[Buy or Sell]]</f>
        <v>-257</v>
      </c>
      <c r="V121" s="8">
        <f>Table20[[#This Row],[Number of options]]-Table20[[#This Row],[Exit1]]-Table20[[#This Row],[Exit2]]</f>
        <v>0</v>
      </c>
      <c r="W121" s="30">
        <f ca="1">(Table20[[#This Row],[Expiration Date]]-TODAY())/365</f>
        <v>-1.6273972602739726</v>
      </c>
      <c r="X121" s="30" t="e">
        <f ca="1">(LN(Table20[[#This Row],[Current Price]]/Table20[[#This Row],[strike_price]]) + ($B$2 + (Table20[[#This Row],[Vol]]^2)/2)*Table20[[#This Row],[Time to expiration]]) / (Table20[[#This Row],[Vol]] * SQRT(Table20[[#This Row],[Time to expiration]]))</f>
        <v>#NUM!</v>
      </c>
      <c r="Y121" s="30" t="e">
        <f ca="1">IF(Table20[[#This Row],[Direction]]&gt;0, _xlfn.NORM.S.DIST(Table20[[#This Row],[d1]], TRUE), _xlfn.NORM.S.DIST(Table20[[#This Row],[d1]], TRUE) - 1) * Table20[[#This Row],[Buy or Sell]]</f>
        <v>#NUM!</v>
      </c>
      <c r="Z121" s="9">
        <f ca="1">Table20[[#This Row],[Remaining]]*Table20[[#This Row],[Current Price]]*100</f>
        <v>0</v>
      </c>
      <c r="AA121" s="22">
        <f ca="1">IFERROR(Table20[[#This Row],[nominal_exposure]]*Table20[[#This Row],[Delta]],0)</f>
        <v>0</v>
      </c>
      <c r="AB121" s="99" t="b">
        <f>IF(Table20[[#This Row],[date_purchased]]&lt;&gt;Table20[[#This Row],[Expiration Date]],FALSE,TRUE)</f>
        <v>0</v>
      </c>
      <c r="AC121" s="30" t="str">
        <f>VLOOKUP(Table20[[#This Row],[Asset]],Table19[#All],3,FALSE)</f>
        <v>Robotics</v>
      </c>
      <c r="AD121" s="4">
        <f>IF(Table20[[#This Row],[Remaining]]&lt;&gt;0,Table20[[#This Row],[Invested]]*Table20[[#This Row],[Remaining]]/Table20[[#This Row],[Number of options]],0)</f>
        <v>0</v>
      </c>
      <c r="AE121" s="30">
        <f ca="1">SUMIF(Table20[Ticker],Table20[[#This Row],[Ticker]],Table20[realized_profit])</f>
        <v>-1350</v>
      </c>
      <c r="AF121" s="30" t="str">
        <f>VLOOKUP(Table20[[#This Row],[Strategy]],Table29[#All],7,FALSE)</f>
        <v>Bullish</v>
      </c>
    </row>
    <row r="122" spans="1:32" hidden="1">
      <c r="A122" s="35">
        <v>45555</v>
      </c>
      <c r="B122" s="21" t="e" vm="13">
        <v>#VALUE!</v>
      </c>
      <c r="C122" s="109" t="str" cm="1">
        <f t="array" aca="1" ref="C122" ca="1">_FV(Table20[[#This Row],[Asset]],"Ticker symbol",TRUE)</f>
        <v>ON</v>
      </c>
      <c r="D122" s="26" cm="1">
        <f t="array" aca="1" ref="D122" ca="1">_FV(Table20[[#This Row],[Asset]],"Price")</f>
        <v>63.68</v>
      </c>
      <c r="E122" s="26">
        <v>85</v>
      </c>
      <c r="F122" s="33">
        <v>2</v>
      </c>
      <c r="G122" s="34">
        <v>1</v>
      </c>
      <c r="H122" s="111" t="s">
        <v>115</v>
      </c>
      <c r="I122" s="31">
        <v>45488</v>
      </c>
      <c r="J122" s="26">
        <v>3.35</v>
      </c>
      <c r="K122" s="24">
        <v>0.44850000000000001</v>
      </c>
      <c r="L122" s="33">
        <f>VLOOKUP(Table20[[#This Row],[Strategy]],Table29[#All],6,FALSE)</f>
        <v>1</v>
      </c>
      <c r="M122" s="23">
        <v>2</v>
      </c>
      <c r="N122" s="23">
        <v>0.8</v>
      </c>
      <c r="O122" s="23"/>
      <c r="P122" s="23"/>
      <c r="Q122">
        <f>Table20[[#This Row],[Exit1]]*Table20[[#This Row],[ex1_price]]</f>
        <v>1.6</v>
      </c>
      <c r="R122">
        <f>Table20[[#This Row],[Exit2]]*Table20[[#This Row],[ex2_price]]</f>
        <v>0</v>
      </c>
      <c r="S122">
        <f>IFERROR((Table20[[#This Row],[ex2_amnt]]+Table20[[#This Row],[ex1_amnt]])/(Table20[[#This Row],[Exit2]]+Table20[[#This Row],[Exit1]]),0)</f>
        <v>0.8</v>
      </c>
      <c r="T122" s="5">
        <f>(Table20[[#This Row],[Exit1]]+Table20[[#This Row],[Exit2]])*(Table20[[#This Row],[avg_exit_price]]-Table20[[#This Row],[AvePrice]])*100*Table20[[#This Row],[Buy or Sell]]</f>
        <v>-509.99999999999994</v>
      </c>
      <c r="U122" s="5">
        <f>Table20[[#This Row],[Number of options]]*Table20[[#This Row],[AvePrice]]*100*Table20[[#This Row],[Buy or Sell]]</f>
        <v>670</v>
      </c>
      <c r="V122" s="8">
        <f>Table20[[#This Row],[Number of options]]-Table20[[#This Row],[Exit1]]-Table20[[#This Row],[Exit2]]</f>
        <v>0</v>
      </c>
      <c r="W122" s="30">
        <f ca="1">(Table20[[#This Row],[Expiration Date]]-TODAY())/365</f>
        <v>-1.5123287671232877</v>
      </c>
      <c r="X122" s="30" t="e">
        <f ca="1">(LN(Table20[[#This Row],[Current Price]]/Table20[[#This Row],[strike_price]]) + ($B$2 + (Table20[[#This Row],[Vol]]^2)/2)*Table20[[#This Row],[Time to expiration]]) / (Table20[[#This Row],[Vol]] * SQRT(Table20[[#This Row],[Time to expiration]]))</f>
        <v>#NUM!</v>
      </c>
      <c r="Y122" s="30" t="e">
        <f ca="1">IF(Table20[[#This Row],[Direction]]&gt;0, _xlfn.NORM.S.DIST(Table20[[#This Row],[d1]], TRUE), _xlfn.NORM.S.DIST(Table20[[#This Row],[d1]], TRUE) - 1) * Table20[[#This Row],[Buy or Sell]]</f>
        <v>#NUM!</v>
      </c>
      <c r="Z122" s="9">
        <f ca="1">Table20[[#This Row],[Remaining]]*Table20[[#This Row],[Current Price]]*100</f>
        <v>0</v>
      </c>
      <c r="AA122" s="22">
        <f ca="1">IFERROR(Table20[[#This Row],[nominal_exposure]]*Table20[[#This Row],[Delta]],0)</f>
        <v>0</v>
      </c>
      <c r="AB122" s="99" t="b">
        <f>IF(Table20[[#This Row],[date_purchased]]&lt;&gt;Table20[[#This Row],[Expiration Date]],FALSE,TRUE)</f>
        <v>0</v>
      </c>
      <c r="AC122" s="30" t="str">
        <f>VLOOKUP(Table20[[#This Row],[Asset]],Table19[#All],3,FALSE)</f>
        <v>Semiconductor</v>
      </c>
      <c r="AD122" s="4">
        <f>IF(Table20[[#This Row],[Remaining]]&lt;&gt;0,Table20[[#This Row],[Invested]]*Table20[[#This Row],[Remaining]]/Table20[[#This Row],[Number of options]],0)</f>
        <v>0</v>
      </c>
      <c r="AE122" s="30">
        <f ca="1">SUMIF(Table20[Ticker],Table20[[#This Row],[Ticker]],Table20[realized_profit])</f>
        <v>1055.92</v>
      </c>
      <c r="AF122" s="30" t="str">
        <f>VLOOKUP(Table20[[#This Row],[Strategy]],Table29[#All],7,FALSE)</f>
        <v>Bullish</v>
      </c>
    </row>
    <row r="123" spans="1:32" hidden="1">
      <c r="A123" s="118">
        <v>45513</v>
      </c>
      <c r="B123" s="21" t="e" vm="11">
        <v>#VALUE!</v>
      </c>
      <c r="C123" s="109" t="str" cm="1">
        <f t="array" aca="1" ref="C123" ca="1">_FV(Table20[[#This Row],[Asset]],"Ticker symbol",TRUE)</f>
        <v>AMZN</v>
      </c>
      <c r="D123" s="26" cm="1">
        <f t="array" aca="1" ref="D123" ca="1">_FV(Table20[[#This Row],[Asset]],"Price")</f>
        <v>212.15</v>
      </c>
      <c r="E123" s="26">
        <v>210</v>
      </c>
      <c r="F123" s="33">
        <v>2</v>
      </c>
      <c r="G123" s="34">
        <v>-1</v>
      </c>
      <c r="H123" s="111" t="s">
        <v>115</v>
      </c>
      <c r="I123" s="31">
        <v>45483</v>
      </c>
      <c r="J123" s="26">
        <v>4.3099999999999996</v>
      </c>
      <c r="K123" s="24">
        <v>0.47</v>
      </c>
      <c r="L123" s="33">
        <f>VLOOKUP(Table20[[#This Row],[Strategy]],Table29[#All],6,FALSE)</f>
        <v>1</v>
      </c>
      <c r="M123" s="23">
        <v>2</v>
      </c>
      <c r="N123" s="23">
        <v>0</v>
      </c>
      <c r="O123" s="23"/>
      <c r="P123" s="23"/>
      <c r="Q123">
        <f>Table20[[#This Row],[Exit1]]*Table20[[#This Row],[ex1_price]]</f>
        <v>0</v>
      </c>
      <c r="R123">
        <f>Table20[[#This Row],[Exit2]]*Table20[[#This Row],[ex2_price]]</f>
        <v>0</v>
      </c>
      <c r="S123">
        <f>IFERROR((Table20[[#This Row],[ex2_amnt]]+Table20[[#This Row],[ex1_amnt]])/(Table20[[#This Row],[Exit2]]+Table20[[#This Row],[Exit1]]),0)</f>
        <v>0</v>
      </c>
      <c r="T123" s="5">
        <f>(Table20[[#This Row],[Exit1]]+Table20[[#This Row],[Exit2]])*(Table20[[#This Row],[avg_exit_price]]-Table20[[#This Row],[AvePrice]])*100*Table20[[#This Row],[Buy or Sell]]</f>
        <v>861.99999999999989</v>
      </c>
      <c r="U123" s="5">
        <f>Table20[[#This Row],[Number of options]]*Table20[[#This Row],[AvePrice]]*100*Table20[[#This Row],[Buy or Sell]]</f>
        <v>-861.99999999999989</v>
      </c>
      <c r="V123" s="8">
        <f>Table20[[#This Row],[Number of options]]-Table20[[#This Row],[Exit1]]-Table20[[#This Row],[Exit2]]</f>
        <v>0</v>
      </c>
      <c r="W123" s="30">
        <f ca="1">(Table20[[#This Row],[Expiration Date]]-TODAY())/365</f>
        <v>-1.6273972602739726</v>
      </c>
      <c r="X123" s="30" t="e">
        <f ca="1">(LN(Table20[[#This Row],[Current Price]]/Table20[[#This Row],[strike_price]]) + ($B$2 + (Table20[[#This Row],[Vol]]^2)/2)*Table20[[#This Row],[Time to expiration]]) / (Table20[[#This Row],[Vol]] * SQRT(Table20[[#This Row],[Time to expiration]]))</f>
        <v>#NUM!</v>
      </c>
      <c r="Y123" s="30" t="e">
        <f ca="1">IF(Table20[[#This Row],[Direction]]&gt;0, _xlfn.NORM.S.DIST(Table20[[#This Row],[d1]], TRUE), _xlfn.NORM.S.DIST(Table20[[#This Row],[d1]], TRUE) - 1) * Table20[[#This Row],[Buy or Sell]]</f>
        <v>#NUM!</v>
      </c>
      <c r="Z123" s="9">
        <f ca="1">Table20[[#This Row],[Remaining]]*Table20[[#This Row],[Current Price]]*100</f>
        <v>0</v>
      </c>
      <c r="AA123" s="22">
        <f ca="1">IFERROR(Table20[[#This Row],[nominal_exposure]]*Table20[[#This Row],[Delta]],0)</f>
        <v>0</v>
      </c>
      <c r="AB123" s="99" t="b">
        <f>IF(Table20[[#This Row],[date_purchased]]&lt;&gt;Table20[[#This Row],[Expiration Date]],FALSE,TRUE)</f>
        <v>0</v>
      </c>
      <c r="AC123" s="30" t="str">
        <f>VLOOKUP(Table20[[#This Row],[Asset]],Table19[#All],3,FALSE)</f>
        <v>Robotics</v>
      </c>
      <c r="AD123" s="4">
        <f>IF(Table20[[#This Row],[Remaining]]&lt;&gt;0,Table20[[#This Row],[Invested]]*Table20[[#This Row],[Remaining]]/Table20[[#This Row],[Number of options]],0)</f>
        <v>0</v>
      </c>
      <c r="AE123" s="30">
        <f ca="1">SUMIF(Table20[Ticker],Table20[[#This Row],[Ticker]],Table20[realized_profit])</f>
        <v>-1350</v>
      </c>
      <c r="AF123" s="30" t="str">
        <f>VLOOKUP(Table20[[#This Row],[Strategy]],Table29[#All],7,FALSE)</f>
        <v>Bullish</v>
      </c>
    </row>
    <row r="124" spans="1:32" hidden="1">
      <c r="A124" s="35">
        <v>45555</v>
      </c>
      <c r="B124" s="21" t="e" vm="173">
        <v>#VALUE!</v>
      </c>
      <c r="C124" s="109" t="str" cm="1">
        <f t="array" aca="1" ref="C124" ca="1">_FV(Table20[[#This Row],[Asset]],"Ticker symbol",TRUE)</f>
        <v>SNOW</v>
      </c>
      <c r="D124" s="26" cm="1">
        <f t="array" aca="1" ref="D124" ca="1">_FV(Table20[[#This Row],[Asset]],"Price")</f>
        <v>160.82</v>
      </c>
      <c r="E124" s="26">
        <v>150</v>
      </c>
      <c r="F124" s="33">
        <v>1</v>
      </c>
      <c r="G124" s="34">
        <v>1</v>
      </c>
      <c r="H124" s="111" t="s">
        <v>113</v>
      </c>
      <c r="I124" s="31">
        <v>45483</v>
      </c>
      <c r="J124" s="26">
        <v>6.7</v>
      </c>
      <c r="K124" s="24">
        <v>0.48899999999999999</v>
      </c>
      <c r="L124" s="33">
        <f>VLOOKUP(Table20[[#This Row],[Strategy]],Table29[#All],6,FALSE)</f>
        <v>1</v>
      </c>
      <c r="M124" s="23">
        <v>1</v>
      </c>
      <c r="N124" s="23">
        <v>7.6</v>
      </c>
      <c r="O124" s="23"/>
      <c r="P124" s="23"/>
      <c r="Q124">
        <f>Table20[[#This Row],[Exit1]]*Table20[[#This Row],[ex1_price]]</f>
        <v>7.6</v>
      </c>
      <c r="R124">
        <f>Table20[[#This Row],[Exit2]]*Table20[[#This Row],[ex2_price]]</f>
        <v>0</v>
      </c>
      <c r="S124">
        <f>IFERROR((Table20[[#This Row],[ex2_amnt]]+Table20[[#This Row],[ex1_amnt]])/(Table20[[#This Row],[Exit2]]+Table20[[#This Row],[Exit1]]),0)</f>
        <v>7.6</v>
      </c>
      <c r="T124" s="5">
        <f>(Table20[[#This Row],[Exit1]]+Table20[[#This Row],[Exit2]])*(Table20[[#This Row],[avg_exit_price]]-Table20[[#This Row],[AvePrice]])*100*Table20[[#This Row],[Buy or Sell]]</f>
        <v>89.999999999999943</v>
      </c>
      <c r="U124" s="5">
        <f>Table20[[#This Row],[Number of options]]*Table20[[#This Row],[AvePrice]]*100*Table20[[#This Row],[Buy or Sell]]</f>
        <v>670</v>
      </c>
      <c r="V124" s="8">
        <f>Table20[[#This Row],[Number of options]]-Table20[[#This Row],[Exit1]]-Table20[[#This Row],[Exit2]]</f>
        <v>0</v>
      </c>
      <c r="W124" s="30">
        <f ca="1">(Table20[[#This Row],[Expiration Date]]-TODAY())/365</f>
        <v>-1.5123287671232877</v>
      </c>
      <c r="X124" s="30" t="e">
        <f ca="1">(LN(Table20[[#This Row],[Current Price]]/Table20[[#This Row],[strike_price]]) + ($B$2 + (Table20[[#This Row],[Vol]]^2)/2)*Table20[[#This Row],[Time to expiration]]) / (Table20[[#This Row],[Vol]] * SQRT(Table20[[#This Row],[Time to expiration]]))</f>
        <v>#NUM!</v>
      </c>
      <c r="Y124" s="30" t="e">
        <f ca="1">IF(Table20[[#This Row],[Direction]]&gt;0, _xlfn.NORM.S.DIST(Table20[[#This Row],[d1]], TRUE), _xlfn.NORM.S.DIST(Table20[[#This Row],[d1]], TRUE) - 1) * Table20[[#This Row],[Buy or Sell]]</f>
        <v>#NUM!</v>
      </c>
      <c r="Z124" s="9">
        <f ca="1">Table20[[#This Row],[Remaining]]*Table20[[#This Row],[Current Price]]*100</f>
        <v>0</v>
      </c>
      <c r="AA124" s="22">
        <f ca="1">IFERROR(Table20[[#This Row],[nominal_exposure]]*Table20[[#This Row],[Delta]],0)</f>
        <v>0</v>
      </c>
      <c r="AB124" s="95" t="b">
        <f>IF(Table20[[#This Row],[date_purchased]]&lt;&gt;Table20[[#This Row],[Expiration Date]],FALSE,TRUE)</f>
        <v>0</v>
      </c>
      <c r="AC124" s="30" t="str">
        <f>VLOOKUP(Table20[[#This Row],[Asset]],Table19[#All],3,FALSE)</f>
        <v>Technology</v>
      </c>
      <c r="AD124" s="4">
        <f>IF(Table20[[#This Row],[Remaining]]&lt;&gt;0,Table20[[#This Row],[Invested]]*Table20[[#This Row],[Remaining]]/Table20[[#This Row],[Number of options]],0)</f>
        <v>0</v>
      </c>
      <c r="AE124" s="30">
        <f ca="1">SUMIF(Table20[Ticker],Table20[[#This Row],[Ticker]],Table20[realized_profit])</f>
        <v>314</v>
      </c>
      <c r="AF124" s="30" t="str">
        <f>VLOOKUP(Table20[[#This Row],[Strategy]],Table29[#All],7,FALSE)</f>
        <v>Bullish</v>
      </c>
    </row>
    <row r="125" spans="1:32" hidden="1">
      <c r="A125" s="35">
        <v>45555</v>
      </c>
      <c r="B125" s="21" t="e" vm="34">
        <v>#VALUE!</v>
      </c>
      <c r="C125" s="109" t="str" cm="1">
        <f t="array" aca="1" ref="C125" ca="1">_FV(Table20[[#This Row],[Asset]],"Ticker symbol",TRUE)</f>
        <v>TSM</v>
      </c>
      <c r="D125" s="26" cm="1">
        <f t="array" aca="1" ref="D125" ca="1">_FV(Table20[[#This Row],[Asset]],"Price")</f>
        <v>348.52499999999998</v>
      </c>
      <c r="E125" s="26">
        <v>210</v>
      </c>
      <c r="F125" s="33">
        <v>2</v>
      </c>
      <c r="G125" s="34">
        <v>1</v>
      </c>
      <c r="H125" s="111" t="s">
        <v>115</v>
      </c>
      <c r="I125" s="31">
        <v>45478</v>
      </c>
      <c r="J125" s="26">
        <v>5.61</v>
      </c>
      <c r="K125" s="24">
        <v>0.4128</v>
      </c>
      <c r="L125" s="33">
        <f>VLOOKUP(Table20[[#This Row],[Strategy]],Table29[#All],6,FALSE)</f>
        <v>1</v>
      </c>
      <c r="M125" s="23">
        <v>2</v>
      </c>
      <c r="N125" s="23">
        <v>0</v>
      </c>
      <c r="O125" s="23"/>
      <c r="P125" s="23"/>
      <c r="Q125">
        <f>Table20[[#This Row],[Exit1]]*Table20[[#This Row],[ex1_price]]</f>
        <v>0</v>
      </c>
      <c r="R125">
        <f>Table20[[#This Row],[Exit2]]*Table20[[#This Row],[ex2_price]]</f>
        <v>0</v>
      </c>
      <c r="S125">
        <f>IFERROR((Table20[[#This Row],[ex2_amnt]]+Table20[[#This Row],[ex1_amnt]])/(Table20[[#This Row],[Exit2]]+Table20[[#This Row],[Exit1]]),0)</f>
        <v>0</v>
      </c>
      <c r="T125" s="5">
        <f>(Table20[[#This Row],[Exit1]]+Table20[[#This Row],[Exit2]])*(Table20[[#This Row],[avg_exit_price]]-Table20[[#This Row],[AvePrice]])*100*Table20[[#This Row],[Buy or Sell]]</f>
        <v>-1122</v>
      </c>
      <c r="U125" s="5">
        <f>Table20[[#This Row],[Number of options]]*Table20[[#This Row],[AvePrice]]*100*Table20[[#This Row],[Buy or Sell]]</f>
        <v>1122</v>
      </c>
      <c r="V125" s="8">
        <f>Table20[[#This Row],[Number of options]]-Table20[[#This Row],[Exit1]]-Table20[[#This Row],[Exit2]]</f>
        <v>0</v>
      </c>
      <c r="W125" s="30">
        <f ca="1">(Table20[[#This Row],[Expiration Date]]-TODAY())/365</f>
        <v>-1.5123287671232877</v>
      </c>
      <c r="X125" s="30" t="e">
        <f ca="1">(LN(Table20[[#This Row],[Current Price]]/Table20[[#This Row],[strike_price]]) + ($B$2 + (Table20[[#This Row],[Vol]]^2)/2)*Table20[[#This Row],[Time to expiration]]) / (Table20[[#This Row],[Vol]] * SQRT(Table20[[#This Row],[Time to expiration]]))</f>
        <v>#NUM!</v>
      </c>
      <c r="Y125" s="30" t="e">
        <f ca="1">IF(Table20[[#This Row],[Direction]]&gt;0, _xlfn.NORM.S.DIST(Table20[[#This Row],[d1]], TRUE), _xlfn.NORM.S.DIST(Table20[[#This Row],[d1]], TRUE) - 1) * Table20[[#This Row],[Buy or Sell]]</f>
        <v>#NUM!</v>
      </c>
      <c r="Z125" s="9">
        <f ca="1">Table20[[#This Row],[Remaining]]*Table20[[#This Row],[Current Price]]*100</f>
        <v>0</v>
      </c>
      <c r="AA125" s="22">
        <f ca="1">IFERROR(Table20[[#This Row],[nominal_exposure]]*Table20[[#This Row],[Delta]],0)</f>
        <v>0</v>
      </c>
      <c r="AB125" s="99" t="b">
        <f>IF(Table20[[#This Row],[date_purchased]]&lt;&gt;Table20[[#This Row],[Expiration Date]],FALSE,TRUE)</f>
        <v>0</v>
      </c>
      <c r="AC125" s="30" t="str">
        <f>VLOOKUP(Table20[[#This Row],[Asset]],Table19[#All],3,FALSE)</f>
        <v>AI</v>
      </c>
      <c r="AD125" s="4">
        <f>IF(Table20[[#This Row],[Remaining]]&lt;&gt;0,Table20[[#This Row],[Invested]]*Table20[[#This Row],[Remaining]]/Table20[[#This Row],[Number of options]],0)</f>
        <v>0</v>
      </c>
      <c r="AE125" s="30">
        <f ca="1">SUMIF(Table20[Ticker],Table20[[#This Row],[Ticker]],Table20[realized_profit])</f>
        <v>-444.99999999999977</v>
      </c>
      <c r="AF125" s="30" t="str">
        <f>VLOOKUP(Table20[[#This Row],[Strategy]],Table29[#All],7,FALSE)</f>
        <v>Bullish</v>
      </c>
    </row>
    <row r="126" spans="1:32" hidden="1">
      <c r="A126" s="35">
        <v>45520</v>
      </c>
      <c r="B126" s="21" t="e" vm="337">
        <v>#VALUE!</v>
      </c>
      <c r="C126" s="109" t="str" cm="1">
        <f t="array" aca="1" ref="C126" ca="1">_FV(Table20[[#This Row],[Asset]],"Ticker symbol",TRUE)</f>
        <v>PODD</v>
      </c>
      <c r="D126" s="26" cm="1">
        <f t="array" aca="1" ref="D126" ca="1">_FV(Table20[[#This Row],[Asset]],"Price")</f>
        <v>221.38499999999999</v>
      </c>
      <c r="E126" s="26">
        <v>165</v>
      </c>
      <c r="F126" s="33">
        <v>2</v>
      </c>
      <c r="G126" s="34">
        <v>1</v>
      </c>
      <c r="H126" s="111" t="s">
        <v>65</v>
      </c>
      <c r="I126" s="31">
        <v>45467</v>
      </c>
      <c r="J126" s="26">
        <v>1.5</v>
      </c>
      <c r="K126" s="24">
        <v>0.59840000000000004</v>
      </c>
      <c r="L126" s="33">
        <f>VLOOKUP(Table20[[#This Row],[Strategy]],Table29[#All],6,FALSE)</f>
        <v>-1</v>
      </c>
      <c r="M126" s="23">
        <v>2</v>
      </c>
      <c r="N126" s="23">
        <v>3</v>
      </c>
      <c r="O126" s="23"/>
      <c r="P126" s="23"/>
      <c r="Q126">
        <f>Table20[[#This Row],[Exit1]]*Table20[[#This Row],[ex1_price]]</f>
        <v>6</v>
      </c>
      <c r="R126">
        <f>Table20[[#This Row],[Exit2]]*Table20[[#This Row],[ex2_price]]</f>
        <v>0</v>
      </c>
      <c r="S126">
        <f>IFERROR((Table20[[#This Row],[ex2_amnt]]+Table20[[#This Row],[ex1_amnt]])/(Table20[[#This Row],[Exit2]]+Table20[[#This Row],[Exit1]]),0)</f>
        <v>3</v>
      </c>
      <c r="T126" s="5">
        <f>(Table20[[#This Row],[Exit1]]+Table20[[#This Row],[Exit2]])*(Table20[[#This Row],[avg_exit_price]]-Table20[[#This Row],[AvePrice]])*100*Table20[[#This Row],[Buy or Sell]]</f>
        <v>300</v>
      </c>
      <c r="U126" s="5">
        <f>Table20[[#This Row],[Number of options]]*Table20[[#This Row],[AvePrice]]*100*Table20[[#This Row],[Buy or Sell]]</f>
        <v>300</v>
      </c>
      <c r="V126" s="8">
        <f>Table20[[#This Row],[Number of options]]-Table20[[#This Row],[Exit1]]-Table20[[#This Row],[Exit2]]</f>
        <v>0</v>
      </c>
      <c r="W126" s="30">
        <f ca="1">(Table20[[#This Row],[Expiration Date]]-TODAY())/365</f>
        <v>-1.6082191780821917</v>
      </c>
      <c r="X126" s="30" t="e">
        <f ca="1">(LN(Table20[[#This Row],[Current Price]]/Table20[[#This Row],[strike_price]]) + ($B$2 + (Table20[[#This Row],[Vol]]^2)/2)*Table20[[#This Row],[Time to expiration]]) / (Table20[[#This Row],[Vol]] * SQRT(Table20[[#This Row],[Time to expiration]]))</f>
        <v>#NUM!</v>
      </c>
      <c r="Y126" s="30" t="e">
        <f ca="1">IF(Table20[[#This Row],[Direction]]&gt;0, _xlfn.NORM.S.DIST(Table20[[#This Row],[d1]], TRUE), _xlfn.NORM.S.DIST(Table20[[#This Row],[d1]], TRUE) - 1) * Table20[[#This Row],[Buy or Sell]]</f>
        <v>#NUM!</v>
      </c>
      <c r="Z126" s="9">
        <f ca="1">Table20[[#This Row],[Remaining]]*Table20[[#This Row],[Current Price]]*100</f>
        <v>0</v>
      </c>
      <c r="AA126" s="22">
        <f ca="1">IFERROR(Table20[[#This Row],[nominal_exposure]]*Table20[[#This Row],[Delta]],0)</f>
        <v>0</v>
      </c>
      <c r="AB126" s="99" t="b">
        <f>IF(Table20[[#This Row],[date_purchased]]&lt;&gt;Table20[[#This Row],[Expiration Date]],FALSE,TRUE)</f>
        <v>0</v>
      </c>
      <c r="AC126" s="30" t="str">
        <f>VLOOKUP(Table20[[#This Row],[Asset]],Table19[#All],3,FALSE)</f>
        <v>Health Care</v>
      </c>
      <c r="AD126" s="30">
        <f>IF(Table20[[#This Row],[Remaining]]&lt;&gt;0,Table20[[#This Row],[Invested]]*Table20[[#This Row],[Remaining]]/Table20[[#This Row],[Number of options]],0)</f>
        <v>0</v>
      </c>
      <c r="AE126" s="30">
        <f ca="1">SUMIF(Table20[Ticker],Table20[[#This Row],[Ticker]],Table20[realized_profit])</f>
        <v>300</v>
      </c>
      <c r="AF126" s="30" t="str">
        <f>VLOOKUP(Table20[[#This Row],[Strategy]],Table29[#All],7,FALSE)</f>
        <v>Bearish</v>
      </c>
    </row>
    <row r="127" spans="1:32" hidden="1">
      <c r="A127" s="118">
        <v>45513</v>
      </c>
      <c r="B127" s="21" t="e" vm="173">
        <v>#VALUE!</v>
      </c>
      <c r="C127" s="109" t="str" cm="1">
        <f t="array" aca="1" ref="C127" ca="1">_FV(Table20[[#This Row],[Asset]],"Ticker symbol",TRUE)</f>
        <v>SNOW</v>
      </c>
      <c r="D127" s="26" cm="1">
        <f t="array" aca="1" ref="D127" ca="1">_FV(Table20[[#This Row],[Asset]],"Price")</f>
        <v>160.82</v>
      </c>
      <c r="E127" s="26">
        <v>140</v>
      </c>
      <c r="F127" s="33">
        <v>1</v>
      </c>
      <c r="G127" s="34">
        <v>-1</v>
      </c>
      <c r="H127" s="111" t="s">
        <v>115</v>
      </c>
      <c r="I127" s="31">
        <v>45496</v>
      </c>
      <c r="J127" s="26">
        <v>2.27</v>
      </c>
      <c r="K127" s="24">
        <v>0.45140000000000002</v>
      </c>
      <c r="L127" s="33">
        <f>VLOOKUP(Table20[[#This Row],[Strategy]],Table29[#All],6,FALSE)</f>
        <v>1</v>
      </c>
      <c r="M127" s="23">
        <v>1</v>
      </c>
      <c r="N127" s="23">
        <v>0</v>
      </c>
      <c r="O127" s="23"/>
      <c r="P127" s="23"/>
      <c r="Q127">
        <f>Table20[[#This Row],[Exit1]]*Table20[[#This Row],[ex1_price]]</f>
        <v>0</v>
      </c>
      <c r="R127">
        <f>Table20[[#This Row],[Exit2]]*Table20[[#This Row],[ex2_price]]</f>
        <v>0</v>
      </c>
      <c r="S127">
        <f>IFERROR((Table20[[#This Row],[ex2_amnt]]+Table20[[#This Row],[ex1_amnt]])/(Table20[[#This Row],[Exit2]]+Table20[[#This Row],[Exit1]]),0)</f>
        <v>0</v>
      </c>
      <c r="T127" s="5">
        <f>(Table20[[#This Row],[Exit1]]+Table20[[#This Row],[Exit2]])*(Table20[[#This Row],[avg_exit_price]]-Table20[[#This Row],[AvePrice]])*100*Table20[[#This Row],[Buy or Sell]]</f>
        <v>227</v>
      </c>
      <c r="U127" s="5">
        <f>Table20[[#This Row],[Number of options]]*Table20[[#This Row],[AvePrice]]*100*Table20[[#This Row],[Buy or Sell]]</f>
        <v>-227</v>
      </c>
      <c r="V127" s="8">
        <f>Table20[[#This Row],[Number of options]]-Table20[[#This Row],[Exit1]]-Table20[[#This Row],[Exit2]]</f>
        <v>0</v>
      </c>
      <c r="W127" s="30">
        <f ca="1">(Table20[[#This Row],[Expiration Date]]-TODAY())/365</f>
        <v>-1.6273972602739726</v>
      </c>
      <c r="X127" s="30" t="e">
        <f ca="1">(LN(Table20[[#This Row],[Current Price]]/Table20[[#This Row],[strike_price]]) + ($B$2 + (Table20[[#This Row],[Vol]]^2)/2)*Table20[[#This Row],[Time to expiration]]) / (Table20[[#This Row],[Vol]] * SQRT(Table20[[#This Row],[Time to expiration]]))</f>
        <v>#NUM!</v>
      </c>
      <c r="Y127" s="30" t="e">
        <f ca="1">IF(Table20[[#This Row],[Direction]]&gt;0, _xlfn.NORM.S.DIST(Table20[[#This Row],[d1]], TRUE), _xlfn.NORM.S.DIST(Table20[[#This Row],[d1]], TRUE) - 1) * Table20[[#This Row],[Buy or Sell]]</f>
        <v>#NUM!</v>
      </c>
      <c r="Z127" s="9">
        <f ca="1">Table20[[#This Row],[Remaining]]*Table20[[#This Row],[Current Price]]*100</f>
        <v>0</v>
      </c>
      <c r="AA127" s="22">
        <f ca="1">IFERROR(Table20[[#This Row],[nominal_exposure]]*Table20[[#This Row],[Delta]],0)</f>
        <v>0</v>
      </c>
      <c r="AB127" s="30" t="b">
        <f>IF(Table20[[#This Row],[date_purchased]]&lt;&gt;Table20[[#This Row],[Expiration Date]],FALSE,TRUE)</f>
        <v>0</v>
      </c>
      <c r="AC127" s="30" t="str">
        <f>VLOOKUP(Table20[[#This Row],[Asset]],Table19[#All],3,FALSE)</f>
        <v>Technology</v>
      </c>
      <c r="AD127" s="4">
        <f>IF(Table20[[#This Row],[Remaining]]&lt;&gt;0,Table20[[#This Row],[Invested]]*Table20[[#This Row],[Remaining]]/Table20[[#This Row],[Number of options]],0)</f>
        <v>0</v>
      </c>
      <c r="AE127" s="30">
        <f ca="1">SUMIF(Table20[Ticker],Table20[[#This Row],[Ticker]],Table20[realized_profit])</f>
        <v>314</v>
      </c>
      <c r="AF127" s="30" t="str">
        <f>VLOOKUP(Table20[[#This Row],[Strategy]],Table29[#All],7,FALSE)</f>
        <v>Bullish</v>
      </c>
    </row>
    <row r="128" spans="1:32" hidden="1">
      <c r="A128" s="35">
        <v>45674</v>
      </c>
      <c r="B128" s="21" t="e" vm="151">
        <v>#VALUE!</v>
      </c>
      <c r="C128" s="109" t="str" cm="1">
        <f t="array" aca="1" ref="C128" ca="1">_FV(Table20[[#This Row],[Asset]],"Ticker symbol",TRUE)</f>
        <v>TLT</v>
      </c>
      <c r="D128" s="26" cm="1">
        <f t="array" aca="1" ref="D128" ca="1">_FV(Table20[[#This Row],[Asset]],"Price")</f>
        <v>86.743499999999997</v>
      </c>
      <c r="E128" s="26">
        <v>100</v>
      </c>
      <c r="F128" s="33">
        <v>5</v>
      </c>
      <c r="G128" s="34">
        <v>1</v>
      </c>
      <c r="H128" s="110" t="s">
        <v>113</v>
      </c>
      <c r="I128" s="31">
        <v>45447</v>
      </c>
      <c r="J128" s="26">
        <v>1.55</v>
      </c>
      <c r="K128" s="24">
        <v>0.1434</v>
      </c>
      <c r="L128" s="33">
        <f>VLOOKUP(Table20[[#This Row],[Strategy]],Table29[#All],6,FALSE)</f>
        <v>1</v>
      </c>
      <c r="M128" s="23">
        <v>5</v>
      </c>
      <c r="N128" s="23">
        <v>1.6</v>
      </c>
      <c r="O128" s="23"/>
      <c r="P128" s="23"/>
      <c r="Q128">
        <f>Table20[[#This Row],[Exit1]]*Table20[[#This Row],[ex1_price]]</f>
        <v>8</v>
      </c>
      <c r="R128">
        <f>Table20[[#This Row],[Exit2]]*Table20[[#This Row],[ex2_price]]</f>
        <v>0</v>
      </c>
      <c r="S128">
        <f>IFERROR((Table20[[#This Row],[ex2_amnt]]+Table20[[#This Row],[ex1_amnt]])/(Table20[[#This Row],[Exit2]]+Table20[[#This Row],[Exit1]]),0)</f>
        <v>1.6</v>
      </c>
      <c r="T128" s="5">
        <f>(Table20[[#This Row],[Exit1]]+Table20[[#This Row],[Exit2]])*(Table20[[#This Row],[avg_exit_price]]-Table20[[#This Row],[AvePrice]])*100*Table20[[#This Row],[Buy or Sell]]</f>
        <v>25.000000000000021</v>
      </c>
      <c r="U128" s="5">
        <f>Table20[[#This Row],[Number of options]]*Table20[[#This Row],[AvePrice]]*100*Table20[[#This Row],[Buy or Sell]]</f>
        <v>775</v>
      </c>
      <c r="V128" s="8">
        <f>Table20[[#This Row],[Number of options]]-Table20[[#This Row],[Exit1]]-Table20[[#This Row],[Exit2]]</f>
        <v>0</v>
      </c>
      <c r="W128" s="30">
        <f ca="1">(Table20[[#This Row],[Expiration Date]]-TODAY())/365</f>
        <v>-1.1863013698630136</v>
      </c>
      <c r="X128" s="30" t="e">
        <f ca="1">(LN(Table20[[#This Row],[Current Price]]/Table20[[#This Row],[strike_price]]) + ($B$2 + (Table20[[#This Row],[Vol]]^2)/2)*Table20[[#This Row],[Time to expiration]]) / (Table20[[#This Row],[Vol]] * SQRT(Table20[[#This Row],[Time to expiration]]))</f>
        <v>#NUM!</v>
      </c>
      <c r="Y128" s="30" t="e">
        <f ca="1">IF(Table20[[#This Row],[Direction]]&gt;0, _xlfn.NORM.S.DIST(Table20[[#This Row],[d1]], TRUE), _xlfn.NORM.S.DIST(Table20[[#This Row],[d1]], TRUE) - 1) * Table20[[#This Row],[Buy or Sell]]</f>
        <v>#NUM!</v>
      </c>
      <c r="Z128" s="9">
        <f ca="1">Table20[[#This Row],[Remaining]]*Table20[[#This Row],[Current Price]]*100</f>
        <v>0</v>
      </c>
      <c r="AA128" s="22">
        <f ca="1">IFERROR(Table20[[#This Row],[nominal_exposure]]*Table20[[#This Row],[Delta]],0)</f>
        <v>0</v>
      </c>
      <c r="AB128" s="99" t="b">
        <f>IF(Table20[[#This Row],[date_purchased]]&lt;&gt;Table20[[#This Row],[Expiration Date]],FALSE,TRUE)</f>
        <v>0</v>
      </c>
      <c r="AC128" s="30" t="str">
        <f>VLOOKUP(Table20[[#This Row],[Asset]],Table19[#All],3,FALSE)</f>
        <v>Market</v>
      </c>
      <c r="AD128" s="30">
        <f>IF(Table20[[#This Row],[Remaining]]&lt;&gt;0,Table20[[#This Row],[Invested]]*Table20[[#This Row],[Remaining]]/Table20[[#This Row],[Number of options]],0)</f>
        <v>0</v>
      </c>
      <c r="AE128" s="30">
        <f ca="1">SUMIF(Table20[Ticker],Table20[[#This Row],[Ticker]],Table20[realized_profit])</f>
        <v>-3328.3599999999997</v>
      </c>
      <c r="AF128" s="30" t="str">
        <f>VLOOKUP(Table20[[#This Row],[Strategy]],Table29[#All],7,FALSE)</f>
        <v>Bullish</v>
      </c>
    </row>
    <row r="129" spans="1:32" hidden="1">
      <c r="A129" s="35">
        <v>45499</v>
      </c>
      <c r="B129" s="21" t="e" vm="32">
        <v>#VALUE!</v>
      </c>
      <c r="C129" s="109" t="str" cm="1">
        <f t="array" aca="1" ref="C129" ca="1">_FV(Table20[[#This Row],[Asset]],"Ticker symbol",TRUE)</f>
        <v>MU</v>
      </c>
      <c r="D129" s="26" cm="1">
        <f t="array" aca="1" ref="D129" ca="1">_FV(Table20[[#This Row],[Asset]],"Price")</f>
        <v>381.57</v>
      </c>
      <c r="E129" s="26">
        <v>115</v>
      </c>
      <c r="F129" s="33">
        <v>2</v>
      </c>
      <c r="G129" s="34">
        <v>1</v>
      </c>
      <c r="H129" s="113" t="s">
        <v>113</v>
      </c>
      <c r="I129" s="31">
        <v>45497</v>
      </c>
      <c r="J129" s="26">
        <v>0.69</v>
      </c>
      <c r="K129" s="24">
        <v>0.53</v>
      </c>
      <c r="L129" s="33">
        <f>VLOOKUP(Table20[[#This Row],[Strategy]],Table29[#All],6,FALSE)</f>
        <v>1</v>
      </c>
      <c r="M129" s="23">
        <v>2</v>
      </c>
      <c r="N129" s="23">
        <v>0.68</v>
      </c>
      <c r="O129" s="23"/>
      <c r="P129" s="23"/>
      <c r="Q129">
        <f>Table20[[#This Row],[Exit1]]*Table20[[#This Row],[ex1_price]]</f>
        <v>1.36</v>
      </c>
      <c r="R129">
        <f>Table20[[#This Row],[Exit2]]*Table20[[#This Row],[ex2_price]]</f>
        <v>0</v>
      </c>
      <c r="S129">
        <f>IFERROR((Table20[[#This Row],[ex2_amnt]]+Table20[[#This Row],[ex1_amnt]])/(Table20[[#This Row],[Exit2]]+Table20[[#This Row],[Exit1]]),0)</f>
        <v>0.68</v>
      </c>
      <c r="T129" s="5">
        <f>(Table20[[#This Row],[Exit1]]+Table20[[#This Row],[Exit2]])*(Table20[[#This Row],[avg_exit_price]]-Table20[[#This Row],[AvePrice]])*100*Table20[[#This Row],[Buy or Sell]]</f>
        <v>-1.9999999999999796</v>
      </c>
      <c r="U129" s="5">
        <f>Table20[[#This Row],[Number of options]]*Table20[[#This Row],[AvePrice]]*100*Table20[[#This Row],[Buy or Sell]]</f>
        <v>138</v>
      </c>
      <c r="V129" s="8">
        <f>Table20[[#This Row],[Number of options]]-Table20[[#This Row],[Exit1]]-Table20[[#This Row],[Exit2]]</f>
        <v>0</v>
      </c>
      <c r="W129" s="30">
        <f ca="1">(Table20[[#This Row],[Expiration Date]]-TODAY())/365</f>
        <v>-1.6657534246575343</v>
      </c>
      <c r="X129" s="30" t="e">
        <f ca="1">(LN(Table20[[#This Row],[Current Price]]/Table20[[#This Row],[strike_price]]) + ($B$2 + (Table20[[#This Row],[Vol]]^2)/2)*Table20[[#This Row],[Time to expiration]]) / (Table20[[#This Row],[Vol]] * SQRT(Table20[[#This Row],[Time to expiration]]))</f>
        <v>#NUM!</v>
      </c>
      <c r="Y129" s="30" t="e">
        <f ca="1">IF(Table20[[#This Row],[Direction]]&gt;0, _xlfn.NORM.S.DIST(Table20[[#This Row],[d1]], TRUE), _xlfn.NORM.S.DIST(Table20[[#This Row],[d1]], TRUE) - 1) * Table20[[#This Row],[Buy or Sell]]</f>
        <v>#NUM!</v>
      </c>
      <c r="Z129" s="9">
        <f ca="1">Table20[[#This Row],[Remaining]]*Table20[[#This Row],[Current Price]]*100</f>
        <v>0</v>
      </c>
      <c r="AA129" s="22">
        <f ca="1">IFERROR(Table20[[#This Row],[nominal_exposure]]*Table20[[#This Row],[Delta]],0)</f>
        <v>0</v>
      </c>
      <c r="AB129" s="30" t="b">
        <f>IF(Table20[[#This Row],[date_purchased]]&lt;&gt;Table20[[#This Row],[Expiration Date]],FALSE,TRUE)</f>
        <v>0</v>
      </c>
      <c r="AC129" s="30" t="str">
        <f>VLOOKUP(Table20[[#This Row],[Asset]],Table19[#All],3,FALSE)</f>
        <v>AI</v>
      </c>
      <c r="AD129" s="30">
        <f>IF(Table20[[#This Row],[Remaining]]&lt;&gt;0,Table20[[#This Row],[Invested]]*Table20[[#This Row],[Remaining]]/Table20[[#This Row],[Number of options]],0)</f>
        <v>0</v>
      </c>
      <c r="AE129" s="30">
        <f ca="1">SUMIF(Table20[Ticker],Table20[[#This Row],[Ticker]],Table20[realized_profit])</f>
        <v>-4181</v>
      </c>
      <c r="AF129" s="30" t="str">
        <f>VLOOKUP(Table20[[#This Row],[Strategy]],Table29[#All],7,FALSE)</f>
        <v>Bullish</v>
      </c>
    </row>
    <row r="130" spans="1:32" hidden="1">
      <c r="A130" s="180">
        <v>45625</v>
      </c>
      <c r="B130" s="21" t="e" vm="96">
        <v>#VALUE!</v>
      </c>
      <c r="C130" s="109" t="str" cm="1">
        <f t="array" aca="1" ref="C130" ca="1">_FV(Table20[[#This Row],[Asset]],"Ticker symbol",TRUE)</f>
        <v>SPY</v>
      </c>
      <c r="D130" s="26" cm="1">
        <f t="array" aca="1" ref="D130" ca="1">_FV(Table20[[#This Row],[Asset]],"Price")</f>
        <v>658.59</v>
      </c>
      <c r="E130" s="26">
        <v>550</v>
      </c>
      <c r="F130" s="33">
        <v>2</v>
      </c>
      <c r="G130" s="34">
        <v>-1</v>
      </c>
      <c r="H130" s="34" t="s">
        <v>161</v>
      </c>
      <c r="I130" s="31">
        <v>45614</v>
      </c>
      <c r="J130" s="26">
        <v>0.36</v>
      </c>
      <c r="K130" s="24"/>
      <c r="L130" s="33">
        <f>VLOOKUP(Table20[[#This Row],[Strategy]],Table29[#All],6,FALSE)</f>
        <v>-1</v>
      </c>
      <c r="M130" s="23">
        <v>2</v>
      </c>
      <c r="N130" s="23">
        <v>0.06</v>
      </c>
      <c r="O130" s="23"/>
      <c r="P130" s="23"/>
      <c r="Q130">
        <f>Table20[[#This Row],[Exit1]]*Table20[[#This Row],[ex1_price]]</f>
        <v>0.12</v>
      </c>
      <c r="R130">
        <f>Table20[[#This Row],[Exit2]]*Table20[[#This Row],[ex2_price]]</f>
        <v>0</v>
      </c>
      <c r="S130">
        <f>IFERROR((Table20[[#This Row],[ex2_amnt]]+Table20[[#This Row],[ex1_amnt]])/(Table20[[#This Row],[Exit2]]+Table20[[#This Row],[Exit1]]),0)</f>
        <v>0.06</v>
      </c>
      <c r="T130" s="5">
        <f>(Table20[[#This Row],[Exit1]]+Table20[[#This Row],[Exit2]])*(Table20[[#This Row],[avg_exit_price]]-Table20[[#This Row],[AvePrice]])*100*Table20[[#This Row],[Buy or Sell]]</f>
        <v>60</v>
      </c>
      <c r="U130" s="5">
        <f>Table20[[#This Row],[Number of options]]*Table20[[#This Row],[AvePrice]]*100*Table20[[#This Row],[Buy or Sell]]</f>
        <v>-72</v>
      </c>
      <c r="V130" s="8">
        <f>Table20[[#This Row],[Number of options]]-Table20[[#This Row],[Exit1]]-Table20[[#This Row],[Exit2]]</f>
        <v>0</v>
      </c>
      <c r="W130" s="30">
        <f ca="1">(Table20[[#This Row],[Expiration Date]]-TODAY())/365</f>
        <v>-1.3205479452054794</v>
      </c>
      <c r="X130" s="30" t="e">
        <f ca="1">(LN(Table20[[#This Row],[Current Price]]/Table20[[#This Row],[strike_price]]) + ($B$2 + (Table20[[#This Row],[Vol]]^2)/2)*Table20[[#This Row],[Time to expiration]]) / (Table20[[#This Row],[Vol]] * SQRT(Table20[[#This Row],[Time to expiration]]))</f>
        <v>#NUM!</v>
      </c>
      <c r="Y130" s="30" t="e">
        <f ca="1">IF(Table20[[#This Row],[Direction]]&gt;0, _xlfn.NORM.S.DIST(Table20[[#This Row],[d1]], TRUE), _xlfn.NORM.S.DIST(Table20[[#This Row],[d1]], TRUE) - 1) * Table20[[#This Row],[Buy or Sell]]</f>
        <v>#NUM!</v>
      </c>
      <c r="Z130" s="9">
        <f ca="1">Table20[[#This Row],[Remaining]]*Table20[[#This Row],[Current Price]]*100</f>
        <v>0</v>
      </c>
      <c r="AA130" s="22">
        <f ca="1">IFERROR(Table20[[#This Row],[nominal_exposure]]*Table20[[#This Row],[Delta]],0)</f>
        <v>0</v>
      </c>
      <c r="AB130" s="30" t="b">
        <f>IF(Table20[[#This Row],[date_purchased]]&lt;&gt;Table20[[#This Row],[Expiration Date]],FALSE,TRUE)</f>
        <v>0</v>
      </c>
      <c r="AC130" s="30" t="str">
        <f>VLOOKUP(Table20[[#This Row],[Asset]],Table19[#All],3,FALSE)</f>
        <v>Market</v>
      </c>
      <c r="AD130" s="30">
        <f>IF(Table20[[#This Row],[Remaining]]&lt;&gt;0,Table20[[#This Row],[Invested]]*Table20[[#This Row],[Remaining]]/Table20[[#This Row],[Number of options]],0)</f>
        <v>0</v>
      </c>
      <c r="AE130" s="30">
        <f ca="1">SUMIF(Table20[Ticker],Table20[[#This Row],[Ticker]],Table20[realized_profit])</f>
        <v>-5077</v>
      </c>
      <c r="AF130" s="30" t="str">
        <f>VLOOKUP(Table20[[#This Row],[Strategy]],Table29[#All],7,FALSE)</f>
        <v>Bearish</v>
      </c>
    </row>
    <row r="131" spans="1:32" hidden="1">
      <c r="A131" s="35">
        <v>45506</v>
      </c>
      <c r="B131" s="21" t="e" vm="24">
        <v>#VALUE!</v>
      </c>
      <c r="C131" s="109" t="str" cm="1">
        <f t="array" aca="1" ref="C131" ca="1">_FV(Table20[[#This Row],[Asset]],"Ticker symbol",TRUE)</f>
        <v>QCOM</v>
      </c>
      <c r="D131" s="26" cm="1">
        <f t="array" aca="1" ref="D131" ca="1">_FV(Table20[[#This Row],[Asset]],"Price")</f>
        <v>131.63499999999999</v>
      </c>
      <c r="E131" s="26">
        <v>220</v>
      </c>
      <c r="F131" s="33">
        <v>2</v>
      </c>
      <c r="G131" s="34">
        <v>-1</v>
      </c>
      <c r="H131" s="112" t="s">
        <v>115</v>
      </c>
      <c r="I131" s="31">
        <v>45485</v>
      </c>
      <c r="J131" s="26">
        <v>4.1100000000000003</v>
      </c>
      <c r="K131" s="24">
        <v>0.36</v>
      </c>
      <c r="L131" s="33">
        <f>VLOOKUP(Table20[[#This Row],[Strategy]],Table29[#All],6,FALSE)</f>
        <v>1</v>
      </c>
      <c r="M131" s="23">
        <v>2</v>
      </c>
      <c r="N131" s="23">
        <v>0.61</v>
      </c>
      <c r="O131" s="23"/>
      <c r="P131" s="23"/>
      <c r="Q131">
        <f>Table20[[#This Row],[Exit1]]*Table20[[#This Row],[ex1_price]]</f>
        <v>1.22</v>
      </c>
      <c r="R131">
        <f>Table20[[#This Row],[Exit2]]*Table20[[#This Row],[ex2_price]]</f>
        <v>0</v>
      </c>
      <c r="S131">
        <f>IFERROR((Table20[[#This Row],[ex2_amnt]]+Table20[[#This Row],[ex1_amnt]])/(Table20[[#This Row],[Exit2]]+Table20[[#This Row],[Exit1]]),0)</f>
        <v>0.61</v>
      </c>
      <c r="T131" s="5">
        <f>(Table20[[#This Row],[Exit1]]+Table20[[#This Row],[Exit2]])*(Table20[[#This Row],[avg_exit_price]]-Table20[[#This Row],[AvePrice]])*100*Table20[[#This Row],[Buy or Sell]]</f>
        <v>700.00000000000011</v>
      </c>
      <c r="U131" s="5">
        <f>Table20[[#This Row],[Number of options]]*Table20[[#This Row],[AvePrice]]*100*Table20[[#This Row],[Buy or Sell]]</f>
        <v>-822.00000000000011</v>
      </c>
      <c r="V131" s="8">
        <f>Table20[[#This Row],[Number of options]]-Table20[[#This Row],[Exit1]]-Table20[[#This Row],[Exit2]]</f>
        <v>0</v>
      </c>
      <c r="W131" s="30">
        <f ca="1">(Table20[[#This Row],[Expiration Date]]-TODAY())/365</f>
        <v>-1.6465753424657534</v>
      </c>
      <c r="X131" s="30" t="e">
        <f ca="1">(LN(Table20[[#This Row],[Current Price]]/Table20[[#This Row],[strike_price]]) + ($B$2 + (Table20[[#This Row],[Vol]]^2)/2)*Table20[[#This Row],[Time to expiration]]) / (Table20[[#This Row],[Vol]] * SQRT(Table20[[#This Row],[Time to expiration]]))</f>
        <v>#NUM!</v>
      </c>
      <c r="Y131" s="30" t="e">
        <f ca="1">IF(Table20[[#This Row],[Direction]]&gt;0, _xlfn.NORM.S.DIST(Table20[[#This Row],[d1]], TRUE), _xlfn.NORM.S.DIST(Table20[[#This Row],[d1]], TRUE) - 1) * Table20[[#This Row],[Buy or Sell]]</f>
        <v>#NUM!</v>
      </c>
      <c r="Z131" s="9">
        <f ca="1">Table20[[#This Row],[Remaining]]*Table20[[#This Row],[Current Price]]*100</f>
        <v>0</v>
      </c>
      <c r="AA131" s="22">
        <f ca="1">IFERROR(Table20[[#This Row],[nominal_exposure]]*Table20[[#This Row],[Delta]],0)</f>
        <v>0</v>
      </c>
      <c r="AB131" s="30" t="b">
        <f>IF(Table20[[#This Row],[date_purchased]]&lt;&gt;Table20[[#This Row],[Expiration Date]],FALSE,TRUE)</f>
        <v>0</v>
      </c>
      <c r="AC131" s="30" t="str">
        <f>VLOOKUP(Table20[[#This Row],[Asset]],Table19[#All],3,FALSE)</f>
        <v>AI</v>
      </c>
      <c r="AD131" s="30">
        <f>IF(Table20[[#This Row],[Remaining]]&lt;&gt;0,Table20[[#This Row],[Invested]]*Table20[[#This Row],[Remaining]]/Table20[[#This Row],[Number of options]],0)</f>
        <v>0</v>
      </c>
      <c r="AE131" s="30">
        <f ca="1">SUMIF(Table20[Ticker],Table20[[#This Row],[Ticker]],Table20[realized_profit])</f>
        <v>-2175.9999999999995</v>
      </c>
      <c r="AF131" s="30" t="str">
        <f>VLOOKUP(Table20[[#This Row],[Strategy]],Table29[#All],7,FALSE)</f>
        <v>Bullish</v>
      </c>
    </row>
    <row r="132" spans="1:32" hidden="1">
      <c r="A132" s="35">
        <v>45555</v>
      </c>
      <c r="B132" s="21" t="e" vm="24">
        <v>#VALUE!</v>
      </c>
      <c r="C132" s="109" t="str" cm="1">
        <f t="array" aca="1" ref="C132" ca="1">_FV(Table20[[#This Row],[Asset]],"Ticker symbol",TRUE)</f>
        <v>QCOM</v>
      </c>
      <c r="D132" s="26" cm="1">
        <f t="array" aca="1" ref="D132" ca="1">_FV(Table20[[#This Row],[Asset]],"Price")</f>
        <v>131.63499999999999</v>
      </c>
      <c r="E132" s="26">
        <v>220</v>
      </c>
      <c r="F132" s="33">
        <v>2</v>
      </c>
      <c r="G132" s="34">
        <v>1</v>
      </c>
      <c r="H132" s="112" t="s">
        <v>115</v>
      </c>
      <c r="I132" s="31">
        <v>45485</v>
      </c>
      <c r="J132" s="26">
        <v>7.79</v>
      </c>
      <c r="K132" s="24">
        <v>0.36</v>
      </c>
      <c r="L132" s="33">
        <f>VLOOKUP(Table20[[#This Row],[Strategy]],Table29[#All],6,FALSE)</f>
        <v>1</v>
      </c>
      <c r="M132" s="23">
        <v>2</v>
      </c>
      <c r="N132" s="23">
        <v>2.48</v>
      </c>
      <c r="O132" s="23"/>
      <c r="P132" s="23"/>
      <c r="Q132">
        <f>Table20[[#This Row],[Exit1]]*Table20[[#This Row],[ex1_price]]</f>
        <v>4.96</v>
      </c>
      <c r="R132">
        <f>Table20[[#This Row],[Exit2]]*Table20[[#This Row],[ex2_price]]</f>
        <v>0</v>
      </c>
      <c r="S132">
        <f>IFERROR((Table20[[#This Row],[ex2_amnt]]+Table20[[#This Row],[ex1_amnt]])/(Table20[[#This Row],[Exit2]]+Table20[[#This Row],[Exit1]]),0)</f>
        <v>2.48</v>
      </c>
      <c r="T132" s="5">
        <f>(Table20[[#This Row],[Exit1]]+Table20[[#This Row],[Exit2]])*(Table20[[#This Row],[avg_exit_price]]-Table20[[#This Row],[AvePrice]])*100*Table20[[#This Row],[Buy or Sell]]</f>
        <v>-1062</v>
      </c>
      <c r="U132" s="5">
        <f>Table20[[#This Row],[Number of options]]*Table20[[#This Row],[AvePrice]]*100*Table20[[#This Row],[Buy or Sell]]</f>
        <v>1558</v>
      </c>
      <c r="V132" s="8">
        <f>Table20[[#This Row],[Number of options]]-Table20[[#This Row],[Exit1]]-Table20[[#This Row],[Exit2]]</f>
        <v>0</v>
      </c>
      <c r="W132" s="30">
        <f ca="1">(Table20[[#This Row],[Expiration Date]]-TODAY())/365</f>
        <v>-1.5123287671232877</v>
      </c>
      <c r="X132" s="30" t="e">
        <f ca="1">(LN(Table20[[#This Row],[Current Price]]/Table20[[#This Row],[strike_price]]) + ($B$2 + (Table20[[#This Row],[Vol]]^2)/2)*Table20[[#This Row],[Time to expiration]]) / (Table20[[#This Row],[Vol]] * SQRT(Table20[[#This Row],[Time to expiration]]))</f>
        <v>#NUM!</v>
      </c>
      <c r="Y132" s="30" t="e">
        <f ca="1">IF(Table20[[#This Row],[Direction]]&gt;0, _xlfn.NORM.S.DIST(Table20[[#This Row],[d1]], TRUE), _xlfn.NORM.S.DIST(Table20[[#This Row],[d1]], TRUE) - 1) * Table20[[#This Row],[Buy or Sell]]</f>
        <v>#NUM!</v>
      </c>
      <c r="Z132" s="9">
        <f ca="1">Table20[[#This Row],[Remaining]]*Table20[[#This Row],[Current Price]]*100</f>
        <v>0</v>
      </c>
      <c r="AA132" s="22">
        <f ca="1">IFERROR(Table20[[#This Row],[nominal_exposure]]*Table20[[#This Row],[Delta]],0)</f>
        <v>0</v>
      </c>
      <c r="AB132" s="30" t="b">
        <f>IF(Table20[[#This Row],[date_purchased]]&lt;&gt;Table20[[#This Row],[Expiration Date]],FALSE,TRUE)</f>
        <v>0</v>
      </c>
      <c r="AC132" s="30" t="str">
        <f>VLOOKUP(Table20[[#This Row],[Asset]],Table19[#All],3,FALSE)</f>
        <v>AI</v>
      </c>
      <c r="AD132" s="30">
        <f>IF(Table20[[#This Row],[Remaining]]&lt;&gt;0,Table20[[#This Row],[Invested]]*Table20[[#This Row],[Remaining]]/Table20[[#This Row],[Number of options]],0)</f>
        <v>0</v>
      </c>
      <c r="AE132" s="30">
        <f ca="1">SUMIF(Table20[Ticker],Table20[[#This Row],[Ticker]],Table20[realized_profit])</f>
        <v>-2175.9999999999995</v>
      </c>
      <c r="AF132" s="30" t="str">
        <f>VLOOKUP(Table20[[#This Row],[Strategy]],Table29[#All],7,FALSE)</f>
        <v>Bullish</v>
      </c>
    </row>
    <row r="133" spans="1:32" hidden="1">
      <c r="A133" s="180">
        <v>45625</v>
      </c>
      <c r="B133" s="21" t="e" vm="96">
        <v>#VALUE!</v>
      </c>
      <c r="C133" s="109" t="str" cm="1">
        <f t="array" aca="1" ref="C133" ca="1">_FV(Table20[[#This Row],[Asset]],"Ticker symbol",TRUE)</f>
        <v>SPY</v>
      </c>
      <c r="D133" s="26" cm="1">
        <f t="array" aca="1" ref="D133" ca="1">_FV(Table20[[#This Row],[Asset]],"Price")</f>
        <v>658.59</v>
      </c>
      <c r="E133" s="26">
        <v>580</v>
      </c>
      <c r="F133" s="33">
        <v>2</v>
      </c>
      <c r="G133" s="34">
        <v>1</v>
      </c>
      <c r="H133" s="34" t="s">
        <v>65</v>
      </c>
      <c r="I133" s="31">
        <v>45614</v>
      </c>
      <c r="J133" s="26">
        <v>2.1800000000000002</v>
      </c>
      <c r="K133" s="24"/>
      <c r="L133" s="33">
        <f>VLOOKUP(Table20[[#This Row],[Strategy]],Table29[#All],6,FALSE)</f>
        <v>-1</v>
      </c>
      <c r="M133" s="23">
        <v>2</v>
      </c>
      <c r="N133" s="23">
        <v>1.59</v>
      </c>
      <c r="O133" s="23"/>
      <c r="P133" s="23"/>
      <c r="Q133">
        <f>Table20[[#This Row],[Exit1]]*Table20[[#This Row],[ex1_price]]</f>
        <v>3.18</v>
      </c>
      <c r="R133">
        <f>Table20[[#This Row],[Exit2]]*Table20[[#This Row],[ex2_price]]</f>
        <v>0</v>
      </c>
      <c r="S133">
        <f>IFERROR((Table20[[#This Row],[ex2_amnt]]+Table20[[#This Row],[ex1_amnt]])/(Table20[[#This Row],[Exit2]]+Table20[[#This Row],[Exit1]]),0)</f>
        <v>1.59</v>
      </c>
      <c r="T133" s="5">
        <f>(Table20[[#This Row],[Exit1]]+Table20[[#This Row],[Exit2]])*(Table20[[#This Row],[avg_exit_price]]-Table20[[#This Row],[AvePrice]])*100*Table20[[#This Row],[Buy or Sell]]</f>
        <v>-118.00000000000001</v>
      </c>
      <c r="U133" s="5">
        <f>Table20[[#This Row],[Number of options]]*Table20[[#This Row],[AvePrice]]*100*Table20[[#This Row],[Buy or Sell]]</f>
        <v>436.00000000000006</v>
      </c>
      <c r="V133" s="8">
        <f>Table20[[#This Row],[Number of options]]-Table20[[#This Row],[Exit1]]-Table20[[#This Row],[Exit2]]</f>
        <v>0</v>
      </c>
      <c r="W133" s="30">
        <f ca="1">(Table20[[#This Row],[Expiration Date]]-TODAY())/365</f>
        <v>-1.3205479452054794</v>
      </c>
      <c r="X133" s="30" t="e">
        <f ca="1">(LN(Table20[[#This Row],[Current Price]]/Table20[[#This Row],[strike_price]]) + ($B$2 + (Table20[[#This Row],[Vol]]^2)/2)*Table20[[#This Row],[Time to expiration]]) / (Table20[[#This Row],[Vol]] * SQRT(Table20[[#This Row],[Time to expiration]]))</f>
        <v>#NUM!</v>
      </c>
      <c r="Y133" s="30" t="e">
        <f ca="1">IF(Table20[[#This Row],[Direction]]&gt;0, _xlfn.NORM.S.DIST(Table20[[#This Row],[d1]], TRUE), _xlfn.NORM.S.DIST(Table20[[#This Row],[d1]], TRUE) - 1) * Table20[[#This Row],[Buy or Sell]]</f>
        <v>#NUM!</v>
      </c>
      <c r="Z133" s="9">
        <f ca="1">Table20[[#This Row],[Remaining]]*Table20[[#This Row],[Current Price]]*100</f>
        <v>0</v>
      </c>
      <c r="AA133" s="22">
        <f ca="1">IFERROR(Table20[[#This Row],[nominal_exposure]]*Table20[[#This Row],[Delta]],0)</f>
        <v>0</v>
      </c>
      <c r="AB133" s="30" t="b">
        <f>IF(Table20[[#This Row],[date_purchased]]&lt;&gt;Table20[[#This Row],[Expiration Date]],FALSE,TRUE)</f>
        <v>0</v>
      </c>
      <c r="AC133" s="30" t="str">
        <f>VLOOKUP(Table20[[#This Row],[Asset]],Table19[#All],3,FALSE)</f>
        <v>Market</v>
      </c>
      <c r="AD133" s="30">
        <f>IF(Table20[[#This Row],[Remaining]]&lt;&gt;0,Table20[[#This Row],[Invested]]*Table20[[#This Row],[Remaining]]/Table20[[#This Row],[Number of options]],0)</f>
        <v>0</v>
      </c>
      <c r="AE133" s="30">
        <f ca="1">SUMIF(Table20[Ticker],Table20[[#This Row],[Ticker]],Table20[realized_profit])</f>
        <v>-5077</v>
      </c>
      <c r="AF133" s="30" t="str">
        <f>VLOOKUP(Table20[[#This Row],[Strategy]],Table29[#All],7,FALSE)</f>
        <v>Bearish</v>
      </c>
    </row>
    <row r="134" spans="1:32" hidden="1">
      <c r="A134" s="180">
        <v>45618</v>
      </c>
      <c r="B134" s="21" t="e" vm="96">
        <v>#VALUE!</v>
      </c>
      <c r="C134" s="109" t="str" cm="1">
        <f t="array" aca="1" ref="C134" ca="1">_FV(Table20[[#This Row],[Asset]],"Ticker symbol",TRUE)</f>
        <v>SPY</v>
      </c>
      <c r="D134" s="26" cm="1">
        <f t="array" aca="1" ref="D134" ca="1">_FV(Table20[[#This Row],[Asset]],"Price")</f>
        <v>658.59</v>
      </c>
      <c r="E134" s="26">
        <v>580</v>
      </c>
      <c r="F134" s="33">
        <v>2</v>
      </c>
      <c r="G134" s="34">
        <v>1</v>
      </c>
      <c r="H134" s="34" t="s">
        <v>161</v>
      </c>
      <c r="I134" s="31">
        <v>45604</v>
      </c>
      <c r="J134" s="26">
        <v>1.25</v>
      </c>
      <c r="K134" s="24">
        <v>0.16700000000000001</v>
      </c>
      <c r="L134" s="33">
        <f>VLOOKUP(Table20[[#This Row],[Strategy]],Table29[#All],6,FALSE)</f>
        <v>-1</v>
      </c>
      <c r="M134" s="23">
        <v>2</v>
      </c>
      <c r="N134" s="23">
        <v>2.54</v>
      </c>
      <c r="O134" s="23"/>
      <c r="P134" s="23"/>
      <c r="Q134">
        <f>Table20[[#This Row],[Exit1]]*Table20[[#This Row],[ex1_price]]</f>
        <v>5.08</v>
      </c>
      <c r="R134">
        <f>Table20[[#This Row],[Exit2]]*Table20[[#This Row],[ex2_price]]</f>
        <v>0</v>
      </c>
      <c r="S134">
        <f>IFERROR((Table20[[#This Row],[ex2_amnt]]+Table20[[#This Row],[ex1_amnt]])/(Table20[[#This Row],[Exit2]]+Table20[[#This Row],[Exit1]]),0)</f>
        <v>2.54</v>
      </c>
      <c r="T134" s="5">
        <f>(Table20[[#This Row],[Exit1]]+Table20[[#This Row],[Exit2]])*(Table20[[#This Row],[avg_exit_price]]-Table20[[#This Row],[AvePrice]])*100*Table20[[#This Row],[Buy or Sell]]</f>
        <v>258</v>
      </c>
      <c r="U134" s="5">
        <f>Table20[[#This Row],[Number of options]]*Table20[[#This Row],[AvePrice]]*100*Table20[[#This Row],[Buy or Sell]]</f>
        <v>250</v>
      </c>
      <c r="V134" s="8">
        <f>Table20[[#This Row],[Number of options]]-Table20[[#This Row],[Exit1]]-Table20[[#This Row],[Exit2]]</f>
        <v>0</v>
      </c>
      <c r="W134" s="30">
        <f ca="1">(Table20[[#This Row],[Expiration Date]]-TODAY())/365</f>
        <v>-1.3397260273972602</v>
      </c>
      <c r="X134" s="30" t="e">
        <f ca="1">(LN(Table20[[#This Row],[Current Price]]/Table20[[#This Row],[strike_price]]) + ($B$2 + (Table20[[#This Row],[Vol]]^2)/2)*Table20[[#This Row],[Time to expiration]]) / (Table20[[#This Row],[Vol]] * SQRT(Table20[[#This Row],[Time to expiration]]))</f>
        <v>#NUM!</v>
      </c>
      <c r="Y134" s="30" t="e">
        <f ca="1">IF(Table20[[#This Row],[Direction]]&gt;0, _xlfn.NORM.S.DIST(Table20[[#This Row],[d1]], TRUE), _xlfn.NORM.S.DIST(Table20[[#This Row],[d1]], TRUE) - 1) * Table20[[#This Row],[Buy or Sell]]</f>
        <v>#NUM!</v>
      </c>
      <c r="Z134" s="9">
        <f ca="1">Table20[[#This Row],[Remaining]]*Table20[[#This Row],[Current Price]]*100</f>
        <v>0</v>
      </c>
      <c r="AA134" s="22">
        <f ca="1">IFERROR(Table20[[#This Row],[nominal_exposure]]*Table20[[#This Row],[Delta]],0)</f>
        <v>0</v>
      </c>
      <c r="AB134" s="30" t="b">
        <f>IF(Table20[[#This Row],[date_purchased]]&lt;&gt;Table20[[#This Row],[Expiration Date]],FALSE,TRUE)</f>
        <v>0</v>
      </c>
      <c r="AC134" s="30" t="str">
        <f>VLOOKUP(Table20[[#This Row],[Asset]],Table19[#All],3,FALSE)</f>
        <v>Market</v>
      </c>
      <c r="AD134" s="30">
        <f>IF(Table20[[#This Row],[Remaining]]&lt;&gt;0,Table20[[#This Row],[Invested]]*Table20[[#This Row],[Remaining]]/Table20[[#This Row],[Number of options]],0)</f>
        <v>0</v>
      </c>
      <c r="AE134" s="30">
        <f ca="1">SUMIF(Table20[Ticker],Table20[[#This Row],[Ticker]],Table20[realized_profit])</f>
        <v>-5077</v>
      </c>
      <c r="AF134" s="30" t="str">
        <f>VLOOKUP(Table20[[#This Row],[Strategy]],Table29[#All],7,FALSE)</f>
        <v>Bearish</v>
      </c>
    </row>
    <row r="135" spans="1:32" hidden="1">
      <c r="A135" s="180">
        <v>45611</v>
      </c>
      <c r="B135" s="21" t="e" vm="96">
        <v>#VALUE!</v>
      </c>
      <c r="C135" s="109" t="str" cm="1">
        <f t="array" aca="1" ref="C135" ca="1">_FV(Table20[[#This Row],[Asset]],"Ticker symbol",TRUE)</f>
        <v>SPY</v>
      </c>
      <c r="D135" s="26" cm="1">
        <f t="array" aca="1" ref="D135" ca="1">_FV(Table20[[#This Row],[Asset]],"Price")</f>
        <v>658.59</v>
      </c>
      <c r="E135" s="26">
        <v>500</v>
      </c>
      <c r="F135" s="33">
        <v>5</v>
      </c>
      <c r="G135" s="34">
        <v>-1</v>
      </c>
      <c r="H135" s="34" t="s">
        <v>112</v>
      </c>
      <c r="I135" s="31">
        <v>45551</v>
      </c>
      <c r="J135" s="26">
        <v>2.41</v>
      </c>
      <c r="K135" s="24">
        <v>0.24640000000000001</v>
      </c>
      <c r="L135" s="33">
        <f>VLOOKUP(Table20[[#This Row],[Strategy]],Table29[#All],6,FALSE)</f>
        <v>-1</v>
      </c>
      <c r="M135" s="23">
        <v>5</v>
      </c>
      <c r="N135" s="23">
        <v>1.62</v>
      </c>
      <c r="O135" s="23"/>
      <c r="P135" s="23"/>
      <c r="Q135">
        <f>Table20[[#This Row],[Exit1]]*Table20[[#This Row],[ex1_price]]</f>
        <v>8.1000000000000014</v>
      </c>
      <c r="R135">
        <f>Table20[[#This Row],[Exit2]]*Table20[[#This Row],[ex2_price]]</f>
        <v>0</v>
      </c>
      <c r="S135">
        <f>IFERROR((Table20[[#This Row],[ex2_amnt]]+Table20[[#This Row],[ex1_amnt]])/(Table20[[#This Row],[Exit2]]+Table20[[#This Row],[Exit1]]),0)</f>
        <v>1.6200000000000003</v>
      </c>
      <c r="T135" s="5">
        <f>(Table20[[#This Row],[Exit1]]+Table20[[#This Row],[Exit2]])*(Table20[[#This Row],[avg_exit_price]]-Table20[[#This Row],[AvePrice]])*100*Table20[[#This Row],[Buy or Sell]]</f>
        <v>394.99999999999994</v>
      </c>
      <c r="U135" s="5">
        <f>Table20[[#This Row],[Number of options]]*Table20[[#This Row],[AvePrice]]*100*Table20[[#This Row],[Buy or Sell]]</f>
        <v>-1205</v>
      </c>
      <c r="V135" s="8">
        <f>Table20[[#This Row],[Number of options]]-Table20[[#This Row],[Exit1]]-Table20[[#This Row],[Exit2]]</f>
        <v>0</v>
      </c>
      <c r="W135" s="30">
        <f ca="1">(Table20[[#This Row],[Expiration Date]]-TODAY())/365</f>
        <v>-1.3589041095890411</v>
      </c>
      <c r="X135" s="30" t="e">
        <f ca="1">(LN(Table20[[#This Row],[Current Price]]/Table20[[#This Row],[strike_price]]) + ($B$2 + (Table20[[#This Row],[Vol]]^2)/2)*Table20[[#This Row],[Time to expiration]]) / (Table20[[#This Row],[Vol]] * SQRT(Table20[[#This Row],[Time to expiration]]))</f>
        <v>#NUM!</v>
      </c>
      <c r="Y135" s="30" t="e">
        <f ca="1">IF(Table20[[#This Row],[Direction]]&gt;0, _xlfn.NORM.S.DIST(Table20[[#This Row],[d1]], TRUE), _xlfn.NORM.S.DIST(Table20[[#This Row],[d1]], TRUE) - 1) * Table20[[#This Row],[Buy or Sell]]</f>
        <v>#NUM!</v>
      </c>
      <c r="Z135" s="9">
        <f ca="1">Table20[[#This Row],[Remaining]]*Table20[[#This Row],[Current Price]]*100</f>
        <v>0</v>
      </c>
      <c r="AA135" s="22">
        <f ca="1">IFERROR(Table20[[#This Row],[nominal_exposure]]*Table20[[#This Row],[Delta]],0)</f>
        <v>0</v>
      </c>
      <c r="AB135" s="30" t="b">
        <f>IF(Table20[[#This Row],[date_purchased]]&lt;&gt;Table20[[#This Row],[Expiration Date]],FALSE,TRUE)</f>
        <v>0</v>
      </c>
      <c r="AC135" s="30" t="str">
        <f>VLOOKUP(Table20[[#This Row],[Asset]],Table19[#All],3,FALSE)</f>
        <v>Market</v>
      </c>
      <c r="AD135" s="30">
        <f>IF(Table20[[#This Row],[Remaining]]&lt;&gt;0,Table20[[#This Row],[Invested]]*Table20[[#This Row],[Remaining]]/Table20[[#This Row],[Number of options]],0)</f>
        <v>0</v>
      </c>
      <c r="AE135" s="30">
        <f ca="1">SUMIF(Table20[Ticker],Table20[[#This Row],[Ticker]],Table20[realized_profit])</f>
        <v>-5077</v>
      </c>
      <c r="AF135" s="30" t="str">
        <f>VLOOKUP(Table20[[#This Row],[Strategy]],Table29[#All],7,FALSE)</f>
        <v>Bearish</v>
      </c>
    </row>
    <row r="136" spans="1:32" hidden="1">
      <c r="A136" s="118">
        <v>45520</v>
      </c>
      <c r="B136" s="21" t="e" vm="121">
        <v>#VALUE!</v>
      </c>
      <c r="C136" s="109" t="str" cm="1">
        <f t="array" aca="1" ref="C136" ca="1">_FV(Table20[[#This Row],[Asset]],"Ticker symbol",TRUE)</f>
        <v>IWM</v>
      </c>
      <c r="D136" s="26" cm="1">
        <f t="array" aca="1" ref="D136" ca="1">_FV(Table20[[#This Row],[Asset]],"Price")</f>
        <v>252.46010000000001</v>
      </c>
      <c r="E136" s="26">
        <v>190</v>
      </c>
      <c r="F136" s="33">
        <v>1</v>
      </c>
      <c r="G136" s="34">
        <v>1</v>
      </c>
      <c r="H136" s="34" t="s">
        <v>65</v>
      </c>
      <c r="I136" s="31">
        <v>45511</v>
      </c>
      <c r="J136" s="26">
        <v>1.2</v>
      </c>
      <c r="K136" s="24">
        <v>0.42</v>
      </c>
      <c r="L136" s="33">
        <f>VLOOKUP(Table20[[#This Row],[Strategy]],Table29[#All],6,FALSE)</f>
        <v>-1</v>
      </c>
      <c r="M136" s="23">
        <v>1</v>
      </c>
      <c r="N136" s="23">
        <v>0</v>
      </c>
      <c r="O136" s="23"/>
      <c r="P136" s="23"/>
      <c r="Q136">
        <f>Table20[[#This Row],[Exit1]]*Table20[[#This Row],[ex1_price]]</f>
        <v>0</v>
      </c>
      <c r="R136">
        <f>Table20[[#This Row],[Exit2]]*Table20[[#This Row],[ex2_price]]</f>
        <v>0</v>
      </c>
      <c r="S136">
        <f>IFERROR((Table20[[#This Row],[ex2_amnt]]+Table20[[#This Row],[ex1_amnt]])/(Table20[[#This Row],[Exit2]]+Table20[[#This Row],[Exit1]]),0)</f>
        <v>0</v>
      </c>
      <c r="T136" s="5">
        <f>(Table20[[#This Row],[Exit1]]+Table20[[#This Row],[Exit2]])*(Table20[[#This Row],[avg_exit_price]]-Table20[[#This Row],[AvePrice]])*100*Table20[[#This Row],[Buy or Sell]]</f>
        <v>-120</v>
      </c>
      <c r="U136" s="5">
        <f>Table20[[#This Row],[Number of options]]*Table20[[#This Row],[AvePrice]]*100*Table20[[#This Row],[Buy or Sell]]</f>
        <v>120</v>
      </c>
      <c r="V136" s="8">
        <f>Table20[[#This Row],[Number of options]]-Table20[[#This Row],[Exit1]]-Table20[[#This Row],[Exit2]]</f>
        <v>0</v>
      </c>
      <c r="W136" s="30">
        <f ca="1">(Table20[[#This Row],[Expiration Date]]-TODAY())/365</f>
        <v>-1.6082191780821917</v>
      </c>
      <c r="X136" s="30" t="e">
        <f ca="1">(LN(Table20[[#This Row],[Current Price]]/Table20[[#This Row],[strike_price]]) + ($B$2 + (Table20[[#This Row],[Vol]]^2)/2)*Table20[[#This Row],[Time to expiration]]) / (Table20[[#This Row],[Vol]] * SQRT(Table20[[#This Row],[Time to expiration]]))</f>
        <v>#NUM!</v>
      </c>
      <c r="Y136" s="30" t="e">
        <f ca="1">IF(Table20[[#This Row],[Direction]]&gt;0, _xlfn.NORM.S.DIST(Table20[[#This Row],[d1]], TRUE), _xlfn.NORM.S.DIST(Table20[[#This Row],[d1]], TRUE) - 1) * Table20[[#This Row],[Buy or Sell]]</f>
        <v>#NUM!</v>
      </c>
      <c r="Z136" s="9">
        <f ca="1">Table20[[#This Row],[Remaining]]*Table20[[#This Row],[Current Price]]*100</f>
        <v>0</v>
      </c>
      <c r="AA136" s="22">
        <f ca="1">IFERROR(Table20[[#This Row],[nominal_exposure]]*Table20[[#This Row],[Delta]],0)</f>
        <v>0</v>
      </c>
      <c r="AB136" s="30" t="b">
        <f>IF(Table20[[#This Row],[date_purchased]]&lt;&gt;Table20[[#This Row],[Expiration Date]],FALSE,TRUE)</f>
        <v>0</v>
      </c>
      <c r="AC136" s="30" t="str">
        <f>VLOOKUP(Table20[[#This Row],[Asset]],Table19[#All],3,FALSE)</f>
        <v>Market</v>
      </c>
      <c r="AD136" s="4">
        <f>IF(Table20[[#This Row],[Remaining]]&lt;&gt;0,Table20[[#This Row],[Invested]]*Table20[[#This Row],[Remaining]]/Table20[[#This Row],[Number of options]],0)</f>
        <v>0</v>
      </c>
      <c r="AE136" s="4">
        <f ca="1">SUMIF(Table20[Ticker],Table20[[#This Row],[Ticker]],Table20[realized_profit])</f>
        <v>-331.99999999999994</v>
      </c>
      <c r="AF136" s="30" t="str">
        <f>VLOOKUP(Table20[[#This Row],[Strategy]],Table29[#All],7,FALSE)</f>
        <v>Bearish</v>
      </c>
    </row>
    <row r="137" spans="1:32" hidden="1">
      <c r="A137" s="180">
        <v>45611</v>
      </c>
      <c r="B137" s="21" t="e" vm="96">
        <v>#VALUE!</v>
      </c>
      <c r="C137" s="109" t="str" cm="1">
        <f t="array" aca="1" ref="C137" ca="1">_FV(Table20[[#This Row],[Asset]],"Ticker symbol",TRUE)</f>
        <v>SPY</v>
      </c>
      <c r="D137" s="26" cm="1">
        <f t="array" aca="1" ref="D137" ca="1">_FV(Table20[[#This Row],[Asset]],"Price")</f>
        <v>658.59</v>
      </c>
      <c r="E137" s="26">
        <v>530</v>
      </c>
      <c r="F137" s="33">
        <v>5</v>
      </c>
      <c r="G137" s="34">
        <v>1</v>
      </c>
      <c r="H137" s="34" t="s">
        <v>112</v>
      </c>
      <c r="I137" s="31">
        <v>45551</v>
      </c>
      <c r="J137" s="26">
        <v>5.14</v>
      </c>
      <c r="K137" s="24">
        <v>0.2069</v>
      </c>
      <c r="L137" s="33">
        <f>VLOOKUP(Table20[[#This Row],[Strategy]],Table29[#All],6,FALSE)</f>
        <v>-1</v>
      </c>
      <c r="M137" s="23">
        <v>5</v>
      </c>
      <c r="N137" s="23">
        <v>3.34</v>
      </c>
      <c r="O137" s="23"/>
      <c r="P137" s="23"/>
      <c r="Q137">
        <f>Table20[[#This Row],[Exit1]]*Table20[[#This Row],[ex1_price]]</f>
        <v>16.7</v>
      </c>
      <c r="R137">
        <f>Table20[[#This Row],[Exit2]]*Table20[[#This Row],[ex2_price]]</f>
        <v>0</v>
      </c>
      <c r="S137">
        <f>IFERROR((Table20[[#This Row],[ex2_amnt]]+Table20[[#This Row],[ex1_amnt]])/(Table20[[#This Row],[Exit2]]+Table20[[#This Row],[Exit1]]),0)</f>
        <v>3.34</v>
      </c>
      <c r="T137" s="5">
        <f>(Table20[[#This Row],[Exit1]]+Table20[[#This Row],[Exit2]])*(Table20[[#This Row],[avg_exit_price]]-Table20[[#This Row],[AvePrice]])*100*Table20[[#This Row],[Buy or Sell]]</f>
        <v>-900</v>
      </c>
      <c r="U137" s="5">
        <f>Table20[[#This Row],[Number of options]]*Table20[[#This Row],[AvePrice]]*100*Table20[[#This Row],[Buy or Sell]]</f>
        <v>2570</v>
      </c>
      <c r="V137" s="8">
        <f>Table20[[#This Row],[Number of options]]-Table20[[#This Row],[Exit1]]-Table20[[#This Row],[Exit2]]</f>
        <v>0</v>
      </c>
      <c r="W137" s="30">
        <f ca="1">(Table20[[#This Row],[Expiration Date]]-TODAY())/365</f>
        <v>-1.3589041095890411</v>
      </c>
      <c r="X137" s="30" t="e">
        <f ca="1">(LN(Table20[[#This Row],[Current Price]]/Table20[[#This Row],[strike_price]]) + ($B$2 + (Table20[[#This Row],[Vol]]^2)/2)*Table20[[#This Row],[Time to expiration]]) / (Table20[[#This Row],[Vol]] * SQRT(Table20[[#This Row],[Time to expiration]]))</f>
        <v>#NUM!</v>
      </c>
      <c r="Y137" s="30" t="e">
        <f ca="1">IF(Table20[[#This Row],[Direction]]&gt;0, _xlfn.NORM.S.DIST(Table20[[#This Row],[d1]], TRUE), _xlfn.NORM.S.DIST(Table20[[#This Row],[d1]], TRUE) - 1) * Table20[[#This Row],[Buy or Sell]]</f>
        <v>#NUM!</v>
      </c>
      <c r="Z137" s="9">
        <f ca="1">Table20[[#This Row],[Remaining]]*Table20[[#This Row],[Current Price]]*100</f>
        <v>0</v>
      </c>
      <c r="AA137" s="22">
        <f ca="1">IFERROR(Table20[[#This Row],[nominal_exposure]]*Table20[[#This Row],[Delta]],0)</f>
        <v>0</v>
      </c>
      <c r="AB137" s="30" t="b">
        <f>IF(Table20[[#This Row],[date_purchased]]&lt;&gt;Table20[[#This Row],[Expiration Date]],FALSE,TRUE)</f>
        <v>0</v>
      </c>
      <c r="AC137" s="30" t="str">
        <f>VLOOKUP(Table20[[#This Row],[Asset]],Table19[#All],3,FALSE)</f>
        <v>Market</v>
      </c>
      <c r="AD137" s="30">
        <f>IF(Table20[[#This Row],[Remaining]]&lt;&gt;0,Table20[[#This Row],[Invested]]*Table20[[#This Row],[Remaining]]/Table20[[#This Row],[Number of options]],0)</f>
        <v>0</v>
      </c>
      <c r="AE137" s="30">
        <f ca="1">SUMIF(Table20[Ticker],Table20[[#This Row],[Ticker]],Table20[realized_profit])</f>
        <v>-5077</v>
      </c>
      <c r="AF137" s="30" t="str">
        <f>VLOOKUP(Table20[[#This Row],[Strategy]],Table29[#All],7,FALSE)</f>
        <v>Bearish</v>
      </c>
    </row>
    <row r="138" spans="1:32" hidden="1">
      <c r="A138" s="180">
        <v>45611</v>
      </c>
      <c r="B138" s="21" t="e" vm="96">
        <v>#VALUE!</v>
      </c>
      <c r="C138" s="109" t="str" cm="1">
        <f t="array" aca="1" ref="C138" ca="1">_FV(Table20[[#This Row],[Asset]],"Ticker symbol",TRUE)</f>
        <v>SPY</v>
      </c>
      <c r="D138" s="26" cm="1">
        <f t="array" aca="1" ref="D138" ca="1">_FV(Table20[[#This Row],[Asset]],"Price")</f>
        <v>658.59</v>
      </c>
      <c r="E138" s="26">
        <v>580</v>
      </c>
      <c r="F138" s="33">
        <v>2</v>
      </c>
      <c r="G138" s="34">
        <v>-1</v>
      </c>
      <c r="H138" s="34" t="s">
        <v>161</v>
      </c>
      <c r="I138" s="31">
        <v>45604</v>
      </c>
      <c r="J138" s="26">
        <v>0.36</v>
      </c>
      <c r="K138" s="24">
        <v>0.1905</v>
      </c>
      <c r="L138" s="33">
        <f>VLOOKUP(Table20[[#This Row],[Strategy]],Table29[#All],6,FALSE)</f>
        <v>-1</v>
      </c>
      <c r="M138" s="23">
        <v>2</v>
      </c>
      <c r="N138" s="23">
        <v>0.02</v>
      </c>
      <c r="O138" s="23"/>
      <c r="P138" s="23"/>
      <c r="Q138">
        <f>Table20[[#This Row],[Exit1]]*Table20[[#This Row],[ex1_price]]</f>
        <v>0.04</v>
      </c>
      <c r="R138">
        <f>Table20[[#This Row],[Exit2]]*Table20[[#This Row],[ex2_price]]</f>
        <v>0</v>
      </c>
      <c r="S138">
        <f>IFERROR((Table20[[#This Row],[ex2_amnt]]+Table20[[#This Row],[ex1_amnt]])/(Table20[[#This Row],[Exit2]]+Table20[[#This Row],[Exit1]]),0)</f>
        <v>0.02</v>
      </c>
      <c r="T138" s="5">
        <f>(Table20[[#This Row],[Exit1]]+Table20[[#This Row],[Exit2]])*(Table20[[#This Row],[avg_exit_price]]-Table20[[#This Row],[AvePrice]])*100*Table20[[#This Row],[Buy or Sell]]</f>
        <v>68</v>
      </c>
      <c r="U138" s="5">
        <f>Table20[[#This Row],[Number of options]]*Table20[[#This Row],[AvePrice]]*100*Table20[[#This Row],[Buy or Sell]]</f>
        <v>-72</v>
      </c>
      <c r="V138" s="8">
        <f>Table20[[#This Row],[Number of options]]-Table20[[#This Row],[Exit1]]-Table20[[#This Row],[Exit2]]</f>
        <v>0</v>
      </c>
      <c r="W138" s="30">
        <f ca="1">(Table20[[#This Row],[Expiration Date]]-TODAY())/365</f>
        <v>-1.3589041095890411</v>
      </c>
      <c r="X138" s="30" t="e">
        <f ca="1">(LN(Table20[[#This Row],[Current Price]]/Table20[[#This Row],[strike_price]]) + ($B$2 + (Table20[[#This Row],[Vol]]^2)/2)*Table20[[#This Row],[Time to expiration]]) / (Table20[[#This Row],[Vol]] * SQRT(Table20[[#This Row],[Time to expiration]]))</f>
        <v>#NUM!</v>
      </c>
      <c r="Y138" s="30" t="e">
        <f ca="1">IF(Table20[[#This Row],[Direction]]&gt;0, _xlfn.NORM.S.DIST(Table20[[#This Row],[d1]], TRUE), _xlfn.NORM.S.DIST(Table20[[#This Row],[d1]], TRUE) - 1) * Table20[[#This Row],[Buy or Sell]]</f>
        <v>#NUM!</v>
      </c>
      <c r="Z138" s="9">
        <f ca="1">Table20[[#This Row],[Remaining]]*Table20[[#This Row],[Current Price]]*100</f>
        <v>0</v>
      </c>
      <c r="AA138" s="22">
        <f ca="1">IFERROR(Table20[[#This Row],[nominal_exposure]]*Table20[[#This Row],[Delta]],0)</f>
        <v>0</v>
      </c>
      <c r="AB138" s="30" t="b">
        <f>IF(Table20[[#This Row],[date_purchased]]&lt;&gt;Table20[[#This Row],[Expiration Date]],FALSE,TRUE)</f>
        <v>0</v>
      </c>
      <c r="AC138" s="30" t="str">
        <f>VLOOKUP(Table20[[#This Row],[Asset]],Table19[#All],3,FALSE)</f>
        <v>Market</v>
      </c>
      <c r="AD138" s="30">
        <f>IF(Table20[[#This Row],[Remaining]]&lt;&gt;0,Table20[[#This Row],[Invested]]*Table20[[#This Row],[Remaining]]/Table20[[#This Row],[Number of options]],0)</f>
        <v>0</v>
      </c>
      <c r="AE138" s="30">
        <f ca="1">SUMIF(Table20[Ticker],Table20[[#This Row],[Ticker]],Table20[realized_profit])</f>
        <v>-5077</v>
      </c>
      <c r="AF138" s="30" t="str">
        <f>VLOOKUP(Table20[[#This Row],[Strategy]],Table29[#All],7,FALSE)</f>
        <v>Bearish</v>
      </c>
    </row>
    <row r="139" spans="1:32" hidden="1">
      <c r="A139" s="118">
        <v>45520</v>
      </c>
      <c r="B139" s="21" t="e" vm="34">
        <v>#VALUE!</v>
      </c>
      <c r="C139" s="109" t="str" cm="1">
        <f t="array" aca="1" ref="C139" ca="1">_FV(Table20[[#This Row],[Asset]],"Ticker symbol",TRUE)</f>
        <v>TSM</v>
      </c>
      <c r="D139" s="26" cm="1">
        <f t="array" aca="1" ref="D139" ca="1">_FV(Table20[[#This Row],[Asset]],"Price")</f>
        <v>348.52499999999998</v>
      </c>
      <c r="E139" s="26">
        <v>180</v>
      </c>
      <c r="F139" s="33">
        <v>1</v>
      </c>
      <c r="G139" s="34">
        <v>1</v>
      </c>
      <c r="H139" s="111" t="s">
        <v>114</v>
      </c>
      <c r="I139" s="31">
        <v>45449</v>
      </c>
      <c r="J139" s="26">
        <v>5.18</v>
      </c>
      <c r="K139" s="24">
        <v>0.43219999999999997</v>
      </c>
      <c r="L139" s="33">
        <f>VLOOKUP(Table20[[#This Row],[Strategy]],Table29[#All],6,FALSE)</f>
        <v>1</v>
      </c>
      <c r="M139" s="23">
        <v>1</v>
      </c>
      <c r="N139" s="23">
        <v>0</v>
      </c>
      <c r="O139" s="23"/>
      <c r="P139" s="23"/>
      <c r="Q139">
        <f>Table20[[#This Row],[Exit1]]*Table20[[#This Row],[ex1_price]]</f>
        <v>0</v>
      </c>
      <c r="R139">
        <f>Table20[[#This Row],[Exit2]]*Table20[[#This Row],[ex2_price]]</f>
        <v>0</v>
      </c>
      <c r="S139">
        <f>IFERROR((Table20[[#This Row],[ex2_amnt]]+Table20[[#This Row],[ex1_amnt]])/(Table20[[#This Row],[Exit2]]+Table20[[#This Row],[Exit1]]),0)</f>
        <v>0</v>
      </c>
      <c r="T139" s="5">
        <f>(Table20[[#This Row],[Exit1]]+Table20[[#This Row],[Exit2]])*(Table20[[#This Row],[avg_exit_price]]-Table20[[#This Row],[AvePrice]])*100*Table20[[#This Row],[Buy or Sell]]</f>
        <v>-518</v>
      </c>
      <c r="U139" s="5">
        <f>Table20[[#This Row],[Number of options]]*Table20[[#This Row],[AvePrice]]*100*Table20[[#This Row],[Buy or Sell]]</f>
        <v>518</v>
      </c>
      <c r="V139" s="8">
        <f>Table20[[#This Row],[Number of options]]-Table20[[#This Row],[Exit1]]-Table20[[#This Row],[Exit2]]</f>
        <v>0</v>
      </c>
      <c r="W139" s="30">
        <f ca="1">(Table20[[#This Row],[Expiration Date]]-TODAY())/365</f>
        <v>-1.6082191780821917</v>
      </c>
      <c r="X139" s="30" t="e">
        <f ca="1">(LN(Table20[[#This Row],[Current Price]]/Table20[[#This Row],[strike_price]]) + ($B$2 + (Table20[[#This Row],[Vol]]^2)/2)*Table20[[#This Row],[Time to expiration]]) / (Table20[[#This Row],[Vol]] * SQRT(Table20[[#This Row],[Time to expiration]]))</f>
        <v>#NUM!</v>
      </c>
      <c r="Y139" s="30" t="e">
        <f ca="1">IF(Table20[[#This Row],[Direction]]&gt;0, _xlfn.NORM.S.DIST(Table20[[#This Row],[d1]], TRUE), _xlfn.NORM.S.DIST(Table20[[#This Row],[d1]], TRUE) - 1) * Table20[[#This Row],[Buy or Sell]]</f>
        <v>#NUM!</v>
      </c>
      <c r="Z139" s="9">
        <f ca="1">Table20[[#This Row],[Remaining]]*Table20[[#This Row],[Current Price]]*100</f>
        <v>0</v>
      </c>
      <c r="AA139" s="22">
        <f ca="1">IFERROR(Table20[[#This Row],[nominal_exposure]]*Table20[[#This Row],[Delta]],0)</f>
        <v>0</v>
      </c>
      <c r="AB139" s="99" t="b">
        <f>IF(Table20[[#This Row],[date_purchased]]&lt;&gt;Table20[[#This Row],[Expiration Date]],FALSE,TRUE)</f>
        <v>0</v>
      </c>
      <c r="AC139" s="30" t="str">
        <f>VLOOKUP(Table20[[#This Row],[Asset]],Table19[#All],3,FALSE)</f>
        <v>AI</v>
      </c>
      <c r="AD139" s="4">
        <f>IF(Table20[[#This Row],[Remaining]]&lt;&gt;0,Table20[[#This Row],[Invested]]*Table20[[#This Row],[Remaining]]/Table20[[#This Row],[Number of options]],0)</f>
        <v>0</v>
      </c>
      <c r="AE139" s="30">
        <f ca="1">SUMIF(Table20[Ticker],Table20[[#This Row],[Ticker]],Table20[realized_profit])</f>
        <v>-444.99999999999977</v>
      </c>
      <c r="AF139" s="30" t="str">
        <f>VLOOKUP(Table20[[#This Row],[Strategy]],Table29[#All],7,FALSE)</f>
        <v>Bullish</v>
      </c>
    </row>
    <row r="140" spans="1:32" hidden="1">
      <c r="A140" s="35">
        <v>45499</v>
      </c>
      <c r="B140" s="21" t="e" vm="144">
        <v>#VALUE!</v>
      </c>
      <c r="C140" s="109" t="str" cm="1">
        <f t="array" aca="1" ref="C140" ca="1">_FV(Table20[[#This Row],[Asset]],"Ticker symbol",TRUE)</f>
        <v>AAPL</v>
      </c>
      <c r="D140" s="26" cm="1">
        <f t="array" aca="1" ref="D140" ca="1">_FV(Table20[[#This Row],[Asset]],"Price")</f>
        <v>253.2</v>
      </c>
      <c r="E140" s="26">
        <v>215</v>
      </c>
      <c r="F140" s="33">
        <v>3</v>
      </c>
      <c r="G140" s="34">
        <v>1</v>
      </c>
      <c r="H140" s="34" t="s">
        <v>65</v>
      </c>
      <c r="I140" s="31">
        <v>45498</v>
      </c>
      <c r="J140" s="26">
        <v>1.18</v>
      </c>
      <c r="K140" s="24">
        <v>0.36159999999999998</v>
      </c>
      <c r="L140" s="33">
        <f>VLOOKUP(Table20[[#This Row],[Strategy]],Table29[#All],6,FALSE)</f>
        <v>-1</v>
      </c>
      <c r="M140" s="23">
        <v>3</v>
      </c>
      <c r="N140" s="23">
        <v>0.76</v>
      </c>
      <c r="O140" s="23"/>
      <c r="P140" s="23"/>
      <c r="Q140">
        <f>Table20[[#This Row],[Exit1]]*Table20[[#This Row],[ex1_price]]</f>
        <v>2.2800000000000002</v>
      </c>
      <c r="R140">
        <f>Table20[[#This Row],[Exit2]]*Table20[[#This Row],[ex2_price]]</f>
        <v>0</v>
      </c>
      <c r="S140">
        <f>IFERROR((Table20[[#This Row],[ex2_amnt]]+Table20[[#This Row],[ex1_amnt]])/(Table20[[#This Row],[Exit2]]+Table20[[#This Row],[Exit1]]),0)</f>
        <v>0.76000000000000012</v>
      </c>
      <c r="T140" s="5">
        <f>(Table20[[#This Row],[Exit1]]+Table20[[#This Row],[Exit2]])*(Table20[[#This Row],[avg_exit_price]]-Table20[[#This Row],[AvePrice]])*100*Table20[[#This Row],[Buy or Sell]]</f>
        <v>-125.99999999999993</v>
      </c>
      <c r="U140" s="5">
        <f>Table20[[#This Row],[Number of options]]*Table20[[#This Row],[AvePrice]]*100*Table20[[#This Row],[Buy or Sell]]</f>
        <v>354</v>
      </c>
      <c r="V140" s="8">
        <f>Table20[[#This Row],[Number of options]]-Table20[[#This Row],[Exit1]]-Table20[[#This Row],[Exit2]]</f>
        <v>0</v>
      </c>
      <c r="W140" s="30">
        <f ca="1">(Table20[[#This Row],[Expiration Date]]-TODAY())/365</f>
        <v>-1.6657534246575343</v>
      </c>
      <c r="X140" s="30" t="e">
        <f ca="1">(LN(Table20[[#This Row],[Current Price]]/Table20[[#This Row],[strike_price]]) + ($B$2 + (Table20[[#This Row],[Vol]]^2)/2)*Table20[[#This Row],[Time to expiration]]) / (Table20[[#This Row],[Vol]] * SQRT(Table20[[#This Row],[Time to expiration]]))</f>
        <v>#NUM!</v>
      </c>
      <c r="Y140" s="30" t="e">
        <f ca="1">IF(Table20[[#This Row],[Direction]]&gt;0, _xlfn.NORM.S.DIST(Table20[[#This Row],[d1]], TRUE), _xlfn.NORM.S.DIST(Table20[[#This Row],[d1]], TRUE) - 1) * Table20[[#This Row],[Buy or Sell]]</f>
        <v>#NUM!</v>
      </c>
      <c r="Z140" s="9">
        <f ca="1">Table20[[#This Row],[Remaining]]*Table20[[#This Row],[Current Price]]*100</f>
        <v>0</v>
      </c>
      <c r="AA140" s="22">
        <f ca="1">IFERROR(Table20[[#This Row],[nominal_exposure]]*Table20[[#This Row],[Delta]],0)</f>
        <v>0</v>
      </c>
      <c r="AB140" s="30" t="b">
        <f>IF(Table20[[#This Row],[date_purchased]]&lt;&gt;Table20[[#This Row],[Expiration Date]],FALSE,TRUE)</f>
        <v>0</v>
      </c>
      <c r="AC140" s="30" t="str">
        <f>VLOOKUP(Table20[[#This Row],[Asset]],Table19[#All],3,FALSE)</f>
        <v>AI</v>
      </c>
      <c r="AD140" s="30">
        <f>IF(Table20[[#This Row],[Remaining]]&lt;&gt;0,Table20[[#This Row],[Invested]]*Table20[[#This Row],[Remaining]]/Table20[[#This Row],[Number of options]],0)</f>
        <v>0</v>
      </c>
      <c r="AE140" s="30">
        <f ca="1">SUMIF(Table20[Ticker],Table20[[#This Row],[Ticker]],Table20[realized_profit])</f>
        <v>-153.9999999999996</v>
      </c>
      <c r="AF140" s="30" t="str">
        <f>VLOOKUP(Table20[[#This Row],[Strategy]],Table29[#All],7,FALSE)</f>
        <v>Bearish</v>
      </c>
    </row>
    <row r="141" spans="1:32" hidden="1">
      <c r="A141" s="35">
        <v>45499</v>
      </c>
      <c r="B141" s="21" t="e" vm="34">
        <v>#VALUE!</v>
      </c>
      <c r="C141" s="109" t="str" cm="1">
        <f t="array" aca="1" ref="C141" ca="1">_FV(Table20[[#This Row],[Asset]],"Ticker symbol",TRUE)</f>
        <v>TSM</v>
      </c>
      <c r="D141" s="26" cm="1">
        <f t="array" aca="1" ref="D141" ca="1">_FV(Table20[[#This Row],[Asset]],"Price")</f>
        <v>348.52499999999998</v>
      </c>
      <c r="E141" s="26">
        <v>160</v>
      </c>
      <c r="F141" s="33">
        <v>1</v>
      </c>
      <c r="G141" s="34">
        <v>1</v>
      </c>
      <c r="H141" s="34" t="s">
        <v>65</v>
      </c>
      <c r="I141" s="31">
        <v>45498</v>
      </c>
      <c r="J141" s="26">
        <v>2.19</v>
      </c>
      <c r="K141" s="24"/>
      <c r="L141" s="33">
        <f>VLOOKUP(Table20[[#This Row],[Strategy]],Table29[#All],6,FALSE)</f>
        <v>-1</v>
      </c>
      <c r="M141" s="23">
        <v>1</v>
      </c>
      <c r="N141" s="23">
        <v>1.07</v>
      </c>
      <c r="O141" s="23"/>
      <c r="P141" s="23"/>
      <c r="Q141">
        <f>Table20[[#This Row],[Exit1]]*Table20[[#This Row],[ex1_price]]</f>
        <v>1.07</v>
      </c>
      <c r="R141">
        <f>Table20[[#This Row],[Exit2]]*Table20[[#This Row],[ex2_price]]</f>
        <v>0</v>
      </c>
      <c r="S141">
        <f>IFERROR((Table20[[#This Row],[ex2_amnt]]+Table20[[#This Row],[ex1_amnt]])/(Table20[[#This Row],[Exit2]]+Table20[[#This Row],[Exit1]]),0)</f>
        <v>1.07</v>
      </c>
      <c r="T141" s="5">
        <f>(Table20[[#This Row],[Exit1]]+Table20[[#This Row],[Exit2]])*(Table20[[#This Row],[avg_exit_price]]-Table20[[#This Row],[AvePrice]])*100*Table20[[#This Row],[Buy or Sell]]</f>
        <v>-111.99999999999999</v>
      </c>
      <c r="U141" s="5">
        <f>Table20[[#This Row],[Number of options]]*Table20[[#This Row],[AvePrice]]*100*Table20[[#This Row],[Buy or Sell]]</f>
        <v>219</v>
      </c>
      <c r="V141" s="8">
        <f>Table20[[#This Row],[Number of options]]-Table20[[#This Row],[Exit1]]-Table20[[#This Row],[Exit2]]</f>
        <v>0</v>
      </c>
      <c r="W141" s="30">
        <f ca="1">(Table20[[#This Row],[Expiration Date]]-TODAY())/365</f>
        <v>-1.6657534246575343</v>
      </c>
      <c r="X141" s="30" t="e">
        <f ca="1">(LN(Table20[[#This Row],[Current Price]]/Table20[[#This Row],[strike_price]]) + ($B$2 + (Table20[[#This Row],[Vol]]^2)/2)*Table20[[#This Row],[Time to expiration]]) / (Table20[[#This Row],[Vol]] * SQRT(Table20[[#This Row],[Time to expiration]]))</f>
        <v>#NUM!</v>
      </c>
      <c r="Y141" s="30" t="e">
        <f ca="1">IF(Table20[[#This Row],[Direction]]&gt;0, _xlfn.NORM.S.DIST(Table20[[#This Row],[d1]], TRUE), _xlfn.NORM.S.DIST(Table20[[#This Row],[d1]], TRUE) - 1) * Table20[[#This Row],[Buy or Sell]]</f>
        <v>#NUM!</v>
      </c>
      <c r="Z141" s="9">
        <f ca="1">Table20[[#This Row],[Remaining]]*Table20[[#This Row],[Current Price]]*100</f>
        <v>0</v>
      </c>
      <c r="AA141" s="22">
        <f ca="1">IFERROR(Table20[[#This Row],[nominal_exposure]]*Table20[[#This Row],[Delta]],0)</f>
        <v>0</v>
      </c>
      <c r="AB141" s="30" t="b">
        <f>IF(Table20[[#This Row],[date_purchased]]&lt;&gt;Table20[[#This Row],[Expiration Date]],FALSE,TRUE)</f>
        <v>0</v>
      </c>
      <c r="AC141" s="30" t="str">
        <f>VLOOKUP(Table20[[#This Row],[Asset]],Table19[#All],3,FALSE)</f>
        <v>AI</v>
      </c>
      <c r="AD141" s="30">
        <f>IF(Table20[[#This Row],[Remaining]]&lt;&gt;0,Table20[[#This Row],[Invested]]*Table20[[#This Row],[Remaining]]/Table20[[#This Row],[Number of options]],0)</f>
        <v>0</v>
      </c>
      <c r="AE141" s="30">
        <f ca="1">SUMIF(Table20[Ticker],Table20[[#This Row],[Ticker]],Table20[realized_profit])</f>
        <v>-444.99999999999977</v>
      </c>
      <c r="AF141" s="30" t="str">
        <f>VLOOKUP(Table20[[#This Row],[Strategy]],Table29[#All],7,FALSE)</f>
        <v>Bearish</v>
      </c>
    </row>
    <row r="142" spans="1:32" hidden="1">
      <c r="A142" s="180">
        <v>45611</v>
      </c>
      <c r="B142" s="21" t="e" vm="96">
        <v>#VALUE!</v>
      </c>
      <c r="C142" s="109" t="str" cm="1">
        <f t="array" aca="1" ref="C142" ca="1">_FV(Table20[[#This Row],[Asset]],"Ticker symbol",TRUE)</f>
        <v>SPY</v>
      </c>
      <c r="D142" s="26" cm="1">
        <f t="array" aca="1" ref="D142" ca="1">_FV(Table20[[#This Row],[Asset]],"Price")</f>
        <v>658.59</v>
      </c>
      <c r="E142" s="26">
        <v>570</v>
      </c>
      <c r="F142" s="33">
        <v>3</v>
      </c>
      <c r="G142" s="34">
        <v>-1</v>
      </c>
      <c r="H142" s="34" t="s">
        <v>161</v>
      </c>
      <c r="I142" s="31">
        <v>45602</v>
      </c>
      <c r="J142" s="26">
        <v>1.1499999999999999</v>
      </c>
      <c r="K142" s="24">
        <v>0.33339999999999997</v>
      </c>
      <c r="L142" s="33">
        <f>VLOOKUP(Table20[[#This Row],[Strategy]],Table29[#All],6,FALSE)</f>
        <v>-1</v>
      </c>
      <c r="M142" s="23">
        <v>3</v>
      </c>
      <c r="N142" s="23">
        <v>0.01</v>
      </c>
      <c r="O142" s="23"/>
      <c r="P142" s="23"/>
      <c r="Q142">
        <f>Table20[[#This Row],[Exit1]]*Table20[[#This Row],[ex1_price]]</f>
        <v>0.03</v>
      </c>
      <c r="R142">
        <f>Table20[[#This Row],[Exit2]]*Table20[[#This Row],[ex2_price]]</f>
        <v>0</v>
      </c>
      <c r="S142">
        <f>IFERROR((Table20[[#This Row],[ex2_amnt]]+Table20[[#This Row],[ex1_amnt]])/(Table20[[#This Row],[Exit2]]+Table20[[#This Row],[Exit1]]),0)</f>
        <v>0.01</v>
      </c>
      <c r="T142" s="5">
        <f>(Table20[[#This Row],[Exit1]]+Table20[[#This Row],[Exit2]])*(Table20[[#This Row],[avg_exit_price]]-Table20[[#This Row],[AvePrice]])*100*Table20[[#This Row],[Buy or Sell]]</f>
        <v>342</v>
      </c>
      <c r="U142" s="5">
        <f>Table20[[#This Row],[Number of options]]*Table20[[#This Row],[AvePrice]]*100*Table20[[#This Row],[Buy or Sell]]</f>
        <v>-345</v>
      </c>
      <c r="V142" s="8">
        <f>Table20[[#This Row],[Number of options]]-Table20[[#This Row],[Exit1]]-Table20[[#This Row],[Exit2]]</f>
        <v>0</v>
      </c>
      <c r="W142" s="30">
        <f ca="1">(Table20[[#This Row],[Expiration Date]]-TODAY())/365</f>
        <v>-1.3589041095890411</v>
      </c>
      <c r="X142" s="30" t="e">
        <f ca="1">(LN(Table20[[#This Row],[Current Price]]/Table20[[#This Row],[strike_price]]) + ($B$2 + (Table20[[#This Row],[Vol]]^2)/2)*Table20[[#This Row],[Time to expiration]]) / (Table20[[#This Row],[Vol]] * SQRT(Table20[[#This Row],[Time to expiration]]))</f>
        <v>#NUM!</v>
      </c>
      <c r="Y142" s="30" t="e">
        <f ca="1">IF(Table20[[#This Row],[Direction]]&gt;0, _xlfn.NORM.S.DIST(Table20[[#This Row],[d1]], TRUE), _xlfn.NORM.S.DIST(Table20[[#This Row],[d1]], TRUE) - 1) * Table20[[#This Row],[Buy or Sell]]</f>
        <v>#NUM!</v>
      </c>
      <c r="Z142" s="9">
        <f ca="1">Table20[[#This Row],[Remaining]]*Table20[[#This Row],[Current Price]]*100</f>
        <v>0</v>
      </c>
      <c r="AA142" s="22">
        <f ca="1">IFERROR(Table20[[#This Row],[nominal_exposure]]*Table20[[#This Row],[Delta]],0)</f>
        <v>0</v>
      </c>
      <c r="AB142" s="30" t="b">
        <f>IF(Table20[[#This Row],[date_purchased]]&lt;&gt;Table20[[#This Row],[Expiration Date]],FALSE,TRUE)</f>
        <v>0</v>
      </c>
      <c r="AC142" s="30" t="str">
        <f>VLOOKUP(Table20[[#This Row],[Asset]],Table19[#All],3,FALSE)</f>
        <v>Market</v>
      </c>
      <c r="AD142" s="30">
        <f>IF(Table20[[#This Row],[Remaining]]&lt;&gt;0,Table20[[#This Row],[Invested]]*Table20[[#This Row],[Remaining]]/Table20[[#This Row],[Number of options]],0)</f>
        <v>0</v>
      </c>
      <c r="AE142" s="30">
        <f ca="1">SUMIF(Table20[Ticker],Table20[[#This Row],[Ticker]],Table20[realized_profit])</f>
        <v>-5077</v>
      </c>
      <c r="AF142" s="30" t="str">
        <f>VLOOKUP(Table20[[#This Row],[Strategy]],Table29[#All],7,FALSE)</f>
        <v>Bearish</v>
      </c>
    </row>
    <row r="143" spans="1:32" hidden="1">
      <c r="A143" s="35">
        <v>45555</v>
      </c>
      <c r="B143" s="21" t="e" vm="379">
        <v>#VALUE!</v>
      </c>
      <c r="C143" s="109" t="str" cm="1">
        <f t="array" aca="1" ref="C143" ca="1">_FV(Table20[[#This Row],[Asset]],"Ticker symbol",TRUE)</f>
        <v>WCN</v>
      </c>
      <c r="D143" s="26" cm="1">
        <f t="array" aca="1" ref="D143" ca="1">_FV(Table20[[#This Row],[Asset]],"Price")</f>
        <v>214.36</v>
      </c>
      <c r="E143" s="26">
        <v>175</v>
      </c>
      <c r="F143" s="33">
        <v>1</v>
      </c>
      <c r="G143" s="34">
        <v>1</v>
      </c>
      <c r="H143" s="34" t="s">
        <v>65</v>
      </c>
      <c r="I143" s="31">
        <v>45498</v>
      </c>
      <c r="J143" s="26">
        <v>4.3</v>
      </c>
      <c r="K143" s="24">
        <v>0.1699</v>
      </c>
      <c r="L143" s="33">
        <f>VLOOKUP(Table20[[#This Row],[Strategy]],Table29[#All],6,FALSE)</f>
        <v>-1</v>
      </c>
      <c r="M143" s="23">
        <v>1</v>
      </c>
      <c r="N143" s="23">
        <v>2.2000000000000002</v>
      </c>
      <c r="O143" s="23"/>
      <c r="P143" s="23"/>
      <c r="Q143">
        <f>Table20[[#This Row],[Exit1]]*Table20[[#This Row],[ex1_price]]</f>
        <v>2.2000000000000002</v>
      </c>
      <c r="R143">
        <f>Table20[[#This Row],[Exit2]]*Table20[[#This Row],[ex2_price]]</f>
        <v>0</v>
      </c>
      <c r="S143">
        <f>IFERROR((Table20[[#This Row],[ex2_amnt]]+Table20[[#This Row],[ex1_amnt]])/(Table20[[#This Row],[Exit2]]+Table20[[#This Row],[Exit1]]),0)</f>
        <v>2.2000000000000002</v>
      </c>
      <c r="T143" s="5">
        <f>(Table20[[#This Row],[Exit1]]+Table20[[#This Row],[Exit2]])*(Table20[[#This Row],[avg_exit_price]]-Table20[[#This Row],[AvePrice]])*100*Table20[[#This Row],[Buy or Sell]]</f>
        <v>-209.99999999999997</v>
      </c>
      <c r="U143" s="5">
        <f>Table20[[#This Row],[Number of options]]*Table20[[#This Row],[AvePrice]]*100*Table20[[#This Row],[Buy or Sell]]</f>
        <v>430</v>
      </c>
      <c r="V143" s="8">
        <f>Table20[[#This Row],[Number of options]]-Table20[[#This Row],[Exit1]]-Table20[[#This Row],[Exit2]]</f>
        <v>0</v>
      </c>
      <c r="W143" s="30">
        <f ca="1">(Table20[[#This Row],[Expiration Date]]-TODAY())/365</f>
        <v>-1.5123287671232877</v>
      </c>
      <c r="X143" s="30" t="e">
        <f ca="1">(LN(Table20[[#This Row],[Current Price]]/Table20[[#This Row],[strike_price]]) + ($B$2 + (Table20[[#This Row],[Vol]]^2)/2)*Table20[[#This Row],[Time to expiration]]) / (Table20[[#This Row],[Vol]] * SQRT(Table20[[#This Row],[Time to expiration]]))</f>
        <v>#NUM!</v>
      </c>
      <c r="Y143" s="30" t="e">
        <f ca="1">IF(Table20[[#This Row],[Direction]]&gt;0, _xlfn.NORM.S.DIST(Table20[[#This Row],[d1]], TRUE), _xlfn.NORM.S.DIST(Table20[[#This Row],[d1]], TRUE) - 1) * Table20[[#This Row],[Buy or Sell]]</f>
        <v>#NUM!</v>
      </c>
      <c r="Z143" s="9">
        <f ca="1">Table20[[#This Row],[Remaining]]*Table20[[#This Row],[Current Price]]*100</f>
        <v>0</v>
      </c>
      <c r="AA143" s="22">
        <f ca="1">IFERROR(Table20[[#This Row],[nominal_exposure]]*Table20[[#This Row],[Delta]],0)</f>
        <v>0</v>
      </c>
      <c r="AB143" s="30" t="b">
        <f>IF(Table20[[#This Row],[date_purchased]]&lt;&gt;Table20[[#This Row],[Expiration Date]],FALSE,TRUE)</f>
        <v>0</v>
      </c>
      <c r="AC143" s="30" t="str">
        <f>VLOOKUP(Table20[[#This Row],[Asset]],Table19[#All],3,FALSE)</f>
        <v>Industrials</v>
      </c>
      <c r="AD143" s="30">
        <f>IF(Table20[[#This Row],[Remaining]]&lt;&gt;0,Table20[[#This Row],[Invested]]*Table20[[#This Row],[Remaining]]/Table20[[#This Row],[Number of options]],0)</f>
        <v>0</v>
      </c>
      <c r="AE143" s="30">
        <f ca="1">SUMIF(Table20[Ticker],Table20[[#This Row],[Ticker]],Table20[realized_profit])</f>
        <v>-209.99999999999997</v>
      </c>
      <c r="AF143" s="30" t="str">
        <f>VLOOKUP(Table20[[#This Row],[Strategy]],Table29[#All],7,FALSE)</f>
        <v>Bearish</v>
      </c>
    </row>
    <row r="144" spans="1:32" hidden="1">
      <c r="A144" s="35">
        <v>45499</v>
      </c>
      <c r="B144" s="21" t="e" vm="16">
        <v>#VALUE!</v>
      </c>
      <c r="C144" s="109" t="str" cm="1">
        <f t="array" aca="1" ref="C144" ca="1">_FV(Table20[[#This Row],[Asset]],"Ticker symbol",TRUE)</f>
        <v>GOOG</v>
      </c>
      <c r="D144" s="26" cm="1">
        <f t="array" aca="1" ref="D144" ca="1">_FV(Table20[[#This Row],[Asset]],"Price")</f>
        <v>290.39</v>
      </c>
      <c r="E144" s="26">
        <v>170</v>
      </c>
      <c r="F144" s="33">
        <v>1</v>
      </c>
      <c r="G144" s="34">
        <v>1</v>
      </c>
      <c r="H144" s="34" t="s">
        <v>65</v>
      </c>
      <c r="I144" s="31">
        <v>45498</v>
      </c>
      <c r="J144" s="26">
        <v>1.76</v>
      </c>
      <c r="K144" s="24"/>
      <c r="L144" s="33">
        <f>VLOOKUP(Table20[[#This Row],[Strategy]],Table29[#All],6,FALSE)</f>
        <v>-1</v>
      </c>
      <c r="M144" s="23">
        <v>1</v>
      </c>
      <c r="N144" s="23">
        <v>3</v>
      </c>
      <c r="O144" s="23"/>
      <c r="P144" s="23"/>
      <c r="Q144">
        <f>Table20[[#This Row],[Exit1]]*Table20[[#This Row],[ex1_price]]</f>
        <v>3</v>
      </c>
      <c r="R144">
        <f>Table20[[#This Row],[Exit2]]*Table20[[#This Row],[ex2_price]]</f>
        <v>0</v>
      </c>
      <c r="S144">
        <f>IFERROR((Table20[[#This Row],[ex2_amnt]]+Table20[[#This Row],[ex1_amnt]])/(Table20[[#This Row],[Exit2]]+Table20[[#This Row],[Exit1]]),0)</f>
        <v>3</v>
      </c>
      <c r="T144" s="5">
        <f>(Table20[[#This Row],[Exit1]]+Table20[[#This Row],[Exit2]])*(Table20[[#This Row],[avg_exit_price]]-Table20[[#This Row],[AvePrice]])*100*Table20[[#This Row],[Buy or Sell]]</f>
        <v>124</v>
      </c>
      <c r="U144" s="5">
        <f>Table20[[#This Row],[Number of options]]*Table20[[#This Row],[AvePrice]]*100*Table20[[#This Row],[Buy or Sell]]</f>
        <v>176</v>
      </c>
      <c r="V144" s="8">
        <f>Table20[[#This Row],[Number of options]]-Table20[[#This Row],[Exit1]]-Table20[[#This Row],[Exit2]]</f>
        <v>0</v>
      </c>
      <c r="W144" s="30">
        <f ca="1">(Table20[[#This Row],[Expiration Date]]-TODAY())/365</f>
        <v>-1.6657534246575343</v>
      </c>
      <c r="X144" s="30" t="e">
        <f ca="1">(LN(Table20[[#This Row],[Current Price]]/Table20[[#This Row],[strike_price]]) + ($B$2 + (Table20[[#This Row],[Vol]]^2)/2)*Table20[[#This Row],[Time to expiration]]) / (Table20[[#This Row],[Vol]] * SQRT(Table20[[#This Row],[Time to expiration]]))</f>
        <v>#NUM!</v>
      </c>
      <c r="Y144" s="30" t="e">
        <f ca="1">IF(Table20[[#This Row],[Direction]]&gt;0, _xlfn.NORM.S.DIST(Table20[[#This Row],[d1]], TRUE), _xlfn.NORM.S.DIST(Table20[[#This Row],[d1]], TRUE) - 1) * Table20[[#This Row],[Buy or Sell]]</f>
        <v>#NUM!</v>
      </c>
      <c r="Z144" s="9">
        <f ca="1">Table20[[#This Row],[Remaining]]*Table20[[#This Row],[Current Price]]*100</f>
        <v>0</v>
      </c>
      <c r="AA144" s="22">
        <f ca="1">IFERROR(Table20[[#This Row],[nominal_exposure]]*Table20[[#This Row],[Delta]],0)</f>
        <v>0</v>
      </c>
      <c r="AB144" s="30" t="b">
        <f>IF(Table20[[#This Row],[date_purchased]]&lt;&gt;Table20[[#This Row],[Expiration Date]],FALSE,TRUE)</f>
        <v>0</v>
      </c>
      <c r="AC144" s="30" t="str">
        <f>VLOOKUP(Table20[[#This Row],[Asset]],Table19[#All],3,FALSE)</f>
        <v>AI</v>
      </c>
      <c r="AD144" s="30">
        <f>IF(Table20[[#This Row],[Remaining]]&lt;&gt;0,Table20[[#This Row],[Invested]]*Table20[[#This Row],[Remaining]]/Table20[[#This Row],[Number of options]],0)</f>
        <v>0</v>
      </c>
      <c r="AE144" s="30">
        <f ca="1">SUMIF(Table20[Ticker],Table20[[#This Row],[Ticker]],Table20[realized_profit])</f>
        <v>4148.03</v>
      </c>
      <c r="AF144" s="30" t="str">
        <f>VLOOKUP(Table20[[#This Row],[Strategy]],Table29[#All],7,FALSE)</f>
        <v>Bearish</v>
      </c>
    </row>
    <row r="145" spans="1:32" hidden="1">
      <c r="A145" s="118">
        <v>45520</v>
      </c>
      <c r="B145" s="21" t="e" vm="34">
        <v>#VALUE!</v>
      </c>
      <c r="C145" s="109" t="str" cm="1">
        <f t="array" aca="1" ref="C145" ca="1">_FV(Table20[[#This Row],[Asset]],"Ticker symbol",TRUE)</f>
        <v>TSM</v>
      </c>
      <c r="D145" s="26" cm="1">
        <f t="array" aca="1" ref="D145" ca="1">_FV(Table20[[#This Row],[Asset]],"Price")</f>
        <v>348.52499999999998</v>
      </c>
      <c r="E145" s="26">
        <v>200</v>
      </c>
      <c r="F145" s="33">
        <v>1</v>
      </c>
      <c r="G145" s="34">
        <v>-1</v>
      </c>
      <c r="H145" s="111" t="s">
        <v>114</v>
      </c>
      <c r="I145" s="31">
        <v>45449</v>
      </c>
      <c r="J145" s="26">
        <v>1.87</v>
      </c>
      <c r="K145" s="24">
        <v>0.44550000000000001</v>
      </c>
      <c r="L145" s="33">
        <f>VLOOKUP(Table20[[#This Row],[Strategy]],Table29[#All],6,FALSE)</f>
        <v>1</v>
      </c>
      <c r="M145" s="23">
        <v>1</v>
      </c>
      <c r="N145" s="23">
        <v>0</v>
      </c>
      <c r="O145" s="23"/>
      <c r="P145" s="23"/>
      <c r="Q145">
        <f>Table20[[#This Row],[Exit1]]*Table20[[#This Row],[ex1_price]]</f>
        <v>0</v>
      </c>
      <c r="R145">
        <f>Table20[[#This Row],[Exit2]]*Table20[[#This Row],[ex2_price]]</f>
        <v>0</v>
      </c>
      <c r="S145">
        <f>IFERROR((Table20[[#This Row],[ex2_amnt]]+Table20[[#This Row],[ex1_amnt]])/(Table20[[#This Row],[Exit2]]+Table20[[#This Row],[Exit1]]),0)</f>
        <v>0</v>
      </c>
      <c r="T145" s="5">
        <f>(Table20[[#This Row],[Exit1]]+Table20[[#This Row],[Exit2]])*(Table20[[#This Row],[avg_exit_price]]-Table20[[#This Row],[AvePrice]])*100*Table20[[#This Row],[Buy or Sell]]</f>
        <v>187</v>
      </c>
      <c r="U145" s="5">
        <f>Table20[[#This Row],[Number of options]]*Table20[[#This Row],[AvePrice]]*100*Table20[[#This Row],[Buy or Sell]]</f>
        <v>-187</v>
      </c>
      <c r="V145" s="8">
        <f>Table20[[#This Row],[Number of options]]-Table20[[#This Row],[Exit1]]-Table20[[#This Row],[Exit2]]</f>
        <v>0</v>
      </c>
      <c r="W145" s="30">
        <f ca="1">(Table20[[#This Row],[Expiration Date]]-TODAY())/365</f>
        <v>-1.6082191780821917</v>
      </c>
      <c r="X145" s="30" t="e">
        <f ca="1">(LN(Table20[[#This Row],[Current Price]]/Table20[[#This Row],[strike_price]]) + ($B$2 + (Table20[[#This Row],[Vol]]^2)/2)*Table20[[#This Row],[Time to expiration]]) / (Table20[[#This Row],[Vol]] * SQRT(Table20[[#This Row],[Time to expiration]]))</f>
        <v>#NUM!</v>
      </c>
      <c r="Y145" s="30" t="e">
        <f ca="1">IF(Table20[[#This Row],[Direction]]&gt;0, _xlfn.NORM.S.DIST(Table20[[#This Row],[d1]], TRUE), _xlfn.NORM.S.DIST(Table20[[#This Row],[d1]], TRUE) - 1) * Table20[[#This Row],[Buy or Sell]]</f>
        <v>#NUM!</v>
      </c>
      <c r="Z145" s="9">
        <f ca="1">Table20[[#This Row],[Remaining]]*Table20[[#This Row],[Current Price]]*100</f>
        <v>0</v>
      </c>
      <c r="AA145" s="22">
        <f ca="1">IFERROR(Table20[[#This Row],[nominal_exposure]]*Table20[[#This Row],[Delta]],0)</f>
        <v>0</v>
      </c>
      <c r="AB145" s="99" t="b">
        <f>IF(Table20[[#This Row],[date_purchased]]&lt;&gt;Table20[[#This Row],[Expiration Date]],FALSE,TRUE)</f>
        <v>0</v>
      </c>
      <c r="AC145" s="30" t="str">
        <f>VLOOKUP(Table20[[#This Row],[Asset]],Table19[#All],3,FALSE)</f>
        <v>AI</v>
      </c>
      <c r="AD145" s="4">
        <f>IF(Table20[[#This Row],[Remaining]]&lt;&gt;0,Table20[[#This Row],[Invested]]*Table20[[#This Row],[Remaining]]/Table20[[#This Row],[Number of options]],0)</f>
        <v>0</v>
      </c>
      <c r="AE145" s="30">
        <f ca="1">SUMIF(Table20[Ticker],Table20[[#This Row],[Ticker]],Table20[realized_profit])</f>
        <v>-444.99999999999977</v>
      </c>
      <c r="AF145" s="30" t="str">
        <f>VLOOKUP(Table20[[#This Row],[Strategy]],Table29[#All],7,FALSE)</f>
        <v>Bullish</v>
      </c>
    </row>
    <row r="146" spans="1:32" hidden="1">
      <c r="A146" s="35">
        <v>45499</v>
      </c>
      <c r="B146" s="21" t="e" vm="63">
        <v>#VALUE!</v>
      </c>
      <c r="C146" s="109" t="str" cm="1">
        <f t="array" aca="1" ref="C146" ca="1">_FV(Table20[[#This Row],[Asset]],"Ticker symbol",TRUE)</f>
        <v>TSLA</v>
      </c>
      <c r="D146" s="26" cm="1">
        <f t="array" aca="1" ref="D146" ca="1">_FV(Table20[[#This Row],[Asset]],"Price")</f>
        <v>394.5401</v>
      </c>
      <c r="E146" s="26">
        <v>215</v>
      </c>
      <c r="F146" s="33">
        <v>5</v>
      </c>
      <c r="G146" s="34">
        <v>1</v>
      </c>
      <c r="H146" s="34" t="s">
        <v>65</v>
      </c>
      <c r="I146" s="31">
        <v>45499</v>
      </c>
      <c r="J146" s="26">
        <v>0.94</v>
      </c>
      <c r="K146" s="24">
        <v>1.0944</v>
      </c>
      <c r="L146" s="33">
        <f>VLOOKUP(Table20[[#This Row],[Strategy]],Table29[#All],6,FALSE)</f>
        <v>-1</v>
      </c>
      <c r="M146" s="23">
        <v>3</v>
      </c>
      <c r="N146" s="23">
        <v>0.6</v>
      </c>
      <c r="O146" s="23">
        <v>2</v>
      </c>
      <c r="P146" s="23">
        <v>7.0000000000000007E-2</v>
      </c>
      <c r="Q146">
        <f>Table20[[#This Row],[Exit1]]*Table20[[#This Row],[ex1_price]]</f>
        <v>1.7999999999999998</v>
      </c>
      <c r="R146">
        <f>Table20[[#This Row],[Exit2]]*Table20[[#This Row],[ex2_price]]</f>
        <v>0.14000000000000001</v>
      </c>
      <c r="S146">
        <f>IFERROR((Table20[[#This Row],[ex2_amnt]]+Table20[[#This Row],[ex1_amnt]])/(Table20[[#This Row],[Exit2]]+Table20[[#This Row],[Exit1]]),0)</f>
        <v>0.38800000000000001</v>
      </c>
      <c r="T146" s="5">
        <f>(Table20[[#This Row],[Exit1]]+Table20[[#This Row],[Exit2]])*(Table20[[#This Row],[avg_exit_price]]-Table20[[#This Row],[AvePrice]])*100*Table20[[#This Row],[Buy or Sell]]</f>
        <v>-276</v>
      </c>
      <c r="U146" s="5">
        <f>Table20[[#This Row],[Number of options]]*Table20[[#This Row],[AvePrice]]*100*Table20[[#This Row],[Buy or Sell]]</f>
        <v>469.99999999999994</v>
      </c>
      <c r="V146" s="8">
        <f>Table20[[#This Row],[Number of options]]-Table20[[#This Row],[Exit1]]-Table20[[#This Row],[Exit2]]</f>
        <v>0</v>
      </c>
      <c r="W146" s="30">
        <f ca="1">(Table20[[#This Row],[Expiration Date]]-TODAY())/365</f>
        <v>-1.6657534246575343</v>
      </c>
      <c r="X146" s="30" t="e">
        <f ca="1">(LN(Table20[[#This Row],[Current Price]]/Table20[[#This Row],[strike_price]]) + ($B$2 + (Table20[[#This Row],[Vol]]^2)/2)*Table20[[#This Row],[Time to expiration]]) / (Table20[[#This Row],[Vol]] * SQRT(Table20[[#This Row],[Time to expiration]]))</f>
        <v>#NUM!</v>
      </c>
      <c r="Y146" s="30" t="e">
        <f ca="1">IF(Table20[[#This Row],[Direction]]&gt;0, _xlfn.NORM.S.DIST(Table20[[#This Row],[d1]], TRUE), _xlfn.NORM.S.DIST(Table20[[#This Row],[d1]], TRUE) - 1) * Table20[[#This Row],[Buy or Sell]]</f>
        <v>#NUM!</v>
      </c>
      <c r="Z146" s="9">
        <f ca="1">Table20[[#This Row],[Remaining]]*Table20[[#This Row],[Current Price]]*100</f>
        <v>0</v>
      </c>
      <c r="AA146" s="22">
        <f ca="1">IFERROR(Table20[[#This Row],[nominal_exposure]]*Table20[[#This Row],[Delta]],0)</f>
        <v>0</v>
      </c>
      <c r="AB146" s="30" t="b">
        <f>IF(Table20[[#This Row],[date_purchased]]&lt;&gt;Table20[[#This Row],[Expiration Date]],FALSE,TRUE)</f>
        <v>1</v>
      </c>
      <c r="AC146" s="30" t="str">
        <f>VLOOKUP(Table20[[#This Row],[Asset]],Table19[#All],3,FALSE)</f>
        <v>Auto</v>
      </c>
      <c r="AD146" s="30">
        <f>IF(Table20[[#This Row],[Remaining]]&lt;&gt;0,Table20[[#This Row],[Invested]]*Table20[[#This Row],[Remaining]]/Table20[[#This Row],[Number of options]],0)</f>
        <v>0</v>
      </c>
      <c r="AE146" s="30">
        <f ca="1">SUMIF(Table20[Ticker],Table20[[#This Row],[Ticker]],Table20[realized_profit])</f>
        <v>4153</v>
      </c>
      <c r="AF146" s="30" t="str">
        <f>VLOOKUP(Table20[[#This Row],[Strategy]],Table29[#All],7,FALSE)</f>
        <v>Bearish</v>
      </c>
    </row>
    <row r="147" spans="1:32" hidden="1">
      <c r="A147" s="35">
        <v>45555</v>
      </c>
      <c r="B147" s="21" t="e" vm="160">
        <v>#VALUE!</v>
      </c>
      <c r="C147" s="109" t="str" cm="1">
        <f t="array" aca="1" ref="C147" ca="1">_FV(Table20[[#This Row],[Asset]],"Ticker symbol",TRUE)</f>
        <v>VST</v>
      </c>
      <c r="D147" s="26" cm="1">
        <f t="array" aca="1" ref="D147" ca="1">_FV(Table20[[#This Row],[Asset]],"Price")</f>
        <v>154.57</v>
      </c>
      <c r="E147" s="26">
        <v>85</v>
      </c>
      <c r="F147" s="33">
        <v>2</v>
      </c>
      <c r="G147" s="34">
        <v>1</v>
      </c>
      <c r="H147" s="34" t="s">
        <v>115</v>
      </c>
      <c r="I147" s="31">
        <v>45503</v>
      </c>
      <c r="J147" s="26">
        <v>2.0699999999999998</v>
      </c>
      <c r="K147" s="24">
        <v>0.53380000000000005</v>
      </c>
      <c r="L147" s="33">
        <f>VLOOKUP(Table20[[#This Row],[Strategy]],Table29[#All],6,FALSE)</f>
        <v>1</v>
      </c>
      <c r="M147" s="23">
        <v>2</v>
      </c>
      <c r="N147" s="23">
        <v>2.33</v>
      </c>
      <c r="O147" s="23"/>
      <c r="P147" s="23"/>
      <c r="Q147">
        <f>Table20[[#This Row],[Exit1]]*Table20[[#This Row],[ex1_price]]</f>
        <v>4.66</v>
      </c>
      <c r="R147">
        <f>Table20[[#This Row],[Exit2]]*Table20[[#This Row],[ex2_price]]</f>
        <v>0</v>
      </c>
      <c r="S147">
        <f>IFERROR((Table20[[#This Row],[ex2_amnt]]+Table20[[#This Row],[ex1_amnt]])/(Table20[[#This Row],[Exit2]]+Table20[[#This Row],[Exit1]]),0)</f>
        <v>2.33</v>
      </c>
      <c r="T147" s="5">
        <f>(Table20[[#This Row],[Exit1]]+Table20[[#This Row],[Exit2]])*(Table20[[#This Row],[avg_exit_price]]-Table20[[#This Row],[AvePrice]])*100*Table20[[#This Row],[Buy or Sell]]</f>
        <v>52.000000000000043</v>
      </c>
      <c r="U147" s="5">
        <f>Table20[[#This Row],[Number of options]]*Table20[[#This Row],[AvePrice]]*100*Table20[[#This Row],[Buy or Sell]]</f>
        <v>413.99999999999994</v>
      </c>
      <c r="V147" s="8">
        <f>Table20[[#This Row],[Number of options]]-Table20[[#This Row],[Exit1]]-Table20[[#This Row],[Exit2]]</f>
        <v>0</v>
      </c>
      <c r="W147" s="30">
        <f ca="1">(Table20[[#This Row],[Expiration Date]]-TODAY())/365</f>
        <v>-1.5123287671232877</v>
      </c>
      <c r="X147" s="30" t="e">
        <f ca="1">(LN(Table20[[#This Row],[Current Price]]/Table20[[#This Row],[strike_price]]) + ($B$2 + (Table20[[#This Row],[Vol]]^2)/2)*Table20[[#This Row],[Time to expiration]]) / (Table20[[#This Row],[Vol]] * SQRT(Table20[[#This Row],[Time to expiration]]))</f>
        <v>#NUM!</v>
      </c>
      <c r="Y147" s="30" t="e">
        <f ca="1">IF(Table20[[#This Row],[Direction]]&gt;0, _xlfn.NORM.S.DIST(Table20[[#This Row],[d1]], TRUE), _xlfn.NORM.S.DIST(Table20[[#This Row],[d1]], TRUE) - 1) * Table20[[#This Row],[Buy or Sell]]</f>
        <v>#NUM!</v>
      </c>
      <c r="Z147" s="9">
        <f ca="1">Table20[[#This Row],[Remaining]]*Table20[[#This Row],[Current Price]]*100</f>
        <v>0</v>
      </c>
      <c r="AA147" s="22">
        <f ca="1">IFERROR(Table20[[#This Row],[nominal_exposure]]*Table20[[#This Row],[Delta]],0)</f>
        <v>0</v>
      </c>
      <c r="AB147" s="30" t="b">
        <f>IF(Table20[[#This Row],[date_purchased]]&lt;&gt;Table20[[#This Row],[Expiration Date]],FALSE,TRUE)</f>
        <v>0</v>
      </c>
      <c r="AC147" s="30" t="str">
        <f>VLOOKUP(Table20[[#This Row],[Asset]],Table19[#All],3,FALSE)</f>
        <v>Utilities</v>
      </c>
      <c r="AD147" s="4">
        <f>IF(Table20[[#This Row],[Remaining]]&lt;&gt;0,Table20[[#This Row],[Invested]]*Table20[[#This Row],[Remaining]]/Table20[[#This Row],[Number of options]],0)</f>
        <v>0</v>
      </c>
      <c r="AE147" s="30">
        <f ca="1">SUMIF(Table20[Ticker],Table20[[#This Row],[Ticker]],Table20[realized_profit])</f>
        <v>52.000000000000043</v>
      </c>
      <c r="AF147" s="30" t="str">
        <f>VLOOKUP(Table20[[#This Row],[Strategy]],Table29[#All],7,FALSE)</f>
        <v>Bullish</v>
      </c>
    </row>
    <row r="148" spans="1:32" hidden="1">
      <c r="A148" s="231">
        <v>45607</v>
      </c>
      <c r="B148" s="21" t="e" vm="96">
        <v>#VALUE!</v>
      </c>
      <c r="C148" s="109" t="str" cm="1">
        <f t="array" aca="1" ref="C148" ca="1">_FV(Table20[[#This Row],[Asset]],"Ticker symbol",TRUE)</f>
        <v>SPY</v>
      </c>
      <c r="D148" s="26" cm="1">
        <f t="array" aca="1" ref="D148" ca="1">_FV(Table20[[#This Row],[Asset]],"Price")</f>
        <v>658.59</v>
      </c>
      <c r="E148" s="26">
        <v>550</v>
      </c>
      <c r="F148" s="33">
        <v>8</v>
      </c>
      <c r="G148" s="34">
        <v>1</v>
      </c>
      <c r="H148" s="34" t="s">
        <v>161</v>
      </c>
      <c r="I148" s="31">
        <v>45596</v>
      </c>
      <c r="J148" s="26">
        <v>2.12</v>
      </c>
      <c r="K148" s="24">
        <v>0.24829999999999999</v>
      </c>
      <c r="L148" s="33">
        <f>VLOOKUP(Table20[[#This Row],[Strategy]],Table29[#All],6,FALSE)</f>
        <v>-1</v>
      </c>
      <c r="M148" s="23">
        <v>8</v>
      </c>
      <c r="N148" s="23">
        <v>0.11</v>
      </c>
      <c r="O148" s="23"/>
      <c r="P148" s="23"/>
      <c r="Q148">
        <f>Table20[[#This Row],[Exit1]]*Table20[[#This Row],[ex1_price]]</f>
        <v>0.88</v>
      </c>
      <c r="R148">
        <f>Table20[[#This Row],[Exit2]]*Table20[[#This Row],[ex2_price]]</f>
        <v>0</v>
      </c>
      <c r="S148">
        <f>IFERROR((Table20[[#This Row],[ex2_amnt]]+Table20[[#This Row],[ex1_amnt]])/(Table20[[#This Row],[Exit2]]+Table20[[#This Row],[Exit1]]),0)</f>
        <v>0.11</v>
      </c>
      <c r="T148" s="5">
        <f>(Table20[[#This Row],[Exit1]]+Table20[[#This Row],[Exit2]])*(Table20[[#This Row],[avg_exit_price]]-Table20[[#This Row],[AvePrice]])*100*Table20[[#This Row],[Buy or Sell]]</f>
        <v>-1608.0000000000002</v>
      </c>
      <c r="U148" s="5">
        <f>Table20[[#This Row],[Number of options]]*Table20[[#This Row],[AvePrice]]*100*Table20[[#This Row],[Buy or Sell]]</f>
        <v>1696</v>
      </c>
      <c r="V148" s="8">
        <f>Table20[[#This Row],[Number of options]]-Table20[[#This Row],[Exit1]]-Table20[[#This Row],[Exit2]]</f>
        <v>0</v>
      </c>
      <c r="W148" s="30">
        <f ca="1">(Table20[[#This Row],[Expiration Date]]-TODAY())/365</f>
        <v>-1.3698630136986301</v>
      </c>
      <c r="X148" s="30" t="e">
        <f ca="1">(LN(Table20[[#This Row],[Current Price]]/Table20[[#This Row],[strike_price]]) + ($B$2 + (Table20[[#This Row],[Vol]]^2)/2)*Table20[[#This Row],[Time to expiration]]) / (Table20[[#This Row],[Vol]] * SQRT(Table20[[#This Row],[Time to expiration]]))</f>
        <v>#NUM!</v>
      </c>
      <c r="Y148" s="30" t="e">
        <f ca="1">IF(Table20[[#This Row],[Direction]]&gt;0, _xlfn.NORM.S.DIST(Table20[[#This Row],[d1]], TRUE), _xlfn.NORM.S.DIST(Table20[[#This Row],[d1]], TRUE) - 1) * Table20[[#This Row],[Buy or Sell]]</f>
        <v>#NUM!</v>
      </c>
      <c r="Z148" s="9">
        <f ca="1">Table20[[#This Row],[Remaining]]*Table20[[#This Row],[Current Price]]*100</f>
        <v>0</v>
      </c>
      <c r="AA148" s="22">
        <f ca="1">IFERROR(Table20[[#This Row],[nominal_exposure]]*Table20[[#This Row],[Delta]],0)</f>
        <v>0</v>
      </c>
      <c r="AB148" s="30" t="b">
        <f>IF(Table20[[#This Row],[date_purchased]]&lt;&gt;Table20[[#This Row],[Expiration Date]],FALSE,TRUE)</f>
        <v>0</v>
      </c>
      <c r="AC148" s="30" t="str">
        <f>VLOOKUP(Table20[[#This Row],[Asset]],Table19[#All],3,FALSE)</f>
        <v>Market</v>
      </c>
      <c r="AD148" s="30">
        <f>IF(Table20[[#This Row],[Remaining]]&lt;&gt;0,Table20[[#This Row],[Invested]]*Table20[[#This Row],[Remaining]]/Table20[[#This Row],[Number of options]],0)</f>
        <v>0</v>
      </c>
      <c r="AE148" s="30">
        <f ca="1">SUMIF(Table20[Ticker],Table20[[#This Row],[Ticker]],Table20[realized_profit])</f>
        <v>-5077</v>
      </c>
      <c r="AF148" s="30" t="str">
        <f>VLOOKUP(Table20[[#This Row],[Strategy]],Table29[#All],7,FALSE)</f>
        <v>Bearish</v>
      </c>
    </row>
    <row r="149" spans="1:32" hidden="1">
      <c r="A149" s="201">
        <v>45604</v>
      </c>
      <c r="B149" s="21" t="e" vm="96">
        <v>#VALUE!</v>
      </c>
      <c r="C149" s="109" t="str" cm="1">
        <f t="array" aca="1" ref="C149" ca="1">_FV(Table20[[#This Row],[Asset]],"Ticker symbol",TRUE)</f>
        <v>SPY</v>
      </c>
      <c r="D149" s="26" cm="1">
        <f t="array" aca="1" ref="D149" ca="1">_FV(Table20[[#This Row],[Asset]],"Price")</f>
        <v>658.59</v>
      </c>
      <c r="E149" s="26">
        <v>550</v>
      </c>
      <c r="F149" s="33">
        <v>10</v>
      </c>
      <c r="G149" s="34">
        <v>-1</v>
      </c>
      <c r="H149" s="34" t="s">
        <v>161</v>
      </c>
      <c r="I149" s="31">
        <v>45576</v>
      </c>
      <c r="J149" s="26">
        <v>2.2000000000000002</v>
      </c>
      <c r="K149" s="24">
        <v>0.22209999999999999</v>
      </c>
      <c r="L149" s="33">
        <f>VLOOKUP(Table20[[#This Row],[Strategy]],Table29[#All],6,FALSE)</f>
        <v>-1</v>
      </c>
      <c r="M149" s="23">
        <v>2</v>
      </c>
      <c r="N149" s="23">
        <v>1.57</v>
      </c>
      <c r="O149" s="23">
        <v>8</v>
      </c>
      <c r="P149" s="23">
        <v>7.0000000000000007E-2</v>
      </c>
      <c r="Q149">
        <f>Table20[[#This Row],[Exit1]]*Table20[[#This Row],[ex1_price]]</f>
        <v>3.14</v>
      </c>
      <c r="R149">
        <f>Table20[[#This Row],[Exit2]]*Table20[[#This Row],[ex2_price]]</f>
        <v>0.56000000000000005</v>
      </c>
      <c r="S149">
        <f>IFERROR((Table20[[#This Row],[ex2_amnt]]+Table20[[#This Row],[ex1_amnt]])/(Table20[[#This Row],[Exit2]]+Table20[[#This Row],[Exit1]]),0)</f>
        <v>0.37</v>
      </c>
      <c r="T149" s="5">
        <f>(Table20[[#This Row],[Exit1]]+Table20[[#This Row],[Exit2]])*(Table20[[#This Row],[avg_exit_price]]-Table20[[#This Row],[AvePrice]])*100*Table20[[#This Row],[Buy or Sell]]</f>
        <v>1830</v>
      </c>
      <c r="U149" s="5">
        <f>Table20[[#This Row],[Number of options]]*Table20[[#This Row],[AvePrice]]*100*Table20[[#This Row],[Buy or Sell]]</f>
        <v>-2200</v>
      </c>
      <c r="V149" s="8">
        <f>Table20[[#This Row],[Number of options]]-Table20[[#This Row],[Exit1]]-Table20[[#This Row],[Exit2]]</f>
        <v>0</v>
      </c>
      <c r="W149" s="30">
        <f ca="1">(Table20[[#This Row],[Expiration Date]]-TODAY())/365</f>
        <v>-1.3780821917808219</v>
      </c>
      <c r="X149" s="30" t="e">
        <f ca="1">(LN(Table20[[#This Row],[Current Price]]/Table20[[#This Row],[strike_price]]) + ($B$2 + (Table20[[#This Row],[Vol]]^2)/2)*Table20[[#This Row],[Time to expiration]]) / (Table20[[#This Row],[Vol]] * SQRT(Table20[[#This Row],[Time to expiration]]))</f>
        <v>#NUM!</v>
      </c>
      <c r="Y149" s="30" t="e">
        <f ca="1">IF(Table20[[#This Row],[Direction]]&gt;0, _xlfn.NORM.S.DIST(Table20[[#This Row],[d1]], TRUE), _xlfn.NORM.S.DIST(Table20[[#This Row],[d1]], TRUE) - 1) * Table20[[#This Row],[Buy or Sell]]</f>
        <v>#NUM!</v>
      </c>
      <c r="Z149" s="9">
        <f ca="1">Table20[[#This Row],[Remaining]]*Table20[[#This Row],[Current Price]]*100</f>
        <v>0</v>
      </c>
      <c r="AA149" s="22">
        <f ca="1">IFERROR(Table20[[#This Row],[nominal_exposure]]*Table20[[#This Row],[Delta]],0)</f>
        <v>0</v>
      </c>
      <c r="AB149" s="30" t="b">
        <f>IF(Table20[[#This Row],[date_purchased]]&lt;&gt;Table20[[#This Row],[Expiration Date]],FALSE,TRUE)</f>
        <v>0</v>
      </c>
      <c r="AC149" s="30" t="str">
        <f>VLOOKUP(Table20[[#This Row],[Asset]],Table19[#All],3,FALSE)</f>
        <v>Market</v>
      </c>
      <c r="AD149" s="30">
        <f>IF(Table20[[#This Row],[Remaining]]&lt;&gt;0,Table20[[#This Row],[Invested]]*Table20[[#This Row],[Remaining]]/Table20[[#This Row],[Number of options]],0)</f>
        <v>0</v>
      </c>
      <c r="AE149" s="30">
        <f ca="1">SUMIF(Table20[Ticker],Table20[[#This Row],[Ticker]],Table20[realized_profit])</f>
        <v>-5077</v>
      </c>
      <c r="AF149" s="30" t="str">
        <f>VLOOKUP(Table20[[#This Row],[Strategy]],Table29[#All],7,FALSE)</f>
        <v>Bearish</v>
      </c>
    </row>
    <row r="150" spans="1:32" hidden="1">
      <c r="A150" s="35">
        <v>45555</v>
      </c>
      <c r="B150" s="21" t="e" vm="24">
        <v>#VALUE!</v>
      </c>
      <c r="C150" s="109" t="str" cm="1">
        <f t="array" aca="1" ref="C150" ca="1">_FV(Table20[[#This Row],[Asset]],"Ticker symbol",TRUE)</f>
        <v>QCOM</v>
      </c>
      <c r="D150" s="26" cm="1">
        <f t="array" aca="1" ref="D150" ca="1">_FV(Table20[[#This Row],[Asset]],"Price")</f>
        <v>131.63499999999999</v>
      </c>
      <c r="E150" s="26">
        <v>200</v>
      </c>
      <c r="F150" s="33">
        <v>1</v>
      </c>
      <c r="G150" s="34">
        <v>1</v>
      </c>
      <c r="H150" s="34" t="s">
        <v>113</v>
      </c>
      <c r="I150" s="31">
        <v>45503</v>
      </c>
      <c r="J150" s="26">
        <v>2.35</v>
      </c>
      <c r="K150" s="24">
        <v>0.41399999999999998</v>
      </c>
      <c r="L150" s="33">
        <f>VLOOKUP(Table20[[#This Row],[Strategy]],Table29[#All],6,FALSE)</f>
        <v>1</v>
      </c>
      <c r="M150" s="23">
        <v>1</v>
      </c>
      <c r="N150" s="23">
        <v>1.17</v>
      </c>
      <c r="O150" s="23"/>
      <c r="P150" s="23"/>
      <c r="Q150">
        <f>Table20[[#This Row],[Exit1]]*Table20[[#This Row],[ex1_price]]</f>
        <v>1.17</v>
      </c>
      <c r="R150">
        <f>Table20[[#This Row],[Exit2]]*Table20[[#This Row],[ex2_price]]</f>
        <v>0</v>
      </c>
      <c r="S150">
        <f>IFERROR((Table20[[#This Row],[ex2_amnt]]+Table20[[#This Row],[ex1_amnt]])/(Table20[[#This Row],[Exit2]]+Table20[[#This Row],[Exit1]]),0)</f>
        <v>1.17</v>
      </c>
      <c r="T150" s="5">
        <f>(Table20[[#This Row],[Exit1]]+Table20[[#This Row],[Exit2]])*(Table20[[#This Row],[avg_exit_price]]-Table20[[#This Row],[AvePrice]])*100*Table20[[#This Row],[Buy or Sell]]</f>
        <v>-118.00000000000001</v>
      </c>
      <c r="U150" s="5">
        <f>Table20[[#This Row],[Number of options]]*Table20[[#This Row],[AvePrice]]*100*Table20[[#This Row],[Buy or Sell]]</f>
        <v>235</v>
      </c>
      <c r="V150" s="8">
        <f>Table20[[#This Row],[Number of options]]-Table20[[#This Row],[Exit1]]-Table20[[#This Row],[Exit2]]</f>
        <v>0</v>
      </c>
      <c r="W150" s="30">
        <f ca="1">(Table20[[#This Row],[Expiration Date]]-TODAY())/365</f>
        <v>-1.5123287671232877</v>
      </c>
      <c r="X150" s="30" t="e">
        <f ca="1">(LN(Table20[[#This Row],[Current Price]]/Table20[[#This Row],[strike_price]]) + ($B$2 + (Table20[[#This Row],[Vol]]^2)/2)*Table20[[#This Row],[Time to expiration]]) / (Table20[[#This Row],[Vol]] * SQRT(Table20[[#This Row],[Time to expiration]]))</f>
        <v>#NUM!</v>
      </c>
      <c r="Y150" s="30" t="e">
        <f ca="1">IF(Table20[[#This Row],[Direction]]&gt;0, _xlfn.NORM.S.DIST(Table20[[#This Row],[d1]], TRUE), _xlfn.NORM.S.DIST(Table20[[#This Row],[d1]], TRUE) - 1) * Table20[[#This Row],[Buy or Sell]]</f>
        <v>#NUM!</v>
      </c>
      <c r="Z150" s="9">
        <f ca="1">Table20[[#This Row],[Remaining]]*Table20[[#This Row],[Current Price]]*100</f>
        <v>0</v>
      </c>
      <c r="AA150" s="22">
        <f ca="1">IFERROR(Table20[[#This Row],[nominal_exposure]]*Table20[[#This Row],[Delta]],0)</f>
        <v>0</v>
      </c>
      <c r="AB150" s="30" t="b">
        <f>IF(Table20[[#This Row],[date_purchased]]&lt;&gt;Table20[[#This Row],[Expiration Date]],FALSE,TRUE)</f>
        <v>0</v>
      </c>
      <c r="AC150" s="30" t="str">
        <f>VLOOKUP(Table20[[#This Row],[Asset]],Table19[#All],3,FALSE)</f>
        <v>AI</v>
      </c>
      <c r="AD150" s="4">
        <f>IF(Table20[[#This Row],[Remaining]]&lt;&gt;0,Table20[[#This Row],[Invested]]*Table20[[#This Row],[Remaining]]/Table20[[#This Row],[Number of options]],0)</f>
        <v>0</v>
      </c>
      <c r="AE150" s="30">
        <f ca="1">SUMIF(Table20[Ticker],Table20[[#This Row],[Ticker]],Table20[realized_profit])</f>
        <v>-2175.9999999999995</v>
      </c>
      <c r="AF150" s="30" t="str">
        <f>VLOOKUP(Table20[[#This Row],[Strategy]],Table29[#All],7,FALSE)</f>
        <v>Bullish</v>
      </c>
    </row>
    <row r="151" spans="1:32" hidden="1">
      <c r="A151" s="201">
        <v>45604</v>
      </c>
      <c r="B151" s="21" t="e" vm="96">
        <v>#VALUE!</v>
      </c>
      <c r="C151" s="109" t="str" cm="1">
        <f t="array" aca="1" ref="C151" ca="1">_FV(Table20[[#This Row],[Asset]],"Ticker symbol",TRUE)</f>
        <v>SPY</v>
      </c>
      <c r="D151" s="26" cm="1">
        <f t="array" aca="1" ref="D151" ca="1">_FV(Table20[[#This Row],[Asset]],"Price")</f>
        <v>658.59</v>
      </c>
      <c r="E151" s="26">
        <v>550</v>
      </c>
      <c r="F151" s="33">
        <v>8</v>
      </c>
      <c r="G151" s="34">
        <v>-1</v>
      </c>
      <c r="H151" s="34" t="s">
        <v>161</v>
      </c>
      <c r="I151" s="31">
        <v>45596</v>
      </c>
      <c r="J151" s="26">
        <v>1.77</v>
      </c>
      <c r="K151" s="24">
        <v>0.27279999999999999</v>
      </c>
      <c r="L151" s="33">
        <f>VLOOKUP(Table20[[#This Row],[Strategy]],Table29[#All],6,FALSE)</f>
        <v>-1</v>
      </c>
      <c r="M151" s="23">
        <v>8</v>
      </c>
      <c r="N151" s="23">
        <v>7.0000000000000007E-2</v>
      </c>
      <c r="O151" s="23"/>
      <c r="P151" s="23"/>
      <c r="Q151">
        <f>Table20[[#This Row],[Exit1]]*Table20[[#This Row],[ex1_price]]</f>
        <v>0.56000000000000005</v>
      </c>
      <c r="R151">
        <f>Table20[[#This Row],[Exit2]]*Table20[[#This Row],[ex2_price]]</f>
        <v>0</v>
      </c>
      <c r="S151">
        <f>IFERROR((Table20[[#This Row],[ex2_amnt]]+Table20[[#This Row],[ex1_amnt]])/(Table20[[#This Row],[Exit2]]+Table20[[#This Row],[Exit1]]),0)</f>
        <v>7.0000000000000007E-2</v>
      </c>
      <c r="T151" s="5">
        <f>(Table20[[#This Row],[Exit1]]+Table20[[#This Row],[Exit2]])*(Table20[[#This Row],[avg_exit_price]]-Table20[[#This Row],[AvePrice]])*100*Table20[[#This Row],[Buy or Sell]]</f>
        <v>1360</v>
      </c>
      <c r="U151" s="5">
        <f>Table20[[#This Row],[Number of options]]*Table20[[#This Row],[AvePrice]]*100*Table20[[#This Row],[Buy or Sell]]</f>
        <v>-1416</v>
      </c>
      <c r="V151" s="8">
        <f>Table20[[#This Row],[Number of options]]-Table20[[#This Row],[Exit1]]-Table20[[#This Row],[Exit2]]</f>
        <v>0</v>
      </c>
      <c r="W151" s="30">
        <f ca="1">(Table20[[#This Row],[Expiration Date]]-TODAY())/365</f>
        <v>-1.3780821917808219</v>
      </c>
      <c r="X151" s="30" t="e">
        <f ca="1">(LN(Table20[[#This Row],[Current Price]]/Table20[[#This Row],[strike_price]]) + ($B$2 + (Table20[[#This Row],[Vol]]^2)/2)*Table20[[#This Row],[Time to expiration]]) / (Table20[[#This Row],[Vol]] * SQRT(Table20[[#This Row],[Time to expiration]]))</f>
        <v>#NUM!</v>
      </c>
      <c r="Y151" s="30" t="e">
        <f ca="1">IF(Table20[[#This Row],[Direction]]&gt;0, _xlfn.NORM.S.DIST(Table20[[#This Row],[d1]], TRUE), _xlfn.NORM.S.DIST(Table20[[#This Row],[d1]], TRUE) - 1) * Table20[[#This Row],[Buy or Sell]]</f>
        <v>#NUM!</v>
      </c>
      <c r="Z151" s="9">
        <f ca="1">Table20[[#This Row],[Remaining]]*Table20[[#This Row],[Current Price]]*100</f>
        <v>0</v>
      </c>
      <c r="AA151" s="22">
        <f ca="1">IFERROR(Table20[[#This Row],[nominal_exposure]]*Table20[[#This Row],[Delta]],0)</f>
        <v>0</v>
      </c>
      <c r="AB151" s="30" t="b">
        <f>IF(Table20[[#This Row],[date_purchased]]&lt;&gt;Table20[[#This Row],[Expiration Date]],FALSE,TRUE)</f>
        <v>0</v>
      </c>
      <c r="AC151" s="30" t="str">
        <f>VLOOKUP(Table20[[#This Row],[Asset]],Table19[#All],3,FALSE)</f>
        <v>Market</v>
      </c>
      <c r="AD151" s="30">
        <f>IF(Table20[[#This Row],[Remaining]]&lt;&gt;0,Table20[[#This Row],[Invested]]*Table20[[#This Row],[Remaining]]/Table20[[#This Row],[Number of options]],0)</f>
        <v>0</v>
      </c>
      <c r="AE151" s="30">
        <f ca="1">SUMIF(Table20[Ticker],Table20[[#This Row],[Ticker]],Table20[realized_profit])</f>
        <v>-5077</v>
      </c>
      <c r="AF151" s="30" t="str">
        <f>VLOOKUP(Table20[[#This Row],[Strategy]],Table29[#All],7,FALSE)</f>
        <v>Bearish</v>
      </c>
    </row>
    <row r="152" spans="1:32" hidden="1">
      <c r="A152" s="180">
        <v>45596</v>
      </c>
      <c r="B152" s="21" t="e" vm="96">
        <v>#VALUE!</v>
      </c>
      <c r="C152" s="109" t="str" cm="1">
        <f t="array" aca="1" ref="C152" ca="1">_FV(Table20[[#This Row],[Asset]],"Ticker symbol",TRUE)</f>
        <v>SPY</v>
      </c>
      <c r="D152" s="26" cm="1">
        <f t="array" aca="1" ref="D152" ca="1">_FV(Table20[[#This Row],[Asset]],"Price")</f>
        <v>658.59</v>
      </c>
      <c r="E152" s="26">
        <v>550</v>
      </c>
      <c r="F152" s="33">
        <v>2</v>
      </c>
      <c r="G152" s="34">
        <v>1</v>
      </c>
      <c r="H152" s="34" t="s">
        <v>161</v>
      </c>
      <c r="I152" s="31">
        <v>45569</v>
      </c>
      <c r="J152" s="26">
        <v>3.21</v>
      </c>
      <c r="K152" s="24">
        <v>0.1825</v>
      </c>
      <c r="L152" s="33">
        <f>VLOOKUP(Table20[[#This Row],[Strategy]],Table29[#All],6,FALSE)</f>
        <v>-1</v>
      </c>
      <c r="M152" s="23">
        <v>2</v>
      </c>
      <c r="N152" s="23">
        <v>1.31</v>
      </c>
      <c r="O152" s="23"/>
      <c r="P152" s="23"/>
      <c r="Q152">
        <f>Table20[[#This Row],[Exit1]]*Table20[[#This Row],[ex1_price]]</f>
        <v>2.62</v>
      </c>
      <c r="R152">
        <f>Table20[[#This Row],[Exit2]]*Table20[[#This Row],[ex2_price]]</f>
        <v>0</v>
      </c>
      <c r="S152">
        <f>IFERROR((Table20[[#This Row],[ex2_amnt]]+Table20[[#This Row],[ex1_amnt]])/(Table20[[#This Row],[Exit2]]+Table20[[#This Row],[Exit1]]),0)</f>
        <v>1.31</v>
      </c>
      <c r="T152" s="5">
        <f>(Table20[[#This Row],[Exit1]]+Table20[[#This Row],[Exit2]])*(Table20[[#This Row],[avg_exit_price]]-Table20[[#This Row],[AvePrice]])*100*Table20[[#This Row],[Buy or Sell]]</f>
        <v>-380</v>
      </c>
      <c r="U152" s="5">
        <f>Table20[[#This Row],[Number of options]]*Table20[[#This Row],[AvePrice]]*100*Table20[[#This Row],[Buy or Sell]]</f>
        <v>642</v>
      </c>
      <c r="V152" s="8">
        <f>Table20[[#This Row],[Number of options]]-Table20[[#This Row],[Exit1]]-Table20[[#This Row],[Exit2]]</f>
        <v>0</v>
      </c>
      <c r="W152" s="30">
        <f ca="1">(Table20[[#This Row],[Expiration Date]]-TODAY())/365</f>
        <v>-1.4</v>
      </c>
      <c r="X152" s="30" t="e">
        <f ca="1">(LN(Table20[[#This Row],[Current Price]]/Table20[[#This Row],[strike_price]]) + ($B$2 + (Table20[[#This Row],[Vol]]^2)/2)*Table20[[#This Row],[Time to expiration]]) / (Table20[[#This Row],[Vol]] * SQRT(Table20[[#This Row],[Time to expiration]]))</f>
        <v>#NUM!</v>
      </c>
      <c r="Y152" s="30" t="e">
        <f ca="1">IF(Table20[[#This Row],[Direction]]&gt;0, _xlfn.NORM.S.DIST(Table20[[#This Row],[d1]], TRUE), _xlfn.NORM.S.DIST(Table20[[#This Row],[d1]], TRUE) - 1) * Table20[[#This Row],[Buy or Sell]]</f>
        <v>#NUM!</v>
      </c>
      <c r="Z152" s="9">
        <f ca="1">Table20[[#This Row],[Remaining]]*Table20[[#This Row],[Current Price]]*100</f>
        <v>0</v>
      </c>
      <c r="AA152" s="22">
        <f ca="1">IFERROR(Table20[[#This Row],[nominal_exposure]]*Table20[[#This Row],[Delta]],0)</f>
        <v>0</v>
      </c>
      <c r="AB152" s="30" t="b">
        <f>IF(Table20[[#This Row],[date_purchased]]&lt;&gt;Table20[[#This Row],[Expiration Date]],FALSE,TRUE)</f>
        <v>0</v>
      </c>
      <c r="AC152" s="30" t="str">
        <f>VLOOKUP(Table20[[#This Row],[Asset]],Table19[#All],3,FALSE)</f>
        <v>Market</v>
      </c>
      <c r="AD152" s="30">
        <f>IF(Table20[[#This Row],[Remaining]]&lt;&gt;0,Table20[[#This Row],[Invested]]*Table20[[#This Row],[Remaining]]/Table20[[#This Row],[Number of options]],0)</f>
        <v>0</v>
      </c>
      <c r="AE152" s="30">
        <f ca="1">SUMIF(Table20[Ticker],Table20[[#This Row],[Ticker]],Table20[realized_profit])</f>
        <v>-5077</v>
      </c>
      <c r="AF152" s="30" t="str">
        <f>VLOOKUP(Table20[[#This Row],[Strategy]],Table29[#All],7,FALSE)</f>
        <v>Bearish</v>
      </c>
    </row>
    <row r="153" spans="1:32" hidden="1">
      <c r="A153" s="216">
        <v>45595</v>
      </c>
      <c r="B153" s="21" t="e" vm="96">
        <v>#VALUE!</v>
      </c>
      <c r="C153" s="109" t="str" cm="1">
        <f t="array" aca="1" ref="C153" ca="1">_FV(Table20[[#This Row],[Asset]],"Ticker symbol",TRUE)</f>
        <v>SPY</v>
      </c>
      <c r="D153" s="26" cm="1">
        <f t="array" aca="1" ref="D153" ca="1">_FV(Table20[[#This Row],[Asset]],"Price")</f>
        <v>658.59</v>
      </c>
      <c r="E153" s="26">
        <v>500</v>
      </c>
      <c r="F153" s="33">
        <v>9</v>
      </c>
      <c r="G153" s="34">
        <v>1</v>
      </c>
      <c r="H153" s="34" t="s">
        <v>161</v>
      </c>
      <c r="I153" s="31">
        <v>45572</v>
      </c>
      <c r="J153" s="26">
        <v>0.94</v>
      </c>
      <c r="K153" s="24">
        <v>0.31819999999999998</v>
      </c>
      <c r="L153" s="33">
        <f>VLOOKUP(Table20[[#This Row],[Strategy]],Table29[#All],6,FALSE)</f>
        <v>-1</v>
      </c>
      <c r="M153" s="23">
        <v>9</v>
      </c>
      <c r="N153" s="23">
        <v>0.42</v>
      </c>
      <c r="O153" s="23"/>
      <c r="P153" s="23"/>
      <c r="Q153">
        <f>Table20[[#This Row],[Exit1]]*Table20[[#This Row],[ex1_price]]</f>
        <v>3.78</v>
      </c>
      <c r="R153">
        <f>Table20[[#This Row],[Exit2]]*Table20[[#This Row],[ex2_price]]</f>
        <v>0</v>
      </c>
      <c r="S153">
        <f>IFERROR((Table20[[#This Row],[ex2_amnt]]+Table20[[#This Row],[ex1_amnt]])/(Table20[[#This Row],[Exit2]]+Table20[[#This Row],[Exit1]]),0)</f>
        <v>0.42</v>
      </c>
      <c r="T153" s="5">
        <f>(Table20[[#This Row],[Exit1]]+Table20[[#This Row],[Exit2]])*(Table20[[#This Row],[avg_exit_price]]-Table20[[#This Row],[AvePrice]])*100*Table20[[#This Row],[Buy or Sell]]</f>
        <v>-468</v>
      </c>
      <c r="U153" s="5">
        <f>Table20[[#This Row],[Number of options]]*Table20[[#This Row],[AvePrice]]*100*Table20[[#This Row],[Buy or Sell]]</f>
        <v>845.99999999999989</v>
      </c>
      <c r="V153" s="8">
        <f>Table20[[#This Row],[Number of options]]-Table20[[#This Row],[Exit1]]-Table20[[#This Row],[Exit2]]</f>
        <v>0</v>
      </c>
      <c r="W153" s="30">
        <f ca="1">(Table20[[#This Row],[Expiration Date]]-TODAY())/365</f>
        <v>-1.4027397260273973</v>
      </c>
      <c r="X153" s="30" t="e">
        <f ca="1">(LN(Table20[[#This Row],[Current Price]]/Table20[[#This Row],[strike_price]]) + ($B$2 + (Table20[[#This Row],[Vol]]^2)/2)*Table20[[#This Row],[Time to expiration]]) / (Table20[[#This Row],[Vol]] * SQRT(Table20[[#This Row],[Time to expiration]]))</f>
        <v>#NUM!</v>
      </c>
      <c r="Y153" s="30" t="e">
        <f ca="1">IF(Table20[[#This Row],[Direction]]&gt;0, _xlfn.NORM.S.DIST(Table20[[#This Row],[d1]], TRUE), _xlfn.NORM.S.DIST(Table20[[#This Row],[d1]], TRUE) - 1) * Table20[[#This Row],[Buy or Sell]]</f>
        <v>#NUM!</v>
      </c>
      <c r="Z153" s="9">
        <f ca="1">Table20[[#This Row],[Remaining]]*Table20[[#This Row],[Current Price]]*100</f>
        <v>0</v>
      </c>
      <c r="AA153" s="22">
        <f ca="1">IFERROR(Table20[[#This Row],[nominal_exposure]]*Table20[[#This Row],[Delta]],0)</f>
        <v>0</v>
      </c>
      <c r="AB153" s="30" t="b">
        <f>IF(Table20[[#This Row],[date_purchased]]&lt;&gt;Table20[[#This Row],[Expiration Date]],FALSE,TRUE)</f>
        <v>0</v>
      </c>
      <c r="AC153" s="30" t="str">
        <f>VLOOKUP(Table20[[#This Row],[Asset]],Table19[#All],3,FALSE)</f>
        <v>Market</v>
      </c>
      <c r="AD153" s="30">
        <f>IF(Table20[[#This Row],[Remaining]]&lt;&gt;0,Table20[[#This Row],[Invested]]*Table20[[#This Row],[Remaining]]/Table20[[#This Row],[Number of options]],0)</f>
        <v>0</v>
      </c>
      <c r="AE153" s="30">
        <f ca="1">SUMIF(Table20[Ticker],Table20[[#This Row],[Ticker]],Table20[realized_profit])</f>
        <v>-5077</v>
      </c>
      <c r="AF153" s="30" t="str">
        <f>VLOOKUP(Table20[[#This Row],[Strategy]],Table29[#All],7,FALSE)</f>
        <v>Bearish</v>
      </c>
    </row>
    <row r="154" spans="1:32" hidden="1">
      <c r="A154" s="118">
        <v>45520</v>
      </c>
      <c r="B154" s="21" t="e" vm="173">
        <v>#VALUE!</v>
      </c>
      <c r="C154" s="109" t="str" cm="1">
        <f t="array" aca="1" ref="C154" ca="1">_FV(Table20[[#This Row],[Asset]],"Ticker symbol",TRUE)</f>
        <v>SNOW</v>
      </c>
      <c r="D154" s="26" cm="1">
        <f t="array" aca="1" ref="D154" ca="1">_FV(Table20[[#This Row],[Asset]],"Price")</f>
        <v>160.82</v>
      </c>
      <c r="E154" s="26">
        <v>140</v>
      </c>
      <c r="F154" s="33">
        <v>1</v>
      </c>
      <c r="G154" s="34">
        <v>1</v>
      </c>
      <c r="H154" s="111" t="s">
        <v>115</v>
      </c>
      <c r="I154" s="31">
        <v>45496</v>
      </c>
      <c r="J154" s="26">
        <v>3.06</v>
      </c>
      <c r="K154" s="24">
        <v>0.45069999999999999</v>
      </c>
      <c r="L154" s="33">
        <f>VLOOKUP(Table20[[#This Row],[Strategy]],Table29[#All],6,FALSE)</f>
        <v>1</v>
      </c>
      <c r="M154" s="23">
        <v>1</v>
      </c>
      <c r="N154" s="23">
        <v>0</v>
      </c>
      <c r="O154" s="23"/>
      <c r="P154" s="23"/>
      <c r="Q154">
        <f>Table20[[#This Row],[Exit1]]*Table20[[#This Row],[ex1_price]]</f>
        <v>0</v>
      </c>
      <c r="R154">
        <f>Table20[[#This Row],[Exit2]]*Table20[[#This Row],[ex2_price]]</f>
        <v>0</v>
      </c>
      <c r="S154">
        <f>IFERROR((Table20[[#This Row],[ex2_amnt]]+Table20[[#This Row],[ex1_amnt]])/(Table20[[#This Row],[Exit2]]+Table20[[#This Row],[Exit1]]),0)</f>
        <v>0</v>
      </c>
      <c r="T154" s="5">
        <f>(Table20[[#This Row],[Exit1]]+Table20[[#This Row],[Exit2]])*(Table20[[#This Row],[avg_exit_price]]-Table20[[#This Row],[AvePrice]])*100*Table20[[#This Row],[Buy or Sell]]</f>
        <v>-306</v>
      </c>
      <c r="U154" s="5">
        <f>Table20[[#This Row],[Number of options]]*Table20[[#This Row],[AvePrice]]*100*Table20[[#This Row],[Buy or Sell]]</f>
        <v>306</v>
      </c>
      <c r="V154" s="8">
        <f>Table20[[#This Row],[Number of options]]-Table20[[#This Row],[Exit1]]-Table20[[#This Row],[Exit2]]</f>
        <v>0</v>
      </c>
      <c r="W154" s="30">
        <f ca="1">(Table20[[#This Row],[Expiration Date]]-TODAY())/365</f>
        <v>-1.6082191780821917</v>
      </c>
      <c r="X154" s="30" t="e">
        <f ca="1">(LN(Table20[[#This Row],[Current Price]]/Table20[[#This Row],[strike_price]]) + ($B$2 + (Table20[[#This Row],[Vol]]^2)/2)*Table20[[#This Row],[Time to expiration]]) / (Table20[[#This Row],[Vol]] * SQRT(Table20[[#This Row],[Time to expiration]]))</f>
        <v>#NUM!</v>
      </c>
      <c r="Y154" s="30" t="e">
        <f ca="1">IF(Table20[[#This Row],[Direction]]&gt;0, _xlfn.NORM.S.DIST(Table20[[#This Row],[d1]], TRUE), _xlfn.NORM.S.DIST(Table20[[#This Row],[d1]], TRUE) - 1) * Table20[[#This Row],[Buy or Sell]]</f>
        <v>#NUM!</v>
      </c>
      <c r="Z154" s="9">
        <f ca="1">Table20[[#This Row],[Remaining]]*Table20[[#This Row],[Current Price]]*100</f>
        <v>0</v>
      </c>
      <c r="AA154" s="22">
        <f ca="1">IFERROR(Table20[[#This Row],[nominal_exposure]]*Table20[[#This Row],[Delta]],0)</f>
        <v>0</v>
      </c>
      <c r="AB154" s="30" t="b">
        <f>IF(Table20[[#This Row],[date_purchased]]&lt;&gt;Table20[[#This Row],[Expiration Date]],FALSE,TRUE)</f>
        <v>0</v>
      </c>
      <c r="AC154" s="30" t="str">
        <f>VLOOKUP(Table20[[#This Row],[Asset]],Table19[#All],3,FALSE)</f>
        <v>Technology</v>
      </c>
      <c r="AD154" s="4">
        <f>IF(Table20[[#This Row],[Remaining]]&lt;&gt;0,Table20[[#This Row],[Invested]]*Table20[[#This Row],[Remaining]]/Table20[[#This Row],[Number of options]],0)</f>
        <v>0</v>
      </c>
      <c r="AE154" s="30">
        <f ca="1">SUMIF(Table20[Ticker],Table20[[#This Row],[Ticker]],Table20[realized_profit])</f>
        <v>314</v>
      </c>
      <c r="AF154" s="30" t="str">
        <f>VLOOKUP(Table20[[#This Row],[Strategy]],Table29[#All],7,FALSE)</f>
        <v>Bullish</v>
      </c>
    </row>
    <row r="155" spans="1:32" hidden="1">
      <c r="A155" s="180">
        <v>45594</v>
      </c>
      <c r="B155" s="21" t="e" vm="96">
        <v>#VALUE!</v>
      </c>
      <c r="C155" s="109" t="str" cm="1">
        <f t="array" aca="1" ref="C155" ca="1">_FV(Table20[[#This Row],[Asset]],"Ticker symbol",TRUE)</f>
        <v>SPY</v>
      </c>
      <c r="D155" s="26" cm="1">
        <f t="array" aca="1" ref="D155" ca="1">_FV(Table20[[#This Row],[Asset]],"Price")</f>
        <v>658.59</v>
      </c>
      <c r="E155" s="26">
        <v>580</v>
      </c>
      <c r="F155" s="33">
        <v>1</v>
      </c>
      <c r="G155" s="34">
        <v>1</v>
      </c>
      <c r="H155" s="34" t="s">
        <v>65</v>
      </c>
      <c r="I155" s="31">
        <v>45594</v>
      </c>
      <c r="J155" s="26">
        <v>2.2200000000000002</v>
      </c>
      <c r="K155" s="24">
        <v>0.22</v>
      </c>
      <c r="L155" s="33">
        <f>VLOOKUP(Table20[[#This Row],[Strategy]],Table29[#All],6,FALSE)</f>
        <v>-1</v>
      </c>
      <c r="M155" s="23">
        <v>1</v>
      </c>
      <c r="N155" s="23">
        <v>1.72</v>
      </c>
      <c r="O155" s="23"/>
      <c r="P155" s="23"/>
      <c r="Q155">
        <f>Table20[[#This Row],[Exit1]]*Table20[[#This Row],[ex1_price]]</f>
        <v>1.72</v>
      </c>
      <c r="R155">
        <f>Table20[[#This Row],[Exit2]]*Table20[[#This Row],[ex2_price]]</f>
        <v>0</v>
      </c>
      <c r="S155">
        <f>IFERROR((Table20[[#This Row],[ex2_amnt]]+Table20[[#This Row],[ex1_amnt]])/(Table20[[#This Row],[Exit2]]+Table20[[#This Row],[Exit1]]),0)</f>
        <v>1.72</v>
      </c>
      <c r="T155" s="5">
        <f>(Table20[[#This Row],[Exit1]]+Table20[[#This Row],[Exit2]])*(Table20[[#This Row],[avg_exit_price]]-Table20[[#This Row],[AvePrice]])*100*Table20[[#This Row],[Buy or Sell]]</f>
        <v>-50.000000000000021</v>
      </c>
      <c r="U155" s="5">
        <f>Table20[[#This Row],[Number of options]]*Table20[[#This Row],[AvePrice]]*100*Table20[[#This Row],[Buy or Sell]]</f>
        <v>222.00000000000003</v>
      </c>
      <c r="V155" s="8">
        <f>Table20[[#This Row],[Number of options]]-Table20[[#This Row],[Exit1]]-Table20[[#This Row],[Exit2]]</f>
        <v>0</v>
      </c>
      <c r="W155" s="30">
        <f ca="1">(Table20[[#This Row],[Expiration Date]]-TODAY())/365</f>
        <v>-1.4054794520547946</v>
      </c>
      <c r="X155" s="30" t="e">
        <f ca="1">(LN(Table20[[#This Row],[Current Price]]/Table20[[#This Row],[strike_price]]) + ($B$2 + (Table20[[#This Row],[Vol]]^2)/2)*Table20[[#This Row],[Time to expiration]]) / (Table20[[#This Row],[Vol]] * SQRT(Table20[[#This Row],[Time to expiration]]))</f>
        <v>#NUM!</v>
      </c>
      <c r="Y155" s="30" t="e">
        <f ca="1">IF(Table20[[#This Row],[Direction]]&gt;0, _xlfn.NORM.S.DIST(Table20[[#This Row],[d1]], TRUE), _xlfn.NORM.S.DIST(Table20[[#This Row],[d1]], TRUE) - 1) * Table20[[#This Row],[Buy or Sell]]</f>
        <v>#NUM!</v>
      </c>
      <c r="Z155" s="9">
        <f ca="1">Table20[[#This Row],[Remaining]]*Table20[[#This Row],[Current Price]]*100</f>
        <v>0</v>
      </c>
      <c r="AA155" s="22">
        <f ca="1">IFERROR(Table20[[#This Row],[nominal_exposure]]*Table20[[#This Row],[Delta]],0)</f>
        <v>0</v>
      </c>
      <c r="AB155" s="30" t="b">
        <f>IF(Table20[[#This Row],[date_purchased]]&lt;&gt;Table20[[#This Row],[Expiration Date]],FALSE,TRUE)</f>
        <v>1</v>
      </c>
      <c r="AC155" s="30" t="str">
        <f>VLOOKUP(Table20[[#This Row],[Asset]],Table19[#All],3,FALSE)</f>
        <v>Market</v>
      </c>
      <c r="AD155" s="30">
        <f>IF(Table20[[#This Row],[Remaining]]&lt;&gt;0,Table20[[#This Row],[Invested]]*Table20[[#This Row],[Remaining]]/Table20[[#This Row],[Number of options]],0)</f>
        <v>0</v>
      </c>
      <c r="AE155" s="30">
        <f ca="1">SUMIF(Table20[Ticker],Table20[[#This Row],[Ticker]],Table20[realized_profit])</f>
        <v>-5077</v>
      </c>
      <c r="AF155" s="30" t="str">
        <f>VLOOKUP(Table20[[#This Row],[Strategy]],Table29[#All],7,FALSE)</f>
        <v>Bearish</v>
      </c>
    </row>
    <row r="156" spans="1:32" hidden="1">
      <c r="A156" s="180">
        <v>45590</v>
      </c>
      <c r="B156" s="21" t="e" vm="96">
        <v>#VALUE!</v>
      </c>
      <c r="C156" s="109" t="str" cm="1">
        <f t="array" aca="1" ref="C156" ca="1">_FV(Table20[[#This Row],[Asset]],"Ticker symbol",TRUE)</f>
        <v>SPY</v>
      </c>
      <c r="D156" s="26" cm="1">
        <f t="array" aca="1" ref="D156" ca="1">_FV(Table20[[#This Row],[Asset]],"Price")</f>
        <v>658.59</v>
      </c>
      <c r="E156" s="26">
        <v>550</v>
      </c>
      <c r="F156" s="33">
        <v>1</v>
      </c>
      <c r="G156" s="34">
        <v>1</v>
      </c>
      <c r="H156" s="34" t="s">
        <v>161</v>
      </c>
      <c r="I156" s="31">
        <v>45558</v>
      </c>
      <c r="J156" s="26">
        <v>3.14</v>
      </c>
      <c r="K156" s="24">
        <v>0.1618</v>
      </c>
      <c r="L156" s="33">
        <f>VLOOKUP(Table20[[#This Row],[Strategy]],Table29[#All],6,FALSE)</f>
        <v>-1</v>
      </c>
      <c r="M156" s="23">
        <v>1</v>
      </c>
      <c r="N156" s="23">
        <v>2.67</v>
      </c>
      <c r="O156" s="23"/>
      <c r="P156" s="23"/>
      <c r="Q156">
        <f>Table20[[#This Row],[Exit1]]*Table20[[#This Row],[ex1_price]]</f>
        <v>2.67</v>
      </c>
      <c r="R156">
        <f>Table20[[#This Row],[Exit2]]*Table20[[#This Row],[ex2_price]]</f>
        <v>0</v>
      </c>
      <c r="S156">
        <f>IFERROR((Table20[[#This Row],[ex2_amnt]]+Table20[[#This Row],[ex1_amnt]])/(Table20[[#This Row],[Exit2]]+Table20[[#This Row],[Exit1]]),0)</f>
        <v>2.67</v>
      </c>
      <c r="T156" s="5">
        <f>(Table20[[#This Row],[Exit1]]+Table20[[#This Row],[Exit2]])*(Table20[[#This Row],[avg_exit_price]]-Table20[[#This Row],[AvePrice]])*100*Table20[[#This Row],[Buy or Sell]]</f>
        <v>-47.000000000000021</v>
      </c>
      <c r="U156" s="5">
        <f>Table20[[#This Row],[Number of options]]*Table20[[#This Row],[AvePrice]]*100*Table20[[#This Row],[Buy or Sell]]</f>
        <v>314</v>
      </c>
      <c r="V156" s="8">
        <f>Table20[[#This Row],[Number of options]]-Table20[[#This Row],[Exit1]]-Table20[[#This Row],[Exit2]]</f>
        <v>0</v>
      </c>
      <c r="W156" s="30">
        <f ca="1">(Table20[[#This Row],[Expiration Date]]-TODAY())/365</f>
        <v>-1.4164383561643836</v>
      </c>
      <c r="X156" s="30" t="e">
        <f ca="1">(LN(Table20[[#This Row],[Current Price]]/Table20[[#This Row],[strike_price]]) + ($B$2 + (Table20[[#This Row],[Vol]]^2)/2)*Table20[[#This Row],[Time to expiration]]) / (Table20[[#This Row],[Vol]] * SQRT(Table20[[#This Row],[Time to expiration]]))</f>
        <v>#NUM!</v>
      </c>
      <c r="Y156" s="30" t="e">
        <f ca="1">IF(Table20[[#This Row],[Direction]]&gt;0, _xlfn.NORM.S.DIST(Table20[[#This Row],[d1]], TRUE), _xlfn.NORM.S.DIST(Table20[[#This Row],[d1]], TRUE) - 1) * Table20[[#This Row],[Buy or Sell]]</f>
        <v>#NUM!</v>
      </c>
      <c r="Z156" s="9">
        <f ca="1">Table20[[#This Row],[Remaining]]*Table20[[#This Row],[Current Price]]*100</f>
        <v>0</v>
      </c>
      <c r="AA156" s="22">
        <f ca="1">IFERROR(Table20[[#This Row],[nominal_exposure]]*Table20[[#This Row],[Delta]],0)</f>
        <v>0</v>
      </c>
      <c r="AB156" s="30" t="b">
        <f>IF(Table20[[#This Row],[date_purchased]]&lt;&gt;Table20[[#This Row],[Expiration Date]],FALSE,TRUE)</f>
        <v>0</v>
      </c>
      <c r="AC156" s="30" t="str">
        <f>VLOOKUP(Table20[[#This Row],[Asset]],Table19[#All],3,FALSE)</f>
        <v>Market</v>
      </c>
      <c r="AD156" s="30">
        <f>IF(Table20[[#This Row],[Remaining]]&lt;&gt;0,Table20[[#This Row],[Invested]]*Table20[[#This Row],[Remaining]]/Table20[[#This Row],[Number of options]],0)</f>
        <v>0</v>
      </c>
      <c r="AE156" s="30">
        <f ca="1">SUMIF(Table20[Ticker],Table20[[#This Row],[Ticker]],Table20[realized_profit])</f>
        <v>-5077</v>
      </c>
      <c r="AF156" s="30" t="str">
        <f>VLOOKUP(Table20[[#This Row],[Strategy]],Table29[#All],7,FALSE)</f>
        <v>Bearish</v>
      </c>
    </row>
    <row r="157" spans="1:32" hidden="1">
      <c r="A157" s="180">
        <v>45590</v>
      </c>
      <c r="B157" s="21" t="e" vm="96">
        <v>#VALUE!</v>
      </c>
      <c r="C157" s="109" t="str" cm="1">
        <f t="array" aca="1" ref="C157" ca="1">_FV(Table20[[#This Row],[Asset]],"Ticker symbol",TRUE)</f>
        <v>SPY</v>
      </c>
      <c r="D157" s="26" cm="1">
        <f t="array" aca="1" ref="D157" ca="1">_FV(Table20[[#This Row],[Asset]],"Price")</f>
        <v>658.59</v>
      </c>
      <c r="E157" s="26">
        <v>550</v>
      </c>
      <c r="F157" s="33">
        <v>5</v>
      </c>
      <c r="G157" s="34">
        <v>1</v>
      </c>
      <c r="H157" s="34" t="s">
        <v>112</v>
      </c>
      <c r="I157" s="31">
        <v>45558</v>
      </c>
      <c r="J157" s="26">
        <v>3.04</v>
      </c>
      <c r="K157" s="24">
        <v>0.16070000000000001</v>
      </c>
      <c r="L157" s="33">
        <f>VLOOKUP(Table20[[#This Row],[Strategy]],Table29[#All],6,FALSE)</f>
        <v>-1</v>
      </c>
      <c r="M157" s="23">
        <v>5</v>
      </c>
      <c r="N157" s="23">
        <v>2.61</v>
      </c>
      <c r="O157" s="23"/>
      <c r="P157" s="23"/>
      <c r="Q157">
        <f>Table20[[#This Row],[Exit1]]*Table20[[#This Row],[ex1_price]]</f>
        <v>13.049999999999999</v>
      </c>
      <c r="R157">
        <f>Table20[[#This Row],[Exit2]]*Table20[[#This Row],[ex2_price]]</f>
        <v>0</v>
      </c>
      <c r="S157">
        <f>IFERROR((Table20[[#This Row],[ex2_amnt]]+Table20[[#This Row],[ex1_amnt]])/(Table20[[#This Row],[Exit2]]+Table20[[#This Row],[Exit1]]),0)</f>
        <v>2.61</v>
      </c>
      <c r="T157" s="5">
        <f>(Table20[[#This Row],[Exit1]]+Table20[[#This Row],[Exit2]])*(Table20[[#This Row],[avg_exit_price]]-Table20[[#This Row],[AvePrice]])*100*Table20[[#This Row],[Buy or Sell]]</f>
        <v>-215.00000000000009</v>
      </c>
      <c r="U157" s="5">
        <f>Table20[[#This Row],[Number of options]]*Table20[[#This Row],[AvePrice]]*100*Table20[[#This Row],[Buy or Sell]]</f>
        <v>1520</v>
      </c>
      <c r="V157" s="8">
        <f>Table20[[#This Row],[Number of options]]-Table20[[#This Row],[Exit1]]-Table20[[#This Row],[Exit2]]</f>
        <v>0</v>
      </c>
      <c r="W157" s="30">
        <f ca="1">(Table20[[#This Row],[Expiration Date]]-TODAY())/365</f>
        <v>-1.4164383561643836</v>
      </c>
      <c r="X157" s="30" t="e">
        <f ca="1">(LN(Table20[[#This Row],[Current Price]]/Table20[[#This Row],[strike_price]]) + ($B$2 + (Table20[[#This Row],[Vol]]^2)/2)*Table20[[#This Row],[Time to expiration]]) / (Table20[[#This Row],[Vol]] * SQRT(Table20[[#This Row],[Time to expiration]]))</f>
        <v>#NUM!</v>
      </c>
      <c r="Y157" s="30" t="e">
        <f ca="1">IF(Table20[[#This Row],[Direction]]&gt;0, _xlfn.NORM.S.DIST(Table20[[#This Row],[d1]], TRUE), _xlfn.NORM.S.DIST(Table20[[#This Row],[d1]], TRUE) - 1) * Table20[[#This Row],[Buy or Sell]]</f>
        <v>#NUM!</v>
      </c>
      <c r="Z157" s="9">
        <f ca="1">Table20[[#This Row],[Remaining]]*Table20[[#This Row],[Current Price]]*100</f>
        <v>0</v>
      </c>
      <c r="AA157" s="22">
        <f ca="1">IFERROR(Table20[[#This Row],[nominal_exposure]]*Table20[[#This Row],[Delta]],0)</f>
        <v>0</v>
      </c>
      <c r="AB157" s="30" t="b">
        <f>IF(Table20[[#This Row],[date_purchased]]&lt;&gt;Table20[[#This Row],[Expiration Date]],FALSE,TRUE)</f>
        <v>0</v>
      </c>
      <c r="AC157" s="30" t="str">
        <f>VLOOKUP(Table20[[#This Row],[Asset]],Table19[#All],3,FALSE)</f>
        <v>Market</v>
      </c>
      <c r="AD157" s="30">
        <f>IF(Table20[[#This Row],[Remaining]]&lt;&gt;0,Table20[[#This Row],[Invested]]*Table20[[#This Row],[Remaining]]/Table20[[#This Row],[Number of options]],0)</f>
        <v>0</v>
      </c>
      <c r="AE157" s="30">
        <f ca="1">SUMIF(Table20[Ticker],Table20[[#This Row],[Ticker]],Table20[realized_profit])</f>
        <v>-5077</v>
      </c>
      <c r="AF157" s="30" t="str">
        <f>VLOOKUP(Table20[[#This Row],[Strategy]],Table29[#All],7,FALSE)</f>
        <v>Bearish</v>
      </c>
    </row>
    <row r="158" spans="1:32" hidden="1">
      <c r="A158" s="118">
        <v>45527</v>
      </c>
      <c r="B158" s="21" t="e" vm="34">
        <v>#VALUE!</v>
      </c>
      <c r="C158" s="109" t="str" cm="1">
        <f t="array" aca="1" ref="C158" ca="1">_FV(Table20[[#This Row],[Asset]],"Ticker symbol",TRUE)</f>
        <v>TSM</v>
      </c>
      <c r="D158" s="26" cm="1">
        <f t="array" aca="1" ref="D158" ca="1">_FV(Table20[[#This Row],[Asset]],"Price")</f>
        <v>348.52499999999998</v>
      </c>
      <c r="E158" s="26">
        <v>175</v>
      </c>
      <c r="F158" s="33">
        <v>2</v>
      </c>
      <c r="G158" s="34">
        <v>-1</v>
      </c>
      <c r="H158" s="34" t="s">
        <v>115</v>
      </c>
      <c r="I158" s="31">
        <v>45503</v>
      </c>
      <c r="J158" s="26">
        <v>1.1499999999999999</v>
      </c>
      <c r="K158" s="24">
        <v>0.4209</v>
      </c>
      <c r="L158" s="33">
        <f>VLOOKUP(Table20[[#This Row],[Strategy]],Table29[#All],6,FALSE)</f>
        <v>1</v>
      </c>
      <c r="M158" s="23">
        <v>2</v>
      </c>
      <c r="N158" s="23">
        <v>2.2999999999999998</v>
      </c>
      <c r="O158" s="23"/>
      <c r="P158" s="23"/>
      <c r="Q158">
        <f>Table20[[#This Row],[Exit1]]*Table20[[#This Row],[ex1_price]]</f>
        <v>4.5999999999999996</v>
      </c>
      <c r="R158">
        <f>Table20[[#This Row],[Exit2]]*Table20[[#This Row],[ex2_price]]</f>
        <v>0</v>
      </c>
      <c r="S158">
        <f>IFERROR((Table20[[#This Row],[ex2_amnt]]+Table20[[#This Row],[ex1_amnt]])/(Table20[[#This Row],[Exit2]]+Table20[[#This Row],[Exit1]]),0)</f>
        <v>2.2999999999999998</v>
      </c>
      <c r="T158" s="5">
        <f>(Table20[[#This Row],[Exit1]]+Table20[[#This Row],[Exit2]])*(Table20[[#This Row],[avg_exit_price]]-Table20[[#This Row],[AvePrice]])*100*Table20[[#This Row],[Buy or Sell]]</f>
        <v>-229.99999999999997</v>
      </c>
      <c r="U158" s="5">
        <f>Table20[[#This Row],[Number of options]]*Table20[[#This Row],[AvePrice]]*100*Table20[[#This Row],[Buy or Sell]]</f>
        <v>-229.99999999999997</v>
      </c>
      <c r="V158" s="8">
        <f>Table20[[#This Row],[Number of options]]-Table20[[#This Row],[Exit1]]-Table20[[#This Row],[Exit2]]</f>
        <v>0</v>
      </c>
      <c r="W158" s="30">
        <f ca="1">(Table20[[#This Row],[Expiration Date]]-TODAY())/365</f>
        <v>-1.5890410958904109</v>
      </c>
      <c r="X158" s="30" t="e">
        <f ca="1">(LN(Table20[[#This Row],[Current Price]]/Table20[[#This Row],[strike_price]]) + ($B$2 + (Table20[[#This Row],[Vol]]^2)/2)*Table20[[#This Row],[Time to expiration]]) / (Table20[[#This Row],[Vol]] * SQRT(Table20[[#This Row],[Time to expiration]]))</f>
        <v>#NUM!</v>
      </c>
      <c r="Y158" s="30" t="e">
        <f ca="1">IF(Table20[[#This Row],[Direction]]&gt;0, _xlfn.NORM.S.DIST(Table20[[#This Row],[d1]], TRUE), _xlfn.NORM.S.DIST(Table20[[#This Row],[d1]], TRUE) - 1) * Table20[[#This Row],[Buy or Sell]]</f>
        <v>#NUM!</v>
      </c>
      <c r="Z158" s="9">
        <f ca="1">Table20[[#This Row],[Remaining]]*Table20[[#This Row],[Current Price]]*100</f>
        <v>0</v>
      </c>
      <c r="AA158" s="22">
        <f ca="1">IFERROR(Table20[[#This Row],[nominal_exposure]]*Table20[[#This Row],[Delta]],0)</f>
        <v>0</v>
      </c>
      <c r="AB158" s="30" t="b">
        <f>IF(Table20[[#This Row],[date_purchased]]&lt;&gt;Table20[[#This Row],[Expiration Date]],FALSE,TRUE)</f>
        <v>0</v>
      </c>
      <c r="AC158" s="30" t="str">
        <f>VLOOKUP(Table20[[#This Row],[Asset]],Table19[#All],3,FALSE)</f>
        <v>AI</v>
      </c>
      <c r="AD158" s="4">
        <f>IF(Table20[[#This Row],[Remaining]]&lt;&gt;0,Table20[[#This Row],[Invested]]*Table20[[#This Row],[Remaining]]/Table20[[#This Row],[Number of options]],0)</f>
        <v>0</v>
      </c>
      <c r="AE158" s="30">
        <f ca="1">SUMIF(Table20[Ticker],Table20[[#This Row],[Ticker]],Table20[realized_profit])</f>
        <v>-444.99999999999977</v>
      </c>
      <c r="AF158" s="30" t="str">
        <f>VLOOKUP(Table20[[#This Row],[Strategy]],Table29[#All],7,FALSE)</f>
        <v>Bullish</v>
      </c>
    </row>
    <row r="159" spans="1:32" hidden="1">
      <c r="A159" s="180">
        <v>45590</v>
      </c>
      <c r="B159" s="21" t="e" vm="96">
        <v>#VALUE!</v>
      </c>
      <c r="C159" s="109" t="str" cm="1">
        <f t="array" aca="1" ref="C159" ca="1">_FV(Table20[[#This Row],[Asset]],"Ticker symbol",TRUE)</f>
        <v>SPY</v>
      </c>
      <c r="D159" s="26" cm="1">
        <f t="array" aca="1" ref="D159" ca="1">_FV(Table20[[#This Row],[Asset]],"Price")</f>
        <v>658.59</v>
      </c>
      <c r="E159" s="26">
        <v>520</v>
      </c>
      <c r="F159" s="33">
        <v>5</v>
      </c>
      <c r="G159" s="34">
        <v>-1</v>
      </c>
      <c r="H159" s="34" t="s">
        <v>112</v>
      </c>
      <c r="I159" s="31">
        <v>45558</v>
      </c>
      <c r="J159" s="26">
        <v>1.07</v>
      </c>
      <c r="K159" s="24">
        <v>0.2185</v>
      </c>
      <c r="L159" s="33">
        <f>VLOOKUP(Table20[[#This Row],[Strategy]],Table29[#All],6,FALSE)</f>
        <v>-1</v>
      </c>
      <c r="M159" s="23">
        <v>5</v>
      </c>
      <c r="N159" s="23">
        <v>0.82</v>
      </c>
      <c r="O159" s="23"/>
      <c r="P159" s="23"/>
      <c r="Q159">
        <f>Table20[[#This Row],[Exit1]]*Table20[[#This Row],[ex1_price]]</f>
        <v>4.0999999999999996</v>
      </c>
      <c r="R159">
        <f>Table20[[#This Row],[Exit2]]*Table20[[#This Row],[ex2_price]]</f>
        <v>0</v>
      </c>
      <c r="S159">
        <f>IFERROR((Table20[[#This Row],[ex2_amnt]]+Table20[[#This Row],[ex1_amnt]])/(Table20[[#This Row],[Exit2]]+Table20[[#This Row],[Exit1]]),0)</f>
        <v>0.82</v>
      </c>
      <c r="T159" s="5">
        <f>(Table20[[#This Row],[Exit1]]+Table20[[#This Row],[Exit2]])*(Table20[[#This Row],[avg_exit_price]]-Table20[[#This Row],[AvePrice]])*100*Table20[[#This Row],[Buy or Sell]]</f>
        <v>125.00000000000004</v>
      </c>
      <c r="U159" s="5">
        <f>Table20[[#This Row],[Number of options]]*Table20[[#This Row],[AvePrice]]*100*Table20[[#This Row],[Buy or Sell]]</f>
        <v>-535</v>
      </c>
      <c r="V159" s="8">
        <f>Table20[[#This Row],[Number of options]]-Table20[[#This Row],[Exit1]]-Table20[[#This Row],[Exit2]]</f>
        <v>0</v>
      </c>
      <c r="W159" s="30">
        <f ca="1">(Table20[[#This Row],[Expiration Date]]-TODAY())/365</f>
        <v>-1.4164383561643836</v>
      </c>
      <c r="X159" s="30" t="e">
        <f ca="1">(LN(Table20[[#This Row],[Current Price]]/Table20[[#This Row],[strike_price]]) + ($B$2 + (Table20[[#This Row],[Vol]]^2)/2)*Table20[[#This Row],[Time to expiration]]) / (Table20[[#This Row],[Vol]] * SQRT(Table20[[#This Row],[Time to expiration]]))</f>
        <v>#NUM!</v>
      </c>
      <c r="Y159" s="30" t="e">
        <f ca="1">IF(Table20[[#This Row],[Direction]]&gt;0, _xlfn.NORM.S.DIST(Table20[[#This Row],[d1]], TRUE), _xlfn.NORM.S.DIST(Table20[[#This Row],[d1]], TRUE) - 1) * Table20[[#This Row],[Buy or Sell]]</f>
        <v>#NUM!</v>
      </c>
      <c r="Z159" s="9">
        <f ca="1">Table20[[#This Row],[Remaining]]*Table20[[#This Row],[Current Price]]*100</f>
        <v>0</v>
      </c>
      <c r="AA159" s="22">
        <f ca="1">IFERROR(Table20[[#This Row],[nominal_exposure]]*Table20[[#This Row],[Delta]],0)</f>
        <v>0</v>
      </c>
      <c r="AB159" s="30" t="b">
        <f>IF(Table20[[#This Row],[date_purchased]]&lt;&gt;Table20[[#This Row],[Expiration Date]],FALSE,TRUE)</f>
        <v>0</v>
      </c>
      <c r="AC159" s="30" t="str">
        <f>VLOOKUP(Table20[[#This Row],[Asset]],Table19[#All],3,FALSE)</f>
        <v>Market</v>
      </c>
      <c r="AD159" s="30">
        <f>IF(Table20[[#This Row],[Remaining]]&lt;&gt;0,Table20[[#This Row],[Invested]]*Table20[[#This Row],[Remaining]]/Table20[[#This Row],[Number of options]],0)</f>
        <v>0</v>
      </c>
      <c r="AE159" s="30">
        <f ca="1">SUMIF(Table20[Ticker],Table20[[#This Row],[Ticker]],Table20[realized_profit])</f>
        <v>-5077</v>
      </c>
      <c r="AF159" s="30" t="str">
        <f>VLOOKUP(Table20[[#This Row],[Strategy]],Table29[#All],7,FALSE)</f>
        <v>Bearish</v>
      </c>
    </row>
    <row r="160" spans="1:32" hidden="1">
      <c r="A160" s="35">
        <v>45506</v>
      </c>
      <c r="B160" s="21" t="e" vm="24">
        <v>#VALUE!</v>
      </c>
      <c r="C160" s="109" t="str" cm="1">
        <f t="array" aca="1" ref="C160" ca="1">_FV(Table20[[#This Row],[Asset]],"Ticker symbol",TRUE)</f>
        <v>QCOM</v>
      </c>
      <c r="D160" s="26" cm="1">
        <f t="array" aca="1" ref="D160" ca="1">_FV(Table20[[#This Row],[Asset]],"Price")</f>
        <v>131.63499999999999</v>
      </c>
      <c r="E160" s="26">
        <v>180</v>
      </c>
      <c r="F160" s="33">
        <v>1</v>
      </c>
      <c r="G160" s="34">
        <v>-1</v>
      </c>
      <c r="H160" s="34" t="s">
        <v>115</v>
      </c>
      <c r="I160" s="31">
        <v>45503</v>
      </c>
      <c r="J160" s="26">
        <v>2.86</v>
      </c>
      <c r="K160" s="24">
        <v>1.0563</v>
      </c>
      <c r="L160" s="33">
        <f>VLOOKUP(Table20[[#This Row],[Strategy]],Table29[#All],6,FALSE)</f>
        <v>1</v>
      </c>
      <c r="M160" s="23">
        <v>1</v>
      </c>
      <c r="N160" s="23">
        <v>0.7</v>
      </c>
      <c r="O160" s="23"/>
      <c r="P160" s="23"/>
      <c r="Q160">
        <f>Table20[[#This Row],[Exit1]]*Table20[[#This Row],[ex1_price]]</f>
        <v>0.7</v>
      </c>
      <c r="R160">
        <f>Table20[[#This Row],[Exit2]]*Table20[[#This Row],[ex2_price]]</f>
        <v>0</v>
      </c>
      <c r="S160">
        <f>IFERROR((Table20[[#This Row],[ex2_amnt]]+Table20[[#This Row],[ex1_amnt]])/(Table20[[#This Row],[Exit2]]+Table20[[#This Row],[Exit1]]),0)</f>
        <v>0.7</v>
      </c>
      <c r="T160" s="5">
        <f>(Table20[[#This Row],[Exit1]]+Table20[[#This Row],[Exit2]])*(Table20[[#This Row],[avg_exit_price]]-Table20[[#This Row],[AvePrice]])*100*Table20[[#This Row],[Buy or Sell]]</f>
        <v>216</v>
      </c>
      <c r="U160" s="5">
        <f>Table20[[#This Row],[Number of options]]*Table20[[#This Row],[AvePrice]]*100*Table20[[#This Row],[Buy or Sell]]</f>
        <v>-286</v>
      </c>
      <c r="V160" s="8">
        <f>Table20[[#This Row],[Number of options]]-Table20[[#This Row],[Exit1]]-Table20[[#This Row],[Exit2]]</f>
        <v>0</v>
      </c>
      <c r="W160" s="30">
        <f ca="1">(Table20[[#This Row],[Expiration Date]]-TODAY())/365</f>
        <v>-1.6465753424657534</v>
      </c>
      <c r="X160" s="30" t="e">
        <f ca="1">(LN(Table20[[#This Row],[Current Price]]/Table20[[#This Row],[strike_price]]) + ($B$2 + (Table20[[#This Row],[Vol]]^2)/2)*Table20[[#This Row],[Time to expiration]]) / (Table20[[#This Row],[Vol]] * SQRT(Table20[[#This Row],[Time to expiration]]))</f>
        <v>#NUM!</v>
      </c>
      <c r="Y160" s="30" t="e">
        <f ca="1">IF(Table20[[#This Row],[Direction]]&gt;0, _xlfn.NORM.S.DIST(Table20[[#This Row],[d1]], TRUE), _xlfn.NORM.S.DIST(Table20[[#This Row],[d1]], TRUE) - 1) * Table20[[#This Row],[Buy or Sell]]</f>
        <v>#NUM!</v>
      </c>
      <c r="Z160" s="9">
        <f ca="1">Table20[[#This Row],[Remaining]]*Table20[[#This Row],[Current Price]]*100</f>
        <v>0</v>
      </c>
      <c r="AA160" s="22">
        <f ca="1">IFERROR(Table20[[#This Row],[nominal_exposure]]*Table20[[#This Row],[Delta]],0)</f>
        <v>0</v>
      </c>
      <c r="AB160" s="30" t="b">
        <f>IF(Table20[[#This Row],[date_purchased]]&lt;&gt;Table20[[#This Row],[Expiration Date]],FALSE,TRUE)</f>
        <v>0</v>
      </c>
      <c r="AC160" s="30" t="str">
        <f>VLOOKUP(Table20[[#This Row],[Asset]],Table19[#All],3,FALSE)</f>
        <v>AI</v>
      </c>
      <c r="AD160" s="30">
        <f>IF(Table20[[#This Row],[Remaining]]&lt;&gt;0,Table20[[#This Row],[Invested]]*Table20[[#This Row],[Remaining]]/Table20[[#This Row],[Number of options]],0)</f>
        <v>0</v>
      </c>
      <c r="AE160" s="30">
        <f ca="1">SUMIF(Table20[Ticker],Table20[[#This Row],[Ticker]],Table20[realized_profit])</f>
        <v>-2175.9999999999995</v>
      </c>
      <c r="AF160" s="30" t="str">
        <f>VLOOKUP(Table20[[#This Row],[Strategy]],Table29[#All],7,FALSE)</f>
        <v>Bullish</v>
      </c>
    </row>
    <row r="161" spans="1:32" hidden="1">
      <c r="A161" s="35">
        <v>45513</v>
      </c>
      <c r="B161" s="21" t="e" vm="24">
        <v>#VALUE!</v>
      </c>
      <c r="C161" s="109" t="str" cm="1">
        <f t="array" aca="1" ref="C161" ca="1">_FV(Table20[[#This Row],[Asset]],"Ticker symbol",TRUE)</f>
        <v>QCOM</v>
      </c>
      <c r="D161" s="26" cm="1">
        <f t="array" aca="1" ref="D161" ca="1">_FV(Table20[[#This Row],[Asset]],"Price")</f>
        <v>131.63499999999999</v>
      </c>
      <c r="E161" s="26">
        <v>180</v>
      </c>
      <c r="F161" s="33">
        <v>1</v>
      </c>
      <c r="G161" s="34">
        <v>1</v>
      </c>
      <c r="H161" s="34" t="s">
        <v>115</v>
      </c>
      <c r="I161" s="31">
        <v>45503</v>
      </c>
      <c r="J161" s="26">
        <v>4.3499999999999996</v>
      </c>
      <c r="K161" s="24">
        <v>0.55500000000000005</v>
      </c>
      <c r="L161" s="33">
        <f>VLOOKUP(Table20[[#This Row],[Strategy]],Table29[#All],6,FALSE)</f>
        <v>1</v>
      </c>
      <c r="M161" s="23">
        <v>1</v>
      </c>
      <c r="N161" s="23">
        <v>2.89</v>
      </c>
      <c r="O161" s="23"/>
      <c r="P161" s="23"/>
      <c r="Q161">
        <f>Table20[[#This Row],[Exit1]]*Table20[[#This Row],[ex1_price]]</f>
        <v>2.89</v>
      </c>
      <c r="R161">
        <f>Table20[[#This Row],[Exit2]]*Table20[[#This Row],[ex2_price]]</f>
        <v>0</v>
      </c>
      <c r="S161">
        <f>IFERROR((Table20[[#This Row],[ex2_amnt]]+Table20[[#This Row],[ex1_amnt]])/(Table20[[#This Row],[Exit2]]+Table20[[#This Row],[Exit1]]),0)</f>
        <v>2.89</v>
      </c>
      <c r="T161" s="5">
        <f>(Table20[[#This Row],[Exit1]]+Table20[[#This Row],[Exit2]])*(Table20[[#This Row],[avg_exit_price]]-Table20[[#This Row],[AvePrice]])*100*Table20[[#This Row],[Buy or Sell]]</f>
        <v>-145.99999999999994</v>
      </c>
      <c r="U161" s="5">
        <f>Table20[[#This Row],[Number of options]]*Table20[[#This Row],[AvePrice]]*100*Table20[[#This Row],[Buy or Sell]]</f>
        <v>434.99999999999994</v>
      </c>
      <c r="V161" s="8">
        <f>Table20[[#This Row],[Number of options]]-Table20[[#This Row],[Exit1]]-Table20[[#This Row],[Exit2]]</f>
        <v>0</v>
      </c>
      <c r="W161" s="30">
        <f ca="1">(Table20[[#This Row],[Expiration Date]]-TODAY())/365</f>
        <v>-1.6273972602739726</v>
      </c>
      <c r="X161" s="30" t="e">
        <f ca="1">(LN(Table20[[#This Row],[Current Price]]/Table20[[#This Row],[strike_price]]) + ($B$2 + (Table20[[#This Row],[Vol]]^2)/2)*Table20[[#This Row],[Time to expiration]]) / (Table20[[#This Row],[Vol]] * SQRT(Table20[[#This Row],[Time to expiration]]))</f>
        <v>#NUM!</v>
      </c>
      <c r="Y161" s="30" t="e">
        <f ca="1">IF(Table20[[#This Row],[Direction]]&gt;0, _xlfn.NORM.S.DIST(Table20[[#This Row],[d1]], TRUE), _xlfn.NORM.S.DIST(Table20[[#This Row],[d1]], TRUE) - 1) * Table20[[#This Row],[Buy or Sell]]</f>
        <v>#NUM!</v>
      </c>
      <c r="Z161" s="9">
        <f ca="1">Table20[[#This Row],[Remaining]]*Table20[[#This Row],[Current Price]]*100</f>
        <v>0</v>
      </c>
      <c r="AA161" s="22">
        <f ca="1">IFERROR(Table20[[#This Row],[nominal_exposure]]*Table20[[#This Row],[Delta]],0)</f>
        <v>0</v>
      </c>
      <c r="AB161" s="30" t="b">
        <f>IF(Table20[[#This Row],[date_purchased]]&lt;&gt;Table20[[#This Row],[Expiration Date]],FALSE,TRUE)</f>
        <v>0</v>
      </c>
      <c r="AC161" s="30" t="str">
        <f>VLOOKUP(Table20[[#This Row],[Asset]],Table19[#All],3,FALSE)</f>
        <v>AI</v>
      </c>
      <c r="AD161" s="30">
        <f>IF(Table20[[#This Row],[Remaining]]&lt;&gt;0,Table20[[#This Row],[Invested]]*Table20[[#This Row],[Remaining]]/Table20[[#This Row],[Number of options]],0)</f>
        <v>0</v>
      </c>
      <c r="AE161" s="30">
        <f ca="1">SUMIF(Table20[Ticker],Table20[[#This Row],[Ticker]],Table20[realized_profit])</f>
        <v>-2175.9999999999995</v>
      </c>
      <c r="AF161" s="30" t="str">
        <f>VLOOKUP(Table20[[#This Row],[Strategy]],Table29[#All],7,FALSE)</f>
        <v>Bullish</v>
      </c>
    </row>
    <row r="162" spans="1:32" hidden="1">
      <c r="A162" s="35">
        <v>45534</v>
      </c>
      <c r="B162" s="21" t="e" vm="121">
        <v>#VALUE!</v>
      </c>
      <c r="C162" s="109" t="str" cm="1">
        <f t="array" aca="1" ref="C162" ca="1">_FV(Table20[[#This Row],[Asset]],"Ticker symbol",TRUE)</f>
        <v>IWM</v>
      </c>
      <c r="D162" s="26" cm="1">
        <f t="array" aca="1" ref="D162" ca="1">_FV(Table20[[#This Row],[Asset]],"Price")</f>
        <v>252.46010000000001</v>
      </c>
      <c r="E162" s="26">
        <v>200</v>
      </c>
      <c r="F162" s="33">
        <v>1</v>
      </c>
      <c r="G162" s="34">
        <v>-1</v>
      </c>
      <c r="H162" s="34" t="s">
        <v>161</v>
      </c>
      <c r="I162" s="31">
        <v>45505</v>
      </c>
      <c r="J162" s="26">
        <v>0.82</v>
      </c>
      <c r="K162" s="24">
        <v>0.2979</v>
      </c>
      <c r="L162" s="33">
        <f>VLOOKUP(Table20[[#This Row],[Strategy]],Table29[#All],6,FALSE)</f>
        <v>-1</v>
      </c>
      <c r="M162" s="23">
        <v>1</v>
      </c>
      <c r="N162" s="23">
        <v>5.4</v>
      </c>
      <c r="O162" s="23"/>
      <c r="P162" s="23"/>
      <c r="Q162">
        <f>Table20[[#This Row],[Exit1]]*Table20[[#This Row],[ex1_price]]</f>
        <v>5.4</v>
      </c>
      <c r="R162">
        <f>Table20[[#This Row],[Exit2]]*Table20[[#This Row],[ex2_price]]</f>
        <v>0</v>
      </c>
      <c r="S162">
        <f>IFERROR((Table20[[#This Row],[ex2_amnt]]+Table20[[#This Row],[ex1_amnt]])/(Table20[[#This Row],[Exit2]]+Table20[[#This Row],[Exit1]]),0)</f>
        <v>5.4</v>
      </c>
      <c r="T162" s="5">
        <f>(Table20[[#This Row],[Exit1]]+Table20[[#This Row],[Exit2]])*(Table20[[#This Row],[avg_exit_price]]-Table20[[#This Row],[AvePrice]])*100*Table20[[#This Row],[Buy or Sell]]</f>
        <v>-458</v>
      </c>
      <c r="U162" s="5">
        <f>Table20[[#This Row],[Number of options]]*Table20[[#This Row],[AvePrice]]*100*Table20[[#This Row],[Buy or Sell]]</f>
        <v>-82</v>
      </c>
      <c r="V162" s="8">
        <f>Table20[[#This Row],[Number of options]]-Table20[[#This Row],[Exit1]]-Table20[[#This Row],[Exit2]]</f>
        <v>0</v>
      </c>
      <c r="W162" s="30">
        <f ca="1">(Table20[[#This Row],[Expiration Date]]-TODAY())/365</f>
        <v>-1.5698630136986302</v>
      </c>
      <c r="X162" s="30" t="e">
        <f ca="1">(LN(Table20[[#This Row],[Current Price]]/Table20[[#This Row],[strike_price]]) + ($B$2 + (Table20[[#This Row],[Vol]]^2)/2)*Table20[[#This Row],[Time to expiration]]) / (Table20[[#This Row],[Vol]] * SQRT(Table20[[#This Row],[Time to expiration]]))</f>
        <v>#NUM!</v>
      </c>
      <c r="Y162" s="30" t="e">
        <f ca="1">IF(Table20[[#This Row],[Direction]]&gt;0, _xlfn.NORM.S.DIST(Table20[[#This Row],[d1]], TRUE), _xlfn.NORM.S.DIST(Table20[[#This Row],[d1]], TRUE) - 1) * Table20[[#This Row],[Buy or Sell]]</f>
        <v>#NUM!</v>
      </c>
      <c r="Z162" s="9">
        <f ca="1">Table20[[#This Row],[Remaining]]*Table20[[#This Row],[Current Price]]*100</f>
        <v>0</v>
      </c>
      <c r="AA162" s="22">
        <f ca="1">IFERROR(Table20[[#This Row],[nominal_exposure]]*Table20[[#This Row],[Delta]],0)</f>
        <v>0</v>
      </c>
      <c r="AB162" s="30" t="b">
        <f>IF(Table20[[#This Row],[date_purchased]]&lt;&gt;Table20[[#This Row],[Expiration Date]],FALSE,TRUE)</f>
        <v>0</v>
      </c>
      <c r="AC162" s="30" t="str">
        <f>VLOOKUP(Table20[[#This Row],[Asset]],Table19[#All],3,FALSE)</f>
        <v>Market</v>
      </c>
      <c r="AD162" s="30">
        <f>IF(Table20[[#This Row],[Remaining]]&lt;&gt;0,Table20[[#This Row],[Invested]]*Table20[[#This Row],[Remaining]]/Table20[[#This Row],[Number of options]],0)</f>
        <v>0</v>
      </c>
      <c r="AE162" s="30">
        <f ca="1">SUMIF(Table20[Ticker],Table20[[#This Row],[Ticker]],Table20[realized_profit])</f>
        <v>-331.99999999999994</v>
      </c>
      <c r="AF162" s="30" t="str">
        <f>VLOOKUP(Table20[[#This Row],[Strategy]],Table29[#All],7,FALSE)</f>
        <v>Bearish</v>
      </c>
    </row>
    <row r="163" spans="1:32" hidden="1">
      <c r="A163" s="180">
        <v>45583</v>
      </c>
      <c r="B163" s="21" t="e" vm="96">
        <v>#VALUE!</v>
      </c>
      <c r="C163" s="109" t="str" cm="1">
        <f t="array" aca="1" ref="C163" ca="1">_FV(Table20[[#This Row],[Asset]],"Ticker symbol",TRUE)</f>
        <v>SPY</v>
      </c>
      <c r="D163" s="26" cm="1">
        <f t="array" aca="1" ref="D163" ca="1">_FV(Table20[[#This Row],[Asset]],"Price")</f>
        <v>658.59</v>
      </c>
      <c r="E163" s="26">
        <v>560</v>
      </c>
      <c r="F163" s="33">
        <v>2</v>
      </c>
      <c r="G163" s="34">
        <v>1</v>
      </c>
      <c r="H163" s="34" t="s">
        <v>65</v>
      </c>
      <c r="I163" s="31">
        <v>45559</v>
      </c>
      <c r="J163" s="26">
        <v>3.24</v>
      </c>
      <c r="K163" s="24">
        <v>0.1391</v>
      </c>
      <c r="L163" s="33">
        <f>VLOOKUP(Table20[[#This Row],[Strategy]],Table29[#All],6,FALSE)</f>
        <v>-1</v>
      </c>
      <c r="M163" s="23">
        <v>2</v>
      </c>
      <c r="N163" s="23">
        <v>3.16</v>
      </c>
      <c r="O163" s="23"/>
      <c r="P163" s="23"/>
      <c r="Q163">
        <f>Table20[[#This Row],[Exit1]]*Table20[[#This Row],[ex1_price]]</f>
        <v>6.32</v>
      </c>
      <c r="R163">
        <f>Table20[[#This Row],[Exit2]]*Table20[[#This Row],[ex2_price]]</f>
        <v>0</v>
      </c>
      <c r="S163">
        <f>IFERROR((Table20[[#This Row],[ex2_amnt]]+Table20[[#This Row],[ex1_amnt]])/(Table20[[#This Row],[Exit2]]+Table20[[#This Row],[Exit1]]),0)</f>
        <v>3.16</v>
      </c>
      <c r="T163" s="5">
        <f>(Table20[[#This Row],[Exit1]]+Table20[[#This Row],[Exit2]])*(Table20[[#This Row],[avg_exit_price]]-Table20[[#This Row],[AvePrice]])*100*Table20[[#This Row],[Buy or Sell]]</f>
        <v>-16.000000000000014</v>
      </c>
      <c r="U163" s="5">
        <f>Table20[[#This Row],[Number of options]]*Table20[[#This Row],[AvePrice]]*100*Table20[[#This Row],[Buy or Sell]]</f>
        <v>648</v>
      </c>
      <c r="V163" s="8">
        <f>Table20[[#This Row],[Number of options]]-Table20[[#This Row],[Exit1]]-Table20[[#This Row],[Exit2]]</f>
        <v>0</v>
      </c>
      <c r="W163" s="30">
        <f ca="1">(Table20[[#This Row],[Expiration Date]]-TODAY())/365</f>
        <v>-1.4356164383561645</v>
      </c>
      <c r="X163" s="30" t="e">
        <f ca="1">(LN(Table20[[#This Row],[Current Price]]/Table20[[#This Row],[strike_price]]) + ($B$2 + (Table20[[#This Row],[Vol]]^2)/2)*Table20[[#This Row],[Time to expiration]]) / (Table20[[#This Row],[Vol]] * SQRT(Table20[[#This Row],[Time to expiration]]))</f>
        <v>#NUM!</v>
      </c>
      <c r="Y163" s="30" t="e">
        <f ca="1">IF(Table20[[#This Row],[Direction]]&gt;0, _xlfn.NORM.S.DIST(Table20[[#This Row],[d1]], TRUE), _xlfn.NORM.S.DIST(Table20[[#This Row],[d1]], TRUE) - 1) * Table20[[#This Row],[Buy or Sell]]</f>
        <v>#NUM!</v>
      </c>
      <c r="Z163" s="9">
        <f ca="1">Table20[[#This Row],[Remaining]]*Table20[[#This Row],[Current Price]]*100</f>
        <v>0</v>
      </c>
      <c r="AA163" s="22">
        <f ca="1">IFERROR(Table20[[#This Row],[nominal_exposure]]*Table20[[#This Row],[Delta]],0)</f>
        <v>0</v>
      </c>
      <c r="AB163" s="30" t="b">
        <f>IF(Table20[[#This Row],[date_purchased]]&lt;&gt;Table20[[#This Row],[Expiration Date]],FALSE,TRUE)</f>
        <v>0</v>
      </c>
      <c r="AC163" s="30" t="str">
        <f>VLOOKUP(Table20[[#This Row],[Asset]],Table19[#All],3,FALSE)</f>
        <v>Market</v>
      </c>
      <c r="AD163" s="30">
        <f>IF(Table20[[#This Row],[Remaining]]&lt;&gt;0,Table20[[#This Row],[Invested]]*Table20[[#This Row],[Remaining]]/Table20[[#This Row],[Number of options]],0)</f>
        <v>0</v>
      </c>
      <c r="AE163" s="30">
        <f ca="1">SUMIF(Table20[Ticker],Table20[[#This Row],[Ticker]],Table20[realized_profit])</f>
        <v>-5077</v>
      </c>
      <c r="AF163" s="30" t="str">
        <f>VLOOKUP(Table20[[#This Row],[Strategy]],Table29[#All],7,FALSE)</f>
        <v>Bearish</v>
      </c>
    </row>
    <row r="164" spans="1:32" hidden="1">
      <c r="A164" s="35">
        <v>45674</v>
      </c>
      <c r="B164" s="21" t="e" vm="357">
        <v>#VALUE!</v>
      </c>
      <c r="C164" s="109" t="str" cm="1">
        <f t="array" aca="1" ref="C164" ca="1">_FV(Table20[[#This Row],[Asset]],"Ticker symbol",TRUE)</f>
        <v>OPEN</v>
      </c>
      <c r="D164" s="26" cm="1">
        <f t="array" aca="1" ref="D164" ca="1">_FV(Table20[[#This Row],[Asset]],"Price")</f>
        <v>5.2249999999999996</v>
      </c>
      <c r="E164" s="26">
        <v>3</v>
      </c>
      <c r="F164" s="33">
        <v>4</v>
      </c>
      <c r="G164" s="34">
        <v>1</v>
      </c>
      <c r="H164" s="111" t="s">
        <v>113</v>
      </c>
      <c r="I164" s="31">
        <v>45489</v>
      </c>
      <c r="J164" s="26">
        <v>0.63</v>
      </c>
      <c r="K164" s="24">
        <v>0.94</v>
      </c>
      <c r="L164" s="33">
        <f>VLOOKUP(Table20[[#This Row],[Strategy]],Table29[#All],6,FALSE)</f>
        <v>1</v>
      </c>
      <c r="M164" s="23">
        <v>4</v>
      </c>
      <c r="N164" s="23">
        <v>0.21</v>
      </c>
      <c r="O164" s="23"/>
      <c r="P164" s="23"/>
      <c r="Q164">
        <f>Table20[[#This Row],[Exit1]]*Table20[[#This Row],[ex1_price]]</f>
        <v>0.84</v>
      </c>
      <c r="R164">
        <f>Table20[[#This Row],[Exit2]]*Table20[[#This Row],[ex2_price]]</f>
        <v>0</v>
      </c>
      <c r="S164">
        <f>IFERROR((Table20[[#This Row],[ex2_amnt]]+Table20[[#This Row],[ex1_amnt]])/(Table20[[#This Row],[Exit2]]+Table20[[#This Row],[Exit1]]),0)</f>
        <v>0.21</v>
      </c>
      <c r="T164" s="5">
        <f>(Table20[[#This Row],[Exit1]]+Table20[[#This Row],[Exit2]])*(Table20[[#This Row],[avg_exit_price]]-Table20[[#This Row],[AvePrice]])*100*Table20[[#This Row],[Buy or Sell]]</f>
        <v>-168.00000000000003</v>
      </c>
      <c r="U164" s="5">
        <f>Table20[[#This Row],[Number of options]]*Table20[[#This Row],[AvePrice]]*100*Table20[[#This Row],[Buy or Sell]]</f>
        <v>252</v>
      </c>
      <c r="V164" s="8">
        <f>Table20[[#This Row],[Number of options]]-Table20[[#This Row],[Exit1]]-Table20[[#This Row],[Exit2]]</f>
        <v>0</v>
      </c>
      <c r="W164" s="30">
        <f ca="1">(Table20[[#This Row],[Expiration Date]]-TODAY())/365</f>
        <v>-1.1863013698630136</v>
      </c>
      <c r="X164" s="30" t="e">
        <f ca="1">(LN(Table20[[#This Row],[Current Price]]/Table20[[#This Row],[strike_price]]) + ($B$2 + (Table20[[#This Row],[Vol]]^2)/2)*Table20[[#This Row],[Time to expiration]]) / (Table20[[#This Row],[Vol]] * SQRT(Table20[[#This Row],[Time to expiration]]))</f>
        <v>#NUM!</v>
      </c>
      <c r="Y164" s="30" t="e">
        <f ca="1">IF(Table20[[#This Row],[Direction]]&gt;0, _xlfn.NORM.S.DIST(Table20[[#This Row],[d1]], TRUE), _xlfn.NORM.S.DIST(Table20[[#This Row],[d1]], TRUE) - 1) * Table20[[#This Row],[Buy or Sell]]</f>
        <v>#NUM!</v>
      </c>
      <c r="Z164" s="9">
        <f ca="1">Table20[[#This Row],[Remaining]]*Table20[[#This Row],[Current Price]]*100</f>
        <v>0</v>
      </c>
      <c r="AA164" s="22">
        <f ca="1">IFERROR(Table20[[#This Row],[nominal_exposure]]*Table20[[#This Row],[Delta]],0)</f>
        <v>0</v>
      </c>
      <c r="AB164" s="99" t="b">
        <f>IF(Table20[[#This Row],[date_purchased]]&lt;&gt;Table20[[#This Row],[Expiration Date]],FALSE,TRUE)</f>
        <v>0</v>
      </c>
      <c r="AC164" s="30" t="str">
        <f>VLOOKUP(Table20[[#This Row],[Asset]],Table19[#All],3,FALSE)</f>
        <v>Real estate</v>
      </c>
      <c r="AD164" s="4">
        <f>IF(Table20[[#This Row],[Remaining]]&lt;&gt;0,Table20[[#This Row],[Invested]]*Table20[[#This Row],[Remaining]]/Table20[[#This Row],[Number of options]],0)</f>
        <v>0</v>
      </c>
      <c r="AE164" s="30">
        <f ca="1">SUMIF(Table20[Ticker],Table20[[#This Row],[Ticker]],Table20[realized_profit])</f>
        <v>-168.00000000000003</v>
      </c>
      <c r="AF164" s="30" t="str">
        <f>VLOOKUP(Table20[[#This Row],[Strategy]],Table29[#All],7,FALSE)</f>
        <v>Bullish</v>
      </c>
    </row>
    <row r="165" spans="1:32" hidden="1">
      <c r="A165" s="180">
        <v>45583</v>
      </c>
      <c r="B165" s="21" t="e" vm="96">
        <v>#VALUE!</v>
      </c>
      <c r="C165" s="109" t="str" cm="1">
        <f t="array" aca="1" ref="C165" ca="1">_FV(Table20[[#This Row],[Asset]],"Ticker symbol",TRUE)</f>
        <v>SPY</v>
      </c>
      <c r="D165" s="26" cm="1">
        <f t="array" aca="1" ref="D165" ca="1">_FV(Table20[[#This Row],[Asset]],"Price")</f>
        <v>658.59</v>
      </c>
      <c r="E165" s="26">
        <v>560</v>
      </c>
      <c r="F165" s="33">
        <v>3</v>
      </c>
      <c r="G165" s="34">
        <v>1</v>
      </c>
      <c r="H165" s="34" t="s">
        <v>161</v>
      </c>
      <c r="I165" s="31">
        <v>45569</v>
      </c>
      <c r="J165" s="26">
        <v>2.98</v>
      </c>
      <c r="K165" s="24">
        <v>0.16500000000000001</v>
      </c>
      <c r="L165" s="33">
        <f>VLOOKUP(Table20[[#This Row],[Strategy]],Table29[#All],6,FALSE)</f>
        <v>-1</v>
      </c>
      <c r="M165" s="23">
        <v>3</v>
      </c>
      <c r="N165" s="23">
        <v>0.65</v>
      </c>
      <c r="O165" s="23"/>
      <c r="P165" s="23"/>
      <c r="Q165">
        <f>Table20[[#This Row],[Exit1]]*Table20[[#This Row],[ex1_price]]</f>
        <v>1.9500000000000002</v>
      </c>
      <c r="R165">
        <f>Table20[[#This Row],[Exit2]]*Table20[[#This Row],[ex2_price]]</f>
        <v>0</v>
      </c>
      <c r="S165">
        <f>IFERROR((Table20[[#This Row],[ex2_amnt]]+Table20[[#This Row],[ex1_amnt]])/(Table20[[#This Row],[Exit2]]+Table20[[#This Row],[Exit1]]),0)</f>
        <v>0.65</v>
      </c>
      <c r="T165" s="5">
        <f>(Table20[[#This Row],[Exit1]]+Table20[[#This Row],[Exit2]])*(Table20[[#This Row],[avg_exit_price]]-Table20[[#This Row],[AvePrice]])*100*Table20[[#This Row],[Buy or Sell]]</f>
        <v>-699</v>
      </c>
      <c r="U165" s="5">
        <f>Table20[[#This Row],[Number of options]]*Table20[[#This Row],[AvePrice]]*100*Table20[[#This Row],[Buy or Sell]]</f>
        <v>894</v>
      </c>
      <c r="V165" s="8">
        <f>Table20[[#This Row],[Number of options]]-Table20[[#This Row],[Exit1]]-Table20[[#This Row],[Exit2]]</f>
        <v>0</v>
      </c>
      <c r="W165" s="30">
        <f ca="1">(Table20[[#This Row],[Expiration Date]]-TODAY())/365</f>
        <v>-1.4356164383561645</v>
      </c>
      <c r="X165" s="30" t="e">
        <f ca="1">(LN(Table20[[#This Row],[Current Price]]/Table20[[#This Row],[strike_price]]) + ($B$2 + (Table20[[#This Row],[Vol]]^2)/2)*Table20[[#This Row],[Time to expiration]]) / (Table20[[#This Row],[Vol]] * SQRT(Table20[[#This Row],[Time to expiration]]))</f>
        <v>#NUM!</v>
      </c>
      <c r="Y165" s="30" t="e">
        <f ca="1">IF(Table20[[#This Row],[Direction]]&gt;0, _xlfn.NORM.S.DIST(Table20[[#This Row],[d1]], TRUE), _xlfn.NORM.S.DIST(Table20[[#This Row],[d1]], TRUE) - 1) * Table20[[#This Row],[Buy or Sell]]</f>
        <v>#NUM!</v>
      </c>
      <c r="Z165" s="9">
        <f ca="1">Table20[[#This Row],[Remaining]]*Table20[[#This Row],[Current Price]]*100</f>
        <v>0</v>
      </c>
      <c r="AA165" s="22">
        <f ca="1">IFERROR(Table20[[#This Row],[nominal_exposure]]*Table20[[#This Row],[Delta]],0)</f>
        <v>0</v>
      </c>
      <c r="AB165" s="30" t="b">
        <f>IF(Table20[[#This Row],[date_purchased]]&lt;&gt;Table20[[#This Row],[Expiration Date]],FALSE,TRUE)</f>
        <v>0</v>
      </c>
      <c r="AC165" s="30" t="str">
        <f>VLOOKUP(Table20[[#This Row],[Asset]],Table19[#All],3,FALSE)</f>
        <v>Market</v>
      </c>
      <c r="AD165" s="30">
        <f>IF(Table20[[#This Row],[Remaining]]&lt;&gt;0,Table20[[#This Row],[Invested]]*Table20[[#This Row],[Remaining]]/Table20[[#This Row],[Number of options]],0)</f>
        <v>0</v>
      </c>
      <c r="AE165" s="30">
        <f ca="1">SUMIF(Table20[Ticker],Table20[[#This Row],[Ticker]],Table20[realized_profit])</f>
        <v>-5077</v>
      </c>
      <c r="AF165" s="30" t="str">
        <f>VLOOKUP(Table20[[#This Row],[Strategy]],Table29[#All],7,FALSE)</f>
        <v>Bearish</v>
      </c>
    </row>
    <row r="166" spans="1:32" hidden="1">
      <c r="A166" s="180">
        <v>45583</v>
      </c>
      <c r="B166" s="21" t="e" vm="96">
        <v>#VALUE!</v>
      </c>
      <c r="C166" s="109" t="str" cm="1">
        <f t="array" aca="1" ref="C166" ca="1">_FV(Table20[[#This Row],[Asset]],"Ticker symbol",TRUE)</f>
        <v>SPY</v>
      </c>
      <c r="D166" s="26" cm="1">
        <f t="array" aca="1" ref="D166" ca="1">_FV(Table20[[#This Row],[Asset]],"Price")</f>
        <v>658.59</v>
      </c>
      <c r="E166" s="26">
        <v>560</v>
      </c>
      <c r="F166" s="33">
        <v>5</v>
      </c>
      <c r="G166" s="34">
        <v>1</v>
      </c>
      <c r="H166" s="34" t="s">
        <v>112</v>
      </c>
      <c r="I166" s="31">
        <v>45573</v>
      </c>
      <c r="J166" s="26">
        <v>3.42</v>
      </c>
      <c r="K166" s="24"/>
      <c r="L166" s="33">
        <f>VLOOKUP(Table20[[#This Row],[Strategy]],Table29[#All],6,FALSE)</f>
        <v>-1</v>
      </c>
      <c r="M166" s="23">
        <v>5</v>
      </c>
      <c r="N166" s="23">
        <v>2.02</v>
      </c>
      <c r="O166" s="23"/>
      <c r="P166" s="23"/>
      <c r="Q166">
        <f>Table20[[#This Row],[Exit1]]*Table20[[#This Row],[ex1_price]]</f>
        <v>10.1</v>
      </c>
      <c r="R166">
        <f>Table20[[#This Row],[Exit2]]*Table20[[#This Row],[ex2_price]]</f>
        <v>0</v>
      </c>
      <c r="S166">
        <f>IFERROR((Table20[[#This Row],[ex2_amnt]]+Table20[[#This Row],[ex1_amnt]])/(Table20[[#This Row],[Exit2]]+Table20[[#This Row],[Exit1]]),0)</f>
        <v>2.02</v>
      </c>
      <c r="T166" s="5">
        <f>(Table20[[#This Row],[Exit1]]+Table20[[#This Row],[Exit2]])*(Table20[[#This Row],[avg_exit_price]]-Table20[[#This Row],[AvePrice]])*100*Table20[[#This Row],[Buy or Sell]]</f>
        <v>-700</v>
      </c>
      <c r="U166" s="5">
        <f>Table20[[#This Row],[Number of options]]*Table20[[#This Row],[AvePrice]]*100*Table20[[#This Row],[Buy or Sell]]</f>
        <v>1710.0000000000002</v>
      </c>
      <c r="V166" s="8">
        <f>Table20[[#This Row],[Number of options]]-Table20[[#This Row],[Exit1]]-Table20[[#This Row],[Exit2]]</f>
        <v>0</v>
      </c>
      <c r="W166" s="30">
        <f ca="1">(Table20[[#This Row],[Expiration Date]]-TODAY())/365</f>
        <v>-1.4356164383561645</v>
      </c>
      <c r="X166" s="30" t="e">
        <f ca="1">(LN(Table20[[#This Row],[Current Price]]/Table20[[#This Row],[strike_price]]) + ($B$2 + (Table20[[#This Row],[Vol]]^2)/2)*Table20[[#This Row],[Time to expiration]]) / (Table20[[#This Row],[Vol]] * SQRT(Table20[[#This Row],[Time to expiration]]))</f>
        <v>#NUM!</v>
      </c>
      <c r="Y166" s="30" t="e">
        <f ca="1">IF(Table20[[#This Row],[Direction]]&gt;0, _xlfn.NORM.S.DIST(Table20[[#This Row],[d1]], TRUE), _xlfn.NORM.S.DIST(Table20[[#This Row],[d1]], TRUE) - 1) * Table20[[#This Row],[Buy or Sell]]</f>
        <v>#NUM!</v>
      </c>
      <c r="Z166" s="9">
        <f ca="1">Table20[[#This Row],[Remaining]]*Table20[[#This Row],[Current Price]]*100</f>
        <v>0</v>
      </c>
      <c r="AA166" s="22">
        <f ca="1">IFERROR(Table20[[#This Row],[nominal_exposure]]*Table20[[#This Row],[Delta]],0)</f>
        <v>0</v>
      </c>
      <c r="AB166" s="30" t="b">
        <f>IF(Table20[[#This Row],[date_purchased]]&lt;&gt;Table20[[#This Row],[Expiration Date]],FALSE,TRUE)</f>
        <v>0</v>
      </c>
      <c r="AC166" s="30" t="str">
        <f>VLOOKUP(Table20[[#This Row],[Asset]],Table19[#All],3,FALSE)</f>
        <v>Market</v>
      </c>
      <c r="AD166" s="30">
        <f>IF(Table20[[#This Row],[Remaining]]&lt;&gt;0,Table20[[#This Row],[Invested]]*Table20[[#This Row],[Remaining]]/Table20[[#This Row],[Number of options]],0)</f>
        <v>0</v>
      </c>
      <c r="AE166" s="30">
        <f ca="1">SUMIF(Table20[Ticker],Table20[[#This Row],[Ticker]],Table20[realized_profit])</f>
        <v>-5077</v>
      </c>
      <c r="AF166" s="30" t="str">
        <f>VLOOKUP(Table20[[#This Row],[Strategy]],Table29[#All],7,FALSE)</f>
        <v>Bearish</v>
      </c>
    </row>
    <row r="167" spans="1:32" hidden="1">
      <c r="A167" s="180">
        <v>45583</v>
      </c>
      <c r="B167" s="21" t="e" vm="96">
        <v>#VALUE!</v>
      </c>
      <c r="C167" s="109" t="str" cm="1">
        <f t="array" aca="1" ref="C167" ca="1">_FV(Table20[[#This Row],[Asset]],"Ticker symbol",TRUE)</f>
        <v>SPY</v>
      </c>
      <c r="D167" s="26" cm="1">
        <f t="array" aca="1" ref="D167" ca="1">_FV(Table20[[#This Row],[Asset]],"Price")</f>
        <v>658.59</v>
      </c>
      <c r="E167" s="26">
        <v>525</v>
      </c>
      <c r="F167" s="33">
        <v>5</v>
      </c>
      <c r="G167" s="34">
        <v>-1</v>
      </c>
      <c r="H167" s="34" t="s">
        <v>112</v>
      </c>
      <c r="I167" s="31">
        <v>45573</v>
      </c>
      <c r="J167" s="26">
        <v>0.63</v>
      </c>
      <c r="K167" s="24"/>
      <c r="L167" s="33">
        <f>VLOOKUP(Table20[[#This Row],[Strategy]],Table29[#All],6,FALSE)</f>
        <v>-1</v>
      </c>
      <c r="M167" s="23">
        <v>5</v>
      </c>
      <c r="N167" s="23">
        <v>0.42</v>
      </c>
      <c r="O167" s="23"/>
      <c r="P167" s="23"/>
      <c r="Q167">
        <f>Table20[[#This Row],[Exit1]]*Table20[[#This Row],[ex1_price]]</f>
        <v>2.1</v>
      </c>
      <c r="R167">
        <f>Table20[[#This Row],[Exit2]]*Table20[[#This Row],[ex2_price]]</f>
        <v>0</v>
      </c>
      <c r="S167">
        <f>IFERROR((Table20[[#This Row],[ex2_amnt]]+Table20[[#This Row],[ex1_amnt]])/(Table20[[#This Row],[Exit2]]+Table20[[#This Row],[Exit1]]),0)</f>
        <v>0.42000000000000004</v>
      </c>
      <c r="T167" s="5">
        <f>(Table20[[#This Row],[Exit1]]+Table20[[#This Row],[Exit2]])*(Table20[[#This Row],[avg_exit_price]]-Table20[[#This Row],[AvePrice]])*100*Table20[[#This Row],[Buy or Sell]]</f>
        <v>104.99999999999999</v>
      </c>
      <c r="U167" s="5">
        <f>Table20[[#This Row],[Number of options]]*Table20[[#This Row],[AvePrice]]*100*Table20[[#This Row],[Buy or Sell]]</f>
        <v>-315</v>
      </c>
      <c r="V167" s="8">
        <f>Table20[[#This Row],[Number of options]]-Table20[[#This Row],[Exit1]]-Table20[[#This Row],[Exit2]]</f>
        <v>0</v>
      </c>
      <c r="W167" s="30">
        <f ca="1">(Table20[[#This Row],[Expiration Date]]-TODAY())/365</f>
        <v>-1.4356164383561645</v>
      </c>
      <c r="X167" s="30" t="e">
        <f ca="1">(LN(Table20[[#This Row],[Current Price]]/Table20[[#This Row],[strike_price]]) + ($B$2 + (Table20[[#This Row],[Vol]]^2)/2)*Table20[[#This Row],[Time to expiration]]) / (Table20[[#This Row],[Vol]] * SQRT(Table20[[#This Row],[Time to expiration]]))</f>
        <v>#NUM!</v>
      </c>
      <c r="Y167" s="30" t="e">
        <f ca="1">IF(Table20[[#This Row],[Direction]]&gt;0, _xlfn.NORM.S.DIST(Table20[[#This Row],[d1]], TRUE), _xlfn.NORM.S.DIST(Table20[[#This Row],[d1]], TRUE) - 1) * Table20[[#This Row],[Buy or Sell]]</f>
        <v>#NUM!</v>
      </c>
      <c r="Z167" s="9">
        <f ca="1">Table20[[#This Row],[Remaining]]*Table20[[#This Row],[Current Price]]*100</f>
        <v>0</v>
      </c>
      <c r="AA167" s="22">
        <f ca="1">IFERROR(Table20[[#This Row],[nominal_exposure]]*Table20[[#This Row],[Delta]],0)</f>
        <v>0</v>
      </c>
      <c r="AB167" s="30" t="b">
        <f>IF(Table20[[#This Row],[date_purchased]]&lt;&gt;Table20[[#This Row],[Expiration Date]],FALSE,TRUE)</f>
        <v>0</v>
      </c>
      <c r="AC167" s="30" t="str">
        <f>VLOOKUP(Table20[[#This Row],[Asset]],Table19[#All],3,FALSE)</f>
        <v>Market</v>
      </c>
      <c r="AD167" s="30">
        <f>IF(Table20[[#This Row],[Remaining]]&lt;&gt;0,Table20[[#This Row],[Invested]]*Table20[[#This Row],[Remaining]]/Table20[[#This Row],[Number of options]],0)</f>
        <v>0</v>
      </c>
      <c r="AE167" s="30">
        <f ca="1">SUMIF(Table20[Ticker],Table20[[#This Row],[Ticker]],Table20[realized_profit])</f>
        <v>-5077</v>
      </c>
      <c r="AF167" s="30" t="str">
        <f>VLOOKUP(Table20[[#This Row],[Strategy]],Table29[#All],7,FALSE)</f>
        <v>Bearish</v>
      </c>
    </row>
    <row r="168" spans="1:32" hidden="1">
      <c r="A168" s="216">
        <v>45583</v>
      </c>
      <c r="B168" s="21" t="e" vm="96">
        <v>#VALUE!</v>
      </c>
      <c r="C168" s="109" t="str" cm="1">
        <f t="array" aca="1" ref="C168" ca="1">_FV(Table20[[#This Row],[Asset]],"Ticker symbol",TRUE)</f>
        <v>SPY</v>
      </c>
      <c r="D168" s="26" cm="1">
        <f t="array" aca="1" ref="D168" ca="1">_FV(Table20[[#This Row],[Asset]],"Price")</f>
        <v>658.59</v>
      </c>
      <c r="E168" s="26">
        <v>500</v>
      </c>
      <c r="F168" s="33">
        <v>9</v>
      </c>
      <c r="G168" s="34">
        <v>-1</v>
      </c>
      <c r="H168" s="34" t="s">
        <v>161</v>
      </c>
      <c r="I168" s="31">
        <v>45572</v>
      </c>
      <c r="J168" s="26">
        <v>0.36</v>
      </c>
      <c r="K168" s="24">
        <v>0.40570000000000001</v>
      </c>
      <c r="L168" s="33">
        <f>VLOOKUP(Table20[[#This Row],[Strategy]],Table29[#All],6,FALSE)</f>
        <v>-1</v>
      </c>
      <c r="M168" s="23">
        <v>9</v>
      </c>
      <c r="N168" s="23">
        <v>0.06</v>
      </c>
      <c r="O168" s="23"/>
      <c r="P168" s="23"/>
      <c r="Q168">
        <f>Table20[[#This Row],[Exit1]]*Table20[[#This Row],[ex1_price]]</f>
        <v>0.54</v>
      </c>
      <c r="R168">
        <f>Table20[[#This Row],[Exit2]]*Table20[[#This Row],[ex2_price]]</f>
        <v>0</v>
      </c>
      <c r="S168">
        <f>IFERROR((Table20[[#This Row],[ex2_amnt]]+Table20[[#This Row],[ex1_amnt]])/(Table20[[#This Row],[Exit2]]+Table20[[#This Row],[Exit1]]),0)</f>
        <v>6.0000000000000005E-2</v>
      </c>
      <c r="T168" s="5">
        <f>(Table20[[#This Row],[Exit1]]+Table20[[#This Row],[Exit2]])*(Table20[[#This Row],[avg_exit_price]]-Table20[[#This Row],[AvePrice]])*100*Table20[[#This Row],[Buy or Sell]]</f>
        <v>270</v>
      </c>
      <c r="U168" s="5">
        <f>Table20[[#This Row],[Number of options]]*Table20[[#This Row],[AvePrice]]*100*Table20[[#This Row],[Buy or Sell]]</f>
        <v>-324</v>
      </c>
      <c r="V168" s="8">
        <f>Table20[[#This Row],[Number of options]]-Table20[[#This Row],[Exit1]]-Table20[[#This Row],[Exit2]]</f>
        <v>0</v>
      </c>
      <c r="W168" s="30">
        <f ca="1">(Table20[[#This Row],[Expiration Date]]-TODAY())/365</f>
        <v>-1.4356164383561645</v>
      </c>
      <c r="X168" s="30" t="e">
        <f ca="1">(LN(Table20[[#This Row],[Current Price]]/Table20[[#This Row],[strike_price]]) + ($B$2 + (Table20[[#This Row],[Vol]]^2)/2)*Table20[[#This Row],[Time to expiration]]) / (Table20[[#This Row],[Vol]] * SQRT(Table20[[#This Row],[Time to expiration]]))</f>
        <v>#NUM!</v>
      </c>
      <c r="Y168" s="30" t="e">
        <f ca="1">IF(Table20[[#This Row],[Direction]]&gt;0, _xlfn.NORM.S.DIST(Table20[[#This Row],[d1]], TRUE), _xlfn.NORM.S.DIST(Table20[[#This Row],[d1]], TRUE) - 1) * Table20[[#This Row],[Buy or Sell]]</f>
        <v>#NUM!</v>
      </c>
      <c r="Z168" s="9">
        <f ca="1">Table20[[#This Row],[Remaining]]*Table20[[#This Row],[Current Price]]*100</f>
        <v>0</v>
      </c>
      <c r="AA168" s="22">
        <f ca="1">IFERROR(Table20[[#This Row],[nominal_exposure]]*Table20[[#This Row],[Delta]],0)</f>
        <v>0</v>
      </c>
      <c r="AB168" s="30" t="b">
        <f>IF(Table20[[#This Row],[date_purchased]]&lt;&gt;Table20[[#This Row],[Expiration Date]],FALSE,TRUE)</f>
        <v>0</v>
      </c>
      <c r="AC168" s="30" t="str">
        <f>VLOOKUP(Table20[[#This Row],[Asset]],Table19[#All],3,FALSE)</f>
        <v>Market</v>
      </c>
      <c r="AD168" s="30">
        <f>IF(Table20[[#This Row],[Remaining]]&lt;&gt;0,Table20[[#This Row],[Invested]]*Table20[[#This Row],[Remaining]]/Table20[[#This Row],[Number of options]],0)</f>
        <v>0</v>
      </c>
      <c r="AE168" s="30">
        <f ca="1">SUMIF(Table20[Ticker],Table20[[#This Row],[Ticker]],Table20[realized_profit])</f>
        <v>-5077</v>
      </c>
      <c r="AF168" s="30" t="str">
        <f>VLOOKUP(Table20[[#This Row],[Strategy]],Table29[#All],7,FALSE)</f>
        <v>Bearish</v>
      </c>
    </row>
    <row r="169" spans="1:32" hidden="1">
      <c r="A169" s="35">
        <v>45534</v>
      </c>
      <c r="B169" s="21" t="e" vm="63">
        <v>#VALUE!</v>
      </c>
      <c r="C169" s="109" t="str" cm="1">
        <f t="array" aca="1" ref="C169" ca="1">_FV(Table20[[#This Row],[Asset]],"Ticker symbol",TRUE)</f>
        <v>TSLA</v>
      </c>
      <c r="D169" s="26" cm="1">
        <f t="array" aca="1" ref="D169" ca="1">_FV(Table20[[#This Row],[Asset]],"Price")</f>
        <v>394.5401</v>
      </c>
      <c r="E169" s="26">
        <v>210</v>
      </c>
      <c r="F169" s="33">
        <v>1</v>
      </c>
      <c r="G169" s="34">
        <v>1</v>
      </c>
      <c r="H169" s="34" t="s">
        <v>65</v>
      </c>
      <c r="I169" s="31">
        <v>45505</v>
      </c>
      <c r="J169" s="26">
        <v>5.05</v>
      </c>
      <c r="K169" s="24"/>
      <c r="L169" s="33">
        <f>VLOOKUP(Table20[[#This Row],[Strategy]],Table29[#All],6,FALSE)</f>
        <v>-1</v>
      </c>
      <c r="M169" s="23">
        <v>1</v>
      </c>
      <c r="N169" s="23">
        <v>8.75</v>
      </c>
      <c r="O169" s="23"/>
      <c r="P169" s="23"/>
      <c r="Q169">
        <f>Table20[[#This Row],[Exit1]]*Table20[[#This Row],[ex1_price]]</f>
        <v>8.75</v>
      </c>
      <c r="R169">
        <f>Table20[[#This Row],[Exit2]]*Table20[[#This Row],[ex2_price]]</f>
        <v>0</v>
      </c>
      <c r="S169">
        <f>IFERROR((Table20[[#This Row],[ex2_amnt]]+Table20[[#This Row],[ex1_amnt]])/(Table20[[#This Row],[Exit2]]+Table20[[#This Row],[Exit1]]),0)</f>
        <v>8.75</v>
      </c>
      <c r="T169" s="5">
        <f>(Table20[[#This Row],[Exit1]]+Table20[[#This Row],[Exit2]])*(Table20[[#This Row],[avg_exit_price]]-Table20[[#This Row],[AvePrice]])*100*Table20[[#This Row],[Buy or Sell]]</f>
        <v>370</v>
      </c>
      <c r="U169" s="5">
        <f>Table20[[#This Row],[Number of options]]*Table20[[#This Row],[AvePrice]]*100*Table20[[#This Row],[Buy or Sell]]</f>
        <v>505</v>
      </c>
      <c r="V169" s="8">
        <f>Table20[[#This Row],[Number of options]]-Table20[[#This Row],[Exit1]]-Table20[[#This Row],[Exit2]]</f>
        <v>0</v>
      </c>
      <c r="W169" s="30">
        <f ca="1">(Table20[[#This Row],[Expiration Date]]-TODAY())/365</f>
        <v>-1.5698630136986302</v>
      </c>
      <c r="X169" s="30" t="e">
        <f ca="1">(LN(Table20[[#This Row],[Current Price]]/Table20[[#This Row],[strike_price]]) + ($B$2 + (Table20[[#This Row],[Vol]]^2)/2)*Table20[[#This Row],[Time to expiration]]) / (Table20[[#This Row],[Vol]] * SQRT(Table20[[#This Row],[Time to expiration]]))</f>
        <v>#NUM!</v>
      </c>
      <c r="Y169" s="30" t="e">
        <f ca="1">IF(Table20[[#This Row],[Direction]]&gt;0, _xlfn.NORM.S.DIST(Table20[[#This Row],[d1]], TRUE), _xlfn.NORM.S.DIST(Table20[[#This Row],[d1]], TRUE) - 1) * Table20[[#This Row],[Buy or Sell]]</f>
        <v>#NUM!</v>
      </c>
      <c r="Z169" s="9">
        <f ca="1">Table20[[#This Row],[Remaining]]*Table20[[#This Row],[Current Price]]*100</f>
        <v>0</v>
      </c>
      <c r="AA169" s="22">
        <f ca="1">IFERROR(Table20[[#This Row],[nominal_exposure]]*Table20[[#This Row],[Delta]],0)</f>
        <v>0</v>
      </c>
      <c r="AB169" s="30" t="b">
        <f>IF(Table20[[#This Row],[date_purchased]]&lt;&gt;Table20[[#This Row],[Expiration Date]],FALSE,TRUE)</f>
        <v>0</v>
      </c>
      <c r="AC169" s="30" t="str">
        <f>VLOOKUP(Table20[[#This Row],[Asset]],Table19[#All],3,FALSE)</f>
        <v>Auto</v>
      </c>
      <c r="AD169" s="30">
        <f>IF(Table20[[#This Row],[Remaining]]&lt;&gt;0,Table20[[#This Row],[Invested]]*Table20[[#This Row],[Remaining]]/Table20[[#This Row],[Number of options]],0)</f>
        <v>0</v>
      </c>
      <c r="AE169" s="30">
        <f ca="1">SUMIF(Table20[Ticker],Table20[[#This Row],[Ticker]],Table20[realized_profit])</f>
        <v>4153</v>
      </c>
      <c r="AF169" s="30" t="str">
        <f>VLOOKUP(Table20[[#This Row],[Strategy]],Table29[#All],7,FALSE)</f>
        <v>Bearish</v>
      </c>
    </row>
    <row r="170" spans="1:32" hidden="1">
      <c r="A170" s="35">
        <v>45555</v>
      </c>
      <c r="B170" s="21" t="e" vm="11">
        <v>#VALUE!</v>
      </c>
      <c r="C170" s="109" t="str" cm="1">
        <f t="array" aca="1" ref="C170" ca="1">_FV(Table20[[#This Row],[Asset]],"Ticker symbol",TRUE)</f>
        <v>AMZN</v>
      </c>
      <c r="D170" s="26" cm="1">
        <f t="array" aca="1" ref="D170" ca="1">_FV(Table20[[#This Row],[Asset]],"Price")</f>
        <v>212.15</v>
      </c>
      <c r="E170" s="26">
        <v>210</v>
      </c>
      <c r="F170" s="33">
        <v>2</v>
      </c>
      <c r="G170" s="34">
        <v>1</v>
      </c>
      <c r="H170" s="111" t="s">
        <v>115</v>
      </c>
      <c r="I170" s="31">
        <v>45483</v>
      </c>
      <c r="J170" s="26">
        <v>6.84</v>
      </c>
      <c r="K170" s="24">
        <v>0.33700000000000002</v>
      </c>
      <c r="L170" s="33">
        <f>VLOOKUP(Table20[[#This Row],[Strategy]],Table29[#All],6,FALSE)</f>
        <v>1</v>
      </c>
      <c r="M170" s="23">
        <v>2</v>
      </c>
      <c r="N170" s="23">
        <v>0</v>
      </c>
      <c r="O170" s="23"/>
      <c r="P170" s="23"/>
      <c r="Q170">
        <f>Table20[[#This Row],[Exit1]]*Table20[[#This Row],[ex1_price]]</f>
        <v>0</v>
      </c>
      <c r="R170">
        <f>Table20[[#This Row],[Exit2]]*Table20[[#This Row],[ex2_price]]</f>
        <v>0</v>
      </c>
      <c r="S170">
        <f>IFERROR((Table20[[#This Row],[ex2_amnt]]+Table20[[#This Row],[ex1_amnt]])/(Table20[[#This Row],[Exit2]]+Table20[[#This Row],[Exit1]]),0)</f>
        <v>0</v>
      </c>
      <c r="T170" s="5">
        <f>(Table20[[#This Row],[Exit1]]+Table20[[#This Row],[Exit2]])*(Table20[[#This Row],[avg_exit_price]]-Table20[[#This Row],[AvePrice]])*100*Table20[[#This Row],[Buy or Sell]]</f>
        <v>-1368</v>
      </c>
      <c r="U170" s="5">
        <f>Table20[[#This Row],[Number of options]]*Table20[[#This Row],[AvePrice]]*100*Table20[[#This Row],[Buy or Sell]]</f>
        <v>1368</v>
      </c>
      <c r="V170" s="8">
        <f>Table20[[#This Row],[Number of options]]-Table20[[#This Row],[Exit1]]-Table20[[#This Row],[Exit2]]</f>
        <v>0</v>
      </c>
      <c r="W170" s="30">
        <f ca="1">(Table20[[#This Row],[Expiration Date]]-TODAY())/365</f>
        <v>-1.5123287671232877</v>
      </c>
      <c r="X170" s="30" t="e">
        <f ca="1">(LN(Table20[[#This Row],[Current Price]]/Table20[[#This Row],[strike_price]]) + ($B$2 + (Table20[[#This Row],[Vol]]^2)/2)*Table20[[#This Row],[Time to expiration]]) / (Table20[[#This Row],[Vol]] * SQRT(Table20[[#This Row],[Time to expiration]]))</f>
        <v>#NUM!</v>
      </c>
      <c r="Y170" s="30" t="e">
        <f ca="1">IF(Table20[[#This Row],[Direction]]&gt;0, _xlfn.NORM.S.DIST(Table20[[#This Row],[d1]], TRUE), _xlfn.NORM.S.DIST(Table20[[#This Row],[d1]], TRUE) - 1) * Table20[[#This Row],[Buy or Sell]]</f>
        <v>#NUM!</v>
      </c>
      <c r="Z170" s="9">
        <f ca="1">Table20[[#This Row],[Remaining]]*Table20[[#This Row],[Current Price]]*100</f>
        <v>0</v>
      </c>
      <c r="AA170" s="22">
        <f ca="1">IFERROR(Table20[[#This Row],[nominal_exposure]]*Table20[[#This Row],[Delta]],0)</f>
        <v>0</v>
      </c>
      <c r="AB170" s="99" t="b">
        <f>IF(Table20[[#This Row],[date_purchased]]&lt;&gt;Table20[[#This Row],[Expiration Date]],FALSE,TRUE)</f>
        <v>0</v>
      </c>
      <c r="AC170" s="30" t="str">
        <f>VLOOKUP(Table20[[#This Row],[Asset]],Table19[#All],3,FALSE)</f>
        <v>Robotics</v>
      </c>
      <c r="AD170" s="4">
        <f>IF(Table20[[#This Row],[Remaining]]&lt;&gt;0,Table20[[#This Row],[Invested]]*Table20[[#This Row],[Remaining]]/Table20[[#This Row],[Number of options]],0)</f>
        <v>0</v>
      </c>
      <c r="AE170" s="30">
        <f ca="1">SUMIF(Table20[Ticker],Table20[[#This Row],[Ticker]],Table20[realized_profit])</f>
        <v>-1350</v>
      </c>
      <c r="AF170" s="30" t="str">
        <f>VLOOKUP(Table20[[#This Row],[Strategy]],Table29[#All],7,FALSE)</f>
        <v>Bullish</v>
      </c>
    </row>
    <row r="171" spans="1:32" hidden="1">
      <c r="A171" s="35">
        <v>45534</v>
      </c>
      <c r="B171" s="21" t="e" vm="163">
        <v>#VALUE!</v>
      </c>
      <c r="C171" s="109" t="str" cm="1">
        <f t="array" aca="1" ref="C171" ca="1">_FV(Table20[[#This Row],[Asset]],"Ticker symbol",TRUE)</f>
        <v>LLY</v>
      </c>
      <c r="D171" s="26" cm="1">
        <f t="array" aca="1" ref="D171" ca="1">_FV(Table20[[#This Row],[Asset]],"Price")</f>
        <v>910.82500000000005</v>
      </c>
      <c r="E171" s="26">
        <v>900</v>
      </c>
      <c r="F171" s="33"/>
      <c r="G171" s="34">
        <v>-1</v>
      </c>
      <c r="H171" s="34" t="s">
        <v>115</v>
      </c>
      <c r="I171" s="31">
        <v>45511</v>
      </c>
      <c r="J171" s="26"/>
      <c r="K171" s="24"/>
      <c r="L171" s="33">
        <f>VLOOKUP(Table20[[#This Row],[Strategy]],Table29[#All],6,FALSE)</f>
        <v>1</v>
      </c>
      <c r="M171" s="23"/>
      <c r="N171" s="23"/>
      <c r="O171" s="23"/>
      <c r="P171" s="23"/>
      <c r="Q171">
        <f>Table20[[#This Row],[Exit1]]*Table20[[#This Row],[ex1_price]]</f>
        <v>0</v>
      </c>
      <c r="R171">
        <f>Table20[[#This Row],[Exit2]]*Table20[[#This Row],[ex2_price]]</f>
        <v>0</v>
      </c>
      <c r="S171">
        <f>IFERROR((Table20[[#This Row],[ex2_amnt]]+Table20[[#This Row],[ex1_amnt]])/(Table20[[#This Row],[Exit2]]+Table20[[#This Row],[Exit1]]),0)</f>
        <v>0</v>
      </c>
      <c r="T171" s="5">
        <f>(Table20[[#This Row],[Exit1]]+Table20[[#This Row],[Exit2]])*(Table20[[#This Row],[avg_exit_price]]-Table20[[#This Row],[AvePrice]])*100*Table20[[#This Row],[Buy or Sell]]</f>
        <v>0</v>
      </c>
      <c r="U171" s="5">
        <f>Table20[[#This Row],[Number of options]]*Table20[[#This Row],[AvePrice]]*100*Table20[[#This Row],[Buy or Sell]]</f>
        <v>0</v>
      </c>
      <c r="V171" s="8">
        <f>Table20[[#This Row],[Number of options]]-Table20[[#This Row],[Exit1]]-Table20[[#This Row],[Exit2]]</f>
        <v>0</v>
      </c>
      <c r="W171" s="30">
        <f ca="1">(Table20[[#This Row],[Expiration Date]]-TODAY())/365</f>
        <v>-1.5698630136986302</v>
      </c>
      <c r="X171" s="30" t="e">
        <f ca="1">(LN(Table20[[#This Row],[Current Price]]/Table20[[#This Row],[strike_price]]) + ($B$2 + (Table20[[#This Row],[Vol]]^2)/2)*Table20[[#This Row],[Time to expiration]]) / (Table20[[#This Row],[Vol]] * SQRT(Table20[[#This Row],[Time to expiration]]))</f>
        <v>#NUM!</v>
      </c>
      <c r="Y171" s="30" t="e">
        <f ca="1">IF(Table20[[#This Row],[Direction]]&gt;0, _xlfn.NORM.S.DIST(Table20[[#This Row],[d1]], TRUE), _xlfn.NORM.S.DIST(Table20[[#This Row],[d1]], TRUE) - 1) * Table20[[#This Row],[Buy or Sell]]</f>
        <v>#NUM!</v>
      </c>
      <c r="Z171" s="9">
        <f ca="1">Table20[[#This Row],[Remaining]]*Table20[[#This Row],[Current Price]]*100</f>
        <v>0</v>
      </c>
      <c r="AA171" s="22">
        <f ca="1">IFERROR(Table20[[#This Row],[nominal_exposure]]*Table20[[#This Row],[Delta]],0)</f>
        <v>0</v>
      </c>
      <c r="AB171" s="30" t="b">
        <f>IF(Table20[[#This Row],[date_purchased]]&lt;&gt;Table20[[#This Row],[Expiration Date]],FALSE,TRUE)</f>
        <v>0</v>
      </c>
      <c r="AC171" s="30" t="str">
        <f>VLOOKUP(Table20[[#This Row],[Asset]],Table19[#All],3,FALSE)</f>
        <v>Health Care</v>
      </c>
      <c r="AD171" s="30">
        <f>IF(Table20[[#This Row],[Remaining]]&lt;&gt;0,Table20[[#This Row],[Invested]]*Table20[[#This Row],[Remaining]]/Table20[[#This Row],[Number of options]],0)</f>
        <v>0</v>
      </c>
      <c r="AE171" s="30">
        <f ca="1">SUMIF(Table20[Ticker],Table20[[#This Row],[Ticker]],Table20[realized_profit])</f>
        <v>8506.9999999999982</v>
      </c>
      <c r="AF171" s="30" t="str">
        <f>VLOOKUP(Table20[[#This Row],[Strategy]],Table29[#All],7,FALSE)</f>
        <v>Bullish</v>
      </c>
    </row>
    <row r="172" spans="1:32" hidden="1">
      <c r="A172" s="35">
        <v>45555</v>
      </c>
      <c r="B172" s="21" t="e" vm="163">
        <v>#VALUE!</v>
      </c>
      <c r="C172" s="109" t="str" cm="1">
        <f t="array" aca="1" ref="C172" ca="1">_FV(Table20[[#This Row],[Asset]],"Ticker symbol",TRUE)</f>
        <v>LLY</v>
      </c>
      <c r="D172" s="26" cm="1">
        <f t="array" aca="1" ref="D172" ca="1">_FV(Table20[[#This Row],[Asset]],"Price")</f>
        <v>910.82500000000005</v>
      </c>
      <c r="E172" s="26">
        <v>900</v>
      </c>
      <c r="F172" s="33"/>
      <c r="G172" s="34">
        <v>1</v>
      </c>
      <c r="H172" s="34" t="s">
        <v>115</v>
      </c>
      <c r="I172" s="31">
        <v>45511</v>
      </c>
      <c r="J172" s="26"/>
      <c r="K172" s="24"/>
      <c r="L172" s="33">
        <f>VLOOKUP(Table20[[#This Row],[Strategy]],Table29[#All],6,FALSE)</f>
        <v>1</v>
      </c>
      <c r="M172" s="23"/>
      <c r="N172" s="23"/>
      <c r="O172" s="23"/>
      <c r="P172" s="23"/>
      <c r="Q172">
        <f>Table20[[#This Row],[Exit1]]*Table20[[#This Row],[ex1_price]]</f>
        <v>0</v>
      </c>
      <c r="R172">
        <f>Table20[[#This Row],[Exit2]]*Table20[[#This Row],[ex2_price]]</f>
        <v>0</v>
      </c>
      <c r="S172">
        <f>IFERROR((Table20[[#This Row],[ex2_amnt]]+Table20[[#This Row],[ex1_amnt]])/(Table20[[#This Row],[Exit2]]+Table20[[#This Row],[Exit1]]),0)</f>
        <v>0</v>
      </c>
      <c r="T172" s="5">
        <f>(Table20[[#This Row],[Exit1]]+Table20[[#This Row],[Exit2]])*(Table20[[#This Row],[avg_exit_price]]-Table20[[#This Row],[AvePrice]])*100*Table20[[#This Row],[Buy or Sell]]</f>
        <v>0</v>
      </c>
      <c r="U172" s="5">
        <f>Table20[[#This Row],[Number of options]]*Table20[[#This Row],[AvePrice]]*100*Table20[[#This Row],[Buy or Sell]]</f>
        <v>0</v>
      </c>
      <c r="V172" s="8">
        <f>Table20[[#This Row],[Number of options]]-Table20[[#This Row],[Exit1]]-Table20[[#This Row],[Exit2]]</f>
        <v>0</v>
      </c>
      <c r="W172" s="30">
        <f ca="1">(Table20[[#This Row],[Expiration Date]]-TODAY())/365</f>
        <v>-1.5123287671232877</v>
      </c>
      <c r="X172" s="30" t="e">
        <f ca="1">(LN(Table20[[#This Row],[Current Price]]/Table20[[#This Row],[strike_price]]) + ($B$2 + (Table20[[#This Row],[Vol]]^2)/2)*Table20[[#This Row],[Time to expiration]]) / (Table20[[#This Row],[Vol]] * SQRT(Table20[[#This Row],[Time to expiration]]))</f>
        <v>#NUM!</v>
      </c>
      <c r="Y172" s="30" t="e">
        <f ca="1">IF(Table20[[#This Row],[Direction]]&gt;0, _xlfn.NORM.S.DIST(Table20[[#This Row],[d1]], TRUE), _xlfn.NORM.S.DIST(Table20[[#This Row],[d1]], TRUE) - 1) * Table20[[#This Row],[Buy or Sell]]</f>
        <v>#NUM!</v>
      </c>
      <c r="Z172" s="9">
        <f ca="1">Table20[[#This Row],[Remaining]]*Table20[[#This Row],[Current Price]]*100</f>
        <v>0</v>
      </c>
      <c r="AA172" s="22">
        <f ca="1">IFERROR(Table20[[#This Row],[nominal_exposure]]*Table20[[#This Row],[Delta]],0)</f>
        <v>0</v>
      </c>
      <c r="AB172" s="30" t="b">
        <f>IF(Table20[[#This Row],[date_purchased]]&lt;&gt;Table20[[#This Row],[Expiration Date]],FALSE,TRUE)</f>
        <v>0</v>
      </c>
      <c r="AC172" s="30" t="str">
        <f>VLOOKUP(Table20[[#This Row],[Asset]],Table19[#All],3,FALSE)</f>
        <v>Health Care</v>
      </c>
      <c r="AD172" s="30">
        <f>IF(Table20[[#This Row],[Remaining]]&lt;&gt;0,Table20[[#This Row],[Invested]]*Table20[[#This Row],[Remaining]]/Table20[[#This Row],[Number of options]],0)</f>
        <v>0</v>
      </c>
      <c r="AE172" s="30">
        <f ca="1">SUMIF(Table20[Ticker],Table20[[#This Row],[Ticker]],Table20[realized_profit])</f>
        <v>8506.9999999999982</v>
      </c>
      <c r="AF172" s="30" t="str">
        <f>VLOOKUP(Table20[[#This Row],[Strategy]],Table29[#All],7,FALSE)</f>
        <v>Bullish</v>
      </c>
    </row>
    <row r="173" spans="1:32" hidden="1">
      <c r="A173" s="35">
        <v>45555</v>
      </c>
      <c r="B173" s="21" t="e" vm="11">
        <v>#VALUE!</v>
      </c>
      <c r="C173" s="109" t="str" cm="1">
        <f t="array" aca="1" ref="C173" ca="1">_FV(Table20[[#This Row],[Asset]],"Ticker symbol",TRUE)</f>
        <v>AMZN</v>
      </c>
      <c r="D173" s="26" cm="1">
        <f t="array" aca="1" ref="D173" ca="1">_FV(Table20[[#This Row],[Asset]],"Price")</f>
        <v>212.15</v>
      </c>
      <c r="E173" s="26">
        <v>220</v>
      </c>
      <c r="F173" s="33">
        <v>1</v>
      </c>
      <c r="G173" s="34">
        <v>1</v>
      </c>
      <c r="H173" s="111" t="s">
        <v>115</v>
      </c>
      <c r="I173" s="31">
        <v>45483</v>
      </c>
      <c r="J173" s="26">
        <v>4.6100000000000003</v>
      </c>
      <c r="K173" s="24">
        <v>0.33610000000000001</v>
      </c>
      <c r="L173" s="33">
        <f>VLOOKUP(Table20[[#This Row],[Strategy]],Table29[#All],6,FALSE)</f>
        <v>1</v>
      </c>
      <c r="M173" s="23">
        <v>1</v>
      </c>
      <c r="N173" s="23">
        <v>0</v>
      </c>
      <c r="O173" s="23"/>
      <c r="P173" s="23"/>
      <c r="Q173">
        <f>Table20[[#This Row],[Exit1]]*Table20[[#This Row],[ex1_price]]</f>
        <v>0</v>
      </c>
      <c r="R173">
        <f>Table20[[#This Row],[Exit2]]*Table20[[#This Row],[ex2_price]]</f>
        <v>0</v>
      </c>
      <c r="S173">
        <f>IFERROR((Table20[[#This Row],[ex2_amnt]]+Table20[[#This Row],[ex1_amnt]])/(Table20[[#This Row],[Exit2]]+Table20[[#This Row],[Exit1]]),0)</f>
        <v>0</v>
      </c>
      <c r="T173" s="5">
        <f>(Table20[[#This Row],[Exit1]]+Table20[[#This Row],[Exit2]])*(Table20[[#This Row],[avg_exit_price]]-Table20[[#This Row],[AvePrice]])*100*Table20[[#This Row],[Buy or Sell]]</f>
        <v>-461.00000000000006</v>
      </c>
      <c r="U173" s="5">
        <f>Table20[[#This Row],[Number of options]]*Table20[[#This Row],[AvePrice]]*100*Table20[[#This Row],[Buy or Sell]]</f>
        <v>461.00000000000006</v>
      </c>
      <c r="V173" s="8">
        <f>Table20[[#This Row],[Number of options]]-Table20[[#This Row],[Exit1]]-Table20[[#This Row],[Exit2]]</f>
        <v>0</v>
      </c>
      <c r="W173" s="30">
        <f ca="1">(Table20[[#This Row],[Expiration Date]]-TODAY())/365</f>
        <v>-1.5123287671232877</v>
      </c>
      <c r="X173" s="30" t="e">
        <f ca="1">(LN(Table20[[#This Row],[Current Price]]/Table20[[#This Row],[strike_price]]) + ($B$2 + (Table20[[#This Row],[Vol]]^2)/2)*Table20[[#This Row],[Time to expiration]]) / (Table20[[#This Row],[Vol]] * SQRT(Table20[[#This Row],[Time to expiration]]))</f>
        <v>#NUM!</v>
      </c>
      <c r="Y173" s="30" t="e">
        <f ca="1">IF(Table20[[#This Row],[Direction]]&gt;0, _xlfn.NORM.S.DIST(Table20[[#This Row],[d1]], TRUE), _xlfn.NORM.S.DIST(Table20[[#This Row],[d1]], TRUE) - 1) * Table20[[#This Row],[Buy or Sell]]</f>
        <v>#NUM!</v>
      </c>
      <c r="Z173" s="9">
        <f ca="1">Table20[[#This Row],[Remaining]]*Table20[[#This Row],[Current Price]]*100</f>
        <v>0</v>
      </c>
      <c r="AA173" s="22">
        <f ca="1">IFERROR(Table20[[#This Row],[nominal_exposure]]*Table20[[#This Row],[Delta]],0)</f>
        <v>0</v>
      </c>
      <c r="AB173" s="99" t="b">
        <f>IF(Table20[[#This Row],[date_purchased]]&lt;&gt;Table20[[#This Row],[Expiration Date]],FALSE,TRUE)</f>
        <v>0</v>
      </c>
      <c r="AC173" s="30" t="str">
        <f>VLOOKUP(Table20[[#This Row],[Asset]],Table19[#All],3,FALSE)</f>
        <v>Robotics</v>
      </c>
      <c r="AD173" s="4">
        <f>IF(Table20[[#This Row],[Remaining]]&lt;&gt;0,Table20[[#This Row],[Invested]]*Table20[[#This Row],[Remaining]]/Table20[[#This Row],[Number of options]],0)</f>
        <v>0</v>
      </c>
      <c r="AE173" s="30">
        <f ca="1">SUMIF(Table20[Ticker],Table20[[#This Row],[Ticker]],Table20[realized_profit])</f>
        <v>-1350</v>
      </c>
      <c r="AF173" s="30" t="str">
        <f>VLOOKUP(Table20[[#This Row],[Strategy]],Table29[#All],7,FALSE)</f>
        <v>Bullish</v>
      </c>
    </row>
    <row r="174" spans="1:32" hidden="1">
      <c r="A174" s="35">
        <v>45555</v>
      </c>
      <c r="B174" s="21" t="e" vm="34">
        <v>#VALUE!</v>
      </c>
      <c r="C174" s="109" t="str" cm="1">
        <f t="array" aca="1" ref="C174" ca="1">_FV(Table20[[#This Row],[Asset]],"Ticker symbol",TRUE)</f>
        <v>TSM</v>
      </c>
      <c r="D174" s="26" cm="1">
        <f t="array" aca="1" ref="D174" ca="1">_FV(Table20[[#This Row],[Asset]],"Price")</f>
        <v>348.52499999999998</v>
      </c>
      <c r="E174" s="26">
        <v>180</v>
      </c>
      <c r="F174" s="33">
        <v>1</v>
      </c>
      <c r="G174" s="34">
        <v>1</v>
      </c>
      <c r="H174" s="111" t="s">
        <v>113</v>
      </c>
      <c r="I174" s="31">
        <v>45491</v>
      </c>
      <c r="J174" s="26">
        <v>7.1</v>
      </c>
      <c r="K174" s="24">
        <v>0.40670000000000001</v>
      </c>
      <c r="L174" s="33">
        <f>VLOOKUP(Table20[[#This Row],[Strategy]],Table29[#All],6,FALSE)</f>
        <v>1</v>
      </c>
      <c r="M174" s="23">
        <v>1</v>
      </c>
      <c r="N174" s="23">
        <v>4.4000000000000004</v>
      </c>
      <c r="O174" s="23"/>
      <c r="P174" s="23"/>
      <c r="Q174">
        <f>Table20[[#This Row],[Exit1]]*Table20[[#This Row],[ex1_price]]</f>
        <v>4.4000000000000004</v>
      </c>
      <c r="R174">
        <f>Table20[[#This Row],[Exit2]]*Table20[[#This Row],[ex2_price]]</f>
        <v>0</v>
      </c>
      <c r="S174">
        <f>IFERROR((Table20[[#This Row],[ex2_amnt]]+Table20[[#This Row],[ex1_amnt]])/(Table20[[#This Row],[Exit2]]+Table20[[#This Row],[Exit1]]),0)</f>
        <v>4.4000000000000004</v>
      </c>
      <c r="T174" s="5">
        <f>(Table20[[#This Row],[Exit1]]+Table20[[#This Row],[Exit2]])*(Table20[[#This Row],[avg_exit_price]]-Table20[[#This Row],[AvePrice]])*100*Table20[[#This Row],[Buy or Sell]]</f>
        <v>-269.99999999999994</v>
      </c>
      <c r="U174" s="5">
        <f>Table20[[#This Row],[Number of options]]*Table20[[#This Row],[AvePrice]]*100*Table20[[#This Row],[Buy or Sell]]</f>
        <v>710</v>
      </c>
      <c r="V174" s="8">
        <f>Table20[[#This Row],[Number of options]]-Table20[[#This Row],[Exit1]]-Table20[[#This Row],[Exit2]]</f>
        <v>0</v>
      </c>
      <c r="W174" s="30">
        <f ca="1">(Table20[[#This Row],[Expiration Date]]-TODAY())/365</f>
        <v>-1.5123287671232877</v>
      </c>
      <c r="X174" s="30" t="e">
        <f ca="1">(LN(Table20[[#This Row],[Current Price]]/Table20[[#This Row],[strike_price]]) + ($B$2 + (Table20[[#This Row],[Vol]]^2)/2)*Table20[[#This Row],[Time to expiration]]) / (Table20[[#This Row],[Vol]] * SQRT(Table20[[#This Row],[Time to expiration]]))</f>
        <v>#NUM!</v>
      </c>
      <c r="Y174" s="30" t="e">
        <f ca="1">IF(Table20[[#This Row],[Direction]]&gt;0, _xlfn.NORM.S.DIST(Table20[[#This Row],[d1]], TRUE), _xlfn.NORM.S.DIST(Table20[[#This Row],[d1]], TRUE) - 1) * Table20[[#This Row],[Buy or Sell]]</f>
        <v>#NUM!</v>
      </c>
      <c r="Z174" s="9">
        <f ca="1">Table20[[#This Row],[Remaining]]*Table20[[#This Row],[Current Price]]*100</f>
        <v>0</v>
      </c>
      <c r="AA174" s="22">
        <f ca="1">IFERROR(Table20[[#This Row],[nominal_exposure]]*Table20[[#This Row],[Delta]],0)</f>
        <v>0</v>
      </c>
      <c r="AB174" s="99" t="b">
        <f>IF(Table20[[#This Row],[date_purchased]]&lt;&gt;Table20[[#This Row],[Expiration Date]],FALSE,TRUE)</f>
        <v>0</v>
      </c>
      <c r="AC174" s="30" t="str">
        <f>VLOOKUP(Table20[[#This Row],[Asset]],Table19[#All],3,FALSE)</f>
        <v>AI</v>
      </c>
      <c r="AD174" s="4">
        <f>IF(Table20[[#This Row],[Remaining]]&lt;&gt;0,Table20[[#This Row],[Invested]]*Table20[[#This Row],[Remaining]]/Table20[[#This Row],[Number of options]],0)</f>
        <v>0</v>
      </c>
      <c r="AE174" s="30">
        <f ca="1">SUMIF(Table20[Ticker],Table20[[#This Row],[Ticker]],Table20[realized_profit])</f>
        <v>-444.99999999999977</v>
      </c>
      <c r="AF174" s="30" t="str">
        <f>VLOOKUP(Table20[[#This Row],[Strategy]],Table29[#All],7,FALSE)</f>
        <v>Bullish</v>
      </c>
    </row>
    <row r="175" spans="1:32" hidden="1">
      <c r="A175" s="35">
        <v>45555</v>
      </c>
      <c r="B175" s="21" t="e" vm="32">
        <v>#VALUE!</v>
      </c>
      <c r="C175" s="109" t="str" cm="1">
        <f t="array" aca="1" ref="C175" ca="1">_FV(Table20[[#This Row],[Asset]],"Ticker symbol",TRUE)</f>
        <v>MU</v>
      </c>
      <c r="D175" s="26" cm="1">
        <f t="array" aca="1" ref="D175" ca="1">_FV(Table20[[#This Row],[Asset]],"Price")</f>
        <v>381.57</v>
      </c>
      <c r="E175" s="26">
        <v>140</v>
      </c>
      <c r="F175" s="33">
        <v>2</v>
      </c>
      <c r="G175" s="34">
        <v>1</v>
      </c>
      <c r="H175" s="111" t="s">
        <v>113</v>
      </c>
      <c r="I175" s="31">
        <v>45481</v>
      </c>
      <c r="J175" s="26">
        <v>4.72</v>
      </c>
      <c r="K175" s="24">
        <v>0.43240000000000001</v>
      </c>
      <c r="L175" s="33">
        <f>VLOOKUP(Table20[[#This Row],[Strategy]],Table29[#All],6,FALSE)</f>
        <v>1</v>
      </c>
      <c r="M175" s="23">
        <v>2</v>
      </c>
      <c r="N175" s="23">
        <v>0.09</v>
      </c>
      <c r="O175" s="23"/>
      <c r="P175" s="23"/>
      <c r="Q175">
        <f>Table20[[#This Row],[Exit1]]*Table20[[#This Row],[ex1_price]]</f>
        <v>0.18</v>
      </c>
      <c r="R175">
        <f>Table20[[#This Row],[Exit2]]*Table20[[#This Row],[ex2_price]]</f>
        <v>0</v>
      </c>
      <c r="S175">
        <f>IFERROR((Table20[[#This Row],[ex2_amnt]]+Table20[[#This Row],[ex1_amnt]])/(Table20[[#This Row],[Exit2]]+Table20[[#This Row],[Exit1]]),0)</f>
        <v>0.09</v>
      </c>
      <c r="T175" s="5">
        <f>(Table20[[#This Row],[Exit1]]+Table20[[#This Row],[Exit2]])*(Table20[[#This Row],[avg_exit_price]]-Table20[[#This Row],[AvePrice]])*100*Table20[[#This Row],[Buy or Sell]]</f>
        <v>-926</v>
      </c>
      <c r="U175" s="5">
        <f>Table20[[#This Row],[Number of options]]*Table20[[#This Row],[AvePrice]]*100*Table20[[#This Row],[Buy or Sell]]</f>
        <v>944</v>
      </c>
      <c r="V175" s="8">
        <f>Table20[[#This Row],[Number of options]]-Table20[[#This Row],[Exit1]]-Table20[[#This Row],[Exit2]]</f>
        <v>0</v>
      </c>
      <c r="W175" s="30">
        <f ca="1">(Table20[[#This Row],[Expiration Date]]-TODAY())/365</f>
        <v>-1.5123287671232877</v>
      </c>
      <c r="X175" s="30" t="e">
        <f ca="1">(LN(Table20[[#This Row],[Current Price]]/Table20[[#This Row],[strike_price]]) + ($B$2 + (Table20[[#This Row],[Vol]]^2)/2)*Table20[[#This Row],[Time to expiration]]) / (Table20[[#This Row],[Vol]] * SQRT(Table20[[#This Row],[Time to expiration]]))</f>
        <v>#NUM!</v>
      </c>
      <c r="Y175" s="30" t="e">
        <f ca="1">IF(Table20[[#This Row],[Direction]]&gt;0, _xlfn.NORM.S.DIST(Table20[[#This Row],[d1]], TRUE), _xlfn.NORM.S.DIST(Table20[[#This Row],[d1]], TRUE) - 1) * Table20[[#This Row],[Buy or Sell]]</f>
        <v>#NUM!</v>
      </c>
      <c r="Z175" s="9">
        <f ca="1">Table20[[#This Row],[Remaining]]*Table20[[#This Row],[Current Price]]*100</f>
        <v>0</v>
      </c>
      <c r="AA175" s="22">
        <f ca="1">IFERROR(Table20[[#This Row],[nominal_exposure]]*Table20[[#This Row],[Delta]],0)</f>
        <v>0</v>
      </c>
      <c r="AB175" s="99" t="b">
        <f>IF(Table20[[#This Row],[date_purchased]]&lt;&gt;Table20[[#This Row],[Expiration Date]],FALSE,TRUE)</f>
        <v>0</v>
      </c>
      <c r="AC175" s="30" t="str">
        <f>VLOOKUP(Table20[[#This Row],[Asset]],Table19[#All],3,FALSE)</f>
        <v>AI</v>
      </c>
      <c r="AD175" s="4">
        <f>IF(Table20[[#This Row],[Remaining]]&lt;&gt;0,Table20[[#This Row],[Invested]]*Table20[[#This Row],[Remaining]]/Table20[[#This Row],[Number of options]],0)</f>
        <v>0</v>
      </c>
      <c r="AE175" s="30">
        <f ca="1">SUMIF(Table20[Ticker],Table20[[#This Row],[Ticker]],Table20[realized_profit])</f>
        <v>-4181</v>
      </c>
      <c r="AF175" s="30" t="str">
        <f>VLOOKUP(Table20[[#This Row],[Strategy]],Table29[#All],7,FALSE)</f>
        <v>Bullish</v>
      </c>
    </row>
    <row r="176" spans="1:32" hidden="1">
      <c r="A176" s="35">
        <v>45555</v>
      </c>
      <c r="B176" s="21" t="e" vm="239">
        <v>#VALUE!</v>
      </c>
      <c r="C176" s="109" t="str" cm="1">
        <f t="array" aca="1" ref="C176" ca="1">_FV(Table20[[#This Row],[Asset]],"Ticker symbol",TRUE)</f>
        <v>U</v>
      </c>
      <c r="D176" s="26" cm="1">
        <f t="array" aca="1" ref="D176" ca="1">_FV(Table20[[#This Row],[Asset]],"Price")</f>
        <v>18.155000000000001</v>
      </c>
      <c r="E176" s="26">
        <v>18</v>
      </c>
      <c r="F176" s="33">
        <v>2</v>
      </c>
      <c r="G176" s="34">
        <v>1</v>
      </c>
      <c r="H176" s="111" t="s">
        <v>113</v>
      </c>
      <c r="I176" s="31">
        <v>45476</v>
      </c>
      <c r="J176" s="26">
        <v>1.26</v>
      </c>
      <c r="K176" s="24">
        <v>0.66710000000000003</v>
      </c>
      <c r="L176" s="33">
        <f>VLOOKUP(Table20[[#This Row],[Strategy]],Table29[#All],6,FALSE)</f>
        <v>1</v>
      </c>
      <c r="M176" s="23">
        <v>2</v>
      </c>
      <c r="N176" s="23">
        <v>1.69</v>
      </c>
      <c r="O176" s="23"/>
      <c r="P176" s="23"/>
      <c r="Q176">
        <f>Table20[[#This Row],[Exit1]]*Table20[[#This Row],[ex1_price]]</f>
        <v>3.38</v>
      </c>
      <c r="R176">
        <f>Table20[[#This Row],[Exit2]]*Table20[[#This Row],[ex2_price]]</f>
        <v>0</v>
      </c>
      <c r="S176">
        <f>IFERROR((Table20[[#This Row],[ex2_amnt]]+Table20[[#This Row],[ex1_amnt]])/(Table20[[#This Row],[Exit2]]+Table20[[#This Row],[Exit1]]),0)</f>
        <v>1.69</v>
      </c>
      <c r="T176" s="5">
        <f>(Table20[[#This Row],[Exit1]]+Table20[[#This Row],[Exit2]])*(Table20[[#This Row],[avg_exit_price]]-Table20[[#This Row],[AvePrice]])*100*Table20[[#This Row],[Buy or Sell]]</f>
        <v>85.999999999999986</v>
      </c>
      <c r="U176" s="5">
        <f>Table20[[#This Row],[Number of options]]*Table20[[#This Row],[AvePrice]]*100*Table20[[#This Row],[Buy or Sell]]</f>
        <v>252</v>
      </c>
      <c r="V176" s="8">
        <f>Table20[[#This Row],[Number of options]]-Table20[[#This Row],[Exit1]]-Table20[[#This Row],[Exit2]]</f>
        <v>0</v>
      </c>
      <c r="W176" s="30">
        <f ca="1">(Table20[[#This Row],[Expiration Date]]-TODAY())/365</f>
        <v>-1.5123287671232877</v>
      </c>
      <c r="X176" s="30" t="e">
        <f ca="1">(LN(Table20[[#This Row],[Current Price]]/Table20[[#This Row],[strike_price]]) + ($B$2 + (Table20[[#This Row],[Vol]]^2)/2)*Table20[[#This Row],[Time to expiration]]) / (Table20[[#This Row],[Vol]] * SQRT(Table20[[#This Row],[Time to expiration]]))</f>
        <v>#NUM!</v>
      </c>
      <c r="Y176" s="30" t="e">
        <f ca="1">IF(Table20[[#This Row],[Direction]]&gt;0, _xlfn.NORM.S.DIST(Table20[[#This Row],[d1]], TRUE), _xlfn.NORM.S.DIST(Table20[[#This Row],[d1]], TRUE) - 1) * Table20[[#This Row],[Buy or Sell]]</f>
        <v>#NUM!</v>
      </c>
      <c r="Z176" s="9">
        <f ca="1">Table20[[#This Row],[Remaining]]*Table20[[#This Row],[Current Price]]*100</f>
        <v>0</v>
      </c>
      <c r="AA176" s="22">
        <f ca="1">IFERROR(Table20[[#This Row],[nominal_exposure]]*Table20[[#This Row],[Delta]],0)</f>
        <v>0</v>
      </c>
      <c r="AB176" s="99" t="b">
        <f>IF(Table20[[#This Row],[date_purchased]]&lt;&gt;Table20[[#This Row],[Expiration Date]],FALSE,TRUE)</f>
        <v>0</v>
      </c>
      <c r="AC176" s="30" t="str">
        <f>VLOOKUP(Table20[[#This Row],[Asset]],Table19[#All],3,FALSE)</f>
        <v>Technology</v>
      </c>
      <c r="AD176" s="4">
        <f>IF(Table20[[#This Row],[Remaining]]&lt;&gt;0,Table20[[#This Row],[Invested]]*Table20[[#This Row],[Remaining]]/Table20[[#This Row],[Number of options]],0)</f>
        <v>0</v>
      </c>
      <c r="AE176" s="4">
        <f ca="1">SUMIF(Table20[Ticker],Table20[[#This Row],[Ticker]],Table20[realized_profit])</f>
        <v>85.999999999999986</v>
      </c>
      <c r="AF176" s="30" t="str">
        <f>VLOOKUP(Table20[[#This Row],[Strategy]],Table29[#All],7,FALSE)</f>
        <v>Bullish</v>
      </c>
    </row>
    <row r="177" spans="1:32" hidden="1">
      <c r="A177" s="118">
        <v>45534</v>
      </c>
      <c r="B177" s="21" t="e" vm="367">
        <v>#VALUE!</v>
      </c>
      <c r="C177" s="109" t="str" cm="1">
        <f t="array" aca="1" ref="C177" ca="1">_FV(Table20[[#This Row],[Asset]],"Ticker symbol",TRUE)</f>
        <v>OKTA</v>
      </c>
      <c r="D177" s="26" cm="1">
        <f t="array" aca="1" ref="D177" ca="1">_FV(Table20[[#This Row],[Asset]],"Price")</f>
        <v>78.45</v>
      </c>
      <c r="E177" s="26">
        <v>100</v>
      </c>
      <c r="F177" s="33">
        <v>3</v>
      </c>
      <c r="G177" s="34">
        <v>-1</v>
      </c>
      <c r="H177" s="34" t="s">
        <v>115</v>
      </c>
      <c r="I177" s="31">
        <v>45512</v>
      </c>
      <c r="J177" s="26">
        <v>2.38</v>
      </c>
      <c r="K177" s="24">
        <v>0.7107</v>
      </c>
      <c r="L177" s="33">
        <f>VLOOKUP(Table20[[#This Row],[Strategy]],Table29[#All],6,FALSE)</f>
        <v>1</v>
      </c>
      <c r="M177" s="23">
        <v>3</v>
      </c>
      <c r="N177" s="23">
        <v>0</v>
      </c>
      <c r="O177" s="23"/>
      <c r="P177" s="23"/>
      <c r="Q177">
        <f>Table20[[#This Row],[Exit1]]*Table20[[#This Row],[ex1_price]]</f>
        <v>0</v>
      </c>
      <c r="R177">
        <f>Table20[[#This Row],[Exit2]]*Table20[[#This Row],[ex2_price]]</f>
        <v>0</v>
      </c>
      <c r="S177">
        <f>IFERROR((Table20[[#This Row],[ex2_amnt]]+Table20[[#This Row],[ex1_amnt]])/(Table20[[#This Row],[Exit2]]+Table20[[#This Row],[Exit1]]),0)</f>
        <v>0</v>
      </c>
      <c r="T177" s="5">
        <f>(Table20[[#This Row],[Exit1]]+Table20[[#This Row],[Exit2]])*(Table20[[#This Row],[avg_exit_price]]-Table20[[#This Row],[AvePrice]])*100*Table20[[#This Row],[Buy or Sell]]</f>
        <v>714</v>
      </c>
      <c r="U177" s="5">
        <f>Table20[[#This Row],[Number of options]]*Table20[[#This Row],[AvePrice]]*100*Table20[[#This Row],[Buy or Sell]]</f>
        <v>-714</v>
      </c>
      <c r="V177" s="8">
        <f>Table20[[#This Row],[Number of options]]-Table20[[#This Row],[Exit1]]-Table20[[#This Row],[Exit2]]</f>
        <v>0</v>
      </c>
      <c r="W177" s="30">
        <f ca="1">(Table20[[#This Row],[Expiration Date]]-TODAY())/365</f>
        <v>-1.5698630136986302</v>
      </c>
      <c r="X177" s="30" t="e">
        <f ca="1">(LN(Table20[[#This Row],[Current Price]]/Table20[[#This Row],[strike_price]]) + ($B$2 + (Table20[[#This Row],[Vol]]^2)/2)*Table20[[#This Row],[Time to expiration]]) / (Table20[[#This Row],[Vol]] * SQRT(Table20[[#This Row],[Time to expiration]]))</f>
        <v>#NUM!</v>
      </c>
      <c r="Y177" s="30" t="e">
        <f ca="1">IF(Table20[[#This Row],[Direction]]&gt;0, _xlfn.NORM.S.DIST(Table20[[#This Row],[d1]], TRUE), _xlfn.NORM.S.DIST(Table20[[#This Row],[d1]], TRUE) - 1) * Table20[[#This Row],[Buy or Sell]]</f>
        <v>#NUM!</v>
      </c>
      <c r="Z177" s="9">
        <f ca="1">Table20[[#This Row],[Remaining]]*Table20[[#This Row],[Current Price]]*100</f>
        <v>0</v>
      </c>
      <c r="AA177" s="22">
        <f ca="1">IFERROR(Table20[[#This Row],[nominal_exposure]]*Table20[[#This Row],[Delta]],0)</f>
        <v>0</v>
      </c>
      <c r="AB177" s="30" t="b">
        <f>IF(Table20[[#This Row],[date_purchased]]&lt;&gt;Table20[[#This Row],[Expiration Date]],FALSE,TRUE)</f>
        <v>0</v>
      </c>
      <c r="AC177" s="30" t="str">
        <f>VLOOKUP(Table20[[#This Row],[Asset]],Table19[#All],3,FALSE)</f>
        <v>Technology</v>
      </c>
      <c r="AD177" s="4">
        <f>IF(Table20[[#This Row],[Remaining]]&lt;&gt;0,Table20[[#This Row],[Invested]]*Table20[[#This Row],[Remaining]]/Table20[[#This Row],[Number of options]],0)</f>
        <v>0</v>
      </c>
      <c r="AE177" s="4">
        <f ca="1">SUMIF(Table20[Ticker],Table20[[#This Row],[Ticker]],Table20[realized_profit])</f>
        <v>-349.00000000000011</v>
      </c>
      <c r="AF177" s="30" t="str">
        <f>VLOOKUP(Table20[[#This Row],[Strategy]],Table29[#All],7,FALSE)</f>
        <v>Bullish</v>
      </c>
    </row>
    <row r="178" spans="1:32" hidden="1">
      <c r="A178" s="35">
        <v>45513</v>
      </c>
      <c r="B178" s="21" t="e" vm="32">
        <v>#VALUE!</v>
      </c>
      <c r="C178" s="109" t="str" cm="1">
        <f t="array" aca="1" ref="C178" ca="1">_FV(Table20[[#This Row],[Asset]],"Ticker symbol",TRUE)</f>
        <v>MU</v>
      </c>
      <c r="D178" s="26" cm="1">
        <f t="array" aca="1" ref="D178" ca="1">_FV(Table20[[#This Row],[Asset]],"Price")</f>
        <v>381.57</v>
      </c>
      <c r="E178" s="26">
        <v>100</v>
      </c>
      <c r="F178" s="33">
        <v>1</v>
      </c>
      <c r="G178" s="34">
        <v>1</v>
      </c>
      <c r="H178" s="34" t="s">
        <v>113</v>
      </c>
      <c r="I178" s="31">
        <v>45506</v>
      </c>
      <c r="J178" s="26">
        <v>2.12</v>
      </c>
      <c r="K178" s="24">
        <v>0.68510000000000004</v>
      </c>
      <c r="L178" s="33">
        <f>VLOOKUP(Table20[[#This Row],[Strategy]],Table29[#All],6,FALSE)</f>
        <v>1</v>
      </c>
      <c r="M178" s="23">
        <v>1</v>
      </c>
      <c r="N178" s="23">
        <v>1.4</v>
      </c>
      <c r="O178" s="23"/>
      <c r="P178" s="23"/>
      <c r="Q178">
        <f>Table20[[#This Row],[Exit1]]*Table20[[#This Row],[ex1_price]]</f>
        <v>1.4</v>
      </c>
      <c r="R178">
        <f>Table20[[#This Row],[Exit2]]*Table20[[#This Row],[ex2_price]]</f>
        <v>0</v>
      </c>
      <c r="S178">
        <f>IFERROR((Table20[[#This Row],[ex2_amnt]]+Table20[[#This Row],[ex1_amnt]])/(Table20[[#This Row],[Exit2]]+Table20[[#This Row],[Exit1]]),0)</f>
        <v>1.4</v>
      </c>
      <c r="T178" s="5">
        <f>(Table20[[#This Row],[Exit1]]+Table20[[#This Row],[Exit2]])*(Table20[[#This Row],[avg_exit_price]]-Table20[[#This Row],[AvePrice]])*100*Table20[[#This Row],[Buy or Sell]]</f>
        <v>-72.000000000000014</v>
      </c>
      <c r="U178" s="5">
        <f>Table20[[#This Row],[Number of options]]*Table20[[#This Row],[AvePrice]]*100*Table20[[#This Row],[Buy or Sell]]</f>
        <v>212</v>
      </c>
      <c r="V178" s="8">
        <f>Table20[[#This Row],[Number of options]]-Table20[[#This Row],[Exit1]]-Table20[[#This Row],[Exit2]]</f>
        <v>0</v>
      </c>
      <c r="W178" s="30">
        <f ca="1">(Table20[[#This Row],[Expiration Date]]-TODAY())/365</f>
        <v>-1.6273972602739726</v>
      </c>
      <c r="X178" s="30" t="e">
        <f ca="1">(LN(Table20[[#This Row],[Current Price]]/Table20[[#This Row],[strike_price]]) + ($B$2 + (Table20[[#This Row],[Vol]]^2)/2)*Table20[[#This Row],[Time to expiration]]) / (Table20[[#This Row],[Vol]] * SQRT(Table20[[#This Row],[Time to expiration]]))</f>
        <v>#NUM!</v>
      </c>
      <c r="Y178" s="30" t="e">
        <f ca="1">IF(Table20[[#This Row],[Direction]]&gt;0, _xlfn.NORM.S.DIST(Table20[[#This Row],[d1]], TRUE), _xlfn.NORM.S.DIST(Table20[[#This Row],[d1]], TRUE) - 1) * Table20[[#This Row],[Buy or Sell]]</f>
        <v>#NUM!</v>
      </c>
      <c r="Z178" s="9">
        <f ca="1">Table20[[#This Row],[Remaining]]*Table20[[#This Row],[Current Price]]*100</f>
        <v>0</v>
      </c>
      <c r="AA178" s="22">
        <f ca="1">IFERROR(Table20[[#This Row],[nominal_exposure]]*Table20[[#This Row],[Delta]],0)</f>
        <v>0</v>
      </c>
      <c r="AB178" s="30" t="b">
        <f>IF(Table20[[#This Row],[date_purchased]]&lt;&gt;Table20[[#This Row],[Expiration Date]],FALSE,TRUE)</f>
        <v>0</v>
      </c>
      <c r="AC178" s="30" t="str">
        <f>VLOOKUP(Table20[[#This Row],[Asset]],Table19[#All],3,FALSE)</f>
        <v>AI</v>
      </c>
      <c r="AD178" s="30">
        <f>IF(Table20[[#This Row],[Remaining]]&lt;&gt;0,Table20[[#This Row],[Invested]]*Table20[[#This Row],[Remaining]]/Table20[[#This Row],[Number of options]],0)</f>
        <v>0</v>
      </c>
      <c r="AE178" s="30">
        <f ca="1">SUMIF(Table20[Ticker],Table20[[#This Row],[Ticker]],Table20[realized_profit])</f>
        <v>-4181</v>
      </c>
      <c r="AF178" s="30" t="str">
        <f>VLOOKUP(Table20[[#This Row],[Strategy]],Table29[#All],7,FALSE)</f>
        <v>Bullish</v>
      </c>
    </row>
    <row r="179" spans="1:32" hidden="1">
      <c r="A179" s="35">
        <v>45534</v>
      </c>
      <c r="B179" s="21" t="e" vm="63">
        <v>#VALUE!</v>
      </c>
      <c r="C179" s="109" t="str" cm="1">
        <f t="array" aca="1" ref="C179" ca="1">_FV(Table20[[#This Row],[Asset]],"Ticker symbol",TRUE)</f>
        <v>TSLA</v>
      </c>
      <c r="D179" s="26" cm="1">
        <f t="array" aca="1" ref="D179" ca="1">_FV(Table20[[#This Row],[Asset]],"Price")</f>
        <v>394.5401</v>
      </c>
      <c r="E179" s="26">
        <v>190</v>
      </c>
      <c r="F179" s="33">
        <v>1</v>
      </c>
      <c r="G179" s="34">
        <v>1</v>
      </c>
      <c r="H179" s="34" t="s">
        <v>65</v>
      </c>
      <c r="I179" s="31">
        <v>45506</v>
      </c>
      <c r="J179" s="26">
        <v>5.55</v>
      </c>
      <c r="K179" s="24">
        <v>0.62560000000000004</v>
      </c>
      <c r="L179" s="33">
        <f>VLOOKUP(Table20[[#This Row],[Strategy]],Table29[#All],6,FALSE)</f>
        <v>-1</v>
      </c>
      <c r="M179" s="23">
        <v>1</v>
      </c>
      <c r="N179" s="23">
        <v>12.55</v>
      </c>
      <c r="O179" s="23"/>
      <c r="P179" s="23"/>
      <c r="Q179">
        <f>Table20[[#This Row],[Exit1]]*Table20[[#This Row],[ex1_price]]</f>
        <v>12.55</v>
      </c>
      <c r="R179">
        <f>Table20[[#This Row],[Exit2]]*Table20[[#This Row],[ex2_price]]</f>
        <v>0</v>
      </c>
      <c r="S179">
        <f>IFERROR((Table20[[#This Row],[ex2_amnt]]+Table20[[#This Row],[ex1_amnt]])/(Table20[[#This Row],[Exit2]]+Table20[[#This Row],[Exit1]]),0)</f>
        <v>12.55</v>
      </c>
      <c r="T179" s="5">
        <f>(Table20[[#This Row],[Exit1]]+Table20[[#This Row],[Exit2]])*(Table20[[#This Row],[avg_exit_price]]-Table20[[#This Row],[AvePrice]])*100*Table20[[#This Row],[Buy or Sell]]</f>
        <v>700.00000000000011</v>
      </c>
      <c r="U179" s="5">
        <f>Table20[[#This Row],[Number of options]]*Table20[[#This Row],[AvePrice]]*100*Table20[[#This Row],[Buy or Sell]]</f>
        <v>555</v>
      </c>
      <c r="V179" s="8">
        <f>Table20[[#This Row],[Number of options]]-Table20[[#This Row],[Exit1]]-Table20[[#This Row],[Exit2]]</f>
        <v>0</v>
      </c>
      <c r="W179" s="30">
        <f ca="1">(Table20[[#This Row],[Expiration Date]]-TODAY())/365</f>
        <v>-1.5698630136986302</v>
      </c>
      <c r="X179" s="30" t="e">
        <f ca="1">(LN(Table20[[#This Row],[Current Price]]/Table20[[#This Row],[strike_price]]) + ($B$2 + (Table20[[#This Row],[Vol]]^2)/2)*Table20[[#This Row],[Time to expiration]]) / (Table20[[#This Row],[Vol]] * SQRT(Table20[[#This Row],[Time to expiration]]))</f>
        <v>#NUM!</v>
      </c>
      <c r="Y179" s="30" t="e">
        <f ca="1">IF(Table20[[#This Row],[Direction]]&gt;0, _xlfn.NORM.S.DIST(Table20[[#This Row],[d1]], TRUE), _xlfn.NORM.S.DIST(Table20[[#This Row],[d1]], TRUE) - 1) * Table20[[#This Row],[Buy or Sell]]</f>
        <v>#NUM!</v>
      </c>
      <c r="Z179" s="9">
        <f ca="1">Table20[[#This Row],[Remaining]]*Table20[[#This Row],[Current Price]]*100</f>
        <v>0</v>
      </c>
      <c r="AA179" s="22">
        <f ca="1">IFERROR(Table20[[#This Row],[nominal_exposure]]*Table20[[#This Row],[Delta]],0)</f>
        <v>0</v>
      </c>
      <c r="AB179" s="30" t="b">
        <f>IF(Table20[[#This Row],[date_purchased]]&lt;&gt;Table20[[#This Row],[Expiration Date]],FALSE,TRUE)</f>
        <v>0</v>
      </c>
      <c r="AC179" s="30" t="str">
        <f>VLOOKUP(Table20[[#This Row],[Asset]],Table19[#All],3,FALSE)</f>
        <v>Auto</v>
      </c>
      <c r="AD179" s="30">
        <f>IF(Table20[[#This Row],[Remaining]]&lt;&gt;0,Table20[[#This Row],[Invested]]*Table20[[#This Row],[Remaining]]/Table20[[#This Row],[Number of options]],0)</f>
        <v>0</v>
      </c>
      <c r="AE179" s="30">
        <f ca="1">SUMIF(Table20[Ticker],Table20[[#This Row],[Ticker]],Table20[realized_profit])</f>
        <v>4153</v>
      </c>
      <c r="AF179" s="30" t="str">
        <f>VLOOKUP(Table20[[#This Row],[Strategy]],Table29[#All],7,FALSE)</f>
        <v>Bearish</v>
      </c>
    </row>
    <row r="180" spans="1:32" hidden="1">
      <c r="A180" s="35">
        <v>45555</v>
      </c>
      <c r="B180" s="21" t="e" vm="32">
        <v>#VALUE!</v>
      </c>
      <c r="C180" s="109" t="str" cm="1">
        <f t="array" aca="1" ref="C180" ca="1">_FV(Table20[[#This Row],[Asset]],"Ticker symbol",TRUE)</f>
        <v>MU</v>
      </c>
      <c r="D180" s="26" cm="1">
        <f t="array" aca="1" ref="D180" ca="1">_FV(Table20[[#This Row],[Asset]],"Price")</f>
        <v>381.57</v>
      </c>
      <c r="E180" s="26">
        <v>150</v>
      </c>
      <c r="F180" s="33">
        <v>2</v>
      </c>
      <c r="G180" s="34">
        <v>1</v>
      </c>
      <c r="H180" s="111" t="s">
        <v>114</v>
      </c>
      <c r="I180" s="31">
        <v>45478</v>
      </c>
      <c r="J180" s="26">
        <v>4.5999999999999996</v>
      </c>
      <c r="K180" s="24">
        <v>0.43280000000000002</v>
      </c>
      <c r="L180" s="33">
        <f>VLOOKUP(Table20[[#This Row],[Strategy]],Table29[#All],6,FALSE)</f>
        <v>1</v>
      </c>
      <c r="M180" s="23">
        <v>2</v>
      </c>
      <c r="N180" s="23">
        <v>0</v>
      </c>
      <c r="O180" s="23"/>
      <c r="P180" s="23"/>
      <c r="Q180">
        <f>Table20[[#This Row],[Exit1]]*Table20[[#This Row],[ex1_price]]</f>
        <v>0</v>
      </c>
      <c r="R180">
        <f>Table20[[#This Row],[Exit2]]*Table20[[#This Row],[ex2_price]]</f>
        <v>0</v>
      </c>
      <c r="S180">
        <f>IFERROR((Table20[[#This Row],[ex2_amnt]]+Table20[[#This Row],[ex1_amnt]])/(Table20[[#This Row],[Exit2]]+Table20[[#This Row],[Exit1]]),0)</f>
        <v>0</v>
      </c>
      <c r="T180" s="5">
        <f>(Table20[[#This Row],[Exit1]]+Table20[[#This Row],[Exit2]])*(Table20[[#This Row],[avg_exit_price]]-Table20[[#This Row],[AvePrice]])*100*Table20[[#This Row],[Buy or Sell]]</f>
        <v>-919.99999999999989</v>
      </c>
      <c r="U180" s="5">
        <f>Table20[[#This Row],[Number of options]]*Table20[[#This Row],[AvePrice]]*100*Table20[[#This Row],[Buy or Sell]]</f>
        <v>919.99999999999989</v>
      </c>
      <c r="V180" s="8">
        <f>Table20[[#This Row],[Number of options]]-Table20[[#This Row],[Exit1]]-Table20[[#This Row],[Exit2]]</f>
        <v>0</v>
      </c>
      <c r="W180" s="30">
        <f ca="1">(Table20[[#This Row],[Expiration Date]]-TODAY())/365</f>
        <v>-1.5123287671232877</v>
      </c>
      <c r="X180" s="30" t="e">
        <f ca="1">(LN(Table20[[#This Row],[Current Price]]/Table20[[#This Row],[strike_price]]) + ($B$2 + (Table20[[#This Row],[Vol]]^2)/2)*Table20[[#This Row],[Time to expiration]]) / (Table20[[#This Row],[Vol]] * SQRT(Table20[[#This Row],[Time to expiration]]))</f>
        <v>#NUM!</v>
      </c>
      <c r="Y180" s="30" t="e">
        <f ca="1">IF(Table20[[#This Row],[Direction]]&gt;0, _xlfn.NORM.S.DIST(Table20[[#This Row],[d1]], TRUE), _xlfn.NORM.S.DIST(Table20[[#This Row],[d1]], TRUE) - 1) * Table20[[#This Row],[Buy or Sell]]</f>
        <v>#NUM!</v>
      </c>
      <c r="Z180" s="9">
        <f ca="1">Table20[[#This Row],[Remaining]]*Table20[[#This Row],[Current Price]]*100</f>
        <v>0</v>
      </c>
      <c r="AA180" s="22">
        <f ca="1">IFERROR(Table20[[#This Row],[nominal_exposure]]*Table20[[#This Row],[Delta]],0)</f>
        <v>0</v>
      </c>
      <c r="AB180" s="99" t="b">
        <f>IF(Table20[[#This Row],[date_purchased]]&lt;&gt;Table20[[#This Row],[Expiration Date]],FALSE,TRUE)</f>
        <v>0</v>
      </c>
      <c r="AC180" s="30" t="str">
        <f>VLOOKUP(Table20[[#This Row],[Asset]],Table19[#All],3,FALSE)</f>
        <v>AI</v>
      </c>
      <c r="AD180" s="4">
        <f>IF(Table20[[#This Row],[Remaining]]&lt;&gt;0,Table20[[#This Row],[Invested]]*Table20[[#This Row],[Remaining]]/Table20[[#This Row],[Number of options]],0)</f>
        <v>0</v>
      </c>
      <c r="AE180" s="30">
        <f ca="1">SUMIF(Table20[Ticker],Table20[[#This Row],[Ticker]],Table20[realized_profit])</f>
        <v>-4181</v>
      </c>
      <c r="AF180" s="30" t="str">
        <f>VLOOKUP(Table20[[#This Row],[Strategy]],Table29[#All],7,FALSE)</f>
        <v>Bullish</v>
      </c>
    </row>
    <row r="181" spans="1:32" hidden="1">
      <c r="A181" s="35">
        <v>45555</v>
      </c>
      <c r="B181" s="21" t="e" vm="32">
        <v>#VALUE!</v>
      </c>
      <c r="C181" s="109" t="str" cm="1">
        <f t="array" aca="1" ref="C181" ca="1">_FV(Table20[[#This Row],[Asset]],"Ticker symbol",TRUE)</f>
        <v>MU</v>
      </c>
      <c r="D181" s="26" cm="1">
        <f t="array" aca="1" ref="D181" ca="1">_FV(Table20[[#This Row],[Asset]],"Price")</f>
        <v>381.57</v>
      </c>
      <c r="E181" s="26">
        <v>170</v>
      </c>
      <c r="F181" s="33">
        <v>2</v>
      </c>
      <c r="G181" s="34">
        <v>-1</v>
      </c>
      <c r="H181" s="111" t="s">
        <v>114</v>
      </c>
      <c r="I181" s="31">
        <v>45478</v>
      </c>
      <c r="J181" s="26">
        <v>1.66</v>
      </c>
      <c r="K181" s="24">
        <v>0.44850000000000001</v>
      </c>
      <c r="L181" s="33">
        <f>VLOOKUP(Table20[[#This Row],[Strategy]],Table29[#All],6,FALSE)</f>
        <v>1</v>
      </c>
      <c r="M181" s="23">
        <v>2</v>
      </c>
      <c r="N181" s="23">
        <v>0</v>
      </c>
      <c r="O181" s="23"/>
      <c r="P181" s="23"/>
      <c r="Q181">
        <f>Table20[[#This Row],[Exit1]]*Table20[[#This Row],[ex1_price]]</f>
        <v>0</v>
      </c>
      <c r="R181">
        <f>Table20[[#This Row],[Exit2]]*Table20[[#This Row],[ex2_price]]</f>
        <v>0</v>
      </c>
      <c r="S181">
        <f>IFERROR((Table20[[#This Row],[ex2_amnt]]+Table20[[#This Row],[ex1_amnt]])/(Table20[[#This Row],[Exit2]]+Table20[[#This Row],[Exit1]]),0)</f>
        <v>0</v>
      </c>
      <c r="T181" s="5">
        <f>(Table20[[#This Row],[Exit1]]+Table20[[#This Row],[Exit2]])*(Table20[[#This Row],[avg_exit_price]]-Table20[[#This Row],[AvePrice]])*100*Table20[[#This Row],[Buy or Sell]]</f>
        <v>332</v>
      </c>
      <c r="U181" s="5">
        <f>Table20[[#This Row],[Number of options]]*Table20[[#This Row],[AvePrice]]*100*Table20[[#This Row],[Buy or Sell]]</f>
        <v>-332</v>
      </c>
      <c r="V181" s="8">
        <f>Table20[[#This Row],[Number of options]]-Table20[[#This Row],[Exit1]]-Table20[[#This Row],[Exit2]]</f>
        <v>0</v>
      </c>
      <c r="W181" s="30">
        <f ca="1">(Table20[[#This Row],[Expiration Date]]-TODAY())/365</f>
        <v>-1.5123287671232877</v>
      </c>
      <c r="X181" s="30" t="e">
        <f ca="1">(LN(Table20[[#This Row],[Current Price]]/Table20[[#This Row],[strike_price]]) + ($B$2 + (Table20[[#This Row],[Vol]]^2)/2)*Table20[[#This Row],[Time to expiration]]) / (Table20[[#This Row],[Vol]] * SQRT(Table20[[#This Row],[Time to expiration]]))</f>
        <v>#NUM!</v>
      </c>
      <c r="Y181" s="30" t="e">
        <f ca="1">IF(Table20[[#This Row],[Direction]]&gt;0, _xlfn.NORM.S.DIST(Table20[[#This Row],[d1]], TRUE), _xlfn.NORM.S.DIST(Table20[[#This Row],[d1]], TRUE) - 1) * Table20[[#This Row],[Buy or Sell]]</f>
        <v>#NUM!</v>
      </c>
      <c r="Z181" s="9">
        <f ca="1">Table20[[#This Row],[Remaining]]*Table20[[#This Row],[Current Price]]*100</f>
        <v>0</v>
      </c>
      <c r="AA181" s="22">
        <f ca="1">IFERROR(Table20[[#This Row],[nominal_exposure]]*Table20[[#This Row],[Delta]],0)</f>
        <v>0</v>
      </c>
      <c r="AB181" s="99" t="b">
        <f>IF(Table20[[#This Row],[date_purchased]]&lt;&gt;Table20[[#This Row],[Expiration Date]],FALSE,TRUE)</f>
        <v>0</v>
      </c>
      <c r="AC181" s="30" t="str">
        <f>VLOOKUP(Table20[[#This Row],[Asset]],Table19[#All],3,FALSE)</f>
        <v>AI</v>
      </c>
      <c r="AD181" s="4">
        <f>IF(Table20[[#This Row],[Remaining]]&lt;&gt;0,Table20[[#This Row],[Invested]]*Table20[[#This Row],[Remaining]]/Table20[[#This Row],[Number of options]],0)</f>
        <v>0</v>
      </c>
      <c r="AE181" s="30">
        <f ca="1">SUMIF(Table20[Ticker],Table20[[#This Row],[Ticker]],Table20[realized_profit])</f>
        <v>-4181</v>
      </c>
      <c r="AF181" s="30" t="str">
        <f>VLOOKUP(Table20[[#This Row],[Strategy]],Table29[#All],7,FALSE)</f>
        <v>Bullish</v>
      </c>
    </row>
    <row r="182" spans="1:32" hidden="1">
      <c r="A182" s="35">
        <v>45541</v>
      </c>
      <c r="B182" s="21" t="e" vm="367">
        <v>#VALUE!</v>
      </c>
      <c r="C182" s="109" t="str" cm="1">
        <f t="array" aca="1" ref="C182" ca="1">_FV(Table20[[#This Row],[Asset]],"Ticker symbol",TRUE)</f>
        <v>OKTA</v>
      </c>
      <c r="D182" s="26" cm="1">
        <f t="array" aca="1" ref="D182" ca="1">_FV(Table20[[#This Row],[Asset]],"Price")</f>
        <v>78.45</v>
      </c>
      <c r="E182" s="26">
        <v>100</v>
      </c>
      <c r="F182" s="33">
        <v>3</v>
      </c>
      <c r="G182" s="34">
        <v>1</v>
      </c>
      <c r="H182" s="34" t="s">
        <v>115</v>
      </c>
      <c r="I182" s="31">
        <v>45512</v>
      </c>
      <c r="J182" s="26">
        <v>2.85</v>
      </c>
      <c r="K182" s="24">
        <v>0.73</v>
      </c>
      <c r="L182" s="33">
        <f>VLOOKUP(Table20[[#This Row],[Strategy]],Table29[#All],6,FALSE)</f>
        <v>1</v>
      </c>
      <c r="M182" s="23">
        <v>3</v>
      </c>
      <c r="N182" s="23">
        <v>0</v>
      </c>
      <c r="O182" s="23"/>
      <c r="P182" s="23"/>
      <c r="Q182">
        <f>Table20[[#This Row],[Exit1]]*Table20[[#This Row],[ex1_price]]</f>
        <v>0</v>
      </c>
      <c r="R182">
        <f>Table20[[#This Row],[Exit2]]*Table20[[#This Row],[ex2_price]]</f>
        <v>0</v>
      </c>
      <c r="S182">
        <f>IFERROR((Table20[[#This Row],[ex2_amnt]]+Table20[[#This Row],[ex1_amnt]])/(Table20[[#This Row],[Exit2]]+Table20[[#This Row],[Exit1]]),0)</f>
        <v>0</v>
      </c>
      <c r="T182" s="5">
        <f>(Table20[[#This Row],[Exit1]]+Table20[[#This Row],[Exit2]])*(Table20[[#This Row],[avg_exit_price]]-Table20[[#This Row],[AvePrice]])*100*Table20[[#This Row],[Buy or Sell]]</f>
        <v>-855.00000000000011</v>
      </c>
      <c r="U182" s="5">
        <f>Table20[[#This Row],[Number of options]]*Table20[[#This Row],[AvePrice]]*100*Table20[[#This Row],[Buy or Sell]]</f>
        <v>855.00000000000011</v>
      </c>
      <c r="V182" s="8">
        <f>Table20[[#This Row],[Number of options]]-Table20[[#This Row],[Exit1]]-Table20[[#This Row],[Exit2]]</f>
        <v>0</v>
      </c>
      <c r="W182" s="30">
        <f ca="1">(Table20[[#This Row],[Expiration Date]]-TODAY())/365</f>
        <v>-1.5506849315068494</v>
      </c>
      <c r="X182" s="30" t="e">
        <f ca="1">(LN(Table20[[#This Row],[Current Price]]/Table20[[#This Row],[strike_price]]) + ($B$2 + (Table20[[#This Row],[Vol]]^2)/2)*Table20[[#This Row],[Time to expiration]]) / (Table20[[#This Row],[Vol]] * SQRT(Table20[[#This Row],[Time to expiration]]))</f>
        <v>#NUM!</v>
      </c>
      <c r="Y182" s="30" t="e">
        <f ca="1">IF(Table20[[#This Row],[Direction]]&gt;0, _xlfn.NORM.S.DIST(Table20[[#This Row],[d1]], TRUE), _xlfn.NORM.S.DIST(Table20[[#This Row],[d1]], TRUE) - 1) * Table20[[#This Row],[Buy or Sell]]</f>
        <v>#NUM!</v>
      </c>
      <c r="Z182" s="9">
        <f ca="1">Table20[[#This Row],[Remaining]]*Table20[[#This Row],[Current Price]]*100</f>
        <v>0</v>
      </c>
      <c r="AA182" s="22">
        <f ca="1">IFERROR(Table20[[#This Row],[nominal_exposure]]*Table20[[#This Row],[Delta]],0)</f>
        <v>0</v>
      </c>
      <c r="AB182" s="30" t="b">
        <f>IF(Table20[[#This Row],[date_purchased]]&lt;&gt;Table20[[#This Row],[Expiration Date]],FALSE,TRUE)</f>
        <v>0</v>
      </c>
      <c r="AC182" s="30" t="str">
        <f>VLOOKUP(Table20[[#This Row],[Asset]],Table19[#All],3,FALSE)</f>
        <v>Technology</v>
      </c>
      <c r="AD182" s="4">
        <f>IF(Table20[[#This Row],[Remaining]]&lt;&gt;0,Table20[[#This Row],[Invested]]*Table20[[#This Row],[Remaining]]/Table20[[#This Row],[Number of options]],0)</f>
        <v>0</v>
      </c>
      <c r="AE182" s="4">
        <f ca="1">SUMIF(Table20[Ticker],Table20[[#This Row],[Ticker]],Table20[realized_profit])</f>
        <v>-349.00000000000011</v>
      </c>
      <c r="AF182" s="30" t="str">
        <f>VLOOKUP(Table20[[#This Row],[Strategy]],Table29[#All],7,FALSE)</f>
        <v>Bullish</v>
      </c>
    </row>
    <row r="183" spans="1:32" hidden="1">
      <c r="A183" s="118">
        <v>45520</v>
      </c>
      <c r="B183" s="21" t="e" vm="29">
        <v>#VALUE!</v>
      </c>
      <c r="C183" s="109" t="str" cm="1">
        <f t="array" aca="1" ref="C183" ca="1">_FV(Table20[[#This Row],[Asset]],"Ticker symbol",TRUE)</f>
        <v>NVDA</v>
      </c>
      <c r="D183" s="26" cm="1">
        <f t="array" aca="1" ref="D183" ca="1">_FV(Table20[[#This Row],[Asset]],"Price")</f>
        <v>180.405</v>
      </c>
      <c r="E183" s="26">
        <v>120</v>
      </c>
      <c r="F183" s="33">
        <v>1</v>
      </c>
      <c r="G183" s="34">
        <v>-1</v>
      </c>
      <c r="H183" s="34" t="s">
        <v>115</v>
      </c>
      <c r="I183" s="31">
        <v>45517</v>
      </c>
      <c r="J183" s="26">
        <v>0.5</v>
      </c>
      <c r="K183" s="24">
        <v>0.59</v>
      </c>
      <c r="L183" s="33">
        <f>VLOOKUP(Table20[[#This Row],[Strategy]],Table29[#All],6,FALSE)</f>
        <v>1</v>
      </c>
      <c r="M183" s="23">
        <v>1</v>
      </c>
      <c r="N183" s="23">
        <v>2.95</v>
      </c>
      <c r="O183" s="23"/>
      <c r="P183" s="23"/>
      <c r="Q183">
        <f>Table20[[#This Row],[Exit1]]*Table20[[#This Row],[ex1_price]]</f>
        <v>2.95</v>
      </c>
      <c r="R183">
        <f>Table20[[#This Row],[Exit2]]*Table20[[#This Row],[ex2_price]]</f>
        <v>0</v>
      </c>
      <c r="S183">
        <f>IFERROR((Table20[[#This Row],[ex2_amnt]]+Table20[[#This Row],[ex1_amnt]])/(Table20[[#This Row],[Exit2]]+Table20[[#This Row],[Exit1]]),0)</f>
        <v>2.95</v>
      </c>
      <c r="T183" s="5">
        <f>(Table20[[#This Row],[Exit1]]+Table20[[#This Row],[Exit2]])*(Table20[[#This Row],[avg_exit_price]]-Table20[[#This Row],[AvePrice]])*100*Table20[[#This Row],[Buy or Sell]]</f>
        <v>-245.00000000000003</v>
      </c>
      <c r="U183" s="5">
        <f>Table20[[#This Row],[Number of options]]*Table20[[#This Row],[AvePrice]]*100*Table20[[#This Row],[Buy or Sell]]</f>
        <v>-50</v>
      </c>
      <c r="V183" s="8">
        <f>Table20[[#This Row],[Number of options]]-Table20[[#This Row],[Exit1]]-Table20[[#This Row],[Exit2]]</f>
        <v>0</v>
      </c>
      <c r="W183" s="30">
        <f ca="1">(Table20[[#This Row],[Expiration Date]]-TODAY())/365</f>
        <v>-1.6082191780821917</v>
      </c>
      <c r="X183" s="30" t="e">
        <f ca="1">(LN(Table20[[#This Row],[Current Price]]/Table20[[#This Row],[strike_price]]) + ($B$2 + (Table20[[#This Row],[Vol]]^2)/2)*Table20[[#This Row],[Time to expiration]]) / (Table20[[#This Row],[Vol]] * SQRT(Table20[[#This Row],[Time to expiration]]))</f>
        <v>#NUM!</v>
      </c>
      <c r="Y183" s="30" t="e">
        <f ca="1">IF(Table20[[#This Row],[Direction]]&gt;0, _xlfn.NORM.S.DIST(Table20[[#This Row],[d1]], TRUE), _xlfn.NORM.S.DIST(Table20[[#This Row],[d1]], TRUE) - 1) * Table20[[#This Row],[Buy or Sell]]</f>
        <v>#NUM!</v>
      </c>
      <c r="Z183" s="9">
        <f ca="1">Table20[[#This Row],[Remaining]]*Table20[[#This Row],[Current Price]]*100</f>
        <v>0</v>
      </c>
      <c r="AA183" s="22">
        <f ca="1">IFERROR(Table20[[#This Row],[nominal_exposure]]*Table20[[#This Row],[Delta]],0)</f>
        <v>0</v>
      </c>
      <c r="AB183" s="30" t="b">
        <f>IF(Table20[[#This Row],[date_purchased]]&lt;&gt;Table20[[#This Row],[Expiration Date]],FALSE,TRUE)</f>
        <v>0</v>
      </c>
      <c r="AC183" s="30" t="str">
        <f>VLOOKUP(Table20[[#This Row],[Asset]],Table19[#All],3,FALSE)</f>
        <v>AI</v>
      </c>
      <c r="AD183" s="4">
        <f>IF(Table20[[#This Row],[Remaining]]&lt;&gt;0,Table20[[#This Row],[Invested]]*Table20[[#This Row],[Remaining]]/Table20[[#This Row],[Number of options]],0)</f>
        <v>0</v>
      </c>
      <c r="AE183" s="4">
        <f ca="1">SUMIF(Table20[Ticker],Table20[[#This Row],[Ticker]],Table20[realized_profit])</f>
        <v>-637.99999999999955</v>
      </c>
      <c r="AF183" s="30" t="str">
        <f>VLOOKUP(Table20[[#This Row],[Strategy]],Table29[#All],7,FALSE)</f>
        <v>Bullish</v>
      </c>
    </row>
    <row r="184" spans="1:32" hidden="1">
      <c r="A184" s="35">
        <v>45555</v>
      </c>
      <c r="B184" s="21" t="e" vm="159">
        <v>#VALUE!</v>
      </c>
      <c r="C184" s="109" t="str" cm="1">
        <f t="array" aca="1" ref="C184" ca="1">_FV(Table20[[#This Row],[Asset]],"Ticker symbol",TRUE)</f>
        <v>BABA</v>
      </c>
      <c r="D184" s="26" cm="1">
        <f t="array" aca="1" ref="D184" ca="1">_FV(Table20[[#This Row],[Asset]],"Price")</f>
        <v>129.63999999999999</v>
      </c>
      <c r="E184" s="26">
        <v>80</v>
      </c>
      <c r="F184" s="33">
        <v>2</v>
      </c>
      <c r="G184" s="34">
        <v>1</v>
      </c>
      <c r="H184" s="34" t="s">
        <v>113</v>
      </c>
      <c r="I184" s="31">
        <v>45505</v>
      </c>
      <c r="J184" s="26">
        <v>3.45</v>
      </c>
      <c r="K184" s="24">
        <v>0.34939999999999999</v>
      </c>
      <c r="L184" s="33">
        <f>VLOOKUP(Table20[[#This Row],[Strategy]],Table29[#All],6,FALSE)</f>
        <v>1</v>
      </c>
      <c r="M184" s="23">
        <v>2</v>
      </c>
      <c r="N184" s="23">
        <v>3.65</v>
      </c>
      <c r="O184" s="23"/>
      <c r="P184" s="23"/>
      <c r="Q184">
        <f>Table20[[#This Row],[Exit1]]*Table20[[#This Row],[ex1_price]]</f>
        <v>7.3</v>
      </c>
      <c r="R184">
        <f>Table20[[#This Row],[Exit2]]*Table20[[#This Row],[ex2_price]]</f>
        <v>0</v>
      </c>
      <c r="S184">
        <f>IFERROR((Table20[[#This Row],[ex2_amnt]]+Table20[[#This Row],[ex1_amnt]])/(Table20[[#This Row],[Exit2]]+Table20[[#This Row],[Exit1]]),0)</f>
        <v>3.65</v>
      </c>
      <c r="T184" s="5">
        <f>(Table20[[#This Row],[Exit1]]+Table20[[#This Row],[Exit2]])*(Table20[[#This Row],[avg_exit_price]]-Table20[[#This Row],[AvePrice]])*100*Table20[[#This Row],[Buy or Sell]]</f>
        <v>39.999999999999943</v>
      </c>
      <c r="U184" s="5">
        <f>Table20[[#This Row],[Number of options]]*Table20[[#This Row],[AvePrice]]*100*Table20[[#This Row],[Buy or Sell]]</f>
        <v>690</v>
      </c>
      <c r="V184" s="8">
        <f>Table20[[#This Row],[Number of options]]-Table20[[#This Row],[Exit1]]-Table20[[#This Row],[Exit2]]</f>
        <v>0</v>
      </c>
      <c r="W184" s="30">
        <f ca="1">(Table20[[#This Row],[Expiration Date]]-TODAY())/365</f>
        <v>-1.5123287671232877</v>
      </c>
      <c r="X184" s="30" t="e">
        <f ca="1">(LN(Table20[[#This Row],[Current Price]]/Table20[[#This Row],[strike_price]]) + ($B$2 + (Table20[[#This Row],[Vol]]^2)/2)*Table20[[#This Row],[Time to expiration]]) / (Table20[[#This Row],[Vol]] * SQRT(Table20[[#This Row],[Time to expiration]]))</f>
        <v>#NUM!</v>
      </c>
      <c r="Y184" s="30" t="e">
        <f ca="1">IF(Table20[[#This Row],[Direction]]&gt;0, _xlfn.NORM.S.DIST(Table20[[#This Row],[d1]], TRUE), _xlfn.NORM.S.DIST(Table20[[#This Row],[d1]], TRUE) - 1) * Table20[[#This Row],[Buy or Sell]]</f>
        <v>#NUM!</v>
      </c>
      <c r="Z184" s="9">
        <f ca="1">Table20[[#This Row],[Remaining]]*Table20[[#This Row],[Current Price]]*100</f>
        <v>0</v>
      </c>
      <c r="AA184" s="22">
        <f ca="1">IFERROR(Table20[[#This Row],[nominal_exposure]]*Table20[[#This Row],[Delta]],0)</f>
        <v>0</v>
      </c>
      <c r="AB184" s="30" t="b">
        <f>IF(Table20[[#This Row],[date_purchased]]&lt;&gt;Table20[[#This Row],[Expiration Date]],FALSE,TRUE)</f>
        <v>0</v>
      </c>
      <c r="AC184" s="30" t="str">
        <f>VLOOKUP(Table20[[#This Row],[Asset]],Table19[#All],3,FALSE)</f>
        <v>China</v>
      </c>
      <c r="AD184" s="30">
        <f>IF(Table20[[#This Row],[Remaining]]&lt;&gt;0,Table20[[#This Row],[Invested]]*Table20[[#This Row],[Remaining]]/Table20[[#This Row],[Number of options]],0)</f>
        <v>0</v>
      </c>
      <c r="AE184" s="30">
        <f ca="1">SUMIF(Table20[Ticker],Table20[[#This Row],[Ticker]],Table20[realized_profit])</f>
        <v>5855</v>
      </c>
      <c r="AF184" s="30" t="str">
        <f>VLOOKUP(Table20[[#This Row],[Strategy]],Table29[#All],7,FALSE)</f>
        <v>Bullish</v>
      </c>
    </row>
    <row r="185" spans="1:32" hidden="1">
      <c r="A185" s="118">
        <v>45520</v>
      </c>
      <c r="B185" s="21" t="e" vm="34">
        <v>#VALUE!</v>
      </c>
      <c r="C185" s="109" t="str" cm="1">
        <f t="array" aca="1" ref="C185" ca="1">_FV(Table20[[#This Row],[Asset]],"Ticker symbol",TRUE)</f>
        <v>TSM</v>
      </c>
      <c r="D185" s="26" cm="1">
        <f t="array" aca="1" ref="D185" ca="1">_FV(Table20[[#This Row],[Asset]],"Price")</f>
        <v>348.52499999999998</v>
      </c>
      <c r="E185" s="26">
        <v>175</v>
      </c>
      <c r="F185" s="33">
        <v>1</v>
      </c>
      <c r="G185" s="34">
        <v>-1</v>
      </c>
      <c r="H185" s="34" t="s">
        <v>115</v>
      </c>
      <c r="I185" s="31">
        <v>45517</v>
      </c>
      <c r="J185" s="26">
        <v>0.76</v>
      </c>
      <c r="K185" s="24">
        <v>0.48</v>
      </c>
      <c r="L185" s="33">
        <f>VLOOKUP(Table20[[#This Row],[Strategy]],Table29[#All],6,FALSE)</f>
        <v>1</v>
      </c>
      <c r="M185" s="23">
        <v>1</v>
      </c>
      <c r="N185" s="23">
        <v>1.42</v>
      </c>
      <c r="O185" s="23"/>
      <c r="P185" s="23"/>
      <c r="Q185">
        <f>Table20[[#This Row],[Exit1]]*Table20[[#This Row],[ex1_price]]</f>
        <v>1.42</v>
      </c>
      <c r="R185">
        <f>Table20[[#This Row],[Exit2]]*Table20[[#This Row],[ex2_price]]</f>
        <v>0</v>
      </c>
      <c r="S185">
        <f>IFERROR((Table20[[#This Row],[ex2_amnt]]+Table20[[#This Row],[ex1_amnt]])/(Table20[[#This Row],[Exit2]]+Table20[[#This Row],[Exit1]]),0)</f>
        <v>1.42</v>
      </c>
      <c r="T185" s="5">
        <f>(Table20[[#This Row],[Exit1]]+Table20[[#This Row],[Exit2]])*(Table20[[#This Row],[avg_exit_price]]-Table20[[#This Row],[AvePrice]])*100*Table20[[#This Row],[Buy or Sell]]</f>
        <v>-65.999999999999986</v>
      </c>
      <c r="U185" s="5">
        <f>Table20[[#This Row],[Number of options]]*Table20[[#This Row],[AvePrice]]*100*Table20[[#This Row],[Buy or Sell]]</f>
        <v>-76</v>
      </c>
      <c r="V185" s="8">
        <f>Table20[[#This Row],[Number of options]]-Table20[[#This Row],[Exit1]]-Table20[[#This Row],[Exit2]]</f>
        <v>0</v>
      </c>
      <c r="W185" s="30">
        <f ca="1">(Table20[[#This Row],[Expiration Date]]-TODAY())/365</f>
        <v>-1.6082191780821917</v>
      </c>
      <c r="X185" s="30" t="e">
        <f ca="1">(LN(Table20[[#This Row],[Current Price]]/Table20[[#This Row],[strike_price]]) + ($B$2 + (Table20[[#This Row],[Vol]]^2)/2)*Table20[[#This Row],[Time to expiration]]) / (Table20[[#This Row],[Vol]] * SQRT(Table20[[#This Row],[Time to expiration]]))</f>
        <v>#NUM!</v>
      </c>
      <c r="Y185" s="30" t="e">
        <f ca="1">IF(Table20[[#This Row],[Direction]]&gt;0, _xlfn.NORM.S.DIST(Table20[[#This Row],[d1]], TRUE), _xlfn.NORM.S.DIST(Table20[[#This Row],[d1]], TRUE) - 1) * Table20[[#This Row],[Buy or Sell]]</f>
        <v>#NUM!</v>
      </c>
      <c r="Z185" s="9">
        <f ca="1">Table20[[#This Row],[Remaining]]*Table20[[#This Row],[Current Price]]*100</f>
        <v>0</v>
      </c>
      <c r="AA185" s="22">
        <f ca="1">IFERROR(Table20[[#This Row],[nominal_exposure]]*Table20[[#This Row],[Delta]],0)</f>
        <v>0</v>
      </c>
      <c r="AB185" s="30" t="b">
        <f>IF(Table20[[#This Row],[date_purchased]]&lt;&gt;Table20[[#This Row],[Expiration Date]],FALSE,TRUE)</f>
        <v>0</v>
      </c>
      <c r="AC185" s="30" t="str">
        <f>VLOOKUP(Table20[[#This Row],[Asset]],Table19[#All],3,FALSE)</f>
        <v>AI</v>
      </c>
      <c r="AD185" s="4">
        <f>IF(Table20[[#This Row],[Remaining]]&lt;&gt;0,Table20[[#This Row],[Invested]]*Table20[[#This Row],[Remaining]]/Table20[[#This Row],[Number of options]],0)</f>
        <v>0</v>
      </c>
      <c r="AE185" s="4">
        <f ca="1">SUMIF(Table20[Ticker],Table20[[#This Row],[Ticker]],Table20[realized_profit])</f>
        <v>-444.99999999999977</v>
      </c>
      <c r="AF185" s="30" t="str">
        <f>VLOOKUP(Table20[[#This Row],[Strategy]],Table29[#All],7,FALSE)</f>
        <v>Bullish</v>
      </c>
    </row>
    <row r="186" spans="1:32" hidden="1">
      <c r="A186" s="35">
        <v>45555</v>
      </c>
      <c r="B186" s="21" t="e" vm="32">
        <v>#VALUE!</v>
      </c>
      <c r="C186" s="109" t="str" cm="1">
        <f t="array" aca="1" ref="C186" ca="1">_FV(Table20[[#This Row],[Asset]],"Ticker symbol",TRUE)</f>
        <v>MU</v>
      </c>
      <c r="D186" s="26" cm="1">
        <f t="array" aca="1" ref="D186" ca="1">_FV(Table20[[#This Row],[Asset]],"Price")</f>
        <v>381.57</v>
      </c>
      <c r="E186" s="26">
        <v>130</v>
      </c>
      <c r="F186" s="33">
        <v>3</v>
      </c>
      <c r="G186" s="34">
        <v>1</v>
      </c>
      <c r="H186" s="34" t="s">
        <v>113</v>
      </c>
      <c r="I186" s="31">
        <v>45503</v>
      </c>
      <c r="J186" s="26">
        <v>1.04</v>
      </c>
      <c r="K186" s="24">
        <v>0.4556</v>
      </c>
      <c r="L186" s="33">
        <f>VLOOKUP(Table20[[#This Row],[Strategy]],Table29[#All],6,FALSE)</f>
        <v>1</v>
      </c>
      <c r="M186" s="23">
        <v>3</v>
      </c>
      <c r="N186" s="23">
        <v>0.2</v>
      </c>
      <c r="O186" s="23"/>
      <c r="P186" s="23"/>
      <c r="Q186">
        <f>Table20[[#This Row],[Exit1]]*Table20[[#This Row],[ex1_price]]</f>
        <v>0.60000000000000009</v>
      </c>
      <c r="R186">
        <f>Table20[[#This Row],[Exit2]]*Table20[[#This Row],[ex2_price]]</f>
        <v>0</v>
      </c>
      <c r="S186">
        <f>IFERROR((Table20[[#This Row],[ex2_amnt]]+Table20[[#This Row],[ex1_amnt]])/(Table20[[#This Row],[Exit2]]+Table20[[#This Row],[Exit1]]),0)</f>
        <v>0.20000000000000004</v>
      </c>
      <c r="T186" s="5">
        <f>(Table20[[#This Row],[Exit1]]+Table20[[#This Row],[Exit2]])*(Table20[[#This Row],[avg_exit_price]]-Table20[[#This Row],[AvePrice]])*100*Table20[[#This Row],[Buy or Sell]]</f>
        <v>-252</v>
      </c>
      <c r="U186" s="5">
        <f>Table20[[#This Row],[Number of options]]*Table20[[#This Row],[AvePrice]]*100*Table20[[#This Row],[Buy or Sell]]</f>
        <v>312</v>
      </c>
      <c r="V186" s="8">
        <f>Table20[[#This Row],[Number of options]]-Table20[[#This Row],[Exit1]]-Table20[[#This Row],[Exit2]]</f>
        <v>0</v>
      </c>
      <c r="W186" s="30">
        <f ca="1">(Table20[[#This Row],[Expiration Date]]-TODAY())/365</f>
        <v>-1.5123287671232877</v>
      </c>
      <c r="X186" s="30" t="e">
        <f ca="1">(LN(Table20[[#This Row],[Current Price]]/Table20[[#This Row],[strike_price]]) + ($B$2 + (Table20[[#This Row],[Vol]]^2)/2)*Table20[[#This Row],[Time to expiration]]) / (Table20[[#This Row],[Vol]] * SQRT(Table20[[#This Row],[Time to expiration]]))</f>
        <v>#NUM!</v>
      </c>
      <c r="Y186" s="30" t="e">
        <f ca="1">IF(Table20[[#This Row],[Direction]]&gt;0, _xlfn.NORM.S.DIST(Table20[[#This Row],[d1]], TRUE), _xlfn.NORM.S.DIST(Table20[[#This Row],[d1]], TRUE) - 1) * Table20[[#This Row],[Buy or Sell]]</f>
        <v>#NUM!</v>
      </c>
      <c r="Z186" s="9">
        <f ca="1">Table20[[#This Row],[Remaining]]*Table20[[#This Row],[Current Price]]*100</f>
        <v>0</v>
      </c>
      <c r="AA186" s="22">
        <f ca="1">IFERROR(Table20[[#This Row],[nominal_exposure]]*Table20[[#This Row],[Delta]],0)</f>
        <v>0</v>
      </c>
      <c r="AB186" s="30" t="b">
        <f>IF(Table20[[#This Row],[date_purchased]]&lt;&gt;Table20[[#This Row],[Expiration Date]],FALSE,TRUE)</f>
        <v>0</v>
      </c>
      <c r="AC186" s="30" t="str">
        <f>VLOOKUP(Table20[[#This Row],[Asset]],Table19[#All],3,FALSE)</f>
        <v>AI</v>
      </c>
      <c r="AD186" s="4">
        <f>IF(Table20[[#This Row],[Remaining]]&lt;&gt;0,Table20[[#This Row],[Invested]]*Table20[[#This Row],[Remaining]]/Table20[[#This Row],[Number of options]],0)</f>
        <v>0</v>
      </c>
      <c r="AE186" s="30">
        <f ca="1">SUMIF(Table20[Ticker],Table20[[#This Row],[Ticker]],Table20[realized_profit])</f>
        <v>-4181</v>
      </c>
      <c r="AF186" s="30" t="str">
        <f>VLOOKUP(Table20[[#This Row],[Strategy]],Table29[#All],7,FALSE)</f>
        <v>Bullish</v>
      </c>
    </row>
    <row r="187" spans="1:32" hidden="1">
      <c r="A187" s="180">
        <v>45580</v>
      </c>
      <c r="B187" s="21" t="e" vm="96">
        <v>#VALUE!</v>
      </c>
      <c r="C187" s="109" t="str" cm="1">
        <f t="array" aca="1" ref="C187" ca="1">_FV(Table20[[#This Row],[Asset]],"Ticker symbol",TRUE)</f>
        <v>SPY</v>
      </c>
      <c r="D187" s="26" cm="1">
        <f t="array" aca="1" ref="D187" ca="1">_FV(Table20[[#This Row],[Asset]],"Price")</f>
        <v>658.59</v>
      </c>
      <c r="E187" s="26">
        <v>550</v>
      </c>
      <c r="F187" s="33">
        <v>2</v>
      </c>
      <c r="G187" s="34">
        <v>-1</v>
      </c>
      <c r="H187" s="34" t="s">
        <v>161</v>
      </c>
      <c r="I187" s="31">
        <v>45569</v>
      </c>
      <c r="J187" s="26">
        <v>1.06</v>
      </c>
      <c r="K187" s="24">
        <v>0.19</v>
      </c>
      <c r="L187" s="33">
        <f>VLOOKUP(Table20[[#This Row],[Strategy]],Table29[#All],6,FALSE)</f>
        <v>-1</v>
      </c>
      <c r="M187" s="23">
        <v>2</v>
      </c>
      <c r="N187" s="23">
        <v>0.06</v>
      </c>
      <c r="O187" s="23"/>
      <c r="P187" s="23"/>
      <c r="Q187">
        <f>Table20[[#This Row],[Exit1]]*Table20[[#This Row],[ex1_price]]</f>
        <v>0.12</v>
      </c>
      <c r="R187">
        <f>Table20[[#This Row],[Exit2]]*Table20[[#This Row],[ex2_price]]</f>
        <v>0</v>
      </c>
      <c r="S187">
        <f>IFERROR((Table20[[#This Row],[ex2_amnt]]+Table20[[#This Row],[ex1_amnt]])/(Table20[[#This Row],[Exit2]]+Table20[[#This Row],[Exit1]]),0)</f>
        <v>0.06</v>
      </c>
      <c r="T187" s="5">
        <f>(Table20[[#This Row],[Exit1]]+Table20[[#This Row],[Exit2]])*(Table20[[#This Row],[avg_exit_price]]-Table20[[#This Row],[AvePrice]])*100*Table20[[#This Row],[Buy or Sell]]</f>
        <v>200</v>
      </c>
      <c r="U187" s="5">
        <f>Table20[[#This Row],[Number of options]]*Table20[[#This Row],[AvePrice]]*100*Table20[[#This Row],[Buy or Sell]]</f>
        <v>-212</v>
      </c>
      <c r="V187" s="8">
        <f>Table20[[#This Row],[Number of options]]-Table20[[#This Row],[Exit1]]-Table20[[#This Row],[Exit2]]</f>
        <v>0</v>
      </c>
      <c r="W187" s="30">
        <f ca="1">(Table20[[#This Row],[Expiration Date]]-TODAY())/365</f>
        <v>-1.4438356164383561</v>
      </c>
      <c r="X187" s="30" t="e">
        <f ca="1">(LN(Table20[[#This Row],[Current Price]]/Table20[[#This Row],[strike_price]]) + ($B$2 + (Table20[[#This Row],[Vol]]^2)/2)*Table20[[#This Row],[Time to expiration]]) / (Table20[[#This Row],[Vol]] * SQRT(Table20[[#This Row],[Time to expiration]]))</f>
        <v>#NUM!</v>
      </c>
      <c r="Y187" s="30" t="e">
        <f ca="1">IF(Table20[[#This Row],[Direction]]&gt;0, _xlfn.NORM.S.DIST(Table20[[#This Row],[d1]], TRUE), _xlfn.NORM.S.DIST(Table20[[#This Row],[d1]], TRUE) - 1) * Table20[[#This Row],[Buy or Sell]]</f>
        <v>#NUM!</v>
      </c>
      <c r="Z187" s="9">
        <f ca="1">Table20[[#This Row],[Remaining]]*Table20[[#This Row],[Current Price]]*100</f>
        <v>0</v>
      </c>
      <c r="AA187" s="22">
        <f ca="1">IFERROR(Table20[[#This Row],[nominal_exposure]]*Table20[[#This Row],[Delta]],0)</f>
        <v>0</v>
      </c>
      <c r="AB187" s="30" t="b">
        <f>IF(Table20[[#This Row],[date_purchased]]&lt;&gt;Table20[[#This Row],[Expiration Date]],FALSE,TRUE)</f>
        <v>0</v>
      </c>
      <c r="AC187" s="30" t="str">
        <f>VLOOKUP(Table20[[#This Row],[Asset]],Table19[#All],3,FALSE)</f>
        <v>Market</v>
      </c>
      <c r="AD187" s="30">
        <f>IF(Table20[[#This Row],[Remaining]]&lt;&gt;0,Table20[[#This Row],[Invested]]*Table20[[#This Row],[Remaining]]/Table20[[#This Row],[Number of options]],0)</f>
        <v>0</v>
      </c>
      <c r="AE187" s="30">
        <f ca="1">SUMIF(Table20[Ticker],Table20[[#This Row],[Ticker]],Table20[realized_profit])</f>
        <v>-5077</v>
      </c>
      <c r="AF187" s="30" t="str">
        <f>VLOOKUP(Table20[[#This Row],[Strategy]],Table29[#All],7,FALSE)</f>
        <v>Bearish</v>
      </c>
    </row>
    <row r="188" spans="1:32" hidden="1">
      <c r="A188" s="180">
        <v>45576</v>
      </c>
      <c r="B188" s="21" t="e" vm="96">
        <v>#VALUE!</v>
      </c>
      <c r="C188" s="109" t="str" cm="1">
        <f t="array" aca="1" ref="C188" ca="1">_FV(Table20[[#This Row],[Asset]],"Ticker symbol",TRUE)</f>
        <v>SPY</v>
      </c>
      <c r="D188" s="26" cm="1">
        <f t="array" aca="1" ref="D188" ca="1">_FV(Table20[[#This Row],[Asset]],"Price")</f>
        <v>658.59</v>
      </c>
      <c r="E188" s="26">
        <v>560</v>
      </c>
      <c r="F188" s="33">
        <v>2</v>
      </c>
      <c r="G188" s="34">
        <v>1</v>
      </c>
      <c r="H188" s="34" t="s">
        <v>65</v>
      </c>
      <c r="I188" s="31">
        <v>45558</v>
      </c>
      <c r="J188" s="26">
        <v>3.04</v>
      </c>
      <c r="K188" s="24">
        <v>0.14549999999999999</v>
      </c>
      <c r="L188" s="33">
        <f>VLOOKUP(Table20[[#This Row],[Strategy]],Table29[#All],6,FALSE)</f>
        <v>-1</v>
      </c>
      <c r="M188" s="23">
        <v>2</v>
      </c>
      <c r="N188" s="23">
        <v>1.81</v>
      </c>
      <c r="O188" s="23"/>
      <c r="P188" s="23"/>
      <c r="Q188">
        <f>Table20[[#This Row],[Exit1]]*Table20[[#This Row],[ex1_price]]</f>
        <v>3.62</v>
      </c>
      <c r="R188">
        <f>Table20[[#This Row],[Exit2]]*Table20[[#This Row],[ex2_price]]</f>
        <v>0</v>
      </c>
      <c r="S188">
        <f>IFERROR((Table20[[#This Row],[ex2_amnt]]+Table20[[#This Row],[ex1_amnt]])/(Table20[[#This Row],[Exit2]]+Table20[[#This Row],[Exit1]]),0)</f>
        <v>1.81</v>
      </c>
      <c r="T188" s="5">
        <f>(Table20[[#This Row],[Exit1]]+Table20[[#This Row],[Exit2]])*(Table20[[#This Row],[avg_exit_price]]-Table20[[#This Row],[AvePrice]])*100*Table20[[#This Row],[Buy or Sell]]</f>
        <v>-246</v>
      </c>
      <c r="U188" s="5">
        <f>Table20[[#This Row],[Number of options]]*Table20[[#This Row],[AvePrice]]*100*Table20[[#This Row],[Buy or Sell]]</f>
        <v>608</v>
      </c>
      <c r="V188" s="8">
        <f>Table20[[#This Row],[Number of options]]-Table20[[#This Row],[Exit1]]-Table20[[#This Row],[Exit2]]</f>
        <v>0</v>
      </c>
      <c r="W188" s="30">
        <f ca="1">(Table20[[#This Row],[Expiration Date]]-TODAY())/365</f>
        <v>-1.4547945205479451</v>
      </c>
      <c r="X188" s="30" t="e">
        <f ca="1">(LN(Table20[[#This Row],[Current Price]]/Table20[[#This Row],[strike_price]]) + ($B$2 + (Table20[[#This Row],[Vol]]^2)/2)*Table20[[#This Row],[Time to expiration]]) / (Table20[[#This Row],[Vol]] * SQRT(Table20[[#This Row],[Time to expiration]]))</f>
        <v>#NUM!</v>
      </c>
      <c r="Y188" s="30" t="e">
        <f ca="1">IF(Table20[[#This Row],[Direction]]&gt;0, _xlfn.NORM.S.DIST(Table20[[#This Row],[d1]], TRUE), _xlfn.NORM.S.DIST(Table20[[#This Row],[d1]], TRUE) - 1) * Table20[[#This Row],[Buy or Sell]]</f>
        <v>#NUM!</v>
      </c>
      <c r="Z188" s="9">
        <f ca="1">Table20[[#This Row],[Remaining]]*Table20[[#This Row],[Current Price]]*100</f>
        <v>0</v>
      </c>
      <c r="AA188" s="22">
        <f ca="1">IFERROR(Table20[[#This Row],[nominal_exposure]]*Table20[[#This Row],[Delta]],0)</f>
        <v>0</v>
      </c>
      <c r="AB188" s="30" t="b">
        <f>IF(Table20[[#This Row],[date_purchased]]&lt;&gt;Table20[[#This Row],[Expiration Date]],FALSE,TRUE)</f>
        <v>0</v>
      </c>
      <c r="AC188" s="30" t="str">
        <f>VLOOKUP(Table20[[#This Row],[Asset]],Table19[#All],3,FALSE)</f>
        <v>Market</v>
      </c>
      <c r="AD188" s="30">
        <f>IF(Table20[[#This Row],[Remaining]]&lt;&gt;0,Table20[[#This Row],[Invested]]*Table20[[#This Row],[Remaining]]/Table20[[#This Row],[Number of options]],0)</f>
        <v>0</v>
      </c>
      <c r="AE188" s="30">
        <f ca="1">SUMIF(Table20[Ticker],Table20[[#This Row],[Ticker]],Table20[realized_profit])</f>
        <v>-5077</v>
      </c>
      <c r="AF188" s="30" t="str">
        <f>VLOOKUP(Table20[[#This Row],[Strategy]],Table29[#All],7,FALSE)</f>
        <v>Bearish</v>
      </c>
    </row>
    <row r="189" spans="1:32" hidden="1">
      <c r="A189" s="35">
        <v>45555</v>
      </c>
      <c r="B189" s="21" t="e" vm="34">
        <v>#VALUE!</v>
      </c>
      <c r="C189" s="109" t="str" cm="1">
        <f t="array" aca="1" ref="C189" ca="1">_FV(Table20[[#This Row],[Asset]],"Ticker symbol",TRUE)</f>
        <v>TSM</v>
      </c>
      <c r="D189" s="26" cm="1">
        <f t="array" aca="1" ref="D189" ca="1">_FV(Table20[[#This Row],[Asset]],"Price")</f>
        <v>348.52499999999998</v>
      </c>
      <c r="E189" s="26">
        <v>175</v>
      </c>
      <c r="F189" s="33">
        <v>2</v>
      </c>
      <c r="G189" s="34">
        <v>1</v>
      </c>
      <c r="H189" s="34" t="s">
        <v>115</v>
      </c>
      <c r="I189" s="31">
        <v>45503</v>
      </c>
      <c r="J189" s="26">
        <v>3.14</v>
      </c>
      <c r="K189" s="24">
        <v>0.40329999999999999</v>
      </c>
      <c r="L189" s="33">
        <f>VLOOKUP(Table20[[#This Row],[Strategy]],Table29[#All],6,FALSE)</f>
        <v>1</v>
      </c>
      <c r="M189" s="23">
        <v>2</v>
      </c>
      <c r="N189" s="23">
        <v>6.24</v>
      </c>
      <c r="O189" s="23"/>
      <c r="P189" s="23"/>
      <c r="Q189">
        <f>Table20[[#This Row],[Exit1]]*Table20[[#This Row],[ex1_price]]</f>
        <v>12.48</v>
      </c>
      <c r="R189">
        <f>Table20[[#This Row],[Exit2]]*Table20[[#This Row],[ex2_price]]</f>
        <v>0</v>
      </c>
      <c r="S189">
        <f>IFERROR((Table20[[#This Row],[ex2_amnt]]+Table20[[#This Row],[ex1_amnt]])/(Table20[[#This Row],[Exit2]]+Table20[[#This Row],[Exit1]]),0)</f>
        <v>6.24</v>
      </c>
      <c r="T189" s="5">
        <f>(Table20[[#This Row],[Exit1]]+Table20[[#This Row],[Exit2]])*(Table20[[#This Row],[avg_exit_price]]-Table20[[#This Row],[AvePrice]])*100*Table20[[#This Row],[Buy or Sell]]</f>
        <v>620</v>
      </c>
      <c r="U189" s="5">
        <f>Table20[[#This Row],[Number of options]]*Table20[[#This Row],[AvePrice]]*100*Table20[[#This Row],[Buy or Sell]]</f>
        <v>628</v>
      </c>
      <c r="V189" s="8">
        <f>Table20[[#This Row],[Number of options]]-Table20[[#This Row],[Exit1]]-Table20[[#This Row],[Exit2]]</f>
        <v>0</v>
      </c>
      <c r="W189" s="30">
        <f ca="1">(Table20[[#This Row],[Expiration Date]]-TODAY())/365</f>
        <v>-1.5123287671232877</v>
      </c>
      <c r="X189" s="30" t="e">
        <f ca="1">(LN(Table20[[#This Row],[Current Price]]/Table20[[#This Row],[strike_price]]) + ($B$2 + (Table20[[#This Row],[Vol]]^2)/2)*Table20[[#This Row],[Time to expiration]]) / (Table20[[#This Row],[Vol]] * SQRT(Table20[[#This Row],[Time to expiration]]))</f>
        <v>#NUM!</v>
      </c>
      <c r="Y189" s="30" t="e">
        <f ca="1">IF(Table20[[#This Row],[Direction]]&gt;0, _xlfn.NORM.S.DIST(Table20[[#This Row],[d1]], TRUE), _xlfn.NORM.S.DIST(Table20[[#This Row],[d1]], TRUE) - 1) * Table20[[#This Row],[Buy or Sell]]</f>
        <v>#NUM!</v>
      </c>
      <c r="Z189" s="9">
        <f ca="1">Table20[[#This Row],[Remaining]]*Table20[[#This Row],[Current Price]]*100</f>
        <v>0</v>
      </c>
      <c r="AA189" s="22">
        <f ca="1">IFERROR(Table20[[#This Row],[nominal_exposure]]*Table20[[#This Row],[Delta]],0)</f>
        <v>0</v>
      </c>
      <c r="AB189" s="30" t="b">
        <f>IF(Table20[[#This Row],[date_purchased]]&lt;&gt;Table20[[#This Row],[Expiration Date]],FALSE,TRUE)</f>
        <v>0</v>
      </c>
      <c r="AC189" s="30" t="str">
        <f>VLOOKUP(Table20[[#This Row],[Asset]],Table19[#All],3,FALSE)</f>
        <v>AI</v>
      </c>
      <c r="AD189" s="4">
        <f>IF(Table20[[#This Row],[Remaining]]&lt;&gt;0,Table20[[#This Row],[Invested]]*Table20[[#This Row],[Remaining]]/Table20[[#This Row],[Number of options]],0)</f>
        <v>0</v>
      </c>
      <c r="AE189" s="30">
        <f ca="1">SUMIF(Table20[Ticker],Table20[[#This Row],[Ticker]],Table20[realized_profit])</f>
        <v>-444.99999999999977</v>
      </c>
      <c r="AF189" s="30" t="str">
        <f>VLOOKUP(Table20[[#This Row],[Strategy]],Table29[#All],7,FALSE)</f>
        <v>Bullish</v>
      </c>
    </row>
    <row r="190" spans="1:32" hidden="1">
      <c r="A190" s="35">
        <v>45565</v>
      </c>
      <c r="B190" s="21" t="e" vm="121">
        <v>#VALUE!</v>
      </c>
      <c r="C190" s="109" t="str" cm="1">
        <f t="array" aca="1" ref="C190" ca="1">_FV(Table20[[#This Row],[Asset]],"Ticker symbol",TRUE)</f>
        <v>IWM</v>
      </c>
      <c r="D190" s="26" cm="1">
        <f t="array" aca="1" ref="D190" ca="1">_FV(Table20[[#This Row],[Asset]],"Price")</f>
        <v>252.46010000000001</v>
      </c>
      <c r="E190" s="26">
        <v>200</v>
      </c>
      <c r="F190" s="33">
        <v>1</v>
      </c>
      <c r="G190" s="34">
        <v>1</v>
      </c>
      <c r="H190" s="34" t="s">
        <v>161</v>
      </c>
      <c r="I190" s="31">
        <v>45505</v>
      </c>
      <c r="J190" s="26">
        <v>1.95</v>
      </c>
      <c r="K190" s="24">
        <v>0.27710000000000001</v>
      </c>
      <c r="L190" s="33">
        <f>VLOOKUP(Table20[[#This Row],[Strategy]],Table29[#All],6,FALSE)</f>
        <v>-1</v>
      </c>
      <c r="M190" s="23">
        <v>1</v>
      </c>
      <c r="N190" s="23">
        <v>7.63</v>
      </c>
      <c r="O190" s="23"/>
      <c r="P190" s="23"/>
      <c r="Q190">
        <f>Table20[[#This Row],[Exit1]]*Table20[[#This Row],[ex1_price]]</f>
        <v>7.63</v>
      </c>
      <c r="R190">
        <f>Table20[[#This Row],[Exit2]]*Table20[[#This Row],[ex2_price]]</f>
        <v>0</v>
      </c>
      <c r="S190">
        <f>IFERROR((Table20[[#This Row],[ex2_amnt]]+Table20[[#This Row],[ex1_amnt]])/(Table20[[#This Row],[Exit2]]+Table20[[#This Row],[Exit1]]),0)</f>
        <v>7.63</v>
      </c>
      <c r="T190" s="5">
        <f>(Table20[[#This Row],[Exit1]]+Table20[[#This Row],[Exit2]])*(Table20[[#This Row],[avg_exit_price]]-Table20[[#This Row],[AvePrice]])*100*Table20[[#This Row],[Buy or Sell]]</f>
        <v>568</v>
      </c>
      <c r="U190" s="5">
        <f>Table20[[#This Row],[Number of options]]*Table20[[#This Row],[AvePrice]]*100*Table20[[#This Row],[Buy or Sell]]</f>
        <v>195</v>
      </c>
      <c r="V190" s="8">
        <f>Table20[[#This Row],[Number of options]]-Table20[[#This Row],[Exit1]]-Table20[[#This Row],[Exit2]]</f>
        <v>0</v>
      </c>
      <c r="W190" s="30">
        <f ca="1">(Table20[[#This Row],[Expiration Date]]-TODAY())/365</f>
        <v>-1.484931506849315</v>
      </c>
      <c r="X190" s="30" t="e">
        <f ca="1">(LN(Table20[[#This Row],[Current Price]]/Table20[[#This Row],[strike_price]]) + ($B$2 + (Table20[[#This Row],[Vol]]^2)/2)*Table20[[#This Row],[Time to expiration]]) / (Table20[[#This Row],[Vol]] * SQRT(Table20[[#This Row],[Time to expiration]]))</f>
        <v>#NUM!</v>
      </c>
      <c r="Y190" s="30" t="e">
        <f ca="1">IF(Table20[[#This Row],[Direction]]&gt;0, _xlfn.NORM.S.DIST(Table20[[#This Row],[d1]], TRUE), _xlfn.NORM.S.DIST(Table20[[#This Row],[d1]], TRUE) - 1) * Table20[[#This Row],[Buy or Sell]]</f>
        <v>#NUM!</v>
      </c>
      <c r="Z190" s="9">
        <f ca="1">Table20[[#This Row],[Remaining]]*Table20[[#This Row],[Current Price]]*100</f>
        <v>0</v>
      </c>
      <c r="AA190" s="22">
        <f ca="1">IFERROR(Table20[[#This Row],[nominal_exposure]]*Table20[[#This Row],[Delta]],0)</f>
        <v>0</v>
      </c>
      <c r="AB190" s="30" t="b">
        <f>IF(Table20[[#This Row],[date_purchased]]&lt;&gt;Table20[[#This Row],[Expiration Date]],FALSE,TRUE)</f>
        <v>0</v>
      </c>
      <c r="AC190" s="30" t="str">
        <f>VLOOKUP(Table20[[#This Row],[Asset]],Table19[#All],3,FALSE)</f>
        <v>Market</v>
      </c>
      <c r="AD190" s="30">
        <f>IF(Table20[[#This Row],[Remaining]]&lt;&gt;0,Table20[[#This Row],[Invested]]*Table20[[#This Row],[Remaining]]/Table20[[#This Row],[Number of options]],0)</f>
        <v>0</v>
      </c>
      <c r="AE190" s="30">
        <f ca="1">SUMIF(Table20[Ticker],Table20[[#This Row],[Ticker]],Table20[realized_profit])</f>
        <v>-331.99999999999994</v>
      </c>
      <c r="AF190" s="30" t="str">
        <f>VLOOKUP(Table20[[#This Row],[Strategy]],Table29[#All],7,FALSE)</f>
        <v>Bearish</v>
      </c>
    </row>
    <row r="191" spans="1:32" hidden="1">
      <c r="A191" s="35">
        <v>45555</v>
      </c>
      <c r="B191" s="21" t="e" vm="32">
        <v>#VALUE!</v>
      </c>
      <c r="C191" s="109" t="str" cm="1">
        <f t="array" aca="1" ref="C191" ca="1">_FV(Table20[[#This Row],[Asset]],"Ticker symbol",TRUE)</f>
        <v>MU</v>
      </c>
      <c r="D191" s="26" cm="1">
        <f t="array" aca="1" ref="D191" ca="1">_FV(Table20[[#This Row],[Asset]],"Price")</f>
        <v>381.57</v>
      </c>
      <c r="E191" s="26">
        <v>100</v>
      </c>
      <c r="F191" s="33">
        <v>1</v>
      </c>
      <c r="G191" s="34">
        <v>1</v>
      </c>
      <c r="H191" s="34" t="s">
        <v>113</v>
      </c>
      <c r="I191" s="31">
        <v>45511</v>
      </c>
      <c r="J191" s="26">
        <v>3.95</v>
      </c>
      <c r="K191" s="24">
        <v>0.50890000000000002</v>
      </c>
      <c r="L191" s="33">
        <f>VLOOKUP(Table20[[#This Row],[Strategy]],Table29[#All],6,FALSE)</f>
        <v>1</v>
      </c>
      <c r="M191" s="23">
        <v>1</v>
      </c>
      <c r="N191" s="23">
        <v>3.8</v>
      </c>
      <c r="O191" s="23"/>
      <c r="P191" s="23"/>
      <c r="Q191">
        <f>Table20[[#This Row],[Exit1]]*Table20[[#This Row],[ex1_price]]</f>
        <v>3.8</v>
      </c>
      <c r="R191">
        <f>Table20[[#This Row],[Exit2]]*Table20[[#This Row],[ex2_price]]</f>
        <v>0</v>
      </c>
      <c r="S191">
        <f>IFERROR((Table20[[#This Row],[ex2_amnt]]+Table20[[#This Row],[ex1_amnt]])/(Table20[[#This Row],[Exit2]]+Table20[[#This Row],[Exit1]]),0)</f>
        <v>3.8</v>
      </c>
      <c r="T191" s="5">
        <f>(Table20[[#This Row],[Exit1]]+Table20[[#This Row],[Exit2]])*(Table20[[#This Row],[avg_exit_price]]-Table20[[#This Row],[AvePrice]])*100*Table20[[#This Row],[Buy or Sell]]</f>
        <v>-15.000000000000036</v>
      </c>
      <c r="U191" s="5">
        <f>Table20[[#This Row],[Number of options]]*Table20[[#This Row],[AvePrice]]*100*Table20[[#This Row],[Buy or Sell]]</f>
        <v>395</v>
      </c>
      <c r="V191" s="8">
        <f>Table20[[#This Row],[Number of options]]-Table20[[#This Row],[Exit1]]-Table20[[#This Row],[Exit2]]</f>
        <v>0</v>
      </c>
      <c r="W191" s="30">
        <f ca="1">(Table20[[#This Row],[Expiration Date]]-TODAY())/365</f>
        <v>-1.5123287671232877</v>
      </c>
      <c r="X191" s="30" t="e">
        <f ca="1">(LN(Table20[[#This Row],[Current Price]]/Table20[[#This Row],[strike_price]]) + ($B$2 + (Table20[[#This Row],[Vol]]^2)/2)*Table20[[#This Row],[Time to expiration]]) / (Table20[[#This Row],[Vol]] * SQRT(Table20[[#This Row],[Time to expiration]]))</f>
        <v>#NUM!</v>
      </c>
      <c r="Y191" s="30" t="e">
        <f ca="1">IF(Table20[[#This Row],[Direction]]&gt;0, _xlfn.NORM.S.DIST(Table20[[#This Row],[d1]], TRUE), _xlfn.NORM.S.DIST(Table20[[#This Row],[d1]], TRUE) - 1) * Table20[[#This Row],[Buy or Sell]]</f>
        <v>#NUM!</v>
      </c>
      <c r="Z191" s="9">
        <f ca="1">Table20[[#This Row],[Remaining]]*Table20[[#This Row],[Current Price]]*100</f>
        <v>0</v>
      </c>
      <c r="AA191" s="22">
        <f ca="1">IFERROR(Table20[[#This Row],[nominal_exposure]]*Table20[[#This Row],[Delta]],0)</f>
        <v>0</v>
      </c>
      <c r="AB191" s="30" t="b">
        <f>IF(Table20[[#This Row],[date_purchased]]&lt;&gt;Table20[[#This Row],[Expiration Date]],FALSE,TRUE)</f>
        <v>0</v>
      </c>
      <c r="AC191" s="30" t="str">
        <f>VLOOKUP(Table20[[#This Row],[Asset]],Table19[#All],3,FALSE)</f>
        <v>AI</v>
      </c>
      <c r="AD191" s="30">
        <f>IF(Table20[[#This Row],[Remaining]]&lt;&gt;0,Table20[[#This Row],[Invested]]*Table20[[#This Row],[Remaining]]/Table20[[#This Row],[Number of options]],0)</f>
        <v>0</v>
      </c>
      <c r="AE191" s="30">
        <f ca="1">SUMIF(Table20[Ticker],Table20[[#This Row],[Ticker]],Table20[realized_profit])</f>
        <v>-4181</v>
      </c>
      <c r="AF191" s="30" t="str">
        <f>VLOOKUP(Table20[[#This Row],[Strategy]],Table29[#All],7,FALSE)</f>
        <v>Bullish</v>
      </c>
    </row>
    <row r="192" spans="1:32" hidden="1">
      <c r="A192" s="118">
        <v>45520</v>
      </c>
      <c r="B192" s="21" t="e" vm="159">
        <v>#VALUE!</v>
      </c>
      <c r="C192" s="109" t="str" cm="1">
        <f t="array" aca="1" ref="C192" ca="1">_FV(Table20[[#This Row],[Asset]],"Ticker symbol",TRUE)</f>
        <v>BABA</v>
      </c>
      <c r="D192" s="26" cm="1">
        <f t="array" aca="1" ref="D192" ca="1">_FV(Table20[[#This Row],[Asset]],"Price")</f>
        <v>129.63999999999999</v>
      </c>
      <c r="E192" s="26">
        <v>90</v>
      </c>
      <c r="F192" s="33">
        <v>5</v>
      </c>
      <c r="G192" s="34">
        <v>-1</v>
      </c>
      <c r="H192" s="34" t="s">
        <v>115</v>
      </c>
      <c r="I192" s="31">
        <v>45517</v>
      </c>
      <c r="J192" s="26">
        <v>0.23</v>
      </c>
      <c r="K192" s="24">
        <v>0.8</v>
      </c>
      <c r="L192" s="33">
        <f>VLOOKUP(Table20[[#This Row],[Strategy]],Table29[#All],6,FALSE)</f>
        <v>1</v>
      </c>
      <c r="M192" s="23">
        <v>5</v>
      </c>
      <c r="N192" s="23">
        <v>0.01</v>
      </c>
      <c r="O192" s="23"/>
      <c r="P192" s="23"/>
      <c r="Q192">
        <f>Table20[[#This Row],[Exit1]]*Table20[[#This Row],[ex1_price]]</f>
        <v>0.05</v>
      </c>
      <c r="R192">
        <f>Table20[[#This Row],[Exit2]]*Table20[[#This Row],[ex2_price]]</f>
        <v>0</v>
      </c>
      <c r="S192">
        <f>IFERROR((Table20[[#This Row],[ex2_amnt]]+Table20[[#This Row],[ex1_amnt]])/(Table20[[#This Row],[Exit2]]+Table20[[#This Row],[Exit1]]),0)</f>
        <v>0.01</v>
      </c>
      <c r="T192" s="5">
        <f>(Table20[[#This Row],[Exit1]]+Table20[[#This Row],[Exit2]])*(Table20[[#This Row],[avg_exit_price]]-Table20[[#This Row],[AvePrice]])*100*Table20[[#This Row],[Buy or Sell]]</f>
        <v>110.00000000000001</v>
      </c>
      <c r="U192" s="5">
        <f>Table20[[#This Row],[Number of options]]*Table20[[#This Row],[AvePrice]]*100*Table20[[#This Row],[Buy or Sell]]</f>
        <v>-115.00000000000001</v>
      </c>
      <c r="V192" s="8">
        <f>Table20[[#This Row],[Number of options]]-Table20[[#This Row],[Exit1]]-Table20[[#This Row],[Exit2]]</f>
        <v>0</v>
      </c>
      <c r="W192" s="30">
        <f ca="1">(Table20[[#This Row],[Expiration Date]]-TODAY())/365</f>
        <v>-1.6082191780821917</v>
      </c>
      <c r="X192" s="30" t="e">
        <f ca="1">(LN(Table20[[#This Row],[Current Price]]/Table20[[#This Row],[strike_price]]) + ($B$2 + (Table20[[#This Row],[Vol]]^2)/2)*Table20[[#This Row],[Time to expiration]]) / (Table20[[#This Row],[Vol]] * SQRT(Table20[[#This Row],[Time to expiration]]))</f>
        <v>#NUM!</v>
      </c>
      <c r="Y192" s="30" t="e">
        <f ca="1">IF(Table20[[#This Row],[Direction]]&gt;0, _xlfn.NORM.S.DIST(Table20[[#This Row],[d1]], TRUE), _xlfn.NORM.S.DIST(Table20[[#This Row],[d1]], TRUE) - 1) * Table20[[#This Row],[Buy or Sell]]</f>
        <v>#NUM!</v>
      </c>
      <c r="Z192" s="9">
        <f ca="1">Table20[[#This Row],[Remaining]]*Table20[[#This Row],[Current Price]]*100</f>
        <v>0</v>
      </c>
      <c r="AA192" s="22">
        <f ca="1">IFERROR(Table20[[#This Row],[nominal_exposure]]*Table20[[#This Row],[Delta]],0)</f>
        <v>0</v>
      </c>
      <c r="AB192" s="30" t="b">
        <f>IF(Table20[[#This Row],[date_purchased]]&lt;&gt;Table20[[#This Row],[Expiration Date]],FALSE,TRUE)</f>
        <v>0</v>
      </c>
      <c r="AC192" s="30" t="str">
        <f>VLOOKUP(Table20[[#This Row],[Asset]],Table19[#All],3,FALSE)</f>
        <v>China</v>
      </c>
      <c r="AD192" s="4">
        <f>IF(Table20[[#This Row],[Remaining]]&lt;&gt;0,Table20[[#This Row],[Invested]]*Table20[[#This Row],[Remaining]]/Table20[[#This Row],[Number of options]],0)</f>
        <v>0</v>
      </c>
      <c r="AE192" s="4">
        <f ca="1">SUMIF(Table20[Ticker],Table20[[#This Row],[Ticker]],Table20[realized_profit])</f>
        <v>5855</v>
      </c>
      <c r="AF192" s="30" t="str">
        <f>VLOOKUP(Table20[[#This Row],[Strategy]],Table29[#All],7,FALSE)</f>
        <v>Bullish</v>
      </c>
    </row>
    <row r="193" spans="1:32" hidden="1">
      <c r="A193" s="118">
        <v>45527</v>
      </c>
      <c r="B193" s="21" t="e" vm="29">
        <v>#VALUE!</v>
      </c>
      <c r="C193" s="109" t="str" cm="1">
        <f t="array" aca="1" ref="C193" ca="1">_FV(Table20[[#This Row],[Asset]],"Ticker symbol",TRUE)</f>
        <v>NVDA</v>
      </c>
      <c r="D193" s="26" cm="1">
        <f t="array" aca="1" ref="D193" ca="1">_FV(Table20[[#This Row],[Asset]],"Price")</f>
        <v>180.405</v>
      </c>
      <c r="E193" s="26">
        <v>120</v>
      </c>
      <c r="F193" s="33">
        <v>1</v>
      </c>
      <c r="G193" s="34">
        <v>1</v>
      </c>
      <c r="H193" s="34" t="s">
        <v>115</v>
      </c>
      <c r="I193" s="31">
        <v>45517</v>
      </c>
      <c r="J193" s="26">
        <v>1.68</v>
      </c>
      <c r="K193" s="24">
        <v>0.54</v>
      </c>
      <c r="L193" s="33">
        <f>VLOOKUP(Table20[[#This Row],[Strategy]],Table29[#All],6,FALSE)</f>
        <v>1</v>
      </c>
      <c r="M193" s="23">
        <v>1</v>
      </c>
      <c r="N193" s="23">
        <v>4.91</v>
      </c>
      <c r="O193" s="23"/>
      <c r="P193" s="23"/>
      <c r="Q193">
        <f>Table20[[#This Row],[Exit1]]*Table20[[#This Row],[ex1_price]]</f>
        <v>4.91</v>
      </c>
      <c r="R193">
        <f>Table20[[#This Row],[Exit2]]*Table20[[#This Row],[ex2_price]]</f>
        <v>0</v>
      </c>
      <c r="S193">
        <f>IFERROR((Table20[[#This Row],[ex2_amnt]]+Table20[[#This Row],[ex1_amnt]])/(Table20[[#This Row],[Exit2]]+Table20[[#This Row],[Exit1]]),0)</f>
        <v>4.91</v>
      </c>
      <c r="T193" s="5">
        <f>(Table20[[#This Row],[Exit1]]+Table20[[#This Row],[Exit2]])*(Table20[[#This Row],[avg_exit_price]]-Table20[[#This Row],[AvePrice]])*100*Table20[[#This Row],[Buy or Sell]]</f>
        <v>323.00000000000006</v>
      </c>
      <c r="U193" s="5">
        <f>Table20[[#This Row],[Number of options]]*Table20[[#This Row],[AvePrice]]*100*Table20[[#This Row],[Buy or Sell]]</f>
        <v>168</v>
      </c>
      <c r="V193" s="8">
        <f>Table20[[#This Row],[Number of options]]-Table20[[#This Row],[Exit1]]-Table20[[#This Row],[Exit2]]</f>
        <v>0</v>
      </c>
      <c r="W193" s="30">
        <f ca="1">(Table20[[#This Row],[Expiration Date]]-TODAY())/365</f>
        <v>-1.5890410958904109</v>
      </c>
      <c r="X193" s="30" t="e">
        <f ca="1">(LN(Table20[[#This Row],[Current Price]]/Table20[[#This Row],[strike_price]]) + ($B$2 + (Table20[[#This Row],[Vol]]^2)/2)*Table20[[#This Row],[Time to expiration]]) / (Table20[[#This Row],[Vol]] * SQRT(Table20[[#This Row],[Time to expiration]]))</f>
        <v>#NUM!</v>
      </c>
      <c r="Y193" s="30" t="e">
        <f ca="1">IF(Table20[[#This Row],[Direction]]&gt;0, _xlfn.NORM.S.DIST(Table20[[#This Row],[d1]], TRUE), _xlfn.NORM.S.DIST(Table20[[#This Row],[d1]], TRUE) - 1) * Table20[[#This Row],[Buy or Sell]]</f>
        <v>#NUM!</v>
      </c>
      <c r="Z193" s="9">
        <f ca="1">Table20[[#This Row],[Remaining]]*Table20[[#This Row],[Current Price]]*100</f>
        <v>0</v>
      </c>
      <c r="AA193" s="22">
        <f ca="1">IFERROR(Table20[[#This Row],[nominal_exposure]]*Table20[[#This Row],[Delta]],0)</f>
        <v>0</v>
      </c>
      <c r="AB193" s="30" t="b">
        <f>IF(Table20[[#This Row],[date_purchased]]&lt;&gt;Table20[[#This Row],[Expiration Date]],FALSE,TRUE)</f>
        <v>0</v>
      </c>
      <c r="AC193" s="30" t="str">
        <f>VLOOKUP(Table20[[#This Row],[Asset]],Table19[#All],3,FALSE)</f>
        <v>AI</v>
      </c>
      <c r="AD193" s="4">
        <f>IF(Table20[[#This Row],[Remaining]]&lt;&gt;0,Table20[[#This Row],[Invested]]*Table20[[#This Row],[Remaining]]/Table20[[#This Row],[Number of options]],0)</f>
        <v>0</v>
      </c>
      <c r="AE193" s="4">
        <f ca="1">SUMIF(Table20[Ticker],Table20[[#This Row],[Ticker]],Table20[realized_profit])</f>
        <v>-637.99999999999955</v>
      </c>
      <c r="AF193" s="30" t="str">
        <f>VLOOKUP(Table20[[#This Row],[Strategy]],Table29[#All],7,FALSE)</f>
        <v>Bullish</v>
      </c>
    </row>
    <row r="194" spans="1:32" hidden="1">
      <c r="A194" s="35">
        <v>45646</v>
      </c>
      <c r="B194" s="21" t="e" vm="133">
        <v>#VALUE!</v>
      </c>
      <c r="C194" s="109" t="str" cm="1">
        <f t="array" aca="1" ref="C194" ca="1">_FV(Table20[[#This Row],[Asset]],"Ticker symbol",TRUE)</f>
        <v>XLU</v>
      </c>
      <c r="D194" s="26" cm="1">
        <f t="array" aca="1" ref="D194" ca="1">_FV(Table20[[#This Row],[Asset]],"Price")</f>
        <v>45.395000000000003</v>
      </c>
      <c r="E194" s="26">
        <v>65</v>
      </c>
      <c r="F194" s="33">
        <v>2</v>
      </c>
      <c r="G194" s="34">
        <v>1</v>
      </c>
      <c r="H194" s="111" t="s">
        <v>65</v>
      </c>
      <c r="I194" s="31">
        <v>45460</v>
      </c>
      <c r="J194" s="26">
        <v>1.59</v>
      </c>
      <c r="K194" s="24">
        <v>0.18540000000000001</v>
      </c>
      <c r="L194" s="33">
        <f>VLOOKUP(Table20[[#This Row],[Strategy]],Table29[#All],6,FALSE)</f>
        <v>-1</v>
      </c>
      <c r="M194" s="23">
        <v>2</v>
      </c>
      <c r="N194" s="23">
        <v>0.57999999999999996</v>
      </c>
      <c r="O194" s="23"/>
      <c r="P194" s="23"/>
      <c r="Q194">
        <f>Table20[[#This Row],[Exit1]]*Table20[[#This Row],[ex1_price]]</f>
        <v>1.1599999999999999</v>
      </c>
      <c r="R194">
        <f>Table20[[#This Row],[Exit2]]*Table20[[#This Row],[ex2_price]]</f>
        <v>0</v>
      </c>
      <c r="S194">
        <f>IFERROR((Table20[[#This Row],[ex2_amnt]]+Table20[[#This Row],[ex1_amnt]])/(Table20[[#This Row],[Exit2]]+Table20[[#This Row],[Exit1]]),0)</f>
        <v>0.57999999999999996</v>
      </c>
      <c r="T194" s="5">
        <f>(Table20[[#This Row],[Exit1]]+Table20[[#This Row],[Exit2]])*(Table20[[#This Row],[avg_exit_price]]-Table20[[#This Row],[AvePrice]])*100*Table20[[#This Row],[Buy or Sell]]</f>
        <v>-202.00000000000006</v>
      </c>
      <c r="U194" s="5">
        <f>Table20[[#This Row],[Number of options]]*Table20[[#This Row],[AvePrice]]*100*Table20[[#This Row],[Buy or Sell]]</f>
        <v>318</v>
      </c>
      <c r="V194" s="8">
        <f>Table20[[#This Row],[Number of options]]-Table20[[#This Row],[Exit1]]-Table20[[#This Row],[Exit2]]</f>
        <v>0</v>
      </c>
      <c r="W194" s="30">
        <f ca="1">(Table20[[#This Row],[Expiration Date]]-TODAY())/365</f>
        <v>-1.263013698630137</v>
      </c>
      <c r="X194" s="30" t="e">
        <f ca="1">(LN(Table20[[#This Row],[Current Price]]/Table20[[#This Row],[strike_price]]) + ($B$2 + (Table20[[#This Row],[Vol]]^2)/2)*Table20[[#This Row],[Time to expiration]]) / (Table20[[#This Row],[Vol]] * SQRT(Table20[[#This Row],[Time to expiration]]))</f>
        <v>#NUM!</v>
      </c>
      <c r="Y194" s="30" t="e">
        <f ca="1">IF(Table20[[#This Row],[Direction]]&gt;0, _xlfn.NORM.S.DIST(Table20[[#This Row],[d1]], TRUE), _xlfn.NORM.S.DIST(Table20[[#This Row],[d1]], TRUE) - 1) * Table20[[#This Row],[Buy or Sell]]</f>
        <v>#NUM!</v>
      </c>
      <c r="Z194" s="9">
        <f ca="1">Table20[[#This Row],[Remaining]]*Table20[[#This Row],[Current Price]]*100</f>
        <v>0</v>
      </c>
      <c r="AA194" s="22">
        <f ca="1">IFERROR(Table20[[#This Row],[nominal_exposure]]*Table20[[#This Row],[Delta]],0)</f>
        <v>0</v>
      </c>
      <c r="AB194" s="99" t="b">
        <f>IF(Table20[[#This Row],[date_purchased]]&lt;&gt;Table20[[#This Row],[Expiration Date]],FALSE,TRUE)</f>
        <v>0</v>
      </c>
      <c r="AC194" s="30" t="str">
        <f>VLOOKUP(Table20[[#This Row],[Asset]],Table19[#All],3,FALSE)</f>
        <v>Utilities</v>
      </c>
      <c r="AD194" s="4">
        <f>IF(Table20[[#This Row],[Remaining]]&lt;&gt;0,Table20[[#This Row],[Invested]]*Table20[[#This Row],[Remaining]]/Table20[[#This Row],[Number of options]],0)</f>
        <v>0</v>
      </c>
      <c r="AE194" s="4">
        <f ca="1">SUMIF(Table20[Ticker],Table20[[#This Row],[Ticker]],Table20[realized_profit])</f>
        <v>-202.00000000000006</v>
      </c>
      <c r="AF194" s="30" t="str">
        <f>VLOOKUP(Table20[[#This Row],[Strategy]],Table29[#All],7,FALSE)</f>
        <v>Bearish</v>
      </c>
    </row>
    <row r="195" spans="1:32" hidden="1">
      <c r="A195" s="181">
        <v>45534</v>
      </c>
      <c r="B195" s="21" t="e" vm="29">
        <v>#VALUE!</v>
      </c>
      <c r="C195" s="109" t="str" cm="1">
        <f t="array" aca="1" ref="C195" ca="1">_FV(Table20[[#This Row],[Asset]],"Ticker symbol",TRUE)</f>
        <v>NVDA</v>
      </c>
      <c r="D195" s="26" cm="1">
        <f t="array" aca="1" ref="D195" ca="1">_FV(Table20[[#This Row],[Asset]],"Price")</f>
        <v>180.405</v>
      </c>
      <c r="E195" s="26">
        <v>135</v>
      </c>
      <c r="F195" s="33">
        <v>2</v>
      </c>
      <c r="G195" s="34">
        <v>-1</v>
      </c>
      <c r="H195" s="34" t="s">
        <v>115</v>
      </c>
      <c r="I195" s="31">
        <v>45531</v>
      </c>
      <c r="J195" s="26">
        <v>3.52</v>
      </c>
      <c r="K195" s="24">
        <v>1.4127000000000001</v>
      </c>
      <c r="L195" s="33">
        <f>VLOOKUP(Table20[[#This Row],[Strategy]],Table29[#All],6,FALSE)</f>
        <v>1</v>
      </c>
      <c r="M195" s="23">
        <v>2</v>
      </c>
      <c r="N195" s="23"/>
      <c r="O195" s="23"/>
      <c r="P195" s="23"/>
      <c r="Q195">
        <f>Table20[[#This Row],[Exit1]]*Table20[[#This Row],[ex1_price]]</f>
        <v>0</v>
      </c>
      <c r="R195">
        <f>Table20[[#This Row],[Exit2]]*Table20[[#This Row],[ex2_price]]</f>
        <v>0</v>
      </c>
      <c r="S195">
        <f>IFERROR((Table20[[#This Row],[ex2_amnt]]+Table20[[#This Row],[ex1_amnt]])/(Table20[[#This Row],[Exit2]]+Table20[[#This Row],[Exit1]]),0)</f>
        <v>0</v>
      </c>
      <c r="T195" s="5">
        <f>(Table20[[#This Row],[Exit1]]+Table20[[#This Row],[Exit2]])*(Table20[[#This Row],[avg_exit_price]]-Table20[[#This Row],[AvePrice]])*100*Table20[[#This Row],[Buy or Sell]]</f>
        <v>704</v>
      </c>
      <c r="U195" s="5">
        <f>Table20[[#This Row],[Number of options]]*Table20[[#This Row],[AvePrice]]*100*Table20[[#This Row],[Buy or Sell]]</f>
        <v>-704</v>
      </c>
      <c r="V195" s="8">
        <f>Table20[[#This Row],[Number of options]]-Table20[[#This Row],[Exit1]]-Table20[[#This Row],[Exit2]]</f>
        <v>0</v>
      </c>
      <c r="W195" s="30">
        <f ca="1">(Table20[[#This Row],[Expiration Date]]-TODAY())/365</f>
        <v>-1.5698630136986302</v>
      </c>
      <c r="X195" s="30" t="e">
        <f ca="1">(LN(Table20[[#This Row],[Current Price]]/Table20[[#This Row],[strike_price]]) + ($B$2 + (Table20[[#This Row],[Vol]]^2)/2)*Table20[[#This Row],[Time to expiration]]) / (Table20[[#This Row],[Vol]] * SQRT(Table20[[#This Row],[Time to expiration]]))</f>
        <v>#NUM!</v>
      </c>
      <c r="Y195" s="30" t="e">
        <f ca="1">IF(Table20[[#This Row],[Direction]]&gt;0, _xlfn.NORM.S.DIST(Table20[[#This Row],[d1]], TRUE), _xlfn.NORM.S.DIST(Table20[[#This Row],[d1]], TRUE) - 1) * Table20[[#This Row],[Buy or Sell]]</f>
        <v>#NUM!</v>
      </c>
      <c r="Z195" s="9">
        <f ca="1">Table20[[#This Row],[Remaining]]*Table20[[#This Row],[Current Price]]*100</f>
        <v>0</v>
      </c>
      <c r="AA195" s="22">
        <f ca="1">IFERROR(Table20[[#This Row],[nominal_exposure]]*Table20[[#This Row],[Delta]],0)</f>
        <v>0</v>
      </c>
      <c r="AB195" s="30" t="b">
        <f>IF(Table20[[#This Row],[date_purchased]]&lt;&gt;Table20[[#This Row],[Expiration Date]],FALSE,TRUE)</f>
        <v>0</v>
      </c>
      <c r="AC195" s="30" t="str">
        <f>VLOOKUP(Table20[[#This Row],[Asset]],Table19[#All],3,FALSE)</f>
        <v>AI</v>
      </c>
      <c r="AD195" s="148">
        <f>IF(Table20[[#This Row],[Remaining]]&lt;&gt;0,Table20[[#This Row],[Invested]]*Table20[[#This Row],[Remaining]]/Table20[[#This Row],[Number of options]],0)</f>
        <v>0</v>
      </c>
      <c r="AE195" s="148">
        <f ca="1">SUMIF(Table20[Ticker],Table20[[#This Row],[Ticker]],Table20[realized_profit])</f>
        <v>-637.99999999999955</v>
      </c>
      <c r="AF195" s="30" t="str">
        <f>VLOOKUP(Table20[[#This Row],[Strategy]],Table29[#All],7,FALSE)</f>
        <v>Bullish</v>
      </c>
    </row>
    <row r="196" spans="1:32" hidden="1">
      <c r="A196" s="118">
        <v>45527</v>
      </c>
      <c r="B196" s="21" t="e" vm="34">
        <v>#VALUE!</v>
      </c>
      <c r="C196" s="109" t="str" cm="1">
        <f t="array" aca="1" ref="C196" ca="1">_FV(Table20[[#This Row],[Asset]],"Ticker symbol",TRUE)</f>
        <v>TSM</v>
      </c>
      <c r="D196" s="26" cm="1">
        <f t="array" aca="1" ref="D196" ca="1">_FV(Table20[[#This Row],[Asset]],"Price")</f>
        <v>348.52499999999998</v>
      </c>
      <c r="E196" s="26">
        <v>175</v>
      </c>
      <c r="F196" s="33">
        <v>1</v>
      </c>
      <c r="G196" s="34">
        <v>1</v>
      </c>
      <c r="H196" s="34" t="s">
        <v>115</v>
      </c>
      <c r="I196" s="31">
        <v>45517</v>
      </c>
      <c r="J196" s="26">
        <v>2.12</v>
      </c>
      <c r="K196" s="24">
        <v>0.42</v>
      </c>
      <c r="L196" s="33">
        <f>VLOOKUP(Table20[[#This Row],[Strategy]],Table29[#All],6,FALSE)</f>
        <v>1</v>
      </c>
      <c r="M196" s="23">
        <v>1</v>
      </c>
      <c r="N196" s="23">
        <v>3.65</v>
      </c>
      <c r="O196" s="23"/>
      <c r="P196" s="23"/>
      <c r="Q196">
        <f>Table20[[#This Row],[Exit1]]*Table20[[#This Row],[ex1_price]]</f>
        <v>3.65</v>
      </c>
      <c r="R196">
        <f>Table20[[#This Row],[Exit2]]*Table20[[#This Row],[ex2_price]]</f>
        <v>0</v>
      </c>
      <c r="S196">
        <f>IFERROR((Table20[[#This Row],[ex2_amnt]]+Table20[[#This Row],[ex1_amnt]])/(Table20[[#This Row],[Exit2]]+Table20[[#This Row],[Exit1]]),0)</f>
        <v>3.65</v>
      </c>
      <c r="T196" s="5">
        <f>(Table20[[#This Row],[Exit1]]+Table20[[#This Row],[Exit2]])*(Table20[[#This Row],[avg_exit_price]]-Table20[[#This Row],[AvePrice]])*100*Table20[[#This Row],[Buy or Sell]]</f>
        <v>152.99999999999997</v>
      </c>
      <c r="U196" s="5">
        <f>Table20[[#This Row],[Number of options]]*Table20[[#This Row],[AvePrice]]*100*Table20[[#This Row],[Buy or Sell]]</f>
        <v>212</v>
      </c>
      <c r="V196" s="8">
        <f>Table20[[#This Row],[Number of options]]-Table20[[#This Row],[Exit1]]-Table20[[#This Row],[Exit2]]</f>
        <v>0</v>
      </c>
      <c r="W196" s="30">
        <f ca="1">(Table20[[#This Row],[Expiration Date]]-TODAY())/365</f>
        <v>-1.5890410958904109</v>
      </c>
      <c r="X196" s="30" t="e">
        <f ca="1">(LN(Table20[[#This Row],[Current Price]]/Table20[[#This Row],[strike_price]]) + ($B$2 + (Table20[[#This Row],[Vol]]^2)/2)*Table20[[#This Row],[Time to expiration]]) / (Table20[[#This Row],[Vol]] * SQRT(Table20[[#This Row],[Time to expiration]]))</f>
        <v>#NUM!</v>
      </c>
      <c r="Y196" s="30" t="e">
        <f ca="1">IF(Table20[[#This Row],[Direction]]&gt;0, _xlfn.NORM.S.DIST(Table20[[#This Row],[d1]], TRUE), _xlfn.NORM.S.DIST(Table20[[#This Row],[d1]], TRUE) - 1) * Table20[[#This Row],[Buy or Sell]]</f>
        <v>#NUM!</v>
      </c>
      <c r="Z196" s="9">
        <f ca="1">Table20[[#This Row],[Remaining]]*Table20[[#This Row],[Current Price]]*100</f>
        <v>0</v>
      </c>
      <c r="AA196" s="22">
        <f ca="1">IFERROR(Table20[[#This Row],[nominal_exposure]]*Table20[[#This Row],[Delta]],0)</f>
        <v>0</v>
      </c>
      <c r="AB196" s="30" t="b">
        <f>IF(Table20[[#This Row],[date_purchased]]&lt;&gt;Table20[[#This Row],[Expiration Date]],FALSE,TRUE)</f>
        <v>0</v>
      </c>
      <c r="AC196" s="30" t="str">
        <f>VLOOKUP(Table20[[#This Row],[Asset]],Table19[#All],3,FALSE)</f>
        <v>AI</v>
      </c>
      <c r="AD196" s="4">
        <f>IF(Table20[[#This Row],[Remaining]]&lt;&gt;0,Table20[[#This Row],[Invested]]*Table20[[#This Row],[Remaining]]/Table20[[#This Row],[Number of options]],0)</f>
        <v>0</v>
      </c>
      <c r="AE196" s="4">
        <f ca="1">SUMIF(Table20[Ticker],Table20[[#This Row],[Ticker]],Table20[realized_profit])</f>
        <v>-444.99999999999977</v>
      </c>
      <c r="AF196" s="30" t="str">
        <f>VLOOKUP(Table20[[#This Row],[Strategy]],Table29[#All],7,FALSE)</f>
        <v>Bullish</v>
      </c>
    </row>
    <row r="197" spans="1:32" hidden="1">
      <c r="A197" s="180">
        <v>45576</v>
      </c>
      <c r="B197" s="21" t="e" vm="96">
        <v>#VALUE!</v>
      </c>
      <c r="C197" s="109" t="str" cm="1">
        <f t="array" aca="1" ref="C197" ca="1">_FV(Table20[[#This Row],[Asset]],"Ticker symbol",TRUE)</f>
        <v>SPY</v>
      </c>
      <c r="D197" s="26" cm="1">
        <f t="array" aca="1" ref="D197" ca="1">_FV(Table20[[#This Row],[Asset]],"Price")</f>
        <v>658.59</v>
      </c>
      <c r="E197" s="26">
        <v>560</v>
      </c>
      <c r="F197" s="33">
        <v>4</v>
      </c>
      <c r="G197" s="34">
        <v>1</v>
      </c>
      <c r="H197" s="34" t="s">
        <v>112</v>
      </c>
      <c r="I197" s="31">
        <v>45565</v>
      </c>
      <c r="J197" s="26">
        <v>2.25</v>
      </c>
      <c r="K197" s="24">
        <v>0.16259999999999999</v>
      </c>
      <c r="L197" s="33">
        <f>VLOOKUP(Table20[[#This Row],[Strategy]],Table29[#All],6,FALSE)</f>
        <v>-1</v>
      </c>
      <c r="M197" s="23">
        <v>4</v>
      </c>
      <c r="N197" s="23">
        <v>1.84</v>
      </c>
      <c r="O197" s="23"/>
      <c r="P197" s="23"/>
      <c r="Q197">
        <f>Table20[[#This Row],[Exit1]]*Table20[[#This Row],[ex1_price]]</f>
        <v>7.36</v>
      </c>
      <c r="R197">
        <f>Table20[[#This Row],[Exit2]]*Table20[[#This Row],[ex2_price]]</f>
        <v>0</v>
      </c>
      <c r="S197">
        <f>IFERROR((Table20[[#This Row],[ex2_amnt]]+Table20[[#This Row],[ex1_amnt]])/(Table20[[#This Row],[Exit2]]+Table20[[#This Row],[Exit1]]),0)</f>
        <v>1.84</v>
      </c>
      <c r="T197" s="5">
        <f>(Table20[[#This Row],[Exit1]]+Table20[[#This Row],[Exit2]])*(Table20[[#This Row],[avg_exit_price]]-Table20[[#This Row],[AvePrice]])*100*Table20[[#This Row],[Buy or Sell]]</f>
        <v>-163.99999999999997</v>
      </c>
      <c r="U197" s="5">
        <f>Table20[[#This Row],[Number of options]]*Table20[[#This Row],[AvePrice]]*100*Table20[[#This Row],[Buy or Sell]]</f>
        <v>900</v>
      </c>
      <c r="V197" s="8">
        <f>Table20[[#This Row],[Number of options]]-Table20[[#This Row],[Exit1]]-Table20[[#This Row],[Exit2]]</f>
        <v>0</v>
      </c>
      <c r="W197" s="30">
        <f ca="1">(Table20[[#This Row],[Expiration Date]]-TODAY())/365</f>
        <v>-1.4547945205479451</v>
      </c>
      <c r="X197" s="30" t="e">
        <f ca="1">(LN(Table20[[#This Row],[Current Price]]/Table20[[#This Row],[strike_price]]) + ($B$2 + (Table20[[#This Row],[Vol]]^2)/2)*Table20[[#This Row],[Time to expiration]]) / (Table20[[#This Row],[Vol]] * SQRT(Table20[[#This Row],[Time to expiration]]))</f>
        <v>#NUM!</v>
      </c>
      <c r="Y197" s="30" t="e">
        <f ca="1">IF(Table20[[#This Row],[Direction]]&gt;0, _xlfn.NORM.S.DIST(Table20[[#This Row],[d1]], TRUE), _xlfn.NORM.S.DIST(Table20[[#This Row],[d1]], TRUE) - 1) * Table20[[#This Row],[Buy or Sell]]</f>
        <v>#NUM!</v>
      </c>
      <c r="Z197" s="9">
        <f ca="1">Table20[[#This Row],[Remaining]]*Table20[[#This Row],[Current Price]]*100</f>
        <v>0</v>
      </c>
      <c r="AA197" s="22">
        <f ca="1">IFERROR(Table20[[#This Row],[nominal_exposure]]*Table20[[#This Row],[Delta]],0)</f>
        <v>0</v>
      </c>
      <c r="AB197" s="30" t="b">
        <f>IF(Table20[[#This Row],[date_purchased]]&lt;&gt;Table20[[#This Row],[Expiration Date]],FALSE,TRUE)</f>
        <v>0</v>
      </c>
      <c r="AC197" s="30" t="str">
        <f>VLOOKUP(Table20[[#This Row],[Asset]],Table19[#All],3,FALSE)</f>
        <v>Market</v>
      </c>
      <c r="AD197" s="30">
        <f>IF(Table20[[#This Row],[Remaining]]&lt;&gt;0,Table20[[#This Row],[Invested]]*Table20[[#This Row],[Remaining]]/Table20[[#This Row],[Number of options]],0)</f>
        <v>0</v>
      </c>
      <c r="AE197" s="30">
        <f ca="1">SUMIF(Table20[Ticker],Table20[[#This Row],[Ticker]],Table20[realized_profit])</f>
        <v>-5077</v>
      </c>
      <c r="AF197" s="30" t="str">
        <f>VLOOKUP(Table20[[#This Row],[Strategy]],Table29[#All],7,FALSE)</f>
        <v>Bearish</v>
      </c>
    </row>
    <row r="198" spans="1:32" hidden="1">
      <c r="A198" s="118">
        <v>45527</v>
      </c>
      <c r="B198" s="21" t="e" vm="159">
        <v>#VALUE!</v>
      </c>
      <c r="C198" s="109" t="str" cm="1">
        <f t="array" aca="1" ref="C198" ca="1">_FV(Table20[[#This Row],[Asset]],"Ticker symbol",TRUE)</f>
        <v>BABA</v>
      </c>
      <c r="D198" s="26" cm="1">
        <f t="array" aca="1" ref="D198" ca="1">_FV(Table20[[#This Row],[Asset]],"Price")</f>
        <v>129.63999999999999</v>
      </c>
      <c r="E198" s="26">
        <v>90</v>
      </c>
      <c r="F198" s="33">
        <v>5</v>
      </c>
      <c r="G198" s="34">
        <v>1</v>
      </c>
      <c r="H198" s="34" t="s">
        <v>115</v>
      </c>
      <c r="I198" s="31">
        <v>45517</v>
      </c>
      <c r="J198" s="26">
        <v>0.44</v>
      </c>
      <c r="K198" s="24">
        <v>0.53</v>
      </c>
      <c r="L198" s="33">
        <f>VLOOKUP(Table20[[#This Row],[Strategy]],Table29[#All],6,FALSE)</f>
        <v>1</v>
      </c>
      <c r="M198" s="23">
        <v>5</v>
      </c>
      <c r="N198" s="23">
        <v>0.31</v>
      </c>
      <c r="O198" s="23"/>
      <c r="P198" s="23"/>
      <c r="Q198">
        <f>Table20[[#This Row],[Exit1]]*Table20[[#This Row],[ex1_price]]</f>
        <v>1.55</v>
      </c>
      <c r="R198">
        <f>Table20[[#This Row],[Exit2]]*Table20[[#This Row],[ex2_price]]</f>
        <v>0</v>
      </c>
      <c r="S198">
        <f>IFERROR((Table20[[#This Row],[ex2_amnt]]+Table20[[#This Row],[ex1_amnt]])/(Table20[[#This Row],[Exit2]]+Table20[[#This Row],[Exit1]]),0)</f>
        <v>0.31</v>
      </c>
      <c r="T198" s="5">
        <f>(Table20[[#This Row],[Exit1]]+Table20[[#This Row],[Exit2]])*(Table20[[#This Row],[avg_exit_price]]-Table20[[#This Row],[AvePrice]])*100*Table20[[#This Row],[Buy or Sell]]</f>
        <v>-65</v>
      </c>
      <c r="U198" s="5">
        <f>Table20[[#This Row],[Number of options]]*Table20[[#This Row],[AvePrice]]*100*Table20[[#This Row],[Buy or Sell]]</f>
        <v>220.00000000000003</v>
      </c>
      <c r="V198" s="8">
        <f>Table20[[#This Row],[Number of options]]-Table20[[#This Row],[Exit1]]-Table20[[#This Row],[Exit2]]</f>
        <v>0</v>
      </c>
      <c r="W198" s="30">
        <f ca="1">(Table20[[#This Row],[Expiration Date]]-TODAY())/365</f>
        <v>-1.5890410958904109</v>
      </c>
      <c r="X198" s="30" t="e">
        <f ca="1">(LN(Table20[[#This Row],[Current Price]]/Table20[[#This Row],[strike_price]]) + ($B$2 + (Table20[[#This Row],[Vol]]^2)/2)*Table20[[#This Row],[Time to expiration]]) / (Table20[[#This Row],[Vol]] * SQRT(Table20[[#This Row],[Time to expiration]]))</f>
        <v>#NUM!</v>
      </c>
      <c r="Y198" s="30" t="e">
        <f ca="1">IF(Table20[[#This Row],[Direction]]&gt;0, _xlfn.NORM.S.DIST(Table20[[#This Row],[d1]], TRUE), _xlfn.NORM.S.DIST(Table20[[#This Row],[d1]], TRUE) - 1) * Table20[[#This Row],[Buy or Sell]]</f>
        <v>#NUM!</v>
      </c>
      <c r="Z198" s="9">
        <f ca="1">Table20[[#This Row],[Remaining]]*Table20[[#This Row],[Current Price]]*100</f>
        <v>0</v>
      </c>
      <c r="AA198" s="22">
        <f ca="1">IFERROR(Table20[[#This Row],[nominal_exposure]]*Table20[[#This Row],[Delta]],0)</f>
        <v>0</v>
      </c>
      <c r="AB198" s="30" t="b">
        <f>IF(Table20[[#This Row],[date_purchased]]&lt;&gt;Table20[[#This Row],[Expiration Date]],FALSE,TRUE)</f>
        <v>0</v>
      </c>
      <c r="AC198" s="30" t="str">
        <f>VLOOKUP(Table20[[#This Row],[Asset]],Table19[#All],3,FALSE)</f>
        <v>China</v>
      </c>
      <c r="AD198" s="4">
        <f>IF(Table20[[#This Row],[Remaining]]&lt;&gt;0,Table20[[#This Row],[Invested]]*Table20[[#This Row],[Remaining]]/Table20[[#This Row],[Number of options]],0)</f>
        <v>0</v>
      </c>
      <c r="AE198" s="4">
        <f ca="1">SUMIF(Table20[Ticker],Table20[[#This Row],[Ticker]],Table20[realized_profit])</f>
        <v>5855</v>
      </c>
      <c r="AF198" s="30" t="str">
        <f>VLOOKUP(Table20[[#This Row],[Strategy]],Table29[#All],7,FALSE)</f>
        <v>Bullish</v>
      </c>
    </row>
    <row r="199" spans="1:32" hidden="1">
      <c r="A199" s="35">
        <v>45674</v>
      </c>
      <c r="B199" s="21" t="e" vm="602">
        <v>#VALUE!</v>
      </c>
      <c r="C199" s="109" t="str" cm="1">
        <f t="array" aca="1" ref="C199" ca="1">_FV(Table20[[#This Row],[Asset]],"Ticker symbol",TRUE)</f>
        <v>SWN</v>
      </c>
      <c r="D199" s="26" cm="1">
        <f t="array" aca="1" ref="D199" ca="1">_FV(Table20[[#This Row],[Asset]],"Price")</f>
        <v>7.11</v>
      </c>
      <c r="E199" s="26">
        <v>7</v>
      </c>
      <c r="F199" s="33">
        <v>18</v>
      </c>
      <c r="G199" s="34">
        <v>1</v>
      </c>
      <c r="H199" s="111" t="s">
        <v>113</v>
      </c>
      <c r="I199" s="31">
        <v>45461</v>
      </c>
      <c r="J199" s="26">
        <v>0.48</v>
      </c>
      <c r="K199" s="24">
        <v>0.26500000000000001</v>
      </c>
      <c r="L199" s="33">
        <f>VLOOKUP(Table20[[#This Row],[Strategy]],Table29[#All],6,FALSE)</f>
        <v>1</v>
      </c>
      <c r="M199" s="23">
        <v>18</v>
      </c>
      <c r="N199" s="23">
        <v>0.22</v>
      </c>
      <c r="O199" s="23"/>
      <c r="P199" s="23"/>
      <c r="Q199">
        <f>Table20[[#This Row],[Exit1]]*Table20[[#This Row],[ex1_price]]</f>
        <v>3.96</v>
      </c>
      <c r="R199">
        <f>Table20[[#This Row],[Exit2]]*Table20[[#This Row],[ex2_price]]</f>
        <v>0</v>
      </c>
      <c r="S199">
        <f>IFERROR((Table20[[#This Row],[ex2_amnt]]+Table20[[#This Row],[ex1_amnt]])/(Table20[[#This Row],[Exit2]]+Table20[[#This Row],[Exit1]]),0)</f>
        <v>0.22</v>
      </c>
      <c r="T199" s="5">
        <f>(Table20[[#This Row],[Exit1]]+Table20[[#This Row],[Exit2]])*(Table20[[#This Row],[avg_exit_price]]-Table20[[#This Row],[AvePrice]])*100*Table20[[#This Row],[Buy or Sell]]</f>
        <v>-468</v>
      </c>
      <c r="U199" s="5">
        <f>Table20[[#This Row],[Number of options]]*Table20[[#This Row],[AvePrice]]*100*Table20[[#This Row],[Buy or Sell]]</f>
        <v>864</v>
      </c>
      <c r="V199" s="8">
        <f>Table20[[#This Row],[Number of options]]-Table20[[#This Row],[Exit1]]-Table20[[#This Row],[Exit2]]</f>
        <v>0</v>
      </c>
      <c r="W199" s="30">
        <f ca="1">(Table20[[#This Row],[Expiration Date]]-TODAY())/365</f>
        <v>-1.1863013698630136</v>
      </c>
      <c r="X199" s="30" t="e">
        <f ca="1">(LN(Table20[[#This Row],[Current Price]]/Table20[[#This Row],[strike_price]]) + ($B$2 + (Table20[[#This Row],[Vol]]^2)/2)*Table20[[#This Row],[Time to expiration]]) / (Table20[[#This Row],[Vol]] * SQRT(Table20[[#This Row],[Time to expiration]]))</f>
        <v>#NUM!</v>
      </c>
      <c r="Y199" s="30" t="e">
        <f ca="1">IF(Table20[[#This Row],[Direction]]&gt;0, _xlfn.NORM.S.DIST(Table20[[#This Row],[d1]], TRUE), _xlfn.NORM.S.DIST(Table20[[#This Row],[d1]], TRUE) - 1) * Table20[[#This Row],[Buy or Sell]]</f>
        <v>#NUM!</v>
      </c>
      <c r="Z199" s="9">
        <f ca="1">Table20[[#This Row],[Remaining]]*Table20[[#This Row],[Current Price]]*100</f>
        <v>0</v>
      </c>
      <c r="AA199" s="22">
        <f ca="1">IFERROR(Table20[[#This Row],[nominal_exposure]]*Table20[[#This Row],[Delta]],0)</f>
        <v>0</v>
      </c>
      <c r="AB199" s="99" t="b">
        <f>IF(Table20[[#This Row],[date_purchased]]&lt;&gt;Table20[[#This Row],[Expiration Date]],FALSE,TRUE)</f>
        <v>0</v>
      </c>
      <c r="AC199" s="30" t="e">
        <f>VLOOKUP(Table20[[#This Row],[Asset]],Table19[#All],3,FALSE)</f>
        <v>#N/A</v>
      </c>
      <c r="AD199" s="4">
        <f>IF(Table20[[#This Row],[Remaining]]&lt;&gt;0,Table20[[#This Row],[Invested]]*Table20[[#This Row],[Remaining]]/Table20[[#This Row],[Number of options]],0)</f>
        <v>0</v>
      </c>
      <c r="AE199" s="4">
        <f ca="1">SUMIF(Table20[Ticker],Table20[[#This Row],[Ticker]],Table20[realized_profit])</f>
        <v>-468</v>
      </c>
      <c r="AF199" s="30" t="str">
        <f>VLOOKUP(Table20[[#This Row],[Strategy]],Table29[#All],7,FALSE)</f>
        <v>Bullish</v>
      </c>
    </row>
    <row r="200" spans="1:32" hidden="1">
      <c r="A200" s="35">
        <v>45674</v>
      </c>
      <c r="B200" s="21" t="e" vm="92">
        <v>#VALUE!</v>
      </c>
      <c r="C200" s="109" t="str" cm="1">
        <f t="array" aca="1" ref="C200" ca="1">_FV(Table20[[#This Row],[Asset]],"Ticker symbol",TRUE)</f>
        <v>NEM</v>
      </c>
      <c r="D200" s="26" cm="1">
        <f t="array" aca="1" ref="D200" ca="1">_FV(Table20[[#This Row],[Asset]],"Price")</f>
        <v>102.705</v>
      </c>
      <c r="E200" s="26">
        <v>50</v>
      </c>
      <c r="F200" s="33">
        <v>1</v>
      </c>
      <c r="G200" s="34">
        <v>1</v>
      </c>
      <c r="H200" s="111" t="s">
        <v>113</v>
      </c>
      <c r="I200" s="31">
        <v>45407</v>
      </c>
      <c r="J200" s="26">
        <v>2.2200000000000002</v>
      </c>
      <c r="K200" s="24">
        <v>0.3251</v>
      </c>
      <c r="L200" s="33">
        <f>VLOOKUP(Table20[[#This Row],[Strategy]],Table29[#All],6,FALSE)</f>
        <v>1</v>
      </c>
      <c r="M200" s="23">
        <v>1</v>
      </c>
      <c r="N200" s="23">
        <v>3.8</v>
      </c>
      <c r="O200" s="23"/>
      <c r="P200" s="23"/>
      <c r="Q200">
        <f>Table20[[#This Row],[Exit1]]*Table20[[#This Row],[ex1_price]]</f>
        <v>3.8</v>
      </c>
      <c r="R200">
        <f>Table20[[#This Row],[Exit2]]*Table20[[#This Row],[ex2_price]]</f>
        <v>0</v>
      </c>
      <c r="S200">
        <f>IFERROR((Table20[[#This Row],[ex2_amnt]]+Table20[[#This Row],[ex1_amnt]])/(Table20[[#This Row],[Exit2]]+Table20[[#This Row],[Exit1]]),0)</f>
        <v>3.8</v>
      </c>
      <c r="T200" s="5">
        <f>(Table20[[#This Row],[Exit1]]+Table20[[#This Row],[Exit2]])*(Table20[[#This Row],[avg_exit_price]]-Table20[[#This Row],[AvePrice]])*100*Table20[[#This Row],[Buy or Sell]]</f>
        <v>157.99999999999997</v>
      </c>
      <c r="U200" s="5">
        <f>Table20[[#This Row],[Number of options]]*Table20[[#This Row],[AvePrice]]*100*Table20[[#This Row],[Buy or Sell]]</f>
        <v>222.00000000000003</v>
      </c>
      <c r="V200" s="8">
        <f>Table20[[#This Row],[Number of options]]-Table20[[#This Row],[Exit1]]-Table20[[#This Row],[Exit2]]</f>
        <v>0</v>
      </c>
      <c r="W200" s="30">
        <f ca="1">(Table20[[#This Row],[Expiration Date]]-TODAY())/365</f>
        <v>-1.1863013698630136</v>
      </c>
      <c r="X200" s="30" t="e">
        <f ca="1">(LN(Table20[[#This Row],[Current Price]]/Table20[[#This Row],[strike_price]]) + ($B$2 + (Table20[[#This Row],[Vol]]^2)/2)*Table20[[#This Row],[Time to expiration]]) / (Table20[[#This Row],[Vol]] * SQRT(Table20[[#This Row],[Time to expiration]]))</f>
        <v>#NUM!</v>
      </c>
      <c r="Y200" s="30" t="e">
        <f ca="1">IF(Table20[[#This Row],[Direction]]&gt;0, _xlfn.NORM.S.DIST(Table20[[#This Row],[d1]], TRUE), _xlfn.NORM.S.DIST(Table20[[#This Row],[d1]], TRUE) - 1) * Table20[[#This Row],[Buy or Sell]]</f>
        <v>#NUM!</v>
      </c>
      <c r="Z200" s="9">
        <f ca="1">Table20[[#This Row],[Remaining]]*Table20[[#This Row],[Current Price]]*100</f>
        <v>0</v>
      </c>
      <c r="AA200" s="22">
        <f ca="1">IFERROR(Table20[[#This Row],[nominal_exposure]]*Table20[[#This Row],[Delta]],0)</f>
        <v>0</v>
      </c>
      <c r="AB200" s="99" t="b">
        <f>IF(Table20[[#This Row],[date_purchased]]&lt;&gt;Table20[[#This Row],[Expiration Date]],FALSE,TRUE)</f>
        <v>0</v>
      </c>
      <c r="AC200" s="30" t="str">
        <f>VLOOKUP(Table20[[#This Row],[Asset]],Table19[#All],3,FALSE)</f>
        <v>Gold and Silver</v>
      </c>
      <c r="AD200" s="4">
        <f>IF(Table20[[#This Row],[Remaining]]&lt;&gt;0,Table20[[#This Row],[Invested]]*Table20[[#This Row],[Remaining]]/Table20[[#This Row],[Number of options]],0)</f>
        <v>0</v>
      </c>
      <c r="AE200" s="4">
        <f ca="1">SUMIF(Table20[Ticker],Table20[[#This Row],[Ticker]],Table20[realized_profit])</f>
        <v>4053</v>
      </c>
      <c r="AF200" s="30" t="str">
        <f>VLOOKUP(Table20[[#This Row],[Strategy]],Table29[#All],7,FALSE)</f>
        <v>Bullish</v>
      </c>
    </row>
    <row r="201" spans="1:32" hidden="1">
      <c r="A201" s="181">
        <v>45541</v>
      </c>
      <c r="B201" s="21" t="e" vm="29">
        <v>#VALUE!</v>
      </c>
      <c r="C201" s="109" t="str" cm="1">
        <f t="array" aca="1" ref="C201" ca="1">_FV(Table20[[#This Row],[Asset]],"Ticker symbol",TRUE)</f>
        <v>NVDA</v>
      </c>
      <c r="D201" s="26" cm="1">
        <f t="array" aca="1" ref="D201" ca="1">_FV(Table20[[#This Row],[Asset]],"Price")</f>
        <v>180.405</v>
      </c>
      <c r="E201" s="26">
        <v>135</v>
      </c>
      <c r="F201" s="33">
        <v>2</v>
      </c>
      <c r="G201" s="34">
        <v>1</v>
      </c>
      <c r="H201" s="34" t="s">
        <v>115</v>
      </c>
      <c r="I201" s="31">
        <v>45531</v>
      </c>
      <c r="J201" s="26">
        <v>4.62</v>
      </c>
      <c r="K201" s="24">
        <v>0.93</v>
      </c>
      <c r="L201" s="33">
        <f>VLOOKUP(Table20[[#This Row],[Strategy]],Table29[#All],6,FALSE)</f>
        <v>1</v>
      </c>
      <c r="M201" s="23">
        <v>2</v>
      </c>
      <c r="N201" s="23"/>
      <c r="O201" s="23"/>
      <c r="P201" s="23"/>
      <c r="Q201">
        <f>Table20[[#This Row],[Exit1]]*Table20[[#This Row],[ex1_price]]</f>
        <v>0</v>
      </c>
      <c r="R201">
        <f>Table20[[#This Row],[Exit2]]*Table20[[#This Row],[ex2_price]]</f>
        <v>0</v>
      </c>
      <c r="S201">
        <f>IFERROR((Table20[[#This Row],[ex2_amnt]]+Table20[[#This Row],[ex1_amnt]])/(Table20[[#This Row],[Exit2]]+Table20[[#This Row],[Exit1]]),0)</f>
        <v>0</v>
      </c>
      <c r="T201" s="5">
        <f>(Table20[[#This Row],[Exit1]]+Table20[[#This Row],[Exit2]])*(Table20[[#This Row],[avg_exit_price]]-Table20[[#This Row],[AvePrice]])*100*Table20[[#This Row],[Buy or Sell]]</f>
        <v>-924</v>
      </c>
      <c r="U201" s="5">
        <f>Table20[[#This Row],[Number of options]]*Table20[[#This Row],[AvePrice]]*100*Table20[[#This Row],[Buy or Sell]]</f>
        <v>924</v>
      </c>
      <c r="V201" s="8">
        <f>Table20[[#This Row],[Number of options]]-Table20[[#This Row],[Exit1]]-Table20[[#This Row],[Exit2]]</f>
        <v>0</v>
      </c>
      <c r="W201" s="30">
        <f ca="1">(Table20[[#This Row],[Expiration Date]]-TODAY())/365</f>
        <v>-1.5506849315068494</v>
      </c>
      <c r="X201" s="30" t="e">
        <f ca="1">(LN(Table20[[#This Row],[Current Price]]/Table20[[#This Row],[strike_price]]) + ($B$2 + (Table20[[#This Row],[Vol]]^2)/2)*Table20[[#This Row],[Time to expiration]]) / (Table20[[#This Row],[Vol]] * SQRT(Table20[[#This Row],[Time to expiration]]))</f>
        <v>#NUM!</v>
      </c>
      <c r="Y201" s="30" t="e">
        <f ca="1">IF(Table20[[#This Row],[Direction]]&gt;0, _xlfn.NORM.S.DIST(Table20[[#This Row],[d1]], TRUE), _xlfn.NORM.S.DIST(Table20[[#This Row],[d1]], TRUE) - 1) * Table20[[#This Row],[Buy or Sell]]</f>
        <v>#NUM!</v>
      </c>
      <c r="Z201" s="9">
        <f ca="1">Table20[[#This Row],[Remaining]]*Table20[[#This Row],[Current Price]]*100</f>
        <v>0</v>
      </c>
      <c r="AA201" s="22">
        <f ca="1">IFERROR(Table20[[#This Row],[nominal_exposure]]*Table20[[#This Row],[Delta]],0)</f>
        <v>0</v>
      </c>
      <c r="AB201" s="30" t="b">
        <f>IF(Table20[[#This Row],[date_purchased]]&lt;&gt;Table20[[#This Row],[Expiration Date]],FALSE,TRUE)</f>
        <v>0</v>
      </c>
      <c r="AC201" s="30" t="str">
        <f>VLOOKUP(Table20[[#This Row],[Asset]],Table19[#All],3,FALSE)</f>
        <v>AI</v>
      </c>
      <c r="AD201" s="30">
        <f>IF(Table20[[#This Row],[Remaining]]&lt;&gt;0,Table20[[#This Row],[Invested]]*Table20[[#This Row],[Remaining]]/Table20[[#This Row],[Number of options]],0)</f>
        <v>0</v>
      </c>
      <c r="AE201" s="30">
        <f ca="1">SUMIF(Table20[Ticker],Table20[[#This Row],[Ticker]],Table20[realized_profit])</f>
        <v>-637.99999999999955</v>
      </c>
      <c r="AF201" s="30" t="str">
        <f>VLOOKUP(Table20[[#This Row],[Strategy]],Table29[#All],7,FALSE)</f>
        <v>Bullish</v>
      </c>
    </row>
    <row r="202" spans="1:32" hidden="1">
      <c r="A202" s="35">
        <v>45520</v>
      </c>
      <c r="B202" s="21" t="e" vm="64">
        <v>#VALUE!</v>
      </c>
      <c r="C202" s="109" t="str" cm="1">
        <f t="array" aca="1" ref="C202" ca="1">_FV(Table20[[#This Row],[Asset]],"Ticker symbol",TRUE)</f>
        <v>LULU</v>
      </c>
      <c r="D202" s="26" cm="1">
        <f t="array" aca="1" ref="D202" ca="1">_FV(Table20[[#This Row],[Asset]],"Price")</f>
        <v>159.22</v>
      </c>
      <c r="E202" s="26">
        <v>260</v>
      </c>
      <c r="F202" s="33">
        <v>1</v>
      </c>
      <c r="G202" s="34">
        <v>-1</v>
      </c>
      <c r="H202" s="34" t="s">
        <v>115</v>
      </c>
      <c r="I202" s="31">
        <v>45517</v>
      </c>
      <c r="J202" s="26">
        <v>4.41</v>
      </c>
      <c r="K202" s="24">
        <v>0.46</v>
      </c>
      <c r="L202" s="33">
        <f>VLOOKUP(Table20[[#This Row],[Strategy]],Table29[#All],6,FALSE)</f>
        <v>1</v>
      </c>
      <c r="M202" s="23">
        <v>1</v>
      </c>
      <c r="N202" s="23">
        <v>5.54</v>
      </c>
      <c r="O202" s="23"/>
      <c r="P202" s="23"/>
      <c r="Q202">
        <f>Table20[[#This Row],[Exit1]]*Table20[[#This Row],[ex1_price]]</f>
        <v>5.54</v>
      </c>
      <c r="R202">
        <f>Table20[[#This Row],[Exit2]]*Table20[[#This Row],[ex2_price]]</f>
        <v>0</v>
      </c>
      <c r="S202">
        <f>IFERROR((Table20[[#This Row],[ex2_amnt]]+Table20[[#This Row],[ex1_amnt]])/(Table20[[#This Row],[Exit2]]+Table20[[#This Row],[Exit1]]),0)</f>
        <v>5.54</v>
      </c>
      <c r="T202" s="5">
        <f>(Table20[[#This Row],[Exit1]]+Table20[[#This Row],[Exit2]])*(Table20[[#This Row],[avg_exit_price]]-Table20[[#This Row],[AvePrice]])*100*Table20[[#This Row],[Buy or Sell]]</f>
        <v>-112.99999999999999</v>
      </c>
      <c r="U202" s="5">
        <f>Table20[[#This Row],[Number of options]]*Table20[[#This Row],[AvePrice]]*100*Table20[[#This Row],[Buy or Sell]]</f>
        <v>-441</v>
      </c>
      <c r="V202" s="8">
        <f>Table20[[#This Row],[Number of options]]-Table20[[#This Row],[Exit1]]-Table20[[#This Row],[Exit2]]</f>
        <v>0</v>
      </c>
      <c r="W202" s="30">
        <f ca="1">(Table20[[#This Row],[Expiration Date]]-TODAY())/365</f>
        <v>-1.6082191780821917</v>
      </c>
      <c r="X202" s="30" t="e">
        <f ca="1">(LN(Table20[[#This Row],[Current Price]]/Table20[[#This Row],[strike_price]]) + ($B$2 + (Table20[[#This Row],[Vol]]^2)/2)*Table20[[#This Row],[Time to expiration]]) / (Table20[[#This Row],[Vol]] * SQRT(Table20[[#This Row],[Time to expiration]]))</f>
        <v>#NUM!</v>
      </c>
      <c r="Y202" s="30" t="e">
        <f ca="1">IF(Table20[[#This Row],[Direction]]&gt;0, _xlfn.NORM.S.DIST(Table20[[#This Row],[d1]], TRUE), _xlfn.NORM.S.DIST(Table20[[#This Row],[d1]], TRUE) - 1) * Table20[[#This Row],[Buy or Sell]]</f>
        <v>#NUM!</v>
      </c>
      <c r="Z202" s="9">
        <f ca="1">Table20[[#This Row],[Remaining]]*Table20[[#This Row],[Current Price]]*100</f>
        <v>0</v>
      </c>
      <c r="AA202" s="22">
        <f ca="1">IFERROR(Table20[[#This Row],[nominal_exposure]]*Table20[[#This Row],[Delta]],0)</f>
        <v>0</v>
      </c>
      <c r="AB202" s="30" t="b">
        <f>IF(Table20[[#This Row],[date_purchased]]&lt;&gt;Table20[[#This Row],[Expiration Date]],FALSE,TRUE)</f>
        <v>0</v>
      </c>
      <c r="AC202" s="30" t="str">
        <f>VLOOKUP(Table20[[#This Row],[Asset]],Table19[#All],3,FALSE)</f>
        <v>Consumer Discretionary</v>
      </c>
      <c r="AD202" s="30">
        <f>IF(Table20[[#This Row],[Remaining]]&lt;&gt;0,Table20[[#This Row],[Invested]]*Table20[[#This Row],[Remaining]]/Table20[[#This Row],[Number of options]],0)</f>
        <v>0</v>
      </c>
      <c r="AE202" s="30">
        <f ca="1">SUMIF(Table20[Ticker],Table20[[#This Row],[Ticker]],Table20[realized_profit])</f>
        <v>-1317.0000000000002</v>
      </c>
      <c r="AF202" s="30" t="str">
        <f>VLOOKUP(Table20[[#This Row],[Strategy]],Table29[#All],7,FALSE)</f>
        <v>Bullish</v>
      </c>
    </row>
    <row r="203" spans="1:32" hidden="1">
      <c r="A203" s="35">
        <v>45527</v>
      </c>
      <c r="B203" s="21" t="e" vm="64">
        <v>#VALUE!</v>
      </c>
      <c r="C203" s="109" t="str" cm="1">
        <f t="array" aca="1" ref="C203" ca="1">_FV(Table20[[#This Row],[Asset]],"Ticker symbol",TRUE)</f>
        <v>LULU</v>
      </c>
      <c r="D203" s="26" cm="1">
        <f t="array" aca="1" ref="D203" ca="1">_FV(Table20[[#This Row],[Asset]],"Price")</f>
        <v>159.22</v>
      </c>
      <c r="E203" s="26">
        <v>260</v>
      </c>
      <c r="F203" s="33">
        <v>1</v>
      </c>
      <c r="G203" s="34">
        <v>1</v>
      </c>
      <c r="H203" s="34" t="s">
        <v>115</v>
      </c>
      <c r="I203" s="31">
        <v>45517</v>
      </c>
      <c r="J203" s="26">
        <v>7.01</v>
      </c>
      <c r="K203" s="24">
        <v>0.4</v>
      </c>
      <c r="L203" s="33">
        <f>VLOOKUP(Table20[[#This Row],[Strategy]],Table29[#All],6,FALSE)</f>
        <v>1</v>
      </c>
      <c r="M203" s="23">
        <v>1</v>
      </c>
      <c r="N203" s="23">
        <v>7.84</v>
      </c>
      <c r="O203" s="23"/>
      <c r="P203" s="23"/>
      <c r="Q203">
        <f>Table20[[#This Row],[Exit1]]*Table20[[#This Row],[ex1_price]]</f>
        <v>7.84</v>
      </c>
      <c r="R203">
        <f>Table20[[#This Row],[Exit2]]*Table20[[#This Row],[ex2_price]]</f>
        <v>0</v>
      </c>
      <c r="S203">
        <f>IFERROR((Table20[[#This Row],[ex2_amnt]]+Table20[[#This Row],[ex1_amnt]])/(Table20[[#This Row],[Exit2]]+Table20[[#This Row],[Exit1]]),0)</f>
        <v>7.84</v>
      </c>
      <c r="T203" s="5">
        <f>(Table20[[#This Row],[Exit1]]+Table20[[#This Row],[Exit2]])*(Table20[[#This Row],[avg_exit_price]]-Table20[[#This Row],[AvePrice]])*100*Table20[[#This Row],[Buy or Sell]]</f>
        <v>83</v>
      </c>
      <c r="U203" s="5">
        <f>Table20[[#This Row],[Number of options]]*Table20[[#This Row],[AvePrice]]*100*Table20[[#This Row],[Buy or Sell]]</f>
        <v>701</v>
      </c>
      <c r="V203" s="8">
        <f>Table20[[#This Row],[Number of options]]-Table20[[#This Row],[Exit1]]-Table20[[#This Row],[Exit2]]</f>
        <v>0</v>
      </c>
      <c r="W203" s="30">
        <f ca="1">(Table20[[#This Row],[Expiration Date]]-TODAY())/365</f>
        <v>-1.5890410958904109</v>
      </c>
      <c r="X203" s="30" t="e">
        <f ca="1">(LN(Table20[[#This Row],[Current Price]]/Table20[[#This Row],[strike_price]]) + ($B$2 + (Table20[[#This Row],[Vol]]^2)/2)*Table20[[#This Row],[Time to expiration]]) / (Table20[[#This Row],[Vol]] * SQRT(Table20[[#This Row],[Time to expiration]]))</f>
        <v>#NUM!</v>
      </c>
      <c r="Y203" s="30" t="e">
        <f ca="1">IF(Table20[[#This Row],[Direction]]&gt;0, _xlfn.NORM.S.DIST(Table20[[#This Row],[d1]], TRUE), _xlfn.NORM.S.DIST(Table20[[#This Row],[d1]], TRUE) - 1) * Table20[[#This Row],[Buy or Sell]]</f>
        <v>#NUM!</v>
      </c>
      <c r="Z203" s="9">
        <f ca="1">Table20[[#This Row],[Remaining]]*Table20[[#This Row],[Current Price]]*100</f>
        <v>0</v>
      </c>
      <c r="AA203" s="22">
        <f ca="1">IFERROR(Table20[[#This Row],[nominal_exposure]]*Table20[[#This Row],[Delta]],0)</f>
        <v>0</v>
      </c>
      <c r="AB203" s="30" t="b">
        <f>IF(Table20[[#This Row],[date_purchased]]&lt;&gt;Table20[[#This Row],[Expiration Date]],FALSE,TRUE)</f>
        <v>0</v>
      </c>
      <c r="AC203" s="30" t="str">
        <f>VLOOKUP(Table20[[#This Row],[Asset]],Table19[#All],3,FALSE)</f>
        <v>Consumer Discretionary</v>
      </c>
      <c r="AD203" s="30">
        <f>IF(Table20[[#This Row],[Remaining]]&lt;&gt;0,Table20[[#This Row],[Invested]]*Table20[[#This Row],[Remaining]]/Table20[[#This Row],[Number of options]],0)</f>
        <v>0</v>
      </c>
      <c r="AE203" s="30">
        <f ca="1">SUMIF(Table20[Ticker],Table20[[#This Row],[Ticker]],Table20[realized_profit])</f>
        <v>-1317.0000000000002</v>
      </c>
      <c r="AF203" s="30" t="str">
        <f>VLOOKUP(Table20[[#This Row],[Strategy]],Table29[#All],7,FALSE)</f>
        <v>Bullish</v>
      </c>
    </row>
    <row r="204" spans="1:32" hidden="1">
      <c r="A204" s="118">
        <v>45534</v>
      </c>
      <c r="B204" s="21" t="e" vm="129">
        <v>#VALUE!</v>
      </c>
      <c r="C204" s="109" t="str" cm="1">
        <f t="array" aca="1" ref="C204" ca="1">_FV(Table20[[#This Row],[Asset]],"Ticker symbol",TRUE)</f>
        <v>MRVL</v>
      </c>
      <c r="D204" s="26" cm="1">
        <f t="array" aca="1" ref="D204" ca="1">_FV(Table20[[#This Row],[Asset]],"Price")</f>
        <v>96.84</v>
      </c>
      <c r="E204" s="26">
        <v>75</v>
      </c>
      <c r="F204" s="33">
        <v>8</v>
      </c>
      <c r="G204" s="34">
        <v>-1</v>
      </c>
      <c r="H204" s="34" t="s">
        <v>115</v>
      </c>
      <c r="I204" s="31">
        <v>45531</v>
      </c>
      <c r="J204" s="26">
        <v>1.29</v>
      </c>
      <c r="K204" s="24">
        <v>1.33</v>
      </c>
      <c r="L204" s="33">
        <f>VLOOKUP(Table20[[#This Row],[Strategy]],Table29[#All],6,FALSE)</f>
        <v>1</v>
      </c>
      <c r="M204" s="23">
        <v>8</v>
      </c>
      <c r="N204" s="23">
        <v>1.21</v>
      </c>
      <c r="O204" s="23"/>
      <c r="P204" s="23"/>
      <c r="Q204">
        <f>Table20[[#This Row],[Exit1]]*Table20[[#This Row],[ex1_price]]</f>
        <v>9.68</v>
      </c>
      <c r="R204">
        <f>Table20[[#This Row],[Exit2]]*Table20[[#This Row],[ex2_price]]</f>
        <v>0</v>
      </c>
      <c r="S204">
        <f>IFERROR((Table20[[#This Row],[ex2_amnt]]+Table20[[#This Row],[ex1_amnt]])/(Table20[[#This Row],[Exit2]]+Table20[[#This Row],[Exit1]]),0)</f>
        <v>1.21</v>
      </c>
      <c r="T204" s="5">
        <f>(Table20[[#This Row],[Exit1]]+Table20[[#This Row],[Exit2]])*(Table20[[#This Row],[avg_exit_price]]-Table20[[#This Row],[AvePrice]])*100*Table20[[#This Row],[Buy or Sell]]</f>
        <v>64.000000000000057</v>
      </c>
      <c r="U204" s="5">
        <f>Table20[[#This Row],[Number of options]]*Table20[[#This Row],[AvePrice]]*100*Table20[[#This Row],[Buy or Sell]]</f>
        <v>-1032</v>
      </c>
      <c r="V204" s="8">
        <f>Table20[[#This Row],[Number of options]]-Table20[[#This Row],[Exit1]]-Table20[[#This Row],[Exit2]]</f>
        <v>0</v>
      </c>
      <c r="W204" s="30">
        <f ca="1">(Table20[[#This Row],[Expiration Date]]-TODAY())/365</f>
        <v>-1.5698630136986302</v>
      </c>
      <c r="X204" s="30" t="e">
        <f ca="1">(LN(Table20[[#This Row],[Current Price]]/Table20[[#This Row],[strike_price]]) + ($B$2 + (Table20[[#This Row],[Vol]]^2)/2)*Table20[[#This Row],[Time to expiration]]) / (Table20[[#This Row],[Vol]] * SQRT(Table20[[#This Row],[Time to expiration]]))</f>
        <v>#NUM!</v>
      </c>
      <c r="Y204" s="30" t="e">
        <f ca="1">IF(Table20[[#This Row],[Direction]]&gt;0, _xlfn.NORM.S.DIST(Table20[[#This Row],[d1]], TRUE), _xlfn.NORM.S.DIST(Table20[[#This Row],[d1]], TRUE) - 1) * Table20[[#This Row],[Buy or Sell]]</f>
        <v>#NUM!</v>
      </c>
      <c r="Z204" s="9">
        <f ca="1">Table20[[#This Row],[Remaining]]*Table20[[#This Row],[Current Price]]*100</f>
        <v>0</v>
      </c>
      <c r="AA204" s="22">
        <f ca="1">IFERROR(Table20[[#This Row],[nominal_exposure]]*Table20[[#This Row],[Delta]],0)</f>
        <v>0</v>
      </c>
      <c r="AB204" s="30" t="b">
        <f>IF(Table20[[#This Row],[date_purchased]]&lt;&gt;Table20[[#This Row],[Expiration Date]],FALSE,TRUE)</f>
        <v>0</v>
      </c>
      <c r="AC204" s="30" t="str">
        <f>VLOOKUP(Table20[[#This Row],[Asset]],Table19[#All],3,FALSE)</f>
        <v>AI</v>
      </c>
      <c r="AD204" s="30">
        <f>IF(Table20[[#This Row],[Remaining]]&lt;&gt;0,Table20[[#This Row],[Invested]]*Table20[[#This Row],[Remaining]]/Table20[[#This Row],[Number of options]],0)</f>
        <v>0</v>
      </c>
      <c r="AE204" s="30">
        <f ca="1">SUMIF(Table20[Ticker],Table20[[#This Row],[Ticker]],Table20[realized_profit])</f>
        <v>-1014.0000000000001</v>
      </c>
      <c r="AF204" s="30" t="str">
        <f>VLOOKUP(Table20[[#This Row],[Strategy]],Table29[#All],7,FALSE)</f>
        <v>Bullish</v>
      </c>
    </row>
    <row r="205" spans="1:32" hidden="1">
      <c r="A205" s="181">
        <v>45555</v>
      </c>
      <c r="B205" s="21" t="e" vm="85">
        <v>#VALUE!</v>
      </c>
      <c r="C205" s="109" t="str" cm="1">
        <f t="array" aca="1" ref="C205" ca="1">_FV(Table20[[#This Row],[Asset]],"Ticker symbol",TRUE)</f>
        <v>HOOD</v>
      </c>
      <c r="D205" s="26" cm="1">
        <f t="array" aca="1" ref="D205" ca="1">_FV(Table20[[#This Row],[Asset]],"Price")</f>
        <v>73.7517</v>
      </c>
      <c r="E205" s="26">
        <v>22</v>
      </c>
      <c r="F205" s="33">
        <v>1</v>
      </c>
      <c r="G205" s="34">
        <v>1</v>
      </c>
      <c r="H205" s="110" t="s">
        <v>113</v>
      </c>
      <c r="I205" s="31">
        <v>45476</v>
      </c>
      <c r="J205" s="26">
        <v>3.3</v>
      </c>
      <c r="K205" s="24">
        <v>0.64229999999999998</v>
      </c>
      <c r="L205" s="33">
        <f>VLOOKUP(Table20[[#This Row],[Strategy]],Table29[#All],6,FALSE)</f>
        <v>1</v>
      </c>
      <c r="M205" s="23">
        <v>1</v>
      </c>
      <c r="N205" s="23">
        <v>0.13</v>
      </c>
      <c r="O205" s="23"/>
      <c r="P205" s="23"/>
      <c r="Q205">
        <f>Table20[[#This Row],[Exit1]]*Table20[[#This Row],[ex1_price]]</f>
        <v>0.13</v>
      </c>
      <c r="R205">
        <f>Table20[[#This Row],[Exit2]]*Table20[[#This Row],[ex2_price]]</f>
        <v>0</v>
      </c>
      <c r="S205">
        <f>IFERROR((Table20[[#This Row],[ex2_amnt]]+Table20[[#This Row],[ex1_amnt]])/(Table20[[#This Row],[Exit2]]+Table20[[#This Row],[Exit1]]),0)</f>
        <v>0.13</v>
      </c>
      <c r="T205" s="5">
        <f>(Table20[[#This Row],[Exit1]]+Table20[[#This Row],[Exit2]])*(Table20[[#This Row],[avg_exit_price]]-Table20[[#This Row],[AvePrice]])*100*Table20[[#This Row],[Buy or Sell]]</f>
        <v>-317</v>
      </c>
      <c r="U205" s="5">
        <f>Table20[[#This Row],[Number of options]]*Table20[[#This Row],[AvePrice]]*100*Table20[[#This Row],[Buy or Sell]]</f>
        <v>330</v>
      </c>
      <c r="V205" s="8">
        <f>Table20[[#This Row],[Number of options]]-Table20[[#This Row],[Exit1]]-Table20[[#This Row],[Exit2]]</f>
        <v>0</v>
      </c>
      <c r="W205" s="30">
        <f ca="1">(Table20[[#This Row],[Expiration Date]]-TODAY())/365</f>
        <v>-1.5123287671232877</v>
      </c>
      <c r="X205" s="30" t="e">
        <f ca="1">(LN(Table20[[#This Row],[Current Price]]/Table20[[#This Row],[strike_price]]) + ($B$2 + (Table20[[#This Row],[Vol]]^2)/2)*Table20[[#This Row],[Time to expiration]]) / (Table20[[#This Row],[Vol]] * SQRT(Table20[[#This Row],[Time to expiration]]))</f>
        <v>#NUM!</v>
      </c>
      <c r="Y205" s="30" t="e">
        <f ca="1">IF(Table20[[#This Row],[Direction]]&gt;0, _xlfn.NORM.S.DIST(Table20[[#This Row],[d1]], TRUE), _xlfn.NORM.S.DIST(Table20[[#This Row],[d1]], TRUE) - 1) * Table20[[#This Row],[Buy or Sell]]</f>
        <v>#NUM!</v>
      </c>
      <c r="Z205" s="9">
        <f ca="1">Table20[[#This Row],[Remaining]]*Table20[[#This Row],[Current Price]]*100</f>
        <v>0</v>
      </c>
      <c r="AA205" s="22">
        <f ca="1">IFERROR(Table20[[#This Row],[nominal_exposure]]*Table20[[#This Row],[Delta]],0)</f>
        <v>0</v>
      </c>
      <c r="AB205" s="99" t="b">
        <f>IF(Table20[[#This Row],[date_purchased]]&lt;&gt;Table20[[#This Row],[Expiration Date]],FALSE,TRUE)</f>
        <v>0</v>
      </c>
      <c r="AC205" s="30" t="str">
        <f>VLOOKUP(Table20[[#This Row],[Asset]],Table19[#All],3,FALSE)</f>
        <v>Financials</v>
      </c>
      <c r="AD205" s="4">
        <f>IF(Table20[[#This Row],[Remaining]]&lt;&gt;0,Table20[[#This Row],[Invested]]*Table20[[#This Row],[Remaining]]/Table20[[#This Row],[Number of options]],0)</f>
        <v>0</v>
      </c>
      <c r="AE205" s="4">
        <f ca="1">SUMIF(Table20[Ticker],Table20[[#This Row],[Ticker]],Table20[realized_profit])</f>
        <v>-371</v>
      </c>
      <c r="AF205" s="30" t="str">
        <f>VLOOKUP(Table20[[#This Row],[Strategy]],Table29[#All],7,FALSE)</f>
        <v>Bullish</v>
      </c>
    </row>
    <row r="206" spans="1:32" hidden="1">
      <c r="A206" s="180">
        <v>45576</v>
      </c>
      <c r="B206" s="21" t="e" vm="96">
        <v>#VALUE!</v>
      </c>
      <c r="C206" s="109" t="str" cm="1">
        <f t="array" aca="1" ref="C206" ca="1">_FV(Table20[[#This Row],[Asset]],"Ticker symbol",TRUE)</f>
        <v>SPY</v>
      </c>
      <c r="D206" s="26" cm="1">
        <f t="array" aca="1" ref="D206" ca="1">_FV(Table20[[#This Row],[Asset]],"Price")</f>
        <v>658.59</v>
      </c>
      <c r="E206" s="26">
        <v>550</v>
      </c>
      <c r="F206" s="33">
        <v>4</v>
      </c>
      <c r="G206" s="34">
        <v>-1</v>
      </c>
      <c r="H206" s="34" t="s">
        <v>112</v>
      </c>
      <c r="I206" s="31">
        <v>45565</v>
      </c>
      <c r="J206" s="26">
        <v>1.05</v>
      </c>
      <c r="K206" s="24">
        <v>0.186</v>
      </c>
      <c r="L206" s="33">
        <f>VLOOKUP(Table20[[#This Row],[Strategy]],Table29[#All],6,FALSE)</f>
        <v>-1</v>
      </c>
      <c r="M206" s="23">
        <v>4</v>
      </c>
      <c r="N206" s="23">
        <v>0.76</v>
      </c>
      <c r="O206" s="23"/>
      <c r="P206" s="23"/>
      <c r="Q206">
        <f>Table20[[#This Row],[Exit1]]*Table20[[#This Row],[ex1_price]]</f>
        <v>3.04</v>
      </c>
      <c r="R206">
        <f>Table20[[#This Row],[Exit2]]*Table20[[#This Row],[ex2_price]]</f>
        <v>0</v>
      </c>
      <c r="S206">
        <f>IFERROR((Table20[[#This Row],[ex2_amnt]]+Table20[[#This Row],[ex1_amnt]])/(Table20[[#This Row],[Exit2]]+Table20[[#This Row],[Exit1]]),0)</f>
        <v>0.76</v>
      </c>
      <c r="T206" s="5">
        <f>(Table20[[#This Row],[Exit1]]+Table20[[#This Row],[Exit2]])*(Table20[[#This Row],[avg_exit_price]]-Table20[[#This Row],[AvePrice]])*100*Table20[[#This Row],[Buy or Sell]]</f>
        <v>116.00000000000001</v>
      </c>
      <c r="U206" s="5">
        <f>Table20[[#This Row],[Number of options]]*Table20[[#This Row],[AvePrice]]*100*Table20[[#This Row],[Buy or Sell]]</f>
        <v>-420</v>
      </c>
      <c r="V206" s="8">
        <f>Table20[[#This Row],[Number of options]]-Table20[[#This Row],[Exit1]]-Table20[[#This Row],[Exit2]]</f>
        <v>0</v>
      </c>
      <c r="W206" s="30">
        <f ca="1">(Table20[[#This Row],[Expiration Date]]-TODAY())/365</f>
        <v>-1.4547945205479451</v>
      </c>
      <c r="X206" s="30" t="e">
        <f ca="1">(LN(Table20[[#This Row],[Current Price]]/Table20[[#This Row],[strike_price]]) + ($B$2 + (Table20[[#This Row],[Vol]]^2)/2)*Table20[[#This Row],[Time to expiration]]) / (Table20[[#This Row],[Vol]] * SQRT(Table20[[#This Row],[Time to expiration]]))</f>
        <v>#NUM!</v>
      </c>
      <c r="Y206" s="30" t="e">
        <f ca="1">IF(Table20[[#This Row],[Direction]]&gt;0, _xlfn.NORM.S.DIST(Table20[[#This Row],[d1]], TRUE), _xlfn.NORM.S.DIST(Table20[[#This Row],[d1]], TRUE) - 1) * Table20[[#This Row],[Buy or Sell]]</f>
        <v>#NUM!</v>
      </c>
      <c r="Z206" s="9">
        <f ca="1">Table20[[#This Row],[Remaining]]*Table20[[#This Row],[Current Price]]*100</f>
        <v>0</v>
      </c>
      <c r="AA206" s="22">
        <f ca="1">IFERROR(Table20[[#This Row],[nominal_exposure]]*Table20[[#This Row],[Delta]],0)</f>
        <v>0</v>
      </c>
      <c r="AB206" s="30" t="b">
        <f>IF(Table20[[#This Row],[date_purchased]]&lt;&gt;Table20[[#This Row],[Expiration Date]],FALSE,TRUE)</f>
        <v>0</v>
      </c>
      <c r="AC206" s="30" t="str">
        <f>VLOOKUP(Table20[[#This Row],[Asset]],Table19[#All],3,FALSE)</f>
        <v>Market</v>
      </c>
      <c r="AD206" s="30">
        <f>IF(Table20[[#This Row],[Remaining]]&lt;&gt;0,Table20[[#This Row],[Invested]]*Table20[[#This Row],[Remaining]]/Table20[[#This Row],[Number of options]],0)</f>
        <v>0</v>
      </c>
      <c r="AE206" s="30">
        <f ca="1">SUMIF(Table20[Ticker],Table20[[#This Row],[Ticker]],Table20[realized_profit])</f>
        <v>-5077</v>
      </c>
      <c r="AF206" s="30" t="str">
        <f>VLOOKUP(Table20[[#This Row],[Strategy]],Table29[#All],7,FALSE)</f>
        <v>Bearish</v>
      </c>
    </row>
    <row r="207" spans="1:32" hidden="1">
      <c r="A207" s="35">
        <v>45520</v>
      </c>
      <c r="B207" s="21" t="e" vm="80">
        <v>#VALUE!</v>
      </c>
      <c r="C207" s="109" t="str" cm="1">
        <f t="array" aca="1" ref="C207" ca="1">_FV(Table20[[#This Row],[Asset]],"Ticker symbol",TRUE)</f>
        <v>PYPL</v>
      </c>
      <c r="D207" s="26" cm="1">
        <f t="array" aca="1" ref="D207" ca="1">_FV(Table20[[#This Row],[Asset]],"Price")</f>
        <v>45.11</v>
      </c>
      <c r="E207" s="26">
        <v>65</v>
      </c>
      <c r="F207" s="33">
        <v>1</v>
      </c>
      <c r="G207" s="34">
        <v>1</v>
      </c>
      <c r="H207" s="34" t="s">
        <v>113</v>
      </c>
      <c r="I207" s="31">
        <v>45513</v>
      </c>
      <c r="J207" s="26">
        <v>1.49</v>
      </c>
      <c r="K207" s="24">
        <v>0.34</v>
      </c>
      <c r="L207" s="33">
        <f>VLOOKUP(Table20[[#This Row],[Strategy]],Table29[#All],6,FALSE)</f>
        <v>1</v>
      </c>
      <c r="M207" s="23">
        <v>1</v>
      </c>
      <c r="N207" s="23">
        <v>0.69</v>
      </c>
      <c r="O207" s="23"/>
      <c r="P207" s="23"/>
      <c r="Q207">
        <f>Table20[[#This Row],[Exit1]]*Table20[[#This Row],[ex1_price]]</f>
        <v>0.69</v>
      </c>
      <c r="R207">
        <f>Table20[[#This Row],[Exit2]]*Table20[[#This Row],[ex2_price]]</f>
        <v>0</v>
      </c>
      <c r="S207">
        <f>IFERROR((Table20[[#This Row],[ex2_amnt]]+Table20[[#This Row],[ex1_amnt]])/(Table20[[#This Row],[Exit2]]+Table20[[#This Row],[Exit1]]),0)</f>
        <v>0.69</v>
      </c>
      <c r="T207" s="5">
        <f>(Table20[[#This Row],[Exit1]]+Table20[[#This Row],[Exit2]])*(Table20[[#This Row],[avg_exit_price]]-Table20[[#This Row],[AvePrice]])*100*Table20[[#This Row],[Buy or Sell]]</f>
        <v>-80</v>
      </c>
      <c r="U207" s="5">
        <f>Table20[[#This Row],[Number of options]]*Table20[[#This Row],[AvePrice]]*100*Table20[[#This Row],[Buy or Sell]]</f>
        <v>149</v>
      </c>
      <c r="V207" s="8">
        <f>Table20[[#This Row],[Number of options]]-Table20[[#This Row],[Exit1]]-Table20[[#This Row],[Exit2]]</f>
        <v>0</v>
      </c>
      <c r="W207" s="30">
        <f ca="1">(Table20[[#This Row],[Expiration Date]]-TODAY())/365</f>
        <v>-1.6082191780821917</v>
      </c>
      <c r="X207" s="30" t="e">
        <f ca="1">(LN(Table20[[#This Row],[Current Price]]/Table20[[#This Row],[strike_price]]) + ($B$2 + (Table20[[#This Row],[Vol]]^2)/2)*Table20[[#This Row],[Time to expiration]]) / (Table20[[#This Row],[Vol]] * SQRT(Table20[[#This Row],[Time to expiration]]))</f>
        <v>#NUM!</v>
      </c>
      <c r="Y207" s="30" t="e">
        <f ca="1">IF(Table20[[#This Row],[Direction]]&gt;0, _xlfn.NORM.S.DIST(Table20[[#This Row],[d1]], TRUE), _xlfn.NORM.S.DIST(Table20[[#This Row],[d1]], TRUE) - 1) * Table20[[#This Row],[Buy or Sell]]</f>
        <v>#NUM!</v>
      </c>
      <c r="Z207" s="9">
        <f ca="1">Table20[[#This Row],[Remaining]]*Table20[[#This Row],[Current Price]]*100</f>
        <v>0</v>
      </c>
      <c r="AA207" s="22">
        <f ca="1">IFERROR(Table20[[#This Row],[nominal_exposure]]*Table20[[#This Row],[Delta]],0)</f>
        <v>0</v>
      </c>
      <c r="AB207" s="30" t="b">
        <f>IF(Table20[[#This Row],[date_purchased]]&lt;&gt;Table20[[#This Row],[Expiration Date]],FALSE,TRUE)</f>
        <v>0</v>
      </c>
      <c r="AC207" s="30" t="str">
        <f>VLOOKUP(Table20[[#This Row],[Asset]],Table19[#All],3,FALSE)</f>
        <v>Financials</v>
      </c>
      <c r="AD207" s="30">
        <f>IF(Table20[[#This Row],[Remaining]]&lt;&gt;0,Table20[[#This Row],[Invested]]*Table20[[#This Row],[Remaining]]/Table20[[#This Row],[Number of options]],0)</f>
        <v>0</v>
      </c>
      <c r="AE207" s="30">
        <f ca="1">SUMIF(Table20[Ticker],Table20[[#This Row],[Ticker]],Table20[realized_profit])</f>
        <v>208.99999999999997</v>
      </c>
      <c r="AF207" s="30" t="str">
        <f>VLOOKUP(Table20[[#This Row],[Strategy]],Table29[#All],7,FALSE)</f>
        <v>Bullish</v>
      </c>
    </row>
    <row r="208" spans="1:32" hidden="1">
      <c r="A208" s="35">
        <v>45555</v>
      </c>
      <c r="B208" s="21" t="e" vm="151">
        <v>#VALUE!</v>
      </c>
      <c r="C208" s="109" t="str" cm="1">
        <f t="array" aca="1" ref="C208" ca="1">_FV(Table20[[#This Row],[Asset]],"Ticker symbol",TRUE)</f>
        <v>TLT</v>
      </c>
      <c r="D208" s="26" cm="1">
        <f t="array" aca="1" ref="D208" ca="1">_FV(Table20[[#This Row],[Asset]],"Price")</f>
        <v>86.743499999999997</v>
      </c>
      <c r="E208" s="26">
        <v>98</v>
      </c>
      <c r="F208" s="33">
        <v>3</v>
      </c>
      <c r="G208" s="34">
        <v>1</v>
      </c>
      <c r="H208" s="34" t="s">
        <v>113</v>
      </c>
      <c r="I208" s="31">
        <v>45518</v>
      </c>
      <c r="J208" s="26">
        <v>1.95</v>
      </c>
      <c r="K208" s="24">
        <v>0.14000000000000001</v>
      </c>
      <c r="L208" s="33">
        <f>VLOOKUP(Table20[[#This Row],[Strategy]],Table29[#All],6,FALSE)</f>
        <v>1</v>
      </c>
      <c r="M208" s="23">
        <v>3</v>
      </c>
      <c r="N208" s="23">
        <v>1.41</v>
      </c>
      <c r="O208" s="23"/>
      <c r="P208" s="23"/>
      <c r="Q208">
        <f>Table20[[#This Row],[Exit1]]*Table20[[#This Row],[ex1_price]]</f>
        <v>4.2299999999999995</v>
      </c>
      <c r="R208">
        <f>Table20[[#This Row],[Exit2]]*Table20[[#This Row],[ex2_price]]</f>
        <v>0</v>
      </c>
      <c r="S208">
        <f>IFERROR((Table20[[#This Row],[ex2_amnt]]+Table20[[#This Row],[ex1_amnt]])/(Table20[[#This Row],[Exit2]]+Table20[[#This Row],[Exit1]]),0)</f>
        <v>1.41</v>
      </c>
      <c r="T208" s="5">
        <f>(Table20[[#This Row],[Exit1]]+Table20[[#This Row],[Exit2]])*(Table20[[#This Row],[avg_exit_price]]-Table20[[#This Row],[AvePrice]])*100*Table20[[#This Row],[Buy or Sell]]</f>
        <v>-162</v>
      </c>
      <c r="U208" s="5">
        <f>Table20[[#This Row],[Number of options]]*Table20[[#This Row],[AvePrice]]*100*Table20[[#This Row],[Buy or Sell]]</f>
        <v>585</v>
      </c>
      <c r="V208" s="8">
        <f>Table20[[#This Row],[Number of options]]-Table20[[#This Row],[Exit1]]-Table20[[#This Row],[Exit2]]</f>
        <v>0</v>
      </c>
      <c r="W208" s="30">
        <f ca="1">(Table20[[#This Row],[Expiration Date]]-TODAY())/365</f>
        <v>-1.5123287671232877</v>
      </c>
      <c r="X208" s="30" t="e">
        <f ca="1">(LN(Table20[[#This Row],[Current Price]]/Table20[[#This Row],[strike_price]]) + ($B$2 + (Table20[[#This Row],[Vol]]^2)/2)*Table20[[#This Row],[Time to expiration]]) / (Table20[[#This Row],[Vol]] * SQRT(Table20[[#This Row],[Time to expiration]]))</f>
        <v>#NUM!</v>
      </c>
      <c r="Y208" s="30" t="e">
        <f ca="1">IF(Table20[[#This Row],[Direction]]&gt;0, _xlfn.NORM.S.DIST(Table20[[#This Row],[d1]], TRUE), _xlfn.NORM.S.DIST(Table20[[#This Row],[d1]], TRUE) - 1) * Table20[[#This Row],[Buy or Sell]]</f>
        <v>#NUM!</v>
      </c>
      <c r="Z208" s="9">
        <f ca="1">Table20[[#This Row],[Remaining]]*Table20[[#This Row],[Current Price]]*100</f>
        <v>0</v>
      </c>
      <c r="AA208" s="22">
        <f ca="1">IFERROR(Table20[[#This Row],[nominal_exposure]]*Table20[[#This Row],[Delta]],0)</f>
        <v>0</v>
      </c>
      <c r="AB208" s="30" t="b">
        <f>IF(Table20[[#This Row],[date_purchased]]&lt;&gt;Table20[[#This Row],[Expiration Date]],FALSE,TRUE)</f>
        <v>0</v>
      </c>
      <c r="AC208" s="30" t="str">
        <f>VLOOKUP(Table20[[#This Row],[Asset]],Table19[#All],3,FALSE)</f>
        <v>Market</v>
      </c>
      <c r="AD208" s="4">
        <f>IF(Table20[[#This Row],[Remaining]]&lt;&gt;0,Table20[[#This Row],[Invested]]*Table20[[#This Row],[Remaining]]/Table20[[#This Row],[Number of options]],0)</f>
        <v>0</v>
      </c>
      <c r="AE208" s="4">
        <f ca="1">SUMIF(Table20[Ticker],Table20[[#This Row],[Ticker]],Table20[realized_profit])</f>
        <v>-3328.3599999999997</v>
      </c>
      <c r="AF208" s="30" t="str">
        <f>VLOOKUP(Table20[[#This Row],[Strategy]],Table29[#All],7,FALSE)</f>
        <v>Bullish</v>
      </c>
    </row>
    <row r="209" spans="1:32" hidden="1">
      <c r="A209" s="118">
        <v>45527</v>
      </c>
      <c r="B209" s="21" t="e" vm="511">
        <v>#VALUE!</v>
      </c>
      <c r="C209" s="109" t="str" cm="1">
        <f t="array" aca="1" ref="C209" ca="1">_FV(Table20[[#This Row],[Asset]],"Ticker symbol",TRUE)</f>
        <v>ARM</v>
      </c>
      <c r="D209" s="26" cm="1">
        <f t="array" aca="1" ref="D209" ca="1">_FV(Table20[[#This Row],[Asset]],"Price")</f>
        <v>157.85</v>
      </c>
      <c r="E209" s="26">
        <v>140</v>
      </c>
      <c r="F209" s="33">
        <v>1</v>
      </c>
      <c r="G209" s="34">
        <v>-1</v>
      </c>
      <c r="H209" s="34" t="s">
        <v>115</v>
      </c>
      <c r="I209" s="31">
        <v>45518</v>
      </c>
      <c r="J209" s="26">
        <v>0.9</v>
      </c>
      <c r="K209" s="24">
        <v>0.68</v>
      </c>
      <c r="L209" s="33">
        <f>VLOOKUP(Table20[[#This Row],[Strategy]],Table29[#All],6,FALSE)</f>
        <v>1</v>
      </c>
      <c r="M209" s="23">
        <v>1</v>
      </c>
      <c r="N209" s="23">
        <v>0.23</v>
      </c>
      <c r="O209" s="23"/>
      <c r="P209" s="23"/>
      <c r="Q209">
        <f>Table20[[#This Row],[Exit1]]*Table20[[#This Row],[ex1_price]]</f>
        <v>0.23</v>
      </c>
      <c r="R209">
        <f>Table20[[#This Row],[Exit2]]*Table20[[#This Row],[ex2_price]]</f>
        <v>0</v>
      </c>
      <c r="S209">
        <f>IFERROR((Table20[[#This Row],[ex2_amnt]]+Table20[[#This Row],[ex1_amnt]])/(Table20[[#This Row],[Exit2]]+Table20[[#This Row],[Exit1]]),0)</f>
        <v>0.23</v>
      </c>
      <c r="T209" s="5">
        <f>(Table20[[#This Row],[Exit1]]+Table20[[#This Row],[Exit2]])*(Table20[[#This Row],[avg_exit_price]]-Table20[[#This Row],[AvePrice]])*100*Table20[[#This Row],[Buy or Sell]]</f>
        <v>67</v>
      </c>
      <c r="U209" s="5">
        <f>Table20[[#This Row],[Number of options]]*Table20[[#This Row],[AvePrice]]*100*Table20[[#This Row],[Buy or Sell]]</f>
        <v>-90</v>
      </c>
      <c r="V209" s="8">
        <f>Table20[[#This Row],[Number of options]]-Table20[[#This Row],[Exit1]]-Table20[[#This Row],[Exit2]]</f>
        <v>0</v>
      </c>
      <c r="W209" s="30">
        <f ca="1">(Table20[[#This Row],[Expiration Date]]-TODAY())/365</f>
        <v>-1.5890410958904109</v>
      </c>
      <c r="X209" s="30" t="e">
        <f ca="1">(LN(Table20[[#This Row],[Current Price]]/Table20[[#This Row],[strike_price]]) + ($B$2 + (Table20[[#This Row],[Vol]]^2)/2)*Table20[[#This Row],[Time to expiration]]) / (Table20[[#This Row],[Vol]] * SQRT(Table20[[#This Row],[Time to expiration]]))</f>
        <v>#NUM!</v>
      </c>
      <c r="Y209" s="30" t="e">
        <f ca="1">IF(Table20[[#This Row],[Direction]]&gt;0, _xlfn.NORM.S.DIST(Table20[[#This Row],[d1]], TRUE), _xlfn.NORM.S.DIST(Table20[[#This Row],[d1]], TRUE) - 1) * Table20[[#This Row],[Buy or Sell]]</f>
        <v>#NUM!</v>
      </c>
      <c r="Z209" s="9">
        <f ca="1">Table20[[#This Row],[Remaining]]*Table20[[#This Row],[Current Price]]*100</f>
        <v>0</v>
      </c>
      <c r="AA209" s="22">
        <f ca="1">IFERROR(Table20[[#This Row],[nominal_exposure]]*Table20[[#This Row],[Delta]],0)</f>
        <v>0</v>
      </c>
      <c r="AB209" s="30" t="b">
        <f>IF(Table20[[#This Row],[date_purchased]]&lt;&gt;Table20[[#This Row],[Expiration Date]],FALSE,TRUE)</f>
        <v>0</v>
      </c>
      <c r="AC209" s="30" t="str">
        <f>VLOOKUP(Table20[[#This Row],[Asset]],Table19[#All],3,FALSE)</f>
        <v>AI</v>
      </c>
      <c r="AD209" s="4">
        <f>IF(Table20[[#This Row],[Remaining]]&lt;&gt;0,Table20[[#This Row],[Invested]]*Table20[[#This Row],[Remaining]]/Table20[[#This Row],[Number of options]],0)</f>
        <v>0</v>
      </c>
      <c r="AE209" s="4">
        <f ca="1">SUMIF(Table20[Ticker],Table20[[#This Row],[Ticker]],Table20[realized_profit])</f>
        <v>68.000000000000028</v>
      </c>
      <c r="AF209" s="30" t="str">
        <f>VLOOKUP(Table20[[#This Row],[Strategy]],Table29[#All],7,FALSE)</f>
        <v>Bullish</v>
      </c>
    </row>
    <row r="210" spans="1:32" hidden="1">
      <c r="A210" s="35">
        <v>45541</v>
      </c>
      <c r="B210" s="21" t="e" vm="511">
        <v>#VALUE!</v>
      </c>
      <c r="C210" s="109" t="str" cm="1">
        <f t="array" aca="1" ref="C210" ca="1">_FV(Table20[[#This Row],[Asset]],"Ticker symbol",TRUE)</f>
        <v>ARM</v>
      </c>
      <c r="D210" s="26" cm="1">
        <f t="array" aca="1" ref="D210" ca="1">_FV(Table20[[#This Row],[Asset]],"Price")</f>
        <v>157.85</v>
      </c>
      <c r="E210" s="26">
        <v>140</v>
      </c>
      <c r="F210" s="33">
        <v>1</v>
      </c>
      <c r="G210" s="34">
        <v>1</v>
      </c>
      <c r="H210" s="34" t="s">
        <v>115</v>
      </c>
      <c r="I210" s="31">
        <v>45518</v>
      </c>
      <c r="J210" s="26">
        <v>2.8</v>
      </c>
      <c r="K210" s="24">
        <v>0.65300000000000002</v>
      </c>
      <c r="L210" s="33">
        <f>VLOOKUP(Table20[[#This Row],[Strategy]],Table29[#All],6,FALSE)</f>
        <v>1</v>
      </c>
      <c r="M210" s="23">
        <v>1</v>
      </c>
      <c r="N210" s="23">
        <v>2.81</v>
      </c>
      <c r="O210" s="23"/>
      <c r="P210" s="23"/>
      <c r="Q210">
        <f>Table20[[#This Row],[Exit1]]*Table20[[#This Row],[ex1_price]]</f>
        <v>2.81</v>
      </c>
      <c r="R210">
        <f>Table20[[#This Row],[Exit2]]*Table20[[#This Row],[ex2_price]]</f>
        <v>0</v>
      </c>
      <c r="S210">
        <f>IFERROR((Table20[[#This Row],[ex2_amnt]]+Table20[[#This Row],[ex1_amnt]])/(Table20[[#This Row],[Exit2]]+Table20[[#This Row],[Exit1]]),0)</f>
        <v>2.81</v>
      </c>
      <c r="T210" s="5">
        <f>(Table20[[#This Row],[Exit1]]+Table20[[#This Row],[Exit2]])*(Table20[[#This Row],[avg_exit_price]]-Table20[[#This Row],[AvePrice]])*100*Table20[[#This Row],[Buy or Sell]]</f>
        <v>1.0000000000000231</v>
      </c>
      <c r="U210" s="5">
        <f>Table20[[#This Row],[Number of options]]*Table20[[#This Row],[AvePrice]]*100*Table20[[#This Row],[Buy or Sell]]</f>
        <v>280</v>
      </c>
      <c r="V210" s="8">
        <f>Table20[[#This Row],[Number of options]]-Table20[[#This Row],[Exit1]]-Table20[[#This Row],[Exit2]]</f>
        <v>0</v>
      </c>
      <c r="W210" s="30">
        <f ca="1">(Table20[[#This Row],[Expiration Date]]-TODAY())/365</f>
        <v>-1.5506849315068494</v>
      </c>
      <c r="X210" s="30" t="e">
        <f ca="1">(LN(Table20[[#This Row],[Current Price]]/Table20[[#This Row],[strike_price]]) + ($B$2 + (Table20[[#This Row],[Vol]]^2)/2)*Table20[[#This Row],[Time to expiration]]) / (Table20[[#This Row],[Vol]] * SQRT(Table20[[#This Row],[Time to expiration]]))</f>
        <v>#NUM!</v>
      </c>
      <c r="Y210" s="30" t="e">
        <f ca="1">IF(Table20[[#This Row],[Direction]]&gt;0, _xlfn.NORM.S.DIST(Table20[[#This Row],[d1]], TRUE), _xlfn.NORM.S.DIST(Table20[[#This Row],[d1]], TRUE) - 1) * Table20[[#This Row],[Buy or Sell]]</f>
        <v>#NUM!</v>
      </c>
      <c r="Z210" s="9">
        <f ca="1">Table20[[#This Row],[Remaining]]*Table20[[#This Row],[Current Price]]*100</f>
        <v>0</v>
      </c>
      <c r="AA210" s="22">
        <f ca="1">IFERROR(Table20[[#This Row],[nominal_exposure]]*Table20[[#This Row],[Delta]],0)</f>
        <v>0</v>
      </c>
      <c r="AB210" s="30" t="b">
        <f>IF(Table20[[#This Row],[date_purchased]]&lt;&gt;Table20[[#This Row],[Expiration Date]],FALSE,TRUE)</f>
        <v>0</v>
      </c>
      <c r="AC210" s="30" t="str">
        <f>VLOOKUP(Table20[[#This Row],[Asset]],Table19[#All],3,FALSE)</f>
        <v>AI</v>
      </c>
      <c r="AD210" s="4">
        <f>IF(Table20[[#This Row],[Remaining]]&lt;&gt;0,Table20[[#This Row],[Invested]]*Table20[[#This Row],[Remaining]]/Table20[[#This Row],[Number of options]],0)</f>
        <v>0</v>
      </c>
      <c r="AE210" s="4">
        <f ca="1">SUMIF(Table20[Ticker],Table20[[#This Row],[Ticker]],Table20[realized_profit])</f>
        <v>68.000000000000028</v>
      </c>
      <c r="AF210" s="30" t="str">
        <f>VLOOKUP(Table20[[#This Row],[Strategy]],Table29[#All],7,FALSE)</f>
        <v>Bullish</v>
      </c>
    </row>
    <row r="211" spans="1:32" hidden="1">
      <c r="A211" s="35">
        <v>45555</v>
      </c>
      <c r="B211" s="21" t="e" vm="32">
        <v>#VALUE!</v>
      </c>
      <c r="C211" s="109" t="str" cm="1">
        <f t="array" aca="1" ref="C211" ca="1">_FV(Table20[[#This Row],[Asset]],"Ticker symbol",TRUE)</f>
        <v>MU</v>
      </c>
      <c r="D211" s="26" cm="1">
        <f t="array" aca="1" ref="D211" ca="1">_FV(Table20[[#This Row],[Asset]],"Price")</f>
        <v>381.57</v>
      </c>
      <c r="E211" s="26">
        <v>120</v>
      </c>
      <c r="F211" s="33">
        <v>1</v>
      </c>
      <c r="G211" s="34">
        <v>1</v>
      </c>
      <c r="H211" s="34" t="s">
        <v>113</v>
      </c>
      <c r="I211" s="31">
        <v>45519</v>
      </c>
      <c r="J211" s="26">
        <v>1.46</v>
      </c>
      <c r="K211" s="24">
        <v>0.45079999999999998</v>
      </c>
      <c r="L211" s="33">
        <f>VLOOKUP(Table20[[#This Row],[Strategy]],Table29[#All],6,FALSE)</f>
        <v>1</v>
      </c>
      <c r="M211" s="23">
        <v>1</v>
      </c>
      <c r="N211" s="23">
        <v>2.15</v>
      </c>
      <c r="O211" s="23"/>
      <c r="P211" s="23"/>
      <c r="Q211">
        <f>Table20[[#This Row],[Exit1]]*Table20[[#This Row],[ex1_price]]</f>
        <v>2.15</v>
      </c>
      <c r="R211">
        <f>Table20[[#This Row],[Exit2]]*Table20[[#This Row],[ex2_price]]</f>
        <v>0</v>
      </c>
      <c r="S211">
        <f>IFERROR((Table20[[#This Row],[ex2_amnt]]+Table20[[#This Row],[ex1_amnt]])/(Table20[[#This Row],[Exit2]]+Table20[[#This Row],[Exit1]]),0)</f>
        <v>2.15</v>
      </c>
      <c r="T211" s="5">
        <f>(Table20[[#This Row],[Exit1]]+Table20[[#This Row],[Exit2]])*(Table20[[#This Row],[avg_exit_price]]-Table20[[#This Row],[AvePrice]])*100*Table20[[#This Row],[Buy or Sell]]</f>
        <v>69</v>
      </c>
      <c r="U211" s="5">
        <f>Table20[[#This Row],[Number of options]]*Table20[[#This Row],[AvePrice]]*100*Table20[[#This Row],[Buy or Sell]]</f>
        <v>146</v>
      </c>
      <c r="V211" s="8">
        <f>Table20[[#This Row],[Number of options]]-Table20[[#This Row],[Exit1]]-Table20[[#This Row],[Exit2]]</f>
        <v>0</v>
      </c>
      <c r="W211" s="30">
        <f ca="1">(Table20[[#This Row],[Expiration Date]]-TODAY())/365</f>
        <v>-1.5123287671232877</v>
      </c>
      <c r="X211" s="30" t="e">
        <f ca="1">(LN(Table20[[#This Row],[Current Price]]/Table20[[#This Row],[strike_price]]) + ($B$2 + (Table20[[#This Row],[Vol]]^2)/2)*Table20[[#This Row],[Time to expiration]]) / (Table20[[#This Row],[Vol]] * SQRT(Table20[[#This Row],[Time to expiration]]))</f>
        <v>#NUM!</v>
      </c>
      <c r="Y211" s="30" t="e">
        <f ca="1">IF(Table20[[#This Row],[Direction]]&gt;0, _xlfn.NORM.S.DIST(Table20[[#This Row],[d1]], TRUE), _xlfn.NORM.S.DIST(Table20[[#This Row],[d1]], TRUE) - 1) * Table20[[#This Row],[Buy or Sell]]</f>
        <v>#NUM!</v>
      </c>
      <c r="Z211" s="9">
        <f ca="1">Table20[[#This Row],[Remaining]]*Table20[[#This Row],[Current Price]]*100</f>
        <v>0</v>
      </c>
      <c r="AA211" s="22">
        <f ca="1">IFERROR(Table20[[#This Row],[nominal_exposure]]*Table20[[#This Row],[Delta]],0)</f>
        <v>0</v>
      </c>
      <c r="AB211" s="30" t="b">
        <v>1</v>
      </c>
      <c r="AC211" s="30" t="str">
        <f>VLOOKUP(Table20[[#This Row],[Asset]],Table19[#All],3,FALSE)</f>
        <v>AI</v>
      </c>
      <c r="AD211" s="30">
        <f>IF(Table20[[#This Row],[Remaining]]&lt;&gt;0,Table20[[#This Row],[Invested]]*Table20[[#This Row],[Remaining]]/Table20[[#This Row],[Number of options]],0)</f>
        <v>0</v>
      </c>
      <c r="AE211" s="30">
        <f ca="1">SUMIF(Table20[Ticker],Table20[[#This Row],[Ticker]],Table20[realized_profit])</f>
        <v>-4181</v>
      </c>
      <c r="AF211" s="30" t="str">
        <f>VLOOKUP(Table20[[#This Row],[Strategy]],Table29[#All],7,FALSE)</f>
        <v>Bullish</v>
      </c>
    </row>
    <row r="212" spans="1:32" hidden="1">
      <c r="A212" s="180">
        <v>45576</v>
      </c>
      <c r="B212" s="21" t="e" vm="96">
        <v>#VALUE!</v>
      </c>
      <c r="C212" s="109" t="str" cm="1">
        <f t="array" aca="1" ref="C212" ca="1">_FV(Table20[[#This Row],[Asset]],"Ticker symbol",TRUE)</f>
        <v>SPY</v>
      </c>
      <c r="D212" s="26" cm="1">
        <f t="array" aca="1" ref="D212" ca="1">_FV(Table20[[#This Row],[Asset]],"Price")</f>
        <v>658.59</v>
      </c>
      <c r="E212" s="26">
        <v>560</v>
      </c>
      <c r="F212" s="33">
        <v>3</v>
      </c>
      <c r="G212" s="34">
        <v>-1</v>
      </c>
      <c r="H212" s="34" t="s">
        <v>161</v>
      </c>
      <c r="I212" s="31">
        <v>45569</v>
      </c>
      <c r="J212" s="26">
        <v>1.71</v>
      </c>
      <c r="K212" s="24">
        <v>0.1762</v>
      </c>
      <c r="L212" s="33">
        <f>VLOOKUP(Table20[[#This Row],[Strategy]],Table29[#All],6,FALSE)</f>
        <v>-1</v>
      </c>
      <c r="M212" s="23">
        <v>3</v>
      </c>
      <c r="N212" s="23">
        <v>0.01</v>
      </c>
      <c r="O212" s="23"/>
      <c r="P212" s="23"/>
      <c r="Q212">
        <f>Table20[[#This Row],[Exit1]]*Table20[[#This Row],[ex1_price]]</f>
        <v>0.03</v>
      </c>
      <c r="R212">
        <f>Table20[[#This Row],[Exit2]]*Table20[[#This Row],[ex2_price]]</f>
        <v>0</v>
      </c>
      <c r="S212">
        <f>IFERROR((Table20[[#This Row],[ex2_amnt]]+Table20[[#This Row],[ex1_amnt]])/(Table20[[#This Row],[Exit2]]+Table20[[#This Row],[Exit1]]),0)</f>
        <v>0.01</v>
      </c>
      <c r="T212" s="5">
        <f>(Table20[[#This Row],[Exit1]]+Table20[[#This Row],[Exit2]])*(Table20[[#This Row],[avg_exit_price]]-Table20[[#This Row],[AvePrice]])*100*Table20[[#This Row],[Buy or Sell]]</f>
        <v>509.99999999999994</v>
      </c>
      <c r="U212" s="5">
        <f>Table20[[#This Row],[Number of options]]*Table20[[#This Row],[AvePrice]]*100*Table20[[#This Row],[Buy or Sell]]</f>
        <v>-513</v>
      </c>
      <c r="V212" s="8">
        <f>Table20[[#This Row],[Number of options]]-Table20[[#This Row],[Exit1]]-Table20[[#This Row],[Exit2]]</f>
        <v>0</v>
      </c>
      <c r="W212" s="30">
        <f ca="1">(Table20[[#This Row],[Expiration Date]]-TODAY())/365</f>
        <v>-1.4547945205479451</v>
      </c>
      <c r="X212" s="30" t="e">
        <f ca="1">(LN(Table20[[#This Row],[Current Price]]/Table20[[#This Row],[strike_price]]) + ($B$2 + (Table20[[#This Row],[Vol]]^2)/2)*Table20[[#This Row],[Time to expiration]]) / (Table20[[#This Row],[Vol]] * SQRT(Table20[[#This Row],[Time to expiration]]))</f>
        <v>#NUM!</v>
      </c>
      <c r="Y212" s="30" t="e">
        <f ca="1">IF(Table20[[#This Row],[Direction]]&gt;0, _xlfn.NORM.S.DIST(Table20[[#This Row],[d1]], TRUE), _xlfn.NORM.S.DIST(Table20[[#This Row],[d1]], TRUE) - 1) * Table20[[#This Row],[Buy or Sell]]</f>
        <v>#NUM!</v>
      </c>
      <c r="Z212" s="9">
        <f ca="1">Table20[[#This Row],[Remaining]]*Table20[[#This Row],[Current Price]]*100</f>
        <v>0</v>
      </c>
      <c r="AA212" s="22">
        <f ca="1">IFERROR(Table20[[#This Row],[nominal_exposure]]*Table20[[#This Row],[Delta]],0)</f>
        <v>0</v>
      </c>
      <c r="AB212" s="30" t="b">
        <f>IF(Table20[[#This Row],[date_purchased]]&lt;&gt;Table20[[#This Row],[Expiration Date]],FALSE,TRUE)</f>
        <v>0</v>
      </c>
      <c r="AC212" s="30" t="str">
        <f>VLOOKUP(Table20[[#This Row],[Asset]],Table19[#All],3,FALSE)</f>
        <v>Market</v>
      </c>
      <c r="AD212" s="30">
        <f>IF(Table20[[#This Row],[Remaining]]&lt;&gt;0,Table20[[#This Row],[Invested]]*Table20[[#This Row],[Remaining]]/Table20[[#This Row],[Number of options]],0)</f>
        <v>0</v>
      </c>
      <c r="AE212" s="30">
        <f ca="1">SUMIF(Table20[Ticker],Table20[[#This Row],[Ticker]],Table20[realized_profit])</f>
        <v>-5077</v>
      </c>
      <c r="AF212" s="30" t="str">
        <f>VLOOKUP(Table20[[#This Row],[Strategy]],Table29[#All],7,FALSE)</f>
        <v>Bearish</v>
      </c>
    </row>
    <row r="213" spans="1:32" hidden="1">
      <c r="A213" s="180">
        <v>45576</v>
      </c>
      <c r="B213" s="21" t="e" vm="96">
        <v>#VALUE!</v>
      </c>
      <c r="C213" s="109" t="str" cm="1">
        <f t="array" aca="1" ref="C213" ca="1">_FV(Table20[[#This Row],[Asset]],"Ticker symbol",TRUE)</f>
        <v>SPY</v>
      </c>
      <c r="D213" s="26" cm="1">
        <f t="array" aca="1" ref="D213" ca="1">_FV(Table20[[#This Row],[Asset]],"Price")</f>
        <v>658.59</v>
      </c>
      <c r="E213" s="26">
        <v>572</v>
      </c>
      <c r="F213" s="33">
        <v>1</v>
      </c>
      <c r="G213" s="34">
        <v>1</v>
      </c>
      <c r="H213" s="34" t="s">
        <v>65</v>
      </c>
      <c r="I213" s="31">
        <v>45575</v>
      </c>
      <c r="J213" s="26">
        <v>1.27</v>
      </c>
      <c r="K213" s="24">
        <v>0.18110000000000001</v>
      </c>
      <c r="L213" s="33">
        <f>VLOOKUP(Table20[[#This Row],[Strategy]],Table29[#All],6,FALSE)</f>
        <v>-1</v>
      </c>
      <c r="M213" s="23">
        <v>1</v>
      </c>
      <c r="N213" s="23">
        <v>0.19</v>
      </c>
      <c r="O213" s="23"/>
      <c r="P213" s="23"/>
      <c r="Q213">
        <f>Table20[[#This Row],[Exit1]]*Table20[[#This Row],[ex1_price]]</f>
        <v>0.19</v>
      </c>
      <c r="R213">
        <f>Table20[[#This Row],[Exit2]]*Table20[[#This Row],[ex2_price]]</f>
        <v>0</v>
      </c>
      <c r="S213">
        <f>IFERROR((Table20[[#This Row],[ex2_amnt]]+Table20[[#This Row],[ex1_amnt]])/(Table20[[#This Row],[Exit2]]+Table20[[#This Row],[Exit1]]),0)</f>
        <v>0.19</v>
      </c>
      <c r="T213" s="5">
        <f>(Table20[[#This Row],[Exit1]]+Table20[[#This Row],[Exit2]])*(Table20[[#This Row],[avg_exit_price]]-Table20[[#This Row],[AvePrice]])*100*Table20[[#This Row],[Buy or Sell]]</f>
        <v>-108</v>
      </c>
      <c r="U213" s="5">
        <f>Table20[[#This Row],[Number of options]]*Table20[[#This Row],[AvePrice]]*100*Table20[[#This Row],[Buy or Sell]]</f>
        <v>127</v>
      </c>
      <c r="V213" s="8">
        <f>Table20[[#This Row],[Number of options]]-Table20[[#This Row],[Exit1]]-Table20[[#This Row],[Exit2]]</f>
        <v>0</v>
      </c>
      <c r="W213" s="30">
        <f ca="1">(Table20[[#This Row],[Expiration Date]]-TODAY())/365</f>
        <v>-1.4547945205479451</v>
      </c>
      <c r="X213" s="30" t="e">
        <f ca="1">(LN(Table20[[#This Row],[Current Price]]/Table20[[#This Row],[strike_price]]) + ($B$2 + (Table20[[#This Row],[Vol]]^2)/2)*Table20[[#This Row],[Time to expiration]]) / (Table20[[#This Row],[Vol]] * SQRT(Table20[[#This Row],[Time to expiration]]))</f>
        <v>#NUM!</v>
      </c>
      <c r="Y213" s="30" t="e">
        <f ca="1">IF(Table20[[#This Row],[Direction]]&gt;0, _xlfn.NORM.S.DIST(Table20[[#This Row],[d1]], TRUE), _xlfn.NORM.S.DIST(Table20[[#This Row],[d1]], TRUE) - 1) * Table20[[#This Row],[Buy or Sell]]</f>
        <v>#NUM!</v>
      </c>
      <c r="Z213" s="9">
        <f ca="1">Table20[[#This Row],[Remaining]]*Table20[[#This Row],[Current Price]]*100</f>
        <v>0</v>
      </c>
      <c r="AA213" s="22">
        <f ca="1">IFERROR(Table20[[#This Row],[nominal_exposure]]*Table20[[#This Row],[Delta]],0)</f>
        <v>0</v>
      </c>
      <c r="AB213" s="30" t="b">
        <f>IF(Table20[[#This Row],[date_purchased]]&lt;&gt;Table20[[#This Row],[Expiration Date]],FALSE,TRUE)</f>
        <v>0</v>
      </c>
      <c r="AC213" s="30" t="str">
        <f>VLOOKUP(Table20[[#This Row],[Asset]],Table19[#All],3,FALSE)</f>
        <v>Market</v>
      </c>
      <c r="AD213" s="30">
        <f>IF(Table20[[#This Row],[Remaining]]&lt;&gt;0,Table20[[#This Row],[Invested]]*Table20[[#This Row],[Remaining]]/Table20[[#This Row],[Number of options]],0)</f>
        <v>0</v>
      </c>
      <c r="AE213" s="30">
        <f ca="1">SUMIF(Table20[Ticker],Table20[[#This Row],[Ticker]],Table20[realized_profit])</f>
        <v>-5077</v>
      </c>
      <c r="AF213" s="30" t="str">
        <f>VLOOKUP(Table20[[#This Row],[Strategy]],Table29[#All],7,FALSE)</f>
        <v>Bearish</v>
      </c>
    </row>
    <row r="214" spans="1:32" hidden="1">
      <c r="A214" s="181">
        <v>45555</v>
      </c>
      <c r="B214" s="21" t="e" vm="13">
        <v>#VALUE!</v>
      </c>
      <c r="C214" s="109" t="str" cm="1">
        <f t="array" aca="1" ref="C214" ca="1">_FV(Table20[[#This Row],[Asset]],"Ticker symbol",TRUE)</f>
        <v>ON</v>
      </c>
      <c r="D214" s="26" cm="1">
        <f t="array" aca="1" ref="D214" ca="1">_FV(Table20[[#This Row],[Asset]],"Price")</f>
        <v>63.68</v>
      </c>
      <c r="E214" s="26">
        <v>80</v>
      </c>
      <c r="F214" s="33">
        <v>1</v>
      </c>
      <c r="G214" s="34">
        <v>1</v>
      </c>
      <c r="H214" s="34" t="s">
        <v>113</v>
      </c>
      <c r="I214" s="31">
        <v>45519</v>
      </c>
      <c r="J214" s="26">
        <v>1.48</v>
      </c>
      <c r="K214" s="24">
        <v>0.37830000000000003</v>
      </c>
      <c r="L214" s="33">
        <f>VLOOKUP(Table20[[#This Row],[Strategy]],Table29[#All],6,FALSE)</f>
        <v>1</v>
      </c>
      <c r="M214" s="23">
        <v>1</v>
      </c>
      <c r="N214" s="23">
        <v>0.21</v>
      </c>
      <c r="O214" s="23"/>
      <c r="P214" s="23"/>
      <c r="Q214">
        <f>Table20[[#This Row],[Exit1]]*Table20[[#This Row],[ex1_price]]</f>
        <v>0.21</v>
      </c>
      <c r="R214">
        <f>Table20[[#This Row],[Exit2]]*Table20[[#This Row],[ex2_price]]</f>
        <v>0</v>
      </c>
      <c r="S214">
        <f>IFERROR((Table20[[#This Row],[ex2_amnt]]+Table20[[#This Row],[ex1_amnt]])/(Table20[[#This Row],[Exit2]]+Table20[[#This Row],[Exit1]]),0)</f>
        <v>0.21</v>
      </c>
      <c r="T214" s="5">
        <f>(Table20[[#This Row],[Exit1]]+Table20[[#This Row],[Exit2]])*(Table20[[#This Row],[avg_exit_price]]-Table20[[#This Row],[AvePrice]])*100*Table20[[#This Row],[Buy or Sell]]</f>
        <v>-127</v>
      </c>
      <c r="U214" s="5">
        <f>Table20[[#This Row],[Number of options]]*Table20[[#This Row],[AvePrice]]*100*Table20[[#This Row],[Buy or Sell]]</f>
        <v>148</v>
      </c>
      <c r="V214" s="8">
        <f>Table20[[#This Row],[Number of options]]-Table20[[#This Row],[Exit1]]-Table20[[#This Row],[Exit2]]</f>
        <v>0</v>
      </c>
      <c r="W214" s="30">
        <f ca="1">(Table20[[#This Row],[Expiration Date]]-TODAY())/365</f>
        <v>-1.5123287671232877</v>
      </c>
      <c r="X214" s="30" t="e">
        <f ca="1">(LN(Table20[[#This Row],[Current Price]]/Table20[[#This Row],[strike_price]]) + ($B$2 + (Table20[[#This Row],[Vol]]^2)/2)*Table20[[#This Row],[Time to expiration]]) / (Table20[[#This Row],[Vol]] * SQRT(Table20[[#This Row],[Time to expiration]]))</f>
        <v>#NUM!</v>
      </c>
      <c r="Y214" s="30" t="e">
        <f ca="1">IF(Table20[[#This Row],[Direction]]&gt;0, _xlfn.NORM.S.DIST(Table20[[#This Row],[d1]], TRUE), _xlfn.NORM.S.DIST(Table20[[#This Row],[d1]], TRUE) - 1) * Table20[[#This Row],[Buy or Sell]]</f>
        <v>#NUM!</v>
      </c>
      <c r="Z214" s="9">
        <f ca="1">Table20[[#This Row],[Remaining]]*Table20[[#This Row],[Current Price]]*100</f>
        <v>0</v>
      </c>
      <c r="AA214" s="22">
        <f ca="1">IFERROR(Table20[[#This Row],[nominal_exposure]]*Table20[[#This Row],[Delta]],0)</f>
        <v>0</v>
      </c>
      <c r="AB214" s="30" t="b">
        <f>IF(Table20[[#This Row],[date_purchased]]&lt;&gt;Table20[[#This Row],[Expiration Date]],FALSE,TRUE)</f>
        <v>0</v>
      </c>
      <c r="AC214" s="30" t="str">
        <f>VLOOKUP(Table20[[#This Row],[Asset]],Table19[#All],3,FALSE)</f>
        <v>Semiconductor</v>
      </c>
      <c r="AD214" s="30">
        <f>IF(Table20[[#This Row],[Remaining]]&lt;&gt;0,Table20[[#This Row],[Invested]]*Table20[[#This Row],[Remaining]]/Table20[[#This Row],[Number of options]],0)</f>
        <v>0</v>
      </c>
      <c r="AE214" s="30">
        <f ca="1">SUMIF(Table20[Ticker],Table20[[#This Row],[Ticker]],Table20[realized_profit])</f>
        <v>1055.92</v>
      </c>
      <c r="AF214" s="30" t="str">
        <f>VLOOKUP(Table20[[#This Row],[Strategy]],Table29[#All],7,FALSE)</f>
        <v>Bullish</v>
      </c>
    </row>
    <row r="215" spans="1:32" hidden="1">
      <c r="A215" s="181">
        <v>45555</v>
      </c>
      <c r="B215" s="21" t="e" vm="121">
        <v>#VALUE!</v>
      </c>
      <c r="C215" s="109" t="str" cm="1">
        <f t="array" aca="1" ref="C215" ca="1">_FV(Table20[[#This Row],[Asset]],"Ticker symbol",TRUE)</f>
        <v>IWM</v>
      </c>
      <c r="D215" s="26" cm="1">
        <f t="array" aca="1" ref="D215" ca="1">_FV(Table20[[#This Row],[Asset]],"Price")</f>
        <v>252.46010000000001</v>
      </c>
      <c r="E215" s="26">
        <v>230</v>
      </c>
      <c r="F215" s="33">
        <v>1</v>
      </c>
      <c r="G215" s="34">
        <v>1</v>
      </c>
      <c r="H215" s="34" t="s">
        <v>113</v>
      </c>
      <c r="I215" s="31">
        <v>45527</v>
      </c>
      <c r="J215" s="26">
        <v>2.12</v>
      </c>
      <c r="K215" s="24">
        <v>0.22090000000000001</v>
      </c>
      <c r="L215" s="33">
        <f>VLOOKUP(Table20[[#This Row],[Strategy]],Table29[#All],6,FALSE)</f>
        <v>1</v>
      </c>
      <c r="M215" s="23">
        <v>1</v>
      </c>
      <c r="N215" s="23">
        <v>0.13</v>
      </c>
      <c r="O215" s="23"/>
      <c r="P215" s="23"/>
      <c r="Q215">
        <f>Table20[[#This Row],[Exit1]]*Table20[[#This Row],[ex1_price]]</f>
        <v>0.13</v>
      </c>
      <c r="R215">
        <f>Table20[[#This Row],[Exit2]]*Table20[[#This Row],[ex2_price]]</f>
        <v>0</v>
      </c>
      <c r="S215">
        <f>IFERROR((Table20[[#This Row],[ex2_amnt]]+Table20[[#This Row],[ex1_amnt]])/(Table20[[#This Row],[Exit2]]+Table20[[#This Row],[Exit1]]),0)</f>
        <v>0.13</v>
      </c>
      <c r="T215" s="5">
        <f>(Table20[[#This Row],[Exit1]]+Table20[[#This Row],[Exit2]])*(Table20[[#This Row],[avg_exit_price]]-Table20[[#This Row],[AvePrice]])*100*Table20[[#This Row],[Buy or Sell]]</f>
        <v>-199.00000000000003</v>
      </c>
      <c r="U215" s="5">
        <f>Table20[[#This Row],[Number of options]]*Table20[[#This Row],[AvePrice]]*100*Table20[[#This Row],[Buy or Sell]]</f>
        <v>212</v>
      </c>
      <c r="V215" s="8">
        <f>Table20[[#This Row],[Number of options]]-Table20[[#This Row],[Exit1]]-Table20[[#This Row],[Exit2]]</f>
        <v>0</v>
      </c>
      <c r="W215" s="30">
        <f ca="1">(Table20[[#This Row],[Expiration Date]]-TODAY())/365</f>
        <v>-1.5123287671232877</v>
      </c>
      <c r="X215" s="30" t="e">
        <f ca="1">(LN(Table20[[#This Row],[Current Price]]/Table20[[#This Row],[strike_price]]) + ($B$2 + (Table20[[#This Row],[Vol]]^2)/2)*Table20[[#This Row],[Time to expiration]]) / (Table20[[#This Row],[Vol]] * SQRT(Table20[[#This Row],[Time to expiration]]))</f>
        <v>#NUM!</v>
      </c>
      <c r="Y215" s="30" t="e">
        <f ca="1">IF(Table20[[#This Row],[Direction]]&gt;0, _xlfn.NORM.S.DIST(Table20[[#This Row],[d1]], TRUE), _xlfn.NORM.S.DIST(Table20[[#This Row],[d1]], TRUE) - 1) * Table20[[#This Row],[Buy or Sell]]</f>
        <v>#NUM!</v>
      </c>
      <c r="Z215" s="9">
        <f ca="1">Table20[[#This Row],[Remaining]]*Table20[[#This Row],[Current Price]]*100</f>
        <v>0</v>
      </c>
      <c r="AA215" s="22">
        <f ca="1">IFERROR(Table20[[#This Row],[nominal_exposure]]*Table20[[#This Row],[Delta]],0)</f>
        <v>0</v>
      </c>
      <c r="AB215" s="30" t="b">
        <f>IF(Table20[[#This Row],[date_purchased]]&lt;&gt;Table20[[#This Row],[Expiration Date]],FALSE,TRUE)</f>
        <v>0</v>
      </c>
      <c r="AC215" s="30" t="str">
        <f>VLOOKUP(Table20[[#This Row],[Asset]],Table19[#All],3,FALSE)</f>
        <v>Market</v>
      </c>
      <c r="AD215" s="148">
        <f>IF(Table20[[#This Row],[Remaining]]&lt;&gt;0,Table20[[#This Row],[Invested]]*Table20[[#This Row],[Remaining]]/Table20[[#This Row],[Number of options]],0)</f>
        <v>0</v>
      </c>
      <c r="AE215" s="148">
        <f ca="1">SUMIF(Table20[Ticker],Table20[[#This Row],[Ticker]],Table20[realized_profit])</f>
        <v>-331.99999999999994</v>
      </c>
      <c r="AF215" s="30" t="str">
        <f>VLOOKUP(Table20[[#This Row],[Strategy]],Table29[#All],7,FALSE)</f>
        <v>Bullish</v>
      </c>
    </row>
    <row r="216" spans="1:32" hidden="1">
      <c r="A216" s="180">
        <v>45569</v>
      </c>
      <c r="B216" s="21" t="e" vm="96">
        <v>#VALUE!</v>
      </c>
      <c r="C216" s="109" t="str" cm="1">
        <f t="array" aca="1" ref="C216" ca="1">_FV(Table20[[#This Row],[Asset]],"Ticker symbol",TRUE)</f>
        <v>SPY</v>
      </c>
      <c r="D216" s="26" cm="1">
        <f t="array" aca="1" ref="D216" ca="1">_FV(Table20[[#This Row],[Asset]],"Price")</f>
        <v>658.59</v>
      </c>
      <c r="E216" s="26">
        <v>530</v>
      </c>
      <c r="F216" s="33">
        <v>1</v>
      </c>
      <c r="G216" s="34">
        <v>1</v>
      </c>
      <c r="H216" s="34" t="s">
        <v>161</v>
      </c>
      <c r="I216" s="31">
        <v>45544</v>
      </c>
      <c r="J216" s="26">
        <v>4.29</v>
      </c>
      <c r="K216" s="24">
        <v>0.20749999999999999</v>
      </c>
      <c r="L216" s="33">
        <f>VLOOKUP(Table20[[#This Row],[Strategy]],Table29[#All],6,FALSE)</f>
        <v>-1</v>
      </c>
      <c r="M216" s="23">
        <v>1</v>
      </c>
      <c r="N216" s="23">
        <v>2.71</v>
      </c>
      <c r="O216" s="23"/>
      <c r="P216" s="23"/>
      <c r="Q216">
        <f>Table20[[#This Row],[Exit1]]*Table20[[#This Row],[ex1_price]]</f>
        <v>2.71</v>
      </c>
      <c r="R216">
        <f>Table20[[#This Row],[Exit2]]*Table20[[#This Row],[ex2_price]]</f>
        <v>0</v>
      </c>
      <c r="S216">
        <f>IFERROR((Table20[[#This Row],[ex2_amnt]]+Table20[[#This Row],[ex1_amnt]])/(Table20[[#This Row],[Exit2]]+Table20[[#This Row],[Exit1]]),0)</f>
        <v>2.71</v>
      </c>
      <c r="T216" s="5">
        <f>(Table20[[#This Row],[Exit1]]+Table20[[#This Row],[Exit2]])*(Table20[[#This Row],[avg_exit_price]]-Table20[[#This Row],[AvePrice]])*100*Table20[[#This Row],[Buy or Sell]]</f>
        <v>-158</v>
      </c>
      <c r="U216" s="5">
        <f>Table20[[#This Row],[Number of options]]*Table20[[#This Row],[AvePrice]]*100*Table20[[#This Row],[Buy or Sell]]</f>
        <v>429</v>
      </c>
      <c r="V216" s="8">
        <f>Table20[[#This Row],[Number of options]]-Table20[[#This Row],[Exit1]]-Table20[[#This Row],[Exit2]]</f>
        <v>0</v>
      </c>
      <c r="W216" s="30">
        <f ca="1">(Table20[[#This Row],[Expiration Date]]-TODAY())/365</f>
        <v>-1.473972602739726</v>
      </c>
      <c r="X216" s="30" t="e">
        <f ca="1">(LN(Table20[[#This Row],[Current Price]]/Table20[[#This Row],[strike_price]]) + ($B$2 + (Table20[[#This Row],[Vol]]^2)/2)*Table20[[#This Row],[Time to expiration]]) / (Table20[[#This Row],[Vol]] * SQRT(Table20[[#This Row],[Time to expiration]]))</f>
        <v>#NUM!</v>
      </c>
      <c r="Y216" s="30" t="e">
        <f ca="1">IF(Table20[[#This Row],[Direction]]&gt;0, _xlfn.NORM.S.DIST(Table20[[#This Row],[d1]], TRUE), _xlfn.NORM.S.DIST(Table20[[#This Row],[d1]], TRUE) - 1) * Table20[[#This Row],[Buy or Sell]]</f>
        <v>#NUM!</v>
      </c>
      <c r="Z216" s="9">
        <f ca="1">Table20[[#This Row],[Remaining]]*Table20[[#This Row],[Current Price]]*100</f>
        <v>0</v>
      </c>
      <c r="AA216" s="22">
        <f ca="1">IFERROR(Table20[[#This Row],[nominal_exposure]]*Table20[[#This Row],[Delta]],0)</f>
        <v>0</v>
      </c>
      <c r="AB216" s="30" t="b">
        <f>IF(Table20[[#This Row],[date_purchased]]&lt;&gt;Table20[[#This Row],[Expiration Date]],FALSE,TRUE)</f>
        <v>0</v>
      </c>
      <c r="AC216" s="30" t="str">
        <f>VLOOKUP(Table20[[#This Row],[Asset]],Table19[#All],3,FALSE)</f>
        <v>Market</v>
      </c>
      <c r="AD216" s="30">
        <f>IF(Table20[[#This Row],[Remaining]]&lt;&gt;0,Table20[[#This Row],[Invested]]*Table20[[#This Row],[Remaining]]/Table20[[#This Row],[Number of options]],0)</f>
        <v>0</v>
      </c>
      <c r="AE216" s="30">
        <f ca="1">SUMIF(Table20[Ticker],Table20[[#This Row],[Ticker]],Table20[realized_profit])</f>
        <v>-5077</v>
      </c>
      <c r="AF216" s="30" t="str">
        <f>VLOOKUP(Table20[[#This Row],[Strategy]],Table29[#All],7,FALSE)</f>
        <v>Bearish</v>
      </c>
    </row>
    <row r="217" spans="1:32" hidden="1">
      <c r="A217" s="118">
        <v>45534</v>
      </c>
      <c r="B217" s="21" t="e" vm="64">
        <v>#VALUE!</v>
      </c>
      <c r="C217" s="109" t="str" cm="1">
        <f t="array" aca="1" ref="C217" ca="1">_FV(Table20[[#This Row],[Asset]],"Ticker symbol",TRUE)</f>
        <v>LULU</v>
      </c>
      <c r="D217" s="26" cm="1">
        <f t="array" aca="1" ref="D217" ca="1">_FV(Table20[[#This Row],[Asset]],"Price")</f>
        <v>159.22</v>
      </c>
      <c r="E217" s="26">
        <v>300</v>
      </c>
      <c r="F217" s="33">
        <v>1</v>
      </c>
      <c r="G217" s="34">
        <v>-1</v>
      </c>
      <c r="H217" s="34" t="s">
        <v>115</v>
      </c>
      <c r="I217" s="31">
        <v>45517</v>
      </c>
      <c r="J217" s="26">
        <v>0.86</v>
      </c>
      <c r="K217" s="24">
        <v>0.65</v>
      </c>
      <c r="L217" s="33">
        <f>VLOOKUP(Table20[[#This Row],[Strategy]],Table29[#All],6,FALSE)</f>
        <v>1</v>
      </c>
      <c r="M217" s="23">
        <v>1</v>
      </c>
      <c r="N217" s="23">
        <v>0.01</v>
      </c>
      <c r="O217" s="23"/>
      <c r="P217" s="23"/>
      <c r="Q217">
        <f>Table20[[#This Row],[Exit1]]*Table20[[#This Row],[ex1_price]]</f>
        <v>0.01</v>
      </c>
      <c r="R217">
        <f>Table20[[#This Row],[Exit2]]*Table20[[#This Row],[ex2_price]]</f>
        <v>0</v>
      </c>
      <c r="S217">
        <f>IFERROR((Table20[[#This Row],[ex2_amnt]]+Table20[[#This Row],[ex1_amnt]])/(Table20[[#This Row],[Exit2]]+Table20[[#This Row],[Exit1]]),0)</f>
        <v>0.01</v>
      </c>
      <c r="T217" s="5">
        <f>(Table20[[#This Row],[Exit1]]+Table20[[#This Row],[Exit2]])*(Table20[[#This Row],[avg_exit_price]]-Table20[[#This Row],[AvePrice]])*100*Table20[[#This Row],[Buy or Sell]]</f>
        <v>85</v>
      </c>
      <c r="U217" s="5">
        <f>Table20[[#This Row],[Number of options]]*Table20[[#This Row],[AvePrice]]*100*Table20[[#This Row],[Buy or Sell]]</f>
        <v>-86</v>
      </c>
      <c r="V217" s="8">
        <f>Table20[[#This Row],[Number of options]]-Table20[[#This Row],[Exit1]]-Table20[[#This Row],[Exit2]]</f>
        <v>0</v>
      </c>
      <c r="W217" s="30">
        <f ca="1">(Table20[[#This Row],[Expiration Date]]-TODAY())/365</f>
        <v>-1.5698630136986302</v>
      </c>
      <c r="X217" s="30" t="e">
        <f ca="1">(LN(Table20[[#This Row],[Current Price]]/Table20[[#This Row],[strike_price]]) + ($B$2 + (Table20[[#This Row],[Vol]]^2)/2)*Table20[[#This Row],[Time to expiration]]) / (Table20[[#This Row],[Vol]] * SQRT(Table20[[#This Row],[Time to expiration]]))</f>
        <v>#NUM!</v>
      </c>
      <c r="Y217" s="30" t="e">
        <f ca="1">IF(Table20[[#This Row],[Direction]]&gt;0, _xlfn.NORM.S.DIST(Table20[[#This Row],[d1]], TRUE), _xlfn.NORM.S.DIST(Table20[[#This Row],[d1]], TRUE) - 1) * Table20[[#This Row],[Buy or Sell]]</f>
        <v>#NUM!</v>
      </c>
      <c r="Z217" s="9">
        <f ca="1">Table20[[#This Row],[Remaining]]*Table20[[#This Row],[Current Price]]*100</f>
        <v>0</v>
      </c>
      <c r="AA217" s="22">
        <f ca="1">IFERROR(Table20[[#This Row],[nominal_exposure]]*Table20[[#This Row],[Delta]],0)</f>
        <v>0</v>
      </c>
      <c r="AB217" s="30" t="b">
        <f>IF(Table20[[#This Row],[date_purchased]]&lt;&gt;Table20[[#This Row],[Expiration Date]],FALSE,TRUE)</f>
        <v>0</v>
      </c>
      <c r="AC217" s="30" t="str">
        <f>VLOOKUP(Table20[[#This Row],[Asset]],Table19[#All],3,FALSE)</f>
        <v>Consumer Discretionary</v>
      </c>
      <c r="AD217" s="4">
        <f>IF(Table20[[#This Row],[Remaining]]&lt;&gt;0,Table20[[#This Row],[Invested]]*Table20[[#This Row],[Remaining]]/Table20[[#This Row],[Number of options]],0)</f>
        <v>0</v>
      </c>
      <c r="AE217" s="4">
        <f ca="1">SUMIF(Table20[Ticker],Table20[[#This Row],[Ticker]],Table20[realized_profit])</f>
        <v>-1317.0000000000002</v>
      </c>
      <c r="AF217" s="30" t="str">
        <f>VLOOKUP(Table20[[#This Row],[Strategy]],Table29[#All],7,FALSE)</f>
        <v>Bullish</v>
      </c>
    </row>
    <row r="218" spans="1:32" hidden="1">
      <c r="A218" s="118">
        <v>45541</v>
      </c>
      <c r="B218" s="21" t="e" vm="129">
        <v>#VALUE!</v>
      </c>
      <c r="C218" s="109" t="str" cm="1">
        <f t="array" aca="1" ref="C218" ca="1">_FV(Table20[[#This Row],[Asset]],"Ticker symbol",TRUE)</f>
        <v>MRVL</v>
      </c>
      <c r="D218" s="26" cm="1">
        <f t="array" aca="1" ref="D218" ca="1">_FV(Table20[[#This Row],[Asset]],"Price")</f>
        <v>96.84</v>
      </c>
      <c r="E218" s="26">
        <v>75</v>
      </c>
      <c r="F218" s="33">
        <v>8</v>
      </c>
      <c r="G218" s="34">
        <v>1</v>
      </c>
      <c r="H218" s="34" t="s">
        <v>115</v>
      </c>
      <c r="I218" s="31">
        <v>45531</v>
      </c>
      <c r="J218" s="26">
        <v>1.62</v>
      </c>
      <c r="K218" s="24">
        <v>0.83</v>
      </c>
      <c r="L218" s="33">
        <f>VLOOKUP(Table20[[#This Row],[Strategy]],Table29[#All],6,FALSE)</f>
        <v>1</v>
      </c>
      <c r="M218" s="23">
        <v>8</v>
      </c>
      <c r="N218" s="23">
        <v>1.71</v>
      </c>
      <c r="O218" s="23"/>
      <c r="P218" s="23"/>
      <c r="Q218">
        <f>Table20[[#This Row],[Exit1]]*Table20[[#This Row],[ex1_price]]</f>
        <v>13.68</v>
      </c>
      <c r="R218">
        <f>Table20[[#This Row],[Exit2]]*Table20[[#This Row],[ex2_price]]</f>
        <v>0</v>
      </c>
      <c r="S218">
        <f>IFERROR((Table20[[#This Row],[ex2_amnt]]+Table20[[#This Row],[ex1_amnt]])/(Table20[[#This Row],[Exit2]]+Table20[[#This Row],[Exit1]]),0)</f>
        <v>1.71</v>
      </c>
      <c r="T218" s="5">
        <f>(Table20[[#This Row],[Exit1]]+Table20[[#This Row],[Exit2]])*(Table20[[#This Row],[avg_exit_price]]-Table20[[#This Row],[AvePrice]])*100*Table20[[#This Row],[Buy or Sell]]</f>
        <v>71.999999999999886</v>
      </c>
      <c r="U218" s="5">
        <f>Table20[[#This Row],[Number of options]]*Table20[[#This Row],[AvePrice]]*100*Table20[[#This Row],[Buy or Sell]]</f>
        <v>1296</v>
      </c>
      <c r="V218" s="8">
        <f>Table20[[#This Row],[Number of options]]-Table20[[#This Row],[Exit1]]-Table20[[#This Row],[Exit2]]</f>
        <v>0</v>
      </c>
      <c r="W218" s="30">
        <f ca="1">(Table20[[#This Row],[Expiration Date]]-TODAY())/365</f>
        <v>-1.5506849315068494</v>
      </c>
      <c r="X218" s="30" t="e">
        <f ca="1">(LN(Table20[[#This Row],[Current Price]]/Table20[[#This Row],[strike_price]]) + ($B$2 + (Table20[[#This Row],[Vol]]^2)/2)*Table20[[#This Row],[Time to expiration]]) / (Table20[[#This Row],[Vol]] * SQRT(Table20[[#This Row],[Time to expiration]]))</f>
        <v>#NUM!</v>
      </c>
      <c r="Y218" s="30" t="e">
        <f ca="1">IF(Table20[[#This Row],[Direction]]&gt;0, _xlfn.NORM.S.DIST(Table20[[#This Row],[d1]], TRUE), _xlfn.NORM.S.DIST(Table20[[#This Row],[d1]], TRUE) - 1) * Table20[[#This Row],[Buy or Sell]]</f>
        <v>#NUM!</v>
      </c>
      <c r="Z218" s="9">
        <f ca="1">Table20[[#This Row],[Remaining]]*Table20[[#This Row],[Current Price]]*100</f>
        <v>0</v>
      </c>
      <c r="AA218" s="22">
        <f ca="1">IFERROR(Table20[[#This Row],[nominal_exposure]]*Table20[[#This Row],[Delta]],0)</f>
        <v>0</v>
      </c>
      <c r="AB218" s="30" t="b">
        <f>IF(Table20[[#This Row],[date_purchased]]&lt;&gt;Table20[[#This Row],[Expiration Date]],FALSE,TRUE)</f>
        <v>0</v>
      </c>
      <c r="AC218" s="30" t="str">
        <f>VLOOKUP(Table20[[#This Row],[Asset]],Table19[#All],3,FALSE)</f>
        <v>AI</v>
      </c>
      <c r="AD218" s="30">
        <f>IF(Table20[[#This Row],[Remaining]]&lt;&gt;0,Table20[[#This Row],[Invested]]*Table20[[#This Row],[Remaining]]/Table20[[#This Row],[Number of options]],0)</f>
        <v>0</v>
      </c>
      <c r="AE218" s="30">
        <f ca="1">SUMIF(Table20[Ticker],Table20[[#This Row],[Ticker]],Table20[realized_profit])</f>
        <v>-1014.0000000000001</v>
      </c>
      <c r="AF218" s="30" t="str">
        <f>VLOOKUP(Table20[[#This Row],[Strategy]],Table29[#All],7,FALSE)</f>
        <v>Bullish</v>
      </c>
    </row>
    <row r="219" spans="1:32" hidden="1">
      <c r="A219" s="35">
        <v>45555</v>
      </c>
      <c r="B219" s="21" t="e" vm="32">
        <v>#VALUE!</v>
      </c>
      <c r="C219" s="109" t="str" cm="1">
        <f t="array" aca="1" ref="C219" ca="1">_FV(Table20[[#This Row],[Asset]],"Ticker symbol",TRUE)</f>
        <v>MU</v>
      </c>
      <c r="D219" s="26" cm="1">
        <f t="array" aca="1" ref="D219" ca="1">_FV(Table20[[#This Row],[Asset]],"Price")</f>
        <v>381.57</v>
      </c>
      <c r="E219" s="26">
        <v>110</v>
      </c>
      <c r="F219" s="33">
        <v>1</v>
      </c>
      <c r="G219" s="34">
        <v>1</v>
      </c>
      <c r="H219" s="34" t="s">
        <v>113</v>
      </c>
      <c r="I219" s="31">
        <v>45527</v>
      </c>
      <c r="J219" s="26">
        <v>2.81</v>
      </c>
      <c r="K219" s="24">
        <v>0.4708</v>
      </c>
      <c r="L219" s="33">
        <f>VLOOKUP(Table20[[#This Row],[Strategy]],Table29[#All],6,FALSE)</f>
        <v>1</v>
      </c>
      <c r="M219" s="23">
        <v>1</v>
      </c>
      <c r="N219" s="23">
        <v>1.51</v>
      </c>
      <c r="O219" s="23"/>
      <c r="P219" s="23"/>
      <c r="Q219">
        <f>Table20[[#This Row],[Exit1]]*Table20[[#This Row],[ex1_price]]</f>
        <v>1.51</v>
      </c>
      <c r="R219">
        <f>Table20[[#This Row],[Exit2]]*Table20[[#This Row],[ex2_price]]</f>
        <v>0</v>
      </c>
      <c r="S219">
        <f>IFERROR((Table20[[#This Row],[ex2_amnt]]+Table20[[#This Row],[ex1_amnt]])/(Table20[[#This Row],[Exit2]]+Table20[[#This Row],[Exit1]]),0)</f>
        <v>1.51</v>
      </c>
      <c r="T219" s="5">
        <f>(Table20[[#This Row],[Exit1]]+Table20[[#This Row],[Exit2]])*(Table20[[#This Row],[avg_exit_price]]-Table20[[#This Row],[AvePrice]])*100*Table20[[#This Row],[Buy or Sell]]</f>
        <v>-130</v>
      </c>
      <c r="U219" s="5">
        <f>Table20[[#This Row],[Number of options]]*Table20[[#This Row],[AvePrice]]*100*Table20[[#This Row],[Buy or Sell]]</f>
        <v>281</v>
      </c>
      <c r="V219" s="8">
        <f>Table20[[#This Row],[Number of options]]-Table20[[#This Row],[Exit1]]-Table20[[#This Row],[Exit2]]</f>
        <v>0</v>
      </c>
      <c r="W219" s="30">
        <f ca="1">(Table20[[#This Row],[Expiration Date]]-TODAY())/365</f>
        <v>-1.5123287671232877</v>
      </c>
      <c r="X219" s="30" t="e">
        <f ca="1">(LN(Table20[[#This Row],[Current Price]]/Table20[[#This Row],[strike_price]]) + ($B$2 + (Table20[[#This Row],[Vol]]^2)/2)*Table20[[#This Row],[Time to expiration]]) / (Table20[[#This Row],[Vol]] * SQRT(Table20[[#This Row],[Time to expiration]]))</f>
        <v>#NUM!</v>
      </c>
      <c r="Y219" s="30" t="e">
        <f ca="1">IF(Table20[[#This Row],[Direction]]&gt;0, _xlfn.NORM.S.DIST(Table20[[#This Row],[d1]], TRUE), _xlfn.NORM.S.DIST(Table20[[#This Row],[d1]], TRUE) - 1) * Table20[[#This Row],[Buy or Sell]]</f>
        <v>#NUM!</v>
      </c>
      <c r="Z219" s="9">
        <f ca="1">Table20[[#This Row],[Remaining]]*Table20[[#This Row],[Current Price]]*100</f>
        <v>0</v>
      </c>
      <c r="AA219" s="22">
        <f ca="1">IFERROR(Table20[[#This Row],[nominal_exposure]]*Table20[[#This Row],[Delta]],0)</f>
        <v>0</v>
      </c>
      <c r="AB219" s="30" t="b">
        <f>IF(Table20[[#This Row],[date_purchased]]&lt;&gt;Table20[[#This Row],[Expiration Date]],FALSE,TRUE)</f>
        <v>0</v>
      </c>
      <c r="AC219" s="30" t="str">
        <f>VLOOKUP(Table20[[#This Row],[Asset]],Table19[#All],3,FALSE)</f>
        <v>AI</v>
      </c>
      <c r="AD219" s="30">
        <f>IF(Table20[[#This Row],[Remaining]]&lt;&gt;0,Table20[[#This Row],[Invested]]*Table20[[#This Row],[Remaining]]/Table20[[#This Row],[Number of options]],0)</f>
        <v>0</v>
      </c>
      <c r="AE219" s="30">
        <f ca="1">SUMIF(Table20[Ticker],Table20[[#This Row],[Ticker]],Table20[realized_profit])</f>
        <v>-4181</v>
      </c>
      <c r="AF219" s="30" t="str">
        <f>VLOOKUP(Table20[[#This Row],[Strategy]],Table29[#All],7,FALSE)</f>
        <v>Bullish</v>
      </c>
    </row>
    <row r="220" spans="1:32" hidden="1">
      <c r="A220" s="1">
        <v>45562</v>
      </c>
      <c r="B220" s="21" t="e" vm="64">
        <v>#VALUE!</v>
      </c>
      <c r="C220" s="109" t="str" cm="1">
        <f t="array" aca="1" ref="C220" ca="1">_FV(Table20[[#This Row],[Asset]],"Ticker symbol",TRUE)</f>
        <v>LULU</v>
      </c>
      <c r="D220" s="26" cm="1">
        <f t="array" aca="1" ref="D220" ca="1">_FV(Table20[[#This Row],[Asset]],"Price")</f>
        <v>159.22</v>
      </c>
      <c r="E220" s="26">
        <v>300</v>
      </c>
      <c r="F220" s="33">
        <v>1</v>
      </c>
      <c r="G220" s="34">
        <v>1</v>
      </c>
      <c r="H220" s="34" t="s">
        <v>115</v>
      </c>
      <c r="I220" s="31">
        <v>45517</v>
      </c>
      <c r="J220" s="26">
        <v>2.57</v>
      </c>
      <c r="K220" s="24">
        <v>0.5</v>
      </c>
      <c r="L220" s="33">
        <f>VLOOKUP(Table20[[#This Row],[Strategy]],Table29[#All],6,FALSE)</f>
        <v>1</v>
      </c>
      <c r="M220" s="23">
        <v>1</v>
      </c>
      <c r="N220" s="23">
        <v>0.56000000000000005</v>
      </c>
      <c r="O220" s="23"/>
      <c r="P220" s="23"/>
      <c r="Q220">
        <f>Table20[[#This Row],[Exit1]]*Table20[[#This Row],[ex1_price]]</f>
        <v>0.56000000000000005</v>
      </c>
      <c r="R220">
        <f>Table20[[#This Row],[Exit2]]*Table20[[#This Row],[ex2_price]]</f>
        <v>0</v>
      </c>
      <c r="S220">
        <f>IFERROR((Table20[[#This Row],[ex2_amnt]]+Table20[[#This Row],[ex1_amnt]])/(Table20[[#This Row],[Exit2]]+Table20[[#This Row],[Exit1]]),0)</f>
        <v>0.56000000000000005</v>
      </c>
      <c r="T220" s="5">
        <f>(Table20[[#This Row],[Exit1]]+Table20[[#This Row],[Exit2]])*(Table20[[#This Row],[avg_exit_price]]-Table20[[#This Row],[AvePrice]])*100*Table20[[#This Row],[Buy or Sell]]</f>
        <v>-200.99999999999997</v>
      </c>
      <c r="U220" s="5">
        <f>Table20[[#This Row],[Number of options]]*Table20[[#This Row],[AvePrice]]*100*Table20[[#This Row],[Buy or Sell]]</f>
        <v>257</v>
      </c>
      <c r="V220" s="8">
        <f>Table20[[#This Row],[Number of options]]-Table20[[#This Row],[Exit1]]-Table20[[#This Row],[Exit2]]</f>
        <v>0</v>
      </c>
      <c r="W220" s="30">
        <f ca="1">(Table20[[#This Row],[Expiration Date]]-TODAY())/365</f>
        <v>-1.4931506849315068</v>
      </c>
      <c r="X220" s="30" t="e">
        <f ca="1">(LN(Table20[[#This Row],[Current Price]]/Table20[[#This Row],[strike_price]]) + ($B$2 + (Table20[[#This Row],[Vol]]^2)/2)*Table20[[#This Row],[Time to expiration]]) / (Table20[[#This Row],[Vol]] * SQRT(Table20[[#This Row],[Time to expiration]]))</f>
        <v>#NUM!</v>
      </c>
      <c r="Y220" s="30" t="e">
        <f ca="1">IF(Table20[[#This Row],[Direction]]&gt;0, _xlfn.NORM.S.DIST(Table20[[#This Row],[d1]], TRUE), _xlfn.NORM.S.DIST(Table20[[#This Row],[d1]], TRUE) - 1) * Table20[[#This Row],[Buy or Sell]]</f>
        <v>#NUM!</v>
      </c>
      <c r="Z220" s="9">
        <f ca="1">Table20[[#This Row],[Remaining]]*Table20[[#This Row],[Current Price]]*100</f>
        <v>0</v>
      </c>
      <c r="AA220" s="22">
        <f ca="1">IFERROR(Table20[[#This Row],[nominal_exposure]]*Table20[[#This Row],[Delta]],0)</f>
        <v>0</v>
      </c>
      <c r="AB220" s="30" t="b">
        <f>IF(Table20[[#This Row],[date_purchased]]&lt;&gt;Table20[[#This Row],[Expiration Date]],FALSE,TRUE)</f>
        <v>0</v>
      </c>
      <c r="AC220" s="30" t="str">
        <f>VLOOKUP(Table20[[#This Row],[Asset]],Table19[#All],3,FALSE)</f>
        <v>Consumer Discretionary</v>
      </c>
      <c r="AD220" s="4">
        <f>IF(Table20[[#This Row],[Remaining]]&lt;&gt;0,Table20[[#This Row],[Invested]]*Table20[[#This Row],[Remaining]]/Table20[[#This Row],[Number of options]],0)</f>
        <v>0</v>
      </c>
      <c r="AE220" s="4">
        <f ca="1">SUMIF(Table20[Ticker],Table20[[#This Row],[Ticker]],Table20[realized_profit])</f>
        <v>-1317.0000000000002</v>
      </c>
      <c r="AF220" s="30" t="str">
        <f>VLOOKUP(Table20[[#This Row],[Strategy]],Table29[#All],7,FALSE)</f>
        <v>Bullish</v>
      </c>
    </row>
    <row r="221" spans="1:32" hidden="1">
      <c r="A221" s="35">
        <v>45555</v>
      </c>
      <c r="B221" s="21" t="e" vm="24">
        <v>#VALUE!</v>
      </c>
      <c r="C221" s="109" t="str" cm="1">
        <f t="array" aca="1" ref="C221" ca="1">_FV(Table20[[#This Row],[Asset]],"Ticker symbol",TRUE)</f>
        <v>QCOM</v>
      </c>
      <c r="D221" s="26" cm="1">
        <f t="array" aca="1" ref="D221" ca="1">_FV(Table20[[#This Row],[Asset]],"Price")</f>
        <v>131.63499999999999</v>
      </c>
      <c r="E221" s="26">
        <v>190</v>
      </c>
      <c r="F221" s="33">
        <v>1</v>
      </c>
      <c r="G221" s="34">
        <v>1</v>
      </c>
      <c r="H221" s="34" t="s">
        <v>113</v>
      </c>
      <c r="I221" s="31">
        <v>45518</v>
      </c>
      <c r="J221" s="26">
        <v>1.34</v>
      </c>
      <c r="K221" s="24">
        <v>0.34250000000000003</v>
      </c>
      <c r="L221" s="33">
        <f>VLOOKUP(Table20[[#This Row],[Strategy]],Table29[#All],6,FALSE)</f>
        <v>1</v>
      </c>
      <c r="M221" s="23">
        <v>1</v>
      </c>
      <c r="N221" s="23">
        <v>0.76</v>
      </c>
      <c r="O221" s="23"/>
      <c r="P221" s="23"/>
      <c r="Q221">
        <f>Table20[[#This Row],[Exit1]]*Table20[[#This Row],[ex1_price]]</f>
        <v>0.76</v>
      </c>
      <c r="R221">
        <f>Table20[[#This Row],[Exit2]]*Table20[[#This Row],[ex2_price]]</f>
        <v>0</v>
      </c>
      <c r="S221">
        <f>IFERROR((Table20[[#This Row],[ex2_amnt]]+Table20[[#This Row],[ex1_amnt]])/(Table20[[#This Row],[Exit2]]+Table20[[#This Row],[Exit1]]),0)</f>
        <v>0.76</v>
      </c>
      <c r="T221" s="5">
        <f>(Table20[[#This Row],[Exit1]]+Table20[[#This Row],[Exit2]])*(Table20[[#This Row],[avg_exit_price]]-Table20[[#This Row],[AvePrice]])*100*Table20[[#This Row],[Buy or Sell]]</f>
        <v>-58.000000000000007</v>
      </c>
      <c r="U221" s="5">
        <f>Table20[[#This Row],[Number of options]]*Table20[[#This Row],[AvePrice]]*100*Table20[[#This Row],[Buy or Sell]]</f>
        <v>134</v>
      </c>
      <c r="V221" s="8">
        <f>Table20[[#This Row],[Number of options]]-Table20[[#This Row],[Exit1]]-Table20[[#This Row],[Exit2]]</f>
        <v>0</v>
      </c>
      <c r="W221" s="30">
        <f ca="1">(Table20[[#This Row],[Expiration Date]]-TODAY())/365</f>
        <v>-1.5123287671232877</v>
      </c>
      <c r="X221" s="30" t="e">
        <f ca="1">(LN(Table20[[#This Row],[Current Price]]/Table20[[#This Row],[strike_price]]) + ($B$2 + (Table20[[#This Row],[Vol]]^2)/2)*Table20[[#This Row],[Time to expiration]]) / (Table20[[#This Row],[Vol]] * SQRT(Table20[[#This Row],[Time to expiration]]))</f>
        <v>#NUM!</v>
      </c>
      <c r="Y221" s="30" t="e">
        <f ca="1">IF(Table20[[#This Row],[Direction]]&gt;0, _xlfn.NORM.S.DIST(Table20[[#This Row],[d1]], TRUE), _xlfn.NORM.S.DIST(Table20[[#This Row],[d1]], TRUE) - 1) * Table20[[#This Row],[Buy or Sell]]</f>
        <v>#NUM!</v>
      </c>
      <c r="Z221" s="9">
        <f ca="1">Table20[[#This Row],[Remaining]]*Table20[[#This Row],[Current Price]]*100</f>
        <v>0</v>
      </c>
      <c r="AA221" s="22">
        <f ca="1">IFERROR(Table20[[#This Row],[nominal_exposure]]*Table20[[#This Row],[Delta]],0)</f>
        <v>0</v>
      </c>
      <c r="AB221" s="30" t="b">
        <f>IF(Table20[[#This Row],[date_purchased]]&lt;&gt;Table20[[#This Row],[Expiration Date]],FALSE,TRUE)</f>
        <v>0</v>
      </c>
      <c r="AC221" s="30" t="str">
        <f>VLOOKUP(Table20[[#This Row],[Asset]],Table19[#All],3,FALSE)</f>
        <v>AI</v>
      </c>
      <c r="AD221" s="4">
        <f>IF(Table20[[#This Row],[Remaining]]&lt;&gt;0,Table20[[#This Row],[Invested]]*Table20[[#This Row],[Remaining]]/Table20[[#This Row],[Number of options]],0)</f>
        <v>0</v>
      </c>
      <c r="AE221" s="4">
        <f ca="1">SUMIF(Table20[Ticker],Table20[[#This Row],[Ticker]],Table20[realized_profit])</f>
        <v>-2175.9999999999995</v>
      </c>
      <c r="AF221" s="30" t="str">
        <f>VLOOKUP(Table20[[#This Row],[Strategy]],Table29[#All],7,FALSE)</f>
        <v>Bullish</v>
      </c>
    </row>
    <row r="222" spans="1:32" hidden="1">
      <c r="A222" s="180">
        <v>45569</v>
      </c>
      <c r="B222" s="21" t="e" vm="96">
        <v>#VALUE!</v>
      </c>
      <c r="C222" s="109" t="str" cm="1">
        <f t="array" aca="1" ref="C222" ca="1">_FV(Table20[[#This Row],[Asset]],"Ticker symbol",TRUE)</f>
        <v>SPY</v>
      </c>
      <c r="D222" s="26" cm="1">
        <f t="array" aca="1" ref="D222" ca="1">_FV(Table20[[#This Row],[Asset]],"Price")</f>
        <v>658.59</v>
      </c>
      <c r="E222" s="26">
        <v>500</v>
      </c>
      <c r="F222" s="33">
        <v>3</v>
      </c>
      <c r="G222" s="34">
        <v>1</v>
      </c>
      <c r="H222" s="34" t="s">
        <v>161</v>
      </c>
      <c r="I222" s="31">
        <v>45544</v>
      </c>
      <c r="J222" s="26">
        <v>1.49</v>
      </c>
      <c r="K222" s="24">
        <v>0.25650000000000001</v>
      </c>
      <c r="L222" s="33">
        <f>VLOOKUP(Table20[[#This Row],[Strategy]],Table29[#All],6,FALSE)</f>
        <v>-1</v>
      </c>
      <c r="M222" s="23">
        <v>3</v>
      </c>
      <c r="N222" s="23">
        <v>0.78</v>
      </c>
      <c r="O222" s="23"/>
      <c r="P222" s="23"/>
      <c r="Q222">
        <f>Table20[[#This Row],[Exit1]]*Table20[[#This Row],[ex1_price]]</f>
        <v>2.34</v>
      </c>
      <c r="R222">
        <f>Table20[[#This Row],[Exit2]]*Table20[[#This Row],[ex2_price]]</f>
        <v>0</v>
      </c>
      <c r="S222">
        <f>IFERROR((Table20[[#This Row],[ex2_amnt]]+Table20[[#This Row],[ex1_amnt]])/(Table20[[#This Row],[Exit2]]+Table20[[#This Row],[Exit1]]),0)</f>
        <v>0.77999999999999992</v>
      </c>
      <c r="T222" s="5">
        <f>(Table20[[#This Row],[Exit1]]+Table20[[#This Row],[Exit2]])*(Table20[[#This Row],[avg_exit_price]]-Table20[[#This Row],[AvePrice]])*100*Table20[[#This Row],[Buy or Sell]]</f>
        <v>-213.00000000000003</v>
      </c>
      <c r="U222" s="5">
        <f>Table20[[#This Row],[Number of options]]*Table20[[#This Row],[AvePrice]]*100*Table20[[#This Row],[Buy or Sell]]</f>
        <v>447</v>
      </c>
      <c r="V222" s="8">
        <f>Table20[[#This Row],[Number of options]]-Table20[[#This Row],[Exit1]]-Table20[[#This Row],[Exit2]]</f>
        <v>0</v>
      </c>
      <c r="W222" s="30">
        <f ca="1">(Table20[[#This Row],[Expiration Date]]-TODAY())/365</f>
        <v>-1.473972602739726</v>
      </c>
      <c r="X222" s="30" t="e">
        <f ca="1">(LN(Table20[[#This Row],[Current Price]]/Table20[[#This Row],[strike_price]]) + ($B$2 + (Table20[[#This Row],[Vol]]^2)/2)*Table20[[#This Row],[Time to expiration]]) / (Table20[[#This Row],[Vol]] * SQRT(Table20[[#This Row],[Time to expiration]]))</f>
        <v>#NUM!</v>
      </c>
      <c r="Y222" s="30" t="e">
        <f ca="1">IF(Table20[[#This Row],[Direction]]&gt;0, _xlfn.NORM.S.DIST(Table20[[#This Row],[d1]], TRUE), _xlfn.NORM.S.DIST(Table20[[#This Row],[d1]], TRUE) - 1) * Table20[[#This Row],[Buy or Sell]]</f>
        <v>#NUM!</v>
      </c>
      <c r="Z222" s="9">
        <f ca="1">Table20[[#This Row],[Remaining]]*Table20[[#This Row],[Current Price]]*100</f>
        <v>0</v>
      </c>
      <c r="AA222" s="22">
        <f ca="1">IFERROR(Table20[[#This Row],[nominal_exposure]]*Table20[[#This Row],[Delta]],0)</f>
        <v>0</v>
      </c>
      <c r="AB222" s="30" t="b">
        <f>IF(Table20[[#This Row],[date_purchased]]&lt;&gt;Table20[[#This Row],[Expiration Date]],FALSE,TRUE)</f>
        <v>0</v>
      </c>
      <c r="AC222" s="30" t="str">
        <f>VLOOKUP(Table20[[#This Row],[Asset]],Table19[#All],3,FALSE)</f>
        <v>Market</v>
      </c>
      <c r="AD222" s="30">
        <f>IF(Table20[[#This Row],[Remaining]]&lt;&gt;0,Table20[[#This Row],[Invested]]*Table20[[#This Row],[Remaining]]/Table20[[#This Row],[Number of options]],0)</f>
        <v>0</v>
      </c>
      <c r="AE222" s="30">
        <f ca="1">SUMIF(Table20[Ticker],Table20[[#This Row],[Ticker]],Table20[realized_profit])</f>
        <v>-5077</v>
      </c>
      <c r="AF222" s="30" t="str">
        <f>VLOOKUP(Table20[[#This Row],[Strategy]],Table29[#All],7,FALSE)</f>
        <v>Bearish</v>
      </c>
    </row>
    <row r="223" spans="1:32" hidden="1">
      <c r="A223" s="35">
        <v>45674</v>
      </c>
      <c r="B223" s="21" t="e" vm="240">
        <v>#VALUE!</v>
      </c>
      <c r="C223" s="109" t="str" cm="1">
        <f t="array" aca="1" ref="C223" ca="1">_FV(Table20[[#This Row],[Asset]],"Ticker symbol",TRUE)</f>
        <v>SBSW</v>
      </c>
      <c r="D223" s="26" cm="1">
        <f t="array" aca="1" ref="D223" ca="1">_FV(Table20[[#This Row],[Asset]],"Price")</f>
        <v>12.03</v>
      </c>
      <c r="E223" s="26">
        <v>5</v>
      </c>
      <c r="F223" s="33">
        <v>8</v>
      </c>
      <c r="G223" s="34">
        <v>1</v>
      </c>
      <c r="H223" s="111" t="s">
        <v>113</v>
      </c>
      <c r="I223" s="31">
        <v>45408</v>
      </c>
      <c r="J223" s="26">
        <v>1.07</v>
      </c>
      <c r="K223" s="24">
        <v>0.60399999999999998</v>
      </c>
      <c r="L223" s="33">
        <f>VLOOKUP(Table20[[#This Row],[Strategy]],Table29[#All],6,FALSE)</f>
        <v>1</v>
      </c>
      <c r="M223" s="23">
        <v>8</v>
      </c>
      <c r="N223" s="23">
        <v>0.3</v>
      </c>
      <c r="O223" s="23"/>
      <c r="P223" s="23"/>
      <c r="Q223">
        <f>Table20[[#This Row],[Exit1]]*Table20[[#This Row],[ex1_price]]</f>
        <v>2.4</v>
      </c>
      <c r="R223">
        <f>Table20[[#This Row],[Exit2]]*Table20[[#This Row],[ex2_price]]</f>
        <v>0</v>
      </c>
      <c r="S223">
        <f>IFERROR((Table20[[#This Row],[ex2_amnt]]+Table20[[#This Row],[ex1_amnt]])/(Table20[[#This Row],[Exit2]]+Table20[[#This Row],[Exit1]]),0)</f>
        <v>0.3</v>
      </c>
      <c r="T223" s="5">
        <f>(Table20[[#This Row],[Exit1]]+Table20[[#This Row],[Exit2]])*(Table20[[#This Row],[avg_exit_price]]-Table20[[#This Row],[AvePrice]])*100*Table20[[#This Row],[Buy or Sell]]</f>
        <v>-616</v>
      </c>
      <c r="U223" s="5">
        <f>Table20[[#This Row],[Number of options]]*Table20[[#This Row],[AvePrice]]*100*Table20[[#This Row],[Buy or Sell]]</f>
        <v>856</v>
      </c>
      <c r="V223" s="8">
        <f>Table20[[#This Row],[Number of options]]-Table20[[#This Row],[Exit1]]-Table20[[#This Row],[Exit2]]</f>
        <v>0</v>
      </c>
      <c r="W223" s="30">
        <f ca="1">(Table20[[#This Row],[Expiration Date]]-TODAY())/365</f>
        <v>-1.1863013698630136</v>
      </c>
      <c r="X223" s="30" t="e">
        <f ca="1">(LN(Table20[[#This Row],[Current Price]]/Table20[[#This Row],[strike_price]]) + ($B$2 + (Table20[[#This Row],[Vol]]^2)/2)*Table20[[#This Row],[Time to expiration]]) / (Table20[[#This Row],[Vol]] * SQRT(Table20[[#This Row],[Time to expiration]]))</f>
        <v>#NUM!</v>
      </c>
      <c r="Y223" s="30" t="e">
        <f ca="1">IF(Table20[[#This Row],[Direction]]&gt;0, _xlfn.NORM.S.DIST(Table20[[#This Row],[d1]], TRUE), _xlfn.NORM.S.DIST(Table20[[#This Row],[d1]], TRUE) - 1) * Table20[[#This Row],[Buy or Sell]]</f>
        <v>#NUM!</v>
      </c>
      <c r="Z223" s="9">
        <f ca="1">Table20[[#This Row],[Remaining]]*Table20[[#This Row],[Current Price]]*100</f>
        <v>0</v>
      </c>
      <c r="AA223" s="22">
        <f ca="1">IFERROR(Table20[[#This Row],[nominal_exposure]]*Table20[[#This Row],[Delta]],0)</f>
        <v>0</v>
      </c>
      <c r="AB223" s="99" t="b">
        <f>IF(Table20[[#This Row],[date_purchased]]&lt;&gt;Table20[[#This Row],[Expiration Date]],FALSE,TRUE)</f>
        <v>0</v>
      </c>
      <c r="AC223" s="30" t="str">
        <f>VLOOKUP(Table20[[#This Row],[Asset]],Table19[#All],3,FALSE)</f>
        <v>Mining</v>
      </c>
      <c r="AD223" s="4">
        <f>IF(Table20[[#This Row],[Remaining]]&lt;&gt;0,Table20[[#This Row],[Invested]]*Table20[[#This Row],[Remaining]]/Table20[[#This Row],[Number of options]],0)</f>
        <v>0</v>
      </c>
      <c r="AE223" s="4">
        <f ca="1">SUMIF(Table20[Ticker],Table20[[#This Row],[Ticker]],Table20[realized_profit])</f>
        <v>-616</v>
      </c>
      <c r="AF223" s="30" t="str">
        <f>VLOOKUP(Table20[[#This Row],[Strategy]],Table29[#All],7,FALSE)</f>
        <v>Bullish</v>
      </c>
    </row>
    <row r="224" spans="1:32" hidden="1">
      <c r="A224" s="35">
        <v>45674</v>
      </c>
      <c r="B224" s="21" t="e" vm="422">
        <v>#VALUE!</v>
      </c>
      <c r="C224" s="109" t="str" cm="1">
        <f t="array" aca="1" ref="C224" ca="1">_FV(Table20[[#This Row],[Asset]],"Ticker symbol",TRUE)</f>
        <v>VALE</v>
      </c>
      <c r="D224" s="26" cm="1">
        <f t="array" aca="1" ref="D224" ca="1">_FV(Table20[[#This Row],[Asset]],"Price")</f>
        <v>15.25</v>
      </c>
      <c r="E224" s="26">
        <v>13</v>
      </c>
      <c r="F224" s="33">
        <v>5</v>
      </c>
      <c r="G224" s="34">
        <v>1</v>
      </c>
      <c r="H224" s="111" t="s">
        <v>113</v>
      </c>
      <c r="I224" s="31">
        <v>45467</v>
      </c>
      <c r="J224" s="26">
        <v>0.46</v>
      </c>
      <c r="K224" s="24">
        <v>0.2676</v>
      </c>
      <c r="L224" s="33">
        <f>VLOOKUP(Table20[[#This Row],[Strategy]],Table29[#All],6,FALSE)</f>
        <v>1</v>
      </c>
      <c r="M224" s="23">
        <v>5</v>
      </c>
      <c r="N224" s="23">
        <v>0.13</v>
      </c>
      <c r="O224" s="23"/>
      <c r="P224" s="23"/>
      <c r="Q224">
        <f>Table20[[#This Row],[Exit1]]*Table20[[#This Row],[ex1_price]]</f>
        <v>0.65</v>
      </c>
      <c r="R224">
        <f>Table20[[#This Row],[Exit2]]*Table20[[#This Row],[ex2_price]]</f>
        <v>0</v>
      </c>
      <c r="S224">
        <f>IFERROR((Table20[[#This Row],[ex2_amnt]]+Table20[[#This Row],[ex1_amnt]])/(Table20[[#This Row],[Exit2]]+Table20[[#This Row],[Exit1]]),0)</f>
        <v>0.13</v>
      </c>
      <c r="T224" s="5">
        <f>(Table20[[#This Row],[Exit1]]+Table20[[#This Row],[Exit2]])*(Table20[[#This Row],[avg_exit_price]]-Table20[[#This Row],[AvePrice]])*100*Table20[[#This Row],[Buy or Sell]]</f>
        <v>-165</v>
      </c>
      <c r="U224" s="5">
        <f>Table20[[#This Row],[Number of options]]*Table20[[#This Row],[AvePrice]]*100*Table20[[#This Row],[Buy or Sell]]</f>
        <v>230.00000000000003</v>
      </c>
      <c r="V224" s="8">
        <f>Table20[[#This Row],[Number of options]]-Table20[[#This Row],[Exit1]]-Table20[[#This Row],[Exit2]]</f>
        <v>0</v>
      </c>
      <c r="W224" s="30">
        <f ca="1">(Table20[[#This Row],[Expiration Date]]-TODAY())/365</f>
        <v>-1.1863013698630136</v>
      </c>
      <c r="X224" s="30" t="e">
        <f ca="1">(LN(Table20[[#This Row],[Current Price]]/Table20[[#This Row],[strike_price]]) + ($B$2 + (Table20[[#This Row],[Vol]]^2)/2)*Table20[[#This Row],[Time to expiration]]) / (Table20[[#This Row],[Vol]] * SQRT(Table20[[#This Row],[Time to expiration]]))</f>
        <v>#NUM!</v>
      </c>
      <c r="Y224" s="30" t="e">
        <f ca="1">IF(Table20[[#This Row],[Direction]]&gt;0, _xlfn.NORM.S.DIST(Table20[[#This Row],[d1]], TRUE), _xlfn.NORM.S.DIST(Table20[[#This Row],[d1]], TRUE) - 1) * Table20[[#This Row],[Buy or Sell]]</f>
        <v>#NUM!</v>
      </c>
      <c r="Z224" s="9">
        <f ca="1">Table20[[#This Row],[Remaining]]*Table20[[#This Row],[Current Price]]*100</f>
        <v>0</v>
      </c>
      <c r="AA224" s="22">
        <f ca="1">IFERROR(Table20[[#This Row],[nominal_exposure]]*Table20[[#This Row],[Delta]],0)</f>
        <v>0</v>
      </c>
      <c r="AB224" s="99" t="b">
        <f>IF(Table20[[#This Row],[date_purchased]]&lt;&gt;Table20[[#This Row],[Expiration Date]],FALSE,TRUE)</f>
        <v>0</v>
      </c>
      <c r="AC224" s="30" t="str">
        <f>VLOOKUP(Table20[[#This Row],[Asset]],Table19[#All],3,FALSE)</f>
        <v>Steel</v>
      </c>
      <c r="AD224" s="4">
        <f>IF(Table20[[#This Row],[Remaining]]&lt;&gt;0,Table20[[#This Row],[Invested]]*Table20[[#This Row],[Remaining]]/Table20[[#This Row],[Number of options]],0)</f>
        <v>0</v>
      </c>
      <c r="AE224" s="4">
        <f ca="1">SUMIF(Table20[Ticker],Table20[[#This Row],[Ticker]],Table20[realized_profit])</f>
        <v>-365</v>
      </c>
      <c r="AF224" s="30" t="str">
        <f>VLOOKUP(Table20[[#This Row],[Strategy]],Table29[#All],7,FALSE)</f>
        <v>Bullish</v>
      </c>
    </row>
    <row r="225" spans="1:32" hidden="1">
      <c r="A225" s="35">
        <v>45674</v>
      </c>
      <c r="B225" s="21" t="e" vm="483">
        <v>#VALUE!</v>
      </c>
      <c r="C225" s="109" t="str" cm="1">
        <f t="array" aca="1" ref="C225" ca="1">_FV(Table20[[#This Row],[Asset]],"Ticker symbol",TRUE)</f>
        <v>IEP</v>
      </c>
      <c r="D225" s="26" cm="1">
        <f t="array" aca="1" ref="D225" ca="1">_FV(Table20[[#This Row],[Asset]],"Price")</f>
        <v>7.6150000000000002</v>
      </c>
      <c r="E225" s="26">
        <v>20</v>
      </c>
      <c r="F225" s="33">
        <v>2</v>
      </c>
      <c r="G225" s="34">
        <v>1</v>
      </c>
      <c r="H225" s="111" t="s">
        <v>113</v>
      </c>
      <c r="I225" s="31">
        <v>45408</v>
      </c>
      <c r="J225" s="26">
        <v>1</v>
      </c>
      <c r="K225" s="24">
        <v>0.34739999999999999</v>
      </c>
      <c r="L225" s="33">
        <f>VLOOKUP(Table20[[#This Row],[Strategy]],Table29[#All],6,FALSE)</f>
        <v>1</v>
      </c>
      <c r="M225" s="23">
        <v>2</v>
      </c>
      <c r="N225" s="23">
        <v>0.5</v>
      </c>
      <c r="O225" s="23"/>
      <c r="P225" s="23"/>
      <c r="Q225">
        <f>Table20[[#This Row],[Exit1]]*Table20[[#This Row],[ex1_price]]</f>
        <v>1</v>
      </c>
      <c r="R225">
        <f>Table20[[#This Row],[Exit2]]*Table20[[#This Row],[ex2_price]]</f>
        <v>0</v>
      </c>
      <c r="S225">
        <f>IFERROR((Table20[[#This Row],[ex2_amnt]]+Table20[[#This Row],[ex1_amnt]])/(Table20[[#This Row],[Exit2]]+Table20[[#This Row],[Exit1]]),0)</f>
        <v>0.5</v>
      </c>
      <c r="T225" s="5">
        <f>(Table20[[#This Row],[Exit1]]+Table20[[#This Row],[Exit2]])*(Table20[[#This Row],[avg_exit_price]]-Table20[[#This Row],[AvePrice]])*100*Table20[[#This Row],[Buy or Sell]]</f>
        <v>-100</v>
      </c>
      <c r="U225" s="5">
        <f>Table20[[#This Row],[Number of options]]*Table20[[#This Row],[AvePrice]]*100*Table20[[#This Row],[Buy or Sell]]</f>
        <v>200</v>
      </c>
      <c r="V225" s="8">
        <f>Table20[[#This Row],[Number of options]]-Table20[[#This Row],[Exit1]]-Table20[[#This Row],[Exit2]]</f>
        <v>0</v>
      </c>
      <c r="W225" s="30">
        <f ca="1">(Table20[[#This Row],[Expiration Date]]-TODAY())/365</f>
        <v>-1.1863013698630136</v>
      </c>
      <c r="X225" s="30" t="e">
        <f ca="1">(LN(Table20[[#This Row],[Current Price]]/Table20[[#This Row],[strike_price]]) + ($B$2 + (Table20[[#This Row],[Vol]]^2)/2)*Table20[[#This Row],[Time to expiration]]) / (Table20[[#This Row],[Vol]] * SQRT(Table20[[#This Row],[Time to expiration]]))</f>
        <v>#NUM!</v>
      </c>
      <c r="Y225" s="30" t="e">
        <f ca="1">IF(Table20[[#This Row],[Direction]]&gt;0, _xlfn.NORM.S.DIST(Table20[[#This Row],[d1]], TRUE), _xlfn.NORM.S.DIST(Table20[[#This Row],[d1]], TRUE) - 1) * Table20[[#This Row],[Buy or Sell]]</f>
        <v>#NUM!</v>
      </c>
      <c r="Z225" s="9">
        <f ca="1">Table20[[#This Row],[Remaining]]*Table20[[#This Row],[Current Price]]*100</f>
        <v>0</v>
      </c>
      <c r="AA225" s="22">
        <f ca="1">IFERROR(Table20[[#This Row],[nominal_exposure]]*Table20[[#This Row],[Delta]],0)</f>
        <v>0</v>
      </c>
      <c r="AB225" s="99" t="b">
        <f>IF(Table20[[#This Row],[date_purchased]]&lt;&gt;Table20[[#This Row],[Expiration Date]],FALSE,TRUE)</f>
        <v>0</v>
      </c>
      <c r="AC225" s="30" t="str">
        <f>VLOOKUP(Table20[[#This Row],[Asset]],Table19[#All],3,FALSE)</f>
        <v>Industrials</v>
      </c>
      <c r="AD225" s="4">
        <f>IF(Table20[[#This Row],[Remaining]]&lt;&gt;0,Table20[[#This Row],[Invested]]*Table20[[#This Row],[Remaining]]/Table20[[#This Row],[Number of options]],0)</f>
        <v>0</v>
      </c>
      <c r="AE225" s="4">
        <f ca="1">SUMIF(Table20[Ticker],Table20[[#This Row],[Ticker]],Table20[realized_profit])</f>
        <v>-100</v>
      </c>
      <c r="AF225" s="30" t="str">
        <f>VLOOKUP(Table20[[#This Row],[Strategy]],Table29[#All],7,FALSE)</f>
        <v>Bullish</v>
      </c>
    </row>
    <row r="226" spans="1:32" hidden="1">
      <c r="A226" s="35">
        <v>45674</v>
      </c>
      <c r="B226" s="21" t="e" vm="445">
        <v>#VALUE!</v>
      </c>
      <c r="C226" s="109" t="str" cm="1">
        <f t="array" aca="1" ref="C226" ca="1">_FV(Table20[[#This Row],[Asset]],"Ticker symbol",TRUE)</f>
        <v>NOV</v>
      </c>
      <c r="D226" s="26" cm="1">
        <f t="array" aca="1" ref="D226" ca="1">_FV(Table20[[#This Row],[Asset]],"Price")</f>
        <v>19.684699999999999</v>
      </c>
      <c r="E226" s="26">
        <v>20</v>
      </c>
      <c r="F226" s="33">
        <v>1</v>
      </c>
      <c r="G226" s="34">
        <v>1</v>
      </c>
      <c r="H226" s="111" t="s">
        <v>113</v>
      </c>
      <c r="I226" s="31">
        <v>45425</v>
      </c>
      <c r="J226" s="26">
        <v>1.9</v>
      </c>
      <c r="K226" s="24">
        <v>0.31230000000000002</v>
      </c>
      <c r="L226" s="33">
        <f>VLOOKUP(Table20[[#This Row],[Strategy]],Table29[#All],6,FALSE)</f>
        <v>1</v>
      </c>
      <c r="M226" s="23">
        <v>1</v>
      </c>
      <c r="N226" s="23">
        <v>0.7</v>
      </c>
      <c r="O226" s="23"/>
      <c r="P226" s="23"/>
      <c r="Q226">
        <f>Table20[[#This Row],[Exit1]]*Table20[[#This Row],[ex1_price]]</f>
        <v>0.7</v>
      </c>
      <c r="R226">
        <f>Table20[[#This Row],[Exit2]]*Table20[[#This Row],[ex2_price]]</f>
        <v>0</v>
      </c>
      <c r="S226">
        <f>IFERROR((Table20[[#This Row],[ex2_amnt]]+Table20[[#This Row],[ex1_amnt]])/(Table20[[#This Row],[Exit2]]+Table20[[#This Row],[Exit1]]),0)</f>
        <v>0.7</v>
      </c>
      <c r="T226" s="5">
        <f>(Table20[[#This Row],[Exit1]]+Table20[[#This Row],[Exit2]])*(Table20[[#This Row],[avg_exit_price]]-Table20[[#This Row],[AvePrice]])*100*Table20[[#This Row],[Buy or Sell]]</f>
        <v>-120</v>
      </c>
      <c r="U226" s="5">
        <f>Table20[[#This Row],[Number of options]]*Table20[[#This Row],[AvePrice]]*100*Table20[[#This Row],[Buy or Sell]]</f>
        <v>190</v>
      </c>
      <c r="V226" s="8">
        <f>Table20[[#This Row],[Number of options]]-Table20[[#This Row],[Exit1]]-Table20[[#This Row],[Exit2]]</f>
        <v>0</v>
      </c>
      <c r="W226" s="30">
        <f ca="1">(Table20[[#This Row],[Expiration Date]]-TODAY())/365</f>
        <v>-1.1863013698630136</v>
      </c>
      <c r="X226" s="30" t="e">
        <f ca="1">(LN(Table20[[#This Row],[Current Price]]/Table20[[#This Row],[strike_price]]) + ($B$2 + (Table20[[#This Row],[Vol]]^2)/2)*Table20[[#This Row],[Time to expiration]]) / (Table20[[#This Row],[Vol]] * SQRT(Table20[[#This Row],[Time to expiration]]))</f>
        <v>#NUM!</v>
      </c>
      <c r="Y226" s="30" t="e">
        <f ca="1">IF(Table20[[#This Row],[Direction]]&gt;0, _xlfn.NORM.S.DIST(Table20[[#This Row],[d1]], TRUE), _xlfn.NORM.S.DIST(Table20[[#This Row],[d1]], TRUE) - 1) * Table20[[#This Row],[Buy or Sell]]</f>
        <v>#NUM!</v>
      </c>
      <c r="Z226" s="9">
        <f ca="1">Table20[[#This Row],[Remaining]]*Table20[[#This Row],[Current Price]]*100</f>
        <v>0</v>
      </c>
      <c r="AA226" s="22">
        <f ca="1">IFERROR(Table20[[#This Row],[nominal_exposure]]*Table20[[#This Row],[Delta]],0)</f>
        <v>0</v>
      </c>
      <c r="AB226" s="99" t="b">
        <f>IF(Table20[[#This Row],[date_purchased]]&lt;&gt;Table20[[#This Row],[Expiration Date]],FALSE,TRUE)</f>
        <v>0</v>
      </c>
      <c r="AC226" s="30" t="str">
        <f>VLOOKUP(Table20[[#This Row],[Asset]],Table19[#All],3,FALSE)</f>
        <v>Equipment</v>
      </c>
      <c r="AD226" s="4">
        <f>IF(Table20[[#This Row],[Remaining]]&lt;&gt;0,Table20[[#This Row],[Invested]]*Table20[[#This Row],[Remaining]]/Table20[[#This Row],[Number of options]],0)</f>
        <v>0</v>
      </c>
      <c r="AE226" s="4">
        <f ca="1">SUMIF(Table20[Ticker],Table20[[#This Row],[Ticker]],Table20[realized_profit])</f>
        <v>-120</v>
      </c>
      <c r="AF226" s="30" t="str">
        <f>VLOOKUP(Table20[[#This Row],[Strategy]],Table29[#All],7,FALSE)</f>
        <v>Bullish</v>
      </c>
    </row>
    <row r="227" spans="1:32" hidden="1">
      <c r="A227" s="35">
        <v>45674</v>
      </c>
      <c r="B227" s="21" t="e" vm="56">
        <v>#VALUE!</v>
      </c>
      <c r="C227" s="109" t="str" cm="1">
        <f t="array" aca="1" ref="C227" ca="1">_FV(Table20[[#This Row],[Asset]],"Ticker symbol",TRUE)</f>
        <v>PBF</v>
      </c>
      <c r="D227" s="26" cm="1">
        <f t="array" aca="1" ref="D227" ca="1">_FV(Table20[[#This Row],[Asset]],"Price")</f>
        <v>49.325000000000003</v>
      </c>
      <c r="E227" s="26">
        <v>50</v>
      </c>
      <c r="F227" s="33">
        <v>1</v>
      </c>
      <c r="G227" s="34">
        <v>1</v>
      </c>
      <c r="H227" s="111" t="s">
        <v>113</v>
      </c>
      <c r="I227" s="31">
        <v>45425</v>
      </c>
      <c r="J227" s="26">
        <v>5.75</v>
      </c>
      <c r="K227" s="24">
        <v>0.38500000000000001</v>
      </c>
      <c r="L227" s="33">
        <f>VLOOKUP(Table20[[#This Row],[Strategy]],Table29[#All],6,FALSE)</f>
        <v>1</v>
      </c>
      <c r="M227" s="23">
        <v>1</v>
      </c>
      <c r="N227" s="23">
        <v>0.75</v>
      </c>
      <c r="O227" s="23"/>
      <c r="P227" s="23"/>
      <c r="Q227">
        <f>Table20[[#This Row],[Exit1]]*Table20[[#This Row],[ex1_price]]</f>
        <v>0.75</v>
      </c>
      <c r="R227">
        <f>Table20[[#This Row],[Exit2]]*Table20[[#This Row],[ex2_price]]</f>
        <v>0</v>
      </c>
      <c r="S227">
        <f>IFERROR((Table20[[#This Row],[ex2_amnt]]+Table20[[#This Row],[ex1_amnt]])/(Table20[[#This Row],[Exit2]]+Table20[[#This Row],[Exit1]]),0)</f>
        <v>0.75</v>
      </c>
      <c r="T227" s="5">
        <f>(Table20[[#This Row],[Exit1]]+Table20[[#This Row],[Exit2]])*(Table20[[#This Row],[avg_exit_price]]-Table20[[#This Row],[AvePrice]])*100*Table20[[#This Row],[Buy or Sell]]</f>
        <v>-500</v>
      </c>
      <c r="U227" s="5">
        <f>Table20[[#This Row],[Number of options]]*Table20[[#This Row],[AvePrice]]*100*Table20[[#This Row],[Buy or Sell]]</f>
        <v>575</v>
      </c>
      <c r="V227" s="8">
        <f>Table20[[#This Row],[Number of options]]-Table20[[#This Row],[Exit1]]-Table20[[#This Row],[Exit2]]</f>
        <v>0</v>
      </c>
      <c r="W227" s="30">
        <f ca="1">(Table20[[#This Row],[Expiration Date]]-TODAY())/365</f>
        <v>-1.1863013698630136</v>
      </c>
      <c r="X227" s="30" t="e">
        <f ca="1">(LN(Table20[[#This Row],[Current Price]]/Table20[[#This Row],[strike_price]]) + ($B$2 + (Table20[[#This Row],[Vol]]^2)/2)*Table20[[#This Row],[Time to expiration]]) / (Table20[[#This Row],[Vol]] * SQRT(Table20[[#This Row],[Time to expiration]]))</f>
        <v>#NUM!</v>
      </c>
      <c r="Y227" s="30" t="e">
        <f ca="1">IF(Table20[[#This Row],[Direction]]&gt;0, _xlfn.NORM.S.DIST(Table20[[#This Row],[d1]], TRUE), _xlfn.NORM.S.DIST(Table20[[#This Row],[d1]], TRUE) - 1) * Table20[[#This Row],[Buy or Sell]]</f>
        <v>#NUM!</v>
      </c>
      <c r="Z227" s="9">
        <f ca="1">Table20[[#This Row],[Remaining]]*Table20[[#This Row],[Current Price]]*100</f>
        <v>0</v>
      </c>
      <c r="AA227" s="22">
        <f ca="1">IFERROR(Table20[[#This Row],[nominal_exposure]]*Table20[[#This Row],[Delta]],0)</f>
        <v>0</v>
      </c>
      <c r="AB227" s="99" t="b">
        <f>IF(Table20[[#This Row],[date_purchased]]&lt;&gt;Table20[[#This Row],[Expiration Date]],FALSE,TRUE)</f>
        <v>0</v>
      </c>
      <c r="AC227" s="30" t="str">
        <f>VLOOKUP(Table20[[#This Row],[Asset]],Table19[#All],3,FALSE)</f>
        <v>Energy</v>
      </c>
      <c r="AD227" s="4">
        <f>IF(Table20[[#This Row],[Remaining]]&lt;&gt;0,Table20[[#This Row],[Invested]]*Table20[[#This Row],[Remaining]]/Table20[[#This Row],[Number of options]],0)</f>
        <v>0</v>
      </c>
      <c r="AE227" s="4">
        <f ca="1">SUMIF(Table20[Ticker],Table20[[#This Row],[Ticker]],Table20[realized_profit])</f>
        <v>-790</v>
      </c>
      <c r="AF227" s="30" t="str">
        <f>VLOOKUP(Table20[[#This Row],[Strategy]],Table29[#All],7,FALSE)</f>
        <v>Bullish</v>
      </c>
    </row>
    <row r="228" spans="1:32" hidden="1">
      <c r="A228" s="180">
        <v>45569</v>
      </c>
      <c r="B228" s="21" t="e" vm="96">
        <v>#VALUE!</v>
      </c>
      <c r="C228" s="109" t="str" cm="1">
        <f t="array" aca="1" ref="C228" ca="1">_FV(Table20[[#This Row],[Asset]],"Ticker symbol",TRUE)</f>
        <v>SPY</v>
      </c>
      <c r="D228" s="26" cm="1">
        <f t="array" aca="1" ref="D228" ca="1">_FV(Table20[[#This Row],[Asset]],"Price")</f>
        <v>658.59</v>
      </c>
      <c r="E228" s="26">
        <v>570</v>
      </c>
      <c r="F228" s="33">
        <v>3</v>
      </c>
      <c r="G228" s="34">
        <v>1</v>
      </c>
      <c r="H228" s="34" t="s">
        <v>113</v>
      </c>
      <c r="I228" s="31">
        <v>45539</v>
      </c>
      <c r="J228" s="26">
        <v>2.0699999999999998</v>
      </c>
      <c r="K228" s="24">
        <v>0.19</v>
      </c>
      <c r="L228" s="33">
        <f>VLOOKUP(Table20[[#This Row],[Strategy]],Table29[#All],6,FALSE)</f>
        <v>1</v>
      </c>
      <c r="M228" s="23">
        <v>3</v>
      </c>
      <c r="N228" s="23">
        <v>1.51</v>
      </c>
      <c r="O228" s="23"/>
      <c r="P228" s="23"/>
      <c r="Q228">
        <f>Table20[[#This Row],[Exit1]]*Table20[[#This Row],[ex1_price]]</f>
        <v>4.53</v>
      </c>
      <c r="R228">
        <f>Table20[[#This Row],[Exit2]]*Table20[[#This Row],[ex2_price]]</f>
        <v>0</v>
      </c>
      <c r="S228">
        <f>IFERROR((Table20[[#This Row],[ex2_amnt]]+Table20[[#This Row],[ex1_amnt]])/(Table20[[#This Row],[Exit2]]+Table20[[#This Row],[Exit1]]),0)</f>
        <v>1.51</v>
      </c>
      <c r="T228" s="5">
        <f>(Table20[[#This Row],[Exit1]]+Table20[[#This Row],[Exit2]])*(Table20[[#This Row],[avg_exit_price]]-Table20[[#This Row],[AvePrice]])*100*Table20[[#This Row],[Buy or Sell]]</f>
        <v>-167.99999999999994</v>
      </c>
      <c r="U228" s="5">
        <f>Table20[[#This Row],[Number of options]]*Table20[[#This Row],[AvePrice]]*100*Table20[[#This Row],[Buy or Sell]]</f>
        <v>620.99999999999989</v>
      </c>
      <c r="V228" s="8">
        <f>Table20[[#This Row],[Number of options]]-Table20[[#This Row],[Exit1]]-Table20[[#This Row],[Exit2]]</f>
        <v>0</v>
      </c>
      <c r="W228" s="30">
        <f ca="1">(Table20[[#This Row],[Expiration Date]]-TODAY())/365</f>
        <v>-1.473972602739726</v>
      </c>
      <c r="X228" s="30" t="e">
        <f ca="1">(LN(Table20[[#This Row],[Current Price]]/Table20[[#This Row],[strike_price]]) + ($B$2 + (Table20[[#This Row],[Vol]]^2)/2)*Table20[[#This Row],[Time to expiration]]) / (Table20[[#This Row],[Vol]] * SQRT(Table20[[#This Row],[Time to expiration]]))</f>
        <v>#NUM!</v>
      </c>
      <c r="Y228" s="30" t="e">
        <f ca="1">IF(Table20[[#This Row],[Direction]]&gt;0, _xlfn.NORM.S.DIST(Table20[[#This Row],[d1]], TRUE), _xlfn.NORM.S.DIST(Table20[[#This Row],[d1]], TRUE) - 1) * Table20[[#This Row],[Buy or Sell]]</f>
        <v>#NUM!</v>
      </c>
      <c r="Z228" s="9">
        <f ca="1">Table20[[#This Row],[Remaining]]*Table20[[#This Row],[Current Price]]*100</f>
        <v>0</v>
      </c>
      <c r="AA228" s="22">
        <f ca="1">IFERROR(Table20[[#This Row],[nominal_exposure]]*Table20[[#This Row],[Delta]],0)</f>
        <v>0</v>
      </c>
      <c r="AB228" s="30" t="b">
        <f>IF(Table20[[#This Row],[date_purchased]]&lt;&gt;Table20[[#This Row],[Expiration Date]],FALSE,TRUE)</f>
        <v>0</v>
      </c>
      <c r="AC228" s="30" t="str">
        <f>VLOOKUP(Table20[[#This Row],[Asset]],Table19[#All],3,FALSE)</f>
        <v>Market</v>
      </c>
      <c r="AD228" s="30">
        <f>IF(Table20[[#This Row],[Remaining]]&lt;&gt;0,Table20[[#This Row],[Invested]]*Table20[[#This Row],[Remaining]]/Table20[[#This Row],[Number of options]],0)</f>
        <v>0</v>
      </c>
      <c r="AE228" s="30">
        <f ca="1">SUMIF(Table20[Ticker],Table20[[#This Row],[Ticker]],Table20[realized_profit])</f>
        <v>-5077</v>
      </c>
      <c r="AF228" s="30" t="str">
        <f>VLOOKUP(Table20[[#This Row],[Strategy]],Table29[#All],7,FALSE)</f>
        <v>Bullish</v>
      </c>
    </row>
    <row r="229" spans="1:32" hidden="1">
      <c r="A229" s="201">
        <v>45569</v>
      </c>
      <c r="B229" s="21" t="e" vm="96">
        <v>#VALUE!</v>
      </c>
      <c r="C229" s="109" t="str" cm="1">
        <f t="array" aca="1" ref="C229" ca="1">_FV(Table20[[#This Row],[Asset]],"Ticker symbol",TRUE)</f>
        <v>SPY</v>
      </c>
      <c r="D229" s="26" cm="1">
        <f t="array" aca="1" ref="D229" ca="1">_FV(Table20[[#This Row],[Asset]],"Price")</f>
        <v>658.59</v>
      </c>
      <c r="E229" s="26">
        <v>540</v>
      </c>
      <c r="F229" s="33">
        <v>1</v>
      </c>
      <c r="G229" s="34">
        <v>1</v>
      </c>
      <c r="H229" s="34" t="s">
        <v>161</v>
      </c>
      <c r="I229" s="31">
        <v>45546</v>
      </c>
      <c r="J229" s="26">
        <v>4.51</v>
      </c>
      <c r="K229" s="24">
        <v>0.18590000000000001</v>
      </c>
      <c r="L229" s="33">
        <f>VLOOKUP(Table20[[#This Row],[Strategy]],Table29[#All],6,FALSE)</f>
        <v>-1</v>
      </c>
      <c r="M229" s="23">
        <v>1</v>
      </c>
      <c r="N229" s="23">
        <v>1.59</v>
      </c>
      <c r="O229" s="23"/>
      <c r="P229" s="23"/>
      <c r="Q229">
        <f>Table20[[#This Row],[Exit1]]*Table20[[#This Row],[ex1_price]]</f>
        <v>1.59</v>
      </c>
      <c r="R229">
        <f>Table20[[#This Row],[Exit2]]*Table20[[#This Row],[ex2_price]]</f>
        <v>0</v>
      </c>
      <c r="S229">
        <f>IFERROR((Table20[[#This Row],[ex2_amnt]]+Table20[[#This Row],[ex1_amnt]])/(Table20[[#This Row],[Exit2]]+Table20[[#This Row],[Exit1]]),0)</f>
        <v>1.59</v>
      </c>
      <c r="T229" s="5">
        <f>(Table20[[#This Row],[Exit1]]+Table20[[#This Row],[Exit2]])*(Table20[[#This Row],[avg_exit_price]]-Table20[[#This Row],[AvePrice]])*100*Table20[[#This Row],[Buy or Sell]]</f>
        <v>-292</v>
      </c>
      <c r="U229" s="5">
        <f>Table20[[#This Row],[Number of options]]*Table20[[#This Row],[AvePrice]]*100*Table20[[#This Row],[Buy or Sell]]</f>
        <v>451</v>
      </c>
      <c r="V229" s="8">
        <f>Table20[[#This Row],[Number of options]]-Table20[[#This Row],[Exit1]]-Table20[[#This Row],[Exit2]]</f>
        <v>0</v>
      </c>
      <c r="W229" s="30">
        <f ca="1">(Table20[[#This Row],[Expiration Date]]-TODAY())/365</f>
        <v>-1.473972602739726</v>
      </c>
      <c r="X229" s="30" t="e">
        <f ca="1">(LN(Table20[[#This Row],[Current Price]]/Table20[[#This Row],[strike_price]]) + ($B$2 + (Table20[[#This Row],[Vol]]^2)/2)*Table20[[#This Row],[Time to expiration]]) / (Table20[[#This Row],[Vol]] * SQRT(Table20[[#This Row],[Time to expiration]]))</f>
        <v>#NUM!</v>
      </c>
      <c r="Y229" s="30" t="e">
        <f ca="1">IF(Table20[[#This Row],[Direction]]&gt;0, _xlfn.NORM.S.DIST(Table20[[#This Row],[d1]], TRUE), _xlfn.NORM.S.DIST(Table20[[#This Row],[d1]], TRUE) - 1) * Table20[[#This Row],[Buy or Sell]]</f>
        <v>#NUM!</v>
      </c>
      <c r="Z229" s="9">
        <f ca="1">Table20[[#This Row],[Remaining]]*Table20[[#This Row],[Current Price]]*100</f>
        <v>0</v>
      </c>
      <c r="AA229" s="22">
        <f ca="1">IFERROR(Table20[[#This Row],[nominal_exposure]]*Table20[[#This Row],[Delta]],0)</f>
        <v>0</v>
      </c>
      <c r="AB229" s="30" t="b">
        <f>IF(Table20[[#This Row],[date_purchased]]&lt;&gt;Table20[[#This Row],[Expiration Date]],FALSE,TRUE)</f>
        <v>0</v>
      </c>
      <c r="AC229" s="30" t="str">
        <f>VLOOKUP(Table20[[#This Row],[Asset]],Table19[#All],3,FALSE)</f>
        <v>Market</v>
      </c>
      <c r="AD229" s="30">
        <f>IF(Table20[[#This Row],[Remaining]]&lt;&gt;0,Table20[[#This Row],[Invested]]*Table20[[#This Row],[Remaining]]/Table20[[#This Row],[Number of options]],0)</f>
        <v>0</v>
      </c>
      <c r="AE229" s="30">
        <f ca="1">SUMIF(Table20[Ticker],Table20[[#This Row],[Ticker]],Table20[realized_profit])</f>
        <v>-5077</v>
      </c>
      <c r="AF229" s="30" t="str">
        <f>VLOOKUP(Table20[[#This Row],[Strategy]],Table29[#All],7,FALSE)</f>
        <v>Bearish</v>
      </c>
    </row>
    <row r="230" spans="1:32" hidden="1">
      <c r="A230" s="180">
        <v>45569</v>
      </c>
      <c r="B230" s="21" t="e" vm="96">
        <v>#VALUE!</v>
      </c>
      <c r="C230" s="109" t="str" cm="1">
        <f t="array" aca="1" ref="C230" ca="1">_FV(Table20[[#This Row],[Asset]],"Ticker symbol",TRUE)</f>
        <v>SPY</v>
      </c>
      <c r="D230" s="26" cm="1">
        <f t="array" aca="1" ref="D230" ca="1">_FV(Table20[[#This Row],[Asset]],"Price")</f>
        <v>658.59</v>
      </c>
      <c r="E230" s="26">
        <v>550</v>
      </c>
      <c r="F230" s="33">
        <v>1</v>
      </c>
      <c r="G230" s="34">
        <v>-1</v>
      </c>
      <c r="H230" s="34" t="s">
        <v>161</v>
      </c>
      <c r="I230" s="31">
        <v>45558</v>
      </c>
      <c r="J230" s="26">
        <v>0.9</v>
      </c>
      <c r="K230" s="24">
        <v>0.17100000000000001</v>
      </c>
      <c r="L230" s="33">
        <f>VLOOKUP(Table20[[#This Row],[Strategy]],Table29[#All],6,FALSE)</f>
        <v>-1</v>
      </c>
      <c r="M230" s="23">
        <v>1</v>
      </c>
      <c r="N230" s="23">
        <v>0.01</v>
      </c>
      <c r="O230" s="23"/>
      <c r="P230" s="23"/>
      <c r="Q230">
        <f>Table20[[#This Row],[Exit1]]*Table20[[#This Row],[ex1_price]]</f>
        <v>0.01</v>
      </c>
      <c r="R230">
        <f>Table20[[#This Row],[Exit2]]*Table20[[#This Row],[ex2_price]]</f>
        <v>0</v>
      </c>
      <c r="S230">
        <f>IFERROR((Table20[[#This Row],[ex2_amnt]]+Table20[[#This Row],[ex1_amnt]])/(Table20[[#This Row],[Exit2]]+Table20[[#This Row],[Exit1]]),0)</f>
        <v>0.01</v>
      </c>
      <c r="T230" s="5">
        <f>(Table20[[#This Row],[Exit1]]+Table20[[#This Row],[Exit2]])*(Table20[[#This Row],[avg_exit_price]]-Table20[[#This Row],[AvePrice]])*100*Table20[[#This Row],[Buy or Sell]]</f>
        <v>89</v>
      </c>
      <c r="U230" s="5">
        <f>Table20[[#This Row],[Number of options]]*Table20[[#This Row],[AvePrice]]*100*Table20[[#This Row],[Buy or Sell]]</f>
        <v>-90</v>
      </c>
      <c r="V230" s="8">
        <f>Table20[[#This Row],[Number of options]]-Table20[[#This Row],[Exit1]]-Table20[[#This Row],[Exit2]]</f>
        <v>0</v>
      </c>
      <c r="W230" s="30">
        <f ca="1">(Table20[[#This Row],[Expiration Date]]-TODAY())/365</f>
        <v>-1.473972602739726</v>
      </c>
      <c r="X230" s="30" t="e">
        <f ca="1">(LN(Table20[[#This Row],[Current Price]]/Table20[[#This Row],[strike_price]]) + ($B$2 + (Table20[[#This Row],[Vol]]^2)/2)*Table20[[#This Row],[Time to expiration]]) / (Table20[[#This Row],[Vol]] * SQRT(Table20[[#This Row],[Time to expiration]]))</f>
        <v>#NUM!</v>
      </c>
      <c r="Y230" s="30" t="e">
        <f ca="1">IF(Table20[[#This Row],[Direction]]&gt;0, _xlfn.NORM.S.DIST(Table20[[#This Row],[d1]], TRUE), _xlfn.NORM.S.DIST(Table20[[#This Row],[d1]], TRUE) - 1) * Table20[[#This Row],[Buy or Sell]]</f>
        <v>#NUM!</v>
      </c>
      <c r="Z230" s="9">
        <f ca="1">Table20[[#This Row],[Remaining]]*Table20[[#This Row],[Current Price]]*100</f>
        <v>0</v>
      </c>
      <c r="AA230" s="22">
        <f ca="1">IFERROR(Table20[[#This Row],[nominal_exposure]]*Table20[[#This Row],[Delta]],0)</f>
        <v>0</v>
      </c>
      <c r="AB230" s="30" t="b">
        <f>IF(Table20[[#This Row],[date_purchased]]&lt;&gt;Table20[[#This Row],[Expiration Date]],FALSE,TRUE)</f>
        <v>0</v>
      </c>
      <c r="AC230" s="30" t="str">
        <f>VLOOKUP(Table20[[#This Row],[Asset]],Table19[#All],3,FALSE)</f>
        <v>Market</v>
      </c>
      <c r="AD230" s="30">
        <f>IF(Table20[[#This Row],[Remaining]]&lt;&gt;0,Table20[[#This Row],[Invested]]*Table20[[#This Row],[Remaining]]/Table20[[#This Row],[Number of options]],0)</f>
        <v>0</v>
      </c>
      <c r="AE230" s="30">
        <f ca="1">SUMIF(Table20[Ticker],Table20[[#This Row],[Ticker]],Table20[realized_profit])</f>
        <v>-5077</v>
      </c>
      <c r="AF230" s="30" t="str">
        <f>VLOOKUP(Table20[[#This Row],[Strategy]],Table29[#All],7,FALSE)</f>
        <v>Bearish</v>
      </c>
    </row>
    <row r="231" spans="1:32" hidden="1">
      <c r="A231" s="180">
        <v>45674</v>
      </c>
      <c r="B231" s="21" t="e" vm="151">
        <v>#VALUE!</v>
      </c>
      <c r="C231" s="109" t="str" cm="1">
        <f t="array" aca="1" ref="C231" ca="1">_FV(Table20[[#This Row],[Asset]],"Ticker symbol",TRUE)</f>
        <v>TLT</v>
      </c>
      <c r="D231" s="26" cm="1">
        <f t="array" aca="1" ref="D231" ca="1">_FV(Table20[[#This Row],[Asset]],"Price")</f>
        <v>86.743499999999997</v>
      </c>
      <c r="E231" s="26">
        <v>110</v>
      </c>
      <c r="F231" s="33">
        <v>5</v>
      </c>
      <c r="G231" s="34">
        <v>1</v>
      </c>
      <c r="H231" s="34" t="s">
        <v>113</v>
      </c>
      <c r="I231" s="31">
        <v>45518</v>
      </c>
      <c r="J231" s="26">
        <v>1.0900000000000001</v>
      </c>
      <c r="K231" s="24">
        <v>0.16039999999999999</v>
      </c>
      <c r="L231" s="33">
        <f>VLOOKUP(Table20[[#This Row],[Strategy]],Table29[#All],6,FALSE)</f>
        <v>1</v>
      </c>
      <c r="M231" s="23">
        <v>5</v>
      </c>
      <c r="N231" s="23">
        <v>0.88</v>
      </c>
      <c r="O231" s="23"/>
      <c r="P231" s="23"/>
      <c r="Q231">
        <f>Table20[[#This Row],[Exit1]]*Table20[[#This Row],[ex1_price]]</f>
        <v>4.4000000000000004</v>
      </c>
      <c r="R231">
        <f>Table20[[#This Row],[Exit2]]*Table20[[#This Row],[ex2_price]]</f>
        <v>0</v>
      </c>
      <c r="S231">
        <f>IFERROR((Table20[[#This Row],[ex2_amnt]]+Table20[[#This Row],[ex1_amnt]])/(Table20[[#This Row],[Exit2]]+Table20[[#This Row],[Exit1]]),0)</f>
        <v>0.88000000000000012</v>
      </c>
      <c r="T231" s="5">
        <f>(Table20[[#This Row],[Exit1]]+Table20[[#This Row],[Exit2]])*(Table20[[#This Row],[avg_exit_price]]-Table20[[#This Row],[AvePrice]])*100*Table20[[#This Row],[Buy or Sell]]</f>
        <v>-104.99999999999999</v>
      </c>
      <c r="U231" s="5">
        <f>Table20[[#This Row],[Number of options]]*Table20[[#This Row],[AvePrice]]*100*Table20[[#This Row],[Buy or Sell]]</f>
        <v>545</v>
      </c>
      <c r="V231" s="8">
        <f>Table20[[#This Row],[Number of options]]-Table20[[#This Row],[Exit1]]-Table20[[#This Row],[Exit2]]</f>
        <v>0</v>
      </c>
      <c r="W231" s="30">
        <f ca="1">(Table20[[#This Row],[Expiration Date]]-TODAY())/365</f>
        <v>-1.1863013698630136</v>
      </c>
      <c r="X231" s="30" t="e">
        <f ca="1">(LN(Table20[[#This Row],[Current Price]]/Table20[[#This Row],[strike_price]]) + ($B$2 + (Table20[[#This Row],[Vol]]^2)/2)*Table20[[#This Row],[Time to expiration]]) / (Table20[[#This Row],[Vol]] * SQRT(Table20[[#This Row],[Time to expiration]]))</f>
        <v>#NUM!</v>
      </c>
      <c r="Y231" s="30" t="e">
        <f ca="1">IF(Table20[[#This Row],[Direction]]&gt;0, _xlfn.NORM.S.DIST(Table20[[#This Row],[d1]], TRUE), _xlfn.NORM.S.DIST(Table20[[#This Row],[d1]], TRUE) - 1) * Table20[[#This Row],[Buy or Sell]]</f>
        <v>#NUM!</v>
      </c>
      <c r="Z231" s="9">
        <f ca="1">Table20[[#This Row],[Remaining]]*Table20[[#This Row],[Current Price]]*100</f>
        <v>0</v>
      </c>
      <c r="AA231" s="22">
        <f ca="1">IFERROR(Table20[[#This Row],[nominal_exposure]]*Table20[[#This Row],[Delta]],0)</f>
        <v>0</v>
      </c>
      <c r="AB231" s="30" t="b">
        <f>IF(Table20[[#This Row],[date_purchased]]&lt;&gt;Table20[[#This Row],[Expiration Date]],FALSE,TRUE)</f>
        <v>0</v>
      </c>
      <c r="AC231" s="30" t="str">
        <f>VLOOKUP(Table20[[#This Row],[Asset]],Table19[#All],3,FALSE)</f>
        <v>Market</v>
      </c>
      <c r="AD231" s="4">
        <f>IF(Table20[[#This Row],[Remaining]]&lt;&gt;0,Table20[[#This Row],[Invested]]*Table20[[#This Row],[Remaining]]/Table20[[#This Row],[Number of options]],0)</f>
        <v>0</v>
      </c>
      <c r="AE231" s="4">
        <f ca="1">SUMIF(Table20[Ticker],Table20[[#This Row],[Ticker]],Table20[realized_profit])</f>
        <v>-3328.3599999999997</v>
      </c>
      <c r="AF231" s="30" t="str">
        <f>VLOOKUP(Table20[[#This Row],[Strategy]],Table29[#All],7,FALSE)</f>
        <v>Bullish</v>
      </c>
    </row>
    <row r="232" spans="1:32" hidden="1">
      <c r="A232" s="181">
        <v>45555</v>
      </c>
      <c r="B232" s="21" t="e" vm="32">
        <v>#VALUE!</v>
      </c>
      <c r="C232" s="109" t="str" cm="1">
        <f t="array" aca="1" ref="C232" ca="1">_FV(Table20[[#This Row],[Asset]],"Ticker symbol",TRUE)</f>
        <v>MU</v>
      </c>
      <c r="D232" s="26" cm="1">
        <f t="array" aca="1" ref="D232" ca="1">_FV(Table20[[#This Row],[Asset]],"Price")</f>
        <v>381.57</v>
      </c>
      <c r="E232" s="26">
        <v>90</v>
      </c>
      <c r="F232" s="33">
        <v>2</v>
      </c>
      <c r="G232" s="34">
        <v>1</v>
      </c>
      <c r="H232" s="34" t="s">
        <v>113</v>
      </c>
      <c r="I232" s="31">
        <v>45541</v>
      </c>
      <c r="J232" s="26">
        <v>3.5</v>
      </c>
      <c r="K232" s="24">
        <v>0.52</v>
      </c>
      <c r="L232" s="33">
        <f>VLOOKUP(Table20[[#This Row],[Strategy]],Table29[#All],6,FALSE)</f>
        <v>1</v>
      </c>
      <c r="M232" s="23">
        <v>2</v>
      </c>
      <c r="N232" s="23">
        <v>2.0699999999999998</v>
      </c>
      <c r="O232" s="23"/>
      <c r="P232" s="23"/>
      <c r="Q232">
        <f>Table20[[#This Row],[Exit1]]*Table20[[#This Row],[ex1_price]]</f>
        <v>4.1399999999999997</v>
      </c>
      <c r="R232">
        <f>Table20[[#This Row],[Exit2]]*Table20[[#This Row],[ex2_price]]</f>
        <v>0</v>
      </c>
      <c r="S232">
        <f>IFERROR((Table20[[#This Row],[ex2_amnt]]+Table20[[#This Row],[ex1_amnt]])/(Table20[[#This Row],[Exit2]]+Table20[[#This Row],[Exit1]]),0)</f>
        <v>2.0699999999999998</v>
      </c>
      <c r="T232" s="5">
        <f>(Table20[[#This Row],[Exit1]]+Table20[[#This Row],[Exit2]])*(Table20[[#This Row],[avg_exit_price]]-Table20[[#This Row],[AvePrice]])*100*Table20[[#This Row],[Buy or Sell]]</f>
        <v>-286.00000000000006</v>
      </c>
      <c r="U232" s="5">
        <f>Table20[[#This Row],[Number of options]]*Table20[[#This Row],[AvePrice]]*100*Table20[[#This Row],[Buy or Sell]]</f>
        <v>700</v>
      </c>
      <c r="V232" s="8">
        <f>Table20[[#This Row],[Number of options]]-Table20[[#This Row],[Exit1]]-Table20[[#This Row],[Exit2]]</f>
        <v>0</v>
      </c>
      <c r="W232" s="30">
        <f ca="1">(Table20[[#This Row],[Expiration Date]]-TODAY())/365</f>
        <v>-1.5123287671232877</v>
      </c>
      <c r="X232" s="30" t="e">
        <f ca="1">(LN(Table20[[#This Row],[Current Price]]/Table20[[#This Row],[strike_price]]) + ($B$2 + (Table20[[#This Row],[Vol]]^2)/2)*Table20[[#This Row],[Time to expiration]]) / (Table20[[#This Row],[Vol]] * SQRT(Table20[[#This Row],[Time to expiration]]))</f>
        <v>#NUM!</v>
      </c>
      <c r="Y232" s="30" t="e">
        <f ca="1">IF(Table20[[#This Row],[Direction]]&gt;0, _xlfn.NORM.S.DIST(Table20[[#This Row],[d1]], TRUE), _xlfn.NORM.S.DIST(Table20[[#This Row],[d1]], TRUE) - 1) * Table20[[#This Row],[Buy or Sell]]</f>
        <v>#NUM!</v>
      </c>
      <c r="Z232" s="9">
        <f ca="1">Table20[[#This Row],[Remaining]]*Table20[[#This Row],[Current Price]]*100</f>
        <v>0</v>
      </c>
      <c r="AA232" s="22">
        <f ca="1">IFERROR(Table20[[#This Row],[nominal_exposure]]*Table20[[#This Row],[Delta]],0)</f>
        <v>0</v>
      </c>
      <c r="AB232" s="30" t="b">
        <f>IF(Table20[[#This Row],[date_purchased]]&lt;&gt;Table20[[#This Row],[Expiration Date]],FALSE,TRUE)</f>
        <v>0</v>
      </c>
      <c r="AC232" s="30" t="str">
        <f>VLOOKUP(Table20[[#This Row],[Asset]],Table19[#All],3,FALSE)</f>
        <v>AI</v>
      </c>
      <c r="AD232" s="30">
        <f>IF(Table20[[#This Row],[Remaining]]&lt;&gt;0,Table20[[#This Row],[Invested]]*Table20[[#This Row],[Remaining]]/Table20[[#This Row],[Number of options]],0)</f>
        <v>0</v>
      </c>
      <c r="AE232" s="30">
        <f ca="1">SUMIF(Table20[Ticker],Table20[[#This Row],[Ticker]],Table20[realized_profit])</f>
        <v>-4181</v>
      </c>
      <c r="AF232" s="30" t="str">
        <f>VLOOKUP(Table20[[#This Row],[Strategy]],Table29[#All],7,FALSE)</f>
        <v>Bullish</v>
      </c>
    </row>
    <row r="233" spans="1:32" hidden="1">
      <c r="A233" s="180">
        <v>45565</v>
      </c>
      <c r="B233" s="21" t="e" vm="121">
        <v>#VALUE!</v>
      </c>
      <c r="C233" s="109" t="str" cm="1">
        <f t="array" aca="1" ref="C233" ca="1">_FV(Table20[[#This Row],[Asset]],"Ticker symbol",TRUE)</f>
        <v>IWM</v>
      </c>
      <c r="D233" s="26" cm="1">
        <f t="array" aca="1" ref="D233" ca="1">_FV(Table20[[#This Row],[Asset]],"Price")</f>
        <v>252.46010000000001</v>
      </c>
      <c r="E233" s="26">
        <v>240</v>
      </c>
      <c r="F233" s="33">
        <v>1</v>
      </c>
      <c r="G233" s="34">
        <v>1</v>
      </c>
      <c r="H233" s="34" t="s">
        <v>115</v>
      </c>
      <c r="I233" s="31">
        <v>45505</v>
      </c>
      <c r="J233" s="26">
        <v>3.32</v>
      </c>
      <c r="K233" s="24">
        <v>0.24310000000000001</v>
      </c>
      <c r="L233" s="33">
        <f>VLOOKUP(Table20[[#This Row],[Strategy]],Table29[#All],6,FALSE)</f>
        <v>1</v>
      </c>
      <c r="M233" s="23">
        <v>1</v>
      </c>
      <c r="N233" s="23">
        <v>0.13</v>
      </c>
      <c r="O233" s="23"/>
      <c r="P233" s="23"/>
      <c r="Q233">
        <f>Table20[[#This Row],[Exit1]]*Table20[[#This Row],[ex1_price]]</f>
        <v>0.13</v>
      </c>
      <c r="R233">
        <f>Table20[[#This Row],[Exit2]]*Table20[[#This Row],[ex2_price]]</f>
        <v>0</v>
      </c>
      <c r="S233">
        <f>IFERROR((Table20[[#This Row],[ex2_amnt]]+Table20[[#This Row],[ex1_amnt]])/(Table20[[#This Row],[Exit2]]+Table20[[#This Row],[Exit1]]),0)</f>
        <v>0.13</v>
      </c>
      <c r="T233" s="5">
        <f>(Table20[[#This Row],[Exit1]]+Table20[[#This Row],[Exit2]])*(Table20[[#This Row],[avg_exit_price]]-Table20[[#This Row],[AvePrice]])*100*Table20[[#This Row],[Buy or Sell]]</f>
        <v>-319</v>
      </c>
      <c r="U233" s="5">
        <f>Table20[[#This Row],[Number of options]]*Table20[[#This Row],[AvePrice]]*100*Table20[[#This Row],[Buy or Sell]]</f>
        <v>332</v>
      </c>
      <c r="V233" s="8">
        <f>Table20[[#This Row],[Number of options]]-Table20[[#This Row],[Exit1]]-Table20[[#This Row],[Exit2]]</f>
        <v>0</v>
      </c>
      <c r="W233" s="30">
        <f ca="1">(Table20[[#This Row],[Expiration Date]]-TODAY())/365</f>
        <v>-1.484931506849315</v>
      </c>
      <c r="X233" s="30" t="e">
        <f ca="1">(LN(Table20[[#This Row],[Current Price]]/Table20[[#This Row],[strike_price]]) + ($B$2 + (Table20[[#This Row],[Vol]]^2)/2)*Table20[[#This Row],[Time to expiration]]) / (Table20[[#This Row],[Vol]] * SQRT(Table20[[#This Row],[Time to expiration]]))</f>
        <v>#NUM!</v>
      </c>
      <c r="Y233" s="30" t="e">
        <f ca="1">IF(Table20[[#This Row],[Direction]]&gt;0, _xlfn.NORM.S.DIST(Table20[[#This Row],[d1]], TRUE), _xlfn.NORM.S.DIST(Table20[[#This Row],[d1]], TRUE) - 1) * Table20[[#This Row],[Buy or Sell]]</f>
        <v>#NUM!</v>
      </c>
      <c r="Z233" s="9">
        <f ca="1">Table20[[#This Row],[Remaining]]*Table20[[#This Row],[Current Price]]*100</f>
        <v>0</v>
      </c>
      <c r="AA233" s="22">
        <f ca="1">IFERROR(Table20[[#This Row],[nominal_exposure]]*Table20[[#This Row],[Delta]],0)</f>
        <v>0</v>
      </c>
      <c r="AB233" s="30" t="b">
        <f>IF(Table20[[#This Row],[date_purchased]]&lt;&gt;Table20[[#This Row],[Expiration Date]],FALSE,TRUE)</f>
        <v>0</v>
      </c>
      <c r="AC233" s="30" t="str">
        <f>VLOOKUP(Table20[[#This Row],[Asset]],Table19[#All],3,FALSE)</f>
        <v>Market</v>
      </c>
      <c r="AD233" s="4">
        <f>IF(Table20[[#This Row],[Remaining]]&lt;&gt;0,Table20[[#This Row],[Invested]]*Table20[[#This Row],[Remaining]]/Table20[[#This Row],[Number of options]],0)</f>
        <v>0</v>
      </c>
      <c r="AE233" s="4">
        <f ca="1">SUMIF(Table20[Ticker],Table20[[#This Row],[Ticker]],Table20[realized_profit])</f>
        <v>-331.99999999999994</v>
      </c>
      <c r="AF233" s="30" t="str">
        <f>VLOOKUP(Table20[[#This Row],[Strategy]],Table29[#All],7,FALSE)</f>
        <v>Bullish</v>
      </c>
    </row>
    <row r="234" spans="1:32" hidden="1">
      <c r="A234" s="35">
        <v>45611</v>
      </c>
      <c r="B234" s="21" t="e" vm="23">
        <v>#VALUE!</v>
      </c>
      <c r="C234" s="109" t="str" cm="1">
        <f t="array" aca="1" ref="C234" ca="1">_FV(Table20[[#This Row],[Asset]],"Ticker symbol",TRUE)</f>
        <v>ALGM</v>
      </c>
      <c r="D234" s="26" cm="1">
        <f t="array" aca="1" ref="D234" ca="1">_FV(Table20[[#This Row],[Asset]],"Price")</f>
        <v>33.049999999999997</v>
      </c>
      <c r="E234" s="26">
        <v>22.5</v>
      </c>
      <c r="F234" s="33">
        <v>2</v>
      </c>
      <c r="G234" s="34">
        <v>1</v>
      </c>
      <c r="H234" s="34" t="s">
        <v>113</v>
      </c>
      <c r="I234" s="31">
        <v>45510</v>
      </c>
      <c r="J234" s="26">
        <v>2.0699999999999998</v>
      </c>
      <c r="K234" s="24">
        <v>0.53549999999999998</v>
      </c>
      <c r="L234" s="33">
        <f>VLOOKUP(Table20[[#This Row],[Strategy]],Table29[#All],6,FALSE)</f>
        <v>1</v>
      </c>
      <c r="M234" s="23">
        <v>2</v>
      </c>
      <c r="N234" s="23">
        <v>3.09</v>
      </c>
      <c r="O234" s="23"/>
      <c r="P234" s="23"/>
      <c r="Q234">
        <f>Table20[[#This Row],[Exit1]]*Table20[[#This Row],[ex1_price]]</f>
        <v>6.18</v>
      </c>
      <c r="R234">
        <f>Table20[[#This Row],[Exit2]]*Table20[[#This Row],[ex2_price]]</f>
        <v>0</v>
      </c>
      <c r="S234">
        <f>IFERROR((Table20[[#This Row],[ex2_amnt]]+Table20[[#This Row],[ex1_amnt]])/(Table20[[#This Row],[Exit2]]+Table20[[#This Row],[Exit1]]),0)</f>
        <v>3.09</v>
      </c>
      <c r="T234" s="5">
        <f>(Table20[[#This Row],[Exit1]]+Table20[[#This Row],[Exit2]])*(Table20[[#This Row],[avg_exit_price]]-Table20[[#This Row],[AvePrice]])*100*Table20[[#This Row],[Buy or Sell]]</f>
        <v>204</v>
      </c>
      <c r="U234" s="5">
        <f>Table20[[#This Row],[Number of options]]*Table20[[#This Row],[AvePrice]]*100*Table20[[#This Row],[Buy or Sell]]</f>
        <v>413.99999999999994</v>
      </c>
      <c r="V234" s="8">
        <f>Table20[[#This Row],[Number of options]]-Table20[[#This Row],[Exit1]]-Table20[[#This Row],[Exit2]]</f>
        <v>0</v>
      </c>
      <c r="W234" s="30">
        <f ca="1">(Table20[[#This Row],[Expiration Date]]-TODAY())/365</f>
        <v>-1.3589041095890411</v>
      </c>
      <c r="X234" s="30" t="e">
        <f ca="1">(LN(Table20[[#This Row],[Current Price]]/Table20[[#This Row],[strike_price]]) + ($B$2 + (Table20[[#This Row],[Vol]]^2)/2)*Table20[[#This Row],[Time to expiration]]) / (Table20[[#This Row],[Vol]] * SQRT(Table20[[#This Row],[Time to expiration]]))</f>
        <v>#NUM!</v>
      </c>
      <c r="Y234" s="30" t="e">
        <f ca="1">IF(Table20[[#This Row],[Direction]]&gt;0, _xlfn.NORM.S.DIST(Table20[[#This Row],[d1]], TRUE), _xlfn.NORM.S.DIST(Table20[[#This Row],[d1]], TRUE) - 1) * Table20[[#This Row],[Buy or Sell]]</f>
        <v>#NUM!</v>
      </c>
      <c r="Z234" s="9">
        <f ca="1">Table20[[#This Row],[Remaining]]*Table20[[#This Row],[Current Price]]*100</f>
        <v>0</v>
      </c>
      <c r="AA234" s="22">
        <f ca="1">IFERROR(Table20[[#This Row],[nominal_exposure]]*Table20[[#This Row],[Delta]],0)</f>
        <v>0</v>
      </c>
      <c r="AB234" s="30" t="b">
        <f>IF(Table20[[#This Row],[date_purchased]]&lt;&gt;Table20[[#This Row],[Expiration Date]],FALSE,TRUE)</f>
        <v>0</v>
      </c>
      <c r="AC234" s="30" t="str">
        <f>VLOOKUP(Table20[[#This Row],[Asset]],Table19[#All],3,FALSE)</f>
        <v>Semiconductor</v>
      </c>
      <c r="AD234" s="4">
        <f>IF(Table20[[#This Row],[Remaining]]&lt;&gt;0,Table20[[#This Row],[Invested]]*Table20[[#This Row],[Remaining]]/Table20[[#This Row],[Number of options]],0)</f>
        <v>0</v>
      </c>
      <c r="AE234" s="4">
        <f ca="1">SUMIF(Table20[Ticker],Table20[[#This Row],[Ticker]],Table20[realized_profit])</f>
        <v>204</v>
      </c>
      <c r="AF234" s="30" t="str">
        <f>VLOOKUP(Table20[[#This Row],[Strategy]],Table29[#All],7,FALSE)</f>
        <v>Bullish</v>
      </c>
    </row>
    <row r="235" spans="1:32" hidden="1">
      <c r="A235" s="180">
        <v>45555</v>
      </c>
      <c r="B235" s="21" t="e" vm="342">
        <v>#VALUE!</v>
      </c>
      <c r="C235" s="109" t="str" cm="1">
        <f t="array" aca="1" ref="C235" ca="1">_FV(Table20[[#This Row],[Asset]],"Ticker symbol",TRUE)</f>
        <v>VKTX</v>
      </c>
      <c r="D235" s="26" cm="1">
        <f t="array" aca="1" ref="D235" ca="1">_FV(Table20[[#This Row],[Asset]],"Price")</f>
        <v>33.65</v>
      </c>
      <c r="E235" s="26">
        <v>80</v>
      </c>
      <c r="F235" s="33">
        <v>1</v>
      </c>
      <c r="G235" s="34">
        <v>1</v>
      </c>
      <c r="H235" s="34" t="s">
        <v>113</v>
      </c>
      <c r="I235" s="31">
        <v>45524</v>
      </c>
      <c r="J235" s="26">
        <v>3</v>
      </c>
      <c r="K235" s="24">
        <v>1.1060000000000001</v>
      </c>
      <c r="L235" s="33">
        <f>VLOOKUP(Table20[[#This Row],[Strategy]],Table29[#All],6,FALSE)</f>
        <v>1</v>
      </c>
      <c r="M235" s="23">
        <v>1</v>
      </c>
      <c r="N235" s="23">
        <v>0</v>
      </c>
      <c r="O235" s="23"/>
      <c r="P235" s="23"/>
      <c r="Q235">
        <f>Table20[[#This Row],[Exit1]]*Table20[[#This Row],[ex1_price]]</f>
        <v>0</v>
      </c>
      <c r="R235">
        <f>Table20[[#This Row],[Exit2]]*Table20[[#This Row],[ex2_price]]</f>
        <v>0</v>
      </c>
      <c r="S235">
        <f>IFERROR((Table20[[#This Row],[ex2_amnt]]+Table20[[#This Row],[ex1_amnt]])/(Table20[[#This Row],[Exit2]]+Table20[[#This Row],[Exit1]]),0)</f>
        <v>0</v>
      </c>
      <c r="T235" s="5">
        <f>(Table20[[#This Row],[Exit1]]+Table20[[#This Row],[Exit2]])*(Table20[[#This Row],[avg_exit_price]]-Table20[[#This Row],[AvePrice]])*100*Table20[[#This Row],[Buy or Sell]]</f>
        <v>-300</v>
      </c>
      <c r="U235" s="5">
        <f>Table20[[#This Row],[Number of options]]*Table20[[#This Row],[AvePrice]]*100*Table20[[#This Row],[Buy or Sell]]</f>
        <v>300</v>
      </c>
      <c r="V235" s="8">
        <f>Table20[[#This Row],[Number of options]]-Table20[[#This Row],[Exit1]]-Table20[[#This Row],[Exit2]]</f>
        <v>0</v>
      </c>
      <c r="W235" s="30">
        <f ca="1">(Table20[[#This Row],[Expiration Date]]-TODAY())/365</f>
        <v>-1.5123287671232877</v>
      </c>
      <c r="X235" s="30" t="e">
        <f ca="1">(LN(Table20[[#This Row],[Current Price]]/Table20[[#This Row],[strike_price]]) + ($B$2 + (Table20[[#This Row],[Vol]]^2)/2)*Table20[[#This Row],[Time to expiration]]) / (Table20[[#This Row],[Vol]] * SQRT(Table20[[#This Row],[Time to expiration]]))</f>
        <v>#NUM!</v>
      </c>
      <c r="Y235" s="30" t="e">
        <f ca="1">IF(Table20[[#This Row],[Direction]]&gt;0, _xlfn.NORM.S.DIST(Table20[[#This Row],[d1]], TRUE), _xlfn.NORM.S.DIST(Table20[[#This Row],[d1]], TRUE) - 1) * Table20[[#This Row],[Buy or Sell]]</f>
        <v>#NUM!</v>
      </c>
      <c r="Z235" s="9">
        <f ca="1">Table20[[#This Row],[Remaining]]*Table20[[#This Row],[Current Price]]*100</f>
        <v>0</v>
      </c>
      <c r="AA235" s="22">
        <f ca="1">IFERROR(Table20[[#This Row],[nominal_exposure]]*Table20[[#This Row],[Delta]],0)</f>
        <v>0</v>
      </c>
      <c r="AB235" s="30" t="b">
        <f>IF(Table20[[#This Row],[date_purchased]]&lt;&gt;Table20[[#This Row],[Expiration Date]],FALSE,TRUE)</f>
        <v>0</v>
      </c>
      <c r="AC235" s="30" t="str">
        <f>VLOOKUP(Table20[[#This Row],[Asset]],Table19[#All],3,FALSE)</f>
        <v>Health Care</v>
      </c>
      <c r="AD235" s="30">
        <f>IF(Table20[[#This Row],[Remaining]]&lt;&gt;0,Table20[[#This Row],[Invested]]*Table20[[#This Row],[Remaining]]/Table20[[#This Row],[Number of options]],0)</f>
        <v>0</v>
      </c>
      <c r="AE235" s="30">
        <f ca="1">SUMIF(Table20[Ticker],Table20[[#This Row],[Ticker]],Table20[realized_profit])</f>
        <v>-300</v>
      </c>
      <c r="AF235" s="30" t="str">
        <f>VLOOKUP(Table20[[#This Row],[Strategy]],Table29[#All],7,FALSE)</f>
        <v>Bullish</v>
      </c>
    </row>
    <row r="236" spans="1:32" hidden="1">
      <c r="A236" s="181">
        <v>45539</v>
      </c>
      <c r="B236" s="21" t="e" vm="151">
        <v>#VALUE!</v>
      </c>
      <c r="C236" s="109" t="str" cm="1">
        <f t="array" aca="1" ref="C236" ca="1">_FV(Table20[[#This Row],[Asset]],"Ticker symbol",TRUE)</f>
        <v>TLT</v>
      </c>
      <c r="D236" s="26" cm="1">
        <f t="array" aca="1" ref="D236" ca="1">_FV(Table20[[#This Row],[Asset]],"Price")</f>
        <v>86.743499999999997</v>
      </c>
      <c r="E236" s="26">
        <v>100</v>
      </c>
      <c r="F236" s="33">
        <v>1</v>
      </c>
      <c r="G236" s="34">
        <v>1</v>
      </c>
      <c r="H236" s="34" t="s">
        <v>113</v>
      </c>
      <c r="I236" s="31">
        <v>45525</v>
      </c>
      <c r="J236" s="26">
        <v>0.5</v>
      </c>
      <c r="K236" s="24">
        <v>0.1124</v>
      </c>
      <c r="L236" s="33">
        <f>VLOOKUP(Table20[[#This Row],[Strategy]],Table29[#All],6,FALSE)</f>
        <v>1</v>
      </c>
      <c r="M236" s="23">
        <v>1</v>
      </c>
      <c r="N236" s="23">
        <v>0</v>
      </c>
      <c r="O236" s="23"/>
      <c r="P236" s="23"/>
      <c r="Q236">
        <f>Table20[[#This Row],[Exit1]]*Table20[[#This Row],[ex1_price]]</f>
        <v>0</v>
      </c>
      <c r="R236">
        <f>Table20[[#This Row],[Exit2]]*Table20[[#This Row],[ex2_price]]</f>
        <v>0</v>
      </c>
      <c r="S236">
        <f>IFERROR((Table20[[#This Row],[ex2_amnt]]+Table20[[#This Row],[ex1_amnt]])/(Table20[[#This Row],[Exit2]]+Table20[[#This Row],[Exit1]]),0)</f>
        <v>0</v>
      </c>
      <c r="T236" s="5">
        <f>(Table20[[#This Row],[Exit1]]+Table20[[#This Row],[Exit2]])*(Table20[[#This Row],[avg_exit_price]]-Table20[[#This Row],[AvePrice]])*100*Table20[[#This Row],[Buy or Sell]]</f>
        <v>-50</v>
      </c>
      <c r="U236" s="5">
        <f>Table20[[#This Row],[Number of options]]*Table20[[#This Row],[AvePrice]]*100*Table20[[#This Row],[Buy or Sell]]</f>
        <v>50</v>
      </c>
      <c r="V236" s="8">
        <f>Table20[[#This Row],[Number of options]]-Table20[[#This Row],[Exit1]]-Table20[[#This Row],[Exit2]]</f>
        <v>0</v>
      </c>
      <c r="W236" s="30">
        <f ca="1">(Table20[[#This Row],[Expiration Date]]-TODAY())/365</f>
        <v>-1.5561643835616439</v>
      </c>
      <c r="X236" s="30" t="e">
        <f ca="1">(LN(Table20[[#This Row],[Current Price]]/Table20[[#This Row],[strike_price]]) + ($B$2 + (Table20[[#This Row],[Vol]]^2)/2)*Table20[[#This Row],[Time to expiration]]) / (Table20[[#This Row],[Vol]] * SQRT(Table20[[#This Row],[Time to expiration]]))</f>
        <v>#NUM!</v>
      </c>
      <c r="Y236" s="30" t="e">
        <f ca="1">IF(Table20[[#This Row],[Direction]]&gt;0, _xlfn.NORM.S.DIST(Table20[[#This Row],[d1]], TRUE), _xlfn.NORM.S.DIST(Table20[[#This Row],[d1]], TRUE) - 1) * Table20[[#This Row],[Buy or Sell]]</f>
        <v>#NUM!</v>
      </c>
      <c r="Z236" s="9">
        <f ca="1">Table20[[#This Row],[Remaining]]*Table20[[#This Row],[Current Price]]*100</f>
        <v>0</v>
      </c>
      <c r="AA236" s="22">
        <f ca="1">IFERROR(Table20[[#This Row],[nominal_exposure]]*Table20[[#This Row],[Delta]],0)</f>
        <v>0</v>
      </c>
      <c r="AB236" s="30" t="b">
        <f>IF(Table20[[#This Row],[date_purchased]]&lt;&gt;Table20[[#This Row],[Expiration Date]],FALSE,TRUE)</f>
        <v>0</v>
      </c>
      <c r="AC236" s="30" t="str">
        <f>VLOOKUP(Table20[[#This Row],[Asset]],Table19[#All],3,FALSE)</f>
        <v>Market</v>
      </c>
      <c r="AD236" s="30">
        <f>IF(Table20[[#This Row],[Remaining]]&lt;&gt;0,Table20[[#This Row],[Invested]]*Table20[[#This Row],[Remaining]]/Table20[[#This Row],[Number of options]],0)</f>
        <v>0</v>
      </c>
      <c r="AE236" s="30">
        <f ca="1">SUMIF(Table20[Ticker],Table20[[#This Row],[Ticker]],Table20[realized_profit])</f>
        <v>-3328.3599999999997</v>
      </c>
      <c r="AF236" s="30" t="str">
        <f>VLOOKUP(Table20[[#This Row],[Strategy]],Table29[#All],7,FALSE)</f>
        <v>Bullish</v>
      </c>
    </row>
    <row r="237" spans="1:32" hidden="1">
      <c r="A237" s="180">
        <v>45569</v>
      </c>
      <c r="B237" s="21" t="e" vm="96">
        <v>#VALUE!</v>
      </c>
      <c r="C237" s="109" t="str" cm="1">
        <f t="array" aca="1" ref="C237" ca="1">_FV(Table20[[#This Row],[Asset]],"Ticker symbol",TRUE)</f>
        <v>SPY</v>
      </c>
      <c r="D237" s="26" cm="1">
        <f t="array" aca="1" ref="D237" ca="1">_FV(Table20[[#This Row],[Asset]],"Price")</f>
        <v>658.59</v>
      </c>
      <c r="E237" s="26">
        <v>560</v>
      </c>
      <c r="F237" s="33">
        <v>3</v>
      </c>
      <c r="G237" s="34">
        <v>1</v>
      </c>
      <c r="H237" s="34" t="s">
        <v>65</v>
      </c>
      <c r="I237" s="31">
        <v>45561</v>
      </c>
      <c r="J237" s="26">
        <v>1</v>
      </c>
      <c r="K237" s="24"/>
      <c r="L237" s="33">
        <f>VLOOKUP(Table20[[#This Row],[Strategy]],Table29[#All],6,FALSE)</f>
        <v>-1</v>
      </c>
      <c r="M237" s="23">
        <v>3</v>
      </c>
      <c r="N237" s="23">
        <v>0.89</v>
      </c>
      <c r="O237" s="23"/>
      <c r="P237" s="23"/>
      <c r="Q237">
        <f>Table20[[#This Row],[Exit1]]*Table20[[#This Row],[ex1_price]]</f>
        <v>2.67</v>
      </c>
      <c r="R237">
        <f>Table20[[#This Row],[Exit2]]*Table20[[#This Row],[ex2_price]]</f>
        <v>0</v>
      </c>
      <c r="S237">
        <f>IFERROR((Table20[[#This Row],[ex2_amnt]]+Table20[[#This Row],[ex1_amnt]])/(Table20[[#This Row],[Exit2]]+Table20[[#This Row],[Exit1]]),0)</f>
        <v>0.89</v>
      </c>
      <c r="T237" s="5">
        <f>(Table20[[#This Row],[Exit1]]+Table20[[#This Row],[Exit2]])*(Table20[[#This Row],[avg_exit_price]]-Table20[[#This Row],[AvePrice]])*100*Table20[[#This Row],[Buy or Sell]]</f>
        <v>-32.999999999999993</v>
      </c>
      <c r="U237" s="5">
        <f>Table20[[#This Row],[Number of options]]*Table20[[#This Row],[AvePrice]]*100*Table20[[#This Row],[Buy or Sell]]</f>
        <v>300</v>
      </c>
      <c r="V237" s="8">
        <f>Table20[[#This Row],[Number of options]]-Table20[[#This Row],[Exit1]]-Table20[[#This Row],[Exit2]]</f>
        <v>0</v>
      </c>
      <c r="W237" s="30">
        <f ca="1">(Table20[[#This Row],[Expiration Date]]-TODAY())/365</f>
        <v>-1.473972602739726</v>
      </c>
      <c r="X237" s="30" t="e">
        <f ca="1">(LN(Table20[[#This Row],[Current Price]]/Table20[[#This Row],[strike_price]]) + ($B$2 + (Table20[[#This Row],[Vol]]^2)/2)*Table20[[#This Row],[Time to expiration]]) / (Table20[[#This Row],[Vol]] * SQRT(Table20[[#This Row],[Time to expiration]]))</f>
        <v>#NUM!</v>
      </c>
      <c r="Y237" s="30" t="e">
        <f ca="1">IF(Table20[[#This Row],[Direction]]&gt;0, _xlfn.NORM.S.DIST(Table20[[#This Row],[d1]], TRUE), _xlfn.NORM.S.DIST(Table20[[#This Row],[d1]], TRUE) - 1) * Table20[[#This Row],[Buy or Sell]]</f>
        <v>#NUM!</v>
      </c>
      <c r="Z237" s="9">
        <f ca="1">Table20[[#This Row],[Remaining]]*Table20[[#This Row],[Current Price]]*100</f>
        <v>0</v>
      </c>
      <c r="AA237" s="22">
        <f ca="1">IFERROR(Table20[[#This Row],[nominal_exposure]]*Table20[[#This Row],[Delta]],0)</f>
        <v>0</v>
      </c>
      <c r="AB237" s="30" t="b">
        <f>IF(Table20[[#This Row],[date_purchased]]&lt;&gt;Table20[[#This Row],[Expiration Date]],FALSE,TRUE)</f>
        <v>0</v>
      </c>
      <c r="AC237" s="30" t="str">
        <f>VLOOKUP(Table20[[#This Row],[Asset]],Table19[#All],3,FALSE)</f>
        <v>Market</v>
      </c>
      <c r="AD237" s="30">
        <f>IF(Table20[[#This Row],[Remaining]]&lt;&gt;0,Table20[[#This Row],[Invested]]*Table20[[#This Row],[Remaining]]/Table20[[#This Row],[Number of options]],0)</f>
        <v>0</v>
      </c>
      <c r="AE237" s="30">
        <f ca="1">SUMIF(Table20[Ticker],Table20[[#This Row],[Ticker]],Table20[realized_profit])</f>
        <v>-5077</v>
      </c>
      <c r="AF237" s="30" t="str">
        <f>VLOOKUP(Table20[[#This Row],[Strategy]],Table29[#All],7,FALSE)</f>
        <v>Bearish</v>
      </c>
    </row>
    <row r="238" spans="1:32" hidden="1">
      <c r="A238" s="35">
        <v>45527</v>
      </c>
      <c r="B238" s="21" t="e" vm="32">
        <v>#VALUE!</v>
      </c>
      <c r="C238" s="109" t="str" cm="1">
        <f t="array" aca="1" ref="C238" ca="1">_FV(Table20[[#This Row],[Asset]],"Ticker symbol",TRUE)</f>
        <v>MU</v>
      </c>
      <c r="D238" s="26" cm="1">
        <f t="array" aca="1" ref="D238" ca="1">_FV(Table20[[#This Row],[Asset]],"Price")</f>
        <v>381.57</v>
      </c>
      <c r="E238" s="26"/>
      <c r="F238" s="33"/>
      <c r="G238" s="34"/>
      <c r="H238" s="34"/>
      <c r="I238" s="31">
        <v>45527</v>
      </c>
      <c r="J238" s="26"/>
      <c r="K238" s="24"/>
      <c r="L238" s="33" t="e">
        <f>VLOOKUP(Table20[[#This Row],[Strategy]],Table29[#All],6,FALSE)</f>
        <v>#N/A</v>
      </c>
      <c r="M238" s="23"/>
      <c r="N238" s="23"/>
      <c r="O238" s="23"/>
      <c r="P238" s="23"/>
      <c r="Q238">
        <f>Table20[[#This Row],[Exit1]]*Table20[[#This Row],[ex1_price]]</f>
        <v>0</v>
      </c>
      <c r="R238">
        <f>Table20[[#This Row],[Exit2]]*Table20[[#This Row],[ex2_price]]</f>
        <v>0</v>
      </c>
      <c r="S238">
        <f>IFERROR((Table20[[#This Row],[ex2_amnt]]+Table20[[#This Row],[ex1_amnt]])/(Table20[[#This Row],[Exit2]]+Table20[[#This Row],[Exit1]]),0)</f>
        <v>0</v>
      </c>
      <c r="T238" s="5">
        <f>(Table20[[#This Row],[Exit1]]+Table20[[#This Row],[Exit2]])*(Table20[[#This Row],[avg_exit_price]]-Table20[[#This Row],[AvePrice]])*100*Table20[[#This Row],[Buy or Sell]]</f>
        <v>0</v>
      </c>
      <c r="U238" s="5">
        <f>Table20[[#This Row],[Number of options]]*Table20[[#This Row],[AvePrice]]*100*Table20[[#This Row],[Buy or Sell]]</f>
        <v>0</v>
      </c>
      <c r="V238" s="8">
        <f>Table20[[#This Row],[Number of options]]-Table20[[#This Row],[Exit1]]-Table20[[#This Row],[Exit2]]</f>
        <v>0</v>
      </c>
      <c r="W238" s="30">
        <f ca="1">(Table20[[#This Row],[Expiration Date]]-TODAY())/365</f>
        <v>-1.5890410958904109</v>
      </c>
      <c r="X238" s="30" t="e">
        <f ca="1">(LN(Table20[[#This Row],[Current Price]]/Table20[[#This Row],[strike_price]]) + ($B$2 + (Table20[[#This Row],[Vol]]^2)/2)*Table20[[#This Row],[Time to expiration]]) / (Table20[[#This Row],[Vol]] * SQRT(Table20[[#This Row],[Time to expiration]]))</f>
        <v>#DIV/0!</v>
      </c>
      <c r="Y238" s="30" t="e">
        <f>IF(Table20[[#This Row],[Direction]]&gt;0, _xlfn.NORM.S.DIST(Table20[[#This Row],[d1]], TRUE), _xlfn.NORM.S.DIST(Table20[[#This Row],[d1]], TRUE) - 1) * Table20[[#This Row],[Buy or Sell]]</f>
        <v>#N/A</v>
      </c>
      <c r="Z238" s="9">
        <f ca="1">Table20[[#This Row],[Remaining]]*Table20[[#This Row],[Current Price]]*100</f>
        <v>0</v>
      </c>
      <c r="AA238" s="22">
        <f ca="1">IFERROR(Table20[[#This Row],[nominal_exposure]]*Table20[[#This Row],[Delta]],0)</f>
        <v>0</v>
      </c>
      <c r="AB238" s="30" t="b">
        <f>IF(Table20[[#This Row],[date_purchased]]&lt;&gt;Table20[[#This Row],[Expiration Date]],FALSE,TRUE)</f>
        <v>1</v>
      </c>
      <c r="AC238" s="30" t="str">
        <f>VLOOKUP(Table20[[#This Row],[Asset]],Table19[#All],3,FALSE)</f>
        <v>AI</v>
      </c>
      <c r="AD238" s="30">
        <f>IF(Table20[[#This Row],[Remaining]]&lt;&gt;0,Table20[[#This Row],[Invested]]*Table20[[#This Row],[Remaining]]/Table20[[#This Row],[Number of options]],0)</f>
        <v>0</v>
      </c>
      <c r="AE238" s="30">
        <f ca="1">SUMIF(Table20[Ticker],Table20[[#This Row],[Ticker]],Table20[realized_profit])</f>
        <v>-4181</v>
      </c>
      <c r="AF238" s="30" t="e">
        <f>VLOOKUP(Table20[[#This Row],[Strategy]],Table29[#All],7,FALSE)</f>
        <v>#N/A</v>
      </c>
    </row>
    <row r="239" spans="1:32" hidden="1">
      <c r="A239" s="35">
        <v>45527</v>
      </c>
      <c r="B239" s="21" t="e" vm="32">
        <v>#VALUE!</v>
      </c>
      <c r="C239" s="109" t="str" cm="1">
        <f t="array" aca="1" ref="C239" ca="1">_FV(Table20[[#This Row],[Asset]],"Ticker symbol",TRUE)</f>
        <v>MU</v>
      </c>
      <c r="D239" s="26" cm="1">
        <f t="array" aca="1" ref="D239" ca="1">_FV(Table20[[#This Row],[Asset]],"Price")</f>
        <v>381.57</v>
      </c>
      <c r="E239" s="26">
        <v>105</v>
      </c>
      <c r="F239" s="33">
        <v>3</v>
      </c>
      <c r="G239" s="34">
        <v>1</v>
      </c>
      <c r="H239" s="34" t="s">
        <v>113</v>
      </c>
      <c r="I239" s="31">
        <v>45527</v>
      </c>
      <c r="J239" s="26">
        <v>0.35</v>
      </c>
      <c r="K239" s="24">
        <v>0.78420000000000001</v>
      </c>
      <c r="L239" s="33">
        <f>VLOOKUP(Table20[[#This Row],[Strategy]],Table29[#All],6,FALSE)</f>
        <v>1</v>
      </c>
      <c r="M239" s="23">
        <v>3</v>
      </c>
      <c r="N239" s="23">
        <v>0.01</v>
      </c>
      <c r="O239" s="23"/>
      <c r="P239" s="23"/>
      <c r="Q239">
        <f>Table20[[#This Row],[Exit1]]*Table20[[#This Row],[ex1_price]]</f>
        <v>0.03</v>
      </c>
      <c r="R239">
        <f>Table20[[#This Row],[Exit2]]*Table20[[#This Row],[ex2_price]]</f>
        <v>0</v>
      </c>
      <c r="S239">
        <f>IFERROR((Table20[[#This Row],[ex2_amnt]]+Table20[[#This Row],[ex1_amnt]])/(Table20[[#This Row],[Exit2]]+Table20[[#This Row],[Exit1]]),0)</f>
        <v>0.01</v>
      </c>
      <c r="T239" s="5">
        <f>(Table20[[#This Row],[Exit1]]+Table20[[#This Row],[Exit2]])*(Table20[[#This Row],[avg_exit_price]]-Table20[[#This Row],[AvePrice]])*100*Table20[[#This Row],[Buy or Sell]]</f>
        <v>-102</v>
      </c>
      <c r="U239" s="5">
        <f>Table20[[#This Row],[Number of options]]*Table20[[#This Row],[AvePrice]]*100*Table20[[#This Row],[Buy or Sell]]</f>
        <v>104.99999999999999</v>
      </c>
      <c r="V239" s="8">
        <f>Table20[[#This Row],[Number of options]]-Table20[[#This Row],[Exit1]]-Table20[[#This Row],[Exit2]]</f>
        <v>0</v>
      </c>
      <c r="W239" s="30">
        <f ca="1">(Table20[[#This Row],[Expiration Date]]-TODAY())/365</f>
        <v>-1.5890410958904109</v>
      </c>
      <c r="X239" s="30" t="e">
        <f ca="1">(LN(Table20[[#This Row],[Current Price]]/Table20[[#This Row],[strike_price]]) + ($B$2 + (Table20[[#This Row],[Vol]]^2)/2)*Table20[[#This Row],[Time to expiration]]) / (Table20[[#This Row],[Vol]] * SQRT(Table20[[#This Row],[Time to expiration]]))</f>
        <v>#NUM!</v>
      </c>
      <c r="Y239" s="30" t="e">
        <f ca="1">IF(Table20[[#This Row],[Direction]]&gt;0, _xlfn.NORM.S.DIST(Table20[[#This Row],[d1]], TRUE), _xlfn.NORM.S.DIST(Table20[[#This Row],[d1]], TRUE) - 1) * Table20[[#This Row],[Buy or Sell]]</f>
        <v>#NUM!</v>
      </c>
      <c r="Z239" s="9">
        <f ca="1">Table20[[#This Row],[Remaining]]*Table20[[#This Row],[Current Price]]*100</f>
        <v>0</v>
      </c>
      <c r="AA239" s="22">
        <f ca="1">IFERROR(Table20[[#This Row],[nominal_exposure]]*Table20[[#This Row],[Delta]],0)</f>
        <v>0</v>
      </c>
      <c r="AB239" s="30" t="b">
        <f>IF(Table20[[#This Row],[date_purchased]]&lt;&gt;Table20[[#This Row],[Expiration Date]],FALSE,TRUE)</f>
        <v>1</v>
      </c>
      <c r="AC239" s="30" t="str">
        <f>VLOOKUP(Table20[[#This Row],[Asset]],Table19[#All],3,FALSE)</f>
        <v>AI</v>
      </c>
      <c r="AD239" s="30">
        <f>IF(Table20[[#This Row],[Remaining]]&lt;&gt;0,Table20[[#This Row],[Invested]]*Table20[[#This Row],[Remaining]]/Table20[[#This Row],[Number of options]],0)</f>
        <v>0</v>
      </c>
      <c r="AE239" s="30">
        <f ca="1">SUMIF(Table20[Ticker],Table20[[#This Row],[Ticker]],Table20[realized_profit])</f>
        <v>-4181</v>
      </c>
      <c r="AF239" s="30" t="str">
        <f>VLOOKUP(Table20[[#This Row],[Strategy]],Table29[#All],7,FALSE)</f>
        <v>Bullish</v>
      </c>
    </row>
    <row r="240" spans="1:32" hidden="1">
      <c r="A240" s="35">
        <v>45565</v>
      </c>
      <c r="B240" s="21" t="e" vm="96">
        <v>#VALUE!</v>
      </c>
      <c r="C240" s="109" t="str" cm="1">
        <f t="array" aca="1" ref="C240" ca="1">_FV(Table20[[#This Row],[Asset]],"Ticker symbol",TRUE)</f>
        <v>SPY</v>
      </c>
      <c r="D240" s="26" cm="1">
        <f t="array" aca="1" ref="D240" ca="1">_FV(Table20[[#This Row],[Asset]],"Price")</f>
        <v>658.59</v>
      </c>
      <c r="E240" s="26">
        <v>530</v>
      </c>
      <c r="F240" s="33">
        <v>5</v>
      </c>
      <c r="G240" s="34">
        <v>1</v>
      </c>
      <c r="H240" s="111" t="s">
        <v>65</v>
      </c>
      <c r="I240" s="31">
        <v>45482</v>
      </c>
      <c r="J240" s="26">
        <v>4.18</v>
      </c>
      <c r="K240" s="24">
        <v>0.14760000000000001</v>
      </c>
      <c r="L240" s="33">
        <f>VLOOKUP(Table20[[#This Row],[Strategy]],Table29[#All],6,FALSE)</f>
        <v>-1</v>
      </c>
      <c r="M240" s="23">
        <v>2</v>
      </c>
      <c r="N240" s="23">
        <v>7.25</v>
      </c>
      <c r="O240" s="23">
        <v>3</v>
      </c>
      <c r="P240" s="23">
        <v>8.3800000000000008</v>
      </c>
      <c r="Q240">
        <f>Table20[[#This Row],[Exit1]]*Table20[[#This Row],[ex1_price]]</f>
        <v>14.5</v>
      </c>
      <c r="R240">
        <f>Table20[[#This Row],[Exit2]]*Table20[[#This Row],[ex2_price]]</f>
        <v>25.14</v>
      </c>
      <c r="S240">
        <f>IFERROR((Table20[[#This Row],[ex2_amnt]]+Table20[[#This Row],[ex1_amnt]])/(Table20[[#This Row],[Exit2]]+Table20[[#This Row],[Exit1]]),0)</f>
        <v>7.9279999999999999</v>
      </c>
      <c r="T240" s="5">
        <f>(Table20[[#This Row],[Exit1]]+Table20[[#This Row],[Exit2]])*(Table20[[#This Row],[avg_exit_price]]-Table20[[#This Row],[AvePrice]])*100*Table20[[#This Row],[Buy or Sell]]</f>
        <v>1874.0000000000002</v>
      </c>
      <c r="U240" s="5">
        <f>Table20[[#This Row],[Number of options]]*Table20[[#This Row],[AvePrice]]*100*Table20[[#This Row],[Buy or Sell]]</f>
        <v>2090</v>
      </c>
      <c r="V240" s="8">
        <f>Table20[[#This Row],[Number of options]]-Table20[[#This Row],[Exit1]]-Table20[[#This Row],[Exit2]]</f>
        <v>0</v>
      </c>
      <c r="W240" s="30">
        <f ca="1">(Table20[[#This Row],[Expiration Date]]-TODAY())/365</f>
        <v>-1.484931506849315</v>
      </c>
      <c r="X240" s="30" t="e">
        <f ca="1">(LN(Table20[[#This Row],[Current Price]]/Table20[[#This Row],[strike_price]]) + ($B$2 + (Table20[[#This Row],[Vol]]^2)/2)*Table20[[#This Row],[Time to expiration]]) / (Table20[[#This Row],[Vol]] * SQRT(Table20[[#This Row],[Time to expiration]]))</f>
        <v>#NUM!</v>
      </c>
      <c r="Y240" s="30" t="e">
        <f ca="1">IF(Table20[[#This Row],[Direction]]&gt;0, _xlfn.NORM.S.DIST(Table20[[#This Row],[d1]], TRUE), _xlfn.NORM.S.DIST(Table20[[#This Row],[d1]], TRUE) - 1) * Table20[[#This Row],[Buy or Sell]]</f>
        <v>#NUM!</v>
      </c>
      <c r="Z240" s="9">
        <f ca="1">Table20[[#This Row],[Remaining]]*Table20[[#This Row],[Current Price]]*100</f>
        <v>0</v>
      </c>
      <c r="AA240" s="22">
        <f ca="1">IFERROR(Table20[[#This Row],[nominal_exposure]]*Table20[[#This Row],[Delta]],0)</f>
        <v>0</v>
      </c>
      <c r="AB240" s="99" t="b">
        <f>IF(Table20[[#This Row],[date_purchased]]&lt;&gt;Table20[[#This Row],[Expiration Date]],FALSE,TRUE)</f>
        <v>0</v>
      </c>
      <c r="AC240" s="30" t="str">
        <f>VLOOKUP(Table20[[#This Row],[Asset]],Table19[#All],3,FALSE)</f>
        <v>Market</v>
      </c>
      <c r="AD240" s="30">
        <f>IF(Table20[[#This Row],[Remaining]]&lt;&gt;0,Table20[[#This Row],[Invested]]*Table20[[#This Row],[Remaining]]/Table20[[#This Row],[Number of options]],0)</f>
        <v>0</v>
      </c>
      <c r="AE240" s="30">
        <f ca="1">SUMIF(Table20[Ticker],Table20[[#This Row],[Ticker]],Table20[realized_profit])</f>
        <v>-5077</v>
      </c>
      <c r="AF240" s="30" t="str">
        <f>VLOOKUP(Table20[[#This Row],[Strategy]],Table29[#All],7,FALSE)</f>
        <v>Bearish</v>
      </c>
    </row>
    <row r="241" spans="1:32" hidden="1">
      <c r="A241" s="180">
        <v>45569</v>
      </c>
      <c r="B241" s="21" t="e" vm="84">
        <v>#VALUE!</v>
      </c>
      <c r="C241" s="109" t="str" cm="1">
        <f t="array" aca="1" ref="C241" ca="1">_FV(Table20[[#This Row],[Asset]],"Ticker symbol",TRUE)</f>
        <v>COIN</v>
      </c>
      <c r="D241" s="26" cm="1">
        <f t="array" aca="1" ref="D241" ca="1">_FV(Table20[[#This Row],[Asset]],"Price")</f>
        <v>188</v>
      </c>
      <c r="E241" s="26">
        <v>190</v>
      </c>
      <c r="F241" s="33">
        <v>2</v>
      </c>
      <c r="G241" s="34">
        <v>1</v>
      </c>
      <c r="H241" s="34" t="s">
        <v>113</v>
      </c>
      <c r="I241" s="31">
        <v>45540</v>
      </c>
      <c r="J241" s="26">
        <v>4</v>
      </c>
      <c r="K241" s="24">
        <v>0.7</v>
      </c>
      <c r="L241" s="33">
        <f>VLOOKUP(Table20[[#This Row],[Strategy]],Table29[#All],6,FALSE)</f>
        <v>1</v>
      </c>
      <c r="M241" s="23">
        <v>2</v>
      </c>
      <c r="N241" s="23">
        <v>2.8</v>
      </c>
      <c r="O241" s="23"/>
      <c r="P241" s="23"/>
      <c r="Q241">
        <f>Table20[[#This Row],[Exit1]]*Table20[[#This Row],[ex1_price]]</f>
        <v>5.6</v>
      </c>
      <c r="R241">
        <f>Table20[[#This Row],[Exit2]]*Table20[[#This Row],[ex2_price]]</f>
        <v>0</v>
      </c>
      <c r="S241">
        <f>IFERROR((Table20[[#This Row],[ex2_amnt]]+Table20[[#This Row],[ex1_amnt]])/(Table20[[#This Row],[Exit2]]+Table20[[#This Row],[Exit1]]),0)</f>
        <v>2.8</v>
      </c>
      <c r="T241" s="5">
        <f>(Table20[[#This Row],[Exit1]]+Table20[[#This Row],[Exit2]])*(Table20[[#This Row],[avg_exit_price]]-Table20[[#This Row],[AvePrice]])*100*Table20[[#This Row],[Buy or Sell]]</f>
        <v>-240.00000000000003</v>
      </c>
      <c r="U241" s="5">
        <f>Table20[[#This Row],[Number of options]]*Table20[[#This Row],[AvePrice]]*100*Table20[[#This Row],[Buy or Sell]]</f>
        <v>800</v>
      </c>
      <c r="V241" s="8">
        <f>Table20[[#This Row],[Number of options]]-Table20[[#This Row],[Exit1]]-Table20[[#This Row],[Exit2]]</f>
        <v>0</v>
      </c>
      <c r="W241" s="30">
        <f ca="1">(Table20[[#This Row],[Expiration Date]]-TODAY())/365</f>
        <v>-1.473972602739726</v>
      </c>
      <c r="X241" s="30" t="e">
        <f ca="1">(LN(Table20[[#This Row],[Current Price]]/Table20[[#This Row],[strike_price]]) + ($B$2 + (Table20[[#This Row],[Vol]]^2)/2)*Table20[[#This Row],[Time to expiration]]) / (Table20[[#This Row],[Vol]] * SQRT(Table20[[#This Row],[Time to expiration]]))</f>
        <v>#NUM!</v>
      </c>
      <c r="Y241" s="30" t="e">
        <f ca="1">IF(Table20[[#This Row],[Direction]]&gt;0, _xlfn.NORM.S.DIST(Table20[[#This Row],[d1]], TRUE), _xlfn.NORM.S.DIST(Table20[[#This Row],[d1]], TRUE) - 1) * Table20[[#This Row],[Buy or Sell]]</f>
        <v>#NUM!</v>
      </c>
      <c r="Z241" s="9">
        <f ca="1">Table20[[#This Row],[Remaining]]*Table20[[#This Row],[Current Price]]*100</f>
        <v>0</v>
      </c>
      <c r="AA241" s="22">
        <f ca="1">IFERROR(Table20[[#This Row],[nominal_exposure]]*Table20[[#This Row],[Delta]],0)</f>
        <v>0</v>
      </c>
      <c r="AB241" s="30" t="b">
        <f>IF(Table20[[#This Row],[date_purchased]]&lt;&gt;Table20[[#This Row],[Expiration Date]],FALSE,TRUE)</f>
        <v>0</v>
      </c>
      <c r="AC241" s="30" t="str">
        <f>VLOOKUP(Table20[[#This Row],[Asset]],Table19[#All],3,FALSE)</f>
        <v>Financials</v>
      </c>
      <c r="AD241" s="30">
        <f>IF(Table20[[#This Row],[Remaining]]&lt;&gt;0,Table20[[#This Row],[Invested]]*Table20[[#This Row],[Remaining]]/Table20[[#This Row],[Number of options]],0)</f>
        <v>0</v>
      </c>
      <c r="AE241" s="30">
        <f ca="1">SUMIF(Table20[Ticker],Table20[[#This Row],[Ticker]],Table20[realized_profit])</f>
        <v>4035</v>
      </c>
      <c r="AF241" s="30" t="str">
        <f>VLOOKUP(Table20[[#This Row],[Strategy]],Table29[#All],7,FALSE)</f>
        <v>Bullish</v>
      </c>
    </row>
    <row r="242" spans="1:32" hidden="1">
      <c r="A242" s="180">
        <v>45583</v>
      </c>
      <c r="B242" s="21" t="e" vm="121">
        <v>#VALUE!</v>
      </c>
      <c r="C242" s="109" t="str" cm="1">
        <f t="array" aca="1" ref="C242" ca="1">_FV(Table20[[#This Row],[Asset]],"Ticker symbol",TRUE)</f>
        <v>IWM</v>
      </c>
      <c r="D242" s="26" cm="1">
        <f t="array" aca="1" ref="D242" ca="1">_FV(Table20[[#This Row],[Asset]],"Price")</f>
        <v>252.46010000000001</v>
      </c>
      <c r="E242" s="26">
        <v>220</v>
      </c>
      <c r="F242" s="33">
        <v>1</v>
      </c>
      <c r="G242" s="34">
        <v>1</v>
      </c>
      <c r="H242" s="34" t="s">
        <v>113</v>
      </c>
      <c r="I242" s="31">
        <v>45541</v>
      </c>
      <c r="J242" s="26">
        <v>3.34</v>
      </c>
      <c r="K242" s="24">
        <v>0.2054</v>
      </c>
      <c r="L242" s="33">
        <f>VLOOKUP(Table20[[#This Row],[Strategy]],Table29[#All],6,FALSE)</f>
        <v>1</v>
      </c>
      <c r="M242" s="23">
        <v>1</v>
      </c>
      <c r="N242" s="23">
        <v>2.72</v>
      </c>
      <c r="O242" s="23"/>
      <c r="P242" s="23"/>
      <c r="Q242">
        <f>Table20[[#This Row],[Exit1]]*Table20[[#This Row],[ex1_price]]</f>
        <v>2.72</v>
      </c>
      <c r="R242">
        <f>Table20[[#This Row],[Exit2]]*Table20[[#This Row],[ex2_price]]</f>
        <v>0</v>
      </c>
      <c r="S242">
        <f>IFERROR((Table20[[#This Row],[ex2_amnt]]+Table20[[#This Row],[ex1_amnt]])/(Table20[[#This Row],[Exit2]]+Table20[[#This Row],[Exit1]]),0)</f>
        <v>2.72</v>
      </c>
      <c r="T242" s="5">
        <f>(Table20[[#This Row],[Exit1]]+Table20[[#This Row],[Exit2]])*(Table20[[#This Row],[avg_exit_price]]-Table20[[#This Row],[AvePrice]])*100*Table20[[#This Row],[Buy or Sell]]</f>
        <v>-61.999999999999964</v>
      </c>
      <c r="U242" s="5">
        <f>Table20[[#This Row],[Number of options]]*Table20[[#This Row],[AvePrice]]*100*Table20[[#This Row],[Buy or Sell]]</f>
        <v>334</v>
      </c>
      <c r="V242" s="8">
        <f>Table20[[#This Row],[Number of options]]-Table20[[#This Row],[Exit1]]-Table20[[#This Row],[Exit2]]</f>
        <v>0</v>
      </c>
      <c r="W242" s="30">
        <f ca="1">(Table20[[#This Row],[Expiration Date]]-TODAY())/365</f>
        <v>-1.4356164383561645</v>
      </c>
      <c r="X242" s="30" t="e">
        <f ca="1">(LN(Table20[[#This Row],[Current Price]]/Table20[[#This Row],[strike_price]]) + ($B$2 + (Table20[[#This Row],[Vol]]^2)/2)*Table20[[#This Row],[Time to expiration]]) / (Table20[[#This Row],[Vol]] * SQRT(Table20[[#This Row],[Time to expiration]]))</f>
        <v>#NUM!</v>
      </c>
      <c r="Y242" s="30" t="e">
        <f ca="1">IF(Table20[[#This Row],[Direction]]&gt;0, _xlfn.NORM.S.DIST(Table20[[#This Row],[d1]], TRUE), _xlfn.NORM.S.DIST(Table20[[#This Row],[d1]], TRUE) - 1) * Table20[[#This Row],[Buy or Sell]]</f>
        <v>#NUM!</v>
      </c>
      <c r="Z242" s="9">
        <f ca="1">Table20[[#This Row],[Remaining]]*Table20[[#This Row],[Current Price]]*100</f>
        <v>0</v>
      </c>
      <c r="AA242" s="22">
        <f ca="1">IFERROR(Table20[[#This Row],[nominal_exposure]]*Table20[[#This Row],[Delta]],0)</f>
        <v>0</v>
      </c>
      <c r="AB242" s="30" t="b">
        <f>IF(Table20[[#This Row],[date_purchased]]&lt;&gt;Table20[[#This Row],[Expiration Date]],FALSE,TRUE)</f>
        <v>0</v>
      </c>
      <c r="AC242" s="30" t="str">
        <f>VLOOKUP(Table20[[#This Row],[Asset]],Table19[#All],3,FALSE)</f>
        <v>Market</v>
      </c>
      <c r="AD242" s="30">
        <f>IF(Table20[[#This Row],[Remaining]]&lt;&gt;0,Table20[[#This Row],[Invested]]*Table20[[#This Row],[Remaining]]/Table20[[#This Row],[Number of options]],0)</f>
        <v>0</v>
      </c>
      <c r="AE242" s="30">
        <f ca="1">SUMIF(Table20[Ticker],Table20[[#This Row],[Ticker]],Table20[realized_profit])</f>
        <v>-331.99999999999994</v>
      </c>
      <c r="AF242" s="30" t="str">
        <f>VLOOKUP(Table20[[#This Row],[Strategy]],Table29[#All],7,FALSE)</f>
        <v>Bullish</v>
      </c>
    </row>
    <row r="243" spans="1:32" hidden="1">
      <c r="A243" s="35">
        <v>45565</v>
      </c>
      <c r="B243" s="21" t="e" vm="96">
        <v>#VALUE!</v>
      </c>
      <c r="C243" s="109" t="str" cm="1">
        <f t="array" aca="1" ref="C243" ca="1">_FV(Table20[[#This Row],[Asset]],"Ticker symbol",TRUE)</f>
        <v>SPY</v>
      </c>
      <c r="D243" s="26" cm="1">
        <f t="array" aca="1" ref="D243" ca="1">_FV(Table20[[#This Row],[Asset]],"Price")</f>
        <v>658.59</v>
      </c>
      <c r="E243" s="26">
        <v>400</v>
      </c>
      <c r="F243" s="33">
        <v>3</v>
      </c>
      <c r="G243" s="34">
        <v>-1</v>
      </c>
      <c r="H243" s="111" t="s">
        <v>112</v>
      </c>
      <c r="I243" s="31">
        <v>45362</v>
      </c>
      <c r="J243" s="26">
        <v>2.8</v>
      </c>
      <c r="K243" s="24">
        <v>0.309</v>
      </c>
      <c r="L243" s="33">
        <f>VLOOKUP(Table20[[#This Row],[Strategy]],Table29[#All],6,FALSE)</f>
        <v>-1</v>
      </c>
      <c r="M243" s="23">
        <v>3</v>
      </c>
      <c r="N243" s="23">
        <v>0</v>
      </c>
      <c r="O243" s="23"/>
      <c r="P243" s="23"/>
      <c r="Q243">
        <f>Table20[[#This Row],[Exit1]]*Table20[[#This Row],[ex1_price]]</f>
        <v>0</v>
      </c>
      <c r="R243">
        <f>Table20[[#This Row],[Exit2]]*Table20[[#This Row],[ex2_price]]</f>
        <v>0</v>
      </c>
      <c r="S243">
        <f>IFERROR((Table20[[#This Row],[ex2_amnt]]+Table20[[#This Row],[ex1_amnt]])/(Table20[[#This Row],[Exit2]]+Table20[[#This Row],[Exit1]]),0)</f>
        <v>0</v>
      </c>
      <c r="T243" s="5">
        <f>(Table20[[#This Row],[Exit1]]+Table20[[#This Row],[Exit2]])*(Table20[[#This Row],[avg_exit_price]]-Table20[[#This Row],[AvePrice]])*100*Table20[[#This Row],[Buy or Sell]]</f>
        <v>839.99999999999989</v>
      </c>
      <c r="U243" s="5">
        <f>Table20[[#This Row],[Number of options]]*Table20[[#This Row],[AvePrice]]*100*Table20[[#This Row],[Buy or Sell]]</f>
        <v>-839.99999999999989</v>
      </c>
      <c r="V243" s="8">
        <f>Table20[[#This Row],[Number of options]]-Table20[[#This Row],[Exit1]]-Table20[[#This Row],[Exit2]]</f>
        <v>0</v>
      </c>
      <c r="W243" s="30">
        <f ca="1">(Table20[[#This Row],[Expiration Date]]-TODAY())/365</f>
        <v>-1.484931506849315</v>
      </c>
      <c r="X243" s="30" t="e">
        <f ca="1">(LN(Table20[[#This Row],[Current Price]]/Table20[[#This Row],[strike_price]]) + ($B$2 + (Table20[[#This Row],[Vol]]^2)/2)*Table20[[#This Row],[Time to expiration]]) / (Table20[[#This Row],[Vol]] * SQRT(Table20[[#This Row],[Time to expiration]]))</f>
        <v>#NUM!</v>
      </c>
      <c r="Y243" s="30" t="e">
        <f ca="1">IF(Table20[[#This Row],[Direction]]&gt;0, _xlfn.NORM.S.DIST(Table20[[#This Row],[d1]], TRUE), _xlfn.NORM.S.DIST(Table20[[#This Row],[d1]], TRUE) - 1) * Table20[[#This Row],[Buy or Sell]]</f>
        <v>#NUM!</v>
      </c>
      <c r="Z243" s="9">
        <f ca="1">Table20[[#This Row],[Remaining]]*Table20[[#This Row],[Current Price]]*100</f>
        <v>0</v>
      </c>
      <c r="AA243" s="22">
        <f ca="1">IFERROR(Table20[[#This Row],[nominal_exposure]]*Table20[[#This Row],[Delta]],0)</f>
        <v>0</v>
      </c>
      <c r="AB243" s="99" t="b">
        <f>IF(Table20[[#This Row],[date_purchased]]&lt;&gt;Table20[[#This Row],[Expiration Date]],FALSE,TRUE)</f>
        <v>0</v>
      </c>
      <c r="AC243" s="30" t="str">
        <f>VLOOKUP(Table20[[#This Row],[Asset]],Table19[#All],3,FALSE)</f>
        <v>Market</v>
      </c>
      <c r="AD243" s="4">
        <f>IF(Table20[[#This Row],[Remaining]]&lt;&gt;0,Table20[[#This Row],[Invested]]*Table20[[#This Row],[Remaining]]/Table20[[#This Row],[Number of options]],0)</f>
        <v>0</v>
      </c>
      <c r="AE243" s="4">
        <f ca="1">SUMIF(Table20[Ticker],Table20[[#This Row],[Ticker]],Table20[realized_profit])</f>
        <v>-5077</v>
      </c>
      <c r="AF243" s="30" t="str">
        <f>VLOOKUP(Table20[[#This Row],[Strategy]],Table29[#All],7,FALSE)</f>
        <v>Bearish</v>
      </c>
    </row>
    <row r="244" spans="1:32" hidden="1">
      <c r="A244" s="35">
        <v>45747</v>
      </c>
      <c r="B244" s="21" t="e" vm="21">
        <v>#VALUE!</v>
      </c>
      <c r="C244" s="109" t="str" cm="1">
        <f t="array" aca="1" ref="C244" ca="1">_FV(Table20[[#This Row],[Asset]],"Ticker symbol",TRUE)</f>
        <v>INTC</v>
      </c>
      <c r="D244" s="26" cm="1">
        <f t="array" aca="1" ref="D244" ca="1">_FV(Table20[[#This Row],[Asset]],"Price")</f>
        <v>47.290100000000002</v>
      </c>
      <c r="E244" s="26">
        <v>20</v>
      </c>
      <c r="F244" s="33">
        <v>3</v>
      </c>
      <c r="G244" s="34">
        <v>1</v>
      </c>
      <c r="H244" s="34" t="s">
        <v>113</v>
      </c>
      <c r="I244" s="31">
        <v>45513</v>
      </c>
      <c r="J244" s="26">
        <v>3.1</v>
      </c>
      <c r="K244" s="24">
        <v>0.48020000000000002</v>
      </c>
      <c r="L244" s="33">
        <f>VLOOKUP(Table20[[#This Row],[Strategy]],Table29[#All],6,FALSE)</f>
        <v>1</v>
      </c>
      <c r="M244" s="23">
        <v>1</v>
      </c>
      <c r="N244" s="23">
        <v>3.25</v>
      </c>
      <c r="O244" s="23">
        <v>2</v>
      </c>
      <c r="P244" s="23">
        <v>3.1</v>
      </c>
      <c r="Q244">
        <f>Table20[[#This Row],[Exit1]]*Table20[[#This Row],[ex1_price]]</f>
        <v>3.25</v>
      </c>
      <c r="R244">
        <f>Table20[[#This Row],[Exit2]]*Table20[[#This Row],[ex2_price]]</f>
        <v>6.2</v>
      </c>
      <c r="S244">
        <f>IFERROR((Table20[[#This Row],[ex2_amnt]]+Table20[[#This Row],[ex1_amnt]])/(Table20[[#This Row],[Exit2]]+Table20[[#This Row],[Exit1]]),0)</f>
        <v>3.15</v>
      </c>
      <c r="T244" s="5">
        <f>(Table20[[#This Row],[Exit1]]+Table20[[#This Row],[Exit2]])*(Table20[[#This Row],[avg_exit_price]]-Table20[[#This Row],[AvePrice]])*100*Table20[[#This Row],[Buy or Sell]]</f>
        <v>14.999999999999947</v>
      </c>
      <c r="U244" s="5">
        <f>Table20[[#This Row],[Number of options]]*Table20[[#This Row],[AvePrice]]*100*Table20[[#This Row],[Buy or Sell]]</f>
        <v>930.00000000000011</v>
      </c>
      <c r="V244" s="8">
        <f>Table20[[#This Row],[Number of options]]-Table20[[#This Row],[Exit1]]-Table20[[#This Row],[Exit2]]</f>
        <v>0</v>
      </c>
      <c r="W244" s="30">
        <f ca="1">(Table20[[#This Row],[Expiration Date]]-TODAY())/365</f>
        <v>-0.98630136986301364</v>
      </c>
      <c r="X244" s="30" t="e">
        <f ca="1">(LN(Table20[[#This Row],[Current Price]]/Table20[[#This Row],[strike_price]]) + ($B$2 + (Table20[[#This Row],[Vol]]^2)/2)*Table20[[#This Row],[Time to expiration]]) / (Table20[[#This Row],[Vol]] * SQRT(Table20[[#This Row],[Time to expiration]]))</f>
        <v>#NUM!</v>
      </c>
      <c r="Y244" s="30" t="e">
        <f ca="1">IF(Table20[[#This Row],[Direction]]&gt;0, _xlfn.NORM.S.DIST(Table20[[#This Row],[d1]], TRUE), _xlfn.NORM.S.DIST(Table20[[#This Row],[d1]], TRUE) - 1) * Table20[[#This Row],[Buy or Sell]]</f>
        <v>#NUM!</v>
      </c>
      <c r="Z244" s="9">
        <f ca="1">Table20[[#This Row],[Remaining]]*Table20[[#This Row],[Current Price]]*100</f>
        <v>0</v>
      </c>
      <c r="AA244" s="22">
        <f ca="1">IFERROR(Table20[[#This Row],[nominal_exposure]]*Table20[[#This Row],[Delta]],0)</f>
        <v>0</v>
      </c>
      <c r="AB244" s="30" t="b">
        <f>IF(Table20[[#This Row],[date_purchased]]&lt;&gt;Table20[[#This Row],[Expiration Date]],FALSE,TRUE)</f>
        <v>0</v>
      </c>
      <c r="AC244" s="30" t="str">
        <f>VLOOKUP(Table20[[#This Row],[Asset]],Table19[#All],3,FALSE)</f>
        <v>AI</v>
      </c>
      <c r="AD244" s="4">
        <f>IF(Table20[[#This Row],[Remaining]]&lt;&gt;0,Table20[[#This Row],[Invested]]*Table20[[#This Row],[Remaining]]/Table20[[#This Row],[Number of options]],0)</f>
        <v>0</v>
      </c>
      <c r="AE244" s="4">
        <f ca="1">SUMIF(Table20[Ticker],Table20[[#This Row],[Ticker]],Table20[realized_profit])</f>
        <v>4779</v>
      </c>
      <c r="AF244" s="30" t="str">
        <f>VLOOKUP(Table20[[#This Row],[Strategy]],Table29[#All],7,FALSE)</f>
        <v>Bullish</v>
      </c>
    </row>
    <row r="245" spans="1:32" hidden="1">
      <c r="A245" s="35">
        <v>45534</v>
      </c>
      <c r="B245" s="21" t="e" vm="29">
        <v>#VALUE!</v>
      </c>
      <c r="C245" s="109" t="str" cm="1">
        <f t="array" aca="1" ref="C245" ca="1">_FV(Table20[[#This Row],[Asset]],"Ticker symbol",TRUE)</f>
        <v>NVDA</v>
      </c>
      <c r="D245" s="26" cm="1">
        <f t="array" aca="1" ref="D245" ca="1">_FV(Table20[[#This Row],[Asset]],"Price")</f>
        <v>180.405</v>
      </c>
      <c r="E245" s="26">
        <v>100</v>
      </c>
      <c r="F245" s="33">
        <v>10</v>
      </c>
      <c r="G245" s="34">
        <v>-1</v>
      </c>
      <c r="H245" s="34" t="s">
        <v>161</v>
      </c>
      <c r="I245" s="31">
        <v>45532</v>
      </c>
      <c r="J245" s="26">
        <v>0.52</v>
      </c>
      <c r="K245" s="24">
        <v>2.1286999999999998</v>
      </c>
      <c r="L245" s="33">
        <f>VLOOKUP(Table20[[#This Row],[Strategy]],Table29[#All],6,FALSE)</f>
        <v>-1</v>
      </c>
      <c r="M245" s="23">
        <v>10</v>
      </c>
      <c r="N245" s="23">
        <v>0.03</v>
      </c>
      <c r="O245" s="23"/>
      <c r="P245" s="23"/>
      <c r="Q245">
        <f>Table20[[#This Row],[Exit1]]*Table20[[#This Row],[ex1_price]]</f>
        <v>0.3</v>
      </c>
      <c r="R245">
        <f>Table20[[#This Row],[Exit2]]*Table20[[#This Row],[ex2_price]]</f>
        <v>0</v>
      </c>
      <c r="S245">
        <f>IFERROR((Table20[[#This Row],[ex2_amnt]]+Table20[[#This Row],[ex1_amnt]])/(Table20[[#This Row],[Exit2]]+Table20[[#This Row],[Exit1]]),0)</f>
        <v>0.03</v>
      </c>
      <c r="T245" s="5">
        <f>(Table20[[#This Row],[Exit1]]+Table20[[#This Row],[Exit2]])*(Table20[[#This Row],[avg_exit_price]]-Table20[[#This Row],[AvePrice]])*100*Table20[[#This Row],[Buy or Sell]]</f>
        <v>490.00000000000006</v>
      </c>
      <c r="U245" s="5">
        <f>Table20[[#This Row],[Number of options]]*Table20[[#This Row],[AvePrice]]*100*Table20[[#This Row],[Buy or Sell]]</f>
        <v>-520</v>
      </c>
      <c r="V245" s="8">
        <f>Table20[[#This Row],[Number of options]]-Table20[[#This Row],[Exit1]]-Table20[[#This Row],[Exit2]]</f>
        <v>0</v>
      </c>
      <c r="W245" s="30">
        <f ca="1">(Table20[[#This Row],[Expiration Date]]-TODAY())/365</f>
        <v>-1.5698630136986302</v>
      </c>
      <c r="X245" s="30" t="e">
        <f ca="1">(LN(Table20[[#This Row],[Current Price]]/Table20[[#This Row],[strike_price]]) + ($B$2 + (Table20[[#This Row],[Vol]]^2)/2)*Table20[[#This Row],[Time to expiration]]) / (Table20[[#This Row],[Vol]] * SQRT(Table20[[#This Row],[Time to expiration]]))</f>
        <v>#NUM!</v>
      </c>
      <c r="Y245" s="30" t="e">
        <f ca="1">IF(Table20[[#This Row],[Direction]]&gt;0, _xlfn.NORM.S.DIST(Table20[[#This Row],[d1]], TRUE), _xlfn.NORM.S.DIST(Table20[[#This Row],[d1]], TRUE) - 1) * Table20[[#This Row],[Buy or Sell]]</f>
        <v>#NUM!</v>
      </c>
      <c r="Z245" s="9">
        <f ca="1">Table20[[#This Row],[Remaining]]*Table20[[#This Row],[Current Price]]*100</f>
        <v>0</v>
      </c>
      <c r="AA245" s="22">
        <f ca="1">IFERROR(Table20[[#This Row],[nominal_exposure]]*Table20[[#This Row],[Delta]],0)</f>
        <v>0</v>
      </c>
      <c r="AB245" s="30" t="b">
        <f>IF(Table20[[#This Row],[date_purchased]]&lt;&gt;Table20[[#This Row],[Expiration Date]],FALSE,TRUE)</f>
        <v>0</v>
      </c>
      <c r="AC245" s="30" t="str">
        <f>VLOOKUP(Table20[[#This Row],[Asset]],Table19[#All],3,FALSE)</f>
        <v>AI</v>
      </c>
      <c r="AD245" s="30">
        <f>IF(Table20[[#This Row],[Remaining]]&lt;&gt;0,Table20[[#This Row],[Invested]]*Table20[[#This Row],[Remaining]]/Table20[[#This Row],[Number of options]],0)</f>
        <v>0</v>
      </c>
      <c r="AE245" s="30">
        <f ca="1">SUMIF(Table20[Ticker],Table20[[#This Row],[Ticker]],Table20[realized_profit])</f>
        <v>-637.99999999999955</v>
      </c>
      <c r="AF245" s="30" t="str">
        <f>VLOOKUP(Table20[[#This Row],[Strategy]],Table29[#All],7,FALSE)</f>
        <v>Bearish</v>
      </c>
    </row>
    <row r="246" spans="1:32" hidden="1">
      <c r="A246" s="35">
        <v>45541</v>
      </c>
      <c r="B246" s="21" t="e" vm="29">
        <v>#VALUE!</v>
      </c>
      <c r="C246" s="109" t="str" cm="1">
        <f t="array" aca="1" ref="C246" ca="1">_FV(Table20[[#This Row],[Asset]],"Ticker symbol",TRUE)</f>
        <v>NVDA</v>
      </c>
      <c r="D246" s="26" cm="1">
        <f t="array" aca="1" ref="D246" ca="1">_FV(Table20[[#This Row],[Asset]],"Price")</f>
        <v>180.405</v>
      </c>
      <c r="E246" s="26">
        <v>100</v>
      </c>
      <c r="F246" s="33">
        <v>10</v>
      </c>
      <c r="G246" s="34">
        <v>1</v>
      </c>
      <c r="H246" s="34" t="s">
        <v>161</v>
      </c>
      <c r="I246" s="31">
        <v>45532</v>
      </c>
      <c r="J246" s="26">
        <v>0.95</v>
      </c>
      <c r="K246" s="24">
        <v>1.1000000000000001</v>
      </c>
      <c r="L246" s="33">
        <f>VLOOKUP(Table20[[#This Row],[Strategy]],Table29[#All],6,FALSE)</f>
        <v>-1</v>
      </c>
      <c r="M246" s="23">
        <v>10</v>
      </c>
      <c r="N246" s="23">
        <v>0.15</v>
      </c>
      <c r="O246" s="23"/>
      <c r="P246" s="23"/>
      <c r="Q246">
        <f>Table20[[#This Row],[Exit1]]*Table20[[#This Row],[ex1_price]]</f>
        <v>1.5</v>
      </c>
      <c r="R246">
        <f>Table20[[#This Row],[Exit2]]*Table20[[#This Row],[ex2_price]]</f>
        <v>0</v>
      </c>
      <c r="S246">
        <f>IFERROR((Table20[[#This Row],[ex2_amnt]]+Table20[[#This Row],[ex1_amnt]])/(Table20[[#This Row],[Exit2]]+Table20[[#This Row],[Exit1]]),0)</f>
        <v>0.15</v>
      </c>
      <c r="T246" s="5">
        <f>(Table20[[#This Row],[Exit1]]+Table20[[#This Row],[Exit2]])*(Table20[[#This Row],[avg_exit_price]]-Table20[[#This Row],[AvePrice]])*100*Table20[[#This Row],[Buy or Sell]]</f>
        <v>-799.99999999999989</v>
      </c>
      <c r="U246" s="5">
        <f>Table20[[#This Row],[Number of options]]*Table20[[#This Row],[AvePrice]]*100*Table20[[#This Row],[Buy or Sell]]</f>
        <v>950</v>
      </c>
      <c r="V246" s="8">
        <f>Table20[[#This Row],[Number of options]]-Table20[[#This Row],[Exit1]]-Table20[[#This Row],[Exit2]]</f>
        <v>0</v>
      </c>
      <c r="W246" s="30">
        <f ca="1">(Table20[[#This Row],[Expiration Date]]-TODAY())/365</f>
        <v>-1.5506849315068494</v>
      </c>
      <c r="X246" s="30" t="e">
        <f ca="1">(LN(Table20[[#This Row],[Current Price]]/Table20[[#This Row],[strike_price]]) + ($B$2 + (Table20[[#This Row],[Vol]]^2)/2)*Table20[[#This Row],[Time to expiration]]) / (Table20[[#This Row],[Vol]] * SQRT(Table20[[#This Row],[Time to expiration]]))</f>
        <v>#NUM!</v>
      </c>
      <c r="Y246" s="30" t="e">
        <f ca="1">IF(Table20[[#This Row],[Direction]]&gt;0, _xlfn.NORM.S.DIST(Table20[[#This Row],[d1]], TRUE), _xlfn.NORM.S.DIST(Table20[[#This Row],[d1]], TRUE) - 1) * Table20[[#This Row],[Buy or Sell]]</f>
        <v>#NUM!</v>
      </c>
      <c r="Z246" s="9">
        <f ca="1">Table20[[#This Row],[Remaining]]*Table20[[#This Row],[Current Price]]*100</f>
        <v>0</v>
      </c>
      <c r="AA246" s="22">
        <f ca="1">IFERROR(Table20[[#This Row],[nominal_exposure]]*Table20[[#This Row],[Delta]],0)</f>
        <v>0</v>
      </c>
      <c r="AB246" s="30" t="b">
        <f>IF(Table20[[#This Row],[date_purchased]]&lt;&gt;Table20[[#This Row],[Expiration Date]],FALSE,TRUE)</f>
        <v>0</v>
      </c>
      <c r="AC246" s="30" t="str">
        <f>VLOOKUP(Table20[[#This Row],[Asset]],Table19[#All],3,FALSE)</f>
        <v>AI</v>
      </c>
      <c r="AD246" s="30">
        <f>IF(Table20[[#This Row],[Remaining]]&lt;&gt;0,Table20[[#This Row],[Invested]]*Table20[[#This Row],[Remaining]]/Table20[[#This Row],[Number of options]],0)</f>
        <v>0</v>
      </c>
      <c r="AE246" s="30">
        <f ca="1">SUMIF(Table20[Ticker],Table20[[#This Row],[Ticker]],Table20[realized_profit])</f>
        <v>-637.99999999999955</v>
      </c>
      <c r="AF246" s="30" t="str">
        <f>VLOOKUP(Table20[[#This Row],[Strategy]],Table29[#All],7,FALSE)</f>
        <v>Bearish</v>
      </c>
    </row>
    <row r="247" spans="1:32" hidden="1">
      <c r="A247" s="35">
        <v>45534</v>
      </c>
      <c r="B247" s="21" t="e" vm="367">
        <v>#VALUE!</v>
      </c>
      <c r="C247" s="109" t="str" cm="1">
        <f t="array" aca="1" ref="C247" ca="1">_FV(Table20[[#This Row],[Asset]],"Ticker symbol",TRUE)</f>
        <v>OKTA</v>
      </c>
      <c r="D247" s="26" cm="1">
        <f t="array" aca="1" ref="D247" ca="1">_FV(Table20[[#This Row],[Asset]],"Price")</f>
        <v>78.45</v>
      </c>
      <c r="E247" s="26">
        <v>120</v>
      </c>
      <c r="F247" s="33">
        <v>4</v>
      </c>
      <c r="G247" s="34">
        <v>-1</v>
      </c>
      <c r="H247" s="34" t="s">
        <v>115</v>
      </c>
      <c r="I247" s="31">
        <v>45531</v>
      </c>
      <c r="J247" s="26">
        <v>0.31</v>
      </c>
      <c r="K247" s="24">
        <v>2.5499999999999998</v>
      </c>
      <c r="L247" s="33">
        <f>VLOOKUP(Table20[[#This Row],[Strategy]],Table29[#All],6,FALSE)</f>
        <v>1</v>
      </c>
      <c r="M247" s="23">
        <v>4</v>
      </c>
      <c r="N247" s="23">
        <v>0</v>
      </c>
      <c r="O247" s="23"/>
      <c r="P247" s="23"/>
      <c r="Q247">
        <f>Table20[[#This Row],[Exit1]]*Table20[[#This Row],[ex1_price]]</f>
        <v>0</v>
      </c>
      <c r="R247">
        <f>Table20[[#This Row],[Exit2]]*Table20[[#This Row],[ex2_price]]</f>
        <v>0</v>
      </c>
      <c r="S247">
        <f>IFERROR((Table20[[#This Row],[ex2_amnt]]+Table20[[#This Row],[ex1_amnt]])/(Table20[[#This Row],[Exit2]]+Table20[[#This Row],[Exit1]]),0)</f>
        <v>0</v>
      </c>
      <c r="T247" s="5">
        <f>(Table20[[#This Row],[Exit1]]+Table20[[#This Row],[Exit2]])*(Table20[[#This Row],[avg_exit_price]]-Table20[[#This Row],[AvePrice]])*100*Table20[[#This Row],[Buy or Sell]]</f>
        <v>124</v>
      </c>
      <c r="U247" s="5">
        <f>Table20[[#This Row],[Number of options]]*Table20[[#This Row],[AvePrice]]*100*Table20[[#This Row],[Buy or Sell]]</f>
        <v>-124</v>
      </c>
      <c r="V247" s="8">
        <f>Table20[[#This Row],[Number of options]]-Table20[[#This Row],[Exit1]]-Table20[[#This Row],[Exit2]]</f>
        <v>0</v>
      </c>
      <c r="W247" s="30">
        <f ca="1">(Table20[[#This Row],[Expiration Date]]-TODAY())/365</f>
        <v>-1.5698630136986302</v>
      </c>
      <c r="X247" s="30" t="e">
        <f ca="1">(LN(Table20[[#This Row],[Current Price]]/Table20[[#This Row],[strike_price]]) + ($B$2 + (Table20[[#This Row],[Vol]]^2)/2)*Table20[[#This Row],[Time to expiration]]) / (Table20[[#This Row],[Vol]] * SQRT(Table20[[#This Row],[Time to expiration]]))</f>
        <v>#NUM!</v>
      </c>
      <c r="Y247" s="30" t="e">
        <f ca="1">IF(Table20[[#This Row],[Direction]]&gt;0, _xlfn.NORM.S.DIST(Table20[[#This Row],[d1]], TRUE), _xlfn.NORM.S.DIST(Table20[[#This Row],[d1]], TRUE) - 1) * Table20[[#This Row],[Buy or Sell]]</f>
        <v>#NUM!</v>
      </c>
      <c r="Z247" s="9">
        <f ca="1">Table20[[#This Row],[Remaining]]*Table20[[#This Row],[Current Price]]*100</f>
        <v>0</v>
      </c>
      <c r="AA247" s="22">
        <f ca="1">IFERROR(Table20[[#This Row],[nominal_exposure]]*Table20[[#This Row],[Delta]],0)</f>
        <v>0</v>
      </c>
      <c r="AB247" s="30" t="b">
        <f>IF(Table20[[#This Row],[date_purchased]]&lt;&gt;Table20[[#This Row],[Expiration Date]],FALSE,TRUE)</f>
        <v>0</v>
      </c>
      <c r="AC247" s="30" t="str">
        <f>VLOOKUP(Table20[[#This Row],[Asset]],Table19[#All],3,FALSE)</f>
        <v>Technology</v>
      </c>
      <c r="AD247" s="30">
        <f>IF(Table20[[#This Row],[Remaining]]&lt;&gt;0,Table20[[#This Row],[Invested]]*Table20[[#This Row],[Remaining]]/Table20[[#This Row],[Number of options]],0)</f>
        <v>0</v>
      </c>
      <c r="AE247" s="30">
        <f ca="1">SUMIF(Table20[Ticker],Table20[[#This Row],[Ticker]],Table20[realized_profit])</f>
        <v>-349.00000000000011</v>
      </c>
      <c r="AF247" s="30" t="str">
        <f>VLOOKUP(Table20[[#This Row],[Strategy]],Table29[#All],7,FALSE)</f>
        <v>Bullish</v>
      </c>
    </row>
    <row r="248" spans="1:32" hidden="1">
      <c r="A248" s="35">
        <v>45555</v>
      </c>
      <c r="B248" s="21" t="e" vm="367">
        <v>#VALUE!</v>
      </c>
      <c r="C248" s="109" t="str" cm="1">
        <f t="array" aca="1" ref="C248" ca="1">_FV(Table20[[#This Row],[Asset]],"Ticker symbol",TRUE)</f>
        <v>OKTA</v>
      </c>
      <c r="D248" s="26" cm="1">
        <f t="array" aca="1" ref="D248" ca="1">_FV(Table20[[#This Row],[Asset]],"Price")</f>
        <v>78.45</v>
      </c>
      <c r="E248" s="26">
        <v>120</v>
      </c>
      <c r="F248" s="33">
        <v>4</v>
      </c>
      <c r="G248" s="34">
        <v>1</v>
      </c>
      <c r="H248" s="34" t="s">
        <v>115</v>
      </c>
      <c r="I248" s="31">
        <v>45531</v>
      </c>
      <c r="J248" s="26">
        <v>0.83</v>
      </c>
      <c r="K248" s="24">
        <v>0.69069999999999998</v>
      </c>
      <c r="L248" s="33">
        <f>VLOOKUP(Table20[[#This Row],[Strategy]],Table29[#All],6,FALSE)</f>
        <v>1</v>
      </c>
      <c r="M248" s="23">
        <v>4</v>
      </c>
      <c r="N248" s="23">
        <v>0</v>
      </c>
      <c r="O248" s="23"/>
      <c r="P248" s="23"/>
      <c r="Q248">
        <f>Table20[[#This Row],[Exit1]]*Table20[[#This Row],[ex1_price]]</f>
        <v>0</v>
      </c>
      <c r="R248">
        <f>Table20[[#This Row],[Exit2]]*Table20[[#This Row],[ex2_price]]</f>
        <v>0</v>
      </c>
      <c r="S248">
        <f>IFERROR((Table20[[#This Row],[ex2_amnt]]+Table20[[#This Row],[ex1_amnt]])/(Table20[[#This Row],[Exit2]]+Table20[[#This Row],[Exit1]]),0)</f>
        <v>0</v>
      </c>
      <c r="T248" s="5">
        <f>(Table20[[#This Row],[Exit1]]+Table20[[#This Row],[Exit2]])*(Table20[[#This Row],[avg_exit_price]]-Table20[[#This Row],[AvePrice]])*100*Table20[[#This Row],[Buy or Sell]]</f>
        <v>-332</v>
      </c>
      <c r="U248" s="5">
        <f>Table20[[#This Row],[Number of options]]*Table20[[#This Row],[AvePrice]]*100*Table20[[#This Row],[Buy or Sell]]</f>
        <v>332</v>
      </c>
      <c r="V248" s="8">
        <f>Table20[[#This Row],[Number of options]]-Table20[[#This Row],[Exit1]]-Table20[[#This Row],[Exit2]]</f>
        <v>0</v>
      </c>
      <c r="W248" s="30">
        <f ca="1">(Table20[[#This Row],[Expiration Date]]-TODAY())/365</f>
        <v>-1.5123287671232877</v>
      </c>
      <c r="X248" s="30" t="e">
        <f ca="1">(LN(Table20[[#This Row],[Current Price]]/Table20[[#This Row],[strike_price]]) + ($B$2 + (Table20[[#This Row],[Vol]]^2)/2)*Table20[[#This Row],[Time to expiration]]) / (Table20[[#This Row],[Vol]] * SQRT(Table20[[#This Row],[Time to expiration]]))</f>
        <v>#NUM!</v>
      </c>
      <c r="Y248" s="30" t="e">
        <f ca="1">IF(Table20[[#This Row],[Direction]]&gt;0, _xlfn.NORM.S.DIST(Table20[[#This Row],[d1]], TRUE), _xlfn.NORM.S.DIST(Table20[[#This Row],[d1]], TRUE) - 1) * Table20[[#This Row],[Buy or Sell]]</f>
        <v>#NUM!</v>
      </c>
      <c r="Z248" s="9">
        <f ca="1">Table20[[#This Row],[Remaining]]*Table20[[#This Row],[Current Price]]*100</f>
        <v>0</v>
      </c>
      <c r="AA248" s="22">
        <f ca="1">IFERROR(Table20[[#This Row],[nominal_exposure]]*Table20[[#This Row],[Delta]],0)</f>
        <v>0</v>
      </c>
      <c r="AB248" s="30" t="b">
        <f>IF(Table20[[#This Row],[date_purchased]]&lt;&gt;Table20[[#This Row],[Expiration Date]],FALSE,TRUE)</f>
        <v>0</v>
      </c>
      <c r="AC248" s="30" t="str">
        <f>VLOOKUP(Table20[[#This Row],[Asset]],Table19[#All],3,FALSE)</f>
        <v>Technology</v>
      </c>
      <c r="AD248" s="30">
        <f>IF(Table20[[#This Row],[Remaining]]&lt;&gt;0,Table20[[#This Row],[Invested]]*Table20[[#This Row],[Remaining]]/Table20[[#This Row],[Number of options]],0)</f>
        <v>0</v>
      </c>
      <c r="AE248" s="30">
        <f ca="1">SUMIF(Table20[Ticker],Table20[[#This Row],[Ticker]],Table20[realized_profit])</f>
        <v>-349.00000000000011</v>
      </c>
      <c r="AF248" s="30" t="str">
        <f>VLOOKUP(Table20[[#This Row],[Strategy]],Table29[#All],7,FALSE)</f>
        <v>Bullish</v>
      </c>
    </row>
    <row r="249" spans="1:32" hidden="1">
      <c r="A249" s="35">
        <v>45534</v>
      </c>
      <c r="B249" s="21" t="e" vm="29">
        <v>#VALUE!</v>
      </c>
      <c r="C249" s="109" t="str" cm="1">
        <f t="array" aca="1" ref="C249" ca="1">_FV(Table20[[#This Row],[Asset]],"Ticker symbol",TRUE)</f>
        <v>NVDA</v>
      </c>
      <c r="D249" s="26" cm="1">
        <f t="array" aca="1" ref="D249" ca="1">_FV(Table20[[#This Row],[Asset]],"Price")</f>
        <v>180.405</v>
      </c>
      <c r="E249" s="26">
        <v>135</v>
      </c>
      <c r="F249" s="33">
        <v>2</v>
      </c>
      <c r="G249" s="34">
        <v>-1</v>
      </c>
      <c r="H249" s="34" t="s">
        <v>115</v>
      </c>
      <c r="I249" s="31">
        <v>45532</v>
      </c>
      <c r="J249" s="26">
        <v>3.52</v>
      </c>
      <c r="K249" s="24">
        <v>2</v>
      </c>
      <c r="L249" s="33">
        <f>VLOOKUP(Table20[[#This Row],[Strategy]],Table29[#All],6,FALSE)</f>
        <v>1</v>
      </c>
      <c r="M249" s="23">
        <v>2</v>
      </c>
      <c r="N249" s="23">
        <v>3.55</v>
      </c>
      <c r="O249" s="23"/>
      <c r="P249" s="23"/>
      <c r="Q249">
        <f>Table20[[#This Row],[Exit1]]*Table20[[#This Row],[ex1_price]]</f>
        <v>7.1</v>
      </c>
      <c r="R249">
        <f>Table20[[#This Row],[Exit2]]*Table20[[#This Row],[ex2_price]]</f>
        <v>0</v>
      </c>
      <c r="S249">
        <f>IFERROR((Table20[[#This Row],[ex2_amnt]]+Table20[[#This Row],[ex1_amnt]])/(Table20[[#This Row],[Exit2]]+Table20[[#This Row],[Exit1]]),0)</f>
        <v>3.55</v>
      </c>
      <c r="T249" s="5">
        <f>(Table20[[#This Row],[Exit1]]+Table20[[#This Row],[Exit2]])*(Table20[[#This Row],[avg_exit_price]]-Table20[[#This Row],[AvePrice]])*100*Table20[[#This Row],[Buy or Sell]]</f>
        <v>-5.9999999999999609</v>
      </c>
      <c r="U249" s="5">
        <f>Table20[[#This Row],[Number of options]]*Table20[[#This Row],[AvePrice]]*100*Table20[[#This Row],[Buy or Sell]]</f>
        <v>-704</v>
      </c>
      <c r="V249" s="8">
        <f>Table20[[#This Row],[Number of options]]-Table20[[#This Row],[Exit1]]-Table20[[#This Row],[Exit2]]</f>
        <v>0</v>
      </c>
      <c r="W249" s="30">
        <f ca="1">(Table20[[#This Row],[Expiration Date]]-TODAY())/365</f>
        <v>-1.5698630136986302</v>
      </c>
      <c r="X249" s="30" t="e">
        <f ca="1">(LN(Table20[[#This Row],[Current Price]]/Table20[[#This Row],[strike_price]]) + ($B$2 + (Table20[[#This Row],[Vol]]^2)/2)*Table20[[#This Row],[Time to expiration]]) / (Table20[[#This Row],[Vol]] * SQRT(Table20[[#This Row],[Time to expiration]]))</f>
        <v>#NUM!</v>
      </c>
      <c r="Y249" s="30" t="e">
        <f ca="1">IF(Table20[[#This Row],[Direction]]&gt;0, _xlfn.NORM.S.DIST(Table20[[#This Row],[d1]], TRUE), _xlfn.NORM.S.DIST(Table20[[#This Row],[d1]], TRUE) - 1) * Table20[[#This Row],[Buy or Sell]]</f>
        <v>#NUM!</v>
      </c>
      <c r="Z249" s="9">
        <f ca="1">Table20[[#This Row],[Remaining]]*Table20[[#This Row],[Current Price]]*100</f>
        <v>0</v>
      </c>
      <c r="AA249" s="22">
        <f ca="1">IFERROR(Table20[[#This Row],[nominal_exposure]]*Table20[[#This Row],[Delta]],0)</f>
        <v>0</v>
      </c>
      <c r="AB249" s="30" t="b">
        <f>IF(Table20[[#This Row],[date_purchased]]&lt;&gt;Table20[[#This Row],[Expiration Date]],FALSE,TRUE)</f>
        <v>0</v>
      </c>
      <c r="AC249" s="30" t="str">
        <f>VLOOKUP(Table20[[#This Row],[Asset]],Table19[#All],3,FALSE)</f>
        <v>AI</v>
      </c>
      <c r="AD249" s="30">
        <f>IF(Table20[[#This Row],[Remaining]]&lt;&gt;0,Table20[[#This Row],[Invested]]*Table20[[#This Row],[Remaining]]/Table20[[#This Row],[Number of options]],0)</f>
        <v>0</v>
      </c>
      <c r="AE249" s="30">
        <f ca="1">SUMIF(Table20[Ticker],Table20[[#This Row],[Ticker]],Table20[realized_profit])</f>
        <v>-637.99999999999955</v>
      </c>
      <c r="AF249" s="30" t="str">
        <f>VLOOKUP(Table20[[#This Row],[Strategy]],Table29[#All],7,FALSE)</f>
        <v>Bullish</v>
      </c>
    </row>
    <row r="250" spans="1:32" hidden="1">
      <c r="A250" s="35">
        <v>45541</v>
      </c>
      <c r="B250" s="21" t="e" vm="29">
        <v>#VALUE!</v>
      </c>
      <c r="C250" s="109" t="str" cm="1">
        <f t="array" aca="1" ref="C250" ca="1">_FV(Table20[[#This Row],[Asset]],"Ticker symbol",TRUE)</f>
        <v>NVDA</v>
      </c>
      <c r="D250" s="26" cm="1">
        <f t="array" aca="1" ref="D250" ca="1">_FV(Table20[[#This Row],[Asset]],"Price")</f>
        <v>180.405</v>
      </c>
      <c r="E250" s="26">
        <v>135</v>
      </c>
      <c r="F250" s="33">
        <v>2</v>
      </c>
      <c r="G250" s="34">
        <v>1</v>
      </c>
      <c r="H250" s="34" t="s">
        <v>115</v>
      </c>
      <c r="I250" s="31">
        <v>45532</v>
      </c>
      <c r="J250" s="26">
        <v>4.62</v>
      </c>
      <c r="K250" s="24">
        <v>1</v>
      </c>
      <c r="L250" s="33">
        <f>VLOOKUP(Table20[[#This Row],[Strategy]],Table29[#All],6,FALSE)</f>
        <v>1</v>
      </c>
      <c r="M250" s="23">
        <v>2</v>
      </c>
      <c r="N250" s="23">
        <v>4.58</v>
      </c>
      <c r="O250" s="23"/>
      <c r="P250" s="23"/>
      <c r="Q250">
        <f>Table20[[#This Row],[Exit1]]*Table20[[#This Row],[ex1_price]]</f>
        <v>9.16</v>
      </c>
      <c r="R250">
        <f>Table20[[#This Row],[Exit2]]*Table20[[#This Row],[ex2_price]]</f>
        <v>0</v>
      </c>
      <c r="S250">
        <f>IFERROR((Table20[[#This Row],[ex2_amnt]]+Table20[[#This Row],[ex1_amnt]])/(Table20[[#This Row],[Exit2]]+Table20[[#This Row],[Exit1]]),0)</f>
        <v>4.58</v>
      </c>
      <c r="T250" s="5">
        <f>(Table20[[#This Row],[Exit1]]+Table20[[#This Row],[Exit2]])*(Table20[[#This Row],[avg_exit_price]]-Table20[[#This Row],[AvePrice]])*100*Table20[[#This Row],[Buy or Sell]]</f>
        <v>-8.0000000000000071</v>
      </c>
      <c r="U250" s="5">
        <f>Table20[[#This Row],[Number of options]]*Table20[[#This Row],[AvePrice]]*100*Table20[[#This Row],[Buy or Sell]]</f>
        <v>924</v>
      </c>
      <c r="V250" s="8">
        <f>Table20[[#This Row],[Number of options]]-Table20[[#This Row],[Exit1]]-Table20[[#This Row],[Exit2]]</f>
        <v>0</v>
      </c>
      <c r="W250" s="30">
        <f ca="1">(Table20[[#This Row],[Expiration Date]]-TODAY())/365</f>
        <v>-1.5506849315068494</v>
      </c>
      <c r="X250" s="30" t="e">
        <f ca="1">(LN(Table20[[#This Row],[Current Price]]/Table20[[#This Row],[strike_price]]) + ($B$2 + (Table20[[#This Row],[Vol]]^2)/2)*Table20[[#This Row],[Time to expiration]]) / (Table20[[#This Row],[Vol]] * SQRT(Table20[[#This Row],[Time to expiration]]))</f>
        <v>#NUM!</v>
      </c>
      <c r="Y250" s="30" t="e">
        <f ca="1">IF(Table20[[#This Row],[Direction]]&gt;0, _xlfn.NORM.S.DIST(Table20[[#This Row],[d1]], TRUE), _xlfn.NORM.S.DIST(Table20[[#This Row],[d1]], TRUE) - 1) * Table20[[#This Row],[Buy or Sell]]</f>
        <v>#NUM!</v>
      </c>
      <c r="Z250" s="9">
        <f ca="1">Table20[[#This Row],[Remaining]]*Table20[[#This Row],[Current Price]]*100</f>
        <v>0</v>
      </c>
      <c r="AA250" s="22">
        <f ca="1">IFERROR(Table20[[#This Row],[nominal_exposure]]*Table20[[#This Row],[Delta]],0)</f>
        <v>0</v>
      </c>
      <c r="AB250" s="30" t="b">
        <f>IF(Table20[[#This Row],[date_purchased]]&lt;&gt;Table20[[#This Row],[Expiration Date]],FALSE,TRUE)</f>
        <v>0</v>
      </c>
      <c r="AC250" s="30" t="str">
        <f>VLOOKUP(Table20[[#This Row],[Asset]],Table19[#All],3,FALSE)</f>
        <v>AI</v>
      </c>
      <c r="AD250" s="30">
        <f>IF(Table20[[#This Row],[Remaining]]&lt;&gt;0,Table20[[#This Row],[Invested]]*Table20[[#This Row],[Remaining]]/Table20[[#This Row],[Number of options]],0)</f>
        <v>0</v>
      </c>
      <c r="AE250" s="30">
        <f ca="1">SUMIF(Table20[Ticker],Table20[[#This Row],[Ticker]],Table20[realized_profit])</f>
        <v>-637.99999999999955</v>
      </c>
      <c r="AF250" s="30" t="str">
        <f>VLOOKUP(Table20[[#This Row],[Strategy]],Table29[#All],7,FALSE)</f>
        <v>Bullish</v>
      </c>
    </row>
    <row r="251" spans="1:32" hidden="1">
      <c r="A251" s="118">
        <v>45534</v>
      </c>
      <c r="B251" s="21" t="e" vm="129">
        <v>#VALUE!</v>
      </c>
      <c r="C251" s="109" t="str" cm="1">
        <f t="array" aca="1" ref="C251" ca="1">_FV(Table20[[#This Row],[Asset]],"Ticker symbol",TRUE)</f>
        <v>MRVL</v>
      </c>
      <c r="D251" s="26" cm="1">
        <f t="array" aca="1" ref="D251" ca="1">_FV(Table20[[#This Row],[Asset]],"Price")</f>
        <v>96.84</v>
      </c>
      <c r="E251" s="26">
        <v>80</v>
      </c>
      <c r="F251" s="33">
        <v>2</v>
      </c>
      <c r="G251" s="34">
        <v>-1</v>
      </c>
      <c r="H251" s="34" t="s">
        <v>115</v>
      </c>
      <c r="I251" s="31">
        <v>45532</v>
      </c>
      <c r="J251" s="26">
        <v>0.59</v>
      </c>
      <c r="K251" s="24">
        <v>1.8428</v>
      </c>
      <c r="L251" s="33">
        <f>VLOOKUP(Table20[[#This Row],[Strategy]],Table29[#All],6,FALSE)</f>
        <v>1</v>
      </c>
      <c r="M251" s="23">
        <v>2</v>
      </c>
      <c r="N251" s="23">
        <v>0.32</v>
      </c>
      <c r="O251" s="23"/>
      <c r="P251" s="23"/>
      <c r="Q251">
        <f>Table20[[#This Row],[Exit1]]*Table20[[#This Row],[ex1_price]]</f>
        <v>0.64</v>
      </c>
      <c r="R251">
        <f>Table20[[#This Row],[Exit2]]*Table20[[#This Row],[ex2_price]]</f>
        <v>0</v>
      </c>
      <c r="S251">
        <f>IFERROR((Table20[[#This Row],[ex2_amnt]]+Table20[[#This Row],[ex1_amnt]])/(Table20[[#This Row],[Exit2]]+Table20[[#This Row],[Exit1]]),0)</f>
        <v>0.32</v>
      </c>
      <c r="T251" s="5">
        <f>(Table20[[#This Row],[Exit1]]+Table20[[#This Row],[Exit2]])*(Table20[[#This Row],[avg_exit_price]]-Table20[[#This Row],[AvePrice]])*100*Table20[[#This Row],[Buy or Sell]]</f>
        <v>53.999999999999993</v>
      </c>
      <c r="U251" s="5">
        <f>Table20[[#This Row],[Number of options]]*Table20[[#This Row],[AvePrice]]*100*Table20[[#This Row],[Buy or Sell]]</f>
        <v>-118</v>
      </c>
      <c r="V251" s="8">
        <f>Table20[[#This Row],[Number of options]]-Table20[[#This Row],[Exit1]]-Table20[[#This Row],[Exit2]]</f>
        <v>0</v>
      </c>
      <c r="W251" s="30">
        <f ca="1">(Table20[[#This Row],[Expiration Date]]-TODAY())/365</f>
        <v>-1.5698630136986302</v>
      </c>
      <c r="X251" s="30" t="e">
        <f ca="1">(LN(Table20[[#This Row],[Current Price]]/Table20[[#This Row],[strike_price]]) + ($B$2 + (Table20[[#This Row],[Vol]]^2)/2)*Table20[[#This Row],[Time to expiration]]) / (Table20[[#This Row],[Vol]] * SQRT(Table20[[#This Row],[Time to expiration]]))</f>
        <v>#NUM!</v>
      </c>
      <c r="Y251" s="30" t="e">
        <f ca="1">IF(Table20[[#This Row],[Direction]]&gt;0, _xlfn.NORM.S.DIST(Table20[[#This Row],[d1]], TRUE), _xlfn.NORM.S.DIST(Table20[[#This Row],[d1]], TRUE) - 1) * Table20[[#This Row],[Buy or Sell]]</f>
        <v>#NUM!</v>
      </c>
      <c r="Z251" s="9">
        <f ca="1">Table20[[#This Row],[Remaining]]*Table20[[#This Row],[Current Price]]*100</f>
        <v>0</v>
      </c>
      <c r="AA251" s="22">
        <f ca="1">IFERROR(Table20[[#This Row],[nominal_exposure]]*Table20[[#This Row],[Delta]],0)</f>
        <v>0</v>
      </c>
      <c r="AB251" s="30" t="b">
        <f>IF(Table20[[#This Row],[date_purchased]]&lt;&gt;Table20[[#This Row],[Expiration Date]],FALSE,TRUE)</f>
        <v>0</v>
      </c>
      <c r="AC251" s="30" t="str">
        <f>VLOOKUP(Table20[[#This Row],[Asset]],Table19[#All],3,FALSE)</f>
        <v>AI</v>
      </c>
      <c r="AD251" s="30">
        <f>IF(Table20[[#This Row],[Remaining]]&lt;&gt;0,Table20[[#This Row],[Invested]]*Table20[[#This Row],[Remaining]]/Table20[[#This Row],[Number of options]],0)</f>
        <v>0</v>
      </c>
      <c r="AE251" s="30">
        <f ca="1">SUMIF(Table20[Ticker],Table20[[#This Row],[Ticker]],Table20[realized_profit])</f>
        <v>-1014.0000000000001</v>
      </c>
      <c r="AF251" s="30" t="str">
        <f>VLOOKUP(Table20[[#This Row],[Strategy]],Table29[#All],7,FALSE)</f>
        <v>Bullish</v>
      </c>
    </row>
    <row r="252" spans="1:32" hidden="1">
      <c r="A252" s="118">
        <v>45541</v>
      </c>
      <c r="B252" s="21" t="e" vm="129">
        <v>#VALUE!</v>
      </c>
      <c r="C252" s="109" t="str" cm="1">
        <f t="array" aca="1" ref="C252" ca="1">_FV(Table20[[#This Row],[Asset]],"Ticker symbol",TRUE)</f>
        <v>MRVL</v>
      </c>
      <c r="D252" s="26" cm="1">
        <f t="array" aca="1" ref="D252" ca="1">_FV(Table20[[#This Row],[Asset]],"Price")</f>
        <v>96.84</v>
      </c>
      <c r="E252" s="26">
        <v>80</v>
      </c>
      <c r="F252" s="33">
        <v>2</v>
      </c>
      <c r="G252" s="34">
        <v>1</v>
      </c>
      <c r="H252" s="34" t="s">
        <v>115</v>
      </c>
      <c r="I252" s="31">
        <v>45532</v>
      </c>
      <c r="J252" s="26">
        <v>0.79</v>
      </c>
      <c r="K252" s="24">
        <v>0.83</v>
      </c>
      <c r="L252" s="33">
        <f>VLOOKUP(Table20[[#This Row],[Strategy]],Table29[#All],6,FALSE)</f>
        <v>1</v>
      </c>
      <c r="M252" s="23">
        <v>2</v>
      </c>
      <c r="N252" s="23">
        <v>0.69</v>
      </c>
      <c r="O252" s="23"/>
      <c r="P252" s="23"/>
      <c r="Q252">
        <f>Table20[[#This Row],[Exit1]]*Table20[[#This Row],[ex1_price]]</f>
        <v>1.38</v>
      </c>
      <c r="R252">
        <f>Table20[[#This Row],[Exit2]]*Table20[[#This Row],[ex2_price]]</f>
        <v>0</v>
      </c>
      <c r="S252">
        <f>IFERROR((Table20[[#This Row],[ex2_amnt]]+Table20[[#This Row],[ex1_amnt]])/(Table20[[#This Row],[Exit2]]+Table20[[#This Row],[Exit1]]),0)</f>
        <v>0.69</v>
      </c>
      <c r="T252" s="5">
        <f>(Table20[[#This Row],[Exit1]]+Table20[[#This Row],[Exit2]])*(Table20[[#This Row],[avg_exit_price]]-Table20[[#This Row],[AvePrice]])*100*Table20[[#This Row],[Buy or Sell]]</f>
        <v>-20.000000000000018</v>
      </c>
      <c r="U252" s="5">
        <f>Table20[[#This Row],[Number of options]]*Table20[[#This Row],[AvePrice]]*100*Table20[[#This Row],[Buy or Sell]]</f>
        <v>158</v>
      </c>
      <c r="V252" s="8">
        <f>Table20[[#This Row],[Number of options]]-Table20[[#This Row],[Exit1]]-Table20[[#This Row],[Exit2]]</f>
        <v>0</v>
      </c>
      <c r="W252" s="30">
        <f ca="1">(Table20[[#This Row],[Expiration Date]]-TODAY())/365</f>
        <v>-1.5506849315068494</v>
      </c>
      <c r="X252" s="30" t="e">
        <f ca="1">(LN(Table20[[#This Row],[Current Price]]/Table20[[#This Row],[strike_price]]) + ($B$2 + (Table20[[#This Row],[Vol]]^2)/2)*Table20[[#This Row],[Time to expiration]]) / (Table20[[#This Row],[Vol]] * SQRT(Table20[[#This Row],[Time to expiration]]))</f>
        <v>#NUM!</v>
      </c>
      <c r="Y252" s="30" t="e">
        <f ca="1">IF(Table20[[#This Row],[Direction]]&gt;0, _xlfn.NORM.S.DIST(Table20[[#This Row],[d1]], TRUE), _xlfn.NORM.S.DIST(Table20[[#This Row],[d1]], TRUE) - 1) * Table20[[#This Row],[Buy or Sell]]</f>
        <v>#NUM!</v>
      </c>
      <c r="Z252" s="9">
        <f ca="1">Table20[[#This Row],[Remaining]]*Table20[[#This Row],[Current Price]]*100</f>
        <v>0</v>
      </c>
      <c r="AA252" s="22">
        <f ca="1">IFERROR(Table20[[#This Row],[nominal_exposure]]*Table20[[#This Row],[Delta]],0)</f>
        <v>0</v>
      </c>
      <c r="AB252" s="30" t="b">
        <f>IF(Table20[[#This Row],[date_purchased]]&lt;&gt;Table20[[#This Row],[Expiration Date]],FALSE,TRUE)</f>
        <v>0</v>
      </c>
      <c r="AC252" s="30" t="str">
        <f>VLOOKUP(Table20[[#This Row],[Asset]],Table19[#All],3,FALSE)</f>
        <v>AI</v>
      </c>
      <c r="AD252" s="30">
        <f>IF(Table20[[#This Row],[Remaining]]&lt;&gt;0,Table20[[#This Row],[Invested]]*Table20[[#This Row],[Remaining]]/Table20[[#This Row],[Number of options]],0)</f>
        <v>0</v>
      </c>
      <c r="AE252" s="30">
        <f ca="1">SUMIF(Table20[Ticker],Table20[[#This Row],[Ticker]],Table20[realized_profit])</f>
        <v>-1014.0000000000001</v>
      </c>
      <c r="AF252" s="30" t="str">
        <f>VLOOKUP(Table20[[#This Row],[Strategy]],Table29[#All],7,FALSE)</f>
        <v>Bullish</v>
      </c>
    </row>
    <row r="253" spans="1:32" hidden="1">
      <c r="A253" s="118">
        <v>45534</v>
      </c>
      <c r="B253" s="21" t="e" vm="64">
        <v>#VALUE!</v>
      </c>
      <c r="C253" s="109" t="str" cm="1">
        <f t="array" aca="1" ref="C253" ca="1">_FV(Table20[[#This Row],[Asset]],"Ticker symbol",TRUE)</f>
        <v>LULU</v>
      </c>
      <c r="D253" s="26" cm="1">
        <f t="array" aca="1" ref="D253" ca="1">_FV(Table20[[#This Row],[Asset]],"Price")</f>
        <v>159.22</v>
      </c>
      <c r="E253" s="26">
        <v>280</v>
      </c>
      <c r="F253" s="33">
        <v>2</v>
      </c>
      <c r="G253" s="34">
        <v>-1</v>
      </c>
      <c r="H253" s="34" t="s">
        <v>115</v>
      </c>
      <c r="I253" s="31">
        <v>45533</v>
      </c>
      <c r="J253" s="26">
        <v>6.06</v>
      </c>
      <c r="K253" s="24">
        <v>2.5579000000000001</v>
      </c>
      <c r="L253" s="33">
        <f>VLOOKUP(Table20[[#This Row],[Strategy]],Table29[#All],6,FALSE)</f>
        <v>1</v>
      </c>
      <c r="M253" s="23">
        <v>2</v>
      </c>
      <c r="N253" s="23">
        <v>0.03</v>
      </c>
      <c r="O253" s="23"/>
      <c r="P253" s="23"/>
      <c r="Q253">
        <f>Table20[[#This Row],[Exit1]]*Table20[[#This Row],[ex1_price]]</f>
        <v>0.06</v>
      </c>
      <c r="R253">
        <f>Table20[[#This Row],[Exit2]]*Table20[[#This Row],[ex2_price]]</f>
        <v>0</v>
      </c>
      <c r="S253">
        <f>IFERROR((Table20[[#This Row],[ex2_amnt]]+Table20[[#This Row],[ex1_amnt]])/(Table20[[#This Row],[Exit2]]+Table20[[#This Row],[Exit1]]),0)</f>
        <v>0.03</v>
      </c>
      <c r="T253" s="5">
        <f>(Table20[[#This Row],[Exit1]]+Table20[[#This Row],[Exit2]])*(Table20[[#This Row],[avg_exit_price]]-Table20[[#This Row],[AvePrice]])*100*Table20[[#This Row],[Buy or Sell]]</f>
        <v>1205.9999999999998</v>
      </c>
      <c r="U253" s="5">
        <f>Table20[[#This Row],[Number of options]]*Table20[[#This Row],[AvePrice]]*100*Table20[[#This Row],[Buy or Sell]]</f>
        <v>-1212</v>
      </c>
      <c r="V253" s="8">
        <f>Table20[[#This Row],[Number of options]]-Table20[[#This Row],[Exit1]]-Table20[[#This Row],[Exit2]]</f>
        <v>0</v>
      </c>
      <c r="W253" s="30">
        <f ca="1">(Table20[[#This Row],[Expiration Date]]-TODAY())/365</f>
        <v>-1.5698630136986302</v>
      </c>
      <c r="X253" s="30" t="e">
        <f ca="1">(LN(Table20[[#This Row],[Current Price]]/Table20[[#This Row],[strike_price]]) + ($B$2 + (Table20[[#This Row],[Vol]]^2)/2)*Table20[[#This Row],[Time to expiration]]) / (Table20[[#This Row],[Vol]] * SQRT(Table20[[#This Row],[Time to expiration]]))</f>
        <v>#NUM!</v>
      </c>
      <c r="Y253" s="30" t="e">
        <f ca="1">IF(Table20[[#This Row],[Direction]]&gt;0, _xlfn.NORM.S.DIST(Table20[[#This Row],[d1]], TRUE), _xlfn.NORM.S.DIST(Table20[[#This Row],[d1]], TRUE) - 1) * Table20[[#This Row],[Buy or Sell]]</f>
        <v>#NUM!</v>
      </c>
      <c r="Z253" s="9">
        <f ca="1">Table20[[#This Row],[Remaining]]*Table20[[#This Row],[Current Price]]*100</f>
        <v>0</v>
      </c>
      <c r="AA253" s="22">
        <f ca="1">IFERROR(Table20[[#This Row],[nominal_exposure]]*Table20[[#This Row],[Delta]],0)</f>
        <v>0</v>
      </c>
      <c r="AB253" s="30" t="b">
        <f>IF(Table20[[#This Row],[date_purchased]]&lt;&gt;Table20[[#This Row],[Expiration Date]],FALSE,TRUE)</f>
        <v>0</v>
      </c>
      <c r="AC253" s="30" t="str">
        <f>VLOOKUP(Table20[[#This Row],[Asset]],Table19[#All],3,FALSE)</f>
        <v>Consumer Discretionary</v>
      </c>
      <c r="AD253" s="30">
        <f>IF(Table20[[#This Row],[Remaining]]&lt;&gt;0,Table20[[#This Row],[Invested]]*Table20[[#This Row],[Remaining]]/Table20[[#This Row],[Number of options]],0)</f>
        <v>0</v>
      </c>
      <c r="AE253" s="30">
        <f ca="1">SUMIF(Table20[Ticker],Table20[[#This Row],[Ticker]],Table20[realized_profit])</f>
        <v>-1317.0000000000002</v>
      </c>
      <c r="AF253" s="30" t="str">
        <f>VLOOKUP(Table20[[#This Row],[Strategy]],Table29[#All],7,FALSE)</f>
        <v>Bullish</v>
      </c>
    </row>
    <row r="254" spans="1:32" hidden="1">
      <c r="A254" s="35">
        <v>45555</v>
      </c>
      <c r="B254" s="21" t="e" vm="64">
        <v>#VALUE!</v>
      </c>
      <c r="C254" s="109" t="str" cm="1">
        <f t="array" aca="1" ref="C254" ca="1">_FV(Table20[[#This Row],[Asset]],"Ticker symbol",TRUE)</f>
        <v>LULU</v>
      </c>
      <c r="D254" s="26" cm="1">
        <f t="array" aca="1" ref="D254" ca="1">_FV(Table20[[#This Row],[Asset]],"Price")</f>
        <v>159.22</v>
      </c>
      <c r="E254" s="26">
        <v>280</v>
      </c>
      <c r="F254" s="33">
        <v>2</v>
      </c>
      <c r="G254" s="34">
        <v>1</v>
      </c>
      <c r="H254" s="34" t="s">
        <v>115</v>
      </c>
      <c r="I254" s="31">
        <v>45533</v>
      </c>
      <c r="J254" s="26">
        <v>8.81</v>
      </c>
      <c r="K254" s="24">
        <v>0.61339999999999995</v>
      </c>
      <c r="L254" s="33">
        <f>VLOOKUP(Table20[[#This Row],[Strategy]],Table29[#All],6,FALSE)</f>
        <v>1</v>
      </c>
      <c r="M254" s="23">
        <v>2</v>
      </c>
      <c r="N254" s="23">
        <v>1.67</v>
      </c>
      <c r="O254" s="23"/>
      <c r="P254" s="23"/>
      <c r="Q254">
        <f>Table20[[#This Row],[Exit1]]*Table20[[#This Row],[ex1_price]]</f>
        <v>3.34</v>
      </c>
      <c r="R254">
        <f>Table20[[#This Row],[Exit2]]*Table20[[#This Row],[ex2_price]]</f>
        <v>0</v>
      </c>
      <c r="S254">
        <f>IFERROR((Table20[[#This Row],[ex2_amnt]]+Table20[[#This Row],[ex1_amnt]])/(Table20[[#This Row],[Exit2]]+Table20[[#This Row],[Exit1]]),0)</f>
        <v>1.67</v>
      </c>
      <c r="T254" s="5">
        <f>(Table20[[#This Row],[Exit1]]+Table20[[#This Row],[Exit2]])*(Table20[[#This Row],[avg_exit_price]]-Table20[[#This Row],[AvePrice]])*100*Table20[[#This Row],[Buy or Sell]]</f>
        <v>-1428</v>
      </c>
      <c r="U254" s="5">
        <f>Table20[[#This Row],[Number of options]]*Table20[[#This Row],[AvePrice]]*100*Table20[[#This Row],[Buy or Sell]]</f>
        <v>1762</v>
      </c>
      <c r="V254" s="8">
        <f>Table20[[#This Row],[Number of options]]-Table20[[#This Row],[Exit1]]-Table20[[#This Row],[Exit2]]</f>
        <v>0</v>
      </c>
      <c r="W254" s="30">
        <f ca="1">(Table20[[#This Row],[Expiration Date]]-TODAY())/365</f>
        <v>-1.5123287671232877</v>
      </c>
      <c r="X254" s="30" t="e">
        <f ca="1">(LN(Table20[[#This Row],[Current Price]]/Table20[[#This Row],[strike_price]]) + ($B$2 + (Table20[[#This Row],[Vol]]^2)/2)*Table20[[#This Row],[Time to expiration]]) / (Table20[[#This Row],[Vol]] * SQRT(Table20[[#This Row],[Time to expiration]]))</f>
        <v>#NUM!</v>
      </c>
      <c r="Y254" s="30" t="e">
        <f ca="1">IF(Table20[[#This Row],[Direction]]&gt;0, _xlfn.NORM.S.DIST(Table20[[#This Row],[d1]], TRUE), _xlfn.NORM.S.DIST(Table20[[#This Row],[d1]], TRUE) - 1) * Table20[[#This Row],[Buy or Sell]]</f>
        <v>#NUM!</v>
      </c>
      <c r="Z254" s="9">
        <f ca="1">Table20[[#This Row],[Remaining]]*Table20[[#This Row],[Current Price]]*100</f>
        <v>0</v>
      </c>
      <c r="AA254" s="22">
        <f ca="1">IFERROR(Table20[[#This Row],[nominal_exposure]]*Table20[[#This Row],[Delta]],0)</f>
        <v>0</v>
      </c>
      <c r="AB254" s="30" t="b">
        <f>IF(Table20[[#This Row],[date_purchased]]&lt;&gt;Table20[[#This Row],[Expiration Date]],FALSE,TRUE)</f>
        <v>0</v>
      </c>
      <c r="AC254" s="30" t="str">
        <f>VLOOKUP(Table20[[#This Row],[Asset]],Table19[#All],3,FALSE)</f>
        <v>Consumer Discretionary</v>
      </c>
      <c r="AD254" s="30">
        <f>IF(Table20[[#This Row],[Remaining]]&lt;&gt;0,Table20[[#This Row],[Invested]]*Table20[[#This Row],[Remaining]]/Table20[[#This Row],[Number of options]],0)</f>
        <v>0</v>
      </c>
      <c r="AE254" s="30">
        <f ca="1">SUMIF(Table20[Ticker],Table20[[#This Row],[Ticker]],Table20[realized_profit])</f>
        <v>-1317.0000000000002</v>
      </c>
      <c r="AF254" s="30" t="str">
        <f>VLOOKUP(Table20[[#This Row],[Strategy]],Table29[#All],7,FALSE)</f>
        <v>Bullish</v>
      </c>
    </row>
    <row r="255" spans="1:32" hidden="1">
      <c r="A255" s="180">
        <v>45583</v>
      </c>
      <c r="B255" s="21" t="e" vm="24">
        <v>#VALUE!</v>
      </c>
      <c r="C255" s="109" t="str" cm="1">
        <f t="array" aca="1" ref="C255" ca="1">_FV(Table20[[#This Row],[Asset]],"Ticker symbol",TRUE)</f>
        <v>QCOM</v>
      </c>
      <c r="D255" s="26" cm="1">
        <f t="array" aca="1" ref="D255" ca="1">_FV(Table20[[#This Row],[Asset]],"Price")</f>
        <v>131.63499999999999</v>
      </c>
      <c r="E255" s="26">
        <v>185</v>
      </c>
      <c r="F255" s="33">
        <v>1</v>
      </c>
      <c r="G255" s="34">
        <v>1</v>
      </c>
      <c r="H255" s="34" t="s">
        <v>113</v>
      </c>
      <c r="I255" s="31">
        <v>45534</v>
      </c>
      <c r="J255" s="26">
        <v>4.3</v>
      </c>
      <c r="K255" s="24">
        <v>0.34210000000000002</v>
      </c>
      <c r="L255" s="33">
        <f>VLOOKUP(Table20[[#This Row],[Strategy]],Table29[#All],6,FALSE)</f>
        <v>1</v>
      </c>
      <c r="M255" s="23">
        <v>1</v>
      </c>
      <c r="N255" s="23">
        <v>2.38</v>
      </c>
      <c r="O255" s="23"/>
      <c r="P255" s="23"/>
      <c r="Q255">
        <f>Table20[[#This Row],[Exit1]]*Table20[[#This Row],[ex1_price]]</f>
        <v>2.38</v>
      </c>
      <c r="R255">
        <f>Table20[[#This Row],[Exit2]]*Table20[[#This Row],[ex2_price]]</f>
        <v>0</v>
      </c>
      <c r="S255">
        <f>IFERROR((Table20[[#This Row],[ex2_amnt]]+Table20[[#This Row],[ex1_amnt]])/(Table20[[#This Row],[Exit2]]+Table20[[#This Row],[Exit1]]),0)</f>
        <v>2.38</v>
      </c>
      <c r="T255" s="5">
        <f>(Table20[[#This Row],[Exit1]]+Table20[[#This Row],[Exit2]])*(Table20[[#This Row],[avg_exit_price]]-Table20[[#This Row],[AvePrice]])*100*Table20[[#This Row],[Buy or Sell]]</f>
        <v>-192</v>
      </c>
      <c r="U255" s="5">
        <f>Table20[[#This Row],[Number of options]]*Table20[[#This Row],[AvePrice]]*100*Table20[[#This Row],[Buy or Sell]]</f>
        <v>430</v>
      </c>
      <c r="V255" s="8">
        <f>Table20[[#This Row],[Number of options]]-Table20[[#This Row],[Exit1]]-Table20[[#This Row],[Exit2]]</f>
        <v>0</v>
      </c>
      <c r="W255" s="30">
        <f ca="1">(Table20[[#This Row],[Expiration Date]]-TODAY())/365</f>
        <v>-1.4356164383561645</v>
      </c>
      <c r="X255" s="30" t="e">
        <f ca="1">(LN(Table20[[#This Row],[Current Price]]/Table20[[#This Row],[strike_price]]) + ($B$2 + (Table20[[#This Row],[Vol]]^2)/2)*Table20[[#This Row],[Time to expiration]]) / (Table20[[#This Row],[Vol]] * SQRT(Table20[[#This Row],[Time to expiration]]))</f>
        <v>#NUM!</v>
      </c>
      <c r="Y255" s="30" t="e">
        <f ca="1">IF(Table20[[#This Row],[Direction]]&gt;0, _xlfn.NORM.S.DIST(Table20[[#This Row],[d1]], TRUE), _xlfn.NORM.S.DIST(Table20[[#This Row],[d1]], TRUE) - 1) * Table20[[#This Row],[Buy or Sell]]</f>
        <v>#NUM!</v>
      </c>
      <c r="Z255" s="9">
        <f ca="1">Table20[[#This Row],[Remaining]]*Table20[[#This Row],[Current Price]]*100</f>
        <v>0</v>
      </c>
      <c r="AA255" s="22">
        <f ca="1">IFERROR(Table20[[#This Row],[nominal_exposure]]*Table20[[#This Row],[Delta]],0)</f>
        <v>0</v>
      </c>
      <c r="AB255" s="30" t="b">
        <f>IF(Table20[[#This Row],[date_purchased]]&lt;&gt;Table20[[#This Row],[Expiration Date]],FALSE,TRUE)</f>
        <v>0</v>
      </c>
      <c r="AC255" s="30" t="str">
        <f>VLOOKUP(Table20[[#This Row],[Asset]],Table19[#All],3,FALSE)</f>
        <v>AI</v>
      </c>
      <c r="AD255" s="30">
        <f>IF(Table20[[#This Row],[Remaining]]&lt;&gt;0,Table20[[#This Row],[Invested]]*Table20[[#This Row],[Remaining]]/Table20[[#This Row],[Number of options]],0)</f>
        <v>0</v>
      </c>
      <c r="AE255" s="30">
        <f ca="1">SUMIF(Table20[Ticker],Table20[[#This Row],[Ticker]],Table20[realized_profit])</f>
        <v>-2175.9999999999995</v>
      </c>
      <c r="AF255" s="30" t="str">
        <f>VLOOKUP(Table20[[#This Row],[Strategy]],Table29[#All],7,FALSE)</f>
        <v>Bullish</v>
      </c>
    </row>
    <row r="256" spans="1:32" hidden="1">
      <c r="A256" s="35">
        <v>45534</v>
      </c>
      <c r="B256" s="21" t="e" vm="129">
        <v>#VALUE!</v>
      </c>
      <c r="C256" s="109" t="str" cm="1">
        <f t="array" aca="1" ref="C256" ca="1">_FV(Table20[[#This Row],[Asset]],"Ticker symbol",TRUE)</f>
        <v>MRVL</v>
      </c>
      <c r="D256" s="26" cm="1">
        <f t="array" aca="1" ref="D256" ca="1">_FV(Table20[[#This Row],[Asset]],"Price")</f>
        <v>96.84</v>
      </c>
      <c r="E256" s="26">
        <v>75</v>
      </c>
      <c r="F256" s="33">
        <v>1</v>
      </c>
      <c r="G256" s="34">
        <v>-1</v>
      </c>
      <c r="H256" s="34" t="s">
        <v>115</v>
      </c>
      <c r="I256" s="31">
        <v>45533</v>
      </c>
      <c r="J256" s="26">
        <v>1.2</v>
      </c>
      <c r="K256" s="24"/>
      <c r="L256" s="33">
        <f>VLOOKUP(Table20[[#This Row],[Strategy]],Table29[#All],6,FALSE)</f>
        <v>1</v>
      </c>
      <c r="M256" s="23">
        <v>1</v>
      </c>
      <c r="N256" s="23">
        <v>0.33</v>
      </c>
      <c r="O256" s="23"/>
      <c r="P256" s="23"/>
      <c r="Q256">
        <f>Table20[[#This Row],[Exit1]]*Table20[[#This Row],[ex1_price]]</f>
        <v>0.33</v>
      </c>
      <c r="R256">
        <f>Table20[[#This Row],[Exit2]]*Table20[[#This Row],[ex2_price]]</f>
        <v>0</v>
      </c>
      <c r="S256">
        <f>IFERROR((Table20[[#This Row],[ex2_amnt]]+Table20[[#This Row],[ex1_amnt]])/(Table20[[#This Row],[Exit2]]+Table20[[#This Row],[Exit1]]),0)</f>
        <v>0.33</v>
      </c>
      <c r="T256" s="5">
        <f>(Table20[[#This Row],[Exit1]]+Table20[[#This Row],[Exit2]])*(Table20[[#This Row],[avg_exit_price]]-Table20[[#This Row],[AvePrice]])*100*Table20[[#This Row],[Buy or Sell]]</f>
        <v>86.999999999999986</v>
      </c>
      <c r="U256" s="5">
        <f>Table20[[#This Row],[Number of options]]*Table20[[#This Row],[AvePrice]]*100*Table20[[#This Row],[Buy or Sell]]</f>
        <v>-120</v>
      </c>
      <c r="V256" s="8">
        <f>Table20[[#This Row],[Number of options]]-Table20[[#This Row],[Exit1]]-Table20[[#This Row],[Exit2]]</f>
        <v>0</v>
      </c>
      <c r="W256" s="30">
        <f ca="1">(Table20[[#This Row],[Expiration Date]]-TODAY())/365</f>
        <v>-1.5698630136986302</v>
      </c>
      <c r="X256" s="30" t="e">
        <f ca="1">(LN(Table20[[#This Row],[Current Price]]/Table20[[#This Row],[strike_price]]) + ($B$2 + (Table20[[#This Row],[Vol]]^2)/2)*Table20[[#This Row],[Time to expiration]]) / (Table20[[#This Row],[Vol]] * SQRT(Table20[[#This Row],[Time to expiration]]))</f>
        <v>#NUM!</v>
      </c>
      <c r="Y256" s="30" t="e">
        <f ca="1">IF(Table20[[#This Row],[Direction]]&gt;0, _xlfn.NORM.S.DIST(Table20[[#This Row],[d1]], TRUE), _xlfn.NORM.S.DIST(Table20[[#This Row],[d1]], TRUE) - 1) * Table20[[#This Row],[Buy or Sell]]</f>
        <v>#NUM!</v>
      </c>
      <c r="Z256" s="9">
        <f ca="1">Table20[[#This Row],[Remaining]]*Table20[[#This Row],[Current Price]]*100</f>
        <v>0</v>
      </c>
      <c r="AA256" s="22">
        <f ca="1">IFERROR(Table20[[#This Row],[nominal_exposure]]*Table20[[#This Row],[Delta]],0)</f>
        <v>0</v>
      </c>
      <c r="AB256" s="30" t="b">
        <f>IF(Table20[[#This Row],[date_purchased]]&lt;&gt;Table20[[#This Row],[Expiration Date]],FALSE,TRUE)</f>
        <v>0</v>
      </c>
      <c r="AC256" s="30" t="str">
        <f>VLOOKUP(Table20[[#This Row],[Asset]],Table19[#All],3,FALSE)</f>
        <v>AI</v>
      </c>
      <c r="AD256" s="30">
        <f>IF(Table20[[#This Row],[Remaining]]&lt;&gt;0,Table20[[#This Row],[Invested]]*Table20[[#This Row],[Remaining]]/Table20[[#This Row],[Number of options]],0)</f>
        <v>0</v>
      </c>
      <c r="AE256" s="30">
        <f ca="1">SUMIF(Table20[Ticker],Table20[[#This Row],[Ticker]],Table20[realized_profit])</f>
        <v>-1014.0000000000001</v>
      </c>
      <c r="AF256" s="30" t="str">
        <f>VLOOKUP(Table20[[#This Row],[Strategy]],Table29[#All],7,FALSE)</f>
        <v>Bullish</v>
      </c>
    </row>
    <row r="257" spans="1:32" hidden="1">
      <c r="A257" s="35">
        <v>45555</v>
      </c>
      <c r="B257" s="21" t="e" vm="129">
        <v>#VALUE!</v>
      </c>
      <c r="C257" s="109" t="str" cm="1">
        <f t="array" aca="1" ref="C257" ca="1">_FV(Table20[[#This Row],[Asset]],"Ticker symbol",TRUE)</f>
        <v>MRVL</v>
      </c>
      <c r="D257" s="26" cm="1">
        <f t="array" aca="1" ref="D257" ca="1">_FV(Table20[[#This Row],[Asset]],"Price")</f>
        <v>96.84</v>
      </c>
      <c r="E257" s="26">
        <v>75</v>
      </c>
      <c r="F257" s="33">
        <v>1</v>
      </c>
      <c r="G257" s="34">
        <v>1</v>
      </c>
      <c r="H257" s="34" t="s">
        <v>115</v>
      </c>
      <c r="I257" s="31">
        <v>45533</v>
      </c>
      <c r="J257" s="26">
        <v>2.36</v>
      </c>
      <c r="K257" s="24"/>
      <c r="L257" s="33">
        <f>VLOOKUP(Table20[[#This Row],[Strategy]],Table29[#All],6,FALSE)</f>
        <v>1</v>
      </c>
      <c r="M257" s="23">
        <v>1</v>
      </c>
      <c r="N257" s="23">
        <v>2.14</v>
      </c>
      <c r="O257" s="23"/>
      <c r="P257" s="23"/>
      <c r="Q257">
        <f>Table20[[#This Row],[Exit1]]*Table20[[#This Row],[ex1_price]]</f>
        <v>2.14</v>
      </c>
      <c r="R257">
        <f>Table20[[#This Row],[Exit2]]*Table20[[#This Row],[ex2_price]]</f>
        <v>0</v>
      </c>
      <c r="S257">
        <f>IFERROR((Table20[[#This Row],[ex2_amnt]]+Table20[[#This Row],[ex1_amnt]])/(Table20[[#This Row],[Exit2]]+Table20[[#This Row],[Exit1]]),0)</f>
        <v>2.14</v>
      </c>
      <c r="T257" s="5">
        <f>(Table20[[#This Row],[Exit1]]+Table20[[#This Row],[Exit2]])*(Table20[[#This Row],[avg_exit_price]]-Table20[[#This Row],[AvePrice]])*100*Table20[[#This Row],[Buy or Sell]]</f>
        <v>-21.999999999999975</v>
      </c>
      <c r="U257" s="5">
        <f>Table20[[#This Row],[Number of options]]*Table20[[#This Row],[AvePrice]]*100*Table20[[#This Row],[Buy or Sell]]</f>
        <v>236</v>
      </c>
      <c r="V257" s="8">
        <f>Table20[[#This Row],[Number of options]]-Table20[[#This Row],[Exit1]]-Table20[[#This Row],[Exit2]]</f>
        <v>0</v>
      </c>
      <c r="W257" s="30">
        <f ca="1">(Table20[[#This Row],[Expiration Date]]-TODAY())/365</f>
        <v>-1.5123287671232877</v>
      </c>
      <c r="X257" s="30" t="e">
        <f ca="1">(LN(Table20[[#This Row],[Current Price]]/Table20[[#This Row],[strike_price]]) + ($B$2 + (Table20[[#This Row],[Vol]]^2)/2)*Table20[[#This Row],[Time to expiration]]) / (Table20[[#This Row],[Vol]] * SQRT(Table20[[#This Row],[Time to expiration]]))</f>
        <v>#NUM!</v>
      </c>
      <c r="Y257" s="30" t="e">
        <f ca="1">IF(Table20[[#This Row],[Direction]]&gt;0, _xlfn.NORM.S.DIST(Table20[[#This Row],[d1]], TRUE), _xlfn.NORM.S.DIST(Table20[[#This Row],[d1]], TRUE) - 1) * Table20[[#This Row],[Buy or Sell]]</f>
        <v>#NUM!</v>
      </c>
      <c r="Z257" s="9">
        <f ca="1">Table20[[#This Row],[Remaining]]*Table20[[#This Row],[Current Price]]*100</f>
        <v>0</v>
      </c>
      <c r="AA257" s="22">
        <f ca="1">IFERROR(Table20[[#This Row],[nominal_exposure]]*Table20[[#This Row],[Delta]],0)</f>
        <v>0</v>
      </c>
      <c r="AB257" s="30" t="b">
        <f>IF(Table20[[#This Row],[date_purchased]]&lt;&gt;Table20[[#This Row],[Expiration Date]],FALSE,TRUE)</f>
        <v>0</v>
      </c>
      <c r="AC257" s="30" t="str">
        <f>VLOOKUP(Table20[[#This Row],[Asset]],Table19[#All],3,FALSE)</f>
        <v>AI</v>
      </c>
      <c r="AD257" s="30">
        <f>IF(Table20[[#This Row],[Remaining]]&lt;&gt;0,Table20[[#This Row],[Invested]]*Table20[[#This Row],[Remaining]]/Table20[[#This Row],[Number of options]],0)</f>
        <v>0</v>
      </c>
      <c r="AE257" s="30">
        <f ca="1">SUMIF(Table20[Ticker],Table20[[#This Row],[Ticker]],Table20[realized_profit])</f>
        <v>-1014.0000000000001</v>
      </c>
      <c r="AF257" s="30" t="str">
        <f>VLOOKUP(Table20[[#This Row],[Strategy]],Table29[#All],7,FALSE)</f>
        <v>Bullish</v>
      </c>
    </row>
    <row r="258" spans="1:32" hidden="1">
      <c r="A258" s="35">
        <v>45565</v>
      </c>
      <c r="B258" s="21" t="e" vm="96">
        <v>#VALUE!</v>
      </c>
      <c r="C258" s="109" t="str" cm="1">
        <f t="array" aca="1" ref="C258" ca="1">_FV(Table20[[#This Row],[Asset]],"Ticker symbol",TRUE)</f>
        <v>SPY</v>
      </c>
      <c r="D258" s="26" cm="1">
        <f t="array" aca="1" ref="D258" ca="1">_FV(Table20[[#This Row],[Asset]],"Price")</f>
        <v>658.59</v>
      </c>
      <c r="E258" s="26">
        <v>480</v>
      </c>
      <c r="F258" s="33">
        <v>3</v>
      </c>
      <c r="G258" s="34">
        <v>1</v>
      </c>
      <c r="H258" s="111" t="s">
        <v>112</v>
      </c>
      <c r="I258" s="31">
        <v>45362</v>
      </c>
      <c r="J258" s="26">
        <v>9.7100000000000009</v>
      </c>
      <c r="K258" s="24">
        <v>0.19900000000000001</v>
      </c>
      <c r="L258" s="33">
        <f>VLOOKUP(Table20[[#This Row],[Strategy]],Table29[#All],6,FALSE)</f>
        <v>-1</v>
      </c>
      <c r="M258" s="23">
        <v>3</v>
      </c>
      <c r="N258" s="23">
        <v>0</v>
      </c>
      <c r="O258" s="23"/>
      <c r="P258" s="23"/>
      <c r="Q258">
        <f>Table20[[#This Row],[Exit1]]*Table20[[#This Row],[ex1_price]]</f>
        <v>0</v>
      </c>
      <c r="R258">
        <f>Table20[[#This Row],[Exit2]]*Table20[[#This Row],[ex2_price]]</f>
        <v>0</v>
      </c>
      <c r="S258">
        <f>IFERROR((Table20[[#This Row],[ex2_amnt]]+Table20[[#This Row],[ex1_amnt]])/(Table20[[#This Row],[Exit2]]+Table20[[#This Row],[Exit1]]),0)</f>
        <v>0</v>
      </c>
      <c r="T258" s="5">
        <f>(Table20[[#This Row],[Exit1]]+Table20[[#This Row],[Exit2]])*(Table20[[#This Row],[avg_exit_price]]-Table20[[#This Row],[AvePrice]])*100*Table20[[#This Row],[Buy or Sell]]</f>
        <v>-2913.0000000000005</v>
      </c>
      <c r="U258" s="5">
        <f>Table20[[#This Row],[Number of options]]*Table20[[#This Row],[AvePrice]]*100*Table20[[#This Row],[Buy or Sell]]</f>
        <v>2913.0000000000005</v>
      </c>
      <c r="V258" s="8">
        <f>Table20[[#This Row],[Number of options]]-Table20[[#This Row],[Exit1]]-Table20[[#This Row],[Exit2]]</f>
        <v>0</v>
      </c>
      <c r="W258" s="30">
        <f ca="1">(Table20[[#This Row],[Expiration Date]]-TODAY())/365</f>
        <v>-1.484931506849315</v>
      </c>
      <c r="X258" s="30" t="e">
        <f ca="1">(LN(Table20[[#This Row],[Current Price]]/Table20[[#This Row],[strike_price]]) + ($B$2 + (Table20[[#This Row],[Vol]]^2)/2)*Table20[[#This Row],[Time to expiration]]) / (Table20[[#This Row],[Vol]] * SQRT(Table20[[#This Row],[Time to expiration]]))</f>
        <v>#NUM!</v>
      </c>
      <c r="Y258" s="30" t="e">
        <f ca="1">IF(Table20[[#This Row],[Direction]]&gt;0, _xlfn.NORM.S.DIST(Table20[[#This Row],[d1]], TRUE), _xlfn.NORM.S.DIST(Table20[[#This Row],[d1]], TRUE) - 1) * Table20[[#This Row],[Buy or Sell]]</f>
        <v>#NUM!</v>
      </c>
      <c r="Z258" s="9">
        <f ca="1">Table20[[#This Row],[Remaining]]*Table20[[#This Row],[Current Price]]*100</f>
        <v>0</v>
      </c>
      <c r="AA258" s="22">
        <f ca="1">IFERROR(Table20[[#This Row],[nominal_exposure]]*Table20[[#This Row],[Delta]],0)</f>
        <v>0</v>
      </c>
      <c r="AB258" s="99" t="b">
        <f>IF(Table20[[#This Row],[date_purchased]]&lt;&gt;Table20[[#This Row],[Expiration Date]],FALSE,TRUE)</f>
        <v>0</v>
      </c>
      <c r="AC258" s="30" t="str">
        <f>VLOOKUP(Table20[[#This Row],[Asset]],Table19[#All],3,FALSE)</f>
        <v>Market</v>
      </c>
      <c r="AD258" s="4">
        <f>IF(Table20[[#This Row],[Remaining]]&lt;&gt;0,Table20[[#This Row],[Invested]]*Table20[[#This Row],[Remaining]]/Table20[[#This Row],[Number of options]],0)</f>
        <v>0</v>
      </c>
      <c r="AE258" s="4">
        <f ca="1">SUMIF(Table20[Ticker],Table20[[#This Row],[Ticker]],Table20[realized_profit])</f>
        <v>-5077</v>
      </c>
      <c r="AF258" s="30" t="str">
        <f>VLOOKUP(Table20[[#This Row],[Strategy]],Table29[#All],7,FALSE)</f>
        <v>Bearish</v>
      </c>
    </row>
    <row r="259" spans="1:32" hidden="1">
      <c r="A259" s="180">
        <v>45555</v>
      </c>
      <c r="B259" s="21" t="e" vm="63">
        <v>#VALUE!</v>
      </c>
      <c r="C259" s="109" t="str" cm="1">
        <f t="array" aca="1" ref="C259" ca="1">_FV(Table20[[#This Row],[Asset]],"Ticker symbol",TRUE)</f>
        <v>TSLA</v>
      </c>
      <c r="D259" s="26" cm="1">
        <f t="array" aca="1" ref="D259" ca="1">_FV(Table20[[#This Row],[Asset]],"Price")</f>
        <v>394.5401</v>
      </c>
      <c r="E259" s="26">
        <v>210</v>
      </c>
      <c r="F259" s="33">
        <v>5</v>
      </c>
      <c r="G259" s="34">
        <v>1</v>
      </c>
      <c r="H259" s="34" t="s">
        <v>65</v>
      </c>
      <c r="I259" s="31">
        <v>45540</v>
      </c>
      <c r="J259" s="26">
        <v>3.22</v>
      </c>
      <c r="K259" s="24">
        <v>0.57499999999999996</v>
      </c>
      <c r="L259" s="33">
        <f>VLOOKUP(Table20[[#This Row],[Strategy]],Table29[#All],6,FALSE)</f>
        <v>-1</v>
      </c>
      <c r="M259" s="23">
        <v>5</v>
      </c>
      <c r="N259" s="23">
        <v>3.2</v>
      </c>
      <c r="O259" s="23"/>
      <c r="P259" s="23"/>
      <c r="Q259">
        <f>Table20[[#This Row],[Exit1]]*Table20[[#This Row],[ex1_price]]</f>
        <v>16</v>
      </c>
      <c r="R259">
        <f>Table20[[#This Row],[Exit2]]*Table20[[#This Row],[ex2_price]]</f>
        <v>0</v>
      </c>
      <c r="S259">
        <f>IFERROR((Table20[[#This Row],[ex2_amnt]]+Table20[[#This Row],[ex1_amnt]])/(Table20[[#This Row],[Exit2]]+Table20[[#This Row],[Exit1]]),0)</f>
        <v>3.2</v>
      </c>
      <c r="T259" s="5">
        <f>(Table20[[#This Row],[Exit1]]+Table20[[#This Row],[Exit2]])*(Table20[[#This Row],[avg_exit_price]]-Table20[[#This Row],[AvePrice]])*100*Table20[[#This Row],[Buy or Sell]]</f>
        <v>-10.000000000000009</v>
      </c>
      <c r="U259" s="5">
        <f>Table20[[#This Row],[Number of options]]*Table20[[#This Row],[AvePrice]]*100*Table20[[#This Row],[Buy or Sell]]</f>
        <v>1610.0000000000002</v>
      </c>
      <c r="V259" s="8">
        <f>Table20[[#This Row],[Number of options]]-Table20[[#This Row],[Exit1]]-Table20[[#This Row],[Exit2]]</f>
        <v>0</v>
      </c>
      <c r="W259" s="30">
        <f ca="1">(Table20[[#This Row],[Expiration Date]]-TODAY())/365</f>
        <v>-1.5123287671232877</v>
      </c>
      <c r="X259" s="30" t="e">
        <f ca="1">(LN(Table20[[#This Row],[Current Price]]/Table20[[#This Row],[strike_price]]) + ($B$2 + (Table20[[#This Row],[Vol]]^2)/2)*Table20[[#This Row],[Time to expiration]]) / (Table20[[#This Row],[Vol]] * SQRT(Table20[[#This Row],[Time to expiration]]))</f>
        <v>#NUM!</v>
      </c>
      <c r="Y259" s="30" t="e">
        <f ca="1">IF(Table20[[#This Row],[Direction]]&gt;0, _xlfn.NORM.S.DIST(Table20[[#This Row],[d1]], TRUE), _xlfn.NORM.S.DIST(Table20[[#This Row],[d1]], TRUE) - 1) * Table20[[#This Row],[Buy or Sell]]</f>
        <v>#NUM!</v>
      </c>
      <c r="Z259" s="9">
        <f ca="1">Table20[[#This Row],[Remaining]]*Table20[[#This Row],[Current Price]]*100</f>
        <v>0</v>
      </c>
      <c r="AA259" s="22">
        <f ca="1">IFERROR(Table20[[#This Row],[nominal_exposure]]*Table20[[#This Row],[Delta]],0)</f>
        <v>0</v>
      </c>
      <c r="AB259" s="30" t="b">
        <f>IF(Table20[[#This Row],[date_purchased]]&lt;&gt;Table20[[#This Row],[Expiration Date]],FALSE,TRUE)</f>
        <v>0</v>
      </c>
      <c r="AC259" s="30" t="str">
        <f>VLOOKUP(Table20[[#This Row],[Asset]],Table19[#All],3,FALSE)</f>
        <v>Auto</v>
      </c>
      <c r="AD259" s="30">
        <f>IF(Table20[[#This Row],[Remaining]]&lt;&gt;0,Table20[[#This Row],[Invested]]*Table20[[#This Row],[Remaining]]/Table20[[#This Row],[Number of options]],0)</f>
        <v>0</v>
      </c>
      <c r="AE259" s="30">
        <f ca="1">SUMIF(Table20[Ticker],Table20[[#This Row],[Ticker]],Table20[realized_profit])</f>
        <v>4153</v>
      </c>
      <c r="AF259" s="30" t="str">
        <f>VLOOKUP(Table20[[#This Row],[Strategy]],Table29[#All],7,FALSE)</f>
        <v>Bearish</v>
      </c>
    </row>
    <row r="260" spans="1:32" hidden="1">
      <c r="A260" s="35">
        <v>45565</v>
      </c>
      <c r="B260" s="21" t="e" vm="96">
        <v>#VALUE!</v>
      </c>
      <c r="C260" s="109" t="str" cm="1">
        <f t="array" aca="1" ref="C260" ca="1">_FV(Table20[[#This Row],[Asset]],"Ticker symbol",TRUE)</f>
        <v>SPY</v>
      </c>
      <c r="D260" s="26" cm="1">
        <f t="array" aca="1" ref="D260" ca="1">_FV(Table20[[#This Row],[Asset]],"Price")</f>
        <v>658.59</v>
      </c>
      <c r="E260" s="26">
        <v>520</v>
      </c>
      <c r="F260" s="33">
        <v>7</v>
      </c>
      <c r="G260" s="34">
        <v>1</v>
      </c>
      <c r="H260" s="34" t="s">
        <v>65</v>
      </c>
      <c r="I260" s="31">
        <v>45520</v>
      </c>
      <c r="J260" s="26">
        <v>2.11</v>
      </c>
      <c r="K260" s="24">
        <v>0.18809999999999999</v>
      </c>
      <c r="L260" s="33">
        <f>VLOOKUP(Table20[[#This Row],[Strategy]],Table29[#All],6,FALSE)</f>
        <v>-1</v>
      </c>
      <c r="M260" s="23">
        <v>7</v>
      </c>
      <c r="N260" s="23">
        <v>1.84</v>
      </c>
      <c r="O260" s="23"/>
      <c r="P260" s="23"/>
      <c r="Q260">
        <f>Table20[[#This Row],[Exit1]]*Table20[[#This Row],[ex1_price]]</f>
        <v>12.88</v>
      </c>
      <c r="R260">
        <f>Table20[[#This Row],[Exit2]]*Table20[[#This Row],[ex2_price]]</f>
        <v>0</v>
      </c>
      <c r="S260">
        <f>IFERROR((Table20[[#This Row],[ex2_amnt]]+Table20[[#This Row],[ex1_amnt]])/(Table20[[#This Row],[Exit2]]+Table20[[#This Row],[Exit1]]),0)</f>
        <v>1.84</v>
      </c>
      <c r="T260" s="5">
        <f>(Table20[[#This Row],[Exit1]]+Table20[[#This Row],[Exit2]])*(Table20[[#This Row],[avg_exit_price]]-Table20[[#This Row],[AvePrice]])*100*Table20[[#This Row],[Buy or Sell]]</f>
        <v>-188.99999999999986</v>
      </c>
      <c r="U260" s="5">
        <f>Table20[[#This Row],[Number of options]]*Table20[[#This Row],[AvePrice]]*100*Table20[[#This Row],[Buy or Sell]]</f>
        <v>1477</v>
      </c>
      <c r="V260" s="8">
        <f>Table20[[#This Row],[Number of options]]-Table20[[#This Row],[Exit1]]-Table20[[#This Row],[Exit2]]</f>
        <v>0</v>
      </c>
      <c r="W260" s="30">
        <f ca="1">(Table20[[#This Row],[Expiration Date]]-TODAY())/365</f>
        <v>-1.484931506849315</v>
      </c>
      <c r="X260" s="30" t="e">
        <f ca="1">(LN(Table20[[#This Row],[Current Price]]/Table20[[#This Row],[strike_price]]) + ($B$2 + (Table20[[#This Row],[Vol]]^2)/2)*Table20[[#This Row],[Time to expiration]]) / (Table20[[#This Row],[Vol]] * SQRT(Table20[[#This Row],[Time to expiration]]))</f>
        <v>#NUM!</v>
      </c>
      <c r="Y260" s="30" t="e">
        <f ca="1">IF(Table20[[#This Row],[Direction]]&gt;0, _xlfn.NORM.S.DIST(Table20[[#This Row],[d1]], TRUE), _xlfn.NORM.S.DIST(Table20[[#This Row],[d1]], TRUE) - 1) * Table20[[#This Row],[Buy or Sell]]</f>
        <v>#NUM!</v>
      </c>
      <c r="Z260" s="9">
        <f ca="1">Table20[[#This Row],[Remaining]]*Table20[[#This Row],[Current Price]]*100</f>
        <v>0</v>
      </c>
      <c r="AA260" s="22">
        <f ca="1">IFERROR(Table20[[#This Row],[nominal_exposure]]*Table20[[#This Row],[Delta]],0)</f>
        <v>0</v>
      </c>
      <c r="AB260" s="30" t="b">
        <f>IF(Table20[[#This Row],[date_purchased]]&lt;&gt;Table20[[#This Row],[Expiration Date]],FALSE,TRUE)</f>
        <v>0</v>
      </c>
      <c r="AC260" s="30" t="str">
        <f>VLOOKUP(Table20[[#This Row],[Asset]],Table19[#All],3,FALSE)</f>
        <v>Market</v>
      </c>
      <c r="AD260" s="30">
        <f>IF(Table20[[#This Row],[Remaining]]&lt;&gt;0,Table20[[#This Row],[Invested]]*Table20[[#This Row],[Remaining]]/Table20[[#This Row],[Number of options]],0)</f>
        <v>0</v>
      </c>
      <c r="AE260" s="30">
        <f ca="1">SUMIF(Table20[Ticker],Table20[[#This Row],[Ticker]],Table20[realized_profit])</f>
        <v>-5077</v>
      </c>
      <c r="AF260" s="30" t="str">
        <f>VLOOKUP(Table20[[#This Row],[Strategy]],Table29[#All],7,FALSE)</f>
        <v>Bearish</v>
      </c>
    </row>
    <row r="261" spans="1:32" hidden="1">
      <c r="A261" s="180">
        <v>45540</v>
      </c>
      <c r="B261" s="21" t="e" vm="32">
        <v>#VALUE!</v>
      </c>
      <c r="C261" s="109" t="str" cm="1">
        <f t="array" aca="1" ref="C261" ca="1">_FV(Table20[[#This Row],[Asset]],"Ticker symbol",TRUE)</f>
        <v>MU</v>
      </c>
      <c r="D261" s="26" cm="1">
        <f t="array" aca="1" ref="D261" ca="1">_FV(Table20[[#This Row],[Asset]],"Price")</f>
        <v>381.57</v>
      </c>
      <c r="E261" s="26">
        <v>93</v>
      </c>
      <c r="F261" s="33">
        <v>2</v>
      </c>
      <c r="G261" s="34">
        <v>1</v>
      </c>
      <c r="H261" s="34" t="s">
        <v>113</v>
      </c>
      <c r="I261" s="31">
        <v>45540</v>
      </c>
      <c r="J261" s="26">
        <v>5.8</v>
      </c>
      <c r="K261" s="24"/>
      <c r="L261" s="33">
        <f>VLOOKUP(Table20[[#This Row],[Strategy]],Table29[#All],6,FALSE)</f>
        <v>1</v>
      </c>
      <c r="M261" s="23">
        <v>1</v>
      </c>
      <c r="N261" s="23">
        <v>5.2</v>
      </c>
      <c r="O261" s="23">
        <v>1</v>
      </c>
      <c r="P261" s="23">
        <v>5.15</v>
      </c>
      <c r="Q261">
        <f>Table20[[#This Row],[Exit1]]*Table20[[#This Row],[ex1_price]]</f>
        <v>5.2</v>
      </c>
      <c r="R261">
        <f>Table20[[#This Row],[Exit2]]*Table20[[#This Row],[ex2_price]]</f>
        <v>5.15</v>
      </c>
      <c r="S261">
        <f>IFERROR((Table20[[#This Row],[ex2_amnt]]+Table20[[#This Row],[ex1_amnt]])/(Table20[[#This Row],[Exit2]]+Table20[[#This Row],[Exit1]]),0)</f>
        <v>5.1750000000000007</v>
      </c>
      <c r="T261" s="5">
        <f>(Table20[[#This Row],[Exit1]]+Table20[[#This Row],[Exit2]])*(Table20[[#This Row],[avg_exit_price]]-Table20[[#This Row],[AvePrice]])*100*Table20[[#This Row],[Buy or Sell]]</f>
        <v>-124.99999999999983</v>
      </c>
      <c r="U261" s="5">
        <f>Table20[[#This Row],[Number of options]]*Table20[[#This Row],[AvePrice]]*100*Table20[[#This Row],[Buy or Sell]]</f>
        <v>1160</v>
      </c>
      <c r="V261" s="8">
        <f>Table20[[#This Row],[Number of options]]-Table20[[#This Row],[Exit1]]-Table20[[#This Row],[Exit2]]</f>
        <v>0</v>
      </c>
      <c r="W261" s="30">
        <f ca="1">(Table20[[#This Row],[Expiration Date]]-TODAY())/365</f>
        <v>-1.5534246575342465</v>
      </c>
      <c r="X261" s="30" t="e">
        <f ca="1">(LN(Table20[[#This Row],[Current Price]]/Table20[[#This Row],[strike_price]]) + ($B$2 + (Table20[[#This Row],[Vol]]^2)/2)*Table20[[#This Row],[Time to expiration]]) / (Table20[[#This Row],[Vol]] * SQRT(Table20[[#This Row],[Time to expiration]]))</f>
        <v>#NUM!</v>
      </c>
      <c r="Y261" s="30" t="e">
        <f ca="1">IF(Table20[[#This Row],[Direction]]&gt;0, _xlfn.NORM.S.DIST(Table20[[#This Row],[d1]], TRUE), _xlfn.NORM.S.DIST(Table20[[#This Row],[d1]], TRUE) - 1) * Table20[[#This Row],[Buy or Sell]]</f>
        <v>#NUM!</v>
      </c>
      <c r="Z261" s="9">
        <f ca="1">Table20[[#This Row],[Remaining]]*Table20[[#This Row],[Current Price]]*100</f>
        <v>0</v>
      </c>
      <c r="AA261" s="22">
        <f ca="1">IFERROR(Table20[[#This Row],[nominal_exposure]]*Table20[[#This Row],[Delta]],0)</f>
        <v>0</v>
      </c>
      <c r="AB261" s="30" t="b">
        <f>IF(Table20[[#This Row],[date_purchased]]&lt;&gt;Table20[[#This Row],[Expiration Date]],FALSE,TRUE)</f>
        <v>1</v>
      </c>
      <c r="AC261" s="30" t="str">
        <f>VLOOKUP(Table20[[#This Row],[Asset]],Table19[#All],3,FALSE)</f>
        <v>AI</v>
      </c>
      <c r="AD261" s="30">
        <f>IF(Table20[[#This Row],[Remaining]]&lt;&gt;0,Table20[[#This Row],[Invested]]*Table20[[#This Row],[Remaining]]/Table20[[#This Row],[Number of options]],0)</f>
        <v>0</v>
      </c>
      <c r="AE261" s="30">
        <f ca="1">SUMIF(Table20[Ticker],Table20[[#This Row],[Ticker]],Table20[realized_profit])</f>
        <v>-4181</v>
      </c>
      <c r="AF261" s="30" t="str">
        <f>VLOOKUP(Table20[[#This Row],[Strategy]],Table29[#All],7,FALSE)</f>
        <v>Bullish</v>
      </c>
    </row>
    <row r="262" spans="1:32" hidden="1">
      <c r="A262" s="180">
        <v>45565</v>
      </c>
      <c r="B262" s="21" t="e" vm="96">
        <v>#VALUE!</v>
      </c>
      <c r="C262" s="109" t="str" cm="1">
        <f t="array" aca="1" ref="C262" ca="1">_FV(Table20[[#This Row],[Asset]],"Ticker symbol",TRUE)</f>
        <v>SPY</v>
      </c>
      <c r="D262" s="26" cm="1">
        <f t="array" aca="1" ref="D262" ca="1">_FV(Table20[[#This Row],[Asset]],"Price")</f>
        <v>658.59</v>
      </c>
      <c r="E262" s="26">
        <v>530</v>
      </c>
      <c r="F262" s="33">
        <v>3</v>
      </c>
      <c r="G262" s="34">
        <v>1</v>
      </c>
      <c r="H262" s="34" t="s">
        <v>65</v>
      </c>
      <c r="I262" s="31">
        <v>45551</v>
      </c>
      <c r="J262" s="26">
        <v>0.64</v>
      </c>
      <c r="K262" s="24">
        <v>0.21940000000000001</v>
      </c>
      <c r="L262" s="33">
        <f>VLOOKUP(Table20[[#This Row],[Strategy]],Table29[#All],6,FALSE)</f>
        <v>-1</v>
      </c>
      <c r="M262" s="23">
        <v>3</v>
      </c>
      <c r="N262" s="23">
        <v>0.34</v>
      </c>
      <c r="O262" s="23"/>
      <c r="P262" s="23"/>
      <c r="Q262">
        <f>Table20[[#This Row],[Exit1]]*Table20[[#This Row],[ex1_price]]</f>
        <v>1.02</v>
      </c>
      <c r="R262">
        <f>Table20[[#This Row],[Exit2]]*Table20[[#This Row],[ex2_price]]</f>
        <v>0</v>
      </c>
      <c r="S262">
        <f>IFERROR((Table20[[#This Row],[ex2_amnt]]+Table20[[#This Row],[ex1_amnt]])/(Table20[[#This Row],[Exit2]]+Table20[[#This Row],[Exit1]]),0)</f>
        <v>0.34</v>
      </c>
      <c r="T262" s="5">
        <f>(Table20[[#This Row],[Exit1]]+Table20[[#This Row],[Exit2]])*(Table20[[#This Row],[avg_exit_price]]-Table20[[#This Row],[AvePrice]])*100*Table20[[#This Row],[Buy or Sell]]</f>
        <v>-89.999999999999986</v>
      </c>
      <c r="U262" s="5">
        <f>Table20[[#This Row],[Number of options]]*Table20[[#This Row],[AvePrice]]*100*Table20[[#This Row],[Buy or Sell]]</f>
        <v>192</v>
      </c>
      <c r="V262" s="8">
        <f>Table20[[#This Row],[Number of options]]-Table20[[#This Row],[Exit1]]-Table20[[#This Row],[Exit2]]</f>
        <v>0</v>
      </c>
      <c r="W262" s="30">
        <f ca="1">(Table20[[#This Row],[Expiration Date]]-TODAY())/365</f>
        <v>-1.484931506849315</v>
      </c>
      <c r="X262" s="30" t="e">
        <f ca="1">(LN(Table20[[#This Row],[Current Price]]/Table20[[#This Row],[strike_price]]) + ($B$2 + (Table20[[#This Row],[Vol]]^2)/2)*Table20[[#This Row],[Time to expiration]]) / (Table20[[#This Row],[Vol]] * SQRT(Table20[[#This Row],[Time to expiration]]))</f>
        <v>#NUM!</v>
      </c>
      <c r="Y262" s="30" t="e">
        <f ca="1">IF(Table20[[#This Row],[Direction]]&gt;0, _xlfn.NORM.S.DIST(Table20[[#This Row],[d1]], TRUE), _xlfn.NORM.S.DIST(Table20[[#This Row],[d1]], TRUE) - 1) * Table20[[#This Row],[Buy or Sell]]</f>
        <v>#NUM!</v>
      </c>
      <c r="Z262" s="9">
        <f ca="1">Table20[[#This Row],[Remaining]]*Table20[[#This Row],[Current Price]]*100</f>
        <v>0</v>
      </c>
      <c r="AA262" s="22">
        <f ca="1">IFERROR(Table20[[#This Row],[nominal_exposure]]*Table20[[#This Row],[Delta]],0)</f>
        <v>0</v>
      </c>
      <c r="AB262" s="30" t="b">
        <f>IF(Table20[[#This Row],[date_purchased]]&lt;&gt;Table20[[#This Row],[Expiration Date]],FALSE,TRUE)</f>
        <v>0</v>
      </c>
      <c r="AC262" s="30" t="str">
        <f>VLOOKUP(Table20[[#This Row],[Asset]],Table19[#All],3,FALSE)</f>
        <v>Market</v>
      </c>
      <c r="AD262" s="30">
        <f>IF(Table20[[#This Row],[Remaining]]&lt;&gt;0,Table20[[#This Row],[Invested]]*Table20[[#This Row],[Remaining]]/Table20[[#This Row],[Number of options]],0)</f>
        <v>0</v>
      </c>
      <c r="AE262" s="30">
        <f ca="1">SUMIF(Table20[Ticker],Table20[[#This Row],[Ticker]],Table20[realized_profit])</f>
        <v>-5077</v>
      </c>
      <c r="AF262" s="30" t="str">
        <f>VLOOKUP(Table20[[#This Row],[Strategy]],Table29[#All],7,FALSE)</f>
        <v>Bearish</v>
      </c>
    </row>
    <row r="263" spans="1:32" hidden="1">
      <c r="A263" s="180">
        <v>45674</v>
      </c>
      <c r="B263" s="21" t="e" vm="24">
        <v>#VALUE!</v>
      </c>
      <c r="C263" s="109" t="str" cm="1">
        <f t="array" aca="1" ref="C263" ca="1">_FV(Table20[[#This Row],[Asset]],"Ticker symbol",TRUE)</f>
        <v>QCOM</v>
      </c>
      <c r="D263" s="26" cm="1">
        <f t="array" aca="1" ref="D263" ca="1">_FV(Table20[[#This Row],[Asset]],"Price")</f>
        <v>131.63499999999999</v>
      </c>
      <c r="E263" s="26">
        <v>230</v>
      </c>
      <c r="F263" s="33">
        <v>1</v>
      </c>
      <c r="G263" s="34">
        <v>1</v>
      </c>
      <c r="H263" s="34" t="s">
        <v>113</v>
      </c>
      <c r="I263" s="31">
        <v>45525</v>
      </c>
      <c r="J263" s="26">
        <v>3.05</v>
      </c>
      <c r="K263" s="24">
        <v>0.36309999999999998</v>
      </c>
      <c r="L263" s="33">
        <f>VLOOKUP(Table20[[#This Row],[Strategy]],Table29[#All],6,FALSE)</f>
        <v>1</v>
      </c>
      <c r="M263" s="23">
        <v>1</v>
      </c>
      <c r="N263" s="23">
        <v>1.45</v>
      </c>
      <c r="O263" s="23"/>
      <c r="P263" s="23"/>
      <c r="Q263">
        <f>Table20[[#This Row],[Exit1]]*Table20[[#This Row],[ex1_price]]</f>
        <v>1.45</v>
      </c>
      <c r="R263">
        <f>Table20[[#This Row],[Exit2]]*Table20[[#This Row],[ex2_price]]</f>
        <v>0</v>
      </c>
      <c r="S263">
        <f>IFERROR((Table20[[#This Row],[ex2_amnt]]+Table20[[#This Row],[ex1_amnt]])/(Table20[[#This Row],[Exit2]]+Table20[[#This Row],[Exit1]]),0)</f>
        <v>1.45</v>
      </c>
      <c r="T263" s="5">
        <f>(Table20[[#This Row],[Exit1]]+Table20[[#This Row],[Exit2]])*(Table20[[#This Row],[avg_exit_price]]-Table20[[#This Row],[AvePrice]])*100*Table20[[#This Row],[Buy or Sell]]</f>
        <v>-160</v>
      </c>
      <c r="U263" s="5">
        <f>Table20[[#This Row],[Number of options]]*Table20[[#This Row],[AvePrice]]*100*Table20[[#This Row],[Buy or Sell]]</f>
        <v>305</v>
      </c>
      <c r="V263" s="8">
        <f>Table20[[#This Row],[Number of options]]-Table20[[#This Row],[Exit1]]-Table20[[#This Row],[Exit2]]</f>
        <v>0</v>
      </c>
      <c r="W263" s="30">
        <f ca="1">(Table20[[#This Row],[Expiration Date]]-TODAY())/365</f>
        <v>-1.1863013698630136</v>
      </c>
      <c r="X263" s="30" t="e">
        <f ca="1">(LN(Table20[[#This Row],[Current Price]]/Table20[[#This Row],[strike_price]]) + ($B$2 + (Table20[[#This Row],[Vol]]^2)/2)*Table20[[#This Row],[Time to expiration]]) / (Table20[[#This Row],[Vol]] * SQRT(Table20[[#This Row],[Time to expiration]]))</f>
        <v>#NUM!</v>
      </c>
      <c r="Y263" s="30" t="e">
        <f ca="1">IF(Table20[[#This Row],[Direction]]&gt;0, _xlfn.NORM.S.DIST(Table20[[#This Row],[d1]], TRUE), _xlfn.NORM.S.DIST(Table20[[#This Row],[d1]], TRUE) - 1) * Table20[[#This Row],[Buy or Sell]]</f>
        <v>#NUM!</v>
      </c>
      <c r="Z263" s="9">
        <f ca="1">Table20[[#This Row],[Remaining]]*Table20[[#This Row],[Current Price]]*100</f>
        <v>0</v>
      </c>
      <c r="AA263" s="22">
        <f ca="1">IFERROR(Table20[[#This Row],[nominal_exposure]]*Table20[[#This Row],[Delta]],0)</f>
        <v>0</v>
      </c>
      <c r="AB263" s="30" t="b">
        <f>IF(Table20[[#This Row],[date_purchased]]&lt;&gt;Table20[[#This Row],[Expiration Date]],FALSE,TRUE)</f>
        <v>0</v>
      </c>
      <c r="AC263" s="30" t="str">
        <f>VLOOKUP(Table20[[#This Row],[Asset]],Table19[#All],3,FALSE)</f>
        <v>AI</v>
      </c>
      <c r="AD263" s="30">
        <f>IF(Table20[[#This Row],[Remaining]]&lt;&gt;0,Table20[[#This Row],[Invested]]*Table20[[#This Row],[Remaining]]/Table20[[#This Row],[Number of options]],0)</f>
        <v>0</v>
      </c>
      <c r="AE263" s="30">
        <f ca="1">SUMIF(Table20[Ticker],Table20[[#This Row],[Ticker]],Table20[realized_profit])</f>
        <v>-2175.9999999999995</v>
      </c>
      <c r="AF263" s="30" t="str">
        <f>VLOOKUP(Table20[[#This Row],[Strategy]],Table29[#All],7,FALSE)</f>
        <v>Bullish</v>
      </c>
    </row>
    <row r="264" spans="1:32" hidden="1">
      <c r="A264" s="180">
        <v>45674</v>
      </c>
      <c r="B264" s="21" t="e" vm="32">
        <v>#VALUE!</v>
      </c>
      <c r="C264" s="109" t="str" cm="1">
        <f t="array" aca="1" ref="C264" ca="1">_FV(Table20[[#This Row],[Asset]],"Ticker symbol",TRUE)</f>
        <v>MU</v>
      </c>
      <c r="D264" s="26" cm="1">
        <f t="array" aca="1" ref="D264" ca="1">_FV(Table20[[#This Row],[Asset]],"Price")</f>
        <v>381.57</v>
      </c>
      <c r="E264" s="26">
        <v>150</v>
      </c>
      <c r="F264" s="33">
        <v>1</v>
      </c>
      <c r="G264" s="34">
        <v>1</v>
      </c>
      <c r="H264" s="34" t="s">
        <v>113</v>
      </c>
      <c r="I264" s="31">
        <v>45525</v>
      </c>
      <c r="J264" s="26">
        <v>3.15</v>
      </c>
      <c r="K264" s="24">
        <v>0.48659999999999998</v>
      </c>
      <c r="L264" s="33">
        <f>VLOOKUP(Table20[[#This Row],[Strategy]],Table29[#All],6,FALSE)</f>
        <v>1</v>
      </c>
      <c r="M264" s="23">
        <v>1</v>
      </c>
      <c r="N264" s="23">
        <v>0.67</v>
      </c>
      <c r="O264" s="23"/>
      <c r="P264" s="23"/>
      <c r="Q264">
        <f>Table20[[#This Row],[Exit1]]*Table20[[#This Row],[ex1_price]]</f>
        <v>0.67</v>
      </c>
      <c r="R264">
        <f>Table20[[#This Row],[Exit2]]*Table20[[#This Row],[ex2_price]]</f>
        <v>0</v>
      </c>
      <c r="S264">
        <f>IFERROR((Table20[[#This Row],[ex2_amnt]]+Table20[[#This Row],[ex1_amnt]])/(Table20[[#This Row],[Exit2]]+Table20[[#This Row],[Exit1]]),0)</f>
        <v>0.67</v>
      </c>
      <c r="T264" s="5">
        <f>(Table20[[#This Row],[Exit1]]+Table20[[#This Row],[Exit2]])*(Table20[[#This Row],[avg_exit_price]]-Table20[[#This Row],[AvePrice]])*100*Table20[[#This Row],[Buy or Sell]]</f>
        <v>-248</v>
      </c>
      <c r="U264" s="5">
        <f>Table20[[#This Row],[Number of options]]*Table20[[#This Row],[AvePrice]]*100*Table20[[#This Row],[Buy or Sell]]</f>
        <v>315</v>
      </c>
      <c r="V264" s="8">
        <f>Table20[[#This Row],[Number of options]]-Table20[[#This Row],[Exit1]]-Table20[[#This Row],[Exit2]]</f>
        <v>0</v>
      </c>
      <c r="W264" s="30">
        <f ca="1">(Table20[[#This Row],[Expiration Date]]-TODAY())/365</f>
        <v>-1.1863013698630136</v>
      </c>
      <c r="X264" s="30" t="e">
        <f ca="1">(LN(Table20[[#This Row],[Current Price]]/Table20[[#This Row],[strike_price]]) + ($B$2 + (Table20[[#This Row],[Vol]]^2)/2)*Table20[[#This Row],[Time to expiration]]) / (Table20[[#This Row],[Vol]] * SQRT(Table20[[#This Row],[Time to expiration]]))</f>
        <v>#NUM!</v>
      </c>
      <c r="Y264" s="30" t="e">
        <f ca="1">IF(Table20[[#This Row],[Direction]]&gt;0, _xlfn.NORM.S.DIST(Table20[[#This Row],[d1]], TRUE), _xlfn.NORM.S.DIST(Table20[[#This Row],[d1]], TRUE) - 1) * Table20[[#This Row],[Buy or Sell]]</f>
        <v>#NUM!</v>
      </c>
      <c r="Z264" s="9">
        <f ca="1">Table20[[#This Row],[Remaining]]*Table20[[#This Row],[Current Price]]*100</f>
        <v>0</v>
      </c>
      <c r="AA264" s="22">
        <f ca="1">IFERROR(Table20[[#This Row],[nominal_exposure]]*Table20[[#This Row],[Delta]],0)</f>
        <v>0</v>
      </c>
      <c r="AB264" s="30" t="b">
        <f>IF(Table20[[#This Row],[date_purchased]]&lt;&gt;Table20[[#This Row],[Expiration Date]],FALSE,TRUE)</f>
        <v>0</v>
      </c>
      <c r="AC264" s="30" t="str">
        <f>VLOOKUP(Table20[[#This Row],[Asset]],Table19[#All],3,FALSE)</f>
        <v>AI</v>
      </c>
      <c r="AD264" s="30">
        <f>IF(Table20[[#This Row],[Remaining]]&lt;&gt;0,Table20[[#This Row],[Invested]]*Table20[[#This Row],[Remaining]]/Table20[[#This Row],[Number of options]],0)</f>
        <v>0</v>
      </c>
      <c r="AE264" s="30">
        <f ca="1">SUMIF(Table20[Ticker],Table20[[#This Row],[Ticker]],Table20[realized_profit])</f>
        <v>-4181</v>
      </c>
      <c r="AF264" s="30" t="str">
        <f>VLOOKUP(Table20[[#This Row],[Strategy]],Table29[#All],7,FALSE)</f>
        <v>Bullish</v>
      </c>
    </row>
    <row r="265" spans="1:32" hidden="1">
      <c r="A265" s="201">
        <v>45555</v>
      </c>
      <c r="B265" s="21" t="e" vm="99">
        <v>#VALUE!</v>
      </c>
      <c r="C265" s="109" t="str" cm="1">
        <f t="array" aca="1" ref="C265" ca="1">_FV(Table20[[#This Row],[Asset]],"Ticker symbol",TRUE)</f>
        <v>CSCO</v>
      </c>
      <c r="D265" s="26" cm="1">
        <f t="array" aca="1" ref="D265" ca="1">_FV(Table20[[#This Row],[Asset]],"Price")</f>
        <v>82.625</v>
      </c>
      <c r="E265" s="26">
        <v>48</v>
      </c>
      <c r="F265" s="33">
        <v>5</v>
      </c>
      <c r="G265" s="34">
        <v>1</v>
      </c>
      <c r="H265" s="34" t="s">
        <v>113</v>
      </c>
      <c r="I265" s="31">
        <v>45544</v>
      </c>
      <c r="J265" s="26">
        <v>0.83</v>
      </c>
      <c r="K265" s="24">
        <v>0.2208</v>
      </c>
      <c r="L265" s="33">
        <f>VLOOKUP(Table20[[#This Row],[Strategy]],Table29[#All],6,FALSE)</f>
        <v>1</v>
      </c>
      <c r="M265" s="23">
        <v>5</v>
      </c>
      <c r="N265" s="23">
        <v>1.88</v>
      </c>
      <c r="O265" s="23"/>
      <c r="P265" s="23"/>
      <c r="Q265">
        <f>Table20[[#This Row],[Exit1]]*Table20[[#This Row],[ex1_price]]</f>
        <v>9.3999999999999986</v>
      </c>
      <c r="R265">
        <f>Table20[[#This Row],[Exit2]]*Table20[[#This Row],[ex2_price]]</f>
        <v>0</v>
      </c>
      <c r="S265">
        <f>IFERROR((Table20[[#This Row],[ex2_amnt]]+Table20[[#This Row],[ex1_amnt]])/(Table20[[#This Row],[Exit2]]+Table20[[#This Row],[Exit1]]),0)</f>
        <v>1.8799999999999997</v>
      </c>
      <c r="T265" s="5">
        <f>(Table20[[#This Row],[Exit1]]+Table20[[#This Row],[Exit2]])*(Table20[[#This Row],[avg_exit_price]]-Table20[[#This Row],[AvePrice]])*100*Table20[[#This Row],[Buy or Sell]]</f>
        <v>524.99999999999989</v>
      </c>
      <c r="U265" s="5">
        <f>Table20[[#This Row],[Number of options]]*Table20[[#This Row],[AvePrice]]*100*Table20[[#This Row],[Buy or Sell]]</f>
        <v>414.99999999999994</v>
      </c>
      <c r="V265" s="8">
        <f>Table20[[#This Row],[Number of options]]-Table20[[#This Row],[Exit1]]-Table20[[#This Row],[Exit2]]</f>
        <v>0</v>
      </c>
      <c r="W265" s="30">
        <f ca="1">(Table20[[#This Row],[Expiration Date]]-TODAY())/365</f>
        <v>-1.5123287671232877</v>
      </c>
      <c r="X265" s="30" t="e">
        <f ca="1">(LN(Table20[[#This Row],[Current Price]]/Table20[[#This Row],[strike_price]]) + ($B$2 + (Table20[[#This Row],[Vol]]^2)/2)*Table20[[#This Row],[Time to expiration]]) / (Table20[[#This Row],[Vol]] * SQRT(Table20[[#This Row],[Time to expiration]]))</f>
        <v>#NUM!</v>
      </c>
      <c r="Y265" s="30" t="e">
        <f ca="1">IF(Table20[[#This Row],[Direction]]&gt;0, _xlfn.NORM.S.DIST(Table20[[#This Row],[d1]], TRUE), _xlfn.NORM.S.DIST(Table20[[#This Row],[d1]], TRUE) - 1) * Table20[[#This Row],[Buy or Sell]]</f>
        <v>#NUM!</v>
      </c>
      <c r="Z265" s="9">
        <f ca="1">Table20[[#This Row],[Remaining]]*Table20[[#This Row],[Current Price]]*100</f>
        <v>0</v>
      </c>
      <c r="AA265" s="22">
        <f ca="1">IFERROR(Table20[[#This Row],[nominal_exposure]]*Table20[[#This Row],[Delta]],0)</f>
        <v>0</v>
      </c>
      <c r="AB265" s="30" t="b">
        <f>IF(Table20[[#This Row],[date_purchased]]&lt;&gt;Table20[[#This Row],[Expiration Date]],FALSE,TRUE)</f>
        <v>0</v>
      </c>
      <c r="AC265" s="30" t="str">
        <f>VLOOKUP(Table20[[#This Row],[Asset]],Table19[#All],3,FALSE)</f>
        <v>Connectivity</v>
      </c>
      <c r="AD265" s="30">
        <f>IF(Table20[[#This Row],[Remaining]]&lt;&gt;0,Table20[[#This Row],[Invested]]*Table20[[#This Row],[Remaining]]/Table20[[#This Row],[Number of options]],0)</f>
        <v>0</v>
      </c>
      <c r="AE265" s="30">
        <f ca="1">SUMIF(Table20[Ticker],Table20[[#This Row],[Ticker]],Table20[realized_profit])</f>
        <v>524.99999999999989</v>
      </c>
      <c r="AF265" s="30" t="str">
        <f>VLOOKUP(Table20[[#This Row],[Strategy]],Table29[#All],7,FALSE)</f>
        <v>Bullish</v>
      </c>
    </row>
    <row r="266" spans="1:32" hidden="1">
      <c r="A266" s="201">
        <v>45555</v>
      </c>
      <c r="B266" s="21" t="e" vm="16">
        <v>#VALUE!</v>
      </c>
      <c r="C266" s="109" t="str" cm="1">
        <f t="array" aca="1" ref="C266" ca="1">_FV(Table20[[#This Row],[Asset]],"Ticker symbol",TRUE)</f>
        <v>GOOG</v>
      </c>
      <c r="D266" s="26" cm="1">
        <f t="array" aca="1" ref="D266" ca="1">_FV(Table20[[#This Row],[Asset]],"Price")</f>
        <v>290.39</v>
      </c>
      <c r="E266" s="26">
        <v>152.5</v>
      </c>
      <c r="F266" s="33">
        <v>1</v>
      </c>
      <c r="G266" s="34">
        <v>1</v>
      </c>
      <c r="H266" s="34" t="s">
        <v>113</v>
      </c>
      <c r="I266" s="31">
        <v>45546</v>
      </c>
      <c r="J266" s="26">
        <v>2.2599999999999998</v>
      </c>
      <c r="K266" s="24">
        <v>0.27800000000000002</v>
      </c>
      <c r="L266" s="33">
        <f>VLOOKUP(Table20[[#This Row],[Strategy]],Table29[#All],6,FALSE)</f>
        <v>1</v>
      </c>
      <c r="M266" s="23">
        <v>1</v>
      </c>
      <c r="N266" s="23">
        <v>5.85</v>
      </c>
      <c r="O266" s="23"/>
      <c r="P266" s="23"/>
      <c r="Q266">
        <f>Table20[[#This Row],[Exit1]]*Table20[[#This Row],[ex1_price]]</f>
        <v>5.85</v>
      </c>
      <c r="R266">
        <f>Table20[[#This Row],[Exit2]]*Table20[[#This Row],[ex2_price]]</f>
        <v>0</v>
      </c>
      <c r="S266">
        <f>IFERROR((Table20[[#This Row],[ex2_amnt]]+Table20[[#This Row],[ex1_amnt]])/(Table20[[#This Row],[Exit2]]+Table20[[#This Row],[Exit1]]),0)</f>
        <v>5.85</v>
      </c>
      <c r="T266" s="5">
        <f>(Table20[[#This Row],[Exit1]]+Table20[[#This Row],[Exit2]])*(Table20[[#This Row],[avg_exit_price]]-Table20[[#This Row],[AvePrice]])*100*Table20[[#This Row],[Buy or Sell]]</f>
        <v>359</v>
      </c>
      <c r="U266" s="5">
        <f>Table20[[#This Row],[Number of options]]*Table20[[#This Row],[AvePrice]]*100*Table20[[#This Row],[Buy or Sell]]</f>
        <v>225.99999999999997</v>
      </c>
      <c r="V266" s="8">
        <f>Table20[[#This Row],[Number of options]]-Table20[[#This Row],[Exit1]]-Table20[[#This Row],[Exit2]]</f>
        <v>0</v>
      </c>
      <c r="W266" s="30">
        <f ca="1">(Table20[[#This Row],[Expiration Date]]-TODAY())/365</f>
        <v>-1.5123287671232877</v>
      </c>
      <c r="X266" s="30" t="e">
        <f ca="1">(LN(Table20[[#This Row],[Current Price]]/Table20[[#This Row],[strike_price]]) + ($B$2 + (Table20[[#This Row],[Vol]]^2)/2)*Table20[[#This Row],[Time to expiration]]) / (Table20[[#This Row],[Vol]] * SQRT(Table20[[#This Row],[Time to expiration]]))</f>
        <v>#NUM!</v>
      </c>
      <c r="Y266" s="30" t="e">
        <f ca="1">IF(Table20[[#This Row],[Direction]]&gt;0, _xlfn.NORM.S.DIST(Table20[[#This Row],[d1]], TRUE), _xlfn.NORM.S.DIST(Table20[[#This Row],[d1]], TRUE) - 1) * Table20[[#This Row],[Buy or Sell]]</f>
        <v>#NUM!</v>
      </c>
      <c r="Z266" s="9">
        <f ca="1">Table20[[#This Row],[Remaining]]*Table20[[#This Row],[Current Price]]*100</f>
        <v>0</v>
      </c>
      <c r="AA266" s="22">
        <f ca="1">IFERROR(Table20[[#This Row],[nominal_exposure]]*Table20[[#This Row],[Delta]],0)</f>
        <v>0</v>
      </c>
      <c r="AB266" s="30" t="b">
        <f>IF(Table20[[#This Row],[date_purchased]]&lt;&gt;Table20[[#This Row],[Expiration Date]],FALSE,TRUE)</f>
        <v>0</v>
      </c>
      <c r="AC266" s="30" t="str">
        <f>VLOOKUP(Table20[[#This Row],[Asset]],Table19[#All],3,FALSE)</f>
        <v>AI</v>
      </c>
      <c r="AD266" s="30">
        <f>IF(Table20[[#This Row],[Remaining]]&lt;&gt;0,Table20[[#This Row],[Invested]]*Table20[[#This Row],[Remaining]]/Table20[[#This Row],[Number of options]],0)</f>
        <v>0</v>
      </c>
      <c r="AE266" s="30">
        <f ca="1">SUMIF(Table20[Ticker],Table20[[#This Row],[Ticker]],Table20[realized_profit])</f>
        <v>4148.03</v>
      </c>
      <c r="AF266" s="30" t="str">
        <f>VLOOKUP(Table20[[#This Row],[Strategy]],Table29[#All],7,FALSE)</f>
        <v>Bullish</v>
      </c>
    </row>
    <row r="267" spans="1:32" hidden="1">
      <c r="A267" s="180">
        <v>45565</v>
      </c>
      <c r="B267" s="21" t="e" vm="96">
        <v>#VALUE!</v>
      </c>
      <c r="C267" s="109" t="str" cm="1">
        <f t="array" aca="1" ref="C267" ca="1">_FV(Table20[[#This Row],[Asset]],"Ticker symbol",TRUE)</f>
        <v>SPY</v>
      </c>
      <c r="D267" s="26" cm="1">
        <f t="array" aca="1" ref="D267" ca="1">_FV(Table20[[#This Row],[Asset]],"Price")</f>
        <v>658.59</v>
      </c>
      <c r="E267" s="26">
        <v>550</v>
      </c>
      <c r="F267" s="33">
        <v>1</v>
      </c>
      <c r="G267" s="34">
        <v>1</v>
      </c>
      <c r="H267" s="34" t="s">
        <v>161</v>
      </c>
      <c r="I267" s="31">
        <v>45553</v>
      </c>
      <c r="J267" s="26">
        <v>2.2599999999999998</v>
      </c>
      <c r="K267" s="24">
        <v>0.18110000000000001</v>
      </c>
      <c r="L267" s="33">
        <f>VLOOKUP(Table20[[#This Row],[Strategy]],Table29[#All],6,FALSE)</f>
        <v>-1</v>
      </c>
      <c r="M267" s="23">
        <v>1</v>
      </c>
      <c r="N267" s="23">
        <v>0.56999999999999995</v>
      </c>
      <c r="O267" s="23"/>
      <c r="P267" s="23"/>
      <c r="Q267">
        <f>Table20[[#This Row],[Exit1]]*Table20[[#This Row],[ex1_price]]</f>
        <v>0.56999999999999995</v>
      </c>
      <c r="R267">
        <f>Table20[[#This Row],[Exit2]]*Table20[[#This Row],[ex2_price]]</f>
        <v>0</v>
      </c>
      <c r="S267">
        <f>IFERROR((Table20[[#This Row],[ex2_amnt]]+Table20[[#This Row],[ex1_amnt]])/(Table20[[#This Row],[Exit2]]+Table20[[#This Row],[Exit1]]),0)</f>
        <v>0.56999999999999995</v>
      </c>
      <c r="T267" s="5">
        <f>(Table20[[#This Row],[Exit1]]+Table20[[#This Row],[Exit2]])*(Table20[[#This Row],[avg_exit_price]]-Table20[[#This Row],[AvePrice]])*100*Table20[[#This Row],[Buy or Sell]]</f>
        <v>-169</v>
      </c>
      <c r="U267" s="5">
        <f>Table20[[#This Row],[Number of options]]*Table20[[#This Row],[AvePrice]]*100*Table20[[#This Row],[Buy or Sell]]</f>
        <v>225.99999999999997</v>
      </c>
      <c r="V267" s="8">
        <f>Table20[[#This Row],[Number of options]]-Table20[[#This Row],[Exit1]]-Table20[[#This Row],[Exit2]]</f>
        <v>0</v>
      </c>
      <c r="W267" s="30">
        <f ca="1">(Table20[[#This Row],[Expiration Date]]-TODAY())/365</f>
        <v>-1.484931506849315</v>
      </c>
      <c r="X267" s="30" t="e">
        <f ca="1">(LN(Table20[[#This Row],[Current Price]]/Table20[[#This Row],[strike_price]]) + ($B$2 + (Table20[[#This Row],[Vol]]^2)/2)*Table20[[#This Row],[Time to expiration]]) / (Table20[[#This Row],[Vol]] * SQRT(Table20[[#This Row],[Time to expiration]]))</f>
        <v>#NUM!</v>
      </c>
      <c r="Y267" s="30" t="e">
        <f ca="1">IF(Table20[[#This Row],[Direction]]&gt;0, _xlfn.NORM.S.DIST(Table20[[#This Row],[d1]], TRUE), _xlfn.NORM.S.DIST(Table20[[#This Row],[d1]], TRUE) - 1) * Table20[[#This Row],[Buy or Sell]]</f>
        <v>#NUM!</v>
      </c>
      <c r="Z267" s="9">
        <f ca="1">Table20[[#This Row],[Remaining]]*Table20[[#This Row],[Current Price]]*100</f>
        <v>0</v>
      </c>
      <c r="AA267" s="22">
        <f ca="1">IFERROR(Table20[[#This Row],[nominal_exposure]]*Table20[[#This Row],[Delta]],0)</f>
        <v>0</v>
      </c>
      <c r="AB267" s="30" t="b">
        <f>IF(Table20[[#This Row],[date_purchased]]&lt;&gt;Table20[[#This Row],[Expiration Date]],FALSE,TRUE)</f>
        <v>0</v>
      </c>
      <c r="AC267" s="30" t="str">
        <f>VLOOKUP(Table20[[#This Row],[Asset]],Table19[#All],3,FALSE)</f>
        <v>Market</v>
      </c>
      <c r="AD267" s="30">
        <f>IF(Table20[[#This Row],[Remaining]]&lt;&gt;0,Table20[[#This Row],[Invested]]*Table20[[#This Row],[Remaining]]/Table20[[#This Row],[Number of options]],0)</f>
        <v>0</v>
      </c>
      <c r="AE267" s="30">
        <f ca="1">SUMIF(Table20[Ticker],Table20[[#This Row],[Ticker]],Table20[realized_profit])</f>
        <v>-5077</v>
      </c>
      <c r="AF267" s="30" t="str">
        <f>VLOOKUP(Table20[[#This Row],[Strategy]],Table29[#All],7,FALSE)</f>
        <v>Bearish</v>
      </c>
    </row>
    <row r="268" spans="1:32" hidden="1">
      <c r="A268" s="180">
        <v>45555</v>
      </c>
      <c r="B268" s="21" t="e" vm="96">
        <v>#VALUE!</v>
      </c>
      <c r="C268" s="109" t="str" cm="1">
        <f t="array" aca="1" ref="C268" ca="1">_FV(Table20[[#This Row],[Asset]],"Ticker symbol",TRUE)</f>
        <v>SPY</v>
      </c>
      <c r="D268" s="26" cm="1">
        <f t="array" aca="1" ref="D268" ca="1">_FV(Table20[[#This Row],[Asset]],"Price")</f>
        <v>658.59</v>
      </c>
      <c r="E268" s="26">
        <v>564</v>
      </c>
      <c r="F268" s="33">
        <v>2</v>
      </c>
      <c r="G268" s="34">
        <v>1</v>
      </c>
      <c r="H268" s="34" t="s">
        <v>113</v>
      </c>
      <c r="I268" s="31">
        <v>45538</v>
      </c>
      <c r="J268" s="26">
        <v>3.06</v>
      </c>
      <c r="K268" s="24">
        <v>0.12909999999999999</v>
      </c>
      <c r="L268" s="33">
        <f>VLOOKUP(Table20[[#This Row],[Strategy]],Table29[#All],6,FALSE)</f>
        <v>1</v>
      </c>
      <c r="M268" s="23">
        <v>2</v>
      </c>
      <c r="N268" s="23">
        <v>2.06</v>
      </c>
      <c r="O268" s="23"/>
      <c r="P268" s="23"/>
      <c r="Q268">
        <f>Table20[[#This Row],[Exit1]]*Table20[[#This Row],[ex1_price]]</f>
        <v>4.12</v>
      </c>
      <c r="R268">
        <f>Table20[[#This Row],[Exit2]]*Table20[[#This Row],[ex2_price]]</f>
        <v>0</v>
      </c>
      <c r="S268">
        <f>IFERROR((Table20[[#This Row],[ex2_amnt]]+Table20[[#This Row],[ex1_amnt]])/(Table20[[#This Row],[Exit2]]+Table20[[#This Row],[Exit1]]),0)</f>
        <v>2.06</v>
      </c>
      <c r="T268" s="5">
        <f>(Table20[[#This Row],[Exit1]]+Table20[[#This Row],[Exit2]])*(Table20[[#This Row],[avg_exit_price]]-Table20[[#This Row],[AvePrice]])*100*Table20[[#This Row],[Buy or Sell]]</f>
        <v>-200</v>
      </c>
      <c r="U268" s="5">
        <f>Table20[[#This Row],[Number of options]]*Table20[[#This Row],[AvePrice]]*100*Table20[[#This Row],[Buy or Sell]]</f>
        <v>612</v>
      </c>
      <c r="V268" s="8">
        <f>Table20[[#This Row],[Number of options]]-Table20[[#This Row],[Exit1]]-Table20[[#This Row],[Exit2]]</f>
        <v>0</v>
      </c>
      <c r="W268" s="30">
        <f ca="1">(Table20[[#This Row],[Expiration Date]]-TODAY())/365</f>
        <v>-1.5123287671232877</v>
      </c>
      <c r="X268" s="30" t="e">
        <f ca="1">(LN(Table20[[#This Row],[Current Price]]/Table20[[#This Row],[strike_price]]) + ($B$2 + (Table20[[#This Row],[Vol]]^2)/2)*Table20[[#This Row],[Time to expiration]]) / (Table20[[#This Row],[Vol]] * SQRT(Table20[[#This Row],[Time to expiration]]))</f>
        <v>#NUM!</v>
      </c>
      <c r="Y268" s="30" t="e">
        <f ca="1">IF(Table20[[#This Row],[Direction]]&gt;0, _xlfn.NORM.S.DIST(Table20[[#This Row],[d1]], TRUE), _xlfn.NORM.S.DIST(Table20[[#This Row],[d1]], TRUE) - 1) * Table20[[#This Row],[Buy or Sell]]</f>
        <v>#NUM!</v>
      </c>
      <c r="Z268" s="9">
        <f ca="1">Table20[[#This Row],[Remaining]]*Table20[[#This Row],[Current Price]]*100</f>
        <v>0</v>
      </c>
      <c r="AA268" s="22">
        <f ca="1">IFERROR(Table20[[#This Row],[nominal_exposure]]*Table20[[#This Row],[Delta]],0)</f>
        <v>0</v>
      </c>
      <c r="AB268" s="30" t="b">
        <f>IF(Table20[[#This Row],[date_purchased]]&lt;&gt;Table20[[#This Row],[Expiration Date]],FALSE,TRUE)</f>
        <v>0</v>
      </c>
      <c r="AC268" s="30" t="str">
        <f>VLOOKUP(Table20[[#This Row],[Asset]],Table19[#All],3,FALSE)</f>
        <v>Market</v>
      </c>
      <c r="AD268" s="30">
        <f>IF(Table20[[#This Row],[Remaining]]&lt;&gt;0,Table20[[#This Row],[Invested]]*Table20[[#This Row],[Remaining]]/Table20[[#This Row],[Number of options]],0)</f>
        <v>0</v>
      </c>
      <c r="AE268" s="30">
        <f ca="1">SUMIF(Table20[Ticker],Table20[[#This Row],[Ticker]],Table20[realized_profit])</f>
        <v>-5077</v>
      </c>
      <c r="AF268" s="30" t="str">
        <f>VLOOKUP(Table20[[#This Row],[Strategy]],Table29[#All],7,FALSE)</f>
        <v>Bullish</v>
      </c>
    </row>
    <row r="269" spans="1:32" hidden="1">
      <c r="A269" s="180">
        <v>45555</v>
      </c>
      <c r="B269" s="21" t="e" vm="16">
        <v>#VALUE!</v>
      </c>
      <c r="C269" s="109" t="str" cm="1">
        <f t="array" aca="1" ref="C269" ca="1">_FV(Table20[[#This Row],[Asset]],"Ticker symbol",TRUE)</f>
        <v>GOOG</v>
      </c>
      <c r="D269" s="26" cm="1">
        <f t="array" aca="1" ref="D269" ca="1">_FV(Table20[[#This Row],[Asset]],"Price")</f>
        <v>290.39</v>
      </c>
      <c r="E269" s="26">
        <v>160</v>
      </c>
      <c r="F269" s="33">
        <v>9</v>
      </c>
      <c r="G269" s="34">
        <v>1.1299999999999999</v>
      </c>
      <c r="H269" s="34" t="s">
        <v>113</v>
      </c>
      <c r="I269" s="31">
        <v>45544</v>
      </c>
      <c r="J269" s="26">
        <v>0.76</v>
      </c>
      <c r="K269" s="24">
        <v>0.28510000000000002</v>
      </c>
      <c r="L269" s="33">
        <f>VLOOKUP(Table20[[#This Row],[Strategy]],Table29[#All],6,FALSE)</f>
        <v>1</v>
      </c>
      <c r="M269" s="23">
        <v>9</v>
      </c>
      <c r="N269" s="23">
        <v>0.35</v>
      </c>
      <c r="O269" s="23"/>
      <c r="P269" s="23"/>
      <c r="Q269">
        <f>Table20[[#This Row],[Exit1]]*Table20[[#This Row],[ex1_price]]</f>
        <v>3.15</v>
      </c>
      <c r="R269">
        <f>Table20[[#This Row],[Exit2]]*Table20[[#This Row],[ex2_price]]</f>
        <v>0</v>
      </c>
      <c r="S269">
        <f>IFERROR((Table20[[#This Row],[ex2_amnt]]+Table20[[#This Row],[ex1_amnt]])/(Table20[[#This Row],[Exit2]]+Table20[[#This Row],[Exit1]]),0)</f>
        <v>0.35</v>
      </c>
      <c r="T269" s="5">
        <f>(Table20[[#This Row],[Exit1]]+Table20[[#This Row],[Exit2]])*(Table20[[#This Row],[avg_exit_price]]-Table20[[#This Row],[AvePrice]])*100*Table20[[#This Row],[Buy or Sell]]</f>
        <v>-416.97</v>
      </c>
      <c r="U269" s="5">
        <f>Table20[[#This Row],[Number of options]]*Table20[[#This Row],[AvePrice]]*100*Table20[[#This Row],[Buy or Sell]]</f>
        <v>772.92</v>
      </c>
      <c r="V269" s="8">
        <f>Table20[[#This Row],[Number of options]]-Table20[[#This Row],[Exit1]]-Table20[[#This Row],[Exit2]]</f>
        <v>0</v>
      </c>
      <c r="W269" s="30">
        <f ca="1">(Table20[[#This Row],[Expiration Date]]-TODAY())/365</f>
        <v>-1.5123287671232877</v>
      </c>
      <c r="X269" s="30" t="e">
        <f ca="1">(LN(Table20[[#This Row],[Current Price]]/Table20[[#This Row],[strike_price]]) + ($B$2 + (Table20[[#This Row],[Vol]]^2)/2)*Table20[[#This Row],[Time to expiration]]) / (Table20[[#This Row],[Vol]] * SQRT(Table20[[#This Row],[Time to expiration]]))</f>
        <v>#NUM!</v>
      </c>
      <c r="Y269" s="30" t="e">
        <f ca="1">IF(Table20[[#This Row],[Direction]]&gt;0, _xlfn.NORM.S.DIST(Table20[[#This Row],[d1]], TRUE), _xlfn.NORM.S.DIST(Table20[[#This Row],[d1]], TRUE) - 1) * Table20[[#This Row],[Buy or Sell]]</f>
        <v>#NUM!</v>
      </c>
      <c r="Z269" s="9">
        <f ca="1">Table20[[#This Row],[Remaining]]*Table20[[#This Row],[Current Price]]*100</f>
        <v>0</v>
      </c>
      <c r="AA269" s="22">
        <f ca="1">IFERROR(Table20[[#This Row],[nominal_exposure]]*Table20[[#This Row],[Delta]],0)</f>
        <v>0</v>
      </c>
      <c r="AB269" s="30" t="b">
        <f>IF(Table20[[#This Row],[date_purchased]]&lt;&gt;Table20[[#This Row],[Expiration Date]],FALSE,TRUE)</f>
        <v>0</v>
      </c>
      <c r="AC269" s="30" t="str">
        <f>VLOOKUP(Table20[[#This Row],[Asset]],Table19[#All],3,FALSE)</f>
        <v>AI</v>
      </c>
      <c r="AD269" s="30">
        <f>IF(Table20[[#This Row],[Remaining]]&lt;&gt;0,Table20[[#This Row],[Invested]]*Table20[[#This Row],[Remaining]]/Table20[[#This Row],[Number of options]],0)</f>
        <v>0</v>
      </c>
      <c r="AE269" s="30">
        <f ca="1">SUMIF(Table20[Ticker],Table20[[#This Row],[Ticker]],Table20[realized_profit])</f>
        <v>4148.03</v>
      </c>
      <c r="AF269" s="30" t="str">
        <f>VLOOKUP(Table20[[#This Row],[Strategy]],Table29[#All],7,FALSE)</f>
        <v>Bullish</v>
      </c>
    </row>
    <row r="270" spans="1:32" hidden="1">
      <c r="A270" s="180">
        <v>45555</v>
      </c>
      <c r="B270" s="21" t="e" vm="151">
        <v>#VALUE!</v>
      </c>
      <c r="C270" s="109" t="str" cm="1">
        <f t="array" aca="1" ref="C270" ca="1">_FV(Table20[[#This Row],[Asset]],"Ticker symbol",TRUE)</f>
        <v>TLT</v>
      </c>
      <c r="D270" s="26" cm="1">
        <f t="array" aca="1" ref="D270" ca="1">_FV(Table20[[#This Row],[Asset]],"Price")</f>
        <v>86.743499999999997</v>
      </c>
      <c r="E270" s="26">
        <v>99.5</v>
      </c>
      <c r="F270" s="33">
        <v>3</v>
      </c>
      <c r="G270" s="34">
        <v>1</v>
      </c>
      <c r="H270" s="34" t="s">
        <v>65</v>
      </c>
      <c r="I270" s="31">
        <v>45544</v>
      </c>
      <c r="J270" s="26">
        <v>1.01</v>
      </c>
      <c r="K270" s="24">
        <v>0.1482</v>
      </c>
      <c r="L270" s="33">
        <f>VLOOKUP(Table20[[#This Row],[Strategy]],Table29[#All],6,FALSE)</f>
        <v>-1</v>
      </c>
      <c r="M270" s="23">
        <v>3</v>
      </c>
      <c r="N270" s="23">
        <v>0.42</v>
      </c>
      <c r="O270" s="23"/>
      <c r="P270" s="23"/>
      <c r="Q270">
        <f>Table20[[#This Row],[Exit1]]*Table20[[#This Row],[ex1_price]]</f>
        <v>1.26</v>
      </c>
      <c r="R270">
        <f>Table20[[#This Row],[Exit2]]*Table20[[#This Row],[ex2_price]]</f>
        <v>0</v>
      </c>
      <c r="S270">
        <f>IFERROR((Table20[[#This Row],[ex2_amnt]]+Table20[[#This Row],[ex1_amnt]])/(Table20[[#This Row],[Exit2]]+Table20[[#This Row],[Exit1]]),0)</f>
        <v>0.42</v>
      </c>
      <c r="T270" s="5">
        <f>(Table20[[#This Row],[Exit1]]+Table20[[#This Row],[Exit2]])*(Table20[[#This Row],[avg_exit_price]]-Table20[[#This Row],[AvePrice]])*100*Table20[[#This Row],[Buy or Sell]]</f>
        <v>-177.00000000000003</v>
      </c>
      <c r="U270" s="5">
        <f>Table20[[#This Row],[Number of options]]*Table20[[#This Row],[AvePrice]]*100*Table20[[#This Row],[Buy or Sell]]</f>
        <v>303</v>
      </c>
      <c r="V270" s="8">
        <f>Table20[[#This Row],[Number of options]]-Table20[[#This Row],[Exit1]]-Table20[[#This Row],[Exit2]]</f>
        <v>0</v>
      </c>
      <c r="W270" s="30">
        <f ca="1">(Table20[[#This Row],[Expiration Date]]-TODAY())/365</f>
        <v>-1.5123287671232877</v>
      </c>
      <c r="X270" s="30" t="e">
        <f ca="1">(LN(Table20[[#This Row],[Current Price]]/Table20[[#This Row],[strike_price]]) + ($B$2 + (Table20[[#This Row],[Vol]]^2)/2)*Table20[[#This Row],[Time to expiration]]) / (Table20[[#This Row],[Vol]] * SQRT(Table20[[#This Row],[Time to expiration]]))</f>
        <v>#NUM!</v>
      </c>
      <c r="Y270" s="30" t="e">
        <f ca="1">IF(Table20[[#This Row],[Direction]]&gt;0, _xlfn.NORM.S.DIST(Table20[[#This Row],[d1]], TRUE), _xlfn.NORM.S.DIST(Table20[[#This Row],[d1]], TRUE) - 1) * Table20[[#This Row],[Buy or Sell]]</f>
        <v>#NUM!</v>
      </c>
      <c r="Z270" s="9">
        <f ca="1">Table20[[#This Row],[Remaining]]*Table20[[#This Row],[Current Price]]*100</f>
        <v>0</v>
      </c>
      <c r="AA270" s="22">
        <f ca="1">IFERROR(Table20[[#This Row],[nominal_exposure]]*Table20[[#This Row],[Delta]],0)</f>
        <v>0</v>
      </c>
      <c r="AB270" s="30" t="b">
        <f>IF(Table20[[#This Row],[date_purchased]]&lt;&gt;Table20[[#This Row],[Expiration Date]],FALSE,TRUE)</f>
        <v>0</v>
      </c>
      <c r="AC270" s="30" t="str">
        <f>VLOOKUP(Table20[[#This Row],[Asset]],Table19[#All],3,FALSE)</f>
        <v>Market</v>
      </c>
      <c r="AD270" s="30">
        <f>IF(Table20[[#This Row],[Remaining]]&lt;&gt;0,Table20[[#This Row],[Invested]]*Table20[[#This Row],[Remaining]]/Table20[[#This Row],[Number of options]],0)</f>
        <v>0</v>
      </c>
      <c r="AE270" s="30">
        <f ca="1">SUMIF(Table20[Ticker],Table20[[#This Row],[Ticker]],Table20[realized_profit])</f>
        <v>-3328.3599999999997</v>
      </c>
      <c r="AF270" s="30" t="str">
        <f>VLOOKUP(Table20[[#This Row],[Strategy]],Table29[#All],7,FALSE)</f>
        <v>Bearish</v>
      </c>
    </row>
    <row r="271" spans="1:32" hidden="1">
      <c r="A271" s="180">
        <v>45555</v>
      </c>
      <c r="B271" s="21" t="e" vm="446">
        <v>#VALUE!</v>
      </c>
      <c r="C271" s="109" t="str" cm="1">
        <f t="array" aca="1" ref="C271" ca="1">_FV(Table20[[#This Row],[Asset]],"Ticker symbol",TRUE)</f>
        <v>RDDT</v>
      </c>
      <c r="D271" s="26" cm="1">
        <f t="array" aca="1" ref="D271" ca="1">_FV(Table20[[#This Row],[Asset]],"Price")</f>
        <v>143.06</v>
      </c>
      <c r="E271" s="26">
        <v>60</v>
      </c>
      <c r="F271" s="33">
        <v>2</v>
      </c>
      <c r="G271" s="34">
        <v>1</v>
      </c>
      <c r="H271" s="34" t="s">
        <v>65</v>
      </c>
      <c r="I271" s="31">
        <v>45548</v>
      </c>
      <c r="J271" s="26">
        <v>2.33</v>
      </c>
      <c r="K271" s="24">
        <v>0.55000000000000004</v>
      </c>
      <c r="L271" s="33">
        <f>VLOOKUP(Table20[[#This Row],[Strategy]],Table29[#All],6,FALSE)</f>
        <v>-1</v>
      </c>
      <c r="M271" s="23">
        <v>2</v>
      </c>
      <c r="N271" s="23">
        <v>0.87</v>
      </c>
      <c r="O271" s="23"/>
      <c r="P271" s="23"/>
      <c r="Q271">
        <f>Table20[[#This Row],[Exit1]]*Table20[[#This Row],[ex1_price]]</f>
        <v>1.74</v>
      </c>
      <c r="R271">
        <f>Table20[[#This Row],[Exit2]]*Table20[[#This Row],[ex2_price]]</f>
        <v>0</v>
      </c>
      <c r="S271">
        <f>IFERROR((Table20[[#This Row],[ex2_amnt]]+Table20[[#This Row],[ex1_amnt]])/(Table20[[#This Row],[Exit2]]+Table20[[#This Row],[Exit1]]),0)</f>
        <v>0.87</v>
      </c>
      <c r="T271" s="5">
        <f>(Table20[[#This Row],[Exit1]]+Table20[[#This Row],[Exit2]])*(Table20[[#This Row],[avg_exit_price]]-Table20[[#This Row],[AvePrice]])*100*Table20[[#This Row],[Buy or Sell]]</f>
        <v>-292</v>
      </c>
      <c r="U271" s="5">
        <f>Table20[[#This Row],[Number of options]]*Table20[[#This Row],[AvePrice]]*100*Table20[[#This Row],[Buy or Sell]]</f>
        <v>466</v>
      </c>
      <c r="V271" s="8">
        <f>Table20[[#This Row],[Number of options]]-Table20[[#This Row],[Exit1]]-Table20[[#This Row],[Exit2]]</f>
        <v>0</v>
      </c>
      <c r="W271" s="30">
        <f ca="1">(Table20[[#This Row],[Expiration Date]]-TODAY())/365</f>
        <v>-1.5123287671232877</v>
      </c>
      <c r="X271" s="30" t="e">
        <f ca="1">(LN(Table20[[#This Row],[Current Price]]/Table20[[#This Row],[strike_price]]) + ($B$2 + (Table20[[#This Row],[Vol]]^2)/2)*Table20[[#This Row],[Time to expiration]]) / (Table20[[#This Row],[Vol]] * SQRT(Table20[[#This Row],[Time to expiration]]))</f>
        <v>#NUM!</v>
      </c>
      <c r="Y271" s="30" t="e">
        <f ca="1">IF(Table20[[#This Row],[Direction]]&gt;0, _xlfn.NORM.S.DIST(Table20[[#This Row],[d1]], TRUE), _xlfn.NORM.S.DIST(Table20[[#This Row],[d1]], TRUE) - 1) * Table20[[#This Row],[Buy or Sell]]</f>
        <v>#NUM!</v>
      </c>
      <c r="Z271" s="9">
        <f ca="1">Table20[[#This Row],[Remaining]]*Table20[[#This Row],[Current Price]]*100</f>
        <v>0</v>
      </c>
      <c r="AA271" s="22">
        <f ca="1">IFERROR(Table20[[#This Row],[nominal_exposure]]*Table20[[#This Row],[Delta]],0)</f>
        <v>0</v>
      </c>
      <c r="AB271" s="30" t="b">
        <f>IF(Table20[[#This Row],[date_purchased]]&lt;&gt;Table20[[#This Row],[Expiration Date]],FALSE,TRUE)</f>
        <v>0</v>
      </c>
      <c r="AC271" s="30" t="str">
        <f>VLOOKUP(Table20[[#This Row],[Asset]],Table19[#All],3,FALSE)</f>
        <v>Technology</v>
      </c>
      <c r="AD271" s="30">
        <f>IF(Table20[[#This Row],[Remaining]]&lt;&gt;0,Table20[[#This Row],[Invested]]*Table20[[#This Row],[Remaining]]/Table20[[#This Row],[Number of options]],0)</f>
        <v>0</v>
      </c>
      <c r="AE271" s="30">
        <f ca="1">SUMIF(Table20[Ticker],Table20[[#This Row],[Ticker]],Table20[realized_profit])</f>
        <v>1766.0000000000002</v>
      </c>
      <c r="AF271" s="30" t="str">
        <f>VLOOKUP(Table20[[#This Row],[Strategy]],Table29[#All],7,FALSE)</f>
        <v>Bearish</v>
      </c>
    </row>
    <row r="272" spans="1:32" hidden="1">
      <c r="A272" s="35">
        <v>45555</v>
      </c>
      <c r="B272" s="21" t="e" vm="96">
        <v>#VALUE!</v>
      </c>
      <c r="C272" s="109" t="str" cm="1">
        <f t="array" aca="1" ref="C272" ca="1">_FV(Table20[[#This Row],[Asset]],"Ticker symbol",TRUE)</f>
        <v>SPY</v>
      </c>
      <c r="D272" s="26" cm="1">
        <f t="array" aca="1" ref="D272" ca="1">_FV(Table20[[#This Row],[Asset]],"Price")</f>
        <v>658.59</v>
      </c>
      <c r="E272" s="26">
        <v>500</v>
      </c>
      <c r="F272" s="33">
        <v>1</v>
      </c>
      <c r="G272" s="34">
        <v>1</v>
      </c>
      <c r="H272" s="34" t="s">
        <v>65</v>
      </c>
      <c r="I272" s="31">
        <v>45516</v>
      </c>
      <c r="J272" s="26">
        <v>3.45</v>
      </c>
      <c r="K272" s="24">
        <v>0.22900000000000001</v>
      </c>
      <c r="L272" s="33">
        <f>VLOOKUP(Table20[[#This Row],[Strategy]],Table29[#All],6,FALSE)</f>
        <v>-1</v>
      </c>
      <c r="M272" s="23">
        <v>1</v>
      </c>
      <c r="N272" s="23">
        <v>0.69</v>
      </c>
      <c r="O272" s="23"/>
      <c r="P272" s="23"/>
      <c r="Q272">
        <f>Table20[[#This Row],[Exit1]]*Table20[[#This Row],[ex1_price]]</f>
        <v>0.69</v>
      </c>
      <c r="R272">
        <f>Table20[[#This Row],[Exit2]]*Table20[[#This Row],[ex2_price]]</f>
        <v>0</v>
      </c>
      <c r="S272">
        <f>IFERROR((Table20[[#This Row],[ex2_amnt]]+Table20[[#This Row],[ex1_amnt]])/(Table20[[#This Row],[Exit2]]+Table20[[#This Row],[Exit1]]),0)</f>
        <v>0.69</v>
      </c>
      <c r="T272" s="5">
        <f>(Table20[[#This Row],[Exit1]]+Table20[[#This Row],[Exit2]])*(Table20[[#This Row],[avg_exit_price]]-Table20[[#This Row],[AvePrice]])*100*Table20[[#This Row],[Buy or Sell]]</f>
        <v>-276</v>
      </c>
      <c r="U272" s="5">
        <f>Table20[[#This Row],[Number of options]]*Table20[[#This Row],[AvePrice]]*100*Table20[[#This Row],[Buy or Sell]]</f>
        <v>345</v>
      </c>
      <c r="V272" s="8">
        <f>Table20[[#This Row],[Number of options]]-Table20[[#This Row],[Exit1]]-Table20[[#This Row],[Exit2]]</f>
        <v>0</v>
      </c>
      <c r="W272" s="30">
        <f ca="1">(Table20[[#This Row],[Expiration Date]]-TODAY())/365</f>
        <v>-1.5123287671232877</v>
      </c>
      <c r="X272" s="30" t="e">
        <f ca="1">(LN(Table20[[#This Row],[Current Price]]/Table20[[#This Row],[strike_price]]) + ($B$2 + (Table20[[#This Row],[Vol]]^2)/2)*Table20[[#This Row],[Time to expiration]]) / (Table20[[#This Row],[Vol]] * SQRT(Table20[[#This Row],[Time to expiration]]))</f>
        <v>#NUM!</v>
      </c>
      <c r="Y272" s="30" t="e">
        <f ca="1">IF(Table20[[#This Row],[Direction]]&gt;0, _xlfn.NORM.S.DIST(Table20[[#This Row],[d1]], TRUE), _xlfn.NORM.S.DIST(Table20[[#This Row],[d1]], TRUE) - 1) * Table20[[#This Row],[Buy or Sell]]</f>
        <v>#NUM!</v>
      </c>
      <c r="Z272" s="9">
        <f ca="1">Table20[[#This Row],[Remaining]]*Table20[[#This Row],[Current Price]]*100</f>
        <v>0</v>
      </c>
      <c r="AA272" s="22">
        <f ca="1">IFERROR(Table20[[#This Row],[nominal_exposure]]*Table20[[#This Row],[Delta]],0)</f>
        <v>0</v>
      </c>
      <c r="AB272" s="30" t="b">
        <f>IF(Table20[[#This Row],[date_purchased]]&lt;&gt;Table20[[#This Row],[Expiration Date]],FALSE,TRUE)</f>
        <v>0</v>
      </c>
      <c r="AC272" s="30" t="str">
        <f>VLOOKUP(Table20[[#This Row],[Asset]],Table19[#All],3,FALSE)</f>
        <v>Market</v>
      </c>
      <c r="AD272" s="4">
        <f>IF(Table20[[#This Row],[Remaining]]&lt;&gt;0,Table20[[#This Row],[Invested]]*Table20[[#This Row],[Remaining]]/Table20[[#This Row],[Number of options]],0)</f>
        <v>0</v>
      </c>
      <c r="AE272" s="4">
        <f ca="1">SUMIF(Table20[Ticker],Table20[[#This Row],[Ticker]],Table20[realized_profit])</f>
        <v>-5077</v>
      </c>
      <c r="AF272" s="30" t="str">
        <f>VLOOKUP(Table20[[#This Row],[Strategy]],Table29[#All],7,FALSE)</f>
        <v>Bearish</v>
      </c>
    </row>
    <row r="273" spans="1:32" hidden="1">
      <c r="A273" s="180">
        <v>45555</v>
      </c>
      <c r="B273" s="21" t="e" vm="96">
        <v>#VALUE!</v>
      </c>
      <c r="C273" s="109" t="str" cm="1">
        <f t="array" aca="1" ref="C273" ca="1">_FV(Table20[[#This Row],[Asset]],"Ticker symbol",TRUE)</f>
        <v>SPY</v>
      </c>
      <c r="D273" s="26" cm="1">
        <f t="array" aca="1" ref="D273" ca="1">_FV(Table20[[#This Row],[Asset]],"Price")</f>
        <v>658.59</v>
      </c>
      <c r="E273" s="26">
        <v>560</v>
      </c>
      <c r="F273" s="33">
        <v>5</v>
      </c>
      <c r="G273" s="34">
        <v>1</v>
      </c>
      <c r="H273" s="34" t="s">
        <v>113</v>
      </c>
      <c r="I273" s="31">
        <v>45540</v>
      </c>
      <c r="J273" s="26">
        <v>2.58</v>
      </c>
      <c r="K273" s="24">
        <v>0.13730000000000001</v>
      </c>
      <c r="L273" s="33">
        <f>VLOOKUP(Table20[[#This Row],[Strategy]],Table29[#All],6,FALSE)</f>
        <v>1</v>
      </c>
      <c r="M273" s="23">
        <v>5</v>
      </c>
      <c r="N273" s="23">
        <v>1.52</v>
      </c>
      <c r="O273" s="23"/>
      <c r="P273" s="23"/>
      <c r="Q273">
        <f>Table20[[#This Row],[Exit1]]*Table20[[#This Row],[ex1_price]]</f>
        <v>7.6</v>
      </c>
      <c r="R273">
        <f>Table20[[#This Row],[Exit2]]*Table20[[#This Row],[ex2_price]]</f>
        <v>0</v>
      </c>
      <c r="S273">
        <f>IFERROR((Table20[[#This Row],[ex2_amnt]]+Table20[[#This Row],[ex1_amnt]])/(Table20[[#This Row],[Exit2]]+Table20[[#This Row],[Exit1]]),0)</f>
        <v>1.52</v>
      </c>
      <c r="T273" s="5">
        <f>(Table20[[#This Row],[Exit1]]+Table20[[#This Row],[Exit2]])*(Table20[[#This Row],[avg_exit_price]]-Table20[[#This Row],[AvePrice]])*100*Table20[[#This Row],[Buy or Sell]]</f>
        <v>-530.00000000000011</v>
      </c>
      <c r="U273" s="5">
        <f>Table20[[#This Row],[Number of options]]*Table20[[#This Row],[AvePrice]]*100*Table20[[#This Row],[Buy or Sell]]</f>
        <v>1290</v>
      </c>
      <c r="V273" s="8">
        <f>Table20[[#This Row],[Number of options]]-Table20[[#This Row],[Exit1]]-Table20[[#This Row],[Exit2]]</f>
        <v>0</v>
      </c>
      <c r="W273" s="30">
        <f ca="1">(Table20[[#This Row],[Expiration Date]]-TODAY())/365</f>
        <v>-1.5123287671232877</v>
      </c>
      <c r="X273" s="30" t="e">
        <f ca="1">(LN(Table20[[#This Row],[Current Price]]/Table20[[#This Row],[strike_price]]) + ($B$2 + (Table20[[#This Row],[Vol]]^2)/2)*Table20[[#This Row],[Time to expiration]]) / (Table20[[#This Row],[Vol]] * SQRT(Table20[[#This Row],[Time to expiration]]))</f>
        <v>#NUM!</v>
      </c>
      <c r="Y273" s="30" t="e">
        <f ca="1">IF(Table20[[#This Row],[Direction]]&gt;0, _xlfn.NORM.S.DIST(Table20[[#This Row],[d1]], TRUE), _xlfn.NORM.S.DIST(Table20[[#This Row],[d1]], TRUE) - 1) * Table20[[#This Row],[Buy or Sell]]</f>
        <v>#NUM!</v>
      </c>
      <c r="Z273" s="9">
        <f ca="1">Table20[[#This Row],[Remaining]]*Table20[[#This Row],[Current Price]]*100</f>
        <v>0</v>
      </c>
      <c r="AA273" s="22">
        <f ca="1">IFERROR(Table20[[#This Row],[nominal_exposure]]*Table20[[#This Row],[Delta]],0)</f>
        <v>0</v>
      </c>
      <c r="AB273" s="30" t="b">
        <f>IF(Table20[[#This Row],[date_purchased]]&lt;&gt;Table20[[#This Row],[Expiration Date]],FALSE,TRUE)</f>
        <v>0</v>
      </c>
      <c r="AC273" s="30" t="str">
        <f>VLOOKUP(Table20[[#This Row],[Asset]],Table19[#All],3,FALSE)</f>
        <v>Market</v>
      </c>
      <c r="AD273" s="30">
        <f>IF(Table20[[#This Row],[Remaining]]&lt;&gt;0,Table20[[#This Row],[Invested]]*Table20[[#This Row],[Remaining]]/Table20[[#This Row],[Number of options]],0)</f>
        <v>0</v>
      </c>
      <c r="AE273" s="30">
        <f ca="1">SUMIF(Table20[Ticker],Table20[[#This Row],[Ticker]],Table20[realized_profit])</f>
        <v>-5077</v>
      </c>
      <c r="AF273" s="30" t="str">
        <f>VLOOKUP(Table20[[#This Row],[Strategy]],Table29[#All],7,FALSE)</f>
        <v>Bullish</v>
      </c>
    </row>
    <row r="274" spans="1:32" hidden="1">
      <c r="A274" s="180">
        <v>45583</v>
      </c>
      <c r="B274" s="21" t="e" vm="104">
        <v>#VALUE!</v>
      </c>
      <c r="C274" s="109" t="str" cm="1">
        <f t="array" aca="1" ref="C274" ca="1">_FV(Table20[[#This Row],[Asset]],"Ticker symbol",TRUE)</f>
        <v>V</v>
      </c>
      <c r="D274" s="26" cm="1">
        <f t="array" aca="1" ref="D274" ca="1">_FV(Table20[[#This Row],[Asset]],"Price")</f>
        <v>304.54000000000002</v>
      </c>
      <c r="E274" s="26">
        <v>280</v>
      </c>
      <c r="F274" s="33">
        <v>1</v>
      </c>
      <c r="G274" s="34">
        <v>1</v>
      </c>
      <c r="H274" s="34" t="s">
        <v>65</v>
      </c>
      <c r="I274" s="31">
        <v>45546</v>
      </c>
      <c r="J274" s="26">
        <v>4.7</v>
      </c>
      <c r="K274" s="24">
        <v>0.18440000000000001</v>
      </c>
      <c r="L274" s="33">
        <f>VLOOKUP(Table20[[#This Row],[Strategy]],Table29[#All],6,FALSE)</f>
        <v>-1</v>
      </c>
      <c r="M274" s="23">
        <v>1</v>
      </c>
      <c r="N274" s="23">
        <v>2.66</v>
      </c>
      <c r="O274" s="23"/>
      <c r="P274" s="23"/>
      <c r="Q274">
        <f>Table20[[#This Row],[Exit1]]*Table20[[#This Row],[ex1_price]]</f>
        <v>2.66</v>
      </c>
      <c r="R274">
        <f>Table20[[#This Row],[Exit2]]*Table20[[#This Row],[ex2_price]]</f>
        <v>0</v>
      </c>
      <c r="S274">
        <f>IFERROR((Table20[[#This Row],[ex2_amnt]]+Table20[[#This Row],[ex1_amnt]])/(Table20[[#This Row],[Exit2]]+Table20[[#This Row],[Exit1]]),0)</f>
        <v>2.66</v>
      </c>
      <c r="T274" s="5">
        <f>(Table20[[#This Row],[Exit1]]+Table20[[#This Row],[Exit2]])*(Table20[[#This Row],[avg_exit_price]]-Table20[[#This Row],[AvePrice]])*100*Table20[[#This Row],[Buy or Sell]]</f>
        <v>-204</v>
      </c>
      <c r="U274" s="5">
        <f>Table20[[#This Row],[Number of options]]*Table20[[#This Row],[AvePrice]]*100*Table20[[#This Row],[Buy or Sell]]</f>
        <v>470</v>
      </c>
      <c r="V274" s="8">
        <f>Table20[[#This Row],[Number of options]]-Table20[[#This Row],[Exit1]]-Table20[[#This Row],[Exit2]]</f>
        <v>0</v>
      </c>
      <c r="W274" s="30">
        <f ca="1">(Table20[[#This Row],[Expiration Date]]-TODAY())/365</f>
        <v>-1.4356164383561645</v>
      </c>
      <c r="X274" s="30" t="e">
        <f ca="1">(LN(Table20[[#This Row],[Current Price]]/Table20[[#This Row],[strike_price]]) + ($B$2 + (Table20[[#This Row],[Vol]]^2)/2)*Table20[[#This Row],[Time to expiration]]) / (Table20[[#This Row],[Vol]] * SQRT(Table20[[#This Row],[Time to expiration]]))</f>
        <v>#NUM!</v>
      </c>
      <c r="Y274" s="30" t="e">
        <f ca="1">IF(Table20[[#This Row],[Direction]]&gt;0, _xlfn.NORM.S.DIST(Table20[[#This Row],[d1]], TRUE), _xlfn.NORM.S.DIST(Table20[[#This Row],[d1]], TRUE) - 1) * Table20[[#This Row],[Buy or Sell]]</f>
        <v>#NUM!</v>
      </c>
      <c r="Z274" s="9">
        <f ca="1">Table20[[#This Row],[Remaining]]*Table20[[#This Row],[Current Price]]*100</f>
        <v>0</v>
      </c>
      <c r="AA274" s="22">
        <f ca="1">IFERROR(Table20[[#This Row],[nominal_exposure]]*Table20[[#This Row],[Delta]],0)</f>
        <v>0</v>
      </c>
      <c r="AB274" s="30" t="b">
        <f>IF(Table20[[#This Row],[date_purchased]]&lt;&gt;Table20[[#This Row],[Expiration Date]],FALSE,TRUE)</f>
        <v>0</v>
      </c>
      <c r="AC274" s="30" t="str">
        <f>VLOOKUP(Table20[[#This Row],[Asset]],Table19[#All],3,FALSE)</f>
        <v>Financials</v>
      </c>
      <c r="AD274" s="30">
        <f>IF(Table20[[#This Row],[Remaining]]&lt;&gt;0,Table20[[#This Row],[Invested]]*Table20[[#This Row],[Remaining]]/Table20[[#This Row],[Number of options]],0)</f>
        <v>0</v>
      </c>
      <c r="AE274" s="30">
        <f ca="1">SUMIF(Table20[Ticker],Table20[[#This Row],[Ticker]],Table20[realized_profit])</f>
        <v>11</v>
      </c>
      <c r="AF274" s="30" t="str">
        <f>VLOOKUP(Table20[[#This Row],[Strategy]],Table29[#All],7,FALSE)</f>
        <v>Bearish</v>
      </c>
    </row>
    <row r="275" spans="1:32" hidden="1">
      <c r="A275" s="180">
        <v>45576</v>
      </c>
      <c r="B275" s="21" t="e" vm="109">
        <v>#VALUE!</v>
      </c>
      <c r="C275" s="109" t="str" cm="1">
        <f t="array" aca="1" ref="C275" ca="1">_FV(Table20[[#This Row],[Asset]],"Ticker symbol",TRUE)</f>
        <v>XLF</v>
      </c>
      <c r="D275" s="26" cm="1">
        <f t="array" aca="1" ref="D275" ca="1">_FV(Table20[[#This Row],[Asset]],"Price")</f>
        <v>49.465000000000003</v>
      </c>
      <c r="E275" s="26">
        <v>45</v>
      </c>
      <c r="F275" s="33">
        <v>10</v>
      </c>
      <c r="G275" s="34">
        <v>1</v>
      </c>
      <c r="H275" s="34" t="s">
        <v>65</v>
      </c>
      <c r="I275" s="31">
        <v>45541</v>
      </c>
      <c r="J275" s="26">
        <v>1.03</v>
      </c>
      <c r="K275" s="24">
        <v>0.27800000000000002</v>
      </c>
      <c r="L275" s="33">
        <f>VLOOKUP(Table20[[#This Row],[Strategy]],Table29[#All],6,FALSE)</f>
        <v>-1</v>
      </c>
      <c r="M275" s="23">
        <v>5</v>
      </c>
      <c r="N275" s="23">
        <v>1.29</v>
      </c>
      <c r="O275" s="23">
        <v>5</v>
      </c>
      <c r="P275" s="23">
        <v>0.64</v>
      </c>
      <c r="Q275">
        <f>Table20[[#This Row],[Exit1]]*Table20[[#This Row],[ex1_price]]</f>
        <v>6.45</v>
      </c>
      <c r="R275">
        <f>Table20[[#This Row],[Exit2]]*Table20[[#This Row],[ex2_price]]</f>
        <v>3.2</v>
      </c>
      <c r="S275">
        <f>IFERROR((Table20[[#This Row],[ex2_amnt]]+Table20[[#This Row],[ex1_amnt]])/(Table20[[#This Row],[Exit2]]+Table20[[#This Row],[Exit1]]),0)</f>
        <v>0.96500000000000008</v>
      </c>
      <c r="T275" s="5">
        <f>(Table20[[#This Row],[Exit1]]+Table20[[#This Row],[Exit2]])*(Table20[[#This Row],[avg_exit_price]]-Table20[[#This Row],[AvePrice]])*100*Table20[[#This Row],[Buy or Sell]]</f>
        <v>-64.999999999999943</v>
      </c>
      <c r="U275" s="5">
        <f>Table20[[#This Row],[Number of options]]*Table20[[#This Row],[AvePrice]]*100*Table20[[#This Row],[Buy or Sell]]</f>
        <v>1030</v>
      </c>
      <c r="V275" s="8">
        <f>Table20[[#This Row],[Number of options]]-Table20[[#This Row],[Exit1]]-Table20[[#This Row],[Exit2]]</f>
        <v>0</v>
      </c>
      <c r="W275" s="30">
        <f ca="1">(Table20[[#This Row],[Expiration Date]]-TODAY())/365</f>
        <v>-1.4547945205479451</v>
      </c>
      <c r="X275" s="30" t="e">
        <f ca="1">(LN(Table20[[#This Row],[Current Price]]/Table20[[#This Row],[strike_price]]) + ($B$2 + (Table20[[#This Row],[Vol]]^2)/2)*Table20[[#This Row],[Time to expiration]]) / (Table20[[#This Row],[Vol]] * SQRT(Table20[[#This Row],[Time to expiration]]))</f>
        <v>#NUM!</v>
      </c>
      <c r="Y275" s="30" t="e">
        <f ca="1">IF(Table20[[#This Row],[Direction]]&gt;0, _xlfn.NORM.S.DIST(Table20[[#This Row],[d1]], TRUE), _xlfn.NORM.S.DIST(Table20[[#This Row],[d1]], TRUE) - 1) * Table20[[#This Row],[Buy or Sell]]</f>
        <v>#NUM!</v>
      </c>
      <c r="Z275" s="9">
        <f ca="1">Table20[[#This Row],[Remaining]]*Table20[[#This Row],[Current Price]]*100</f>
        <v>0</v>
      </c>
      <c r="AA275" s="22">
        <f ca="1">IFERROR(Table20[[#This Row],[nominal_exposure]]*Table20[[#This Row],[Delta]],0)</f>
        <v>0</v>
      </c>
      <c r="AB275" s="30" t="b">
        <f>IF(Table20[[#This Row],[date_purchased]]&lt;&gt;Table20[[#This Row],[Expiration Date]],FALSE,TRUE)</f>
        <v>0</v>
      </c>
      <c r="AC275" s="30" t="str">
        <f>VLOOKUP(Table20[[#This Row],[Asset]],Table19[#All],3,FALSE)</f>
        <v>Financials</v>
      </c>
      <c r="AD275" s="30">
        <f>IF(Table20[[#This Row],[Remaining]]&lt;&gt;0,Table20[[#This Row],[Invested]]*Table20[[#This Row],[Remaining]]/Table20[[#This Row],[Number of options]],0)</f>
        <v>0</v>
      </c>
      <c r="AE275" s="30">
        <f ca="1">SUMIF(Table20[Ticker],Table20[[#This Row],[Ticker]],Table20[realized_profit])</f>
        <v>-64.999999999999943</v>
      </c>
      <c r="AF275" s="30" t="str">
        <f>VLOOKUP(Table20[[#This Row],[Strategy]],Table29[#All],7,FALSE)</f>
        <v>Bearish</v>
      </c>
    </row>
    <row r="276" spans="1:32" hidden="1">
      <c r="A276" s="180">
        <v>45576</v>
      </c>
      <c r="B276" s="21" t="e" vm="110">
        <v>#VALUE!</v>
      </c>
      <c r="C276" s="109" t="str" cm="1">
        <f t="array" aca="1" ref="C276" ca="1">_FV(Table20[[#This Row],[Asset]],"Ticker symbol",TRUE)</f>
        <v>JPM</v>
      </c>
      <c r="D276" s="26" cm="1">
        <f t="array" aca="1" ref="D276" ca="1">_FV(Table20[[#This Row],[Asset]],"Price")</f>
        <v>295.33</v>
      </c>
      <c r="E276" s="26">
        <v>210</v>
      </c>
      <c r="F276" s="33">
        <v>1</v>
      </c>
      <c r="G276" s="34">
        <v>1</v>
      </c>
      <c r="H276" s="34" t="s">
        <v>113</v>
      </c>
      <c r="I276" s="31">
        <v>45548</v>
      </c>
      <c r="J276" s="26">
        <v>3.9</v>
      </c>
      <c r="K276" s="24">
        <v>0.23</v>
      </c>
      <c r="L276" s="33">
        <f>VLOOKUP(Table20[[#This Row],[Strategy]],Table29[#All],6,FALSE)</f>
        <v>1</v>
      </c>
      <c r="M276" s="23">
        <v>1</v>
      </c>
      <c r="N276" s="23">
        <v>4.3499999999999996</v>
      </c>
      <c r="O276" s="23"/>
      <c r="P276" s="23"/>
      <c r="Q276">
        <f>Table20[[#This Row],[Exit1]]*Table20[[#This Row],[ex1_price]]</f>
        <v>4.3499999999999996</v>
      </c>
      <c r="R276">
        <f>Table20[[#This Row],[Exit2]]*Table20[[#This Row],[ex2_price]]</f>
        <v>0</v>
      </c>
      <c r="S276">
        <f>IFERROR((Table20[[#This Row],[ex2_amnt]]+Table20[[#This Row],[ex1_amnt]])/(Table20[[#This Row],[Exit2]]+Table20[[#This Row],[Exit1]]),0)</f>
        <v>4.3499999999999996</v>
      </c>
      <c r="T276" s="5">
        <f>(Table20[[#This Row],[Exit1]]+Table20[[#This Row],[Exit2]])*(Table20[[#This Row],[avg_exit_price]]-Table20[[#This Row],[AvePrice]])*100*Table20[[#This Row],[Buy or Sell]]</f>
        <v>44.999999999999972</v>
      </c>
      <c r="U276" s="5">
        <f>Table20[[#This Row],[Number of options]]*Table20[[#This Row],[AvePrice]]*100*Table20[[#This Row],[Buy or Sell]]</f>
        <v>390</v>
      </c>
      <c r="V276" s="8">
        <f>Table20[[#This Row],[Number of options]]-Table20[[#This Row],[Exit1]]-Table20[[#This Row],[Exit2]]</f>
        <v>0</v>
      </c>
      <c r="W276" s="30">
        <f ca="1">(Table20[[#This Row],[Expiration Date]]-TODAY())/365</f>
        <v>-1.4547945205479451</v>
      </c>
      <c r="X276" s="30" t="e">
        <f ca="1">(LN(Table20[[#This Row],[Current Price]]/Table20[[#This Row],[strike_price]]) + ($B$2 + (Table20[[#This Row],[Vol]]^2)/2)*Table20[[#This Row],[Time to expiration]]) / (Table20[[#This Row],[Vol]] * SQRT(Table20[[#This Row],[Time to expiration]]))</f>
        <v>#NUM!</v>
      </c>
      <c r="Y276" s="30" t="e">
        <f ca="1">IF(Table20[[#This Row],[Direction]]&gt;0, _xlfn.NORM.S.DIST(Table20[[#This Row],[d1]], TRUE), _xlfn.NORM.S.DIST(Table20[[#This Row],[d1]], TRUE) - 1) * Table20[[#This Row],[Buy or Sell]]</f>
        <v>#NUM!</v>
      </c>
      <c r="Z276" s="9">
        <f ca="1">Table20[[#This Row],[Remaining]]*Table20[[#This Row],[Current Price]]*100</f>
        <v>0</v>
      </c>
      <c r="AA276" s="22">
        <f ca="1">IFERROR(Table20[[#This Row],[nominal_exposure]]*Table20[[#This Row],[Delta]],0)</f>
        <v>0</v>
      </c>
      <c r="AB276" s="30" t="b">
        <f>IF(Table20[[#This Row],[date_purchased]]&lt;&gt;Table20[[#This Row],[Expiration Date]],FALSE,TRUE)</f>
        <v>0</v>
      </c>
      <c r="AC276" s="30" t="str">
        <f>VLOOKUP(Table20[[#This Row],[Asset]],Table19[#All],3,FALSE)</f>
        <v>Financials</v>
      </c>
      <c r="AD276" s="30">
        <f>IF(Table20[[#This Row],[Remaining]]&lt;&gt;0,Table20[[#This Row],[Invested]]*Table20[[#This Row],[Remaining]]/Table20[[#This Row],[Number of options]],0)</f>
        <v>0</v>
      </c>
      <c r="AE276" s="30">
        <f ca="1">SUMIF(Table20[Ticker],Table20[[#This Row],[Ticker]],Table20[realized_profit])</f>
        <v>-1533</v>
      </c>
      <c r="AF276" s="30" t="str">
        <f>VLOOKUP(Table20[[#This Row],[Strategy]],Table29[#All],7,FALSE)</f>
        <v>Bullish</v>
      </c>
    </row>
    <row r="277" spans="1:32" hidden="1">
      <c r="A277" s="180">
        <v>45569</v>
      </c>
      <c r="B277" s="21" t="e" vm="37">
        <v>#VALUE!</v>
      </c>
      <c r="C277" s="109" t="str" cm="1">
        <f t="array" aca="1" ref="C277" ca="1">_FV(Table20[[#This Row],[Asset]],"Ticker symbol",TRUE)</f>
        <v>AMD</v>
      </c>
      <c r="D277" s="26" cm="1">
        <f t="array" aca="1" ref="D277" ca="1">_FV(Table20[[#This Row],[Asset]],"Price")</f>
        <v>218.91</v>
      </c>
      <c r="E277" s="26">
        <v>130</v>
      </c>
      <c r="F277" s="33">
        <v>1</v>
      </c>
      <c r="G277" s="34">
        <v>1</v>
      </c>
      <c r="H277" s="34" t="s">
        <v>65</v>
      </c>
      <c r="I277" s="31">
        <v>45546</v>
      </c>
      <c r="J277" s="26">
        <v>2.17</v>
      </c>
      <c r="K277" s="24">
        <v>0.52</v>
      </c>
      <c r="L277" s="33">
        <f>VLOOKUP(Table20[[#This Row],[Strategy]],Table29[#All],6,FALSE)</f>
        <v>-1</v>
      </c>
      <c r="M277" s="23">
        <v>1</v>
      </c>
      <c r="N277" s="23">
        <v>1.57</v>
      </c>
      <c r="O277" s="23"/>
      <c r="P277" s="23"/>
      <c r="Q277">
        <f>Table20[[#This Row],[Exit1]]*Table20[[#This Row],[ex1_price]]</f>
        <v>1.57</v>
      </c>
      <c r="R277">
        <f>Table20[[#This Row],[Exit2]]*Table20[[#This Row],[ex2_price]]</f>
        <v>0</v>
      </c>
      <c r="S277">
        <f>IFERROR((Table20[[#This Row],[ex2_amnt]]+Table20[[#This Row],[ex1_amnt]])/(Table20[[#This Row],[Exit2]]+Table20[[#This Row],[Exit1]]),0)</f>
        <v>1.57</v>
      </c>
      <c r="T277" s="5">
        <f>(Table20[[#This Row],[Exit1]]+Table20[[#This Row],[Exit2]])*(Table20[[#This Row],[avg_exit_price]]-Table20[[#This Row],[AvePrice]])*100*Table20[[#This Row],[Buy or Sell]]</f>
        <v>-59.999999999999986</v>
      </c>
      <c r="U277" s="5">
        <f>Table20[[#This Row],[Number of options]]*Table20[[#This Row],[AvePrice]]*100*Table20[[#This Row],[Buy or Sell]]</f>
        <v>217</v>
      </c>
      <c r="V277" s="8">
        <f>Table20[[#This Row],[Number of options]]-Table20[[#This Row],[Exit1]]-Table20[[#This Row],[Exit2]]</f>
        <v>0</v>
      </c>
      <c r="W277" s="30">
        <f ca="1">(Table20[[#This Row],[Expiration Date]]-TODAY())/365</f>
        <v>-1.473972602739726</v>
      </c>
      <c r="X277" s="30" t="e">
        <f ca="1">(LN(Table20[[#This Row],[Current Price]]/Table20[[#This Row],[strike_price]]) + ($B$2 + (Table20[[#This Row],[Vol]]^2)/2)*Table20[[#This Row],[Time to expiration]]) / (Table20[[#This Row],[Vol]] * SQRT(Table20[[#This Row],[Time to expiration]]))</f>
        <v>#NUM!</v>
      </c>
      <c r="Y277" s="30" t="e">
        <f ca="1">IF(Table20[[#This Row],[Direction]]&gt;0, _xlfn.NORM.S.DIST(Table20[[#This Row],[d1]], TRUE), _xlfn.NORM.S.DIST(Table20[[#This Row],[d1]], TRUE) - 1) * Table20[[#This Row],[Buy or Sell]]</f>
        <v>#NUM!</v>
      </c>
      <c r="Z277" s="9">
        <f ca="1">Table20[[#This Row],[Remaining]]*Table20[[#This Row],[Current Price]]*100</f>
        <v>0</v>
      </c>
      <c r="AA277" s="22">
        <f ca="1">IFERROR(Table20[[#This Row],[nominal_exposure]]*Table20[[#This Row],[Delta]],0)</f>
        <v>0</v>
      </c>
      <c r="AB277" s="30" t="b">
        <f>IF(Table20[[#This Row],[date_purchased]]&lt;&gt;Table20[[#This Row],[Expiration Date]],FALSE,TRUE)</f>
        <v>0</v>
      </c>
      <c r="AC277" s="30" t="str">
        <f>VLOOKUP(Table20[[#This Row],[Asset]],Table19[#All],3,FALSE)</f>
        <v>AI</v>
      </c>
      <c r="AD277" s="30">
        <f>IF(Table20[[#This Row],[Remaining]]&lt;&gt;0,Table20[[#This Row],[Invested]]*Table20[[#This Row],[Remaining]]/Table20[[#This Row],[Number of options]],0)</f>
        <v>0</v>
      </c>
      <c r="AE277" s="30">
        <f ca="1">SUMIF(Table20[Ticker],Table20[[#This Row],[Ticker]],Table20[realized_profit])</f>
        <v>1567</v>
      </c>
      <c r="AF277" s="30" t="str">
        <f>VLOOKUP(Table20[[#This Row],[Strategy]],Table29[#All],7,FALSE)</f>
        <v>Bearish</v>
      </c>
    </row>
    <row r="278" spans="1:32" hidden="1">
      <c r="A278" s="180">
        <v>45583</v>
      </c>
      <c r="B278" s="21" t="e" vm="432">
        <v>#VALUE!</v>
      </c>
      <c r="C278" s="109" t="str" cm="1">
        <f t="array" aca="1" ref="C278" ca="1">_FV(Table20[[#This Row],[Asset]],"Ticker symbol",TRUE)</f>
        <v>AIG</v>
      </c>
      <c r="D278" s="26" cm="1">
        <f t="array" aca="1" ref="D278" ca="1">_FV(Table20[[#This Row],[Asset]],"Price")</f>
        <v>75.099999999999994</v>
      </c>
      <c r="E278" s="26">
        <v>70</v>
      </c>
      <c r="F278" s="33">
        <v>2</v>
      </c>
      <c r="G278" s="34">
        <v>1</v>
      </c>
      <c r="H278" s="34" t="s">
        <v>65</v>
      </c>
      <c r="I278" s="31">
        <v>45541</v>
      </c>
      <c r="J278" s="26">
        <v>1.5</v>
      </c>
      <c r="K278" s="24">
        <v>0.27379999999999999</v>
      </c>
      <c r="L278" s="33">
        <f>VLOOKUP(Table20[[#This Row],[Strategy]],Table29[#All],6,FALSE)</f>
        <v>-1</v>
      </c>
      <c r="M278" s="23">
        <v>2</v>
      </c>
      <c r="N278" s="23">
        <v>0.65</v>
      </c>
      <c r="O278" s="23"/>
      <c r="P278" s="23"/>
      <c r="Q278">
        <f>Table20[[#This Row],[Exit1]]*Table20[[#This Row],[ex1_price]]</f>
        <v>1.3</v>
      </c>
      <c r="R278">
        <f>Table20[[#This Row],[Exit2]]*Table20[[#This Row],[ex2_price]]</f>
        <v>0</v>
      </c>
      <c r="S278">
        <f>IFERROR((Table20[[#This Row],[ex2_amnt]]+Table20[[#This Row],[ex1_amnt]])/(Table20[[#This Row],[Exit2]]+Table20[[#This Row],[Exit1]]),0)</f>
        <v>0.65</v>
      </c>
      <c r="T278" s="5">
        <f>(Table20[[#This Row],[Exit1]]+Table20[[#This Row],[Exit2]])*(Table20[[#This Row],[avg_exit_price]]-Table20[[#This Row],[AvePrice]])*100*Table20[[#This Row],[Buy or Sell]]</f>
        <v>-170</v>
      </c>
      <c r="U278" s="5">
        <f>Table20[[#This Row],[Number of options]]*Table20[[#This Row],[AvePrice]]*100*Table20[[#This Row],[Buy or Sell]]</f>
        <v>300</v>
      </c>
      <c r="V278" s="8">
        <f>Table20[[#This Row],[Number of options]]-Table20[[#This Row],[Exit1]]-Table20[[#This Row],[Exit2]]</f>
        <v>0</v>
      </c>
      <c r="W278" s="30">
        <f ca="1">(Table20[[#This Row],[Expiration Date]]-TODAY())/365</f>
        <v>-1.4356164383561645</v>
      </c>
      <c r="X278" s="30" t="e">
        <f ca="1">(LN(Table20[[#This Row],[Current Price]]/Table20[[#This Row],[strike_price]]) + ($B$2 + (Table20[[#This Row],[Vol]]^2)/2)*Table20[[#This Row],[Time to expiration]]) / (Table20[[#This Row],[Vol]] * SQRT(Table20[[#This Row],[Time to expiration]]))</f>
        <v>#NUM!</v>
      </c>
      <c r="Y278" s="30" t="e">
        <f ca="1">IF(Table20[[#This Row],[Direction]]&gt;0, _xlfn.NORM.S.DIST(Table20[[#This Row],[d1]], TRUE), _xlfn.NORM.S.DIST(Table20[[#This Row],[d1]], TRUE) - 1) * Table20[[#This Row],[Buy or Sell]]</f>
        <v>#NUM!</v>
      </c>
      <c r="Z278" s="9">
        <f ca="1">Table20[[#This Row],[Remaining]]*Table20[[#This Row],[Current Price]]*100</f>
        <v>0</v>
      </c>
      <c r="AA278" s="22">
        <f ca="1">IFERROR(Table20[[#This Row],[nominal_exposure]]*Table20[[#This Row],[Delta]],0)</f>
        <v>0</v>
      </c>
      <c r="AB278" s="30" t="b">
        <f>IF(Table20[[#This Row],[date_purchased]]&lt;&gt;Table20[[#This Row],[Expiration Date]],FALSE,TRUE)</f>
        <v>0</v>
      </c>
      <c r="AC278" s="30" t="str">
        <f>VLOOKUP(Table20[[#This Row],[Asset]],Table19[#All],3,FALSE)</f>
        <v>Insurance</v>
      </c>
      <c r="AD278" s="30">
        <f>IF(Table20[[#This Row],[Remaining]]&lt;&gt;0,Table20[[#This Row],[Invested]]*Table20[[#This Row],[Remaining]]/Table20[[#This Row],[Number of options]],0)</f>
        <v>0</v>
      </c>
      <c r="AE278" s="30">
        <f ca="1">SUMIF(Table20[Ticker],Table20[[#This Row],[Ticker]],Table20[realized_profit])</f>
        <v>-170</v>
      </c>
      <c r="AF278" s="30" t="str">
        <f>VLOOKUP(Table20[[#This Row],[Strategy]],Table29[#All],7,FALSE)</f>
        <v>Bearish</v>
      </c>
    </row>
    <row r="279" spans="1:32" hidden="1">
      <c r="A279" s="180">
        <v>45583</v>
      </c>
      <c r="B279" s="21" t="e" vm="106">
        <v>#VALUE!</v>
      </c>
      <c r="C279" s="109" t="str" cm="1">
        <f t="array" aca="1" ref="C279" ca="1">_FV(Table20[[#This Row],[Asset]],"Ticker symbol",TRUE)</f>
        <v>GLD</v>
      </c>
      <c r="D279" s="26" cm="1">
        <f t="array" aca="1" ref="D279" ca="1">_FV(Table20[[#This Row],[Asset]],"Price")</f>
        <v>419.54</v>
      </c>
      <c r="E279" s="26">
        <v>240</v>
      </c>
      <c r="F279" s="33">
        <v>1</v>
      </c>
      <c r="G279" s="34">
        <v>1</v>
      </c>
      <c r="H279" s="34" t="s">
        <v>65</v>
      </c>
      <c r="I279" s="31">
        <v>45553</v>
      </c>
      <c r="J279" s="26">
        <v>4.25</v>
      </c>
      <c r="K279" s="24">
        <v>0.16</v>
      </c>
      <c r="L279" s="33">
        <f>VLOOKUP(Table20[[#This Row],[Strategy]],Table29[#All],6,FALSE)</f>
        <v>-1</v>
      </c>
      <c r="M279" s="23">
        <v>1</v>
      </c>
      <c r="N279" s="23">
        <v>3.35</v>
      </c>
      <c r="O279" s="23"/>
      <c r="P279" s="23"/>
      <c r="Q279">
        <f>Table20[[#This Row],[Exit1]]*Table20[[#This Row],[ex1_price]]</f>
        <v>3.35</v>
      </c>
      <c r="R279">
        <f>Table20[[#This Row],[Exit2]]*Table20[[#This Row],[ex2_price]]</f>
        <v>0</v>
      </c>
      <c r="S279">
        <f>IFERROR((Table20[[#This Row],[ex2_amnt]]+Table20[[#This Row],[ex1_amnt]])/(Table20[[#This Row],[Exit2]]+Table20[[#This Row],[Exit1]]),0)</f>
        <v>3.35</v>
      </c>
      <c r="T279" s="5">
        <f>(Table20[[#This Row],[Exit1]]+Table20[[#This Row],[Exit2]])*(Table20[[#This Row],[avg_exit_price]]-Table20[[#This Row],[AvePrice]])*100*Table20[[#This Row],[Buy or Sell]]</f>
        <v>-89.999999999999986</v>
      </c>
      <c r="U279" s="5">
        <f>Table20[[#This Row],[Number of options]]*Table20[[#This Row],[AvePrice]]*100*Table20[[#This Row],[Buy or Sell]]</f>
        <v>425</v>
      </c>
      <c r="V279" s="8">
        <f>Table20[[#This Row],[Number of options]]-Table20[[#This Row],[Exit1]]-Table20[[#This Row],[Exit2]]</f>
        <v>0</v>
      </c>
      <c r="W279" s="30">
        <f ca="1">(Table20[[#This Row],[Expiration Date]]-TODAY())/365</f>
        <v>-1.4356164383561645</v>
      </c>
      <c r="X279" s="30" t="e">
        <f ca="1">(LN(Table20[[#This Row],[Current Price]]/Table20[[#This Row],[strike_price]]) + ($B$2 + (Table20[[#This Row],[Vol]]^2)/2)*Table20[[#This Row],[Time to expiration]]) / (Table20[[#This Row],[Vol]] * SQRT(Table20[[#This Row],[Time to expiration]]))</f>
        <v>#NUM!</v>
      </c>
      <c r="Y279" s="30" t="e">
        <f ca="1">IF(Table20[[#This Row],[Direction]]&gt;0, _xlfn.NORM.S.DIST(Table20[[#This Row],[d1]], TRUE), _xlfn.NORM.S.DIST(Table20[[#This Row],[d1]], TRUE) - 1) * Table20[[#This Row],[Buy or Sell]]</f>
        <v>#NUM!</v>
      </c>
      <c r="Z279" s="9">
        <f ca="1">Table20[[#This Row],[Remaining]]*Table20[[#This Row],[Current Price]]*100</f>
        <v>0</v>
      </c>
      <c r="AA279" s="22">
        <f ca="1">IFERROR(Table20[[#This Row],[nominal_exposure]]*Table20[[#This Row],[Delta]],0)</f>
        <v>0</v>
      </c>
      <c r="AB279" s="30" t="b">
        <f>IF(Table20[[#This Row],[date_purchased]]&lt;&gt;Table20[[#This Row],[Expiration Date]],FALSE,TRUE)</f>
        <v>0</v>
      </c>
      <c r="AC279" s="30" t="str">
        <f>VLOOKUP(Table20[[#This Row],[Asset]],Table19[#All],3,FALSE)</f>
        <v>Gold and Silver</v>
      </c>
      <c r="AD279" s="30">
        <f>IF(Table20[[#This Row],[Remaining]]&lt;&gt;0,Table20[[#This Row],[Invested]]*Table20[[#This Row],[Remaining]]/Table20[[#This Row],[Number of options]],0)</f>
        <v>0</v>
      </c>
      <c r="AE279" s="30">
        <f ca="1">SUMIF(Table20[Ticker],Table20[[#This Row],[Ticker]],Table20[realized_profit])</f>
        <v>228</v>
      </c>
      <c r="AF279" s="30" t="str">
        <f>VLOOKUP(Table20[[#This Row],[Strategy]],Table29[#All],7,FALSE)</f>
        <v>Bearish</v>
      </c>
    </row>
    <row r="280" spans="1:32" hidden="1">
      <c r="A280" s="180">
        <v>45674</v>
      </c>
      <c r="B280" s="21" t="e" vm="16">
        <v>#VALUE!</v>
      </c>
      <c r="C280" s="109" t="str" cm="1">
        <f t="array" aca="1" ref="C280" ca="1">_FV(Table20[[#This Row],[Asset]],"Ticker symbol",TRUE)</f>
        <v>GOOG</v>
      </c>
      <c r="D280" s="26" cm="1">
        <f t="array" aca="1" ref="D280" ca="1">_FV(Table20[[#This Row],[Asset]],"Price")</f>
        <v>290.39</v>
      </c>
      <c r="E280" s="26">
        <v>175</v>
      </c>
      <c r="F280" s="33">
        <v>1</v>
      </c>
      <c r="G280" s="34">
        <v>1</v>
      </c>
      <c r="H280" s="34" t="s">
        <v>113</v>
      </c>
      <c r="I280" s="31">
        <v>45546</v>
      </c>
      <c r="J280" s="26">
        <v>3.3</v>
      </c>
      <c r="K280" s="24">
        <v>0.28499999999999998</v>
      </c>
      <c r="L280" s="33">
        <f>VLOOKUP(Table20[[#This Row],[Strategy]],Table29[#All],6,FALSE)</f>
        <v>1</v>
      </c>
      <c r="M280" s="23">
        <v>1</v>
      </c>
      <c r="N280" s="23">
        <v>5.35</v>
      </c>
      <c r="O280" s="23"/>
      <c r="P280" s="23"/>
      <c r="Q280">
        <f>Table20[[#This Row],[Exit1]]*Table20[[#This Row],[ex1_price]]</f>
        <v>5.35</v>
      </c>
      <c r="R280">
        <f>Table20[[#This Row],[Exit2]]*Table20[[#This Row],[ex2_price]]</f>
        <v>0</v>
      </c>
      <c r="S280">
        <f>IFERROR((Table20[[#This Row],[ex2_amnt]]+Table20[[#This Row],[ex1_amnt]])/(Table20[[#This Row],[Exit2]]+Table20[[#This Row],[Exit1]]),0)</f>
        <v>5.35</v>
      </c>
      <c r="T280" s="5">
        <f>(Table20[[#This Row],[Exit1]]+Table20[[#This Row],[Exit2]])*(Table20[[#This Row],[avg_exit_price]]-Table20[[#This Row],[AvePrice]])*100*Table20[[#This Row],[Buy or Sell]]</f>
        <v>204.99999999999997</v>
      </c>
      <c r="U280" s="5">
        <f>Table20[[#This Row],[Number of options]]*Table20[[#This Row],[AvePrice]]*100*Table20[[#This Row],[Buy or Sell]]</f>
        <v>330</v>
      </c>
      <c r="V280" s="8">
        <f>Table20[[#This Row],[Number of options]]-Table20[[#This Row],[Exit1]]-Table20[[#This Row],[Exit2]]</f>
        <v>0</v>
      </c>
      <c r="W280" s="30">
        <f ca="1">(Table20[[#This Row],[Expiration Date]]-TODAY())/365</f>
        <v>-1.1863013698630136</v>
      </c>
      <c r="X280" s="30" t="e">
        <f ca="1">(LN(Table20[[#This Row],[Current Price]]/Table20[[#This Row],[strike_price]]) + ($B$2 + (Table20[[#This Row],[Vol]]^2)/2)*Table20[[#This Row],[Time to expiration]]) / (Table20[[#This Row],[Vol]] * SQRT(Table20[[#This Row],[Time to expiration]]))</f>
        <v>#NUM!</v>
      </c>
      <c r="Y280" s="30" t="e">
        <f ca="1">IF(Table20[[#This Row],[Direction]]&gt;0, _xlfn.NORM.S.DIST(Table20[[#This Row],[d1]], TRUE), _xlfn.NORM.S.DIST(Table20[[#This Row],[d1]], TRUE) - 1) * Table20[[#This Row],[Buy or Sell]]</f>
        <v>#NUM!</v>
      </c>
      <c r="Z280" s="9">
        <f ca="1">Table20[[#This Row],[Remaining]]*Table20[[#This Row],[Current Price]]*100</f>
        <v>0</v>
      </c>
      <c r="AA280" s="22">
        <f ca="1">IFERROR(Table20[[#This Row],[nominal_exposure]]*Table20[[#This Row],[Delta]],0)</f>
        <v>0</v>
      </c>
      <c r="AB280" s="30" t="b">
        <f>IF(Table20[[#This Row],[date_purchased]]&lt;&gt;Table20[[#This Row],[Expiration Date]],FALSE,TRUE)</f>
        <v>0</v>
      </c>
      <c r="AC280" s="30" t="str">
        <f>VLOOKUP(Table20[[#This Row],[Asset]],Table19[#All],3,FALSE)</f>
        <v>AI</v>
      </c>
      <c r="AD280" s="30">
        <f>IF(Table20[[#This Row],[Remaining]]&lt;&gt;0,Table20[[#This Row],[Invested]]*Table20[[#This Row],[Remaining]]/Table20[[#This Row],[Number of options]],0)</f>
        <v>0</v>
      </c>
      <c r="AE280" s="30">
        <f ca="1">SUMIF(Table20[Ticker],Table20[[#This Row],[Ticker]],Table20[realized_profit])</f>
        <v>4148.03</v>
      </c>
      <c r="AF280" s="30" t="str">
        <f>VLOOKUP(Table20[[#This Row],[Strategy]],Table29[#All],7,FALSE)</f>
        <v>Bullish</v>
      </c>
    </row>
    <row r="281" spans="1:32" hidden="1">
      <c r="A281" s="180">
        <v>45555</v>
      </c>
      <c r="B281" s="21" t="e" vm="96">
        <v>#VALUE!</v>
      </c>
      <c r="C281" s="109" t="str" cm="1">
        <f t="array" aca="1" ref="C281" ca="1">_FV(Table20[[#This Row],[Asset]],"Ticker symbol",TRUE)</f>
        <v>SPY</v>
      </c>
      <c r="D281" s="26" cm="1">
        <f t="array" aca="1" ref="D281" ca="1">_FV(Table20[[#This Row],[Asset]],"Price")</f>
        <v>658.59</v>
      </c>
      <c r="E281" s="26">
        <v>530</v>
      </c>
      <c r="F281" s="33">
        <v>1</v>
      </c>
      <c r="G281" s="34">
        <v>-1</v>
      </c>
      <c r="H281" s="34" t="s">
        <v>161</v>
      </c>
      <c r="I281" s="31">
        <v>45544</v>
      </c>
      <c r="J281" s="26">
        <v>2.19</v>
      </c>
      <c r="K281" s="24">
        <v>0.23100000000000001</v>
      </c>
      <c r="L281" s="33">
        <f>VLOOKUP(Table20[[#This Row],[Strategy]],Table29[#All],6,FALSE)</f>
        <v>-1</v>
      </c>
      <c r="M281" s="23">
        <v>1</v>
      </c>
      <c r="N281" s="23">
        <v>1</v>
      </c>
      <c r="O281" s="23"/>
      <c r="P281" s="23"/>
      <c r="Q281">
        <f>Table20[[#This Row],[Exit1]]*Table20[[#This Row],[ex1_price]]</f>
        <v>1</v>
      </c>
      <c r="R281">
        <f>Table20[[#This Row],[Exit2]]*Table20[[#This Row],[ex2_price]]</f>
        <v>0</v>
      </c>
      <c r="S281">
        <f>IFERROR((Table20[[#This Row],[ex2_amnt]]+Table20[[#This Row],[ex1_amnt]])/(Table20[[#This Row],[Exit2]]+Table20[[#This Row],[Exit1]]),0)</f>
        <v>1</v>
      </c>
      <c r="T281" s="5">
        <f>(Table20[[#This Row],[Exit1]]+Table20[[#This Row],[Exit2]])*(Table20[[#This Row],[avg_exit_price]]-Table20[[#This Row],[AvePrice]])*100*Table20[[#This Row],[Buy or Sell]]</f>
        <v>119</v>
      </c>
      <c r="U281" s="5">
        <f>Table20[[#This Row],[Number of options]]*Table20[[#This Row],[AvePrice]]*100*Table20[[#This Row],[Buy or Sell]]</f>
        <v>-219</v>
      </c>
      <c r="V281" s="8">
        <f>Table20[[#This Row],[Number of options]]-Table20[[#This Row],[Exit1]]-Table20[[#This Row],[Exit2]]</f>
        <v>0</v>
      </c>
      <c r="W281" s="30">
        <f ca="1">(Table20[[#This Row],[Expiration Date]]-TODAY())/365</f>
        <v>-1.5123287671232877</v>
      </c>
      <c r="X281" s="30" t="e">
        <f ca="1">(LN(Table20[[#This Row],[Current Price]]/Table20[[#This Row],[strike_price]]) + ($B$2 + (Table20[[#This Row],[Vol]]^2)/2)*Table20[[#This Row],[Time to expiration]]) / (Table20[[#This Row],[Vol]] * SQRT(Table20[[#This Row],[Time to expiration]]))</f>
        <v>#NUM!</v>
      </c>
      <c r="Y281" s="30" t="e">
        <f ca="1">IF(Table20[[#This Row],[Direction]]&gt;0, _xlfn.NORM.S.DIST(Table20[[#This Row],[d1]], TRUE), _xlfn.NORM.S.DIST(Table20[[#This Row],[d1]], TRUE) - 1) * Table20[[#This Row],[Buy or Sell]]</f>
        <v>#NUM!</v>
      </c>
      <c r="Z281" s="9">
        <f ca="1">Table20[[#This Row],[Remaining]]*Table20[[#This Row],[Current Price]]*100</f>
        <v>0</v>
      </c>
      <c r="AA281" s="22">
        <f ca="1">IFERROR(Table20[[#This Row],[nominal_exposure]]*Table20[[#This Row],[Delta]],0)</f>
        <v>0</v>
      </c>
      <c r="AB281" s="30" t="b">
        <f>IF(Table20[[#This Row],[date_purchased]]&lt;&gt;Table20[[#This Row],[Expiration Date]],FALSE,TRUE)</f>
        <v>0</v>
      </c>
      <c r="AC281" s="30" t="str">
        <f>VLOOKUP(Table20[[#This Row],[Asset]],Table19[#All],3,FALSE)</f>
        <v>Market</v>
      </c>
      <c r="AD281" s="30">
        <f>IF(Table20[[#This Row],[Remaining]]&lt;&gt;0,Table20[[#This Row],[Invested]]*Table20[[#This Row],[Remaining]]/Table20[[#This Row],[Number of options]],0)</f>
        <v>0</v>
      </c>
      <c r="AE281" s="30">
        <f ca="1">SUMIF(Table20[Ticker],Table20[[#This Row],[Ticker]],Table20[realized_profit])</f>
        <v>-5077</v>
      </c>
      <c r="AF281" s="30" t="str">
        <f>VLOOKUP(Table20[[#This Row],[Strategy]],Table29[#All],7,FALSE)</f>
        <v>Bearish</v>
      </c>
    </row>
    <row r="282" spans="1:32" hidden="1">
      <c r="A282" s="180">
        <v>45562</v>
      </c>
      <c r="B282" s="21" t="e" vm="32">
        <v>#VALUE!</v>
      </c>
      <c r="C282" s="109" t="str" cm="1">
        <f t="array" aca="1" ref="C282" ca="1">_FV(Table20[[#This Row],[Asset]],"Ticker symbol",TRUE)</f>
        <v>MU</v>
      </c>
      <c r="D282" s="26" cm="1">
        <f t="array" aca="1" ref="D282" ca="1">_FV(Table20[[#This Row],[Asset]],"Price")</f>
        <v>381.57</v>
      </c>
      <c r="E282" s="26">
        <v>100</v>
      </c>
      <c r="F282" s="33">
        <v>4</v>
      </c>
      <c r="G282" s="34">
        <v>-1</v>
      </c>
      <c r="H282" s="34" t="s">
        <v>115</v>
      </c>
      <c r="I282" s="31">
        <v>45553</v>
      </c>
      <c r="J282" s="26">
        <v>1.1299999999999999</v>
      </c>
      <c r="K282" s="24">
        <v>0.85419999999999996</v>
      </c>
      <c r="L282" s="33">
        <f>VLOOKUP(Table20[[#This Row],[Strategy]],Table29[#All],6,FALSE)</f>
        <v>1</v>
      </c>
      <c r="M282" s="23">
        <v>4</v>
      </c>
      <c r="N282" s="23">
        <v>2.38</v>
      </c>
      <c r="O282" s="23"/>
      <c r="P282" s="23"/>
      <c r="Q282">
        <f>Table20[[#This Row],[Exit1]]*Table20[[#This Row],[ex1_price]]</f>
        <v>9.52</v>
      </c>
      <c r="R282">
        <f>Table20[[#This Row],[Exit2]]*Table20[[#This Row],[ex2_price]]</f>
        <v>0</v>
      </c>
      <c r="S282">
        <f>IFERROR((Table20[[#This Row],[ex2_amnt]]+Table20[[#This Row],[ex1_amnt]])/(Table20[[#This Row],[Exit2]]+Table20[[#This Row],[Exit1]]),0)</f>
        <v>2.38</v>
      </c>
      <c r="T282" s="5">
        <f>(Table20[[#This Row],[Exit1]]+Table20[[#This Row],[Exit2]])*(Table20[[#This Row],[avg_exit_price]]-Table20[[#This Row],[AvePrice]])*100*Table20[[#This Row],[Buy or Sell]]</f>
        <v>-500</v>
      </c>
      <c r="U282" s="5">
        <f>Table20[[#This Row],[Number of options]]*Table20[[#This Row],[AvePrice]]*100*Table20[[#This Row],[Buy or Sell]]</f>
        <v>-451.99999999999994</v>
      </c>
      <c r="V282" s="8">
        <f>Table20[[#This Row],[Number of options]]-Table20[[#This Row],[Exit1]]-Table20[[#This Row],[Exit2]]</f>
        <v>0</v>
      </c>
      <c r="W282" s="30">
        <f ca="1">(Table20[[#This Row],[Expiration Date]]-TODAY())/365</f>
        <v>-1.4931506849315068</v>
      </c>
      <c r="X282" s="30" t="e">
        <f ca="1">(LN(Table20[[#This Row],[Current Price]]/Table20[[#This Row],[strike_price]]) + ($B$2 + (Table20[[#This Row],[Vol]]^2)/2)*Table20[[#This Row],[Time to expiration]]) / (Table20[[#This Row],[Vol]] * SQRT(Table20[[#This Row],[Time to expiration]]))</f>
        <v>#NUM!</v>
      </c>
      <c r="Y282" s="30" t="e">
        <f ca="1">IF(Table20[[#This Row],[Direction]]&gt;0, _xlfn.NORM.S.DIST(Table20[[#This Row],[d1]], TRUE), _xlfn.NORM.S.DIST(Table20[[#This Row],[d1]], TRUE) - 1) * Table20[[#This Row],[Buy or Sell]]</f>
        <v>#NUM!</v>
      </c>
      <c r="Z282" s="9">
        <f ca="1">Table20[[#This Row],[Remaining]]*Table20[[#This Row],[Current Price]]*100</f>
        <v>0</v>
      </c>
      <c r="AA282" s="22">
        <f ca="1">IFERROR(Table20[[#This Row],[nominal_exposure]]*Table20[[#This Row],[Delta]],0)</f>
        <v>0</v>
      </c>
      <c r="AB282" s="30" t="b">
        <f>IF(Table20[[#This Row],[date_purchased]]&lt;&gt;Table20[[#This Row],[Expiration Date]],FALSE,TRUE)</f>
        <v>0</v>
      </c>
      <c r="AC282" s="30" t="str">
        <f>VLOOKUP(Table20[[#This Row],[Asset]],Table19[#All],3,FALSE)</f>
        <v>AI</v>
      </c>
      <c r="AD282" s="30">
        <f>IF(Table20[[#This Row],[Remaining]]&lt;&gt;0,Table20[[#This Row],[Invested]]*Table20[[#This Row],[Remaining]]/Table20[[#This Row],[Number of options]],0)</f>
        <v>0</v>
      </c>
      <c r="AE282" s="30">
        <f ca="1">SUMIF(Table20[Ticker],Table20[[#This Row],[Ticker]],Table20[realized_profit])</f>
        <v>-4181</v>
      </c>
      <c r="AF282" s="30" t="str">
        <f>VLOOKUP(Table20[[#This Row],[Strategy]],Table29[#All],7,FALSE)</f>
        <v>Bullish</v>
      </c>
    </row>
    <row r="283" spans="1:32" hidden="1">
      <c r="A283" s="180">
        <v>45562</v>
      </c>
      <c r="B283" s="21" t="e" vm="32">
        <v>#VALUE!</v>
      </c>
      <c r="C283" s="109" t="str" cm="1">
        <f t="array" aca="1" ref="C283" ca="1">_FV(Table20[[#This Row],[Asset]],"Ticker symbol",TRUE)</f>
        <v>MU</v>
      </c>
      <c r="D283" s="26" cm="1">
        <f t="array" aca="1" ref="D283" ca="1">_FV(Table20[[#This Row],[Asset]],"Price")</f>
        <v>381.57</v>
      </c>
      <c r="E283" s="26">
        <v>95</v>
      </c>
      <c r="F283" s="33">
        <v>4</v>
      </c>
      <c r="G283" s="34">
        <v>1</v>
      </c>
      <c r="H283" s="34" t="s">
        <v>114</v>
      </c>
      <c r="I283" s="31">
        <v>45554</v>
      </c>
      <c r="J283" s="26">
        <v>2.42</v>
      </c>
      <c r="K283" s="24">
        <v>0.94</v>
      </c>
      <c r="L283" s="33">
        <f>VLOOKUP(Table20[[#This Row],[Strategy]],Table29[#All],6,FALSE)</f>
        <v>1</v>
      </c>
      <c r="M283" s="23">
        <v>4</v>
      </c>
      <c r="N283" s="23">
        <v>3.71</v>
      </c>
      <c r="O283" s="23"/>
      <c r="P283" s="23"/>
      <c r="Q283">
        <f>Table20[[#This Row],[Exit1]]*Table20[[#This Row],[ex1_price]]</f>
        <v>14.84</v>
      </c>
      <c r="R283">
        <f>Table20[[#This Row],[Exit2]]*Table20[[#This Row],[ex2_price]]</f>
        <v>0</v>
      </c>
      <c r="S283">
        <f>IFERROR((Table20[[#This Row],[ex2_amnt]]+Table20[[#This Row],[ex1_amnt]])/(Table20[[#This Row],[Exit2]]+Table20[[#This Row],[Exit1]]),0)</f>
        <v>3.71</v>
      </c>
      <c r="T283" s="5">
        <f>(Table20[[#This Row],[Exit1]]+Table20[[#This Row],[Exit2]])*(Table20[[#This Row],[avg_exit_price]]-Table20[[#This Row],[AvePrice]])*100*Table20[[#This Row],[Buy or Sell]]</f>
        <v>516</v>
      </c>
      <c r="U283" s="5">
        <f>Table20[[#This Row],[Number of options]]*Table20[[#This Row],[AvePrice]]*100*Table20[[#This Row],[Buy or Sell]]</f>
        <v>968</v>
      </c>
      <c r="V283" s="8">
        <f>Table20[[#This Row],[Number of options]]-Table20[[#This Row],[Exit1]]-Table20[[#This Row],[Exit2]]</f>
        <v>0</v>
      </c>
      <c r="W283" s="30">
        <f ca="1">(Table20[[#This Row],[Expiration Date]]-TODAY())/365</f>
        <v>-1.4931506849315068</v>
      </c>
      <c r="X283" s="30" t="e">
        <f ca="1">(LN(Table20[[#This Row],[Current Price]]/Table20[[#This Row],[strike_price]]) + ($B$2 + (Table20[[#This Row],[Vol]]^2)/2)*Table20[[#This Row],[Time to expiration]]) / (Table20[[#This Row],[Vol]] * SQRT(Table20[[#This Row],[Time to expiration]]))</f>
        <v>#NUM!</v>
      </c>
      <c r="Y283" s="30" t="e">
        <f ca="1">IF(Table20[[#This Row],[Direction]]&gt;0, _xlfn.NORM.S.DIST(Table20[[#This Row],[d1]], TRUE), _xlfn.NORM.S.DIST(Table20[[#This Row],[d1]], TRUE) - 1) * Table20[[#This Row],[Buy or Sell]]</f>
        <v>#NUM!</v>
      </c>
      <c r="Z283" s="9">
        <f ca="1">Table20[[#This Row],[Remaining]]*Table20[[#This Row],[Current Price]]*100</f>
        <v>0</v>
      </c>
      <c r="AA283" s="22">
        <f ca="1">IFERROR(Table20[[#This Row],[nominal_exposure]]*Table20[[#This Row],[Delta]],0)</f>
        <v>0</v>
      </c>
      <c r="AB283" s="30" t="b">
        <f>IF(Table20[[#This Row],[date_purchased]]&lt;&gt;Table20[[#This Row],[Expiration Date]],FALSE,TRUE)</f>
        <v>0</v>
      </c>
      <c r="AC283" s="30" t="str">
        <f>VLOOKUP(Table20[[#This Row],[Asset]],Table19[#All],3,FALSE)</f>
        <v>AI</v>
      </c>
      <c r="AD283" s="30">
        <f>IF(Table20[[#This Row],[Remaining]]&lt;&gt;0,Table20[[#This Row],[Invested]]*Table20[[#This Row],[Remaining]]/Table20[[#This Row],[Number of options]],0)</f>
        <v>0</v>
      </c>
      <c r="AE283" s="30">
        <f ca="1">SUMIF(Table20[Ticker],Table20[[#This Row],[Ticker]],Table20[realized_profit])</f>
        <v>-4181</v>
      </c>
      <c r="AF283" s="30" t="str">
        <f>VLOOKUP(Table20[[#This Row],[Strategy]],Table29[#All],7,FALSE)</f>
        <v>Bullish</v>
      </c>
    </row>
    <row r="284" spans="1:32" hidden="1">
      <c r="A284" s="180">
        <v>45576</v>
      </c>
      <c r="B284" s="21" t="e" vm="13">
        <v>#VALUE!</v>
      </c>
      <c r="C284" s="109" t="str" cm="1">
        <f t="array" aca="1" ref="C284" ca="1">_FV(Table20[[#This Row],[Asset]],"Ticker symbol",TRUE)</f>
        <v>ON</v>
      </c>
      <c r="D284" s="26" cm="1">
        <f t="array" aca="1" ref="D284" ca="1">_FV(Table20[[#This Row],[Asset]],"Price")</f>
        <v>63.68</v>
      </c>
      <c r="E284" s="26">
        <v>80</v>
      </c>
      <c r="F284" s="33">
        <v>2</v>
      </c>
      <c r="G284" s="34">
        <v>1</v>
      </c>
      <c r="H284" s="34" t="s">
        <v>113</v>
      </c>
      <c r="I284" s="31">
        <v>45548</v>
      </c>
      <c r="J284" s="26">
        <v>1.1200000000000001</v>
      </c>
      <c r="K284" s="24">
        <v>0.44109999999999999</v>
      </c>
      <c r="L284" s="33">
        <f>VLOOKUP(Table20[[#This Row],[Strategy]],Table29[#All],6,FALSE)</f>
        <v>1</v>
      </c>
      <c r="M284" s="23">
        <v>2</v>
      </c>
      <c r="N284" s="23">
        <v>0.45</v>
      </c>
      <c r="O284" s="23"/>
      <c r="P284" s="23"/>
      <c r="Q284">
        <f>Table20[[#This Row],[Exit1]]*Table20[[#This Row],[ex1_price]]</f>
        <v>0.9</v>
      </c>
      <c r="R284">
        <f>Table20[[#This Row],[Exit2]]*Table20[[#This Row],[ex2_price]]</f>
        <v>0</v>
      </c>
      <c r="S284">
        <f>IFERROR((Table20[[#This Row],[ex2_amnt]]+Table20[[#This Row],[ex1_amnt]])/(Table20[[#This Row],[Exit2]]+Table20[[#This Row],[Exit1]]),0)</f>
        <v>0.45</v>
      </c>
      <c r="T284" s="5">
        <f>(Table20[[#This Row],[Exit1]]+Table20[[#This Row],[Exit2]])*(Table20[[#This Row],[avg_exit_price]]-Table20[[#This Row],[AvePrice]])*100*Table20[[#This Row],[Buy or Sell]]</f>
        <v>-134.00000000000003</v>
      </c>
      <c r="U284" s="5">
        <f>Table20[[#This Row],[Number of options]]*Table20[[#This Row],[AvePrice]]*100*Table20[[#This Row],[Buy or Sell]]</f>
        <v>224.00000000000003</v>
      </c>
      <c r="V284" s="8">
        <f>Table20[[#This Row],[Number of options]]-Table20[[#This Row],[Exit1]]-Table20[[#This Row],[Exit2]]</f>
        <v>0</v>
      </c>
      <c r="W284" s="30">
        <f ca="1">(Table20[[#This Row],[Expiration Date]]-TODAY())/365</f>
        <v>-1.4547945205479451</v>
      </c>
      <c r="X284" s="30" t="e">
        <f ca="1">(LN(Table20[[#This Row],[Current Price]]/Table20[[#This Row],[strike_price]]) + ($B$2 + (Table20[[#This Row],[Vol]]^2)/2)*Table20[[#This Row],[Time to expiration]]) / (Table20[[#This Row],[Vol]] * SQRT(Table20[[#This Row],[Time to expiration]]))</f>
        <v>#NUM!</v>
      </c>
      <c r="Y284" s="30" t="e">
        <f ca="1">IF(Table20[[#This Row],[Direction]]&gt;0, _xlfn.NORM.S.DIST(Table20[[#This Row],[d1]], TRUE), _xlfn.NORM.S.DIST(Table20[[#This Row],[d1]], TRUE) - 1) * Table20[[#This Row],[Buy or Sell]]</f>
        <v>#NUM!</v>
      </c>
      <c r="Z284" s="9">
        <f ca="1">Table20[[#This Row],[Remaining]]*Table20[[#This Row],[Current Price]]*100</f>
        <v>0</v>
      </c>
      <c r="AA284" s="22">
        <f ca="1">IFERROR(Table20[[#This Row],[nominal_exposure]]*Table20[[#This Row],[Delta]],0)</f>
        <v>0</v>
      </c>
      <c r="AB284" s="30" t="b">
        <f>IF(Table20[[#This Row],[date_purchased]]&lt;&gt;Table20[[#This Row],[Expiration Date]],FALSE,TRUE)</f>
        <v>0</v>
      </c>
      <c r="AC284" s="30" t="str">
        <f>VLOOKUP(Table20[[#This Row],[Asset]],Table19[#All],3,FALSE)</f>
        <v>Semiconductor</v>
      </c>
      <c r="AD284" s="30">
        <f>IF(Table20[[#This Row],[Remaining]]&lt;&gt;0,Table20[[#This Row],[Invested]]*Table20[[#This Row],[Remaining]]/Table20[[#This Row],[Number of options]],0)</f>
        <v>0</v>
      </c>
      <c r="AE284" s="30">
        <f ca="1">SUMIF(Table20[Ticker],Table20[[#This Row],[Ticker]],Table20[realized_profit])</f>
        <v>1055.92</v>
      </c>
      <c r="AF284" s="30" t="str">
        <f>VLOOKUP(Table20[[#This Row],[Strategy]],Table29[#All],7,FALSE)</f>
        <v>Bullish</v>
      </c>
    </row>
    <row r="285" spans="1:32" s="149" customFormat="1" hidden="1">
      <c r="A285" s="180">
        <v>45555</v>
      </c>
      <c r="B285" s="21" t="e" vm="29">
        <v>#VALUE!</v>
      </c>
      <c r="C285" s="109" t="str" cm="1">
        <f t="array" aca="1" ref="C285" ca="1">_FV(Table20[[#This Row],[Asset]],"Ticker symbol",TRUE)</f>
        <v>NVDA</v>
      </c>
      <c r="D285" s="26" cm="1">
        <f t="array" aca="1" ref="D285" ca="1">_FV(Table20[[#This Row],[Asset]],"Price")</f>
        <v>180.405</v>
      </c>
      <c r="E285" s="26">
        <v>115</v>
      </c>
      <c r="F285" s="33">
        <v>1</v>
      </c>
      <c r="G285" s="34">
        <v>1</v>
      </c>
      <c r="H285" s="34" t="s">
        <v>65</v>
      </c>
      <c r="I285" s="31">
        <v>45548</v>
      </c>
      <c r="J285" s="26">
        <v>2.2599999999999998</v>
      </c>
      <c r="K285" s="24">
        <v>0.55569999999999997</v>
      </c>
      <c r="L285" s="33">
        <f>VLOOKUP(Table20[[#This Row],[Strategy]],Table29[#All],6,FALSE)</f>
        <v>-1</v>
      </c>
      <c r="M285" s="23">
        <v>1</v>
      </c>
      <c r="N285" s="23">
        <v>3.3</v>
      </c>
      <c r="O285" s="23"/>
      <c r="P285" s="23"/>
      <c r="Q285">
        <f>Table20[[#This Row],[Exit1]]*Table20[[#This Row],[ex1_price]]</f>
        <v>3.3</v>
      </c>
      <c r="R285">
        <f>Table20[[#This Row],[Exit2]]*Table20[[#This Row],[ex2_price]]</f>
        <v>0</v>
      </c>
      <c r="S285">
        <f>IFERROR((Table20[[#This Row],[ex2_amnt]]+Table20[[#This Row],[ex1_amnt]])/(Table20[[#This Row],[Exit2]]+Table20[[#This Row],[Exit1]]),0)</f>
        <v>3.3</v>
      </c>
      <c r="T285" s="5">
        <f>(Table20[[#This Row],[Exit1]]+Table20[[#This Row],[Exit2]])*(Table20[[#This Row],[avg_exit_price]]-Table20[[#This Row],[AvePrice]])*100*Table20[[#This Row],[Buy or Sell]]</f>
        <v>104</v>
      </c>
      <c r="U285" s="5">
        <f>Table20[[#This Row],[Number of options]]*Table20[[#This Row],[AvePrice]]*100*Table20[[#This Row],[Buy or Sell]]</f>
        <v>225.99999999999997</v>
      </c>
      <c r="V285" s="8">
        <f>Table20[[#This Row],[Number of options]]-Table20[[#This Row],[Exit1]]-Table20[[#This Row],[Exit2]]</f>
        <v>0</v>
      </c>
      <c r="W285" s="30">
        <f ca="1">(Table20[[#This Row],[Expiration Date]]-TODAY())/365</f>
        <v>-1.5123287671232877</v>
      </c>
      <c r="X285" s="30" t="e">
        <f ca="1">(LN(Table20[[#This Row],[Current Price]]/Table20[[#This Row],[strike_price]]) + ($B$2 + (Table20[[#This Row],[Vol]]^2)/2)*Table20[[#This Row],[Time to expiration]]) / (Table20[[#This Row],[Vol]] * SQRT(Table20[[#This Row],[Time to expiration]]))</f>
        <v>#NUM!</v>
      </c>
      <c r="Y285" s="30" t="e">
        <f ca="1">IF(Table20[[#This Row],[Direction]]&gt;0, _xlfn.NORM.S.DIST(Table20[[#This Row],[d1]], TRUE), _xlfn.NORM.S.DIST(Table20[[#This Row],[d1]], TRUE) - 1) * Table20[[#This Row],[Buy or Sell]]</f>
        <v>#NUM!</v>
      </c>
      <c r="Z285" s="9">
        <f ca="1">Table20[[#This Row],[Remaining]]*Table20[[#This Row],[Current Price]]*100</f>
        <v>0</v>
      </c>
      <c r="AA285" s="22">
        <f ca="1">IFERROR(Table20[[#This Row],[nominal_exposure]]*Table20[[#This Row],[Delta]],0)</f>
        <v>0</v>
      </c>
      <c r="AB285" s="30" t="b">
        <f>IF(Table20[[#This Row],[date_purchased]]&lt;&gt;Table20[[#This Row],[Expiration Date]],FALSE,TRUE)</f>
        <v>0</v>
      </c>
      <c r="AC285" s="30" t="str">
        <f>VLOOKUP(Table20[[#This Row],[Asset]],Table19[#All],3,FALSE)</f>
        <v>AI</v>
      </c>
      <c r="AD285" s="30">
        <f>IF(Table20[[#This Row],[Remaining]]&lt;&gt;0,Table20[[#This Row],[Invested]]*Table20[[#This Row],[Remaining]]/Table20[[#This Row],[Number of options]],0)</f>
        <v>0</v>
      </c>
      <c r="AE285" s="30">
        <f ca="1">SUMIF(Table20[Ticker],Table20[[#This Row],[Ticker]],Table20[realized_profit])</f>
        <v>-637.99999999999955</v>
      </c>
      <c r="AF285" s="30" t="str">
        <f>VLOOKUP(Table20[[#This Row],[Strategy]],Table29[#All],7,FALSE)</f>
        <v>Bearish</v>
      </c>
    </row>
    <row r="286" spans="1:32" hidden="1">
      <c r="A286" s="180">
        <v>45562</v>
      </c>
      <c r="B286" s="21" t="e" vm="32">
        <v>#VALUE!</v>
      </c>
      <c r="C286" s="109" t="str" cm="1">
        <f t="array" aca="1" ref="C286" ca="1">_FV(Table20[[#This Row],[Asset]],"Ticker symbol",TRUE)</f>
        <v>MU</v>
      </c>
      <c r="D286" s="26" cm="1">
        <f t="array" aca="1" ref="D286" ca="1">_FV(Table20[[#This Row],[Asset]],"Price")</f>
        <v>381.57</v>
      </c>
      <c r="E286" s="26">
        <v>100</v>
      </c>
      <c r="F286" s="33">
        <v>4</v>
      </c>
      <c r="G286" s="34">
        <v>-1</v>
      </c>
      <c r="H286" s="34" t="s">
        <v>114</v>
      </c>
      <c r="I286" s="31">
        <v>45554</v>
      </c>
      <c r="J286" s="26">
        <v>1.21</v>
      </c>
      <c r="K286" s="24">
        <v>0.94</v>
      </c>
      <c r="L286" s="33">
        <f>VLOOKUP(Table20[[#This Row],[Strategy]],Table29[#All],6,FALSE)</f>
        <v>1</v>
      </c>
      <c r="M286" s="23">
        <v>4</v>
      </c>
      <c r="N286" s="23">
        <v>2.06</v>
      </c>
      <c r="O286" s="23"/>
      <c r="P286" s="23"/>
      <c r="Q286">
        <f>Table20[[#This Row],[Exit1]]*Table20[[#This Row],[ex1_price]]</f>
        <v>8.24</v>
      </c>
      <c r="R286">
        <f>Table20[[#This Row],[Exit2]]*Table20[[#This Row],[ex2_price]]</f>
        <v>0</v>
      </c>
      <c r="S286">
        <f>IFERROR((Table20[[#This Row],[ex2_amnt]]+Table20[[#This Row],[ex1_amnt]])/(Table20[[#This Row],[Exit2]]+Table20[[#This Row],[Exit1]]),0)</f>
        <v>2.06</v>
      </c>
      <c r="T286" s="5">
        <f>(Table20[[#This Row],[Exit1]]+Table20[[#This Row],[Exit2]])*(Table20[[#This Row],[avg_exit_price]]-Table20[[#This Row],[AvePrice]])*100*Table20[[#This Row],[Buy or Sell]]</f>
        <v>-340.00000000000006</v>
      </c>
      <c r="U286" s="5">
        <f>Table20[[#This Row],[Number of options]]*Table20[[#This Row],[AvePrice]]*100*Table20[[#This Row],[Buy or Sell]]</f>
        <v>-484</v>
      </c>
      <c r="V286" s="8">
        <f>Table20[[#This Row],[Number of options]]-Table20[[#This Row],[Exit1]]-Table20[[#This Row],[Exit2]]</f>
        <v>0</v>
      </c>
      <c r="W286" s="30">
        <f ca="1">(Table20[[#This Row],[Expiration Date]]-TODAY())/365</f>
        <v>-1.4931506849315068</v>
      </c>
      <c r="X286" s="30" t="e">
        <f ca="1">(LN(Table20[[#This Row],[Current Price]]/Table20[[#This Row],[strike_price]]) + ($B$2 + (Table20[[#This Row],[Vol]]^2)/2)*Table20[[#This Row],[Time to expiration]]) / (Table20[[#This Row],[Vol]] * SQRT(Table20[[#This Row],[Time to expiration]]))</f>
        <v>#NUM!</v>
      </c>
      <c r="Y286" s="30" t="e">
        <f ca="1">IF(Table20[[#This Row],[Direction]]&gt;0, _xlfn.NORM.S.DIST(Table20[[#This Row],[d1]], TRUE), _xlfn.NORM.S.DIST(Table20[[#This Row],[d1]], TRUE) - 1) * Table20[[#This Row],[Buy or Sell]]</f>
        <v>#NUM!</v>
      </c>
      <c r="Z286" s="9">
        <f ca="1">Table20[[#This Row],[Remaining]]*Table20[[#This Row],[Current Price]]*100</f>
        <v>0</v>
      </c>
      <c r="AA286" s="22">
        <f ca="1">IFERROR(Table20[[#This Row],[nominal_exposure]]*Table20[[#This Row],[Delta]],0)</f>
        <v>0</v>
      </c>
      <c r="AB286" s="30" t="b">
        <f>IF(Table20[[#This Row],[date_purchased]]&lt;&gt;Table20[[#This Row],[Expiration Date]],FALSE,TRUE)</f>
        <v>0</v>
      </c>
      <c r="AC286" s="30" t="str">
        <f>VLOOKUP(Table20[[#This Row],[Asset]],Table19[#All],3,FALSE)</f>
        <v>AI</v>
      </c>
      <c r="AD286" s="30">
        <f>IF(Table20[[#This Row],[Remaining]]&lt;&gt;0,Table20[[#This Row],[Invested]]*Table20[[#This Row],[Remaining]]/Table20[[#This Row],[Number of options]],0)</f>
        <v>0</v>
      </c>
      <c r="AE286" s="30">
        <f ca="1">SUMIF(Table20[Ticker],Table20[[#This Row],[Ticker]],Table20[realized_profit])</f>
        <v>-4181</v>
      </c>
      <c r="AF286" s="30" t="str">
        <f>VLOOKUP(Table20[[#This Row],[Strategy]],Table29[#All],7,FALSE)</f>
        <v>Bullish</v>
      </c>
    </row>
    <row r="287" spans="1:32" hidden="1">
      <c r="A287" s="180">
        <v>45562</v>
      </c>
      <c r="B287" s="21" t="e" vm="13">
        <v>#VALUE!</v>
      </c>
      <c r="C287" s="109" t="str" cm="1">
        <f t="array" aca="1" ref="C287" ca="1">_FV(Table20[[#This Row],[Asset]],"Ticker symbol",TRUE)</f>
        <v>ON</v>
      </c>
      <c r="D287" s="26" cm="1">
        <f t="array" aca="1" ref="D287" ca="1">_FV(Table20[[#This Row],[Asset]],"Price")</f>
        <v>63.68</v>
      </c>
      <c r="E287" s="26">
        <v>70</v>
      </c>
      <c r="F287" s="33">
        <v>10</v>
      </c>
      <c r="G287" s="34">
        <v>-1</v>
      </c>
      <c r="H287" s="34" t="s">
        <v>181</v>
      </c>
      <c r="I287" s="31">
        <v>45555</v>
      </c>
      <c r="J287" s="26">
        <v>1.97</v>
      </c>
      <c r="K287" s="24">
        <v>0.46</v>
      </c>
      <c r="L287" s="33">
        <f>VLOOKUP(Table20[[#This Row],[Strategy]],Table29[#All],6,FALSE)</f>
        <v>-1</v>
      </c>
      <c r="M287" s="23">
        <v>10</v>
      </c>
      <c r="N287" s="23">
        <v>0.06</v>
      </c>
      <c r="O287" s="23"/>
      <c r="P287" s="23"/>
      <c r="Q287">
        <f>Table20[[#This Row],[Exit1]]*Table20[[#This Row],[ex1_price]]</f>
        <v>0.6</v>
      </c>
      <c r="R287">
        <f>Table20[[#This Row],[Exit2]]*Table20[[#This Row],[ex2_price]]</f>
        <v>0</v>
      </c>
      <c r="S287">
        <f>IFERROR((Table20[[#This Row],[ex2_amnt]]+Table20[[#This Row],[ex1_amnt]])/(Table20[[#This Row],[Exit2]]+Table20[[#This Row],[Exit1]]),0)</f>
        <v>0.06</v>
      </c>
      <c r="T287" s="5">
        <f>(Table20[[#This Row],[Exit1]]+Table20[[#This Row],[Exit2]])*(Table20[[#This Row],[avg_exit_price]]-Table20[[#This Row],[AvePrice]])*100*Table20[[#This Row],[Buy or Sell]]</f>
        <v>1909.9999999999998</v>
      </c>
      <c r="U287" s="5">
        <f>Table20[[#This Row],[Number of options]]*Table20[[#This Row],[AvePrice]]*100*Table20[[#This Row],[Buy or Sell]]</f>
        <v>-1970</v>
      </c>
      <c r="V287" s="8">
        <f>Table20[[#This Row],[Number of options]]-Table20[[#This Row],[Exit1]]-Table20[[#This Row],[Exit2]]</f>
        <v>0</v>
      </c>
      <c r="W287" s="30">
        <f ca="1">(Table20[[#This Row],[Expiration Date]]-TODAY())/365</f>
        <v>-1.4931506849315068</v>
      </c>
      <c r="X287" s="30" t="e">
        <f ca="1">(LN(Table20[[#This Row],[Current Price]]/Table20[[#This Row],[strike_price]]) + ($B$2 + (Table20[[#This Row],[Vol]]^2)/2)*Table20[[#This Row],[Time to expiration]]) / (Table20[[#This Row],[Vol]] * SQRT(Table20[[#This Row],[Time to expiration]]))</f>
        <v>#NUM!</v>
      </c>
      <c r="Y287" s="30" t="e">
        <f ca="1">IF(Table20[[#This Row],[Direction]]&gt;0, _xlfn.NORM.S.DIST(Table20[[#This Row],[d1]], TRUE), _xlfn.NORM.S.DIST(Table20[[#This Row],[d1]], TRUE) - 1) * Table20[[#This Row],[Buy or Sell]]</f>
        <v>#NUM!</v>
      </c>
      <c r="Z287" s="9">
        <f ca="1">Table20[[#This Row],[Remaining]]*Table20[[#This Row],[Current Price]]*100</f>
        <v>0</v>
      </c>
      <c r="AA287" s="22">
        <f ca="1">IFERROR(Table20[[#This Row],[nominal_exposure]]*Table20[[#This Row],[Delta]],0)</f>
        <v>0</v>
      </c>
      <c r="AB287" s="30" t="b">
        <f>IF(Table20[[#This Row],[date_purchased]]&lt;&gt;Table20[[#This Row],[Expiration Date]],FALSE,TRUE)</f>
        <v>0</v>
      </c>
      <c r="AC287" s="30" t="str">
        <f>VLOOKUP(Table20[[#This Row],[Asset]],Table19[#All],3,FALSE)</f>
        <v>Semiconductor</v>
      </c>
      <c r="AD287" s="30">
        <f>IF(Table20[[#This Row],[Remaining]]&lt;&gt;0,Table20[[#This Row],[Invested]]*Table20[[#This Row],[Remaining]]/Table20[[#This Row],[Number of options]],0)</f>
        <v>0</v>
      </c>
      <c r="AE287" s="30">
        <f ca="1">SUMIF(Table20[Ticker],Table20[[#This Row],[Ticker]],Table20[realized_profit])</f>
        <v>1055.92</v>
      </c>
      <c r="AF287" s="30" t="str">
        <f>VLOOKUP(Table20[[#This Row],[Strategy]],Table29[#All],7,FALSE)</f>
        <v>Bullish</v>
      </c>
    </row>
    <row r="288" spans="1:32" hidden="1">
      <c r="A288" s="180">
        <v>45562</v>
      </c>
      <c r="B288" s="21" t="e" vm="13">
        <v>#VALUE!</v>
      </c>
      <c r="C288" s="109" t="str" cm="1">
        <f t="array" aca="1" ref="C288" ca="1">_FV(Table20[[#This Row],[Asset]],"Ticker symbol",TRUE)</f>
        <v>ON</v>
      </c>
      <c r="D288" s="26" cm="1">
        <f t="array" aca="1" ref="D288" ca="1">_FV(Table20[[#This Row],[Asset]],"Price")</f>
        <v>63.68</v>
      </c>
      <c r="E288" s="26">
        <v>69</v>
      </c>
      <c r="F288" s="33">
        <v>10</v>
      </c>
      <c r="G288" s="34">
        <v>1</v>
      </c>
      <c r="H288" s="34" t="s">
        <v>181</v>
      </c>
      <c r="I288" s="31">
        <v>45555</v>
      </c>
      <c r="J288" s="26">
        <v>1.49</v>
      </c>
      <c r="K288" s="24">
        <v>0.4587</v>
      </c>
      <c r="L288" s="33">
        <f>VLOOKUP(Table20[[#This Row],[Strategy]],Table29[#All],6,FALSE)</f>
        <v>-1</v>
      </c>
      <c r="M288" s="23">
        <v>10</v>
      </c>
      <c r="N288" s="23">
        <v>0.03</v>
      </c>
      <c r="O288" s="23"/>
      <c r="P288" s="23"/>
      <c r="Q288">
        <f>Table20[[#This Row],[Exit1]]*Table20[[#This Row],[ex1_price]]</f>
        <v>0.3</v>
      </c>
      <c r="R288">
        <f>Table20[[#This Row],[Exit2]]*Table20[[#This Row],[ex2_price]]</f>
        <v>0</v>
      </c>
      <c r="S288">
        <f>IFERROR((Table20[[#This Row],[ex2_amnt]]+Table20[[#This Row],[ex1_amnt]])/(Table20[[#This Row],[Exit2]]+Table20[[#This Row],[Exit1]]),0)</f>
        <v>0.03</v>
      </c>
      <c r="T288" s="5">
        <f>(Table20[[#This Row],[Exit1]]+Table20[[#This Row],[Exit2]])*(Table20[[#This Row],[avg_exit_price]]-Table20[[#This Row],[AvePrice]])*100*Table20[[#This Row],[Buy or Sell]]</f>
        <v>-1460</v>
      </c>
      <c r="U288" s="5">
        <f>Table20[[#This Row],[Number of options]]*Table20[[#This Row],[AvePrice]]*100*Table20[[#This Row],[Buy or Sell]]</f>
        <v>1490</v>
      </c>
      <c r="V288" s="8">
        <f>Table20[[#This Row],[Number of options]]-Table20[[#This Row],[Exit1]]-Table20[[#This Row],[Exit2]]</f>
        <v>0</v>
      </c>
      <c r="W288" s="30">
        <f ca="1">(Table20[[#This Row],[Expiration Date]]-TODAY())/365</f>
        <v>-1.4931506849315068</v>
      </c>
      <c r="X288" s="30" t="e">
        <f ca="1">(LN(Table20[[#This Row],[Current Price]]/Table20[[#This Row],[strike_price]]) + ($B$2 + (Table20[[#This Row],[Vol]]^2)/2)*Table20[[#This Row],[Time to expiration]]) / (Table20[[#This Row],[Vol]] * SQRT(Table20[[#This Row],[Time to expiration]]))</f>
        <v>#NUM!</v>
      </c>
      <c r="Y288" s="30" t="e">
        <f ca="1">IF(Table20[[#This Row],[Direction]]&gt;0, _xlfn.NORM.S.DIST(Table20[[#This Row],[d1]], TRUE), _xlfn.NORM.S.DIST(Table20[[#This Row],[d1]], TRUE) - 1) * Table20[[#This Row],[Buy or Sell]]</f>
        <v>#NUM!</v>
      </c>
      <c r="Z288" s="9">
        <f ca="1">Table20[[#This Row],[Remaining]]*Table20[[#This Row],[Current Price]]*100</f>
        <v>0</v>
      </c>
      <c r="AA288" s="22">
        <f ca="1">IFERROR(Table20[[#This Row],[nominal_exposure]]*Table20[[#This Row],[Delta]],0)</f>
        <v>0</v>
      </c>
      <c r="AB288" s="30" t="b">
        <f>IF(Table20[[#This Row],[date_purchased]]&lt;&gt;Table20[[#This Row],[Expiration Date]],FALSE,TRUE)</f>
        <v>0</v>
      </c>
      <c r="AC288" s="30" t="str">
        <f>VLOOKUP(Table20[[#This Row],[Asset]],Table19[#All],3,FALSE)</f>
        <v>Semiconductor</v>
      </c>
      <c r="AD288" s="30">
        <f>IF(Table20[[#This Row],[Remaining]]&lt;&gt;0,Table20[[#This Row],[Invested]]*Table20[[#This Row],[Remaining]]/Table20[[#This Row],[Number of options]],0)</f>
        <v>0</v>
      </c>
      <c r="AE288" s="30">
        <f ca="1">SUMIF(Table20[Ticker],Table20[[#This Row],[Ticker]],Table20[realized_profit])</f>
        <v>1055.92</v>
      </c>
      <c r="AF288" s="30" t="str">
        <f>VLOOKUP(Table20[[#This Row],[Strategy]],Table29[#All],7,FALSE)</f>
        <v>Bullish</v>
      </c>
    </row>
    <row r="289" spans="1:32" hidden="1">
      <c r="A289" s="180">
        <v>45747</v>
      </c>
      <c r="B289" s="21" t="e" vm="32">
        <v>#VALUE!</v>
      </c>
      <c r="C289" s="109" t="str" cm="1">
        <f t="array" aca="1" ref="C289" ca="1">_FV(Table20[[#This Row],[Asset]],"Ticker symbol",TRUE)</f>
        <v>MU</v>
      </c>
      <c r="D289" s="26" cm="1">
        <f t="array" aca="1" ref="D289" ca="1">_FV(Table20[[#This Row],[Asset]],"Price")</f>
        <v>381.57</v>
      </c>
      <c r="E289" s="26">
        <v>130</v>
      </c>
      <c r="F289" s="33">
        <v>2</v>
      </c>
      <c r="G289" s="34">
        <v>1</v>
      </c>
      <c r="H289" s="34" t="s">
        <v>113</v>
      </c>
      <c r="I289" s="31">
        <v>45541</v>
      </c>
      <c r="J289" s="26">
        <v>3</v>
      </c>
      <c r="K289" s="24">
        <v>0.496</v>
      </c>
      <c r="L289" s="33">
        <f>VLOOKUP(Table20[[#This Row],[Strategy]],Table29[#All],6,FALSE)</f>
        <v>1</v>
      </c>
      <c r="M289" s="23">
        <v>2</v>
      </c>
      <c r="N289" s="23">
        <v>2.5</v>
      </c>
      <c r="O289" s="23"/>
      <c r="P289" s="23"/>
      <c r="Q289">
        <f>Table20[[#This Row],[Exit1]]*Table20[[#This Row],[ex1_price]]</f>
        <v>5</v>
      </c>
      <c r="R289">
        <f>Table20[[#This Row],[Exit2]]*Table20[[#This Row],[ex2_price]]</f>
        <v>0</v>
      </c>
      <c r="S289">
        <f>IFERROR((Table20[[#This Row],[ex2_amnt]]+Table20[[#This Row],[ex1_amnt]])/(Table20[[#This Row],[Exit2]]+Table20[[#This Row],[Exit1]]),0)</f>
        <v>2.5</v>
      </c>
      <c r="T289" s="5">
        <f>(Table20[[#This Row],[Exit1]]+Table20[[#This Row],[Exit2]])*(Table20[[#This Row],[avg_exit_price]]-Table20[[#This Row],[AvePrice]])*100*Table20[[#This Row],[Buy or Sell]]</f>
        <v>-100</v>
      </c>
      <c r="U289" s="5">
        <f>Table20[[#This Row],[Number of options]]*Table20[[#This Row],[AvePrice]]*100*Table20[[#This Row],[Buy or Sell]]</f>
        <v>600</v>
      </c>
      <c r="V289" s="8">
        <f>Table20[[#This Row],[Number of options]]-Table20[[#This Row],[Exit1]]-Table20[[#This Row],[Exit2]]</f>
        <v>0</v>
      </c>
      <c r="W289" s="30">
        <f ca="1">(Table20[[#This Row],[Expiration Date]]-TODAY())/365</f>
        <v>-0.98630136986301364</v>
      </c>
      <c r="X289" s="30" t="e">
        <f ca="1">(LN(Table20[[#This Row],[Current Price]]/Table20[[#This Row],[strike_price]]) + ($B$2 + (Table20[[#This Row],[Vol]]^2)/2)*Table20[[#This Row],[Time to expiration]]) / (Table20[[#This Row],[Vol]] * SQRT(Table20[[#This Row],[Time to expiration]]))</f>
        <v>#NUM!</v>
      </c>
      <c r="Y289" s="30" t="e">
        <f ca="1">IF(Table20[[#This Row],[Direction]]&gt;0, _xlfn.NORM.S.DIST(Table20[[#This Row],[d1]], TRUE), _xlfn.NORM.S.DIST(Table20[[#This Row],[d1]], TRUE) - 1) * Table20[[#This Row],[Buy or Sell]]</f>
        <v>#NUM!</v>
      </c>
      <c r="Z289" s="9">
        <f ca="1">Table20[[#This Row],[Remaining]]*Table20[[#This Row],[Current Price]]*100</f>
        <v>0</v>
      </c>
      <c r="AA289" s="22">
        <f ca="1">IFERROR(Table20[[#This Row],[nominal_exposure]]*Table20[[#This Row],[Delta]],0)</f>
        <v>0</v>
      </c>
      <c r="AB289" s="30" t="b">
        <f>IF(Table20[[#This Row],[date_purchased]]&lt;&gt;Table20[[#This Row],[Expiration Date]],FALSE,TRUE)</f>
        <v>0</v>
      </c>
      <c r="AC289" s="30" t="str">
        <f>VLOOKUP(Table20[[#This Row],[Asset]],Table19[#All],3,FALSE)</f>
        <v>AI</v>
      </c>
      <c r="AD289" s="30">
        <f>IF(Table20[[#This Row],[Remaining]]&lt;&gt;0,Table20[[#This Row],[Invested]]*Table20[[#This Row],[Remaining]]/Table20[[#This Row],[Number of options]],0)</f>
        <v>0</v>
      </c>
      <c r="AE289" s="30">
        <f ca="1">SUMIF(Table20[Ticker],Table20[[#This Row],[Ticker]],Table20[realized_profit])</f>
        <v>-4181</v>
      </c>
      <c r="AF289" s="30" t="str">
        <f>VLOOKUP(Table20[[#This Row],[Strategy]],Table29[#All],7,FALSE)</f>
        <v>Bullish</v>
      </c>
    </row>
    <row r="290" spans="1:32" hidden="1">
      <c r="A290" s="180">
        <v>45555</v>
      </c>
      <c r="B290" s="21" t="e" vm="96">
        <v>#VALUE!</v>
      </c>
      <c r="C290" s="109" t="str" cm="1">
        <f t="array" aca="1" ref="C290" ca="1">_FV(Table20[[#This Row],[Asset]],"Ticker symbol",TRUE)</f>
        <v>SPY</v>
      </c>
      <c r="D290" s="26" cm="1">
        <f t="array" aca="1" ref="D290" ca="1">_FV(Table20[[#This Row],[Asset]],"Price")</f>
        <v>658.59</v>
      </c>
      <c r="E290" s="26">
        <v>500</v>
      </c>
      <c r="F290" s="33">
        <v>3</v>
      </c>
      <c r="G290" s="34">
        <v>-1</v>
      </c>
      <c r="H290" s="34" t="s">
        <v>161</v>
      </c>
      <c r="I290" s="31">
        <v>45544</v>
      </c>
      <c r="J290" s="26">
        <v>0.52</v>
      </c>
      <c r="K290" s="24">
        <v>0.30659999999999998</v>
      </c>
      <c r="L290" s="33">
        <f>VLOOKUP(Table20[[#This Row],[Strategy]],Table29[#All],6,FALSE)</f>
        <v>-1</v>
      </c>
      <c r="M290" s="23">
        <v>3</v>
      </c>
      <c r="N290" s="23">
        <v>0.22</v>
      </c>
      <c r="O290" s="23"/>
      <c r="P290" s="23"/>
      <c r="Q290">
        <f>Table20[[#This Row],[Exit1]]*Table20[[#This Row],[ex1_price]]</f>
        <v>0.66</v>
      </c>
      <c r="R290">
        <f>Table20[[#This Row],[Exit2]]*Table20[[#This Row],[ex2_price]]</f>
        <v>0</v>
      </c>
      <c r="S290">
        <f>IFERROR((Table20[[#This Row],[ex2_amnt]]+Table20[[#This Row],[ex1_amnt]])/(Table20[[#This Row],[Exit2]]+Table20[[#This Row],[Exit1]]),0)</f>
        <v>0.22</v>
      </c>
      <c r="T290" s="5">
        <f>(Table20[[#This Row],[Exit1]]+Table20[[#This Row],[Exit2]])*(Table20[[#This Row],[avg_exit_price]]-Table20[[#This Row],[AvePrice]])*100*Table20[[#This Row],[Buy or Sell]]</f>
        <v>90.000000000000014</v>
      </c>
      <c r="U290" s="5">
        <f>Table20[[#This Row],[Number of options]]*Table20[[#This Row],[AvePrice]]*100*Table20[[#This Row],[Buy or Sell]]</f>
        <v>-156</v>
      </c>
      <c r="V290" s="8">
        <f>Table20[[#This Row],[Number of options]]-Table20[[#This Row],[Exit1]]-Table20[[#This Row],[Exit2]]</f>
        <v>0</v>
      </c>
      <c r="W290" s="30">
        <f ca="1">(Table20[[#This Row],[Expiration Date]]-TODAY())/365</f>
        <v>-1.5123287671232877</v>
      </c>
      <c r="X290" s="30" t="e">
        <f ca="1">(LN(Table20[[#This Row],[Current Price]]/Table20[[#This Row],[strike_price]]) + ($B$2 + (Table20[[#This Row],[Vol]]^2)/2)*Table20[[#This Row],[Time to expiration]]) / (Table20[[#This Row],[Vol]] * SQRT(Table20[[#This Row],[Time to expiration]]))</f>
        <v>#NUM!</v>
      </c>
      <c r="Y290" s="30" t="e">
        <f ca="1">IF(Table20[[#This Row],[Direction]]&gt;0, _xlfn.NORM.S.DIST(Table20[[#This Row],[d1]], TRUE), _xlfn.NORM.S.DIST(Table20[[#This Row],[d1]], TRUE) - 1) * Table20[[#This Row],[Buy or Sell]]</f>
        <v>#NUM!</v>
      </c>
      <c r="Z290" s="9">
        <f ca="1">Table20[[#This Row],[Remaining]]*Table20[[#This Row],[Current Price]]*100</f>
        <v>0</v>
      </c>
      <c r="AA290" s="22">
        <f ca="1">IFERROR(Table20[[#This Row],[nominal_exposure]]*Table20[[#This Row],[Delta]],0)</f>
        <v>0</v>
      </c>
      <c r="AB290" s="30" t="b">
        <f>IF(Table20[[#This Row],[date_purchased]]&lt;&gt;Table20[[#This Row],[Expiration Date]],FALSE,TRUE)</f>
        <v>0</v>
      </c>
      <c r="AC290" s="30" t="str">
        <f>VLOOKUP(Table20[[#This Row],[Asset]],Table19[#All],3,FALSE)</f>
        <v>Market</v>
      </c>
      <c r="AD290" s="30">
        <f>IF(Table20[[#This Row],[Remaining]]&lt;&gt;0,Table20[[#This Row],[Invested]]*Table20[[#This Row],[Remaining]]/Table20[[#This Row],[Number of options]],0)</f>
        <v>0</v>
      </c>
      <c r="AE290" s="30">
        <f ca="1">SUMIF(Table20[Ticker],Table20[[#This Row],[Ticker]],Table20[realized_profit])</f>
        <v>-5077</v>
      </c>
      <c r="AF290" s="30" t="str">
        <f>VLOOKUP(Table20[[#This Row],[Strategy]],Table29[#All],7,FALSE)</f>
        <v>Bearish</v>
      </c>
    </row>
    <row r="291" spans="1:32" hidden="1">
      <c r="A291" s="180">
        <v>45590</v>
      </c>
      <c r="B291" s="21" t="e" vm="32">
        <v>#VALUE!</v>
      </c>
      <c r="C291" s="109" t="str" cm="1">
        <f t="array" aca="1" ref="C291" ca="1">_FV(Table20[[#This Row],[Asset]],"Ticker symbol",TRUE)</f>
        <v>MU</v>
      </c>
      <c r="D291" s="26" cm="1">
        <f t="array" aca="1" ref="D291" ca="1">_FV(Table20[[#This Row],[Asset]],"Price")</f>
        <v>381.57</v>
      </c>
      <c r="E291" s="26">
        <v>100</v>
      </c>
      <c r="F291" s="33">
        <v>4</v>
      </c>
      <c r="G291" s="34">
        <v>1</v>
      </c>
      <c r="H291" s="34" t="s">
        <v>115</v>
      </c>
      <c r="I291" s="31">
        <v>45553</v>
      </c>
      <c r="J291" s="26">
        <v>2.5099999999999998</v>
      </c>
      <c r="K291" s="24">
        <v>0.56299999999999994</v>
      </c>
      <c r="L291" s="33">
        <f>VLOOKUP(Table20[[#This Row],[Strategy]],Table29[#All],6,FALSE)</f>
        <v>1</v>
      </c>
      <c r="M291" s="23">
        <v>4</v>
      </c>
      <c r="N291" s="23">
        <v>4.1500000000000004</v>
      </c>
      <c r="O291" s="23"/>
      <c r="P291" s="23"/>
      <c r="Q291">
        <f>Table20[[#This Row],[Exit1]]*Table20[[#This Row],[ex1_price]]</f>
        <v>16.600000000000001</v>
      </c>
      <c r="R291">
        <f>Table20[[#This Row],[Exit2]]*Table20[[#This Row],[ex2_price]]</f>
        <v>0</v>
      </c>
      <c r="S291">
        <f>IFERROR((Table20[[#This Row],[ex2_amnt]]+Table20[[#This Row],[ex1_amnt]])/(Table20[[#This Row],[Exit2]]+Table20[[#This Row],[Exit1]]),0)</f>
        <v>4.1500000000000004</v>
      </c>
      <c r="T291" s="5">
        <f>(Table20[[#This Row],[Exit1]]+Table20[[#This Row],[Exit2]])*(Table20[[#This Row],[avg_exit_price]]-Table20[[#This Row],[AvePrice]])*100*Table20[[#This Row],[Buy or Sell]]</f>
        <v>656.00000000000023</v>
      </c>
      <c r="U291" s="5">
        <f>Table20[[#This Row],[Number of options]]*Table20[[#This Row],[AvePrice]]*100*Table20[[#This Row],[Buy or Sell]]</f>
        <v>1003.9999999999999</v>
      </c>
      <c r="V291" s="8">
        <f>Table20[[#This Row],[Number of options]]-Table20[[#This Row],[Exit1]]-Table20[[#This Row],[Exit2]]</f>
        <v>0</v>
      </c>
      <c r="W291" s="30">
        <f ca="1">(Table20[[#This Row],[Expiration Date]]-TODAY())/365</f>
        <v>-1.4164383561643836</v>
      </c>
      <c r="X291" s="30" t="e">
        <f ca="1">(LN(Table20[[#This Row],[Current Price]]/Table20[[#This Row],[strike_price]]) + ($B$2 + (Table20[[#This Row],[Vol]]^2)/2)*Table20[[#This Row],[Time to expiration]]) / (Table20[[#This Row],[Vol]] * SQRT(Table20[[#This Row],[Time to expiration]]))</f>
        <v>#NUM!</v>
      </c>
      <c r="Y291" s="30" t="e">
        <f ca="1">IF(Table20[[#This Row],[Direction]]&gt;0, _xlfn.NORM.S.DIST(Table20[[#This Row],[d1]], TRUE), _xlfn.NORM.S.DIST(Table20[[#This Row],[d1]], TRUE) - 1) * Table20[[#This Row],[Buy or Sell]]</f>
        <v>#NUM!</v>
      </c>
      <c r="Z291" s="9">
        <f ca="1">Table20[[#This Row],[Remaining]]*Table20[[#This Row],[Current Price]]*100</f>
        <v>0</v>
      </c>
      <c r="AA291" s="22">
        <f ca="1">IFERROR(Table20[[#This Row],[nominal_exposure]]*Table20[[#This Row],[Delta]],0)</f>
        <v>0</v>
      </c>
      <c r="AB291" s="30" t="b">
        <f>IF(Table20[[#This Row],[date_purchased]]&lt;&gt;Table20[[#This Row],[Expiration Date]],FALSE,TRUE)</f>
        <v>0</v>
      </c>
      <c r="AC291" s="30" t="str">
        <f>VLOOKUP(Table20[[#This Row],[Asset]],Table19[#All],3,FALSE)</f>
        <v>AI</v>
      </c>
      <c r="AD291" s="30">
        <f>IF(Table20[[#This Row],[Remaining]]&lt;&gt;0,Table20[[#This Row],[Invested]]*Table20[[#This Row],[Remaining]]/Table20[[#This Row],[Number of options]],0)</f>
        <v>0</v>
      </c>
      <c r="AE291" s="30">
        <f ca="1">SUMIF(Table20[Ticker],Table20[[#This Row],[Ticker]],Table20[realized_profit])</f>
        <v>-4181</v>
      </c>
      <c r="AF291" s="30" t="str">
        <f>VLOOKUP(Table20[[#This Row],[Strategy]],Table29[#All],7,FALSE)</f>
        <v>Bullish</v>
      </c>
    </row>
    <row r="292" spans="1:32" hidden="1">
      <c r="A292" s="180">
        <v>45555</v>
      </c>
      <c r="B292" s="21" t="e" vm="96">
        <v>#VALUE!</v>
      </c>
      <c r="C292" s="109" t="str" cm="1">
        <f t="array" aca="1" ref="C292" ca="1">_FV(Table20[[#This Row],[Asset]],"Ticker symbol",TRUE)</f>
        <v>SPY</v>
      </c>
      <c r="D292" s="26" cm="1">
        <f t="array" aca="1" ref="D292" ca="1">_FV(Table20[[#This Row],[Asset]],"Price")</f>
        <v>658.59</v>
      </c>
      <c r="E292" s="26">
        <v>520</v>
      </c>
      <c r="F292" s="33">
        <v>2</v>
      </c>
      <c r="G292" s="34">
        <v>1</v>
      </c>
      <c r="H292" s="34" t="s">
        <v>65</v>
      </c>
      <c r="I292" s="31">
        <v>45541</v>
      </c>
      <c r="J292" s="26">
        <v>2.81</v>
      </c>
      <c r="K292" s="24">
        <v>0.25609999999999999</v>
      </c>
      <c r="L292" s="33">
        <f>VLOOKUP(Table20[[#This Row],[Strategy]],Table29[#All],6,FALSE)</f>
        <v>-1</v>
      </c>
      <c r="M292" s="23">
        <v>2</v>
      </c>
      <c r="N292" s="23">
        <v>1.2</v>
      </c>
      <c r="O292" s="23"/>
      <c r="P292" s="23"/>
      <c r="Q292">
        <f>Table20[[#This Row],[Exit1]]*Table20[[#This Row],[ex1_price]]</f>
        <v>2.4</v>
      </c>
      <c r="R292">
        <f>Table20[[#This Row],[Exit2]]*Table20[[#This Row],[ex2_price]]</f>
        <v>0</v>
      </c>
      <c r="S292">
        <f>IFERROR((Table20[[#This Row],[ex2_amnt]]+Table20[[#This Row],[ex1_amnt]])/(Table20[[#This Row],[Exit2]]+Table20[[#This Row],[Exit1]]),0)</f>
        <v>1.2</v>
      </c>
      <c r="T292" s="5">
        <f>(Table20[[#This Row],[Exit1]]+Table20[[#This Row],[Exit2]])*(Table20[[#This Row],[avg_exit_price]]-Table20[[#This Row],[AvePrice]])*100*Table20[[#This Row],[Buy or Sell]]</f>
        <v>-322</v>
      </c>
      <c r="U292" s="5">
        <f>Table20[[#This Row],[Number of options]]*Table20[[#This Row],[AvePrice]]*100*Table20[[#This Row],[Buy or Sell]]</f>
        <v>562</v>
      </c>
      <c r="V292" s="8">
        <f>Table20[[#This Row],[Number of options]]-Table20[[#This Row],[Exit1]]-Table20[[#This Row],[Exit2]]</f>
        <v>0</v>
      </c>
      <c r="W292" s="30">
        <f ca="1">(Table20[[#This Row],[Expiration Date]]-TODAY())/365</f>
        <v>-1.5123287671232877</v>
      </c>
      <c r="X292" s="30" t="e">
        <f ca="1">(LN(Table20[[#This Row],[Current Price]]/Table20[[#This Row],[strike_price]]) + ($B$2 + (Table20[[#This Row],[Vol]]^2)/2)*Table20[[#This Row],[Time to expiration]]) / (Table20[[#This Row],[Vol]] * SQRT(Table20[[#This Row],[Time to expiration]]))</f>
        <v>#NUM!</v>
      </c>
      <c r="Y292" s="30" t="e">
        <f ca="1">IF(Table20[[#This Row],[Direction]]&gt;0, _xlfn.NORM.S.DIST(Table20[[#This Row],[d1]], TRUE), _xlfn.NORM.S.DIST(Table20[[#This Row],[d1]], TRUE) - 1) * Table20[[#This Row],[Buy or Sell]]</f>
        <v>#NUM!</v>
      </c>
      <c r="Z292" s="9">
        <f ca="1">Table20[[#This Row],[Remaining]]*Table20[[#This Row],[Current Price]]*100</f>
        <v>0</v>
      </c>
      <c r="AA292" s="22">
        <f ca="1">IFERROR(Table20[[#This Row],[nominal_exposure]]*Table20[[#This Row],[Delta]],0)</f>
        <v>0</v>
      </c>
      <c r="AB292" s="30" t="b">
        <f>IF(Table20[[#This Row],[date_purchased]]&lt;&gt;Table20[[#This Row],[Expiration Date]],FALSE,TRUE)</f>
        <v>0</v>
      </c>
      <c r="AC292" s="30" t="str">
        <f>VLOOKUP(Table20[[#This Row],[Asset]],Table19[#All],3,FALSE)</f>
        <v>Market</v>
      </c>
      <c r="AD292" s="30">
        <f>IF(Table20[[#This Row],[Remaining]]&lt;&gt;0,Table20[[#This Row],[Invested]]*Table20[[#This Row],[Remaining]]/Table20[[#This Row],[Number of options]],0)</f>
        <v>0</v>
      </c>
      <c r="AE292" s="30">
        <f ca="1">SUMIF(Table20[Ticker],Table20[[#This Row],[Ticker]],Table20[realized_profit])</f>
        <v>-5077</v>
      </c>
      <c r="AF292" s="30" t="str">
        <f>VLOOKUP(Table20[[#This Row],[Strategy]],Table29[#All],7,FALSE)</f>
        <v>Bearish</v>
      </c>
    </row>
    <row r="293" spans="1:32" hidden="1">
      <c r="A293" s="201">
        <v>45555</v>
      </c>
      <c r="B293" s="21" t="e" vm="96">
        <v>#VALUE!</v>
      </c>
      <c r="C293" s="109" t="str" cm="1">
        <f t="array" aca="1" ref="C293" ca="1">_FV(Table20[[#This Row],[Asset]],"Ticker symbol",TRUE)</f>
        <v>SPY</v>
      </c>
      <c r="D293" s="26" cm="1">
        <f t="array" aca="1" ref="D293" ca="1">_FV(Table20[[#This Row],[Asset]],"Price")</f>
        <v>658.59</v>
      </c>
      <c r="E293" s="26">
        <v>540</v>
      </c>
      <c r="F293" s="33">
        <v>1</v>
      </c>
      <c r="G293" s="34">
        <v>-1</v>
      </c>
      <c r="H293" s="34" t="s">
        <v>161</v>
      </c>
      <c r="I293" s="31">
        <v>45546</v>
      </c>
      <c r="J293" s="26">
        <v>2.2799999999999998</v>
      </c>
      <c r="K293" s="24">
        <v>0.20660000000000001</v>
      </c>
      <c r="L293" s="33">
        <f>VLOOKUP(Table20[[#This Row],[Strategy]],Table29[#All],6,FALSE)</f>
        <v>-1</v>
      </c>
      <c r="M293" s="23">
        <v>1</v>
      </c>
      <c r="N293" s="23">
        <v>0.19</v>
      </c>
      <c r="O293" s="23"/>
      <c r="P293" s="23"/>
      <c r="Q293">
        <f>Table20[[#This Row],[Exit1]]*Table20[[#This Row],[ex1_price]]</f>
        <v>0.19</v>
      </c>
      <c r="R293">
        <f>Table20[[#This Row],[Exit2]]*Table20[[#This Row],[ex2_price]]</f>
        <v>0</v>
      </c>
      <c r="S293">
        <f>IFERROR((Table20[[#This Row],[ex2_amnt]]+Table20[[#This Row],[ex1_amnt]])/(Table20[[#This Row],[Exit2]]+Table20[[#This Row],[Exit1]]),0)</f>
        <v>0.19</v>
      </c>
      <c r="T293" s="5">
        <f>(Table20[[#This Row],[Exit1]]+Table20[[#This Row],[Exit2]])*(Table20[[#This Row],[avg_exit_price]]-Table20[[#This Row],[AvePrice]])*100*Table20[[#This Row],[Buy or Sell]]</f>
        <v>209</v>
      </c>
      <c r="U293" s="5">
        <f>Table20[[#This Row],[Number of options]]*Table20[[#This Row],[AvePrice]]*100*Table20[[#This Row],[Buy or Sell]]</f>
        <v>-227.99999999999997</v>
      </c>
      <c r="V293" s="8">
        <f>Table20[[#This Row],[Number of options]]-Table20[[#This Row],[Exit1]]-Table20[[#This Row],[Exit2]]</f>
        <v>0</v>
      </c>
      <c r="W293" s="30">
        <f ca="1">(Table20[[#This Row],[Expiration Date]]-TODAY())/365</f>
        <v>-1.5123287671232877</v>
      </c>
      <c r="X293" s="30" t="e">
        <f ca="1">(LN(Table20[[#This Row],[Current Price]]/Table20[[#This Row],[strike_price]]) + ($B$2 + (Table20[[#This Row],[Vol]]^2)/2)*Table20[[#This Row],[Time to expiration]]) / (Table20[[#This Row],[Vol]] * SQRT(Table20[[#This Row],[Time to expiration]]))</f>
        <v>#NUM!</v>
      </c>
      <c r="Y293" s="30" t="e">
        <f ca="1">IF(Table20[[#This Row],[Direction]]&gt;0, _xlfn.NORM.S.DIST(Table20[[#This Row],[d1]], TRUE), _xlfn.NORM.S.DIST(Table20[[#This Row],[d1]], TRUE) - 1) * Table20[[#This Row],[Buy or Sell]]</f>
        <v>#NUM!</v>
      </c>
      <c r="Z293" s="9">
        <f ca="1">Table20[[#This Row],[Remaining]]*Table20[[#This Row],[Current Price]]*100</f>
        <v>0</v>
      </c>
      <c r="AA293" s="22">
        <f ca="1">IFERROR(Table20[[#This Row],[nominal_exposure]]*Table20[[#This Row],[Delta]],0)</f>
        <v>0</v>
      </c>
      <c r="AB293" s="30" t="b">
        <f>IF(Table20[[#This Row],[date_purchased]]&lt;&gt;Table20[[#This Row],[Expiration Date]],FALSE,TRUE)</f>
        <v>0</v>
      </c>
      <c r="AC293" s="30" t="str">
        <f>VLOOKUP(Table20[[#This Row],[Asset]],Table19[#All],3,FALSE)</f>
        <v>Market</v>
      </c>
      <c r="AD293" s="30">
        <f>IF(Table20[[#This Row],[Remaining]]&lt;&gt;0,Table20[[#This Row],[Invested]]*Table20[[#This Row],[Remaining]]/Table20[[#This Row],[Number of options]],0)</f>
        <v>0</v>
      </c>
      <c r="AE293" s="30">
        <f ca="1">SUMIF(Table20[Ticker],Table20[[#This Row],[Ticker]],Table20[realized_profit])</f>
        <v>-5077</v>
      </c>
      <c r="AF293" s="30" t="str">
        <f>VLOOKUP(Table20[[#This Row],[Strategy]],Table29[#All],7,FALSE)</f>
        <v>Bearish</v>
      </c>
    </row>
    <row r="294" spans="1:32" hidden="1">
      <c r="A294" s="180">
        <v>45555</v>
      </c>
      <c r="B294" s="21" t="e" vm="96">
        <v>#VALUE!</v>
      </c>
      <c r="C294" s="109" t="str" cm="1">
        <f t="array" aca="1" ref="C294" ca="1">_FV(Table20[[#This Row],[Asset]],"Ticker symbol",TRUE)</f>
        <v>SPY</v>
      </c>
      <c r="D294" s="26" cm="1">
        <f t="array" aca="1" ref="D294" ca="1">_FV(Table20[[#This Row],[Asset]],"Price")</f>
        <v>658.59</v>
      </c>
      <c r="E294" s="26">
        <v>550</v>
      </c>
      <c r="F294" s="33">
        <v>1</v>
      </c>
      <c r="G294" s="34">
        <v>-1</v>
      </c>
      <c r="H294" s="34" t="s">
        <v>161</v>
      </c>
      <c r="I294" s="31">
        <v>45553</v>
      </c>
      <c r="J294" s="26">
        <v>0.72</v>
      </c>
      <c r="K294" s="24">
        <v>0.28389999999999999</v>
      </c>
      <c r="L294" s="33">
        <f>VLOOKUP(Table20[[#This Row],[Strategy]],Table29[#All],6,FALSE)</f>
        <v>-1</v>
      </c>
      <c r="M294" s="23">
        <v>1</v>
      </c>
      <c r="N294" s="23">
        <v>0.01</v>
      </c>
      <c r="O294" s="23"/>
      <c r="P294" s="23"/>
      <c r="Q294">
        <f>Table20[[#This Row],[Exit1]]*Table20[[#This Row],[ex1_price]]</f>
        <v>0.01</v>
      </c>
      <c r="R294">
        <f>Table20[[#This Row],[Exit2]]*Table20[[#This Row],[ex2_price]]</f>
        <v>0</v>
      </c>
      <c r="S294">
        <f>IFERROR((Table20[[#This Row],[ex2_amnt]]+Table20[[#This Row],[ex1_amnt]])/(Table20[[#This Row],[Exit2]]+Table20[[#This Row],[Exit1]]),0)</f>
        <v>0.01</v>
      </c>
      <c r="T294" s="5">
        <f>(Table20[[#This Row],[Exit1]]+Table20[[#This Row],[Exit2]])*(Table20[[#This Row],[avg_exit_price]]-Table20[[#This Row],[AvePrice]])*100*Table20[[#This Row],[Buy or Sell]]</f>
        <v>71</v>
      </c>
      <c r="U294" s="5">
        <f>Table20[[#This Row],[Number of options]]*Table20[[#This Row],[AvePrice]]*100*Table20[[#This Row],[Buy or Sell]]</f>
        <v>-72</v>
      </c>
      <c r="V294" s="8">
        <f>Table20[[#This Row],[Number of options]]-Table20[[#This Row],[Exit1]]-Table20[[#This Row],[Exit2]]</f>
        <v>0</v>
      </c>
      <c r="W294" s="30">
        <f ca="1">(Table20[[#This Row],[Expiration Date]]-TODAY())/365</f>
        <v>-1.5123287671232877</v>
      </c>
      <c r="X294" s="30" t="e">
        <f ca="1">(LN(Table20[[#This Row],[Current Price]]/Table20[[#This Row],[strike_price]]) + ($B$2 + (Table20[[#This Row],[Vol]]^2)/2)*Table20[[#This Row],[Time to expiration]]) / (Table20[[#This Row],[Vol]] * SQRT(Table20[[#This Row],[Time to expiration]]))</f>
        <v>#NUM!</v>
      </c>
      <c r="Y294" s="30" t="e">
        <f ca="1">IF(Table20[[#This Row],[Direction]]&gt;0, _xlfn.NORM.S.DIST(Table20[[#This Row],[d1]], TRUE), _xlfn.NORM.S.DIST(Table20[[#This Row],[d1]], TRUE) - 1) * Table20[[#This Row],[Buy or Sell]]</f>
        <v>#NUM!</v>
      </c>
      <c r="Z294" s="9">
        <f ca="1">Table20[[#This Row],[Remaining]]*Table20[[#This Row],[Current Price]]*100</f>
        <v>0</v>
      </c>
      <c r="AA294" s="22">
        <f ca="1">IFERROR(Table20[[#This Row],[nominal_exposure]]*Table20[[#This Row],[Delta]],0)</f>
        <v>0</v>
      </c>
      <c r="AB294" s="30" t="b">
        <f>IF(Table20[[#This Row],[date_purchased]]&lt;&gt;Table20[[#This Row],[Expiration Date]],FALSE,TRUE)</f>
        <v>0</v>
      </c>
      <c r="AC294" s="30" t="str">
        <f>VLOOKUP(Table20[[#This Row],[Asset]],Table19[#All],3,FALSE)</f>
        <v>Market</v>
      </c>
      <c r="AD294" s="30">
        <f>IF(Table20[[#This Row],[Remaining]]&lt;&gt;0,Table20[[#This Row],[Invested]]*Table20[[#This Row],[Remaining]]/Table20[[#This Row],[Number of options]],0)</f>
        <v>0</v>
      </c>
      <c r="AE294" s="30">
        <f ca="1">SUMIF(Table20[Ticker],Table20[[#This Row],[Ticker]],Table20[realized_profit])</f>
        <v>-5077</v>
      </c>
      <c r="AF294" s="30" t="str">
        <f>VLOOKUP(Table20[[#This Row],[Strategy]],Table29[#All],7,FALSE)</f>
        <v>Bearish</v>
      </c>
    </row>
    <row r="295" spans="1:32" hidden="1">
      <c r="A295" s="35">
        <v>45534</v>
      </c>
      <c r="B295" s="21" t="e" vm="96">
        <v>#VALUE!</v>
      </c>
      <c r="C295" s="109" t="str" cm="1">
        <f t="array" aca="1" ref="C295" ca="1">_FV(Table20[[#This Row],[Asset]],"Ticker symbol",TRUE)</f>
        <v>SPY</v>
      </c>
      <c r="D295" s="26" cm="1">
        <f t="array" aca="1" ref="D295" ca="1">_FV(Table20[[#This Row],[Asset]],"Price")</f>
        <v>658.59</v>
      </c>
      <c r="E295" s="26">
        <v>530</v>
      </c>
      <c r="F295" s="33">
        <v>8</v>
      </c>
      <c r="G295" s="34">
        <v>1</v>
      </c>
      <c r="H295" s="21" t="s">
        <v>65</v>
      </c>
      <c r="I295" s="31">
        <v>45478</v>
      </c>
      <c r="J295" s="26">
        <v>2.82</v>
      </c>
      <c r="K295" s="24">
        <v>0.14460000000000001</v>
      </c>
      <c r="L295" s="33">
        <f>VLOOKUP(Table20[[#This Row],[Strategy]],Table29[#All],6,FALSE)</f>
        <v>-1</v>
      </c>
      <c r="M295" s="23">
        <v>8</v>
      </c>
      <c r="N295" s="23">
        <v>1.63</v>
      </c>
      <c r="O295" s="23"/>
      <c r="P295" s="23"/>
      <c r="Q295">
        <f>Table20[[#This Row],[Exit1]]*Table20[[#This Row],[ex1_price]]</f>
        <v>13.04</v>
      </c>
      <c r="R295">
        <f>Table20[[#This Row],[Exit2]]*Table20[[#This Row],[ex2_price]]</f>
        <v>0</v>
      </c>
      <c r="S295">
        <f>IFERROR((Table20[[#This Row],[ex2_amnt]]+Table20[[#This Row],[ex1_amnt]])/(Table20[[#This Row],[Exit2]]+Table20[[#This Row],[Exit1]]),0)</f>
        <v>1.63</v>
      </c>
      <c r="T295" s="5">
        <f>(Table20[[#This Row],[Exit1]]+Table20[[#This Row],[Exit2]])*(Table20[[#This Row],[avg_exit_price]]-Table20[[#This Row],[AvePrice]])*100*Table20[[#This Row],[Buy or Sell]]</f>
        <v>-952</v>
      </c>
      <c r="U295" s="5">
        <f>Table20[[#This Row],[Number of options]]*Table20[[#This Row],[AvePrice]]*100*Table20[[#This Row],[Buy or Sell]]</f>
        <v>2256</v>
      </c>
      <c r="V295" s="8">
        <f>Table20[[#This Row],[Number of options]]-Table20[[#This Row],[Exit1]]-Table20[[#This Row],[Exit2]]</f>
        <v>0</v>
      </c>
      <c r="W295" s="30">
        <f ca="1">(Table20[[#This Row],[Expiration Date]]-TODAY())/365</f>
        <v>-1.5698630136986302</v>
      </c>
      <c r="X295" s="30" t="e">
        <f ca="1">(LN(Table20[[#This Row],[Current Price]]/Table20[[#This Row],[strike_price]]) + ($B$2 + (Table20[[#This Row],[Vol]]^2)/2)*Table20[[#This Row],[Time to expiration]]) / (Table20[[#This Row],[Vol]] * SQRT(Table20[[#This Row],[Time to expiration]]))</f>
        <v>#NUM!</v>
      </c>
      <c r="Y295" s="30" t="e">
        <f ca="1">IF(Table20[[#This Row],[Direction]]&gt;0, _xlfn.NORM.S.DIST(Table20[[#This Row],[d1]], TRUE), _xlfn.NORM.S.DIST(Table20[[#This Row],[d1]], TRUE) - 1) * Table20[[#This Row],[Buy or Sell]]</f>
        <v>#NUM!</v>
      </c>
      <c r="Z295" s="9">
        <f ca="1">Table20[[#This Row],[Remaining]]*Table20[[#This Row],[Current Price]]*100</f>
        <v>0</v>
      </c>
      <c r="AA295" s="22">
        <f ca="1">IFERROR(Table20[[#This Row],[nominal_exposure]]*Table20[[#This Row],[Delta]],0)</f>
        <v>0</v>
      </c>
      <c r="AB295" s="95" t="b">
        <f>IF(Table20[[#This Row],[date_purchased]]&lt;&gt;Table20[[#This Row],[Expiration Date]],FALSE,TRUE)</f>
        <v>0</v>
      </c>
      <c r="AC295" s="30" t="str">
        <f>VLOOKUP(Table20[[#This Row],[Asset]],Table19[#All],3,FALSE)</f>
        <v>Market</v>
      </c>
      <c r="AD295" s="30">
        <f>IF(Table20[[#This Row],[Remaining]]&lt;&gt;0,Table20[[#This Row],[Invested]]*Table20[[#This Row],[Remaining]]/Table20[[#This Row],[Number of options]],0)</f>
        <v>0</v>
      </c>
      <c r="AE295" s="30">
        <f ca="1">SUMIF(Table20[Ticker],Table20[[#This Row],[Ticker]],Table20[realized_profit])</f>
        <v>-5077</v>
      </c>
      <c r="AF295" s="30" t="str">
        <f>VLOOKUP(Table20[[#This Row],[Strategy]],Table29[#All],7,FALSE)</f>
        <v>Bearish</v>
      </c>
    </row>
    <row r="296" spans="1:32" hidden="1">
      <c r="A296" s="181">
        <v>45534</v>
      </c>
      <c r="B296" s="21" t="e" vm="96">
        <v>#VALUE!</v>
      </c>
      <c r="C296" s="109" t="str" cm="1">
        <f t="array" aca="1" ref="C296" ca="1">_FV(Table20[[#This Row],[Asset]],"Ticker symbol",TRUE)</f>
        <v>SPY</v>
      </c>
      <c r="D296" s="26" cm="1">
        <f t="array" aca="1" ref="D296" ca="1">_FV(Table20[[#This Row],[Asset]],"Price")</f>
        <v>658.59</v>
      </c>
      <c r="E296" s="26">
        <v>500</v>
      </c>
      <c r="F296" s="33">
        <v>2</v>
      </c>
      <c r="G296" s="34">
        <v>-1</v>
      </c>
      <c r="H296" s="34" t="s">
        <v>161</v>
      </c>
      <c r="I296" s="31">
        <v>45518</v>
      </c>
      <c r="J296" s="26">
        <v>0.86</v>
      </c>
      <c r="K296" s="24">
        <v>0.24</v>
      </c>
      <c r="L296" s="33">
        <f>VLOOKUP(Table20[[#This Row],[Strategy]],Table29[#All],6,FALSE)</f>
        <v>-1</v>
      </c>
      <c r="M296" s="23">
        <v>2</v>
      </c>
      <c r="N296" s="23">
        <v>0</v>
      </c>
      <c r="O296" s="23"/>
      <c r="P296" s="23"/>
      <c r="Q296">
        <f>Table20[[#This Row],[Exit1]]*Table20[[#This Row],[ex1_price]]</f>
        <v>0</v>
      </c>
      <c r="R296">
        <f>Table20[[#This Row],[Exit2]]*Table20[[#This Row],[ex2_price]]</f>
        <v>0</v>
      </c>
      <c r="S296">
        <f>IFERROR((Table20[[#This Row],[ex2_amnt]]+Table20[[#This Row],[ex1_amnt]])/(Table20[[#This Row],[Exit2]]+Table20[[#This Row],[Exit1]]),0)</f>
        <v>0</v>
      </c>
      <c r="T296" s="5">
        <f>(Table20[[#This Row],[Exit1]]+Table20[[#This Row],[Exit2]])*(Table20[[#This Row],[avg_exit_price]]-Table20[[#This Row],[AvePrice]])*100*Table20[[#This Row],[Buy or Sell]]</f>
        <v>172</v>
      </c>
      <c r="U296" s="5">
        <f>Table20[[#This Row],[Number of options]]*Table20[[#This Row],[AvePrice]]*100*Table20[[#This Row],[Buy or Sell]]</f>
        <v>-172</v>
      </c>
      <c r="V296" s="8">
        <f>Table20[[#This Row],[Number of options]]-Table20[[#This Row],[Exit1]]-Table20[[#This Row],[Exit2]]</f>
        <v>0</v>
      </c>
      <c r="W296" s="30">
        <f ca="1">(Table20[[#This Row],[Expiration Date]]-TODAY())/365</f>
        <v>-1.5698630136986302</v>
      </c>
      <c r="X296" s="30" t="e">
        <f ca="1">(LN(Table20[[#This Row],[Current Price]]/Table20[[#This Row],[strike_price]]) + ($B$2 + (Table20[[#This Row],[Vol]]^2)/2)*Table20[[#This Row],[Time to expiration]]) / (Table20[[#This Row],[Vol]] * SQRT(Table20[[#This Row],[Time to expiration]]))</f>
        <v>#NUM!</v>
      </c>
      <c r="Y296" s="30" t="e">
        <f ca="1">IF(Table20[[#This Row],[Direction]]&gt;0, _xlfn.NORM.S.DIST(Table20[[#This Row],[d1]], TRUE), _xlfn.NORM.S.DIST(Table20[[#This Row],[d1]], TRUE) - 1) * Table20[[#This Row],[Buy or Sell]]</f>
        <v>#NUM!</v>
      </c>
      <c r="Z296" s="9">
        <f ca="1">Table20[[#This Row],[Remaining]]*Table20[[#This Row],[Current Price]]*100</f>
        <v>0</v>
      </c>
      <c r="AA296" s="22">
        <f ca="1">IFERROR(Table20[[#This Row],[nominal_exposure]]*Table20[[#This Row],[Delta]],0)</f>
        <v>0</v>
      </c>
      <c r="AB296" s="30" t="b">
        <f>IF(Table20[[#This Row],[date_purchased]]&lt;&gt;Table20[[#This Row],[Expiration Date]],FALSE,TRUE)</f>
        <v>0</v>
      </c>
      <c r="AC296" s="30" t="str">
        <f>VLOOKUP(Table20[[#This Row],[Asset]],Table19[#All],3,FALSE)</f>
        <v>Market</v>
      </c>
      <c r="AD296" s="4">
        <f>IF(Table20[[#This Row],[Remaining]]&lt;&gt;0,Table20[[#This Row],[Invested]]*Table20[[#This Row],[Remaining]]/Table20[[#This Row],[Number of options]],0)</f>
        <v>0</v>
      </c>
      <c r="AE296" s="4">
        <f ca="1">SUMIF(Table20[Ticker],Table20[[#This Row],[Ticker]],Table20[realized_profit])</f>
        <v>-5077</v>
      </c>
      <c r="AF296" s="30" t="str">
        <f>VLOOKUP(Table20[[#This Row],[Strategy]],Table29[#All],7,FALSE)</f>
        <v>Bearish</v>
      </c>
    </row>
    <row r="297" spans="1:32" hidden="1">
      <c r="A297" s="180">
        <v>45569</v>
      </c>
      <c r="B297" s="21" t="e" vm="144">
        <v>#VALUE!</v>
      </c>
      <c r="C297" s="109" t="str" cm="1">
        <f t="array" aca="1" ref="C297" ca="1">_FV(Table20[[#This Row],[Asset]],"Ticker symbol",TRUE)</f>
        <v>AAPL</v>
      </c>
      <c r="D297" s="26" cm="1">
        <f t="array" aca="1" ref="D297" ca="1">_FV(Table20[[#This Row],[Asset]],"Price")</f>
        <v>253.2</v>
      </c>
      <c r="E297" s="26">
        <v>220</v>
      </c>
      <c r="F297" s="33">
        <v>2</v>
      </c>
      <c r="G297" s="34">
        <v>-1</v>
      </c>
      <c r="H297" s="34" t="s">
        <v>159</v>
      </c>
      <c r="I297" s="31">
        <v>45553</v>
      </c>
      <c r="J297" s="26">
        <v>5.53</v>
      </c>
      <c r="K297" s="24">
        <v>0.26</v>
      </c>
      <c r="L297" s="33">
        <f>VLOOKUP(Table20[[#This Row],[Strategy]],Table29[#All],6,FALSE)</f>
        <v>1</v>
      </c>
      <c r="M297" s="23">
        <v>2</v>
      </c>
      <c r="N297" s="23">
        <v>9.1</v>
      </c>
      <c r="O297" s="23"/>
      <c r="P297" s="23"/>
      <c r="Q297">
        <f>Table20[[#This Row],[Exit1]]*Table20[[#This Row],[ex1_price]]</f>
        <v>18.2</v>
      </c>
      <c r="R297">
        <f>Table20[[#This Row],[Exit2]]*Table20[[#This Row],[ex2_price]]</f>
        <v>0</v>
      </c>
      <c r="S297">
        <f>IFERROR((Table20[[#This Row],[ex2_amnt]]+Table20[[#This Row],[ex1_amnt]])/(Table20[[#This Row],[Exit2]]+Table20[[#This Row],[Exit1]]),0)</f>
        <v>9.1</v>
      </c>
      <c r="T297" s="5">
        <f>(Table20[[#This Row],[Exit1]]+Table20[[#This Row],[Exit2]])*(Table20[[#This Row],[avg_exit_price]]-Table20[[#This Row],[AvePrice]])*100*Table20[[#This Row],[Buy or Sell]]</f>
        <v>-713.99999999999989</v>
      </c>
      <c r="U297" s="5">
        <f>Table20[[#This Row],[Number of options]]*Table20[[#This Row],[AvePrice]]*100*Table20[[#This Row],[Buy or Sell]]</f>
        <v>-1106</v>
      </c>
      <c r="V297" s="8">
        <f>Table20[[#This Row],[Number of options]]-Table20[[#This Row],[Exit1]]-Table20[[#This Row],[Exit2]]</f>
        <v>0</v>
      </c>
      <c r="W297" s="30">
        <f ca="1">(Table20[[#This Row],[Expiration Date]]-TODAY())/365</f>
        <v>-1.473972602739726</v>
      </c>
      <c r="X297" s="30" t="e">
        <f ca="1">(LN(Table20[[#This Row],[Current Price]]/Table20[[#This Row],[strike_price]]) + ($B$2 + (Table20[[#This Row],[Vol]]^2)/2)*Table20[[#This Row],[Time to expiration]]) / (Table20[[#This Row],[Vol]] * SQRT(Table20[[#This Row],[Time to expiration]]))</f>
        <v>#NUM!</v>
      </c>
      <c r="Y297" s="30" t="e">
        <f ca="1">IF(Table20[[#This Row],[Direction]]&gt;0, _xlfn.NORM.S.DIST(Table20[[#This Row],[d1]], TRUE), _xlfn.NORM.S.DIST(Table20[[#This Row],[d1]], TRUE) - 1) * Table20[[#This Row],[Buy or Sell]]</f>
        <v>#NUM!</v>
      </c>
      <c r="Z297" s="9">
        <f ca="1">Table20[[#This Row],[Remaining]]*Table20[[#This Row],[Current Price]]*100</f>
        <v>0</v>
      </c>
      <c r="AA297" s="22">
        <f ca="1">IFERROR(Table20[[#This Row],[nominal_exposure]]*Table20[[#This Row],[Delta]],0)</f>
        <v>0</v>
      </c>
      <c r="AB297" s="30" t="b">
        <f>IF(Table20[[#This Row],[date_purchased]]&lt;&gt;Table20[[#This Row],[Expiration Date]],FALSE,TRUE)</f>
        <v>0</v>
      </c>
      <c r="AC297" s="30" t="str">
        <f>VLOOKUP(Table20[[#This Row],[Asset]],Table19[#All],3,FALSE)</f>
        <v>AI</v>
      </c>
      <c r="AD297" s="30">
        <f>IF(Table20[[#This Row],[Remaining]]&lt;&gt;0,Table20[[#This Row],[Invested]]*Table20[[#This Row],[Remaining]]/Table20[[#This Row],[Number of options]],0)</f>
        <v>0</v>
      </c>
      <c r="AE297" s="30">
        <f ca="1">SUMIF(Table20[Ticker],Table20[[#This Row],[Ticker]],Table20[realized_profit])</f>
        <v>-153.9999999999996</v>
      </c>
      <c r="AF297" s="30" t="str">
        <f>VLOOKUP(Table20[[#This Row],[Strategy]],Table29[#All],7,FALSE)</f>
        <v>Bearish</v>
      </c>
    </row>
    <row r="298" spans="1:32" hidden="1">
      <c r="A298" s="180">
        <v>45569</v>
      </c>
      <c r="B298" s="21" t="e" vm="144">
        <v>#VALUE!</v>
      </c>
      <c r="C298" s="109" t="str" cm="1">
        <f t="array" aca="1" ref="C298" ca="1">_FV(Table20[[#This Row],[Asset]],"Ticker symbol",TRUE)</f>
        <v>AAPL</v>
      </c>
      <c r="D298" s="26" cm="1">
        <f t="array" aca="1" ref="D298" ca="1">_FV(Table20[[#This Row],[Asset]],"Price")</f>
        <v>253.2</v>
      </c>
      <c r="E298" s="26">
        <v>222.5</v>
      </c>
      <c r="F298" s="33">
        <v>2</v>
      </c>
      <c r="G298" s="34">
        <v>1</v>
      </c>
      <c r="H298" s="34" t="s">
        <v>159</v>
      </c>
      <c r="I298" s="31">
        <v>45553</v>
      </c>
      <c r="J298" s="26">
        <v>4.2</v>
      </c>
      <c r="K298" s="24">
        <v>0.26</v>
      </c>
      <c r="L298" s="33">
        <f>VLOOKUP(Table20[[#This Row],[Strategy]],Table29[#All],6,FALSE)</f>
        <v>1</v>
      </c>
      <c r="M298" s="23">
        <v>2</v>
      </c>
      <c r="N298" s="23">
        <v>7.27</v>
      </c>
      <c r="O298" s="23"/>
      <c r="P298" s="23"/>
      <c r="Q298">
        <f>Table20[[#This Row],[Exit1]]*Table20[[#This Row],[ex1_price]]</f>
        <v>14.54</v>
      </c>
      <c r="R298">
        <f>Table20[[#This Row],[Exit2]]*Table20[[#This Row],[ex2_price]]</f>
        <v>0</v>
      </c>
      <c r="S298">
        <f>IFERROR((Table20[[#This Row],[ex2_amnt]]+Table20[[#This Row],[ex1_amnt]])/(Table20[[#This Row],[Exit2]]+Table20[[#This Row],[Exit1]]),0)</f>
        <v>7.27</v>
      </c>
      <c r="T298" s="5">
        <f>(Table20[[#This Row],[Exit1]]+Table20[[#This Row],[Exit2]])*(Table20[[#This Row],[avg_exit_price]]-Table20[[#This Row],[AvePrice]])*100*Table20[[#This Row],[Buy or Sell]]</f>
        <v>613.99999999999989</v>
      </c>
      <c r="U298" s="5">
        <f>Table20[[#This Row],[Number of options]]*Table20[[#This Row],[AvePrice]]*100*Table20[[#This Row],[Buy or Sell]]</f>
        <v>840</v>
      </c>
      <c r="V298" s="8">
        <f>Table20[[#This Row],[Number of options]]-Table20[[#This Row],[Exit1]]-Table20[[#This Row],[Exit2]]</f>
        <v>0</v>
      </c>
      <c r="W298" s="30">
        <f ca="1">(Table20[[#This Row],[Expiration Date]]-TODAY())/365</f>
        <v>-1.473972602739726</v>
      </c>
      <c r="X298" s="30" t="e">
        <f ca="1">(LN(Table20[[#This Row],[Current Price]]/Table20[[#This Row],[strike_price]]) + ($B$2 + (Table20[[#This Row],[Vol]]^2)/2)*Table20[[#This Row],[Time to expiration]]) / (Table20[[#This Row],[Vol]] * SQRT(Table20[[#This Row],[Time to expiration]]))</f>
        <v>#NUM!</v>
      </c>
      <c r="Y298" s="30" t="e">
        <f ca="1">IF(Table20[[#This Row],[Direction]]&gt;0, _xlfn.NORM.S.DIST(Table20[[#This Row],[d1]], TRUE), _xlfn.NORM.S.DIST(Table20[[#This Row],[d1]], TRUE) - 1) * Table20[[#This Row],[Buy or Sell]]</f>
        <v>#NUM!</v>
      </c>
      <c r="Z298" s="9">
        <f ca="1">Table20[[#This Row],[Remaining]]*Table20[[#This Row],[Current Price]]*100</f>
        <v>0</v>
      </c>
      <c r="AA298" s="22">
        <f ca="1">IFERROR(Table20[[#This Row],[nominal_exposure]]*Table20[[#This Row],[Delta]],0)</f>
        <v>0</v>
      </c>
      <c r="AB298" s="30" t="b">
        <f>IF(Table20[[#This Row],[date_purchased]]&lt;&gt;Table20[[#This Row],[Expiration Date]],FALSE,TRUE)</f>
        <v>0</v>
      </c>
      <c r="AC298" s="30" t="str">
        <f>VLOOKUP(Table20[[#This Row],[Asset]],Table19[#All],3,FALSE)</f>
        <v>AI</v>
      </c>
      <c r="AD298" s="30">
        <f>IF(Table20[[#This Row],[Remaining]]&lt;&gt;0,Table20[[#This Row],[Invested]]*Table20[[#This Row],[Remaining]]/Table20[[#This Row],[Number of options]],0)</f>
        <v>0</v>
      </c>
      <c r="AE298" s="30">
        <f ca="1">SUMIF(Table20[Ticker],Table20[[#This Row],[Ticker]],Table20[realized_profit])</f>
        <v>-153.9999999999996</v>
      </c>
      <c r="AF298" s="30" t="str">
        <f>VLOOKUP(Table20[[#This Row],[Strategy]],Table29[#All],7,FALSE)</f>
        <v>Bearish</v>
      </c>
    </row>
    <row r="299" spans="1:32" hidden="1">
      <c r="A299" s="35">
        <v>45534</v>
      </c>
      <c r="B299" s="21" t="e" vm="96">
        <v>#VALUE!</v>
      </c>
      <c r="C299" s="109" t="str" cm="1">
        <f t="array" aca="1" ref="C299" ca="1">_FV(Table20[[#This Row],[Asset]],"Ticker symbol",TRUE)</f>
        <v>SPY</v>
      </c>
      <c r="D299" s="26" cm="1">
        <f t="array" aca="1" ref="D299" ca="1">_FV(Table20[[#This Row],[Asset]],"Price")</f>
        <v>658.59</v>
      </c>
      <c r="E299" s="26">
        <v>500</v>
      </c>
      <c r="F299" s="33">
        <v>4</v>
      </c>
      <c r="G299" s="34">
        <v>1</v>
      </c>
      <c r="H299" s="34" t="s">
        <v>161</v>
      </c>
      <c r="I299" s="31">
        <v>45506</v>
      </c>
      <c r="J299" s="26">
        <v>2.81</v>
      </c>
      <c r="K299" s="24">
        <v>0.25159999999999999</v>
      </c>
      <c r="L299" s="33">
        <f>VLOOKUP(Table20[[#This Row],[Strategy]],Table29[#All],6,FALSE)</f>
        <v>-1</v>
      </c>
      <c r="M299" s="23">
        <v>4</v>
      </c>
      <c r="N299" s="23">
        <v>0.86</v>
      </c>
      <c r="O299" s="23"/>
      <c r="P299" s="23"/>
      <c r="Q299">
        <f>Table20[[#This Row],[Exit1]]*Table20[[#This Row],[ex1_price]]</f>
        <v>3.44</v>
      </c>
      <c r="R299">
        <f>Table20[[#This Row],[Exit2]]*Table20[[#This Row],[ex2_price]]</f>
        <v>0</v>
      </c>
      <c r="S299">
        <f>IFERROR((Table20[[#This Row],[ex2_amnt]]+Table20[[#This Row],[ex1_amnt]])/(Table20[[#This Row],[Exit2]]+Table20[[#This Row],[Exit1]]),0)</f>
        <v>0.86</v>
      </c>
      <c r="T299" s="5">
        <f>(Table20[[#This Row],[Exit1]]+Table20[[#This Row],[Exit2]])*(Table20[[#This Row],[avg_exit_price]]-Table20[[#This Row],[AvePrice]])*100*Table20[[#This Row],[Buy or Sell]]</f>
        <v>-780.00000000000011</v>
      </c>
      <c r="U299" s="5">
        <f>Table20[[#This Row],[Number of options]]*Table20[[#This Row],[AvePrice]]*100*Table20[[#This Row],[Buy or Sell]]</f>
        <v>1124</v>
      </c>
      <c r="V299" s="8">
        <f>Table20[[#This Row],[Number of options]]-Table20[[#This Row],[Exit1]]-Table20[[#This Row],[Exit2]]</f>
        <v>0</v>
      </c>
      <c r="W299" s="30">
        <f ca="1">(Table20[[#This Row],[Expiration Date]]-TODAY())/365</f>
        <v>-1.5698630136986302</v>
      </c>
      <c r="X299" s="30" t="e">
        <f ca="1">(LN(Table20[[#This Row],[Current Price]]/Table20[[#This Row],[strike_price]]) + ($B$2 + (Table20[[#This Row],[Vol]]^2)/2)*Table20[[#This Row],[Time to expiration]]) / (Table20[[#This Row],[Vol]] * SQRT(Table20[[#This Row],[Time to expiration]]))</f>
        <v>#NUM!</v>
      </c>
      <c r="Y299" s="30" t="e">
        <f ca="1">IF(Table20[[#This Row],[Direction]]&gt;0, _xlfn.NORM.S.DIST(Table20[[#This Row],[d1]], TRUE), _xlfn.NORM.S.DIST(Table20[[#This Row],[d1]], TRUE) - 1) * Table20[[#This Row],[Buy or Sell]]</f>
        <v>#NUM!</v>
      </c>
      <c r="Z299" s="9">
        <f ca="1">Table20[[#This Row],[Remaining]]*Table20[[#This Row],[Current Price]]*100</f>
        <v>0</v>
      </c>
      <c r="AA299" s="22">
        <f ca="1">IFERROR(Table20[[#This Row],[nominal_exposure]]*Table20[[#This Row],[Delta]],0)</f>
        <v>0</v>
      </c>
      <c r="AB299" s="30" t="b">
        <f>IF(Table20[[#This Row],[date_purchased]]&lt;&gt;Table20[[#This Row],[Expiration Date]],FALSE,TRUE)</f>
        <v>0</v>
      </c>
      <c r="AC299" s="30" t="str">
        <f>VLOOKUP(Table20[[#This Row],[Asset]],Table19[#All],3,FALSE)</f>
        <v>Market</v>
      </c>
      <c r="AD299" s="4">
        <f>IF(Table20[[#This Row],[Remaining]]&lt;&gt;0,Table20[[#This Row],[Invested]]*Table20[[#This Row],[Remaining]]/Table20[[#This Row],[Number of options]],0)</f>
        <v>0</v>
      </c>
      <c r="AE299" s="4">
        <f ca="1">SUMIF(Table20[Ticker],Table20[[#This Row],[Ticker]],Table20[realized_profit])</f>
        <v>-5077</v>
      </c>
      <c r="AF299" s="30" t="str">
        <f>VLOOKUP(Table20[[#This Row],[Strategy]],Table29[#All],7,FALSE)</f>
        <v>Bearish</v>
      </c>
    </row>
    <row r="300" spans="1:32" hidden="1">
      <c r="A300" s="35">
        <v>45534</v>
      </c>
      <c r="B300" s="21" t="e" vm="96">
        <v>#VALUE!</v>
      </c>
      <c r="C300" s="109" t="str" cm="1">
        <f t="array" aca="1" ref="C300" ca="1">_FV(Table20[[#This Row],[Asset]],"Ticker symbol",TRUE)</f>
        <v>SPY</v>
      </c>
      <c r="D300" s="26" cm="1">
        <f t="array" aca="1" ref="D300" ca="1">_FV(Table20[[#This Row],[Asset]],"Price")</f>
        <v>658.59</v>
      </c>
      <c r="E300" s="26">
        <v>530</v>
      </c>
      <c r="F300" s="33">
        <v>2</v>
      </c>
      <c r="G300" s="34">
        <v>1</v>
      </c>
      <c r="H300" s="34" t="s">
        <v>161</v>
      </c>
      <c r="I300" s="31">
        <v>45505</v>
      </c>
      <c r="J300" s="26">
        <v>2.41</v>
      </c>
      <c r="K300" s="24">
        <v>0.17519999999999999</v>
      </c>
      <c r="L300" s="33">
        <f>VLOOKUP(Table20[[#This Row],[Strategy]],Table29[#All],6,FALSE)</f>
        <v>-1</v>
      </c>
      <c r="M300" s="23">
        <v>2</v>
      </c>
      <c r="N300" s="23">
        <v>11.43</v>
      </c>
      <c r="O300" s="23"/>
      <c r="P300" s="23"/>
      <c r="Q300">
        <f>Table20[[#This Row],[Exit1]]*Table20[[#This Row],[ex1_price]]</f>
        <v>22.86</v>
      </c>
      <c r="R300">
        <f>Table20[[#This Row],[Exit2]]*Table20[[#This Row],[ex2_price]]</f>
        <v>0</v>
      </c>
      <c r="S300">
        <f>IFERROR((Table20[[#This Row],[ex2_amnt]]+Table20[[#This Row],[ex1_amnt]])/(Table20[[#This Row],[Exit2]]+Table20[[#This Row],[Exit1]]),0)</f>
        <v>11.43</v>
      </c>
      <c r="T300" s="5">
        <f>(Table20[[#This Row],[Exit1]]+Table20[[#This Row],[Exit2]])*(Table20[[#This Row],[avg_exit_price]]-Table20[[#This Row],[AvePrice]])*100*Table20[[#This Row],[Buy or Sell]]</f>
        <v>1804</v>
      </c>
      <c r="U300" s="5">
        <f>Table20[[#This Row],[Number of options]]*Table20[[#This Row],[AvePrice]]*100*Table20[[#This Row],[Buy or Sell]]</f>
        <v>482</v>
      </c>
      <c r="V300" s="8">
        <f>Table20[[#This Row],[Number of options]]-Table20[[#This Row],[Exit1]]-Table20[[#This Row],[Exit2]]</f>
        <v>0</v>
      </c>
      <c r="W300" s="30">
        <f ca="1">(Table20[[#This Row],[Expiration Date]]-TODAY())/365</f>
        <v>-1.5698630136986302</v>
      </c>
      <c r="X300" s="30" t="e">
        <f ca="1">(LN(Table20[[#This Row],[Current Price]]/Table20[[#This Row],[strike_price]]) + ($B$2 + (Table20[[#This Row],[Vol]]^2)/2)*Table20[[#This Row],[Time to expiration]]) / (Table20[[#This Row],[Vol]] * SQRT(Table20[[#This Row],[Time to expiration]]))</f>
        <v>#NUM!</v>
      </c>
      <c r="Y300" s="30" t="e">
        <f ca="1">IF(Table20[[#This Row],[Direction]]&gt;0, _xlfn.NORM.S.DIST(Table20[[#This Row],[d1]], TRUE), _xlfn.NORM.S.DIST(Table20[[#This Row],[d1]], TRUE) - 1) * Table20[[#This Row],[Buy or Sell]]</f>
        <v>#NUM!</v>
      </c>
      <c r="Z300" s="9">
        <f ca="1">Table20[[#This Row],[Remaining]]*Table20[[#This Row],[Current Price]]*100</f>
        <v>0</v>
      </c>
      <c r="AA300" s="22">
        <f ca="1">IFERROR(Table20[[#This Row],[nominal_exposure]]*Table20[[#This Row],[Delta]],0)</f>
        <v>0</v>
      </c>
      <c r="AB300" s="30" t="b">
        <f>IF(Table20[[#This Row],[date_purchased]]&lt;&gt;Table20[[#This Row],[Expiration Date]],FALSE,TRUE)</f>
        <v>0</v>
      </c>
      <c r="AC300" s="30" t="str">
        <f>VLOOKUP(Table20[[#This Row],[Asset]],Table19[#All],3,FALSE)</f>
        <v>Market</v>
      </c>
      <c r="AD300" s="4">
        <f>IF(Table20[[#This Row],[Remaining]]&lt;&gt;0,Table20[[#This Row],[Invested]]*Table20[[#This Row],[Remaining]]/Table20[[#This Row],[Number of options]],0)</f>
        <v>0</v>
      </c>
      <c r="AE300" s="30">
        <f ca="1">SUMIF(Table20[Ticker],Table20[[#This Row],[Ticker]],Table20[realized_profit])</f>
        <v>-5077</v>
      </c>
      <c r="AF300" s="30" t="str">
        <f>VLOOKUP(Table20[[#This Row],[Strategy]],Table29[#All],7,FALSE)</f>
        <v>Bearish</v>
      </c>
    </row>
    <row r="301" spans="1:32" hidden="1">
      <c r="A301" s="118">
        <v>45534</v>
      </c>
      <c r="B301" s="21" t="e" vm="96">
        <v>#VALUE!</v>
      </c>
      <c r="C301" s="109" t="str" cm="1">
        <f t="array" aca="1" ref="C301" ca="1">_FV(Table20[[#This Row],[Asset]],"Ticker symbol",TRUE)</f>
        <v>SPY</v>
      </c>
      <c r="D301" s="26" cm="1">
        <f t="array" aca="1" ref="D301" ca="1">_FV(Table20[[#This Row],[Asset]],"Price")</f>
        <v>658.59</v>
      </c>
      <c r="E301" s="26">
        <v>430</v>
      </c>
      <c r="F301" s="33">
        <v>2</v>
      </c>
      <c r="G301" s="34">
        <v>1</v>
      </c>
      <c r="H301" s="34" t="s">
        <v>161</v>
      </c>
      <c r="I301" s="31">
        <v>45509</v>
      </c>
      <c r="J301" s="26">
        <v>3.63</v>
      </c>
      <c r="K301" s="24">
        <v>0.57850000000000001</v>
      </c>
      <c r="L301" s="33">
        <f>VLOOKUP(Table20[[#This Row],[Strategy]],Table29[#All],6,FALSE)</f>
        <v>-1</v>
      </c>
      <c r="M301" s="23">
        <v>2</v>
      </c>
      <c r="N301" s="23">
        <v>0</v>
      </c>
      <c r="O301" s="23"/>
      <c r="P301" s="23"/>
      <c r="Q301">
        <f>Table20[[#This Row],[Exit1]]*Table20[[#This Row],[ex1_price]]</f>
        <v>0</v>
      </c>
      <c r="R301">
        <f>Table20[[#This Row],[Exit2]]*Table20[[#This Row],[ex2_price]]</f>
        <v>0</v>
      </c>
      <c r="S301">
        <f>IFERROR((Table20[[#This Row],[ex2_amnt]]+Table20[[#This Row],[ex1_amnt]])/(Table20[[#This Row],[Exit2]]+Table20[[#This Row],[Exit1]]),0)</f>
        <v>0</v>
      </c>
      <c r="T301" s="5">
        <f>(Table20[[#This Row],[Exit1]]+Table20[[#This Row],[Exit2]])*(Table20[[#This Row],[avg_exit_price]]-Table20[[#This Row],[AvePrice]])*100*Table20[[#This Row],[Buy or Sell]]</f>
        <v>-726</v>
      </c>
      <c r="U301" s="5">
        <f>Table20[[#This Row],[Number of options]]*Table20[[#This Row],[AvePrice]]*100*Table20[[#This Row],[Buy or Sell]]</f>
        <v>726</v>
      </c>
      <c r="V301" s="8">
        <f>Table20[[#This Row],[Number of options]]-Table20[[#This Row],[Exit1]]-Table20[[#This Row],[Exit2]]</f>
        <v>0</v>
      </c>
      <c r="W301" s="30">
        <f ca="1">(Table20[[#This Row],[Expiration Date]]-TODAY())/365</f>
        <v>-1.5698630136986302</v>
      </c>
      <c r="X301" s="30" t="e">
        <f ca="1">(LN(Table20[[#This Row],[Current Price]]/Table20[[#This Row],[strike_price]]) + ($B$2 + (Table20[[#This Row],[Vol]]^2)/2)*Table20[[#This Row],[Time to expiration]]) / (Table20[[#This Row],[Vol]] * SQRT(Table20[[#This Row],[Time to expiration]]))</f>
        <v>#NUM!</v>
      </c>
      <c r="Y301" s="30" t="e">
        <f ca="1">IF(Table20[[#This Row],[Direction]]&gt;0, _xlfn.NORM.S.DIST(Table20[[#This Row],[d1]], TRUE), _xlfn.NORM.S.DIST(Table20[[#This Row],[d1]], TRUE) - 1) * Table20[[#This Row],[Buy or Sell]]</f>
        <v>#NUM!</v>
      </c>
      <c r="Z301" s="9">
        <f ca="1">Table20[[#This Row],[Remaining]]*Table20[[#This Row],[Current Price]]*100</f>
        <v>0</v>
      </c>
      <c r="AA301" s="22">
        <f ca="1">IFERROR(Table20[[#This Row],[nominal_exposure]]*Table20[[#This Row],[Delta]],0)</f>
        <v>0</v>
      </c>
      <c r="AB301" s="30" t="b">
        <f>IF(Table20[[#This Row],[date_purchased]]&lt;&gt;Table20[[#This Row],[Expiration Date]],FALSE,TRUE)</f>
        <v>0</v>
      </c>
      <c r="AC301" s="30" t="str">
        <f>VLOOKUP(Table20[[#This Row],[Asset]],Table19[#All],3,FALSE)</f>
        <v>Market</v>
      </c>
      <c r="AD301" s="4">
        <f>IF(Table20[[#This Row],[Remaining]]&lt;&gt;0,Table20[[#This Row],[Invested]]*Table20[[#This Row],[Remaining]]/Table20[[#This Row],[Number of options]],0)</f>
        <v>0</v>
      </c>
      <c r="AE301" s="4">
        <f ca="1">SUMIF(Table20[Ticker],Table20[[#This Row],[Ticker]],Table20[realized_profit])</f>
        <v>-5077</v>
      </c>
      <c r="AF301" s="30" t="str">
        <f>VLOOKUP(Table20[[#This Row],[Strategy]],Table29[#All],7,FALSE)</f>
        <v>Bearish</v>
      </c>
    </row>
    <row r="302" spans="1:32" hidden="1">
      <c r="A302" s="35">
        <v>45527</v>
      </c>
      <c r="B302" s="21" t="e" vm="96">
        <v>#VALUE!</v>
      </c>
      <c r="C302" s="109" t="str" cm="1">
        <f t="array" aca="1" ref="C302" ca="1">_FV(Table20[[#This Row],[Asset]],"Ticker symbol",TRUE)</f>
        <v>SPY</v>
      </c>
      <c r="D302" s="26" cm="1">
        <f t="array" aca="1" ref="D302" ca="1">_FV(Table20[[#This Row],[Asset]],"Price")</f>
        <v>658.59</v>
      </c>
      <c r="E302" s="26">
        <v>550</v>
      </c>
      <c r="F302" s="33">
        <v>3</v>
      </c>
      <c r="G302" s="34">
        <v>1</v>
      </c>
      <c r="H302" s="34" t="s">
        <v>65</v>
      </c>
      <c r="I302" s="31">
        <v>45519</v>
      </c>
      <c r="J302" s="26">
        <v>2.83</v>
      </c>
      <c r="K302" s="24">
        <v>0.13</v>
      </c>
      <c r="L302" s="33">
        <f>VLOOKUP(Table20[[#This Row],[Strategy]],Table29[#All],6,FALSE)</f>
        <v>-1</v>
      </c>
      <c r="M302" s="23">
        <v>3</v>
      </c>
      <c r="N302" s="23">
        <v>2.64</v>
      </c>
      <c r="O302" s="23"/>
      <c r="P302" s="23"/>
      <c r="Q302">
        <f>Table20[[#This Row],[Exit1]]*Table20[[#This Row],[ex1_price]]</f>
        <v>7.92</v>
      </c>
      <c r="R302">
        <f>Table20[[#This Row],[Exit2]]*Table20[[#This Row],[ex2_price]]</f>
        <v>0</v>
      </c>
      <c r="S302">
        <f>IFERROR((Table20[[#This Row],[ex2_amnt]]+Table20[[#This Row],[ex1_amnt]])/(Table20[[#This Row],[Exit2]]+Table20[[#This Row],[Exit1]]),0)</f>
        <v>2.64</v>
      </c>
      <c r="T302" s="5">
        <f>(Table20[[#This Row],[Exit1]]+Table20[[#This Row],[Exit2]])*(Table20[[#This Row],[avg_exit_price]]-Table20[[#This Row],[AvePrice]])*100*Table20[[#This Row],[Buy or Sell]]</f>
        <v>-56.999999999999986</v>
      </c>
      <c r="U302" s="5">
        <f>Table20[[#This Row],[Number of options]]*Table20[[#This Row],[AvePrice]]*100*Table20[[#This Row],[Buy or Sell]]</f>
        <v>849</v>
      </c>
      <c r="V302" s="8">
        <f>Table20[[#This Row],[Number of options]]-Table20[[#This Row],[Exit1]]-Table20[[#This Row],[Exit2]]</f>
        <v>0</v>
      </c>
      <c r="W302" s="30">
        <f ca="1">(Table20[[#This Row],[Expiration Date]]-TODAY())/365</f>
        <v>-1.5890410958904109</v>
      </c>
      <c r="X302" s="30" t="e">
        <f ca="1">(LN(Table20[[#This Row],[Current Price]]/Table20[[#This Row],[strike_price]]) + ($B$2 + (Table20[[#This Row],[Vol]]^2)/2)*Table20[[#This Row],[Time to expiration]]) / (Table20[[#This Row],[Vol]] * SQRT(Table20[[#This Row],[Time to expiration]]))</f>
        <v>#NUM!</v>
      </c>
      <c r="Y302" s="30" t="e">
        <f ca="1">IF(Table20[[#This Row],[Direction]]&gt;0, _xlfn.NORM.S.DIST(Table20[[#This Row],[d1]], TRUE), _xlfn.NORM.S.DIST(Table20[[#This Row],[d1]], TRUE) - 1) * Table20[[#This Row],[Buy or Sell]]</f>
        <v>#NUM!</v>
      </c>
      <c r="Z302" s="9">
        <f ca="1">Table20[[#This Row],[Remaining]]*Table20[[#This Row],[Current Price]]*100</f>
        <v>0</v>
      </c>
      <c r="AA302" s="22">
        <f ca="1">IFERROR(Table20[[#This Row],[nominal_exposure]]*Table20[[#This Row],[Delta]],0)</f>
        <v>0</v>
      </c>
      <c r="AB302" s="30" t="b">
        <f>IF(Table20[[#This Row],[date_purchased]]&lt;&gt;Table20[[#This Row],[Expiration Date]],FALSE,TRUE)</f>
        <v>0</v>
      </c>
      <c r="AC302" s="30" t="str">
        <f>VLOOKUP(Table20[[#This Row],[Asset]],Table19[#All],3,FALSE)</f>
        <v>Market</v>
      </c>
      <c r="AD302" s="30">
        <f>IF(Table20[[#This Row],[Remaining]]&lt;&gt;0,Table20[[#This Row],[Invested]]*Table20[[#This Row],[Remaining]]/Table20[[#This Row],[Number of options]],0)</f>
        <v>0</v>
      </c>
      <c r="AE302" s="30">
        <f ca="1">SUMIF(Table20[Ticker],Table20[[#This Row],[Ticker]],Table20[realized_profit])</f>
        <v>-5077</v>
      </c>
      <c r="AF302" s="30" t="str">
        <f>VLOOKUP(Table20[[#This Row],[Strategy]],Table29[#All],7,FALSE)</f>
        <v>Bearish</v>
      </c>
    </row>
    <row r="303" spans="1:32" hidden="1">
      <c r="A303" s="35">
        <v>45525</v>
      </c>
      <c r="B303" s="21" t="e" vm="96">
        <v>#VALUE!</v>
      </c>
      <c r="C303" s="109" t="str" cm="1">
        <f t="array" aca="1" ref="C303" ca="1">_FV(Table20[[#This Row],[Asset]],"Ticker symbol",TRUE)</f>
        <v>SPY</v>
      </c>
      <c r="D303" s="26" cm="1">
        <f t="array" aca="1" ref="D303" ca="1">_FV(Table20[[#This Row],[Asset]],"Price")</f>
        <v>658.59</v>
      </c>
      <c r="E303" s="26">
        <v>530</v>
      </c>
      <c r="F303" s="33">
        <v>5</v>
      </c>
      <c r="G303" s="34">
        <v>1</v>
      </c>
      <c r="H303" s="34" t="s">
        <v>65</v>
      </c>
      <c r="I303" s="31">
        <v>45525</v>
      </c>
      <c r="J303" s="26">
        <v>1.97</v>
      </c>
      <c r="K303" s="24"/>
      <c r="L303" s="33">
        <f>VLOOKUP(Table20[[#This Row],[Strategy]],Table29[#All],6,FALSE)</f>
        <v>-1</v>
      </c>
      <c r="M303" s="23">
        <v>2</v>
      </c>
      <c r="N303" s="23">
        <v>2.59</v>
      </c>
      <c r="O303" s="23">
        <v>3</v>
      </c>
      <c r="P303" s="23">
        <v>1.92</v>
      </c>
      <c r="Q303">
        <f>Table20[[#This Row],[Exit1]]*Table20[[#This Row],[ex1_price]]</f>
        <v>5.18</v>
      </c>
      <c r="R303">
        <f>Table20[[#This Row],[Exit2]]*Table20[[#This Row],[ex2_price]]</f>
        <v>5.76</v>
      </c>
      <c r="S303">
        <f>IFERROR((Table20[[#This Row],[ex2_amnt]]+Table20[[#This Row],[ex1_amnt]])/(Table20[[#This Row],[Exit2]]+Table20[[#This Row],[Exit1]]),0)</f>
        <v>2.1879999999999997</v>
      </c>
      <c r="T303" s="5">
        <f>(Table20[[#This Row],[Exit1]]+Table20[[#This Row],[Exit2]])*(Table20[[#This Row],[avg_exit_price]]-Table20[[#This Row],[AvePrice]])*100*Table20[[#This Row],[Buy or Sell]]</f>
        <v>108.99999999999987</v>
      </c>
      <c r="U303" s="5">
        <f>Table20[[#This Row],[Number of options]]*Table20[[#This Row],[AvePrice]]*100*Table20[[#This Row],[Buy or Sell]]</f>
        <v>985</v>
      </c>
      <c r="V303" s="8">
        <f>Table20[[#This Row],[Number of options]]-Table20[[#This Row],[Exit1]]-Table20[[#This Row],[Exit2]]</f>
        <v>0</v>
      </c>
      <c r="W303" s="30">
        <f ca="1">(Table20[[#This Row],[Expiration Date]]-TODAY())/365</f>
        <v>-1.5945205479452054</v>
      </c>
      <c r="X303" s="30" t="e">
        <f ca="1">(LN(Table20[[#This Row],[Current Price]]/Table20[[#This Row],[strike_price]]) + ($B$2 + (Table20[[#This Row],[Vol]]^2)/2)*Table20[[#This Row],[Time to expiration]]) / (Table20[[#This Row],[Vol]] * SQRT(Table20[[#This Row],[Time to expiration]]))</f>
        <v>#NUM!</v>
      </c>
      <c r="Y303" s="30" t="e">
        <f ca="1">IF(Table20[[#This Row],[Direction]]&gt;0, _xlfn.NORM.S.DIST(Table20[[#This Row],[d1]], TRUE), _xlfn.NORM.S.DIST(Table20[[#This Row],[d1]], TRUE) - 1) * Table20[[#This Row],[Buy or Sell]]</f>
        <v>#NUM!</v>
      </c>
      <c r="Z303" s="9">
        <f ca="1">Table20[[#This Row],[Remaining]]*Table20[[#This Row],[Current Price]]*100</f>
        <v>0</v>
      </c>
      <c r="AA303" s="22">
        <f ca="1">IFERROR(Table20[[#This Row],[nominal_exposure]]*Table20[[#This Row],[Delta]],0)</f>
        <v>0</v>
      </c>
      <c r="AB303" s="30" t="b">
        <f>IF(Table20[[#This Row],[date_purchased]]&lt;&gt;Table20[[#This Row],[Expiration Date]],FALSE,TRUE)</f>
        <v>1</v>
      </c>
      <c r="AC303" s="30" t="str">
        <f>VLOOKUP(Table20[[#This Row],[Asset]],Table19[#All],3,FALSE)</f>
        <v>Market</v>
      </c>
      <c r="AD303" s="30">
        <f>IF(Table20[[#This Row],[Remaining]]&lt;&gt;0,Table20[[#This Row],[Invested]]*Table20[[#This Row],[Remaining]]/Table20[[#This Row],[Number of options]],0)</f>
        <v>0</v>
      </c>
      <c r="AE303" s="30">
        <f ca="1">SUMIF(Table20[Ticker],Table20[[#This Row],[Ticker]],Table20[realized_profit])</f>
        <v>-5077</v>
      </c>
      <c r="AF303" s="30" t="str">
        <f>VLOOKUP(Table20[[#This Row],[Strategy]],Table29[#All],7,FALSE)</f>
        <v>Bearish</v>
      </c>
    </row>
    <row r="304" spans="1:32" hidden="1">
      <c r="A304" s="35">
        <v>45520</v>
      </c>
      <c r="B304" s="21" t="e" vm="96">
        <v>#VALUE!</v>
      </c>
      <c r="C304" s="109" t="str" cm="1">
        <f t="array" aca="1" ref="C304" ca="1">_FV(Table20[[#This Row],[Asset]],"Ticker symbol",TRUE)</f>
        <v>SPY</v>
      </c>
      <c r="D304" s="26" cm="1">
        <f t="array" aca="1" ref="D304" ca="1">_FV(Table20[[#This Row],[Asset]],"Price")</f>
        <v>658.59</v>
      </c>
      <c r="E304" s="26">
        <v>550</v>
      </c>
      <c r="F304" s="33">
        <v>4</v>
      </c>
      <c r="G304" s="34">
        <v>1</v>
      </c>
      <c r="H304" s="111" t="s">
        <v>65</v>
      </c>
      <c r="I304" s="31">
        <v>45489</v>
      </c>
      <c r="J304" s="26">
        <v>2.76</v>
      </c>
      <c r="K304" s="24">
        <v>0.126</v>
      </c>
      <c r="L304" s="33">
        <f>VLOOKUP(Table20[[#This Row],[Strategy]],Table29[#All],6,FALSE)</f>
        <v>-1</v>
      </c>
      <c r="M304" s="23">
        <v>2</v>
      </c>
      <c r="N304" s="23">
        <v>6.17</v>
      </c>
      <c r="O304" s="23">
        <v>2</v>
      </c>
      <c r="P304" s="23">
        <v>8.49</v>
      </c>
      <c r="Q304">
        <f>Table20[[#This Row],[Exit1]]*Table20[[#This Row],[ex1_price]]</f>
        <v>12.34</v>
      </c>
      <c r="R304">
        <f>Table20[[#This Row],[Exit2]]*Table20[[#This Row],[ex2_price]]</f>
        <v>16.98</v>
      </c>
      <c r="S304">
        <f>IFERROR((Table20[[#This Row],[ex2_amnt]]+Table20[[#This Row],[ex1_amnt]])/(Table20[[#This Row],[Exit2]]+Table20[[#This Row],[Exit1]]),0)</f>
        <v>7.33</v>
      </c>
      <c r="T304" s="5">
        <f>(Table20[[#This Row],[Exit1]]+Table20[[#This Row],[Exit2]])*(Table20[[#This Row],[avg_exit_price]]-Table20[[#This Row],[AvePrice]])*100*Table20[[#This Row],[Buy or Sell]]</f>
        <v>1828</v>
      </c>
      <c r="U304" s="5">
        <f>Table20[[#This Row],[Number of options]]*Table20[[#This Row],[AvePrice]]*100*Table20[[#This Row],[Buy or Sell]]</f>
        <v>1104</v>
      </c>
      <c r="V304" s="8">
        <f>Table20[[#This Row],[Number of options]]-Table20[[#This Row],[Exit1]]-Table20[[#This Row],[Exit2]]</f>
        <v>0</v>
      </c>
      <c r="W304" s="30">
        <f ca="1">(Table20[[#This Row],[Expiration Date]]-TODAY())/365</f>
        <v>-1.6082191780821917</v>
      </c>
      <c r="X304" s="30" t="e">
        <f ca="1">(LN(Table20[[#This Row],[Current Price]]/Table20[[#This Row],[strike_price]]) + ($B$2 + (Table20[[#This Row],[Vol]]^2)/2)*Table20[[#This Row],[Time to expiration]]) / (Table20[[#This Row],[Vol]] * SQRT(Table20[[#This Row],[Time to expiration]]))</f>
        <v>#NUM!</v>
      </c>
      <c r="Y304" s="30" t="e">
        <f ca="1">IF(Table20[[#This Row],[Direction]]&gt;0, _xlfn.NORM.S.DIST(Table20[[#This Row],[d1]], TRUE), _xlfn.NORM.S.DIST(Table20[[#This Row],[d1]], TRUE) - 1) * Table20[[#This Row],[Buy or Sell]]</f>
        <v>#NUM!</v>
      </c>
      <c r="Z304" s="9">
        <f ca="1">Table20[[#This Row],[Remaining]]*Table20[[#This Row],[Current Price]]*100</f>
        <v>0</v>
      </c>
      <c r="AA304" s="22">
        <f ca="1">IFERROR(Table20[[#This Row],[nominal_exposure]]*Table20[[#This Row],[Delta]],0)</f>
        <v>0</v>
      </c>
      <c r="AB304" s="95" t="b">
        <f>IF(Table20[[#This Row],[date_purchased]]&lt;&gt;Table20[[#This Row],[Expiration Date]],FALSE,TRUE)</f>
        <v>0</v>
      </c>
      <c r="AC304" s="30" t="str">
        <f>VLOOKUP(Table20[[#This Row],[Asset]],Table19[#All],3,FALSE)</f>
        <v>Market</v>
      </c>
      <c r="AD304" s="30">
        <f>IF(Table20[[#This Row],[Remaining]]&lt;&gt;0,Table20[[#This Row],[Invested]]*Table20[[#This Row],[Remaining]]/Table20[[#This Row],[Number of options]],0)</f>
        <v>0</v>
      </c>
      <c r="AE304" s="30">
        <f ca="1">SUMIF(Table20[Ticker],Table20[[#This Row],[Ticker]],Table20[realized_profit])</f>
        <v>-5077</v>
      </c>
      <c r="AF304" s="30" t="str">
        <f>VLOOKUP(Table20[[#This Row],[Strategy]],Table29[#All],7,FALSE)</f>
        <v>Bearish</v>
      </c>
    </row>
    <row r="305" spans="1:32" hidden="1">
      <c r="A305" s="35">
        <v>45520</v>
      </c>
      <c r="B305" s="21" t="e" vm="96">
        <v>#VALUE!</v>
      </c>
      <c r="C305" s="109" t="str" cm="1">
        <f t="array" aca="1" ref="C305" ca="1">_FV(Table20[[#This Row],[Asset]],"Ticker symbol",TRUE)</f>
        <v>SPY</v>
      </c>
      <c r="D305" s="26" cm="1">
        <f t="array" aca="1" ref="D305" ca="1">_FV(Table20[[#This Row],[Asset]],"Price")</f>
        <v>658.59</v>
      </c>
      <c r="E305" s="26">
        <v>500</v>
      </c>
      <c r="F305" s="33">
        <v>2</v>
      </c>
      <c r="G305" s="34">
        <v>-1</v>
      </c>
      <c r="H305" s="111" t="s">
        <v>112</v>
      </c>
      <c r="I305" s="31">
        <v>45463</v>
      </c>
      <c r="J305" s="26">
        <v>1.36</v>
      </c>
      <c r="K305" s="24">
        <v>0.1749</v>
      </c>
      <c r="L305" s="33">
        <f>VLOOKUP(Table20[[#This Row],[Strategy]],Table29[#All],6,FALSE)</f>
        <v>-1</v>
      </c>
      <c r="M305" s="23">
        <v>2</v>
      </c>
      <c r="N305" s="23">
        <v>1.02</v>
      </c>
      <c r="O305" s="23"/>
      <c r="P305" s="23"/>
      <c r="Q305">
        <f>Table20[[#This Row],[Exit1]]*Table20[[#This Row],[ex1_price]]</f>
        <v>2.04</v>
      </c>
      <c r="R305">
        <f>Table20[[#This Row],[Exit2]]*Table20[[#This Row],[ex2_price]]</f>
        <v>0</v>
      </c>
      <c r="S305">
        <f>IFERROR((Table20[[#This Row],[ex2_amnt]]+Table20[[#This Row],[ex1_amnt]])/(Table20[[#This Row],[Exit2]]+Table20[[#This Row],[Exit1]]),0)</f>
        <v>1.02</v>
      </c>
      <c r="T305" s="5">
        <f>(Table20[[#This Row],[Exit1]]+Table20[[#This Row],[Exit2]])*(Table20[[#This Row],[avg_exit_price]]-Table20[[#This Row],[AvePrice]])*100*Table20[[#This Row],[Buy or Sell]]</f>
        <v>68.000000000000014</v>
      </c>
      <c r="U305" s="5">
        <f>Table20[[#This Row],[Number of options]]*Table20[[#This Row],[AvePrice]]*100*Table20[[#This Row],[Buy or Sell]]</f>
        <v>-272</v>
      </c>
      <c r="V305" s="8">
        <f>Table20[[#This Row],[Number of options]]-Table20[[#This Row],[Exit1]]-Table20[[#This Row],[Exit2]]</f>
        <v>0</v>
      </c>
      <c r="W305" s="30">
        <f ca="1">(Table20[[#This Row],[Expiration Date]]-TODAY())/365</f>
        <v>-1.6082191780821917</v>
      </c>
      <c r="X305" s="30" t="e">
        <f ca="1">(LN(Table20[[#This Row],[Current Price]]/Table20[[#This Row],[strike_price]]) + ($B$2 + (Table20[[#This Row],[Vol]]^2)/2)*Table20[[#This Row],[Time to expiration]]) / (Table20[[#This Row],[Vol]] * SQRT(Table20[[#This Row],[Time to expiration]]))</f>
        <v>#NUM!</v>
      </c>
      <c r="Y305" s="30" t="e">
        <f ca="1">IF(Table20[[#This Row],[Direction]]&gt;0, _xlfn.NORM.S.DIST(Table20[[#This Row],[d1]], TRUE), _xlfn.NORM.S.DIST(Table20[[#This Row],[d1]], TRUE) - 1) * Table20[[#This Row],[Buy or Sell]]</f>
        <v>#NUM!</v>
      </c>
      <c r="Z305" s="9">
        <f ca="1">Table20[[#This Row],[Remaining]]*Table20[[#This Row],[Current Price]]*100</f>
        <v>0</v>
      </c>
      <c r="AA305" s="22">
        <f ca="1">IFERROR(Table20[[#This Row],[nominal_exposure]]*Table20[[#This Row],[Delta]],0)</f>
        <v>0</v>
      </c>
      <c r="AB305" s="99" t="b">
        <f>IF(Table20[[#This Row],[date_purchased]]&lt;&gt;Table20[[#This Row],[Expiration Date]],FALSE,TRUE)</f>
        <v>0</v>
      </c>
      <c r="AC305" s="30" t="str">
        <f>VLOOKUP(Table20[[#This Row],[Asset]],Table19[#All],3,FALSE)</f>
        <v>Market</v>
      </c>
      <c r="AD305" s="30">
        <f>IF(Table20[[#This Row],[Remaining]]&lt;&gt;0,Table20[[#This Row],[Invested]]*Table20[[#This Row],[Remaining]]/Table20[[#This Row],[Number of options]],0)</f>
        <v>0</v>
      </c>
      <c r="AE305" s="30">
        <f ca="1">SUMIF(Table20[Ticker],Table20[[#This Row],[Ticker]],Table20[realized_profit])</f>
        <v>-5077</v>
      </c>
      <c r="AF305" s="30" t="str">
        <f>VLOOKUP(Table20[[#This Row],[Strategy]],Table29[#All],7,FALSE)</f>
        <v>Bearish</v>
      </c>
    </row>
    <row r="306" spans="1:32" hidden="1">
      <c r="A306" s="35">
        <v>45520</v>
      </c>
      <c r="B306" s="21" t="e" vm="96">
        <v>#VALUE!</v>
      </c>
      <c r="C306" s="109" t="str" cm="1">
        <f t="array" aca="1" ref="C306" ca="1">_FV(Table20[[#This Row],[Asset]],"Ticker symbol",TRUE)</f>
        <v>SPY</v>
      </c>
      <c r="D306" s="26" cm="1">
        <f t="array" aca="1" ref="D306" ca="1">_FV(Table20[[#This Row],[Asset]],"Price")</f>
        <v>658.59</v>
      </c>
      <c r="E306" s="26">
        <v>530</v>
      </c>
      <c r="F306" s="33">
        <v>2</v>
      </c>
      <c r="G306" s="34">
        <v>1</v>
      </c>
      <c r="H306" s="111" t="s">
        <v>112</v>
      </c>
      <c r="I306" s="31">
        <v>45463</v>
      </c>
      <c r="J306" s="26">
        <v>3.83</v>
      </c>
      <c r="K306" s="24">
        <v>0.13120000000000001</v>
      </c>
      <c r="L306" s="33">
        <f>VLOOKUP(Table20[[#This Row],[Strategy]],Table29[#All],6,FALSE)</f>
        <v>-1</v>
      </c>
      <c r="M306" s="23">
        <v>2</v>
      </c>
      <c r="N306" s="23">
        <v>4.12</v>
      </c>
      <c r="O306" s="23"/>
      <c r="P306" s="23"/>
      <c r="Q306">
        <f>Table20[[#This Row],[Exit1]]*Table20[[#This Row],[ex1_price]]</f>
        <v>8.24</v>
      </c>
      <c r="R306">
        <f>Table20[[#This Row],[Exit2]]*Table20[[#This Row],[ex2_price]]</f>
        <v>0</v>
      </c>
      <c r="S306">
        <f>IFERROR((Table20[[#This Row],[ex2_amnt]]+Table20[[#This Row],[ex1_amnt]])/(Table20[[#This Row],[Exit2]]+Table20[[#This Row],[Exit1]]),0)</f>
        <v>4.12</v>
      </c>
      <c r="T306" s="5">
        <f>(Table20[[#This Row],[Exit1]]+Table20[[#This Row],[Exit2]])*(Table20[[#This Row],[avg_exit_price]]-Table20[[#This Row],[AvePrice]])*100*Table20[[#This Row],[Buy or Sell]]</f>
        <v>58.000000000000007</v>
      </c>
      <c r="U306" s="5">
        <f>Table20[[#This Row],[Number of options]]*Table20[[#This Row],[AvePrice]]*100*Table20[[#This Row],[Buy or Sell]]</f>
        <v>766</v>
      </c>
      <c r="V306" s="8">
        <f>Table20[[#This Row],[Number of options]]-Table20[[#This Row],[Exit1]]-Table20[[#This Row],[Exit2]]</f>
        <v>0</v>
      </c>
      <c r="W306" s="30">
        <f ca="1">(Table20[[#This Row],[Expiration Date]]-TODAY())/365</f>
        <v>-1.6082191780821917</v>
      </c>
      <c r="X306" s="30" t="e">
        <f ca="1">(LN(Table20[[#This Row],[Current Price]]/Table20[[#This Row],[strike_price]]) + ($B$2 + (Table20[[#This Row],[Vol]]^2)/2)*Table20[[#This Row],[Time to expiration]]) / (Table20[[#This Row],[Vol]] * SQRT(Table20[[#This Row],[Time to expiration]]))</f>
        <v>#NUM!</v>
      </c>
      <c r="Y306" s="30" t="e">
        <f ca="1">IF(Table20[[#This Row],[Direction]]&gt;0, _xlfn.NORM.S.DIST(Table20[[#This Row],[d1]], TRUE), _xlfn.NORM.S.DIST(Table20[[#This Row],[d1]], TRUE) - 1) * Table20[[#This Row],[Buy or Sell]]</f>
        <v>#NUM!</v>
      </c>
      <c r="Z306" s="9">
        <f ca="1">Table20[[#This Row],[Remaining]]*Table20[[#This Row],[Current Price]]*100</f>
        <v>0</v>
      </c>
      <c r="AA306" s="22">
        <f ca="1">IFERROR(Table20[[#This Row],[nominal_exposure]]*Table20[[#This Row],[Delta]],0)</f>
        <v>0</v>
      </c>
      <c r="AB306" s="99" t="b">
        <f>IF(Table20[[#This Row],[date_purchased]]&lt;&gt;Table20[[#This Row],[Expiration Date]],FALSE,TRUE)</f>
        <v>0</v>
      </c>
      <c r="AC306" s="30" t="str">
        <f>VLOOKUP(Table20[[#This Row],[Asset]],Table19[#All],3,FALSE)</f>
        <v>Market</v>
      </c>
      <c r="AD306" s="30">
        <f>IF(Table20[[#This Row],[Remaining]]&lt;&gt;0,Table20[[#This Row],[Invested]]*Table20[[#This Row],[Remaining]]/Table20[[#This Row],[Number of options]],0)</f>
        <v>0</v>
      </c>
      <c r="AE306" s="30">
        <f ca="1">SUMIF(Table20[Ticker],Table20[[#This Row],[Ticker]],Table20[realized_profit])</f>
        <v>-5077</v>
      </c>
      <c r="AF306" s="30" t="str">
        <f>VLOOKUP(Table20[[#This Row],[Strategy]],Table29[#All],7,FALSE)</f>
        <v>Bearish</v>
      </c>
    </row>
    <row r="307" spans="1:32" hidden="1">
      <c r="A307" s="118">
        <v>45520</v>
      </c>
      <c r="B307" s="21" t="e" vm="96">
        <v>#VALUE!</v>
      </c>
      <c r="C307" s="109" t="str" cm="1">
        <f t="array" aca="1" ref="C307" ca="1">_FV(Table20[[#This Row],[Asset]],"Ticker symbol",TRUE)</f>
        <v>SPY</v>
      </c>
      <c r="D307" s="26" cm="1">
        <f t="array" aca="1" ref="D307" ca="1">_FV(Table20[[#This Row],[Asset]],"Price")</f>
        <v>658.59</v>
      </c>
      <c r="E307" s="26">
        <v>430</v>
      </c>
      <c r="F307" s="33">
        <v>2</v>
      </c>
      <c r="G307" s="34">
        <v>-1</v>
      </c>
      <c r="H307" s="34" t="s">
        <v>161</v>
      </c>
      <c r="I307" s="31">
        <v>45509</v>
      </c>
      <c r="J307" s="26">
        <v>1.93</v>
      </c>
      <c r="K307" s="24">
        <v>0.73380000000000001</v>
      </c>
      <c r="L307" s="33">
        <f>VLOOKUP(Table20[[#This Row],[Strategy]],Table29[#All],6,FALSE)</f>
        <v>-1</v>
      </c>
      <c r="M307" s="23">
        <v>2</v>
      </c>
      <c r="N307" s="23">
        <v>0</v>
      </c>
      <c r="O307" s="23"/>
      <c r="P307" s="23"/>
      <c r="Q307">
        <f>Table20[[#This Row],[Exit1]]*Table20[[#This Row],[ex1_price]]</f>
        <v>0</v>
      </c>
      <c r="R307">
        <f>Table20[[#This Row],[Exit2]]*Table20[[#This Row],[ex2_price]]</f>
        <v>0</v>
      </c>
      <c r="S307">
        <f>IFERROR((Table20[[#This Row],[ex2_amnt]]+Table20[[#This Row],[ex1_amnt]])/(Table20[[#This Row],[Exit2]]+Table20[[#This Row],[Exit1]]),0)</f>
        <v>0</v>
      </c>
      <c r="T307" s="5">
        <f>(Table20[[#This Row],[Exit1]]+Table20[[#This Row],[Exit2]])*(Table20[[#This Row],[avg_exit_price]]-Table20[[#This Row],[AvePrice]])*100*Table20[[#This Row],[Buy or Sell]]</f>
        <v>386</v>
      </c>
      <c r="U307" s="5">
        <f>Table20[[#This Row],[Number of options]]*Table20[[#This Row],[AvePrice]]*100*Table20[[#This Row],[Buy or Sell]]</f>
        <v>-386</v>
      </c>
      <c r="V307" s="8">
        <f>Table20[[#This Row],[Number of options]]-Table20[[#This Row],[Exit1]]-Table20[[#This Row],[Exit2]]</f>
        <v>0</v>
      </c>
      <c r="W307" s="30">
        <f ca="1">(Table20[[#This Row],[Expiration Date]]-TODAY())/365</f>
        <v>-1.6082191780821917</v>
      </c>
      <c r="X307" s="30" t="e">
        <f ca="1">(LN(Table20[[#This Row],[Current Price]]/Table20[[#This Row],[strike_price]]) + ($B$2 + (Table20[[#This Row],[Vol]]^2)/2)*Table20[[#This Row],[Time to expiration]]) / (Table20[[#This Row],[Vol]] * SQRT(Table20[[#This Row],[Time to expiration]]))</f>
        <v>#NUM!</v>
      </c>
      <c r="Y307" s="30" t="e">
        <f ca="1">IF(Table20[[#This Row],[Direction]]&gt;0, _xlfn.NORM.S.DIST(Table20[[#This Row],[d1]], TRUE), _xlfn.NORM.S.DIST(Table20[[#This Row],[d1]], TRUE) - 1) * Table20[[#This Row],[Buy or Sell]]</f>
        <v>#NUM!</v>
      </c>
      <c r="Z307" s="9">
        <f ca="1">Table20[[#This Row],[Remaining]]*Table20[[#This Row],[Current Price]]*100</f>
        <v>0</v>
      </c>
      <c r="AA307" s="22">
        <f ca="1">IFERROR(Table20[[#This Row],[nominal_exposure]]*Table20[[#This Row],[Delta]],0)</f>
        <v>0</v>
      </c>
      <c r="AB307" s="30" t="b">
        <f>IF(Table20[[#This Row],[date_purchased]]&lt;&gt;Table20[[#This Row],[Expiration Date]],FALSE,TRUE)</f>
        <v>0</v>
      </c>
      <c r="AC307" s="30" t="str">
        <f>VLOOKUP(Table20[[#This Row],[Asset]],Table19[#All],3,FALSE)</f>
        <v>Market</v>
      </c>
      <c r="AD307" s="4">
        <f>IF(Table20[[#This Row],[Remaining]]&lt;&gt;0,Table20[[#This Row],[Invested]]*Table20[[#This Row],[Remaining]]/Table20[[#This Row],[Number of options]],0)</f>
        <v>0</v>
      </c>
      <c r="AE307" s="4">
        <f ca="1">SUMIF(Table20[Ticker],Table20[[#This Row],[Ticker]],Table20[realized_profit])</f>
        <v>-5077</v>
      </c>
      <c r="AF307" s="30" t="str">
        <f>VLOOKUP(Table20[[#This Row],[Strategy]],Table29[#All],7,FALSE)</f>
        <v>Bearish</v>
      </c>
    </row>
    <row r="308" spans="1:32" hidden="1">
      <c r="A308" s="216">
        <v>45583</v>
      </c>
      <c r="B308" s="21" t="e" vm="165">
        <v>#VALUE!</v>
      </c>
      <c r="C308" s="109" t="str" cm="1">
        <f t="array" aca="1" ref="C308" ca="1">_FV(Table20[[#This Row],[Asset]],"Ticker symbol",TRUE)</f>
        <v>NET</v>
      </c>
      <c r="D308" s="26" cm="1">
        <f t="array" aca="1" ref="D308" ca="1">_FV(Table20[[#This Row],[Asset]],"Price")</f>
        <v>223.83</v>
      </c>
      <c r="E308" s="26">
        <v>94</v>
      </c>
      <c r="F308" s="33">
        <v>2</v>
      </c>
      <c r="G308" s="34">
        <v>1</v>
      </c>
      <c r="H308" s="34" t="s">
        <v>159</v>
      </c>
      <c r="I308" s="31">
        <v>45575</v>
      </c>
      <c r="J308" s="26">
        <v>1.83</v>
      </c>
      <c r="K308" s="24">
        <v>0.39240000000000003</v>
      </c>
      <c r="L308" s="33">
        <f>VLOOKUP(Table20[[#This Row],[Strategy]],Table29[#All],6,FALSE)</f>
        <v>1</v>
      </c>
      <c r="M308" s="23">
        <v>2</v>
      </c>
      <c r="N308" s="23">
        <v>0.03</v>
      </c>
      <c r="O308" s="23"/>
      <c r="P308" s="23"/>
      <c r="Q308">
        <f>Table20[[#This Row],[Exit1]]*Table20[[#This Row],[ex1_price]]</f>
        <v>0.06</v>
      </c>
      <c r="R308">
        <f>Table20[[#This Row],[Exit2]]*Table20[[#This Row],[ex2_price]]</f>
        <v>0</v>
      </c>
      <c r="S308">
        <f>IFERROR((Table20[[#This Row],[ex2_amnt]]+Table20[[#This Row],[ex1_amnt]])/(Table20[[#This Row],[Exit2]]+Table20[[#This Row],[Exit1]]),0)</f>
        <v>0.03</v>
      </c>
      <c r="T308" s="5">
        <f>(Table20[[#This Row],[Exit1]]+Table20[[#This Row],[Exit2]])*(Table20[[#This Row],[avg_exit_price]]-Table20[[#This Row],[AvePrice]])*100*Table20[[#This Row],[Buy or Sell]]</f>
        <v>-360</v>
      </c>
      <c r="U308" s="5">
        <f>Table20[[#This Row],[Number of options]]*Table20[[#This Row],[AvePrice]]*100*Table20[[#This Row],[Buy or Sell]]</f>
        <v>366</v>
      </c>
      <c r="V308" s="8">
        <f>Table20[[#This Row],[Number of options]]-Table20[[#This Row],[Exit1]]-Table20[[#This Row],[Exit2]]</f>
        <v>0</v>
      </c>
      <c r="W308" s="30">
        <f ca="1">(Table20[[#This Row],[Expiration Date]]-TODAY())/365</f>
        <v>-1.4356164383561645</v>
      </c>
      <c r="X308" s="30" t="e">
        <f ca="1">(LN(Table20[[#This Row],[Current Price]]/Table20[[#This Row],[strike_price]]) + ($B$2 + (Table20[[#This Row],[Vol]]^2)/2)*Table20[[#This Row],[Time to expiration]]) / (Table20[[#This Row],[Vol]] * SQRT(Table20[[#This Row],[Time to expiration]]))</f>
        <v>#NUM!</v>
      </c>
      <c r="Y308" s="30" t="e">
        <f ca="1">IF(Table20[[#This Row],[Direction]]&gt;0, _xlfn.NORM.S.DIST(Table20[[#This Row],[d1]], TRUE), _xlfn.NORM.S.DIST(Table20[[#This Row],[d1]], TRUE) - 1) * Table20[[#This Row],[Buy or Sell]]</f>
        <v>#NUM!</v>
      </c>
      <c r="Z308" s="9">
        <f ca="1">Table20[[#This Row],[Remaining]]*Table20[[#This Row],[Current Price]]*100</f>
        <v>0</v>
      </c>
      <c r="AA308" s="22">
        <f ca="1">IFERROR(Table20[[#This Row],[nominal_exposure]]*Table20[[#This Row],[Delta]],0)</f>
        <v>0</v>
      </c>
      <c r="AB308" s="30" t="b">
        <f>IF(Table20[[#This Row],[date_purchased]]&lt;&gt;Table20[[#This Row],[Expiration Date]],FALSE,TRUE)</f>
        <v>0</v>
      </c>
      <c r="AC308" s="30" t="str">
        <f>VLOOKUP(Table20[[#This Row],[Asset]],Table19[#All],3,FALSE)</f>
        <v>Technology</v>
      </c>
      <c r="AD308" s="30">
        <f>IF(Table20[[#This Row],[Remaining]]&lt;&gt;0,Table20[[#This Row],[Invested]]*Table20[[#This Row],[Remaining]]/Table20[[#This Row],[Number of options]],0)</f>
        <v>0</v>
      </c>
      <c r="AE308" s="30">
        <f ca="1">SUMIF(Table20[Ticker],Table20[[#This Row],[Ticker]],Table20[realized_profit])</f>
        <v>78.000000000000057</v>
      </c>
      <c r="AF308" s="30" t="str">
        <f>VLOOKUP(Table20[[#This Row],[Strategy]],Table29[#All],7,FALSE)</f>
        <v>Bearish</v>
      </c>
    </row>
    <row r="309" spans="1:32" hidden="1">
      <c r="A309" s="216">
        <v>45583</v>
      </c>
      <c r="B309" s="21" t="e" vm="165">
        <v>#VALUE!</v>
      </c>
      <c r="C309" s="109" t="str" cm="1">
        <f t="array" aca="1" ref="C309" ca="1">_FV(Table20[[#This Row],[Asset]],"Ticker symbol",TRUE)</f>
        <v>NET</v>
      </c>
      <c r="D309" s="26" cm="1">
        <f t="array" aca="1" ref="D309" ca="1">_FV(Table20[[#This Row],[Asset]],"Price")</f>
        <v>223.83</v>
      </c>
      <c r="E309" s="26">
        <v>90</v>
      </c>
      <c r="F309" s="33">
        <v>2</v>
      </c>
      <c r="G309" s="34">
        <v>-1</v>
      </c>
      <c r="H309" s="34" t="s">
        <v>159</v>
      </c>
      <c r="I309" s="31">
        <v>45575</v>
      </c>
      <c r="J309" s="26">
        <v>4.1100000000000003</v>
      </c>
      <c r="K309" s="24">
        <v>0.39150000000000001</v>
      </c>
      <c r="L309" s="33">
        <f>VLOOKUP(Table20[[#This Row],[Strategy]],Table29[#All],6,FALSE)</f>
        <v>1</v>
      </c>
      <c r="M309" s="23">
        <v>2</v>
      </c>
      <c r="N309" s="23">
        <v>1.28</v>
      </c>
      <c r="O309" s="23"/>
      <c r="P309" s="23"/>
      <c r="Q309">
        <f>Table20[[#This Row],[Exit1]]*Table20[[#This Row],[ex1_price]]</f>
        <v>2.56</v>
      </c>
      <c r="R309">
        <f>Table20[[#This Row],[Exit2]]*Table20[[#This Row],[ex2_price]]</f>
        <v>0</v>
      </c>
      <c r="S309">
        <f>IFERROR((Table20[[#This Row],[ex2_amnt]]+Table20[[#This Row],[ex1_amnt]])/(Table20[[#This Row],[Exit2]]+Table20[[#This Row],[Exit1]]),0)</f>
        <v>1.28</v>
      </c>
      <c r="T309" s="5">
        <f>(Table20[[#This Row],[Exit1]]+Table20[[#This Row],[Exit2]])*(Table20[[#This Row],[avg_exit_price]]-Table20[[#This Row],[AvePrice]])*100*Table20[[#This Row],[Buy or Sell]]</f>
        <v>566</v>
      </c>
      <c r="U309" s="5">
        <f>Table20[[#This Row],[Number of options]]*Table20[[#This Row],[AvePrice]]*100*Table20[[#This Row],[Buy or Sell]]</f>
        <v>-822.00000000000011</v>
      </c>
      <c r="V309" s="8">
        <f>Table20[[#This Row],[Number of options]]-Table20[[#This Row],[Exit1]]-Table20[[#This Row],[Exit2]]</f>
        <v>0</v>
      </c>
      <c r="W309" s="30">
        <f ca="1">(Table20[[#This Row],[Expiration Date]]-TODAY())/365</f>
        <v>-1.4356164383561645</v>
      </c>
      <c r="X309" s="30" t="e">
        <f ca="1">(LN(Table20[[#This Row],[Current Price]]/Table20[[#This Row],[strike_price]]) + ($B$2 + (Table20[[#This Row],[Vol]]^2)/2)*Table20[[#This Row],[Time to expiration]]) / (Table20[[#This Row],[Vol]] * SQRT(Table20[[#This Row],[Time to expiration]]))</f>
        <v>#NUM!</v>
      </c>
      <c r="Y309" s="30" t="e">
        <f ca="1">IF(Table20[[#This Row],[Direction]]&gt;0, _xlfn.NORM.S.DIST(Table20[[#This Row],[d1]], TRUE), _xlfn.NORM.S.DIST(Table20[[#This Row],[d1]], TRUE) - 1) * Table20[[#This Row],[Buy or Sell]]</f>
        <v>#NUM!</v>
      </c>
      <c r="Z309" s="9">
        <f ca="1">Table20[[#This Row],[Remaining]]*Table20[[#This Row],[Current Price]]*100</f>
        <v>0</v>
      </c>
      <c r="AA309" s="22">
        <f ca="1">IFERROR(Table20[[#This Row],[nominal_exposure]]*Table20[[#This Row],[Delta]],0)</f>
        <v>0</v>
      </c>
      <c r="AB309" s="30" t="b">
        <f>IF(Table20[[#This Row],[date_purchased]]&lt;&gt;Table20[[#This Row],[Expiration Date]],FALSE,TRUE)</f>
        <v>0</v>
      </c>
      <c r="AC309" s="30" t="str">
        <f>VLOOKUP(Table20[[#This Row],[Asset]],Table19[#All],3,FALSE)</f>
        <v>Technology</v>
      </c>
      <c r="AD309" s="30">
        <f>IF(Table20[[#This Row],[Remaining]]&lt;&gt;0,Table20[[#This Row],[Invested]]*Table20[[#This Row],[Remaining]]/Table20[[#This Row],[Number of options]],0)</f>
        <v>0</v>
      </c>
      <c r="AE309" s="30">
        <f ca="1">SUMIF(Table20[Ticker],Table20[[#This Row],[Ticker]],Table20[realized_profit])</f>
        <v>78.000000000000057</v>
      </c>
      <c r="AF309" s="30" t="str">
        <f>VLOOKUP(Table20[[#This Row],[Strategy]],Table29[#All],7,FALSE)</f>
        <v>Bearish</v>
      </c>
    </row>
    <row r="310" spans="1:32" hidden="1">
      <c r="A310" s="216">
        <v>45583</v>
      </c>
      <c r="B310" s="21" t="e" vm="63">
        <v>#VALUE!</v>
      </c>
      <c r="C310" s="109" t="str" cm="1">
        <f t="array" aca="1" ref="C310" ca="1">_FV(Table20[[#This Row],[Asset]],"Ticker symbol",TRUE)</f>
        <v>TSLA</v>
      </c>
      <c r="D310" s="26" cm="1">
        <f t="array" aca="1" ref="D310" ca="1">_FV(Table20[[#This Row],[Asset]],"Price")</f>
        <v>394.5401</v>
      </c>
      <c r="E310" s="26">
        <v>222.5</v>
      </c>
      <c r="F310" s="33">
        <v>2</v>
      </c>
      <c r="G310" s="34">
        <v>-2</v>
      </c>
      <c r="H310" s="34" t="s">
        <v>181</v>
      </c>
      <c r="I310" s="31">
        <v>45576</v>
      </c>
      <c r="J310" s="26">
        <v>8.5500000000000007</v>
      </c>
      <c r="K310" s="24">
        <v>0.50280000000000002</v>
      </c>
      <c r="L310" s="33">
        <f>VLOOKUP(Table20[[#This Row],[Strategy]],Table29[#All],6,FALSE)</f>
        <v>-1</v>
      </c>
      <c r="M310" s="23">
        <v>2</v>
      </c>
      <c r="N310" s="23">
        <v>2.78</v>
      </c>
      <c r="O310" s="23"/>
      <c r="P310" s="23"/>
      <c r="Q310">
        <f>Table20[[#This Row],[Exit1]]*Table20[[#This Row],[ex1_price]]</f>
        <v>5.56</v>
      </c>
      <c r="R310">
        <f>Table20[[#This Row],[Exit2]]*Table20[[#This Row],[ex2_price]]</f>
        <v>0</v>
      </c>
      <c r="S310">
        <f>IFERROR((Table20[[#This Row],[ex2_amnt]]+Table20[[#This Row],[ex1_amnt]])/(Table20[[#This Row],[Exit2]]+Table20[[#This Row],[Exit1]]),0)</f>
        <v>2.78</v>
      </c>
      <c r="T310" s="5">
        <f>(Table20[[#This Row],[Exit1]]+Table20[[#This Row],[Exit2]])*(Table20[[#This Row],[avg_exit_price]]-Table20[[#This Row],[AvePrice]])*100*Table20[[#This Row],[Buy or Sell]]</f>
        <v>2308.0000000000005</v>
      </c>
      <c r="U310" s="5">
        <f>Table20[[#This Row],[Number of options]]*Table20[[#This Row],[AvePrice]]*100*Table20[[#This Row],[Buy or Sell]]</f>
        <v>-3420.0000000000005</v>
      </c>
      <c r="V310" s="8">
        <f>Table20[[#This Row],[Number of options]]-Table20[[#This Row],[Exit1]]-Table20[[#This Row],[Exit2]]</f>
        <v>0</v>
      </c>
      <c r="W310" s="30">
        <f ca="1">(Table20[[#This Row],[Expiration Date]]-TODAY())/365</f>
        <v>-1.4356164383561645</v>
      </c>
      <c r="X310" s="30" t="e">
        <f ca="1">(LN(Table20[[#This Row],[Current Price]]/Table20[[#This Row],[strike_price]]) + ($B$2 + (Table20[[#This Row],[Vol]]^2)/2)*Table20[[#This Row],[Time to expiration]]) / (Table20[[#This Row],[Vol]] * SQRT(Table20[[#This Row],[Time to expiration]]))</f>
        <v>#NUM!</v>
      </c>
      <c r="Y310" s="30" t="e">
        <f ca="1">IF(Table20[[#This Row],[Direction]]&gt;0, _xlfn.NORM.S.DIST(Table20[[#This Row],[d1]], TRUE), _xlfn.NORM.S.DIST(Table20[[#This Row],[d1]], TRUE) - 1) * Table20[[#This Row],[Buy or Sell]]</f>
        <v>#NUM!</v>
      </c>
      <c r="Z310" s="9">
        <f ca="1">Table20[[#This Row],[Remaining]]*Table20[[#This Row],[Current Price]]*100</f>
        <v>0</v>
      </c>
      <c r="AA310" s="22">
        <f ca="1">IFERROR(Table20[[#This Row],[nominal_exposure]]*Table20[[#This Row],[Delta]],0)</f>
        <v>0</v>
      </c>
      <c r="AB310" s="30" t="b">
        <f>IF(Table20[[#This Row],[date_purchased]]&lt;&gt;Table20[[#This Row],[Expiration Date]],FALSE,TRUE)</f>
        <v>0</v>
      </c>
      <c r="AC310" s="30" t="str">
        <f>VLOOKUP(Table20[[#This Row],[Asset]],Table19[#All],3,FALSE)</f>
        <v>Auto</v>
      </c>
      <c r="AD310" s="30">
        <f>IF(Table20[[#This Row],[Remaining]]&lt;&gt;0,Table20[[#This Row],[Invested]]*Table20[[#This Row],[Remaining]]/Table20[[#This Row],[Number of options]],0)</f>
        <v>0</v>
      </c>
      <c r="AE310" s="30">
        <f ca="1">SUMIF(Table20[Ticker],Table20[[#This Row],[Ticker]],Table20[realized_profit])</f>
        <v>4153</v>
      </c>
      <c r="AF310" s="30" t="str">
        <f>VLOOKUP(Table20[[#This Row],[Strategy]],Table29[#All],7,FALSE)</f>
        <v>Bullish</v>
      </c>
    </row>
    <row r="311" spans="1:32" hidden="1">
      <c r="A311" s="180">
        <v>45562</v>
      </c>
      <c r="B311" s="21" t="e" vm="13">
        <v>#VALUE!</v>
      </c>
      <c r="C311" s="109" t="str" cm="1">
        <f t="array" aca="1" ref="C311" ca="1">_FV(Table20[[#This Row],[Asset]],"Ticker symbol",TRUE)</f>
        <v>ON</v>
      </c>
      <c r="D311" s="26" cm="1">
        <f t="array" aca="1" ref="D311" ca="1">_FV(Table20[[#This Row],[Asset]],"Price")</f>
        <v>63.68</v>
      </c>
      <c r="E311" s="26">
        <v>72</v>
      </c>
      <c r="F311" s="33">
        <v>2</v>
      </c>
      <c r="G311" s="34">
        <v>1.18</v>
      </c>
      <c r="H311" s="34" t="s">
        <v>113</v>
      </c>
      <c r="I311" s="31">
        <v>45561</v>
      </c>
      <c r="J311" s="26">
        <v>1.18</v>
      </c>
      <c r="K311" s="24">
        <v>0.57999999999999996</v>
      </c>
      <c r="L311" s="33">
        <f>VLOOKUP(Table20[[#This Row],[Strategy]],Table29[#All],6,FALSE)</f>
        <v>1</v>
      </c>
      <c r="M311" s="23">
        <v>2</v>
      </c>
      <c r="N311" s="23">
        <v>3.15</v>
      </c>
      <c r="O311" s="23"/>
      <c r="P311" s="23"/>
      <c r="Q311">
        <f>Table20[[#This Row],[Exit1]]*Table20[[#This Row],[ex1_price]]</f>
        <v>6.3</v>
      </c>
      <c r="R311">
        <f>Table20[[#This Row],[Exit2]]*Table20[[#This Row],[ex2_price]]</f>
        <v>0</v>
      </c>
      <c r="S311">
        <f>IFERROR((Table20[[#This Row],[ex2_amnt]]+Table20[[#This Row],[ex1_amnt]])/(Table20[[#This Row],[Exit2]]+Table20[[#This Row],[Exit1]]),0)</f>
        <v>3.15</v>
      </c>
      <c r="T311" s="5">
        <f>(Table20[[#This Row],[Exit1]]+Table20[[#This Row],[Exit2]])*(Table20[[#This Row],[avg_exit_price]]-Table20[[#This Row],[AvePrice]])*100*Table20[[#This Row],[Buy or Sell]]</f>
        <v>464.91999999999996</v>
      </c>
      <c r="U311" s="5">
        <f>Table20[[#This Row],[Number of options]]*Table20[[#This Row],[AvePrice]]*100*Table20[[#This Row],[Buy or Sell]]</f>
        <v>278.47999999999996</v>
      </c>
      <c r="V311" s="8">
        <f>Table20[[#This Row],[Number of options]]-Table20[[#This Row],[Exit1]]-Table20[[#This Row],[Exit2]]</f>
        <v>0</v>
      </c>
      <c r="W311" s="30">
        <f ca="1">(Table20[[#This Row],[Expiration Date]]-TODAY())/365</f>
        <v>-1.4931506849315068</v>
      </c>
      <c r="X311" s="30" t="e">
        <f ca="1">(LN(Table20[[#This Row],[Current Price]]/Table20[[#This Row],[strike_price]]) + ($B$2 + (Table20[[#This Row],[Vol]]^2)/2)*Table20[[#This Row],[Time to expiration]]) / (Table20[[#This Row],[Vol]] * SQRT(Table20[[#This Row],[Time to expiration]]))</f>
        <v>#NUM!</v>
      </c>
      <c r="Y311" s="30" t="e">
        <f ca="1">IF(Table20[[#This Row],[Direction]]&gt;0, _xlfn.NORM.S.DIST(Table20[[#This Row],[d1]], TRUE), _xlfn.NORM.S.DIST(Table20[[#This Row],[d1]], TRUE) - 1) * Table20[[#This Row],[Buy or Sell]]</f>
        <v>#NUM!</v>
      </c>
      <c r="Z311" s="9">
        <f ca="1">Table20[[#This Row],[Remaining]]*Table20[[#This Row],[Current Price]]*100</f>
        <v>0</v>
      </c>
      <c r="AA311" s="22">
        <f ca="1">IFERROR(Table20[[#This Row],[nominal_exposure]]*Table20[[#This Row],[Delta]],0)</f>
        <v>0</v>
      </c>
      <c r="AB311" s="30" t="b">
        <f>IF(Table20[[#This Row],[date_purchased]]&lt;&gt;Table20[[#This Row],[Expiration Date]],FALSE,TRUE)</f>
        <v>0</v>
      </c>
      <c r="AC311" s="30" t="str">
        <f>VLOOKUP(Table20[[#This Row],[Asset]],Table19[#All],3,FALSE)</f>
        <v>Semiconductor</v>
      </c>
      <c r="AD311" s="30">
        <f>IF(Table20[[#This Row],[Remaining]]&lt;&gt;0,Table20[[#This Row],[Invested]]*Table20[[#This Row],[Remaining]]/Table20[[#This Row],[Number of options]],0)</f>
        <v>0</v>
      </c>
      <c r="AE311" s="30">
        <f ca="1">SUMIF(Table20[Ticker],Table20[[#This Row],[Ticker]],Table20[realized_profit])</f>
        <v>1055.92</v>
      </c>
      <c r="AF311" s="30" t="str">
        <f>VLOOKUP(Table20[[#This Row],[Strategy]],Table29[#All],7,FALSE)</f>
        <v>Bullish</v>
      </c>
    </row>
    <row r="312" spans="1:32" hidden="1">
      <c r="A312" s="180">
        <v>45576</v>
      </c>
      <c r="B312" s="21" t="e" vm="104">
        <v>#VALUE!</v>
      </c>
      <c r="C312" s="109" t="str" cm="1">
        <f t="array" aca="1" ref="C312" ca="1">_FV(Table20[[#This Row],[Asset]],"Ticker symbol",TRUE)</f>
        <v>V</v>
      </c>
      <c r="D312" s="26" cm="1">
        <f t="array" aca="1" ref="D312" ca="1">_FV(Table20[[#This Row],[Asset]],"Price")</f>
        <v>304.54000000000002</v>
      </c>
      <c r="E312" s="26">
        <v>275</v>
      </c>
      <c r="F312" s="33">
        <v>1</v>
      </c>
      <c r="G312" s="34">
        <v>1</v>
      </c>
      <c r="H312" s="34" t="s">
        <v>113</v>
      </c>
      <c r="I312" s="31">
        <v>45561</v>
      </c>
      <c r="J312" s="26">
        <v>3.4</v>
      </c>
      <c r="K312" s="24">
        <v>0.18</v>
      </c>
      <c r="L312" s="33">
        <f>VLOOKUP(Table20[[#This Row],[Strategy]],Table29[#All],6,FALSE)</f>
        <v>1</v>
      </c>
      <c r="M312" s="23">
        <v>1</v>
      </c>
      <c r="N312" s="23">
        <v>5.55</v>
      </c>
      <c r="O312" s="23"/>
      <c r="P312" s="23"/>
      <c r="Q312">
        <f>Table20[[#This Row],[Exit1]]*Table20[[#This Row],[ex1_price]]</f>
        <v>5.55</v>
      </c>
      <c r="R312">
        <f>Table20[[#This Row],[Exit2]]*Table20[[#This Row],[ex2_price]]</f>
        <v>0</v>
      </c>
      <c r="S312">
        <f>IFERROR((Table20[[#This Row],[ex2_amnt]]+Table20[[#This Row],[ex1_amnt]])/(Table20[[#This Row],[Exit2]]+Table20[[#This Row],[Exit1]]),0)</f>
        <v>5.55</v>
      </c>
      <c r="T312" s="5">
        <f>(Table20[[#This Row],[Exit1]]+Table20[[#This Row],[Exit2]])*(Table20[[#This Row],[avg_exit_price]]-Table20[[#This Row],[AvePrice]])*100*Table20[[#This Row],[Buy or Sell]]</f>
        <v>215</v>
      </c>
      <c r="U312" s="5">
        <f>Table20[[#This Row],[Number of options]]*Table20[[#This Row],[AvePrice]]*100*Table20[[#This Row],[Buy or Sell]]</f>
        <v>340</v>
      </c>
      <c r="V312" s="8">
        <f>Table20[[#This Row],[Number of options]]-Table20[[#This Row],[Exit1]]-Table20[[#This Row],[Exit2]]</f>
        <v>0</v>
      </c>
      <c r="W312" s="30">
        <f ca="1">(Table20[[#This Row],[Expiration Date]]-TODAY())/365</f>
        <v>-1.4547945205479451</v>
      </c>
      <c r="X312" s="30" t="e">
        <f ca="1">(LN(Table20[[#This Row],[Current Price]]/Table20[[#This Row],[strike_price]]) + ($B$2 + (Table20[[#This Row],[Vol]]^2)/2)*Table20[[#This Row],[Time to expiration]]) / (Table20[[#This Row],[Vol]] * SQRT(Table20[[#This Row],[Time to expiration]]))</f>
        <v>#NUM!</v>
      </c>
      <c r="Y312" s="30" t="e">
        <f ca="1">IF(Table20[[#This Row],[Direction]]&gt;0, _xlfn.NORM.S.DIST(Table20[[#This Row],[d1]], TRUE), _xlfn.NORM.S.DIST(Table20[[#This Row],[d1]], TRUE) - 1) * Table20[[#This Row],[Buy or Sell]]</f>
        <v>#NUM!</v>
      </c>
      <c r="Z312" s="9">
        <f ca="1">Table20[[#This Row],[Remaining]]*Table20[[#This Row],[Current Price]]*100</f>
        <v>0</v>
      </c>
      <c r="AA312" s="22">
        <f ca="1">IFERROR(Table20[[#This Row],[nominal_exposure]]*Table20[[#This Row],[Delta]],0)</f>
        <v>0</v>
      </c>
      <c r="AB312" s="30" t="b">
        <f>IF(Table20[[#This Row],[date_purchased]]&lt;&gt;Table20[[#This Row],[Expiration Date]],FALSE,TRUE)</f>
        <v>0</v>
      </c>
      <c r="AC312" s="30" t="str">
        <f>VLOOKUP(Table20[[#This Row],[Asset]],Table19[#All],3,FALSE)</f>
        <v>Financials</v>
      </c>
      <c r="AD312" s="30">
        <f>IF(Table20[[#This Row],[Remaining]]&lt;&gt;0,Table20[[#This Row],[Invested]]*Table20[[#This Row],[Remaining]]/Table20[[#This Row],[Number of options]],0)</f>
        <v>0</v>
      </c>
      <c r="AE312" s="30">
        <f ca="1">SUMIF(Table20[Ticker],Table20[[#This Row],[Ticker]],Table20[realized_profit])</f>
        <v>11</v>
      </c>
      <c r="AF312" s="30" t="str">
        <f>VLOOKUP(Table20[[#This Row],[Strategy]],Table29[#All],7,FALSE)</f>
        <v>Bullish</v>
      </c>
    </row>
    <row r="313" spans="1:32" hidden="1">
      <c r="A313" s="180">
        <v>45576</v>
      </c>
      <c r="B313" s="21" t="e" vm="106">
        <v>#VALUE!</v>
      </c>
      <c r="C313" s="109" t="str" cm="1">
        <f t="array" aca="1" ref="C313" ca="1">_FV(Table20[[#This Row],[Asset]],"Ticker symbol",TRUE)</f>
        <v>GLD</v>
      </c>
      <c r="D313" s="26" cm="1">
        <f t="array" aca="1" ref="D313" ca="1">_FV(Table20[[#This Row],[Asset]],"Price")</f>
        <v>419.54</v>
      </c>
      <c r="E313" s="26">
        <v>245</v>
      </c>
      <c r="F313" s="33">
        <v>1</v>
      </c>
      <c r="G313" s="34">
        <v>1</v>
      </c>
      <c r="H313" s="34" t="s">
        <v>112</v>
      </c>
      <c r="I313" s="31">
        <v>45561</v>
      </c>
      <c r="J313" s="26">
        <v>2.48</v>
      </c>
      <c r="K313" s="24">
        <v>0.17499999999999999</v>
      </c>
      <c r="L313" s="33">
        <f>VLOOKUP(Table20[[#This Row],[Strategy]],Table29[#All],6,FALSE)</f>
        <v>-1</v>
      </c>
      <c r="M313" s="23">
        <v>1</v>
      </c>
      <c r="N313" s="23">
        <v>2.2400000000000002</v>
      </c>
      <c r="O313" s="23"/>
      <c r="P313" s="23"/>
      <c r="Q313">
        <f>Table20[[#This Row],[Exit1]]*Table20[[#This Row],[ex1_price]]</f>
        <v>2.2400000000000002</v>
      </c>
      <c r="R313">
        <f>Table20[[#This Row],[Exit2]]*Table20[[#This Row],[ex2_price]]</f>
        <v>0</v>
      </c>
      <c r="S313">
        <f>IFERROR((Table20[[#This Row],[ex2_amnt]]+Table20[[#This Row],[ex1_amnt]])/(Table20[[#This Row],[Exit2]]+Table20[[#This Row],[Exit1]]),0)</f>
        <v>2.2400000000000002</v>
      </c>
      <c r="T313" s="5">
        <f>(Table20[[#This Row],[Exit1]]+Table20[[#This Row],[Exit2]])*(Table20[[#This Row],[avg_exit_price]]-Table20[[#This Row],[AvePrice]])*100*Table20[[#This Row],[Buy or Sell]]</f>
        <v>-23.999999999999979</v>
      </c>
      <c r="U313" s="5">
        <f>Table20[[#This Row],[Number of options]]*Table20[[#This Row],[AvePrice]]*100*Table20[[#This Row],[Buy or Sell]]</f>
        <v>248</v>
      </c>
      <c r="V313" s="8">
        <f>Table20[[#This Row],[Number of options]]-Table20[[#This Row],[Exit1]]-Table20[[#This Row],[Exit2]]</f>
        <v>0</v>
      </c>
      <c r="W313" s="30">
        <f ca="1">(Table20[[#This Row],[Expiration Date]]-TODAY())/365</f>
        <v>-1.4547945205479451</v>
      </c>
      <c r="X313" s="30" t="e">
        <f ca="1">(LN(Table20[[#This Row],[Current Price]]/Table20[[#This Row],[strike_price]]) + ($B$2 + (Table20[[#This Row],[Vol]]^2)/2)*Table20[[#This Row],[Time to expiration]]) / (Table20[[#This Row],[Vol]] * SQRT(Table20[[#This Row],[Time to expiration]]))</f>
        <v>#NUM!</v>
      </c>
      <c r="Y313" s="30" t="e">
        <f ca="1">IF(Table20[[#This Row],[Direction]]&gt;0, _xlfn.NORM.S.DIST(Table20[[#This Row],[d1]], TRUE), _xlfn.NORM.S.DIST(Table20[[#This Row],[d1]], TRUE) - 1) * Table20[[#This Row],[Buy or Sell]]</f>
        <v>#NUM!</v>
      </c>
      <c r="Z313" s="9">
        <f ca="1">Table20[[#This Row],[Remaining]]*Table20[[#This Row],[Current Price]]*100</f>
        <v>0</v>
      </c>
      <c r="AA313" s="22">
        <f ca="1">IFERROR(Table20[[#This Row],[nominal_exposure]]*Table20[[#This Row],[Delta]],0)</f>
        <v>0</v>
      </c>
      <c r="AB313" s="30" t="b">
        <f>IF(Table20[[#This Row],[date_purchased]]&lt;&gt;Table20[[#This Row],[Expiration Date]],FALSE,TRUE)</f>
        <v>0</v>
      </c>
      <c r="AC313" s="30" t="str">
        <f>VLOOKUP(Table20[[#This Row],[Asset]],Table19[#All],3,FALSE)</f>
        <v>Gold and Silver</v>
      </c>
      <c r="AD313" s="30">
        <f>IF(Table20[[#This Row],[Remaining]]&lt;&gt;0,Table20[[#This Row],[Invested]]*Table20[[#This Row],[Remaining]]/Table20[[#This Row],[Number of options]],0)</f>
        <v>0</v>
      </c>
      <c r="AE313" s="30">
        <f ca="1">SUMIF(Table20[Ticker],Table20[[#This Row],[Ticker]],Table20[realized_profit])</f>
        <v>228</v>
      </c>
      <c r="AF313" s="30" t="str">
        <f>VLOOKUP(Table20[[#This Row],[Strategy]],Table29[#All],7,FALSE)</f>
        <v>Bearish</v>
      </c>
    </row>
    <row r="314" spans="1:32" hidden="1">
      <c r="A314" s="180">
        <v>45576</v>
      </c>
      <c r="B314" s="21" t="e" vm="106">
        <v>#VALUE!</v>
      </c>
      <c r="C314" s="109" t="str" cm="1">
        <f t="array" aca="1" ref="C314" ca="1">_FV(Table20[[#This Row],[Asset]],"Ticker symbol",TRUE)</f>
        <v>GLD</v>
      </c>
      <c r="D314" s="26" cm="1">
        <f t="array" aca="1" ref="D314" ca="1">_FV(Table20[[#This Row],[Asset]],"Price")</f>
        <v>419.54</v>
      </c>
      <c r="E314" s="26">
        <v>240</v>
      </c>
      <c r="F314" s="33">
        <v>1</v>
      </c>
      <c r="G314" s="34">
        <v>-1</v>
      </c>
      <c r="H314" s="34" t="s">
        <v>112</v>
      </c>
      <c r="I314" s="31">
        <v>45561</v>
      </c>
      <c r="J314" s="26">
        <v>1.03</v>
      </c>
      <c r="K314" s="24">
        <v>0.18049999999999999</v>
      </c>
      <c r="L314" s="33">
        <f>VLOOKUP(Table20[[#This Row],[Strategy]],Table29[#All],6,FALSE)</f>
        <v>-1</v>
      </c>
      <c r="M314" s="23">
        <v>1</v>
      </c>
      <c r="N314" s="23">
        <v>0.56000000000000005</v>
      </c>
      <c r="O314" s="23"/>
      <c r="P314" s="23"/>
      <c r="Q314">
        <f>Table20[[#This Row],[Exit1]]*Table20[[#This Row],[ex1_price]]</f>
        <v>0.56000000000000005</v>
      </c>
      <c r="R314">
        <f>Table20[[#This Row],[Exit2]]*Table20[[#This Row],[ex2_price]]</f>
        <v>0</v>
      </c>
      <c r="S314">
        <f>IFERROR((Table20[[#This Row],[ex2_amnt]]+Table20[[#This Row],[ex1_amnt]])/(Table20[[#This Row],[Exit2]]+Table20[[#This Row],[Exit1]]),0)</f>
        <v>0.56000000000000005</v>
      </c>
      <c r="T314" s="5">
        <f>(Table20[[#This Row],[Exit1]]+Table20[[#This Row],[Exit2]])*(Table20[[#This Row],[avg_exit_price]]-Table20[[#This Row],[AvePrice]])*100*Table20[[#This Row],[Buy or Sell]]</f>
        <v>47</v>
      </c>
      <c r="U314" s="5">
        <f>Table20[[#This Row],[Number of options]]*Table20[[#This Row],[AvePrice]]*100*Table20[[#This Row],[Buy or Sell]]</f>
        <v>-103</v>
      </c>
      <c r="V314" s="8">
        <f>Table20[[#This Row],[Number of options]]-Table20[[#This Row],[Exit1]]-Table20[[#This Row],[Exit2]]</f>
        <v>0</v>
      </c>
      <c r="W314" s="30">
        <f ca="1">(Table20[[#This Row],[Expiration Date]]-TODAY())/365</f>
        <v>-1.4547945205479451</v>
      </c>
      <c r="X314" s="30" t="e">
        <f ca="1">(LN(Table20[[#This Row],[Current Price]]/Table20[[#This Row],[strike_price]]) + ($B$2 + (Table20[[#This Row],[Vol]]^2)/2)*Table20[[#This Row],[Time to expiration]]) / (Table20[[#This Row],[Vol]] * SQRT(Table20[[#This Row],[Time to expiration]]))</f>
        <v>#NUM!</v>
      </c>
      <c r="Y314" s="30" t="e">
        <f ca="1">IF(Table20[[#This Row],[Direction]]&gt;0, _xlfn.NORM.S.DIST(Table20[[#This Row],[d1]], TRUE), _xlfn.NORM.S.DIST(Table20[[#This Row],[d1]], TRUE) - 1) * Table20[[#This Row],[Buy or Sell]]</f>
        <v>#NUM!</v>
      </c>
      <c r="Z314" s="9">
        <f ca="1">Table20[[#This Row],[Remaining]]*Table20[[#This Row],[Current Price]]*100</f>
        <v>0</v>
      </c>
      <c r="AA314" s="22">
        <f ca="1">IFERROR(Table20[[#This Row],[nominal_exposure]]*Table20[[#This Row],[Delta]],0)</f>
        <v>0</v>
      </c>
      <c r="AB314" s="30" t="b">
        <f>IF(Table20[[#This Row],[date_purchased]]&lt;&gt;Table20[[#This Row],[Expiration Date]],FALSE,TRUE)</f>
        <v>0</v>
      </c>
      <c r="AC314" s="30" t="str">
        <f>VLOOKUP(Table20[[#This Row],[Asset]],Table19[#All],3,FALSE)</f>
        <v>Gold and Silver</v>
      </c>
      <c r="AD314" s="30">
        <f>IF(Table20[[#This Row],[Remaining]]&lt;&gt;0,Table20[[#This Row],[Invested]]*Table20[[#This Row],[Remaining]]/Table20[[#This Row],[Number of options]],0)</f>
        <v>0</v>
      </c>
      <c r="AE314" s="30">
        <f ca="1">SUMIF(Table20[Ticker],Table20[[#This Row],[Ticker]],Table20[realized_profit])</f>
        <v>228</v>
      </c>
      <c r="AF314" s="30" t="str">
        <f>VLOOKUP(Table20[[#This Row],[Strategy]],Table29[#All],7,FALSE)</f>
        <v>Bearish</v>
      </c>
    </row>
    <row r="315" spans="1:32" hidden="1">
      <c r="A315" s="180">
        <v>45569</v>
      </c>
      <c r="B315" s="21" t="e" vm="151">
        <v>#VALUE!</v>
      </c>
      <c r="C315" s="109" t="str" cm="1">
        <f t="array" aca="1" ref="C315" ca="1">_FV(Table20[[#This Row],[Asset]],"Ticker symbol",TRUE)</f>
        <v>TLT</v>
      </c>
      <c r="D315" s="26" cm="1">
        <f t="array" aca="1" ref="D315" ca="1">_FV(Table20[[#This Row],[Asset]],"Price")</f>
        <v>86.743499999999997</v>
      </c>
      <c r="E315" s="26">
        <v>100</v>
      </c>
      <c r="F315" s="33">
        <v>7</v>
      </c>
      <c r="G315" s="34">
        <v>1</v>
      </c>
      <c r="H315" s="34" t="s">
        <v>113</v>
      </c>
      <c r="I315" s="31">
        <v>45561</v>
      </c>
      <c r="J315" s="26">
        <v>0.16</v>
      </c>
      <c r="K315" s="24">
        <v>0.1278</v>
      </c>
      <c r="L315" s="33">
        <f>VLOOKUP(Table20[[#This Row],[Strategy]],Table29[#All],6,FALSE)</f>
        <v>1</v>
      </c>
      <c r="M315" s="23">
        <v>7</v>
      </c>
      <c r="N315" s="23">
        <v>0</v>
      </c>
      <c r="O315" s="23"/>
      <c r="P315" s="23"/>
      <c r="Q315">
        <f>Table20[[#This Row],[Exit1]]*Table20[[#This Row],[ex1_price]]</f>
        <v>0</v>
      </c>
      <c r="R315">
        <f>Table20[[#This Row],[Exit2]]*Table20[[#This Row],[ex2_price]]</f>
        <v>0</v>
      </c>
      <c r="S315">
        <f>IFERROR((Table20[[#This Row],[ex2_amnt]]+Table20[[#This Row],[ex1_amnt]])/(Table20[[#This Row],[Exit2]]+Table20[[#This Row],[Exit1]]),0)</f>
        <v>0</v>
      </c>
      <c r="T315" s="5">
        <f>(Table20[[#This Row],[Exit1]]+Table20[[#This Row],[Exit2]])*(Table20[[#This Row],[avg_exit_price]]-Table20[[#This Row],[AvePrice]])*100*Table20[[#This Row],[Buy or Sell]]</f>
        <v>-112.00000000000001</v>
      </c>
      <c r="U315" s="5">
        <f>Table20[[#This Row],[Number of options]]*Table20[[#This Row],[AvePrice]]*100*Table20[[#This Row],[Buy or Sell]]</f>
        <v>112.00000000000001</v>
      </c>
      <c r="V315" s="8">
        <f>Table20[[#This Row],[Number of options]]-Table20[[#This Row],[Exit1]]-Table20[[#This Row],[Exit2]]</f>
        <v>0</v>
      </c>
      <c r="W315" s="30">
        <f ca="1">(Table20[[#This Row],[Expiration Date]]-TODAY())/365</f>
        <v>-1.473972602739726</v>
      </c>
      <c r="X315" s="30" t="e">
        <f ca="1">(LN(Table20[[#This Row],[Current Price]]/Table20[[#This Row],[strike_price]]) + ($B$2 + (Table20[[#This Row],[Vol]]^2)/2)*Table20[[#This Row],[Time to expiration]]) / (Table20[[#This Row],[Vol]] * SQRT(Table20[[#This Row],[Time to expiration]]))</f>
        <v>#NUM!</v>
      </c>
      <c r="Y315" s="30" t="e">
        <f ca="1">IF(Table20[[#This Row],[Direction]]&gt;0, _xlfn.NORM.S.DIST(Table20[[#This Row],[d1]], TRUE), _xlfn.NORM.S.DIST(Table20[[#This Row],[d1]], TRUE) - 1) * Table20[[#This Row],[Buy or Sell]]</f>
        <v>#NUM!</v>
      </c>
      <c r="Z315" s="9">
        <f ca="1">Table20[[#This Row],[Remaining]]*Table20[[#This Row],[Current Price]]*100</f>
        <v>0</v>
      </c>
      <c r="AA315" s="22">
        <f ca="1">IFERROR(Table20[[#This Row],[nominal_exposure]]*Table20[[#This Row],[Delta]],0)</f>
        <v>0</v>
      </c>
      <c r="AB315" s="30" t="b">
        <f>IF(Table20[[#This Row],[date_purchased]]&lt;&gt;Table20[[#This Row],[Expiration Date]],FALSE,TRUE)</f>
        <v>0</v>
      </c>
      <c r="AC315" s="30" t="str">
        <f>VLOOKUP(Table20[[#This Row],[Asset]],Table19[#All],3,FALSE)</f>
        <v>Market</v>
      </c>
      <c r="AD315" s="30">
        <f>IF(Table20[[#This Row],[Remaining]]&lt;&gt;0,Table20[[#This Row],[Invested]]*Table20[[#This Row],[Remaining]]/Table20[[#This Row],[Number of options]],0)</f>
        <v>0</v>
      </c>
      <c r="AE315" s="30">
        <f ca="1">SUMIF(Table20[Ticker],Table20[[#This Row],[Ticker]],Table20[realized_profit])</f>
        <v>-3328.3599999999997</v>
      </c>
      <c r="AF315" s="30" t="str">
        <f>VLOOKUP(Table20[[#This Row],[Strategy]],Table29[#All],7,FALSE)</f>
        <v>Bullish</v>
      </c>
    </row>
    <row r="316" spans="1:32" hidden="1">
      <c r="A316" s="180">
        <v>45576</v>
      </c>
      <c r="B316" s="21" t="e" vm="159">
        <v>#VALUE!</v>
      </c>
      <c r="C316" s="109" t="str" cm="1">
        <f t="array" aca="1" ref="C316" ca="1">_FV(Table20[[#This Row],[Asset]],"Ticker symbol",TRUE)</f>
        <v>BABA</v>
      </c>
      <c r="D316" s="26" cm="1">
        <f t="array" aca="1" ref="D316" ca="1">_FV(Table20[[#This Row],[Asset]],"Price")</f>
        <v>129.63999999999999</v>
      </c>
      <c r="E316" s="26">
        <v>105</v>
      </c>
      <c r="F316" s="33">
        <v>2</v>
      </c>
      <c r="G316" s="34">
        <v>1</v>
      </c>
      <c r="H316" s="34" t="s">
        <v>65</v>
      </c>
      <c r="I316" s="31">
        <v>45562</v>
      </c>
      <c r="J316" s="26">
        <v>2.4</v>
      </c>
      <c r="K316" s="24">
        <v>0.44700000000000001</v>
      </c>
      <c r="L316" s="33">
        <f>VLOOKUP(Table20[[#This Row],[Strategy]],Table29[#All],6,FALSE)</f>
        <v>-1</v>
      </c>
      <c r="M316" s="23">
        <v>2</v>
      </c>
      <c r="N316" s="23">
        <v>1.57</v>
      </c>
      <c r="O316" s="23"/>
      <c r="P316" s="23"/>
      <c r="Q316">
        <f>Table20[[#This Row],[Exit1]]*Table20[[#This Row],[ex1_price]]</f>
        <v>3.14</v>
      </c>
      <c r="R316">
        <f>Table20[[#This Row],[Exit2]]*Table20[[#This Row],[ex2_price]]</f>
        <v>0</v>
      </c>
      <c r="S316">
        <f>IFERROR((Table20[[#This Row],[ex2_amnt]]+Table20[[#This Row],[ex1_amnt]])/(Table20[[#This Row],[Exit2]]+Table20[[#This Row],[Exit1]]),0)</f>
        <v>1.57</v>
      </c>
      <c r="T316" s="5">
        <f>(Table20[[#This Row],[Exit1]]+Table20[[#This Row],[Exit2]])*(Table20[[#This Row],[avg_exit_price]]-Table20[[#This Row],[AvePrice]])*100*Table20[[#This Row],[Buy or Sell]]</f>
        <v>-165.99999999999997</v>
      </c>
      <c r="U316" s="5">
        <f>Table20[[#This Row],[Number of options]]*Table20[[#This Row],[AvePrice]]*100*Table20[[#This Row],[Buy or Sell]]</f>
        <v>480</v>
      </c>
      <c r="V316" s="8">
        <f>Table20[[#This Row],[Number of options]]-Table20[[#This Row],[Exit1]]-Table20[[#This Row],[Exit2]]</f>
        <v>0</v>
      </c>
      <c r="W316" s="30">
        <f ca="1">(Table20[[#This Row],[Expiration Date]]-TODAY())/365</f>
        <v>-1.4547945205479451</v>
      </c>
      <c r="X316" s="30" t="e">
        <f ca="1">(LN(Table20[[#This Row],[Current Price]]/Table20[[#This Row],[strike_price]]) + ($B$2 + (Table20[[#This Row],[Vol]]^2)/2)*Table20[[#This Row],[Time to expiration]]) / (Table20[[#This Row],[Vol]] * SQRT(Table20[[#This Row],[Time to expiration]]))</f>
        <v>#NUM!</v>
      </c>
      <c r="Y316" s="30" t="e">
        <f ca="1">IF(Table20[[#This Row],[Direction]]&gt;0, _xlfn.NORM.S.DIST(Table20[[#This Row],[d1]], TRUE), _xlfn.NORM.S.DIST(Table20[[#This Row],[d1]], TRUE) - 1) * Table20[[#This Row],[Buy or Sell]]</f>
        <v>#NUM!</v>
      </c>
      <c r="Z316" s="9">
        <f ca="1">Table20[[#This Row],[Remaining]]*Table20[[#This Row],[Current Price]]*100</f>
        <v>0</v>
      </c>
      <c r="AA316" s="22">
        <f ca="1">IFERROR(Table20[[#This Row],[nominal_exposure]]*Table20[[#This Row],[Delta]],0)</f>
        <v>0</v>
      </c>
      <c r="AB316" s="30" t="b">
        <f>IF(Table20[[#This Row],[date_purchased]]&lt;&gt;Table20[[#This Row],[Expiration Date]],FALSE,TRUE)</f>
        <v>0</v>
      </c>
      <c r="AC316" s="30" t="str">
        <f>VLOOKUP(Table20[[#This Row],[Asset]],Table19[#All],3,FALSE)</f>
        <v>China</v>
      </c>
      <c r="AD316" s="30">
        <f>IF(Table20[[#This Row],[Remaining]]&lt;&gt;0,Table20[[#This Row],[Invested]]*Table20[[#This Row],[Remaining]]/Table20[[#This Row],[Number of options]],0)</f>
        <v>0</v>
      </c>
      <c r="AE316" s="30">
        <f ca="1">SUMIF(Table20[Ticker],Table20[[#This Row],[Ticker]],Table20[realized_profit])</f>
        <v>5855</v>
      </c>
      <c r="AF316" s="30" t="str">
        <f>VLOOKUP(Table20[[#This Row],[Strategy]],Table29[#All],7,FALSE)</f>
        <v>Bearish</v>
      </c>
    </row>
    <row r="317" spans="1:32" hidden="1">
      <c r="A317" s="180">
        <v>45569</v>
      </c>
      <c r="B317" s="21" t="e" vm="63">
        <v>#VALUE!</v>
      </c>
      <c r="C317" s="109" t="str" cm="1">
        <f t="array" aca="1" ref="C317" ca="1">_FV(Table20[[#This Row],[Asset]],"Ticker symbol",TRUE)</f>
        <v>TSLA</v>
      </c>
      <c r="D317" s="26" cm="1">
        <f t="array" aca="1" ref="D317" ca="1">_FV(Table20[[#This Row],[Asset]],"Price")</f>
        <v>394.5401</v>
      </c>
      <c r="E317" s="26">
        <v>250</v>
      </c>
      <c r="F317" s="33">
        <v>1</v>
      </c>
      <c r="G317" s="34">
        <v>1</v>
      </c>
      <c r="H317" s="34" t="s">
        <v>112</v>
      </c>
      <c r="I317" s="31">
        <v>45565</v>
      </c>
      <c r="J317" s="26">
        <v>5.0999999999999996</v>
      </c>
      <c r="K317" s="24">
        <v>0.72919999999999996</v>
      </c>
      <c r="L317" s="33">
        <f>VLOOKUP(Table20[[#This Row],[Strategy]],Table29[#All],6,FALSE)</f>
        <v>-1</v>
      </c>
      <c r="M317" s="23">
        <v>1</v>
      </c>
      <c r="N317" s="23">
        <v>11.35</v>
      </c>
      <c r="O317" s="23"/>
      <c r="P317" s="23"/>
      <c r="Q317">
        <f>Table20[[#This Row],[Exit1]]*Table20[[#This Row],[ex1_price]]</f>
        <v>11.35</v>
      </c>
      <c r="R317">
        <f>Table20[[#This Row],[Exit2]]*Table20[[#This Row],[ex2_price]]</f>
        <v>0</v>
      </c>
      <c r="S317">
        <f>IFERROR((Table20[[#This Row],[ex2_amnt]]+Table20[[#This Row],[ex1_amnt]])/(Table20[[#This Row],[Exit2]]+Table20[[#This Row],[Exit1]]),0)</f>
        <v>11.35</v>
      </c>
      <c r="T317" s="5">
        <f>(Table20[[#This Row],[Exit1]]+Table20[[#This Row],[Exit2]])*(Table20[[#This Row],[avg_exit_price]]-Table20[[#This Row],[AvePrice]])*100*Table20[[#This Row],[Buy or Sell]]</f>
        <v>625</v>
      </c>
      <c r="U317" s="5">
        <f>Table20[[#This Row],[Number of options]]*Table20[[#This Row],[AvePrice]]*100*Table20[[#This Row],[Buy or Sell]]</f>
        <v>509.99999999999994</v>
      </c>
      <c r="V317" s="8">
        <f>Table20[[#This Row],[Number of options]]-Table20[[#This Row],[Exit1]]-Table20[[#This Row],[Exit2]]</f>
        <v>0</v>
      </c>
      <c r="W317" s="30">
        <f ca="1">(Table20[[#This Row],[Expiration Date]]-TODAY())/365</f>
        <v>-1.473972602739726</v>
      </c>
      <c r="X317" s="30" t="e">
        <f ca="1">(LN(Table20[[#This Row],[Current Price]]/Table20[[#This Row],[strike_price]]) + ($B$2 + (Table20[[#This Row],[Vol]]^2)/2)*Table20[[#This Row],[Time to expiration]]) / (Table20[[#This Row],[Vol]] * SQRT(Table20[[#This Row],[Time to expiration]]))</f>
        <v>#NUM!</v>
      </c>
      <c r="Y317" s="30" t="e">
        <f ca="1">IF(Table20[[#This Row],[Direction]]&gt;0, _xlfn.NORM.S.DIST(Table20[[#This Row],[d1]], TRUE), _xlfn.NORM.S.DIST(Table20[[#This Row],[d1]], TRUE) - 1) * Table20[[#This Row],[Buy or Sell]]</f>
        <v>#NUM!</v>
      </c>
      <c r="Z317" s="9">
        <f ca="1">Table20[[#This Row],[Remaining]]*Table20[[#This Row],[Current Price]]*100</f>
        <v>0</v>
      </c>
      <c r="AA317" s="22">
        <f ca="1">IFERROR(Table20[[#This Row],[nominal_exposure]]*Table20[[#This Row],[Delta]],0)</f>
        <v>0</v>
      </c>
      <c r="AB317" s="30" t="b">
        <f>IF(Table20[[#This Row],[date_purchased]]&lt;&gt;Table20[[#This Row],[Expiration Date]],FALSE,TRUE)</f>
        <v>0</v>
      </c>
      <c r="AC317" s="30" t="str">
        <f>VLOOKUP(Table20[[#This Row],[Asset]],Table19[#All],3,FALSE)</f>
        <v>Auto</v>
      </c>
      <c r="AD317" s="30">
        <f>IF(Table20[[#This Row],[Remaining]]&lt;&gt;0,Table20[[#This Row],[Invested]]*Table20[[#This Row],[Remaining]]/Table20[[#This Row],[Number of options]],0)</f>
        <v>0</v>
      </c>
      <c r="AE317" s="30">
        <f ca="1">SUMIF(Table20[Ticker],Table20[[#This Row],[Ticker]],Table20[realized_profit])</f>
        <v>4153</v>
      </c>
      <c r="AF317" s="30" t="str">
        <f>VLOOKUP(Table20[[#This Row],[Strategy]],Table29[#All],7,FALSE)</f>
        <v>Bearish</v>
      </c>
    </row>
    <row r="318" spans="1:32" hidden="1">
      <c r="A318" s="180">
        <v>45569</v>
      </c>
      <c r="B318" s="21" t="e" vm="63">
        <v>#VALUE!</v>
      </c>
      <c r="C318" s="109" t="str" cm="1">
        <f t="array" aca="1" ref="C318" ca="1">_FV(Table20[[#This Row],[Asset]],"Ticker symbol",TRUE)</f>
        <v>TSLA</v>
      </c>
      <c r="D318" s="26" cm="1">
        <f t="array" aca="1" ref="D318" ca="1">_FV(Table20[[#This Row],[Asset]],"Price")</f>
        <v>394.5401</v>
      </c>
      <c r="E318" s="26">
        <v>240</v>
      </c>
      <c r="F318" s="33">
        <v>1</v>
      </c>
      <c r="G318" s="34">
        <v>-1</v>
      </c>
      <c r="H318" s="34" t="s">
        <v>112</v>
      </c>
      <c r="I318" s="31">
        <v>45565</v>
      </c>
      <c r="J318" s="26">
        <v>2.0299999999999998</v>
      </c>
      <c r="K318" s="24">
        <v>0.73099999999999998</v>
      </c>
      <c r="L318" s="33">
        <f>VLOOKUP(Table20[[#This Row],[Strategy]],Table29[#All],6,FALSE)</f>
        <v>-1</v>
      </c>
      <c r="M318" s="23">
        <v>1</v>
      </c>
      <c r="N318" s="23">
        <v>3.9</v>
      </c>
      <c r="O318" s="23"/>
      <c r="P318" s="23"/>
      <c r="Q318">
        <f>Table20[[#This Row],[Exit1]]*Table20[[#This Row],[ex1_price]]</f>
        <v>3.9</v>
      </c>
      <c r="R318">
        <f>Table20[[#This Row],[Exit2]]*Table20[[#This Row],[ex2_price]]</f>
        <v>0</v>
      </c>
      <c r="S318">
        <f>IFERROR((Table20[[#This Row],[ex2_amnt]]+Table20[[#This Row],[ex1_amnt]])/(Table20[[#This Row],[Exit2]]+Table20[[#This Row],[Exit1]]),0)</f>
        <v>3.9</v>
      </c>
      <c r="T318" s="5">
        <f>(Table20[[#This Row],[Exit1]]+Table20[[#This Row],[Exit2]])*(Table20[[#This Row],[avg_exit_price]]-Table20[[#This Row],[AvePrice]])*100*Table20[[#This Row],[Buy or Sell]]</f>
        <v>-187</v>
      </c>
      <c r="U318" s="5">
        <f>Table20[[#This Row],[Number of options]]*Table20[[#This Row],[AvePrice]]*100*Table20[[#This Row],[Buy or Sell]]</f>
        <v>-202.99999999999997</v>
      </c>
      <c r="V318" s="8">
        <f>Table20[[#This Row],[Number of options]]-Table20[[#This Row],[Exit1]]-Table20[[#This Row],[Exit2]]</f>
        <v>0</v>
      </c>
      <c r="W318" s="30">
        <f ca="1">(Table20[[#This Row],[Expiration Date]]-TODAY())/365</f>
        <v>-1.473972602739726</v>
      </c>
      <c r="X318" s="30" t="e">
        <f ca="1">(LN(Table20[[#This Row],[Current Price]]/Table20[[#This Row],[strike_price]]) + ($B$2 + (Table20[[#This Row],[Vol]]^2)/2)*Table20[[#This Row],[Time to expiration]]) / (Table20[[#This Row],[Vol]] * SQRT(Table20[[#This Row],[Time to expiration]]))</f>
        <v>#NUM!</v>
      </c>
      <c r="Y318" s="30" t="e">
        <f ca="1">IF(Table20[[#This Row],[Direction]]&gt;0, _xlfn.NORM.S.DIST(Table20[[#This Row],[d1]], TRUE), _xlfn.NORM.S.DIST(Table20[[#This Row],[d1]], TRUE) - 1) * Table20[[#This Row],[Buy or Sell]]</f>
        <v>#NUM!</v>
      </c>
      <c r="Z318" s="9">
        <f ca="1">Table20[[#This Row],[Remaining]]*Table20[[#This Row],[Current Price]]*100</f>
        <v>0</v>
      </c>
      <c r="AA318" s="22">
        <f ca="1">IFERROR(Table20[[#This Row],[nominal_exposure]]*Table20[[#This Row],[Delta]],0)</f>
        <v>0</v>
      </c>
      <c r="AB318" s="30" t="b">
        <f>IF(Table20[[#This Row],[date_purchased]]&lt;&gt;Table20[[#This Row],[Expiration Date]],FALSE,TRUE)</f>
        <v>0</v>
      </c>
      <c r="AC318" s="30" t="str">
        <f>VLOOKUP(Table20[[#This Row],[Asset]],Table19[#All],3,FALSE)</f>
        <v>Auto</v>
      </c>
      <c r="AD318" s="30">
        <f>IF(Table20[[#This Row],[Remaining]]&lt;&gt;0,Table20[[#This Row],[Invested]]*Table20[[#This Row],[Remaining]]/Table20[[#This Row],[Number of options]],0)</f>
        <v>0</v>
      </c>
      <c r="AE318" s="30">
        <f ca="1">SUMIF(Table20[Ticker],Table20[[#This Row],[Ticker]],Table20[realized_profit])</f>
        <v>4153</v>
      </c>
      <c r="AF318" s="30" t="str">
        <f>VLOOKUP(Table20[[#This Row],[Strategy]],Table29[#All],7,FALSE)</f>
        <v>Bearish</v>
      </c>
    </row>
    <row r="319" spans="1:32" hidden="1">
      <c r="A319" s="216">
        <v>45583</v>
      </c>
      <c r="B319" s="21" t="e" vm="63">
        <v>#VALUE!</v>
      </c>
      <c r="C319" s="109" t="str" cm="1">
        <f t="array" aca="1" ref="C319" ca="1">_FV(Table20[[#This Row],[Asset]],"Ticker symbol",TRUE)</f>
        <v>TSLA</v>
      </c>
      <c r="D319" s="26" cm="1">
        <f t="array" aca="1" ref="D319" ca="1">_FV(Table20[[#This Row],[Asset]],"Price")</f>
        <v>394.5401</v>
      </c>
      <c r="E319" s="26">
        <v>217.5</v>
      </c>
      <c r="F319" s="33">
        <v>2</v>
      </c>
      <c r="G319" s="34">
        <v>2</v>
      </c>
      <c r="H319" s="34" t="s">
        <v>181</v>
      </c>
      <c r="I319" s="31">
        <v>45576</v>
      </c>
      <c r="J319" s="26">
        <v>5.72</v>
      </c>
      <c r="K319" s="24">
        <v>0.50539999999999996</v>
      </c>
      <c r="L319" s="33">
        <f>VLOOKUP(Table20[[#This Row],[Strategy]],Table29[#All],6,FALSE)</f>
        <v>-1</v>
      </c>
      <c r="M319" s="23">
        <v>2</v>
      </c>
      <c r="N319" s="23">
        <v>0.37</v>
      </c>
      <c r="O319" s="23"/>
      <c r="P319" s="23"/>
      <c r="Q319">
        <f>Table20[[#This Row],[Exit1]]*Table20[[#This Row],[ex1_price]]</f>
        <v>0.74</v>
      </c>
      <c r="R319">
        <f>Table20[[#This Row],[Exit2]]*Table20[[#This Row],[ex2_price]]</f>
        <v>0</v>
      </c>
      <c r="S319">
        <f>IFERROR((Table20[[#This Row],[ex2_amnt]]+Table20[[#This Row],[ex1_amnt]])/(Table20[[#This Row],[Exit2]]+Table20[[#This Row],[Exit1]]),0)</f>
        <v>0.37</v>
      </c>
      <c r="T319" s="5">
        <f>(Table20[[#This Row],[Exit1]]+Table20[[#This Row],[Exit2]])*(Table20[[#This Row],[avg_exit_price]]-Table20[[#This Row],[AvePrice]])*100*Table20[[#This Row],[Buy or Sell]]</f>
        <v>-2140</v>
      </c>
      <c r="U319" s="5">
        <f>Table20[[#This Row],[Number of options]]*Table20[[#This Row],[AvePrice]]*100*Table20[[#This Row],[Buy or Sell]]</f>
        <v>2288</v>
      </c>
      <c r="V319" s="8">
        <f>Table20[[#This Row],[Number of options]]-Table20[[#This Row],[Exit1]]-Table20[[#This Row],[Exit2]]</f>
        <v>0</v>
      </c>
      <c r="W319" s="30">
        <f ca="1">(Table20[[#This Row],[Expiration Date]]-TODAY())/365</f>
        <v>-1.4356164383561645</v>
      </c>
      <c r="X319" s="30" t="e">
        <f ca="1">(LN(Table20[[#This Row],[Current Price]]/Table20[[#This Row],[strike_price]]) + ($B$2 + (Table20[[#This Row],[Vol]]^2)/2)*Table20[[#This Row],[Time to expiration]]) / (Table20[[#This Row],[Vol]] * SQRT(Table20[[#This Row],[Time to expiration]]))</f>
        <v>#NUM!</v>
      </c>
      <c r="Y319" s="30" t="e">
        <f ca="1">IF(Table20[[#This Row],[Direction]]&gt;0, _xlfn.NORM.S.DIST(Table20[[#This Row],[d1]], TRUE), _xlfn.NORM.S.DIST(Table20[[#This Row],[d1]], TRUE) - 1) * Table20[[#This Row],[Buy or Sell]]</f>
        <v>#NUM!</v>
      </c>
      <c r="Z319" s="9">
        <f ca="1">Table20[[#This Row],[Remaining]]*Table20[[#This Row],[Current Price]]*100</f>
        <v>0</v>
      </c>
      <c r="AA319" s="22">
        <f ca="1">IFERROR(Table20[[#This Row],[nominal_exposure]]*Table20[[#This Row],[Delta]],0)</f>
        <v>0</v>
      </c>
      <c r="AB319" s="30" t="b">
        <f>IF(Table20[[#This Row],[date_purchased]]&lt;&gt;Table20[[#This Row],[Expiration Date]],FALSE,TRUE)</f>
        <v>0</v>
      </c>
      <c r="AC319" s="30" t="str">
        <f>VLOOKUP(Table20[[#This Row],[Asset]],Table19[#All],3,FALSE)</f>
        <v>Auto</v>
      </c>
      <c r="AD319" s="30">
        <f>IF(Table20[[#This Row],[Remaining]]&lt;&gt;0,Table20[[#This Row],[Invested]]*Table20[[#This Row],[Remaining]]/Table20[[#This Row],[Number of options]],0)</f>
        <v>0</v>
      </c>
      <c r="AE319" s="30">
        <f ca="1">SUMIF(Table20[Ticker],Table20[[#This Row],[Ticker]],Table20[realized_profit])</f>
        <v>4153</v>
      </c>
      <c r="AF319" s="30" t="str">
        <f>VLOOKUP(Table20[[#This Row],[Strategy]],Table29[#All],7,FALSE)</f>
        <v>Bullish</v>
      </c>
    </row>
    <row r="320" spans="1:32" hidden="1">
      <c r="A320" s="118">
        <v>45520</v>
      </c>
      <c r="B320" s="21" t="e" vm="96">
        <v>#VALUE!</v>
      </c>
      <c r="C320" s="109" t="str" cm="1">
        <f t="array" aca="1" ref="C320" ca="1">_FV(Table20[[#This Row],[Asset]],"Ticker symbol",TRUE)</f>
        <v>SPY</v>
      </c>
      <c r="D320" s="26" cm="1">
        <f t="array" aca="1" ref="D320" ca="1">_FV(Table20[[#This Row],[Asset]],"Price")</f>
        <v>658.59</v>
      </c>
      <c r="E320" s="26">
        <v>500</v>
      </c>
      <c r="F320" s="33">
        <v>2</v>
      </c>
      <c r="G320" s="34">
        <v>1</v>
      </c>
      <c r="H320" s="34" t="s">
        <v>161</v>
      </c>
      <c r="I320" s="31">
        <v>45506</v>
      </c>
      <c r="J320" s="26">
        <v>2.33</v>
      </c>
      <c r="K320" s="24">
        <v>0.30180000000000001</v>
      </c>
      <c r="L320" s="33">
        <f>VLOOKUP(Table20[[#This Row],[Strategy]],Table29[#All],6,FALSE)</f>
        <v>-1</v>
      </c>
      <c r="M320" s="23">
        <v>2</v>
      </c>
      <c r="N320" s="23">
        <v>0.35</v>
      </c>
      <c r="O320" s="23"/>
      <c r="P320" s="23"/>
      <c r="Q320">
        <f>Table20[[#This Row],[Exit1]]*Table20[[#This Row],[ex1_price]]</f>
        <v>0.7</v>
      </c>
      <c r="R320">
        <f>Table20[[#This Row],[Exit2]]*Table20[[#This Row],[ex2_price]]</f>
        <v>0</v>
      </c>
      <c r="S320">
        <f>IFERROR((Table20[[#This Row],[ex2_amnt]]+Table20[[#This Row],[ex1_amnt]])/(Table20[[#This Row],[Exit2]]+Table20[[#This Row],[Exit1]]),0)</f>
        <v>0.35</v>
      </c>
      <c r="T320" s="5">
        <f>(Table20[[#This Row],[Exit1]]+Table20[[#This Row],[Exit2]])*(Table20[[#This Row],[avg_exit_price]]-Table20[[#This Row],[AvePrice]])*100*Table20[[#This Row],[Buy or Sell]]</f>
        <v>-396</v>
      </c>
      <c r="U320" s="5">
        <f>Table20[[#This Row],[Number of options]]*Table20[[#This Row],[AvePrice]]*100*Table20[[#This Row],[Buy or Sell]]</f>
        <v>466</v>
      </c>
      <c r="V320" s="8">
        <f>Table20[[#This Row],[Number of options]]-Table20[[#This Row],[Exit1]]-Table20[[#This Row],[Exit2]]</f>
        <v>0</v>
      </c>
      <c r="W320" s="30">
        <f ca="1">(Table20[[#This Row],[Expiration Date]]-TODAY())/365</f>
        <v>-1.6082191780821917</v>
      </c>
      <c r="X320" s="30" t="e">
        <f ca="1">(LN(Table20[[#This Row],[Current Price]]/Table20[[#This Row],[strike_price]]) + ($B$2 + (Table20[[#This Row],[Vol]]^2)/2)*Table20[[#This Row],[Time to expiration]]) / (Table20[[#This Row],[Vol]] * SQRT(Table20[[#This Row],[Time to expiration]]))</f>
        <v>#NUM!</v>
      </c>
      <c r="Y320" s="30" t="e">
        <f ca="1">IF(Table20[[#This Row],[Direction]]&gt;0, _xlfn.NORM.S.DIST(Table20[[#This Row],[d1]], TRUE), _xlfn.NORM.S.DIST(Table20[[#This Row],[d1]], TRUE) - 1) * Table20[[#This Row],[Buy or Sell]]</f>
        <v>#NUM!</v>
      </c>
      <c r="Z320" s="9">
        <f ca="1">Table20[[#This Row],[Remaining]]*Table20[[#This Row],[Current Price]]*100</f>
        <v>0</v>
      </c>
      <c r="AA320" s="22">
        <f ca="1">IFERROR(Table20[[#This Row],[nominal_exposure]]*Table20[[#This Row],[Delta]],0)</f>
        <v>0</v>
      </c>
      <c r="AB320" s="30" t="b">
        <f>IF(Table20[[#This Row],[date_purchased]]&lt;&gt;Table20[[#This Row],[Expiration Date]],FALSE,TRUE)</f>
        <v>0</v>
      </c>
      <c r="AC320" s="30" t="str">
        <f>VLOOKUP(Table20[[#This Row],[Asset]],Table19[#All],3,FALSE)</f>
        <v>Market</v>
      </c>
      <c r="AD320" s="30">
        <f>IF(Table20[[#This Row],[Remaining]]&lt;&gt;0,Table20[[#This Row],[Invested]]*Table20[[#This Row],[Remaining]]/Table20[[#This Row],[Number of options]],0)</f>
        <v>0</v>
      </c>
      <c r="AE320" s="30">
        <f ca="1">SUMIF(Table20[Ticker],Table20[[#This Row],[Ticker]],Table20[realized_profit])</f>
        <v>-5077</v>
      </c>
      <c r="AF320" s="30" t="str">
        <f>VLOOKUP(Table20[[#This Row],[Strategy]],Table29[#All],7,FALSE)</f>
        <v>Bearish</v>
      </c>
    </row>
    <row r="321" spans="1:32" hidden="1">
      <c r="A321" s="180">
        <v>45569</v>
      </c>
      <c r="B321" s="21" t="e" vm="144">
        <v>#VALUE!</v>
      </c>
      <c r="C321" s="109" t="str" cm="1">
        <f t="array" aca="1" ref="C321" ca="1">_FV(Table20[[#This Row],[Asset]],"Ticker symbol",TRUE)</f>
        <v>AAPL</v>
      </c>
      <c r="D321" s="26" cm="1">
        <f t="array" aca="1" ref="D321" ca="1">_FV(Table20[[#This Row],[Asset]],"Price")</f>
        <v>253.2</v>
      </c>
      <c r="E321" s="26">
        <v>220</v>
      </c>
      <c r="F321" s="33">
        <v>2</v>
      </c>
      <c r="G321" s="34">
        <v>-1</v>
      </c>
      <c r="H321" s="34" t="s">
        <v>159</v>
      </c>
      <c r="I321" s="31">
        <v>45553</v>
      </c>
      <c r="J321" s="26">
        <v>5.53</v>
      </c>
      <c r="K321" s="24"/>
      <c r="L321" s="33">
        <f>VLOOKUP(Table20[[#This Row],[Strategy]],Table29[#All],6,FALSE)</f>
        <v>1</v>
      </c>
      <c r="M321" s="23">
        <v>1</v>
      </c>
      <c r="N321" s="23">
        <v>9.1</v>
      </c>
      <c r="O321" s="23">
        <v>1</v>
      </c>
      <c r="P321" s="23">
        <v>11.6</v>
      </c>
      <c r="Q321">
        <f>Table20[[#This Row],[Exit1]]*Table20[[#This Row],[ex1_price]]</f>
        <v>9.1</v>
      </c>
      <c r="R321">
        <f>Table20[[#This Row],[Exit2]]*Table20[[#This Row],[ex2_price]]</f>
        <v>11.6</v>
      </c>
      <c r="S321">
        <f>IFERROR((Table20[[#This Row],[ex2_amnt]]+Table20[[#This Row],[ex1_amnt]])/(Table20[[#This Row],[Exit2]]+Table20[[#This Row],[Exit1]]),0)</f>
        <v>10.35</v>
      </c>
      <c r="T321" s="5">
        <f>(Table20[[#This Row],[Exit1]]+Table20[[#This Row],[Exit2]])*(Table20[[#This Row],[avg_exit_price]]-Table20[[#This Row],[AvePrice]])*100*Table20[[#This Row],[Buy or Sell]]</f>
        <v>-963.99999999999989</v>
      </c>
      <c r="U321" s="5">
        <f>Table20[[#This Row],[Number of options]]*Table20[[#This Row],[AvePrice]]*100*Table20[[#This Row],[Buy or Sell]]</f>
        <v>-1106</v>
      </c>
      <c r="V321" s="8">
        <f>Table20[[#This Row],[Number of options]]-Table20[[#This Row],[Exit1]]-Table20[[#This Row],[Exit2]]</f>
        <v>0</v>
      </c>
      <c r="W321" s="30">
        <f ca="1">(Table20[[#This Row],[Expiration Date]]-TODAY())/365</f>
        <v>-1.473972602739726</v>
      </c>
      <c r="X321" s="30" t="e">
        <f ca="1">(LN(Table20[[#This Row],[Current Price]]/Table20[[#This Row],[strike_price]]) + ($B$2 + (Table20[[#This Row],[Vol]]^2)/2)*Table20[[#This Row],[Time to expiration]]) / (Table20[[#This Row],[Vol]] * SQRT(Table20[[#This Row],[Time to expiration]]))</f>
        <v>#NUM!</v>
      </c>
      <c r="Y321" s="30" t="e">
        <f ca="1">IF(Table20[[#This Row],[Direction]]&gt;0, _xlfn.NORM.S.DIST(Table20[[#This Row],[d1]], TRUE), _xlfn.NORM.S.DIST(Table20[[#This Row],[d1]], TRUE) - 1) * Table20[[#This Row],[Buy or Sell]]</f>
        <v>#NUM!</v>
      </c>
      <c r="Z321" s="9">
        <f ca="1">Table20[[#This Row],[Remaining]]*Table20[[#This Row],[Current Price]]*100</f>
        <v>0</v>
      </c>
      <c r="AA321" s="22">
        <f ca="1">IFERROR(Table20[[#This Row],[nominal_exposure]]*Table20[[#This Row],[Delta]],0)</f>
        <v>0</v>
      </c>
      <c r="AB321" s="30" t="b">
        <f>IF(Table20[[#This Row],[date_purchased]]&lt;&gt;Table20[[#This Row],[Expiration Date]],FALSE,TRUE)</f>
        <v>0</v>
      </c>
      <c r="AC321" s="30" t="str">
        <f>VLOOKUP(Table20[[#This Row],[Asset]],Table19[#All],3,FALSE)</f>
        <v>AI</v>
      </c>
      <c r="AD321" s="30">
        <f>IF(Table20[[#This Row],[Remaining]]&lt;&gt;0,Table20[[#This Row],[Invested]]*Table20[[#This Row],[Remaining]]/Table20[[#This Row],[Number of options]],0)</f>
        <v>0</v>
      </c>
      <c r="AE321" s="30">
        <f ca="1">SUMIF(Table20[Ticker],Table20[[#This Row],[Ticker]],Table20[realized_profit])</f>
        <v>-153.9999999999996</v>
      </c>
      <c r="AF321" s="30" t="str">
        <f>VLOOKUP(Table20[[#This Row],[Strategy]],Table29[#All],7,FALSE)</f>
        <v>Bearish</v>
      </c>
    </row>
    <row r="322" spans="1:32" hidden="1">
      <c r="A322" s="180">
        <v>45569</v>
      </c>
      <c r="B322" s="21" t="e" vm="144">
        <v>#VALUE!</v>
      </c>
      <c r="C322" s="109" t="str" cm="1">
        <f t="array" aca="1" ref="C322" ca="1">_FV(Table20[[#This Row],[Asset]],"Ticker symbol",TRUE)</f>
        <v>AAPL</v>
      </c>
      <c r="D322" s="26" cm="1">
        <f t="array" aca="1" ref="D322" ca="1">_FV(Table20[[#This Row],[Asset]],"Price")</f>
        <v>253.2</v>
      </c>
      <c r="E322" s="26">
        <v>222.5</v>
      </c>
      <c r="F322" s="33">
        <v>2</v>
      </c>
      <c r="G322" s="34">
        <v>1</v>
      </c>
      <c r="H322" s="34" t="s">
        <v>159</v>
      </c>
      <c r="I322" s="31">
        <v>45553</v>
      </c>
      <c r="J322" s="26">
        <v>4.2</v>
      </c>
      <c r="K322" s="24"/>
      <c r="L322" s="33">
        <f>VLOOKUP(Table20[[#This Row],[Strategy]],Table29[#All],6,FALSE)</f>
        <v>1</v>
      </c>
      <c r="M322" s="23">
        <v>1</v>
      </c>
      <c r="N322" s="23">
        <v>7.27</v>
      </c>
      <c r="O322" s="23">
        <v>1</v>
      </c>
      <c r="P322" s="23">
        <v>9.2200000000000006</v>
      </c>
      <c r="Q322">
        <f>Table20[[#This Row],[Exit1]]*Table20[[#This Row],[ex1_price]]</f>
        <v>7.27</v>
      </c>
      <c r="R322">
        <f>Table20[[#This Row],[Exit2]]*Table20[[#This Row],[ex2_price]]</f>
        <v>9.2200000000000006</v>
      </c>
      <c r="S322">
        <f>IFERROR((Table20[[#This Row],[ex2_amnt]]+Table20[[#This Row],[ex1_amnt]])/(Table20[[#This Row],[Exit2]]+Table20[[#This Row],[Exit1]]),0)</f>
        <v>8.245000000000001</v>
      </c>
      <c r="T322" s="5">
        <f>(Table20[[#This Row],[Exit1]]+Table20[[#This Row],[Exit2]])*(Table20[[#This Row],[avg_exit_price]]-Table20[[#This Row],[AvePrice]])*100*Table20[[#This Row],[Buy or Sell]]</f>
        <v>809.00000000000011</v>
      </c>
      <c r="U322" s="5">
        <f>Table20[[#This Row],[Number of options]]*Table20[[#This Row],[AvePrice]]*100*Table20[[#This Row],[Buy or Sell]]</f>
        <v>840</v>
      </c>
      <c r="V322" s="8">
        <f>Table20[[#This Row],[Number of options]]-Table20[[#This Row],[Exit1]]-Table20[[#This Row],[Exit2]]</f>
        <v>0</v>
      </c>
      <c r="W322" s="30">
        <f ca="1">(Table20[[#This Row],[Expiration Date]]-TODAY())/365</f>
        <v>-1.473972602739726</v>
      </c>
      <c r="X322" s="30" t="e">
        <f ca="1">(LN(Table20[[#This Row],[Current Price]]/Table20[[#This Row],[strike_price]]) + ($B$2 + (Table20[[#This Row],[Vol]]^2)/2)*Table20[[#This Row],[Time to expiration]]) / (Table20[[#This Row],[Vol]] * SQRT(Table20[[#This Row],[Time to expiration]]))</f>
        <v>#NUM!</v>
      </c>
      <c r="Y322" s="30" t="e">
        <f ca="1">IF(Table20[[#This Row],[Direction]]&gt;0, _xlfn.NORM.S.DIST(Table20[[#This Row],[d1]], TRUE), _xlfn.NORM.S.DIST(Table20[[#This Row],[d1]], TRUE) - 1) * Table20[[#This Row],[Buy or Sell]]</f>
        <v>#NUM!</v>
      </c>
      <c r="Z322" s="9">
        <f ca="1">Table20[[#This Row],[Remaining]]*Table20[[#This Row],[Current Price]]*100</f>
        <v>0</v>
      </c>
      <c r="AA322" s="22">
        <f ca="1">IFERROR(Table20[[#This Row],[nominal_exposure]]*Table20[[#This Row],[Delta]],0)</f>
        <v>0</v>
      </c>
      <c r="AB322" s="30" t="b">
        <f>IF(Table20[[#This Row],[date_purchased]]&lt;&gt;Table20[[#This Row],[Expiration Date]],FALSE,TRUE)</f>
        <v>0</v>
      </c>
      <c r="AC322" s="30" t="str">
        <f>VLOOKUP(Table20[[#This Row],[Asset]],Table19[#All],3,FALSE)</f>
        <v>AI</v>
      </c>
      <c r="AD322" s="30">
        <f>IF(Table20[[#This Row],[Remaining]]&lt;&gt;0,Table20[[#This Row],[Invested]]*Table20[[#This Row],[Remaining]]/Table20[[#This Row],[Number of options]],0)</f>
        <v>0</v>
      </c>
      <c r="AE322" s="30">
        <f ca="1">SUMIF(Table20[Ticker],Table20[[#This Row],[Ticker]],Table20[realized_profit])</f>
        <v>-153.9999999999996</v>
      </c>
      <c r="AF322" s="30" t="str">
        <f>VLOOKUP(Table20[[#This Row],[Strategy]],Table29[#All],7,FALSE)</f>
        <v>Bearish</v>
      </c>
    </row>
    <row r="323" spans="1:32" hidden="1">
      <c r="A323" s="118">
        <v>45520</v>
      </c>
      <c r="B323" s="21" t="e" vm="96">
        <v>#VALUE!</v>
      </c>
      <c r="C323" s="109" t="str" cm="1">
        <f t="array" aca="1" ref="C323" ca="1">_FV(Table20[[#This Row],[Asset]],"Ticker symbol",TRUE)</f>
        <v>SPY</v>
      </c>
      <c r="D323" s="26" cm="1">
        <f t="array" aca="1" ref="D323" ca="1">_FV(Table20[[#This Row],[Asset]],"Price")</f>
        <v>658.59</v>
      </c>
      <c r="E323" s="26">
        <v>520</v>
      </c>
      <c r="F323" s="33">
        <v>1</v>
      </c>
      <c r="G323" s="34">
        <v>1</v>
      </c>
      <c r="H323" s="34" t="s">
        <v>65</v>
      </c>
      <c r="I323" s="31">
        <v>45516</v>
      </c>
      <c r="J323" s="26">
        <v>1.1299999999999999</v>
      </c>
      <c r="K323" s="24">
        <v>0.2586</v>
      </c>
      <c r="L323" s="33">
        <f>VLOOKUP(Table20[[#This Row],[Strategy]],Table29[#All],6,FALSE)</f>
        <v>-1</v>
      </c>
      <c r="M323" s="23">
        <v>1</v>
      </c>
      <c r="N323" s="23">
        <v>0</v>
      </c>
      <c r="O323" s="23"/>
      <c r="P323" s="23"/>
      <c r="Q323">
        <f>Table20[[#This Row],[Exit1]]*Table20[[#This Row],[ex1_price]]</f>
        <v>0</v>
      </c>
      <c r="R323">
        <f>Table20[[#This Row],[Exit2]]*Table20[[#This Row],[ex2_price]]</f>
        <v>0</v>
      </c>
      <c r="S323">
        <f>IFERROR((Table20[[#This Row],[ex2_amnt]]+Table20[[#This Row],[ex1_amnt]])/(Table20[[#This Row],[Exit2]]+Table20[[#This Row],[Exit1]]),0)</f>
        <v>0</v>
      </c>
      <c r="T323" s="5">
        <f>(Table20[[#This Row],[Exit1]]+Table20[[#This Row],[Exit2]])*(Table20[[#This Row],[avg_exit_price]]-Table20[[#This Row],[AvePrice]])*100*Table20[[#This Row],[Buy or Sell]]</f>
        <v>-112.99999999999999</v>
      </c>
      <c r="U323" s="5">
        <f>Table20[[#This Row],[Number of options]]*Table20[[#This Row],[AvePrice]]*100*Table20[[#This Row],[Buy or Sell]]</f>
        <v>112.99999999999999</v>
      </c>
      <c r="V323" s="8">
        <f>Table20[[#This Row],[Number of options]]-Table20[[#This Row],[Exit1]]-Table20[[#This Row],[Exit2]]</f>
        <v>0</v>
      </c>
      <c r="W323" s="30">
        <f ca="1">(Table20[[#This Row],[Expiration Date]]-TODAY())/365</f>
        <v>-1.6082191780821917</v>
      </c>
      <c r="X323" s="30" t="e">
        <f ca="1">(LN(Table20[[#This Row],[Current Price]]/Table20[[#This Row],[strike_price]]) + ($B$2 + (Table20[[#This Row],[Vol]]^2)/2)*Table20[[#This Row],[Time to expiration]]) / (Table20[[#This Row],[Vol]] * SQRT(Table20[[#This Row],[Time to expiration]]))</f>
        <v>#NUM!</v>
      </c>
      <c r="Y323" s="30" t="e">
        <f ca="1">IF(Table20[[#This Row],[Direction]]&gt;0, _xlfn.NORM.S.DIST(Table20[[#This Row],[d1]], TRUE), _xlfn.NORM.S.DIST(Table20[[#This Row],[d1]], TRUE) - 1) * Table20[[#This Row],[Buy or Sell]]</f>
        <v>#NUM!</v>
      </c>
      <c r="Z323" s="9">
        <f ca="1">Table20[[#This Row],[Remaining]]*Table20[[#This Row],[Current Price]]*100</f>
        <v>0</v>
      </c>
      <c r="AA323" s="22">
        <f ca="1">IFERROR(Table20[[#This Row],[nominal_exposure]]*Table20[[#This Row],[Delta]],0)</f>
        <v>0</v>
      </c>
      <c r="AB323" s="30" t="b">
        <f>IF(Table20[[#This Row],[date_purchased]]&lt;&gt;Table20[[#This Row],[Expiration Date]],FALSE,TRUE)</f>
        <v>0</v>
      </c>
      <c r="AC323" s="30" t="str">
        <f>VLOOKUP(Table20[[#This Row],[Asset]],Table19[#All],3,FALSE)</f>
        <v>Market</v>
      </c>
      <c r="AD323" s="4">
        <f>IF(Table20[[#This Row],[Remaining]]&lt;&gt;0,Table20[[#This Row],[Invested]]*Table20[[#This Row],[Remaining]]/Table20[[#This Row],[Number of options]],0)</f>
        <v>0</v>
      </c>
      <c r="AE323" s="4">
        <f ca="1">SUMIF(Table20[Ticker],Table20[[#This Row],[Ticker]],Table20[realized_profit])</f>
        <v>-5077</v>
      </c>
      <c r="AF323" s="30" t="str">
        <f>VLOOKUP(Table20[[#This Row],[Strategy]],Table29[#All],7,FALSE)</f>
        <v>Bearish</v>
      </c>
    </row>
    <row r="324" spans="1:32" hidden="1">
      <c r="A324" s="216">
        <v>45590</v>
      </c>
      <c r="B324" s="21" t="e" vm="13">
        <v>#VALUE!</v>
      </c>
      <c r="C324" s="109" t="str" cm="1">
        <f t="array" aca="1" ref="C324" ca="1">_FV(Table20[[#This Row],[Asset]],"Ticker symbol",TRUE)</f>
        <v>ON</v>
      </c>
      <c r="D324" s="26" cm="1">
        <f t="array" aca="1" ref="D324" ca="1">_FV(Table20[[#This Row],[Asset]],"Price")</f>
        <v>63.68</v>
      </c>
      <c r="E324" s="26">
        <v>75</v>
      </c>
      <c r="F324" s="33">
        <v>4</v>
      </c>
      <c r="G324" s="34">
        <v>1</v>
      </c>
      <c r="H324" s="34" t="s">
        <v>114</v>
      </c>
      <c r="I324" s="31">
        <v>45573</v>
      </c>
      <c r="J324" s="26">
        <v>1.31</v>
      </c>
      <c r="K324" s="24">
        <v>0.50390000000000001</v>
      </c>
      <c r="L324" s="33">
        <f>VLOOKUP(Table20[[#This Row],[Strategy]],Table29[#All],6,FALSE)</f>
        <v>1</v>
      </c>
      <c r="M324" s="23">
        <v>4</v>
      </c>
      <c r="N324" s="23">
        <v>0.06</v>
      </c>
      <c r="O324" s="23"/>
      <c r="P324" s="23"/>
      <c r="Q324">
        <f>Table20[[#This Row],[Exit1]]*Table20[[#This Row],[ex1_price]]</f>
        <v>0.24</v>
      </c>
      <c r="R324">
        <f>Table20[[#This Row],[Exit2]]*Table20[[#This Row],[ex2_price]]</f>
        <v>0</v>
      </c>
      <c r="S324">
        <f>IFERROR((Table20[[#This Row],[ex2_amnt]]+Table20[[#This Row],[ex1_amnt]])/(Table20[[#This Row],[Exit2]]+Table20[[#This Row],[Exit1]]),0)</f>
        <v>0.06</v>
      </c>
      <c r="T324" s="5">
        <f>(Table20[[#This Row],[Exit1]]+Table20[[#This Row],[Exit2]])*(Table20[[#This Row],[avg_exit_price]]-Table20[[#This Row],[AvePrice]])*100*Table20[[#This Row],[Buy or Sell]]</f>
        <v>-500</v>
      </c>
      <c r="U324" s="5">
        <f>Table20[[#This Row],[Number of options]]*Table20[[#This Row],[AvePrice]]*100*Table20[[#This Row],[Buy or Sell]]</f>
        <v>524</v>
      </c>
      <c r="V324" s="8">
        <f>Table20[[#This Row],[Number of options]]-Table20[[#This Row],[Exit1]]-Table20[[#This Row],[Exit2]]</f>
        <v>0</v>
      </c>
      <c r="W324" s="30">
        <f ca="1">(Table20[[#This Row],[Expiration Date]]-TODAY())/365</f>
        <v>-1.4164383561643836</v>
      </c>
      <c r="X324" s="30" t="e">
        <f ca="1">(LN(Table20[[#This Row],[Current Price]]/Table20[[#This Row],[strike_price]]) + ($B$2 + (Table20[[#This Row],[Vol]]^2)/2)*Table20[[#This Row],[Time to expiration]]) / (Table20[[#This Row],[Vol]] * SQRT(Table20[[#This Row],[Time to expiration]]))</f>
        <v>#NUM!</v>
      </c>
      <c r="Y324" s="30" t="e">
        <f ca="1">IF(Table20[[#This Row],[Direction]]&gt;0, _xlfn.NORM.S.DIST(Table20[[#This Row],[d1]], TRUE), _xlfn.NORM.S.DIST(Table20[[#This Row],[d1]], TRUE) - 1) * Table20[[#This Row],[Buy or Sell]]</f>
        <v>#NUM!</v>
      </c>
      <c r="Z324" s="9">
        <f ca="1">Table20[[#This Row],[Remaining]]*Table20[[#This Row],[Current Price]]*100</f>
        <v>0</v>
      </c>
      <c r="AA324" s="22">
        <f ca="1">IFERROR(Table20[[#This Row],[nominal_exposure]]*Table20[[#This Row],[Delta]],0)</f>
        <v>0</v>
      </c>
      <c r="AB324" s="30" t="b">
        <f>IF(Table20[[#This Row],[date_purchased]]&lt;&gt;Table20[[#This Row],[Expiration Date]],FALSE,TRUE)</f>
        <v>0</v>
      </c>
      <c r="AC324" s="30" t="str">
        <f>VLOOKUP(Table20[[#This Row],[Asset]],Table19[#All],3,FALSE)</f>
        <v>Semiconductor</v>
      </c>
      <c r="AD324" s="30">
        <f>IF(Table20[[#This Row],[Remaining]]&lt;&gt;0,Table20[[#This Row],[Invested]]*Table20[[#This Row],[Remaining]]/Table20[[#This Row],[Number of options]],0)</f>
        <v>0</v>
      </c>
      <c r="AE324" s="30">
        <f ca="1">SUMIF(Table20[Ticker],Table20[[#This Row],[Ticker]],Table20[realized_profit])</f>
        <v>1055.92</v>
      </c>
      <c r="AF324" s="30" t="str">
        <f>VLOOKUP(Table20[[#This Row],[Strategy]],Table29[#All],7,FALSE)</f>
        <v>Bullish</v>
      </c>
    </row>
    <row r="325" spans="1:32" hidden="1">
      <c r="A325" s="216">
        <v>45590</v>
      </c>
      <c r="B325" s="21" t="e" vm="13">
        <v>#VALUE!</v>
      </c>
      <c r="C325" s="109" t="str" cm="1">
        <f t="array" aca="1" ref="C325" ca="1">_FV(Table20[[#This Row],[Asset]],"Ticker symbol",TRUE)</f>
        <v>ON</v>
      </c>
      <c r="D325" s="26" cm="1">
        <f t="array" aca="1" ref="D325" ca="1">_FV(Table20[[#This Row],[Asset]],"Price")</f>
        <v>63.68</v>
      </c>
      <c r="E325" s="26">
        <v>80</v>
      </c>
      <c r="F325" s="33">
        <v>4</v>
      </c>
      <c r="G325" s="34">
        <v>-1</v>
      </c>
      <c r="H325" s="34" t="s">
        <v>114</v>
      </c>
      <c r="I325" s="31">
        <v>45573</v>
      </c>
      <c r="J325" s="26">
        <v>0.46</v>
      </c>
      <c r="K325" s="24">
        <v>0.50539999999999996</v>
      </c>
      <c r="L325" s="33">
        <f>VLOOKUP(Table20[[#This Row],[Strategy]],Table29[#All],6,FALSE)</f>
        <v>1</v>
      </c>
      <c r="M325" s="23">
        <v>4</v>
      </c>
      <c r="N325" s="23">
        <v>0.01</v>
      </c>
      <c r="O325" s="23"/>
      <c r="P325" s="23"/>
      <c r="Q325">
        <f>Table20[[#This Row],[Exit1]]*Table20[[#This Row],[ex1_price]]</f>
        <v>0.04</v>
      </c>
      <c r="R325">
        <f>Table20[[#This Row],[Exit2]]*Table20[[#This Row],[ex2_price]]</f>
        <v>0</v>
      </c>
      <c r="S325">
        <f>IFERROR((Table20[[#This Row],[ex2_amnt]]+Table20[[#This Row],[ex1_amnt]])/(Table20[[#This Row],[Exit2]]+Table20[[#This Row],[Exit1]]),0)</f>
        <v>0.01</v>
      </c>
      <c r="T325" s="5">
        <f>(Table20[[#This Row],[Exit1]]+Table20[[#This Row],[Exit2]])*(Table20[[#This Row],[avg_exit_price]]-Table20[[#This Row],[AvePrice]])*100*Table20[[#This Row],[Buy or Sell]]</f>
        <v>180</v>
      </c>
      <c r="U325" s="5">
        <f>Table20[[#This Row],[Number of options]]*Table20[[#This Row],[AvePrice]]*100*Table20[[#This Row],[Buy or Sell]]</f>
        <v>-184</v>
      </c>
      <c r="V325" s="8">
        <f>Table20[[#This Row],[Number of options]]-Table20[[#This Row],[Exit1]]-Table20[[#This Row],[Exit2]]</f>
        <v>0</v>
      </c>
      <c r="W325" s="30">
        <f ca="1">(Table20[[#This Row],[Expiration Date]]-TODAY())/365</f>
        <v>-1.4164383561643836</v>
      </c>
      <c r="X325" s="30" t="e">
        <f ca="1">(LN(Table20[[#This Row],[Current Price]]/Table20[[#This Row],[strike_price]]) + ($B$2 + (Table20[[#This Row],[Vol]]^2)/2)*Table20[[#This Row],[Time to expiration]]) / (Table20[[#This Row],[Vol]] * SQRT(Table20[[#This Row],[Time to expiration]]))</f>
        <v>#NUM!</v>
      </c>
      <c r="Y325" s="30" t="e">
        <f ca="1">IF(Table20[[#This Row],[Direction]]&gt;0, _xlfn.NORM.S.DIST(Table20[[#This Row],[d1]], TRUE), _xlfn.NORM.S.DIST(Table20[[#This Row],[d1]], TRUE) - 1) * Table20[[#This Row],[Buy or Sell]]</f>
        <v>#NUM!</v>
      </c>
      <c r="Z325" s="9">
        <f ca="1">Table20[[#This Row],[Remaining]]*Table20[[#This Row],[Current Price]]*100</f>
        <v>0</v>
      </c>
      <c r="AA325" s="22">
        <f ca="1">IFERROR(Table20[[#This Row],[nominal_exposure]]*Table20[[#This Row],[Delta]],0)</f>
        <v>0</v>
      </c>
      <c r="AB325" s="30" t="b">
        <f>IF(Table20[[#This Row],[date_purchased]]&lt;&gt;Table20[[#This Row],[Expiration Date]],FALSE,TRUE)</f>
        <v>0</v>
      </c>
      <c r="AC325" s="30" t="str">
        <f>VLOOKUP(Table20[[#This Row],[Asset]],Table19[#All],3,FALSE)</f>
        <v>Semiconductor</v>
      </c>
      <c r="AD325" s="30">
        <f>IF(Table20[[#This Row],[Remaining]]&lt;&gt;0,Table20[[#This Row],[Invested]]*Table20[[#This Row],[Remaining]]/Table20[[#This Row],[Number of options]],0)</f>
        <v>0</v>
      </c>
      <c r="AE325" s="30">
        <f ca="1">SUMIF(Table20[Ticker],Table20[[#This Row],[Ticker]],Table20[realized_profit])</f>
        <v>1055.92</v>
      </c>
      <c r="AF325" s="30" t="str">
        <f>VLOOKUP(Table20[[#This Row],[Strategy]],Table29[#All],7,FALSE)</f>
        <v>Bullish</v>
      </c>
    </row>
    <row r="326" spans="1:32" hidden="1">
      <c r="A326" s="180">
        <v>45590</v>
      </c>
      <c r="B326" s="21" t="e" vm="144">
        <v>#VALUE!</v>
      </c>
      <c r="C326" s="109" t="str" cm="1">
        <f t="array" aca="1" ref="C326" ca="1">_FV(Table20[[#This Row],[Asset]],"Ticker symbol",TRUE)</f>
        <v>AAPL</v>
      </c>
      <c r="D326" s="26" cm="1">
        <f t="array" aca="1" ref="D326" ca="1">_FV(Table20[[#This Row],[Asset]],"Price")</f>
        <v>253.2</v>
      </c>
      <c r="E326" s="26">
        <v>230</v>
      </c>
      <c r="F326" s="33">
        <v>3</v>
      </c>
      <c r="G326" s="34">
        <v>1</v>
      </c>
      <c r="H326" s="34" t="s">
        <v>114</v>
      </c>
      <c r="I326" s="31">
        <v>45569</v>
      </c>
      <c r="J326" s="26">
        <v>3.22</v>
      </c>
      <c r="K326" s="24">
        <v>0.21</v>
      </c>
      <c r="L326" s="33">
        <f>VLOOKUP(Table20[[#This Row],[Strategy]],Table29[#All],6,FALSE)</f>
        <v>1</v>
      </c>
      <c r="M326" s="23">
        <v>3</v>
      </c>
      <c r="N326" s="23">
        <v>1.88</v>
      </c>
      <c r="O326" s="23"/>
      <c r="P326" s="23"/>
      <c r="Q326">
        <f>Table20[[#This Row],[Exit1]]*Table20[[#This Row],[ex1_price]]</f>
        <v>5.64</v>
      </c>
      <c r="R326">
        <f>Table20[[#This Row],[Exit2]]*Table20[[#This Row],[ex2_price]]</f>
        <v>0</v>
      </c>
      <c r="S326">
        <f>IFERROR((Table20[[#This Row],[ex2_amnt]]+Table20[[#This Row],[ex1_amnt]])/(Table20[[#This Row],[Exit2]]+Table20[[#This Row],[Exit1]]),0)</f>
        <v>1.88</v>
      </c>
      <c r="T326" s="5">
        <f>(Table20[[#This Row],[Exit1]]+Table20[[#This Row],[Exit2]])*(Table20[[#This Row],[avg_exit_price]]-Table20[[#This Row],[AvePrice]])*100*Table20[[#This Row],[Buy or Sell]]</f>
        <v>-402.00000000000011</v>
      </c>
      <c r="U326" s="5">
        <f>Table20[[#This Row],[Number of options]]*Table20[[#This Row],[AvePrice]]*100*Table20[[#This Row],[Buy or Sell]]</f>
        <v>966</v>
      </c>
      <c r="V326" s="8">
        <f>Table20[[#This Row],[Number of options]]-Table20[[#This Row],[Exit1]]-Table20[[#This Row],[Exit2]]</f>
        <v>0</v>
      </c>
      <c r="W326" s="30">
        <f ca="1">(Table20[[#This Row],[Expiration Date]]-TODAY())/365</f>
        <v>-1.4164383561643836</v>
      </c>
      <c r="X326" s="30" t="e">
        <f ca="1">(LN(Table20[[#This Row],[Current Price]]/Table20[[#This Row],[strike_price]]) + ($B$2 + (Table20[[#This Row],[Vol]]^2)/2)*Table20[[#This Row],[Time to expiration]]) / (Table20[[#This Row],[Vol]] * SQRT(Table20[[#This Row],[Time to expiration]]))</f>
        <v>#NUM!</v>
      </c>
      <c r="Y326" s="30" t="e">
        <f ca="1">IF(Table20[[#This Row],[Direction]]&gt;0, _xlfn.NORM.S.DIST(Table20[[#This Row],[d1]], TRUE), _xlfn.NORM.S.DIST(Table20[[#This Row],[d1]], TRUE) - 1) * Table20[[#This Row],[Buy or Sell]]</f>
        <v>#NUM!</v>
      </c>
      <c r="Z326" s="9">
        <f ca="1">Table20[[#This Row],[Remaining]]*Table20[[#This Row],[Current Price]]*100</f>
        <v>0</v>
      </c>
      <c r="AA326" s="22">
        <f ca="1">IFERROR(Table20[[#This Row],[nominal_exposure]]*Table20[[#This Row],[Delta]],0)</f>
        <v>0</v>
      </c>
      <c r="AB326" s="30" t="b">
        <f>IF(Table20[[#This Row],[date_purchased]]&lt;&gt;Table20[[#This Row],[Expiration Date]],FALSE,TRUE)</f>
        <v>0</v>
      </c>
      <c r="AC326" s="30" t="str">
        <f>VLOOKUP(Table20[[#This Row],[Asset]],Table19[#All],3,FALSE)</f>
        <v>AI</v>
      </c>
      <c r="AD326" s="30">
        <f>IF(Table20[[#This Row],[Remaining]]&lt;&gt;0,Table20[[#This Row],[Invested]]*Table20[[#This Row],[Remaining]]/Table20[[#This Row],[Number of options]],0)</f>
        <v>0</v>
      </c>
      <c r="AE326" s="30">
        <f ca="1">SUMIF(Table20[Ticker],Table20[[#This Row],[Ticker]],Table20[realized_profit])</f>
        <v>-153.9999999999996</v>
      </c>
      <c r="AF326" s="30" t="str">
        <f>VLOOKUP(Table20[[#This Row],[Strategy]],Table29[#All],7,FALSE)</f>
        <v>Bullish</v>
      </c>
    </row>
    <row r="327" spans="1:32" hidden="1">
      <c r="A327" s="180">
        <v>45590</v>
      </c>
      <c r="B327" s="21" t="e" vm="144">
        <v>#VALUE!</v>
      </c>
      <c r="C327" s="109" t="str" cm="1">
        <f t="array" aca="1" ref="C327" ca="1">_FV(Table20[[#This Row],[Asset]],"Ticker symbol",TRUE)</f>
        <v>AAPL</v>
      </c>
      <c r="D327" s="26" cm="1">
        <f t="array" aca="1" ref="D327" ca="1">_FV(Table20[[#This Row],[Asset]],"Price")</f>
        <v>253.2</v>
      </c>
      <c r="E327" s="26">
        <v>235</v>
      </c>
      <c r="F327" s="33">
        <v>3</v>
      </c>
      <c r="G327" s="34">
        <v>-1</v>
      </c>
      <c r="H327" s="34" t="s">
        <v>114</v>
      </c>
      <c r="I327" s="31">
        <v>45569</v>
      </c>
      <c r="J327" s="26">
        <v>1.54</v>
      </c>
      <c r="K327" s="24">
        <v>0.21</v>
      </c>
      <c r="L327" s="33">
        <f>VLOOKUP(Table20[[#This Row],[Strategy]],Table29[#All],6,FALSE)</f>
        <v>1</v>
      </c>
      <c r="M327" s="23">
        <v>3</v>
      </c>
      <c r="N327" s="23">
        <v>0.85</v>
      </c>
      <c r="O327" s="23"/>
      <c r="P327" s="23"/>
      <c r="Q327">
        <f>Table20[[#This Row],[Exit1]]*Table20[[#This Row],[ex1_price]]</f>
        <v>2.5499999999999998</v>
      </c>
      <c r="R327">
        <f>Table20[[#This Row],[Exit2]]*Table20[[#This Row],[ex2_price]]</f>
        <v>0</v>
      </c>
      <c r="S327">
        <f>IFERROR((Table20[[#This Row],[ex2_amnt]]+Table20[[#This Row],[ex1_amnt]])/(Table20[[#This Row],[Exit2]]+Table20[[#This Row],[Exit1]]),0)</f>
        <v>0.85</v>
      </c>
      <c r="T327" s="5">
        <f>(Table20[[#This Row],[Exit1]]+Table20[[#This Row],[Exit2]])*(Table20[[#This Row],[avg_exit_price]]-Table20[[#This Row],[AvePrice]])*100*Table20[[#This Row],[Buy or Sell]]</f>
        <v>207.00000000000003</v>
      </c>
      <c r="U327" s="5">
        <f>Table20[[#This Row],[Number of options]]*Table20[[#This Row],[AvePrice]]*100*Table20[[#This Row],[Buy or Sell]]</f>
        <v>-462</v>
      </c>
      <c r="V327" s="8">
        <f>Table20[[#This Row],[Number of options]]-Table20[[#This Row],[Exit1]]-Table20[[#This Row],[Exit2]]</f>
        <v>0</v>
      </c>
      <c r="W327" s="30">
        <f ca="1">(Table20[[#This Row],[Expiration Date]]-TODAY())/365</f>
        <v>-1.4164383561643836</v>
      </c>
      <c r="X327" s="30" t="e">
        <f ca="1">(LN(Table20[[#This Row],[Current Price]]/Table20[[#This Row],[strike_price]]) + ($B$2 + (Table20[[#This Row],[Vol]]^2)/2)*Table20[[#This Row],[Time to expiration]]) / (Table20[[#This Row],[Vol]] * SQRT(Table20[[#This Row],[Time to expiration]]))</f>
        <v>#NUM!</v>
      </c>
      <c r="Y327" s="30" t="e">
        <f ca="1">IF(Table20[[#This Row],[Direction]]&gt;0, _xlfn.NORM.S.DIST(Table20[[#This Row],[d1]], TRUE), _xlfn.NORM.S.DIST(Table20[[#This Row],[d1]], TRUE) - 1) * Table20[[#This Row],[Buy or Sell]]</f>
        <v>#NUM!</v>
      </c>
      <c r="Z327" s="9">
        <f ca="1">Table20[[#This Row],[Remaining]]*Table20[[#This Row],[Current Price]]*100</f>
        <v>0</v>
      </c>
      <c r="AA327" s="22">
        <f ca="1">IFERROR(Table20[[#This Row],[nominal_exposure]]*Table20[[#This Row],[Delta]],0)</f>
        <v>0</v>
      </c>
      <c r="AB327" s="30" t="b">
        <f>IF(Table20[[#This Row],[date_purchased]]&lt;&gt;Table20[[#This Row],[Expiration Date]],FALSE,TRUE)</f>
        <v>0</v>
      </c>
      <c r="AC327" s="30" t="str">
        <f>VLOOKUP(Table20[[#This Row],[Asset]],Table19[#All],3,FALSE)</f>
        <v>AI</v>
      </c>
      <c r="AD327" s="30">
        <f>IF(Table20[[#This Row],[Remaining]]&lt;&gt;0,Table20[[#This Row],[Invested]]*Table20[[#This Row],[Remaining]]/Table20[[#This Row],[Number of options]],0)</f>
        <v>0</v>
      </c>
      <c r="AE327" s="30">
        <f ca="1">SUMIF(Table20[Ticker],Table20[[#This Row],[Ticker]],Table20[realized_profit])</f>
        <v>-153.9999999999996</v>
      </c>
      <c r="AF327" s="30" t="str">
        <f>VLOOKUP(Table20[[#This Row],[Strategy]],Table29[#All],7,FALSE)</f>
        <v>Bullish</v>
      </c>
    </row>
    <row r="328" spans="1:32" hidden="1">
      <c r="A328" s="216">
        <v>45590</v>
      </c>
      <c r="B328" s="21" t="e" vm="137">
        <v>#VALUE!</v>
      </c>
      <c r="C328" s="109" t="str" cm="1">
        <f t="array" aca="1" ref="C328" ca="1">_FV(Table20[[#This Row],[Asset]],"Ticker symbol",TRUE)</f>
        <v>VLO</v>
      </c>
      <c r="D328" s="26" cm="1">
        <f t="array" aca="1" ref="D328" ca="1">_FV(Table20[[#This Row],[Asset]],"Price")</f>
        <v>241.67009999999999</v>
      </c>
      <c r="E328" s="26">
        <v>145</v>
      </c>
      <c r="F328" s="33">
        <v>4</v>
      </c>
      <c r="G328" s="34">
        <v>1</v>
      </c>
      <c r="H328" s="34" t="s">
        <v>114</v>
      </c>
      <c r="I328" s="31">
        <v>45573</v>
      </c>
      <c r="J328" s="26">
        <v>2.4500000000000002</v>
      </c>
      <c r="K328" s="24">
        <v>0.42149999999999999</v>
      </c>
      <c r="L328" s="33">
        <f>VLOOKUP(Table20[[#This Row],[Strategy]],Table29[#All],6,FALSE)</f>
        <v>1</v>
      </c>
      <c r="M328" s="23">
        <v>4</v>
      </c>
      <c r="N328" s="23">
        <v>1.1299999999999999</v>
      </c>
      <c r="O328" s="23"/>
      <c r="P328" s="23"/>
      <c r="Q328">
        <f>Table20[[#This Row],[Exit1]]*Table20[[#This Row],[ex1_price]]</f>
        <v>4.5199999999999996</v>
      </c>
      <c r="R328">
        <f>Table20[[#This Row],[Exit2]]*Table20[[#This Row],[ex2_price]]</f>
        <v>0</v>
      </c>
      <c r="S328">
        <f>IFERROR((Table20[[#This Row],[ex2_amnt]]+Table20[[#This Row],[ex1_amnt]])/(Table20[[#This Row],[Exit2]]+Table20[[#This Row],[Exit1]]),0)</f>
        <v>1.1299999999999999</v>
      </c>
      <c r="T328" s="5">
        <f>(Table20[[#This Row],[Exit1]]+Table20[[#This Row],[Exit2]])*(Table20[[#This Row],[avg_exit_price]]-Table20[[#This Row],[AvePrice]])*100*Table20[[#This Row],[Buy or Sell]]</f>
        <v>-528.00000000000011</v>
      </c>
      <c r="U328" s="5">
        <f>Table20[[#This Row],[Number of options]]*Table20[[#This Row],[AvePrice]]*100*Table20[[#This Row],[Buy or Sell]]</f>
        <v>980.00000000000011</v>
      </c>
      <c r="V328" s="8">
        <f>Table20[[#This Row],[Number of options]]-Table20[[#This Row],[Exit1]]-Table20[[#This Row],[Exit2]]</f>
        <v>0</v>
      </c>
      <c r="W328" s="30">
        <f ca="1">(Table20[[#This Row],[Expiration Date]]-TODAY())/365</f>
        <v>-1.4164383561643836</v>
      </c>
      <c r="X328" s="30" t="e">
        <f ca="1">(LN(Table20[[#This Row],[Current Price]]/Table20[[#This Row],[strike_price]]) + ($B$2 + (Table20[[#This Row],[Vol]]^2)/2)*Table20[[#This Row],[Time to expiration]]) / (Table20[[#This Row],[Vol]] * SQRT(Table20[[#This Row],[Time to expiration]]))</f>
        <v>#NUM!</v>
      </c>
      <c r="Y328" s="30" t="e">
        <f ca="1">IF(Table20[[#This Row],[Direction]]&gt;0, _xlfn.NORM.S.DIST(Table20[[#This Row],[d1]], TRUE), _xlfn.NORM.S.DIST(Table20[[#This Row],[d1]], TRUE) - 1) * Table20[[#This Row],[Buy or Sell]]</f>
        <v>#NUM!</v>
      </c>
      <c r="Z328" s="9">
        <f ca="1">Table20[[#This Row],[Remaining]]*Table20[[#This Row],[Current Price]]*100</f>
        <v>0</v>
      </c>
      <c r="AA328" s="22">
        <f ca="1">IFERROR(Table20[[#This Row],[nominal_exposure]]*Table20[[#This Row],[Delta]],0)</f>
        <v>0</v>
      </c>
      <c r="AB328" s="30" t="b">
        <f>IF(Table20[[#This Row],[date_purchased]]&lt;&gt;Table20[[#This Row],[Expiration Date]],FALSE,TRUE)</f>
        <v>0</v>
      </c>
      <c r="AC328" s="30" t="str">
        <f>VLOOKUP(Table20[[#This Row],[Asset]],Table19[#All],3,FALSE)</f>
        <v>Energy</v>
      </c>
      <c r="AD328" s="30">
        <f>IF(Table20[[#This Row],[Remaining]]&lt;&gt;0,Table20[[#This Row],[Invested]]*Table20[[#This Row],[Remaining]]/Table20[[#This Row],[Number of options]],0)</f>
        <v>0</v>
      </c>
      <c r="AE328" s="30">
        <f ca="1">SUMIF(Table20[Ticker],Table20[[#This Row],[Ticker]],Table20[realized_profit])</f>
        <v>-244.00000000000006</v>
      </c>
      <c r="AF328" s="30" t="str">
        <f>VLOOKUP(Table20[[#This Row],[Strategy]],Table29[#All],7,FALSE)</f>
        <v>Bullish</v>
      </c>
    </row>
    <row r="329" spans="1:32" hidden="1">
      <c r="A329" s="216">
        <v>45590</v>
      </c>
      <c r="B329" s="21" t="e" vm="137">
        <v>#VALUE!</v>
      </c>
      <c r="C329" s="109" t="str" cm="1">
        <f t="array" aca="1" ref="C329" ca="1">_FV(Table20[[#This Row],[Asset]],"Ticker symbol",TRUE)</f>
        <v>VLO</v>
      </c>
      <c r="D329" s="26" cm="1">
        <f t="array" aca="1" ref="D329" ca="1">_FV(Table20[[#This Row],[Asset]],"Price")</f>
        <v>241.67009999999999</v>
      </c>
      <c r="E329" s="26">
        <v>150</v>
      </c>
      <c r="F329" s="33">
        <v>4</v>
      </c>
      <c r="G329" s="34">
        <v>-1</v>
      </c>
      <c r="H329" s="34" t="s">
        <v>114</v>
      </c>
      <c r="I329" s="31">
        <v>45573</v>
      </c>
      <c r="J329" s="26">
        <v>1.29</v>
      </c>
      <c r="K329" s="24">
        <v>0.4335</v>
      </c>
      <c r="L329" s="33">
        <f>VLOOKUP(Table20[[#This Row],[Strategy]],Table29[#All],6,FALSE)</f>
        <v>1</v>
      </c>
      <c r="M329" s="23">
        <v>4</v>
      </c>
      <c r="N329" s="23">
        <v>0.57999999999999996</v>
      </c>
      <c r="O329" s="23"/>
      <c r="P329" s="23"/>
      <c r="Q329">
        <f>Table20[[#This Row],[Exit1]]*Table20[[#This Row],[ex1_price]]</f>
        <v>2.3199999999999998</v>
      </c>
      <c r="R329">
        <f>Table20[[#This Row],[Exit2]]*Table20[[#This Row],[ex2_price]]</f>
        <v>0</v>
      </c>
      <c r="S329">
        <f>IFERROR((Table20[[#This Row],[ex2_amnt]]+Table20[[#This Row],[ex1_amnt]])/(Table20[[#This Row],[Exit2]]+Table20[[#This Row],[Exit1]]),0)</f>
        <v>0.57999999999999996</v>
      </c>
      <c r="T329" s="5">
        <f>(Table20[[#This Row],[Exit1]]+Table20[[#This Row],[Exit2]])*(Table20[[#This Row],[avg_exit_price]]-Table20[[#This Row],[AvePrice]])*100*Table20[[#This Row],[Buy or Sell]]</f>
        <v>284.00000000000006</v>
      </c>
      <c r="U329" s="5">
        <f>Table20[[#This Row],[Number of options]]*Table20[[#This Row],[AvePrice]]*100*Table20[[#This Row],[Buy or Sell]]</f>
        <v>-516</v>
      </c>
      <c r="V329" s="8">
        <f>Table20[[#This Row],[Number of options]]-Table20[[#This Row],[Exit1]]-Table20[[#This Row],[Exit2]]</f>
        <v>0</v>
      </c>
      <c r="W329" s="30">
        <f ca="1">(Table20[[#This Row],[Expiration Date]]-TODAY())/365</f>
        <v>-1.4164383561643836</v>
      </c>
      <c r="X329" s="30" t="e">
        <f ca="1">(LN(Table20[[#This Row],[Current Price]]/Table20[[#This Row],[strike_price]]) + ($B$2 + (Table20[[#This Row],[Vol]]^2)/2)*Table20[[#This Row],[Time to expiration]]) / (Table20[[#This Row],[Vol]] * SQRT(Table20[[#This Row],[Time to expiration]]))</f>
        <v>#NUM!</v>
      </c>
      <c r="Y329" s="30" t="e">
        <f ca="1">IF(Table20[[#This Row],[Direction]]&gt;0, _xlfn.NORM.S.DIST(Table20[[#This Row],[d1]], TRUE), _xlfn.NORM.S.DIST(Table20[[#This Row],[d1]], TRUE) - 1) * Table20[[#This Row],[Buy or Sell]]</f>
        <v>#NUM!</v>
      </c>
      <c r="Z329" s="9">
        <f ca="1">Table20[[#This Row],[Remaining]]*Table20[[#This Row],[Current Price]]*100</f>
        <v>0</v>
      </c>
      <c r="AA329" s="22">
        <f ca="1">IFERROR(Table20[[#This Row],[nominal_exposure]]*Table20[[#This Row],[Delta]],0)</f>
        <v>0</v>
      </c>
      <c r="AB329" s="30" t="b">
        <f>IF(Table20[[#This Row],[date_purchased]]&lt;&gt;Table20[[#This Row],[Expiration Date]],FALSE,TRUE)</f>
        <v>0</v>
      </c>
      <c r="AC329" s="30" t="str">
        <f>VLOOKUP(Table20[[#This Row],[Asset]],Table19[#All],3,FALSE)</f>
        <v>Energy</v>
      </c>
      <c r="AD329" s="30">
        <f>IF(Table20[[#This Row],[Remaining]]&lt;&gt;0,Table20[[#This Row],[Invested]]*Table20[[#This Row],[Remaining]]/Table20[[#This Row],[Number of options]],0)</f>
        <v>0</v>
      </c>
      <c r="AE329" s="30">
        <f ca="1">SUMIF(Table20[Ticker],Table20[[#This Row],[Ticker]],Table20[realized_profit])</f>
        <v>-244.00000000000006</v>
      </c>
      <c r="AF329" s="30" t="str">
        <f>VLOOKUP(Table20[[#This Row],[Strategy]],Table29[#All],7,FALSE)</f>
        <v>Bullish</v>
      </c>
    </row>
    <row r="330" spans="1:32" hidden="1">
      <c r="A330" s="230">
        <v>45590</v>
      </c>
      <c r="B330" s="21" t="e" vm="165">
        <v>#VALUE!</v>
      </c>
      <c r="C330" s="109" t="str" cm="1">
        <f t="array" aca="1" ref="C330" ca="1">_FV(Table20[[#This Row],[Asset]],"Ticker symbol",TRUE)</f>
        <v>NET</v>
      </c>
      <c r="D330" s="26" cm="1">
        <f t="array" aca="1" ref="D330" ca="1">_FV(Table20[[#This Row],[Asset]],"Price")</f>
        <v>223.83</v>
      </c>
      <c r="E330" s="26">
        <v>90</v>
      </c>
      <c r="F330" s="33">
        <v>5</v>
      </c>
      <c r="G330" s="34">
        <v>-1</v>
      </c>
      <c r="H330" s="34" t="s">
        <v>112</v>
      </c>
      <c r="I330" s="31">
        <v>45575</v>
      </c>
      <c r="J330" s="26">
        <v>0.3</v>
      </c>
      <c r="K330" s="24">
        <v>0.38090000000000002</v>
      </c>
      <c r="L330" s="33">
        <f>VLOOKUP(Table20[[#This Row],[Strategy]],Table29[#All],6,FALSE)</f>
        <v>-1</v>
      </c>
      <c r="M330" s="23">
        <v>5</v>
      </c>
      <c r="N330" s="23">
        <v>0.02</v>
      </c>
      <c r="O330" s="23"/>
      <c r="P330" s="23"/>
      <c r="Q330">
        <f>Table20[[#This Row],[Exit1]]*Table20[[#This Row],[ex1_price]]</f>
        <v>0.1</v>
      </c>
      <c r="R330">
        <f>Table20[[#This Row],[Exit2]]*Table20[[#This Row],[ex2_price]]</f>
        <v>0</v>
      </c>
      <c r="S330">
        <f>IFERROR((Table20[[#This Row],[ex2_amnt]]+Table20[[#This Row],[ex1_amnt]])/(Table20[[#This Row],[Exit2]]+Table20[[#This Row],[Exit1]]),0)</f>
        <v>0.02</v>
      </c>
      <c r="T330" s="5">
        <f>(Table20[[#This Row],[Exit1]]+Table20[[#This Row],[Exit2]])*(Table20[[#This Row],[avg_exit_price]]-Table20[[#This Row],[AvePrice]])*100*Table20[[#This Row],[Buy or Sell]]</f>
        <v>140</v>
      </c>
      <c r="U330" s="5">
        <f>Table20[[#This Row],[Number of options]]*Table20[[#This Row],[AvePrice]]*100*Table20[[#This Row],[Buy or Sell]]</f>
        <v>-150</v>
      </c>
      <c r="V330" s="8">
        <f>Table20[[#This Row],[Number of options]]-Table20[[#This Row],[Exit1]]-Table20[[#This Row],[Exit2]]</f>
        <v>0</v>
      </c>
      <c r="W330" s="30">
        <f ca="1">(Table20[[#This Row],[Expiration Date]]-TODAY())/365</f>
        <v>-1.4164383561643836</v>
      </c>
      <c r="X330" s="30" t="e">
        <f ca="1">(LN(Table20[[#This Row],[Current Price]]/Table20[[#This Row],[strike_price]]) + ($B$2 + (Table20[[#This Row],[Vol]]^2)/2)*Table20[[#This Row],[Time to expiration]]) / (Table20[[#This Row],[Vol]] * SQRT(Table20[[#This Row],[Time to expiration]]))</f>
        <v>#NUM!</v>
      </c>
      <c r="Y330" s="30" t="e">
        <f ca="1">IF(Table20[[#This Row],[Direction]]&gt;0, _xlfn.NORM.S.DIST(Table20[[#This Row],[d1]], TRUE), _xlfn.NORM.S.DIST(Table20[[#This Row],[d1]], TRUE) - 1) * Table20[[#This Row],[Buy or Sell]]</f>
        <v>#NUM!</v>
      </c>
      <c r="Z330" s="9">
        <f ca="1">Table20[[#This Row],[Remaining]]*Table20[[#This Row],[Current Price]]*100</f>
        <v>0</v>
      </c>
      <c r="AA330" s="22">
        <f ca="1">IFERROR(Table20[[#This Row],[nominal_exposure]]*Table20[[#This Row],[Delta]],0)</f>
        <v>0</v>
      </c>
      <c r="AB330" s="30" t="b">
        <f>IF(Table20[[#This Row],[date_purchased]]&lt;&gt;Table20[[#This Row],[Expiration Date]],FALSE,TRUE)</f>
        <v>0</v>
      </c>
      <c r="AC330" s="30" t="str">
        <f>VLOOKUP(Table20[[#This Row],[Asset]],Table19[#All],3,FALSE)</f>
        <v>Technology</v>
      </c>
      <c r="AD330" s="30">
        <f>IF(Table20[[#This Row],[Remaining]]&lt;&gt;0,Table20[[#This Row],[Invested]]*Table20[[#This Row],[Remaining]]/Table20[[#This Row],[Number of options]],0)</f>
        <v>0</v>
      </c>
      <c r="AE330" s="30">
        <f ca="1">SUMIF(Table20[Ticker],Table20[[#This Row],[Ticker]],Table20[realized_profit])</f>
        <v>78.000000000000057</v>
      </c>
      <c r="AF330" s="30" t="str">
        <f>VLOOKUP(Table20[[#This Row],[Strategy]],Table29[#All],7,FALSE)</f>
        <v>Bearish</v>
      </c>
    </row>
    <row r="331" spans="1:32" hidden="1">
      <c r="A331" s="230">
        <v>45590</v>
      </c>
      <c r="B331" s="21" t="e" vm="165">
        <v>#VALUE!</v>
      </c>
      <c r="C331" s="109" t="str" cm="1">
        <f t="array" aca="1" ref="C331" ca="1">_FV(Table20[[#This Row],[Asset]],"Ticker symbol",TRUE)</f>
        <v>NET</v>
      </c>
      <c r="D331" s="26" cm="1">
        <f t="array" aca="1" ref="D331" ca="1">_FV(Table20[[#This Row],[Asset]],"Price")</f>
        <v>223.83</v>
      </c>
      <c r="E331" s="26">
        <v>85</v>
      </c>
      <c r="F331" s="33">
        <v>5</v>
      </c>
      <c r="G331" s="34">
        <v>1</v>
      </c>
      <c r="H331" s="34" t="s">
        <v>112</v>
      </c>
      <c r="I331" s="31">
        <v>45575</v>
      </c>
      <c r="J331" s="26">
        <v>1.4</v>
      </c>
      <c r="K331" s="24">
        <v>0.42</v>
      </c>
      <c r="L331" s="33">
        <f>VLOOKUP(Table20[[#This Row],[Strategy]],Table29[#All],6,FALSE)</f>
        <v>-1</v>
      </c>
      <c r="M331" s="23">
        <v>5</v>
      </c>
      <c r="N331" s="23">
        <v>1.26</v>
      </c>
      <c r="O331" s="23"/>
      <c r="P331" s="23"/>
      <c r="Q331">
        <f>Table20[[#This Row],[Exit1]]*Table20[[#This Row],[ex1_price]]</f>
        <v>6.3</v>
      </c>
      <c r="R331">
        <f>Table20[[#This Row],[Exit2]]*Table20[[#This Row],[ex2_price]]</f>
        <v>0</v>
      </c>
      <c r="S331">
        <f>IFERROR((Table20[[#This Row],[ex2_amnt]]+Table20[[#This Row],[ex1_amnt]])/(Table20[[#This Row],[Exit2]]+Table20[[#This Row],[Exit1]]),0)</f>
        <v>1.26</v>
      </c>
      <c r="T331" s="5">
        <f>(Table20[[#This Row],[Exit1]]+Table20[[#This Row],[Exit2]])*(Table20[[#This Row],[avg_exit_price]]-Table20[[#This Row],[AvePrice]])*100*Table20[[#This Row],[Buy or Sell]]</f>
        <v>-69.999999999999957</v>
      </c>
      <c r="U331" s="5">
        <f>Table20[[#This Row],[Number of options]]*Table20[[#This Row],[AvePrice]]*100*Table20[[#This Row],[Buy or Sell]]</f>
        <v>700</v>
      </c>
      <c r="V331" s="8">
        <f>Table20[[#This Row],[Number of options]]-Table20[[#This Row],[Exit1]]-Table20[[#This Row],[Exit2]]</f>
        <v>0</v>
      </c>
      <c r="W331" s="30">
        <f ca="1">(Table20[[#This Row],[Expiration Date]]-TODAY())/365</f>
        <v>-1.4164383561643836</v>
      </c>
      <c r="X331" s="30" t="e">
        <f ca="1">(LN(Table20[[#This Row],[Current Price]]/Table20[[#This Row],[strike_price]]) + ($B$2 + (Table20[[#This Row],[Vol]]^2)/2)*Table20[[#This Row],[Time to expiration]]) / (Table20[[#This Row],[Vol]] * SQRT(Table20[[#This Row],[Time to expiration]]))</f>
        <v>#NUM!</v>
      </c>
      <c r="Y331" s="30" t="e">
        <f ca="1">IF(Table20[[#This Row],[Direction]]&gt;0, _xlfn.NORM.S.DIST(Table20[[#This Row],[d1]], TRUE), _xlfn.NORM.S.DIST(Table20[[#This Row],[d1]], TRUE) - 1) * Table20[[#This Row],[Buy or Sell]]</f>
        <v>#NUM!</v>
      </c>
      <c r="Z331" s="9">
        <f ca="1">Table20[[#This Row],[Remaining]]*Table20[[#This Row],[Current Price]]*100</f>
        <v>0</v>
      </c>
      <c r="AA331" s="22">
        <f ca="1">IFERROR(Table20[[#This Row],[nominal_exposure]]*Table20[[#This Row],[Delta]],0)</f>
        <v>0</v>
      </c>
      <c r="AB331" s="30" t="b">
        <f>IF(Table20[[#This Row],[date_purchased]]&lt;&gt;Table20[[#This Row],[Expiration Date]],FALSE,TRUE)</f>
        <v>0</v>
      </c>
      <c r="AC331" s="30" t="str">
        <f>VLOOKUP(Table20[[#This Row],[Asset]],Table19[#All],3,FALSE)</f>
        <v>Technology</v>
      </c>
      <c r="AD331" s="30">
        <f>IF(Table20[[#This Row],[Remaining]]&lt;&gt;0,Table20[[#This Row],[Invested]]*Table20[[#This Row],[Remaining]]/Table20[[#This Row],[Number of options]],0)</f>
        <v>0</v>
      </c>
      <c r="AE331" s="30">
        <f ca="1">SUMIF(Table20[Ticker],Table20[[#This Row],[Ticker]],Table20[realized_profit])</f>
        <v>78.000000000000057</v>
      </c>
      <c r="AF331" s="30" t="str">
        <f>VLOOKUP(Table20[[#This Row],[Strategy]],Table29[#All],7,FALSE)</f>
        <v>Bearish</v>
      </c>
    </row>
    <row r="332" spans="1:32" hidden="1">
      <c r="A332" s="180">
        <v>45583</v>
      </c>
      <c r="B332" s="21" t="e" vm="34">
        <v>#VALUE!</v>
      </c>
      <c r="C332" s="109" t="str" cm="1">
        <f t="array" aca="1" ref="C332" ca="1">_FV(Table20[[#This Row],[Asset]],"Ticker symbol",TRUE)</f>
        <v>TSM</v>
      </c>
      <c r="D332" s="26" cm="1">
        <f t="array" aca="1" ref="D332" ca="1">_FV(Table20[[#This Row],[Asset]],"Price")</f>
        <v>348.52499999999998</v>
      </c>
      <c r="E332" s="26">
        <v>175</v>
      </c>
      <c r="F332" s="33">
        <v>2</v>
      </c>
      <c r="G332" s="34">
        <v>1</v>
      </c>
      <c r="H332" s="34" t="s">
        <v>112</v>
      </c>
      <c r="I332" s="31">
        <v>45572</v>
      </c>
      <c r="J332" s="26">
        <v>3.43</v>
      </c>
      <c r="K332" s="24">
        <v>0.56259999999999999</v>
      </c>
      <c r="L332" s="33">
        <f>VLOOKUP(Table20[[#This Row],[Strategy]],Table29[#All],6,FALSE)</f>
        <v>-1</v>
      </c>
      <c r="M332" s="23">
        <v>2</v>
      </c>
      <c r="N332" s="23">
        <v>1.03</v>
      </c>
      <c r="O332" s="23"/>
      <c r="P332" s="23"/>
      <c r="Q332">
        <f>Table20[[#This Row],[Exit1]]*Table20[[#This Row],[ex1_price]]</f>
        <v>2.06</v>
      </c>
      <c r="R332">
        <f>Table20[[#This Row],[Exit2]]*Table20[[#This Row],[ex2_price]]</f>
        <v>0</v>
      </c>
      <c r="S332">
        <f>IFERROR((Table20[[#This Row],[ex2_amnt]]+Table20[[#This Row],[ex1_amnt]])/(Table20[[#This Row],[Exit2]]+Table20[[#This Row],[Exit1]]),0)</f>
        <v>1.03</v>
      </c>
      <c r="T332" s="5">
        <f>(Table20[[#This Row],[Exit1]]+Table20[[#This Row],[Exit2]])*(Table20[[#This Row],[avg_exit_price]]-Table20[[#This Row],[AvePrice]])*100*Table20[[#This Row],[Buy or Sell]]</f>
        <v>-480.00000000000006</v>
      </c>
      <c r="U332" s="5">
        <f>Table20[[#This Row],[Number of options]]*Table20[[#This Row],[AvePrice]]*100*Table20[[#This Row],[Buy or Sell]]</f>
        <v>686</v>
      </c>
      <c r="V332" s="8">
        <f>Table20[[#This Row],[Number of options]]-Table20[[#This Row],[Exit1]]-Table20[[#This Row],[Exit2]]</f>
        <v>0</v>
      </c>
      <c r="W332" s="30">
        <f ca="1">(Table20[[#This Row],[Expiration Date]]-TODAY())/365</f>
        <v>-1.4356164383561645</v>
      </c>
      <c r="X332" s="30" t="e">
        <f ca="1">(LN(Table20[[#This Row],[Current Price]]/Table20[[#This Row],[strike_price]]) + ($B$2 + (Table20[[#This Row],[Vol]]^2)/2)*Table20[[#This Row],[Time to expiration]]) / (Table20[[#This Row],[Vol]] * SQRT(Table20[[#This Row],[Time to expiration]]))</f>
        <v>#NUM!</v>
      </c>
      <c r="Y332" s="30" t="e">
        <f ca="1">IF(Table20[[#This Row],[Direction]]&gt;0, _xlfn.NORM.S.DIST(Table20[[#This Row],[d1]], TRUE), _xlfn.NORM.S.DIST(Table20[[#This Row],[d1]], TRUE) - 1) * Table20[[#This Row],[Buy or Sell]]</f>
        <v>#NUM!</v>
      </c>
      <c r="Z332" s="9">
        <f ca="1">Table20[[#This Row],[Remaining]]*Table20[[#This Row],[Current Price]]*100</f>
        <v>0</v>
      </c>
      <c r="AA332" s="22">
        <f ca="1">IFERROR(Table20[[#This Row],[nominal_exposure]]*Table20[[#This Row],[Delta]],0)</f>
        <v>0</v>
      </c>
      <c r="AB332" s="30" t="b">
        <f>IF(Table20[[#This Row],[date_purchased]]&lt;&gt;Table20[[#This Row],[Expiration Date]],FALSE,TRUE)</f>
        <v>0</v>
      </c>
      <c r="AC332" s="30" t="str">
        <f>VLOOKUP(Table20[[#This Row],[Asset]],Table19[#All],3,FALSE)</f>
        <v>AI</v>
      </c>
      <c r="AD332" s="30">
        <f>IF(Table20[[#This Row],[Remaining]]&lt;&gt;0,Table20[[#This Row],[Invested]]*Table20[[#This Row],[Remaining]]/Table20[[#This Row],[Number of options]],0)</f>
        <v>0</v>
      </c>
      <c r="AE332" s="30">
        <f ca="1">SUMIF(Table20[Ticker],Table20[[#This Row],[Ticker]],Table20[realized_profit])</f>
        <v>-444.99999999999977</v>
      </c>
      <c r="AF332" s="30" t="str">
        <f>VLOOKUP(Table20[[#This Row],[Strategy]],Table29[#All],7,FALSE)</f>
        <v>Bearish</v>
      </c>
    </row>
    <row r="333" spans="1:32" hidden="1">
      <c r="A333" s="180">
        <v>45583</v>
      </c>
      <c r="B333" s="21" t="e" vm="34">
        <v>#VALUE!</v>
      </c>
      <c r="C333" s="109" t="str" cm="1">
        <f t="array" aca="1" ref="C333" ca="1">_FV(Table20[[#This Row],[Asset]],"Ticker symbol",TRUE)</f>
        <v>TSM</v>
      </c>
      <c r="D333" s="26" cm="1">
        <f t="array" aca="1" ref="D333" ca="1">_FV(Table20[[#This Row],[Asset]],"Price")</f>
        <v>348.52499999999998</v>
      </c>
      <c r="E333" s="26">
        <v>160</v>
      </c>
      <c r="F333" s="33">
        <v>2</v>
      </c>
      <c r="G333" s="34">
        <v>-1</v>
      </c>
      <c r="H333" s="34" t="s">
        <v>112</v>
      </c>
      <c r="I333" s="31">
        <v>45572</v>
      </c>
      <c r="J333" s="26">
        <v>0.71</v>
      </c>
      <c r="K333" s="24">
        <v>0.59</v>
      </c>
      <c r="L333" s="33">
        <f>VLOOKUP(Table20[[#This Row],[Strategy]],Table29[#All],6,FALSE)</f>
        <v>-1</v>
      </c>
      <c r="M333" s="23">
        <v>2</v>
      </c>
      <c r="N333" s="23">
        <v>0.19</v>
      </c>
      <c r="O333" s="23"/>
      <c r="P333" s="23"/>
      <c r="Q333">
        <f>Table20[[#This Row],[Exit1]]*Table20[[#This Row],[ex1_price]]</f>
        <v>0.38</v>
      </c>
      <c r="R333">
        <f>Table20[[#This Row],[Exit2]]*Table20[[#This Row],[ex2_price]]</f>
        <v>0</v>
      </c>
      <c r="S333">
        <f>IFERROR((Table20[[#This Row],[ex2_amnt]]+Table20[[#This Row],[ex1_amnt]])/(Table20[[#This Row],[Exit2]]+Table20[[#This Row],[Exit1]]),0)</f>
        <v>0.19</v>
      </c>
      <c r="T333" s="5">
        <f>(Table20[[#This Row],[Exit1]]+Table20[[#This Row],[Exit2]])*(Table20[[#This Row],[avg_exit_price]]-Table20[[#This Row],[AvePrice]])*100*Table20[[#This Row],[Buy or Sell]]</f>
        <v>104</v>
      </c>
      <c r="U333" s="5">
        <f>Table20[[#This Row],[Number of options]]*Table20[[#This Row],[AvePrice]]*100*Table20[[#This Row],[Buy or Sell]]</f>
        <v>-142</v>
      </c>
      <c r="V333" s="8">
        <f>Table20[[#This Row],[Number of options]]-Table20[[#This Row],[Exit1]]-Table20[[#This Row],[Exit2]]</f>
        <v>0</v>
      </c>
      <c r="W333" s="30">
        <f ca="1">(Table20[[#This Row],[Expiration Date]]-TODAY())/365</f>
        <v>-1.4356164383561645</v>
      </c>
      <c r="X333" s="30" t="e">
        <f ca="1">(LN(Table20[[#This Row],[Current Price]]/Table20[[#This Row],[strike_price]]) + ($B$2 + (Table20[[#This Row],[Vol]]^2)/2)*Table20[[#This Row],[Time to expiration]]) / (Table20[[#This Row],[Vol]] * SQRT(Table20[[#This Row],[Time to expiration]]))</f>
        <v>#NUM!</v>
      </c>
      <c r="Y333" s="30" t="e">
        <f ca="1">IF(Table20[[#This Row],[Direction]]&gt;0, _xlfn.NORM.S.DIST(Table20[[#This Row],[d1]], TRUE), _xlfn.NORM.S.DIST(Table20[[#This Row],[d1]], TRUE) - 1) * Table20[[#This Row],[Buy or Sell]]</f>
        <v>#NUM!</v>
      </c>
      <c r="Z333" s="9">
        <f ca="1">Table20[[#This Row],[Remaining]]*Table20[[#This Row],[Current Price]]*100</f>
        <v>0</v>
      </c>
      <c r="AA333" s="22">
        <f ca="1">IFERROR(Table20[[#This Row],[nominal_exposure]]*Table20[[#This Row],[Delta]],0)</f>
        <v>0</v>
      </c>
      <c r="AB333" s="30" t="b">
        <f>IF(Table20[[#This Row],[date_purchased]]&lt;&gt;Table20[[#This Row],[Expiration Date]],FALSE,TRUE)</f>
        <v>0</v>
      </c>
      <c r="AC333" s="30" t="str">
        <f>VLOOKUP(Table20[[#This Row],[Asset]],Table19[#All],3,FALSE)</f>
        <v>AI</v>
      </c>
      <c r="AD333" s="30">
        <f>IF(Table20[[#This Row],[Remaining]]&lt;&gt;0,Table20[[#This Row],[Invested]]*Table20[[#This Row],[Remaining]]/Table20[[#This Row],[Number of options]],0)</f>
        <v>0</v>
      </c>
      <c r="AE333" s="30">
        <f ca="1">SUMIF(Table20[Ticker],Table20[[#This Row],[Ticker]],Table20[realized_profit])</f>
        <v>-444.99999999999977</v>
      </c>
      <c r="AF333" s="30" t="str">
        <f>VLOOKUP(Table20[[#This Row],[Strategy]],Table29[#All],7,FALSE)</f>
        <v>Bearish</v>
      </c>
    </row>
    <row r="334" spans="1:32" hidden="1">
      <c r="A334" s="118">
        <v>45519</v>
      </c>
      <c r="B334" s="21" t="e" vm="96">
        <v>#VALUE!</v>
      </c>
      <c r="C334" s="109" t="str" cm="1">
        <f t="array" aca="1" ref="C334" ca="1">_FV(Table20[[#This Row],[Asset]],"Ticker symbol",TRUE)</f>
        <v>SPY</v>
      </c>
      <c r="D334" s="26" cm="1">
        <f t="array" aca="1" ref="D334" ca="1">_FV(Table20[[#This Row],[Asset]],"Price")</f>
        <v>658.59</v>
      </c>
      <c r="E334" s="26">
        <v>500</v>
      </c>
      <c r="F334" s="33">
        <v>4</v>
      </c>
      <c r="G334" s="34">
        <v>-1</v>
      </c>
      <c r="H334" s="34" t="s">
        <v>161</v>
      </c>
      <c r="I334" s="31">
        <v>45506</v>
      </c>
      <c r="J334" s="26">
        <v>1.24</v>
      </c>
      <c r="K334" s="24">
        <v>0.28349999999999997</v>
      </c>
      <c r="L334" s="33">
        <f>VLOOKUP(Table20[[#This Row],[Strategy]],Table29[#All],6,FALSE)</f>
        <v>-1</v>
      </c>
      <c r="M334" s="23">
        <v>4</v>
      </c>
      <c r="N334" s="23">
        <v>0.04</v>
      </c>
      <c r="O334" s="23"/>
      <c r="P334" s="23"/>
      <c r="Q334">
        <f>Table20[[#This Row],[Exit1]]*Table20[[#This Row],[ex1_price]]</f>
        <v>0.16</v>
      </c>
      <c r="R334">
        <f>Table20[[#This Row],[Exit2]]*Table20[[#This Row],[ex2_price]]</f>
        <v>0</v>
      </c>
      <c r="S334">
        <f>IFERROR((Table20[[#This Row],[ex2_amnt]]+Table20[[#This Row],[ex1_amnt]])/(Table20[[#This Row],[Exit2]]+Table20[[#This Row],[Exit1]]),0)</f>
        <v>0.04</v>
      </c>
      <c r="T334" s="5">
        <f>(Table20[[#This Row],[Exit1]]+Table20[[#This Row],[Exit2]])*(Table20[[#This Row],[avg_exit_price]]-Table20[[#This Row],[AvePrice]])*100*Table20[[#This Row],[Buy or Sell]]</f>
        <v>480</v>
      </c>
      <c r="U334" s="5">
        <f>Table20[[#This Row],[Number of options]]*Table20[[#This Row],[AvePrice]]*100*Table20[[#This Row],[Buy or Sell]]</f>
        <v>-496</v>
      </c>
      <c r="V334" s="8">
        <f>Table20[[#This Row],[Number of options]]-Table20[[#This Row],[Exit1]]-Table20[[#This Row],[Exit2]]</f>
        <v>0</v>
      </c>
      <c r="W334" s="30">
        <f ca="1">(Table20[[#This Row],[Expiration Date]]-TODAY())/365</f>
        <v>-1.6109589041095891</v>
      </c>
      <c r="X334" s="30" t="e">
        <f ca="1">(LN(Table20[[#This Row],[Current Price]]/Table20[[#This Row],[strike_price]]) + ($B$2 + (Table20[[#This Row],[Vol]]^2)/2)*Table20[[#This Row],[Time to expiration]]) / (Table20[[#This Row],[Vol]] * SQRT(Table20[[#This Row],[Time to expiration]]))</f>
        <v>#NUM!</v>
      </c>
      <c r="Y334" s="30" t="e">
        <f ca="1">IF(Table20[[#This Row],[Direction]]&gt;0, _xlfn.NORM.S.DIST(Table20[[#This Row],[d1]], TRUE), _xlfn.NORM.S.DIST(Table20[[#This Row],[d1]], TRUE) - 1) * Table20[[#This Row],[Buy or Sell]]</f>
        <v>#NUM!</v>
      </c>
      <c r="Z334" s="9">
        <f ca="1">Table20[[#This Row],[Remaining]]*Table20[[#This Row],[Current Price]]*100</f>
        <v>0</v>
      </c>
      <c r="AA334" s="22">
        <f ca="1">IFERROR(Table20[[#This Row],[nominal_exposure]]*Table20[[#This Row],[Delta]],0)</f>
        <v>0</v>
      </c>
      <c r="AB334" s="30" t="b">
        <f>IF(Table20[[#This Row],[date_purchased]]&lt;&gt;Table20[[#This Row],[Expiration Date]],FALSE,TRUE)</f>
        <v>0</v>
      </c>
      <c r="AC334" s="30" t="str">
        <f>VLOOKUP(Table20[[#This Row],[Asset]],Table19[#All],3,FALSE)</f>
        <v>Market</v>
      </c>
      <c r="AD334" s="4">
        <f>IF(Table20[[#This Row],[Remaining]]&lt;&gt;0,Table20[[#This Row],[Invested]]*Table20[[#This Row],[Remaining]]/Table20[[#This Row],[Number of options]],0)</f>
        <v>0</v>
      </c>
      <c r="AE334" s="4">
        <f ca="1">SUMIF(Table20[Ticker],Table20[[#This Row],[Ticker]],Table20[realized_profit])</f>
        <v>-5077</v>
      </c>
      <c r="AF334" s="30" t="str">
        <f>VLOOKUP(Table20[[#This Row],[Strategy]],Table29[#All],7,FALSE)</f>
        <v>Bearish</v>
      </c>
    </row>
    <row r="335" spans="1:32" hidden="1">
      <c r="A335" s="35">
        <v>45518</v>
      </c>
      <c r="B335" s="21" t="e" vm="96">
        <v>#VALUE!</v>
      </c>
      <c r="C335" s="109" t="str" cm="1">
        <f t="array" aca="1" ref="C335" ca="1">_FV(Table20[[#This Row],[Asset]],"Ticker symbol",TRUE)</f>
        <v>SPY</v>
      </c>
      <c r="D335" s="26" cm="1">
        <f t="array" aca="1" ref="D335" ca="1">_FV(Table20[[#This Row],[Asset]],"Price")</f>
        <v>658.59</v>
      </c>
      <c r="E335" s="26">
        <v>530</v>
      </c>
      <c r="F335" s="33">
        <v>2</v>
      </c>
      <c r="G335" s="34">
        <v>-1</v>
      </c>
      <c r="H335" s="34" t="s">
        <v>161</v>
      </c>
      <c r="I335" s="31">
        <v>45505</v>
      </c>
      <c r="J335" s="26">
        <v>0.85</v>
      </c>
      <c r="K335" s="24">
        <v>0.18260000000000001</v>
      </c>
      <c r="L335" s="33">
        <f>VLOOKUP(Table20[[#This Row],[Strategy]],Table29[#All],6,FALSE)</f>
        <v>-1</v>
      </c>
      <c r="M335" s="23">
        <v>2</v>
      </c>
      <c r="N335" s="23">
        <v>8.2100000000000009</v>
      </c>
      <c r="O335" s="23"/>
      <c r="P335" s="23"/>
      <c r="Q335">
        <f>Table20[[#This Row],[Exit1]]*Table20[[#This Row],[ex1_price]]</f>
        <v>16.420000000000002</v>
      </c>
      <c r="R335">
        <f>Table20[[#This Row],[Exit2]]*Table20[[#This Row],[ex2_price]]</f>
        <v>0</v>
      </c>
      <c r="S335">
        <f>IFERROR((Table20[[#This Row],[ex2_amnt]]+Table20[[#This Row],[ex1_amnt]])/(Table20[[#This Row],[Exit2]]+Table20[[#This Row],[Exit1]]),0)</f>
        <v>8.2100000000000009</v>
      </c>
      <c r="T335" s="5">
        <f>(Table20[[#This Row],[Exit1]]+Table20[[#This Row],[Exit2]])*(Table20[[#This Row],[avg_exit_price]]-Table20[[#This Row],[AvePrice]])*100*Table20[[#This Row],[Buy or Sell]]</f>
        <v>-1472.0000000000002</v>
      </c>
      <c r="U335" s="5">
        <f>Table20[[#This Row],[Number of options]]*Table20[[#This Row],[AvePrice]]*100*Table20[[#This Row],[Buy or Sell]]</f>
        <v>-170</v>
      </c>
      <c r="V335" s="8">
        <f>Table20[[#This Row],[Number of options]]-Table20[[#This Row],[Exit1]]-Table20[[#This Row],[Exit2]]</f>
        <v>0</v>
      </c>
      <c r="W335" s="30">
        <f ca="1">(Table20[[#This Row],[Expiration Date]]-TODAY())/365</f>
        <v>-1.6136986301369862</v>
      </c>
      <c r="X335" s="30" t="e">
        <f ca="1">(LN(Table20[[#This Row],[Current Price]]/Table20[[#This Row],[strike_price]]) + ($B$2 + (Table20[[#This Row],[Vol]]^2)/2)*Table20[[#This Row],[Time to expiration]]) / (Table20[[#This Row],[Vol]] * SQRT(Table20[[#This Row],[Time to expiration]]))</f>
        <v>#NUM!</v>
      </c>
      <c r="Y335" s="30" t="e">
        <f ca="1">IF(Table20[[#This Row],[Direction]]&gt;0, _xlfn.NORM.S.DIST(Table20[[#This Row],[d1]], TRUE), _xlfn.NORM.S.DIST(Table20[[#This Row],[d1]], TRUE) - 1) * Table20[[#This Row],[Buy or Sell]]</f>
        <v>#NUM!</v>
      </c>
      <c r="Z335" s="9">
        <f ca="1">Table20[[#This Row],[Remaining]]*Table20[[#This Row],[Current Price]]*100</f>
        <v>0</v>
      </c>
      <c r="AA335" s="22">
        <f ca="1">IFERROR(Table20[[#This Row],[nominal_exposure]]*Table20[[#This Row],[Delta]],0)</f>
        <v>0</v>
      </c>
      <c r="AB335" s="30" t="b">
        <f>IF(Table20[[#This Row],[date_purchased]]&lt;&gt;Table20[[#This Row],[Expiration Date]],FALSE,TRUE)</f>
        <v>0</v>
      </c>
      <c r="AC335" s="30" t="str">
        <f>VLOOKUP(Table20[[#This Row],[Asset]],Table19[#All],3,FALSE)</f>
        <v>Market</v>
      </c>
      <c r="AD335" s="4">
        <f>IF(Table20[[#This Row],[Remaining]]&lt;&gt;0,Table20[[#This Row],[Invested]]*Table20[[#This Row],[Remaining]]/Table20[[#This Row],[Number of options]],0)</f>
        <v>0</v>
      </c>
      <c r="AE335" s="30">
        <f ca="1">SUMIF(Table20[Ticker],Table20[[#This Row],[Ticker]],Table20[realized_profit])</f>
        <v>-5077</v>
      </c>
      <c r="AF335" s="30" t="str">
        <f>VLOOKUP(Table20[[#This Row],[Strategy]],Table29[#All],7,FALSE)</f>
        <v>Bearish</v>
      </c>
    </row>
    <row r="336" spans="1:32" hidden="1">
      <c r="A336" s="216">
        <v>45590</v>
      </c>
      <c r="B336" s="21" t="e" vm="32">
        <v>#VALUE!</v>
      </c>
      <c r="C336" s="109" t="str" cm="1">
        <f t="array" aca="1" ref="C336" ca="1">_FV(Table20[[#This Row],[Asset]],"Ticker symbol",TRUE)</f>
        <v>MU</v>
      </c>
      <c r="D336" s="26" cm="1">
        <f t="array" aca="1" ref="D336" ca="1">_FV(Table20[[#This Row],[Asset]],"Price")</f>
        <v>381.57</v>
      </c>
      <c r="E336" s="26">
        <v>110</v>
      </c>
      <c r="F336" s="33">
        <v>2</v>
      </c>
      <c r="G336" s="34">
        <v>1</v>
      </c>
      <c r="H336" s="34" t="s">
        <v>113</v>
      </c>
      <c r="I336" s="31">
        <v>45576</v>
      </c>
      <c r="J336" s="26">
        <v>1.95</v>
      </c>
      <c r="K336" s="24">
        <v>0.39050000000000001</v>
      </c>
      <c r="L336" s="33">
        <f>VLOOKUP(Table20[[#This Row],[Strategy]],Table29[#All],6,FALSE)</f>
        <v>1</v>
      </c>
      <c r="M336" s="23">
        <v>2</v>
      </c>
      <c r="N336" s="23">
        <v>1.71</v>
      </c>
      <c r="O336" s="23"/>
      <c r="P336" s="23"/>
      <c r="Q336">
        <f>Table20[[#This Row],[Exit1]]*Table20[[#This Row],[ex1_price]]</f>
        <v>3.42</v>
      </c>
      <c r="R336">
        <f>Table20[[#This Row],[Exit2]]*Table20[[#This Row],[ex2_price]]</f>
        <v>0</v>
      </c>
      <c r="S336">
        <f>IFERROR((Table20[[#This Row],[ex2_amnt]]+Table20[[#This Row],[ex1_amnt]])/(Table20[[#This Row],[Exit2]]+Table20[[#This Row],[Exit1]]),0)</f>
        <v>1.71</v>
      </c>
      <c r="T336" s="5">
        <f>(Table20[[#This Row],[Exit1]]+Table20[[#This Row],[Exit2]])*(Table20[[#This Row],[avg_exit_price]]-Table20[[#This Row],[AvePrice]])*100*Table20[[#This Row],[Buy or Sell]]</f>
        <v>-48</v>
      </c>
      <c r="U336" s="5">
        <f>Table20[[#This Row],[Number of options]]*Table20[[#This Row],[AvePrice]]*100*Table20[[#This Row],[Buy or Sell]]</f>
        <v>390</v>
      </c>
      <c r="V336" s="8">
        <f>Table20[[#This Row],[Number of options]]-Table20[[#This Row],[Exit1]]-Table20[[#This Row],[Exit2]]</f>
        <v>0</v>
      </c>
      <c r="W336" s="30">
        <f ca="1">(Table20[[#This Row],[Expiration Date]]-TODAY())/365</f>
        <v>-1.4164383561643836</v>
      </c>
      <c r="X336" s="30" t="e">
        <f ca="1">(LN(Table20[[#This Row],[Current Price]]/Table20[[#This Row],[strike_price]]) + ($B$2 + (Table20[[#This Row],[Vol]]^2)/2)*Table20[[#This Row],[Time to expiration]]) / (Table20[[#This Row],[Vol]] * SQRT(Table20[[#This Row],[Time to expiration]]))</f>
        <v>#NUM!</v>
      </c>
      <c r="Y336" s="30" t="e">
        <f ca="1">IF(Table20[[#This Row],[Direction]]&gt;0, _xlfn.NORM.S.DIST(Table20[[#This Row],[d1]], TRUE), _xlfn.NORM.S.DIST(Table20[[#This Row],[d1]], TRUE) - 1) * Table20[[#This Row],[Buy or Sell]]</f>
        <v>#NUM!</v>
      </c>
      <c r="Z336" s="9">
        <f ca="1">Table20[[#This Row],[Remaining]]*Table20[[#This Row],[Current Price]]*100</f>
        <v>0</v>
      </c>
      <c r="AA336" s="22">
        <f ca="1">IFERROR(Table20[[#This Row],[nominal_exposure]]*Table20[[#This Row],[Delta]],0)</f>
        <v>0</v>
      </c>
      <c r="AB336" s="30" t="b">
        <f>IF(Table20[[#This Row],[date_purchased]]&lt;&gt;Table20[[#This Row],[Expiration Date]],FALSE,TRUE)</f>
        <v>0</v>
      </c>
      <c r="AC336" s="30" t="str">
        <f>VLOOKUP(Table20[[#This Row],[Asset]],Table19[#All],3,FALSE)</f>
        <v>AI</v>
      </c>
      <c r="AD336" s="30">
        <f>IF(Table20[[#This Row],[Remaining]]&lt;&gt;0,Table20[[#This Row],[Invested]]*Table20[[#This Row],[Remaining]]/Table20[[#This Row],[Number of options]],0)</f>
        <v>0</v>
      </c>
      <c r="AE336" s="30">
        <f ca="1">SUMIF(Table20[Ticker],Table20[[#This Row],[Ticker]],Table20[realized_profit])</f>
        <v>-4181</v>
      </c>
      <c r="AF336" s="30" t="str">
        <f>VLOOKUP(Table20[[#This Row],[Strategy]],Table29[#All],7,FALSE)</f>
        <v>Bullish</v>
      </c>
    </row>
    <row r="337" spans="1:32" hidden="1">
      <c r="A337" s="180">
        <v>45590</v>
      </c>
      <c r="B337" s="21" t="e" vm="25">
        <v>#VALUE!</v>
      </c>
      <c r="C337" s="109" t="str" cm="1">
        <f t="array" aca="1" ref="C337" ca="1">_FV(Table20[[#This Row],[Asset]],"Ticker symbol",TRUE)</f>
        <v>AMAT</v>
      </c>
      <c r="D337" s="26" cm="1">
        <f t="array" aca="1" ref="D337" ca="1">_FV(Table20[[#This Row],[Asset]],"Price")</f>
        <v>374.08</v>
      </c>
      <c r="E337" s="26">
        <v>187.5</v>
      </c>
      <c r="F337" s="33">
        <v>4</v>
      </c>
      <c r="G337" s="34">
        <v>-1</v>
      </c>
      <c r="H337" s="34" t="s">
        <v>159</v>
      </c>
      <c r="I337" s="31">
        <v>45581</v>
      </c>
      <c r="J337" s="26">
        <v>6.57</v>
      </c>
      <c r="K337" s="24">
        <v>0.5</v>
      </c>
      <c r="L337" s="33">
        <f>VLOOKUP(Table20[[#This Row],[Strategy]],Table29[#All],6,FALSE)</f>
        <v>1</v>
      </c>
      <c r="M337" s="23">
        <v>4</v>
      </c>
      <c r="N337" s="23">
        <v>6.15</v>
      </c>
      <c r="O337" s="23"/>
      <c r="P337" s="23"/>
      <c r="Q337">
        <f>Table20[[#This Row],[Exit1]]*Table20[[#This Row],[ex1_price]]</f>
        <v>24.6</v>
      </c>
      <c r="R337">
        <f>Table20[[#This Row],[Exit2]]*Table20[[#This Row],[ex2_price]]</f>
        <v>0</v>
      </c>
      <c r="S337">
        <f>IFERROR((Table20[[#This Row],[ex2_amnt]]+Table20[[#This Row],[ex1_amnt]])/(Table20[[#This Row],[Exit2]]+Table20[[#This Row],[Exit1]]),0)</f>
        <v>6.15</v>
      </c>
      <c r="T337" s="5">
        <f>(Table20[[#This Row],[Exit1]]+Table20[[#This Row],[Exit2]])*(Table20[[#This Row],[avg_exit_price]]-Table20[[#This Row],[AvePrice]])*100*Table20[[#This Row],[Buy or Sell]]</f>
        <v>167.99999999999997</v>
      </c>
      <c r="U337" s="5">
        <f>Table20[[#This Row],[Number of options]]*Table20[[#This Row],[AvePrice]]*100*Table20[[#This Row],[Buy or Sell]]</f>
        <v>-2628</v>
      </c>
      <c r="V337" s="8">
        <f>Table20[[#This Row],[Number of options]]-Table20[[#This Row],[Exit1]]-Table20[[#This Row],[Exit2]]</f>
        <v>0</v>
      </c>
      <c r="W337" s="30">
        <f ca="1">(Table20[[#This Row],[Expiration Date]]-TODAY())/365</f>
        <v>-1.4164383561643836</v>
      </c>
      <c r="X337" s="30" t="e">
        <f ca="1">(LN(Table20[[#This Row],[Current Price]]/Table20[[#This Row],[strike_price]]) + ($B$2 + (Table20[[#This Row],[Vol]]^2)/2)*Table20[[#This Row],[Time to expiration]]) / (Table20[[#This Row],[Vol]] * SQRT(Table20[[#This Row],[Time to expiration]]))</f>
        <v>#NUM!</v>
      </c>
      <c r="Y337" s="30" t="e">
        <f ca="1">IF(Table20[[#This Row],[Direction]]&gt;0, _xlfn.NORM.S.DIST(Table20[[#This Row],[d1]], TRUE), _xlfn.NORM.S.DIST(Table20[[#This Row],[d1]], TRUE) - 1) * Table20[[#This Row],[Buy or Sell]]</f>
        <v>#NUM!</v>
      </c>
      <c r="Z337" s="9">
        <f ca="1">Table20[[#This Row],[Remaining]]*Table20[[#This Row],[Current Price]]*100</f>
        <v>0</v>
      </c>
      <c r="AA337" s="22">
        <f ca="1">IFERROR(Table20[[#This Row],[nominal_exposure]]*Table20[[#This Row],[Delta]],0)</f>
        <v>0</v>
      </c>
      <c r="AB337" s="30" t="b">
        <f>IF(Table20[[#This Row],[date_purchased]]&lt;&gt;Table20[[#This Row],[Expiration Date]],FALSE,TRUE)</f>
        <v>0</v>
      </c>
      <c r="AC337" s="30" t="str">
        <f>VLOOKUP(Table20[[#This Row],[Asset]],Table19[#All],3,FALSE)</f>
        <v>Semiconductor</v>
      </c>
      <c r="AD337" s="30">
        <f>IF(Table20[[#This Row],[Remaining]]&lt;&gt;0,Table20[[#This Row],[Invested]]*Table20[[#This Row],[Remaining]]/Table20[[#This Row],[Number of options]],0)</f>
        <v>0</v>
      </c>
      <c r="AE337" s="30">
        <f ca="1">SUMIF(Table20[Ticker],Table20[[#This Row],[Ticker]],Table20[realized_profit])</f>
        <v>-1490.0000000000002</v>
      </c>
      <c r="AF337" s="30" t="str">
        <f>VLOOKUP(Table20[[#This Row],[Strategy]],Table29[#All],7,FALSE)</f>
        <v>Bearish</v>
      </c>
    </row>
    <row r="338" spans="1:32" hidden="1">
      <c r="A338" s="180">
        <v>45590</v>
      </c>
      <c r="B338" s="21" t="e" vm="25">
        <v>#VALUE!</v>
      </c>
      <c r="C338" s="109" t="str" cm="1">
        <f t="array" aca="1" ref="C338" ca="1">_FV(Table20[[#This Row],[Asset]],"Ticker symbol",TRUE)</f>
        <v>AMAT</v>
      </c>
      <c r="D338" s="26" cm="1">
        <f t="array" aca="1" ref="D338" ca="1">_FV(Table20[[#This Row],[Asset]],"Price")</f>
        <v>374.08</v>
      </c>
      <c r="E338" s="26">
        <v>185</v>
      </c>
      <c r="F338" s="33">
        <v>4</v>
      </c>
      <c r="G338" s="34">
        <v>1</v>
      </c>
      <c r="H338" s="34" t="s">
        <v>159</v>
      </c>
      <c r="I338" s="31">
        <v>45581</v>
      </c>
      <c r="J338" s="26">
        <v>5.32</v>
      </c>
      <c r="K338" s="24">
        <v>0.5</v>
      </c>
      <c r="L338" s="33">
        <f>VLOOKUP(Table20[[#This Row],[Strategy]],Table29[#All],6,FALSE)</f>
        <v>1</v>
      </c>
      <c r="M338" s="23">
        <v>4</v>
      </c>
      <c r="N338" s="23">
        <v>4.5999999999999996</v>
      </c>
      <c r="O338" s="23"/>
      <c r="P338" s="23"/>
      <c r="Q338">
        <f>Table20[[#This Row],[Exit1]]*Table20[[#This Row],[ex1_price]]</f>
        <v>18.399999999999999</v>
      </c>
      <c r="R338">
        <f>Table20[[#This Row],[Exit2]]*Table20[[#This Row],[ex2_price]]</f>
        <v>0</v>
      </c>
      <c r="S338">
        <f>IFERROR((Table20[[#This Row],[ex2_amnt]]+Table20[[#This Row],[ex1_amnt]])/(Table20[[#This Row],[Exit2]]+Table20[[#This Row],[Exit1]]),0)</f>
        <v>4.5999999999999996</v>
      </c>
      <c r="T338" s="5">
        <f>(Table20[[#This Row],[Exit1]]+Table20[[#This Row],[Exit2]])*(Table20[[#This Row],[avg_exit_price]]-Table20[[#This Row],[AvePrice]])*100*Table20[[#This Row],[Buy or Sell]]</f>
        <v>-288.00000000000023</v>
      </c>
      <c r="U338" s="5">
        <f>Table20[[#This Row],[Number of options]]*Table20[[#This Row],[AvePrice]]*100*Table20[[#This Row],[Buy or Sell]]</f>
        <v>2128</v>
      </c>
      <c r="V338" s="8">
        <f>Table20[[#This Row],[Number of options]]-Table20[[#This Row],[Exit1]]-Table20[[#This Row],[Exit2]]</f>
        <v>0</v>
      </c>
      <c r="W338" s="30">
        <f ca="1">(Table20[[#This Row],[Expiration Date]]-TODAY())/365</f>
        <v>-1.4164383561643836</v>
      </c>
      <c r="X338" s="30" t="e">
        <f ca="1">(LN(Table20[[#This Row],[Current Price]]/Table20[[#This Row],[strike_price]]) + ($B$2 + (Table20[[#This Row],[Vol]]^2)/2)*Table20[[#This Row],[Time to expiration]]) / (Table20[[#This Row],[Vol]] * SQRT(Table20[[#This Row],[Time to expiration]]))</f>
        <v>#NUM!</v>
      </c>
      <c r="Y338" s="30" t="e">
        <f ca="1">IF(Table20[[#This Row],[Direction]]&gt;0, _xlfn.NORM.S.DIST(Table20[[#This Row],[d1]], TRUE), _xlfn.NORM.S.DIST(Table20[[#This Row],[d1]], TRUE) - 1) * Table20[[#This Row],[Buy or Sell]]</f>
        <v>#NUM!</v>
      </c>
      <c r="Z338" s="9">
        <f ca="1">Table20[[#This Row],[Remaining]]*Table20[[#This Row],[Current Price]]*100</f>
        <v>0</v>
      </c>
      <c r="AA338" s="22">
        <f ca="1">IFERROR(Table20[[#This Row],[nominal_exposure]]*Table20[[#This Row],[Delta]],0)</f>
        <v>0</v>
      </c>
      <c r="AB338" s="30" t="b">
        <f>IF(Table20[[#This Row],[date_purchased]]&lt;&gt;Table20[[#This Row],[Expiration Date]],FALSE,TRUE)</f>
        <v>0</v>
      </c>
      <c r="AC338" s="30" t="str">
        <f>VLOOKUP(Table20[[#This Row],[Asset]],Table19[#All],3,FALSE)</f>
        <v>Semiconductor</v>
      </c>
      <c r="AD338" s="30">
        <f>IF(Table20[[#This Row],[Remaining]]&lt;&gt;0,Table20[[#This Row],[Invested]]*Table20[[#This Row],[Remaining]]/Table20[[#This Row],[Number of options]],0)</f>
        <v>0</v>
      </c>
      <c r="AE338" s="30">
        <f ca="1">SUMIF(Table20[Ticker],Table20[[#This Row],[Ticker]],Table20[realized_profit])</f>
        <v>-1490.0000000000002</v>
      </c>
      <c r="AF338" s="30" t="str">
        <f>VLOOKUP(Table20[[#This Row],[Strategy]],Table29[#All],7,FALSE)</f>
        <v>Bearish</v>
      </c>
    </row>
    <row r="339" spans="1:32" hidden="1">
      <c r="A339" s="230">
        <v>45590</v>
      </c>
      <c r="B339" s="21" t="e" vm="63">
        <v>#VALUE!</v>
      </c>
      <c r="C339" s="109" t="str" cm="1">
        <f t="array" aca="1" ref="C339" ca="1">_FV(Table20[[#This Row],[Asset]],"Ticker symbol",TRUE)</f>
        <v>TSLA</v>
      </c>
      <c r="D339" s="26" cm="1">
        <f t="array" aca="1" ref="D339" ca="1">_FV(Table20[[#This Row],[Asset]],"Price")</f>
        <v>394.5401</v>
      </c>
      <c r="E339" s="26">
        <v>222.5</v>
      </c>
      <c r="F339" s="33">
        <v>3</v>
      </c>
      <c r="G339" s="34">
        <v>-1</v>
      </c>
      <c r="H339" s="34" t="s">
        <v>181</v>
      </c>
      <c r="I339" s="31">
        <v>45583</v>
      </c>
      <c r="J339" s="26">
        <v>8.7899999999999991</v>
      </c>
      <c r="K339" s="24">
        <v>0.81920000000000004</v>
      </c>
      <c r="L339" s="33">
        <f>VLOOKUP(Table20[[#This Row],[Strategy]],Table29[#All],6,FALSE)</f>
        <v>-1</v>
      </c>
      <c r="M339" s="23">
        <v>3</v>
      </c>
      <c r="N339" s="23">
        <v>0.1</v>
      </c>
      <c r="O339" s="23"/>
      <c r="P339" s="23"/>
      <c r="Q339">
        <f>Table20[[#This Row],[Exit1]]*Table20[[#This Row],[ex1_price]]</f>
        <v>0.30000000000000004</v>
      </c>
      <c r="R339">
        <f>Table20[[#This Row],[Exit2]]*Table20[[#This Row],[ex2_price]]</f>
        <v>0</v>
      </c>
      <c r="S339">
        <f>IFERROR((Table20[[#This Row],[ex2_amnt]]+Table20[[#This Row],[ex1_amnt]])/(Table20[[#This Row],[Exit2]]+Table20[[#This Row],[Exit1]]),0)</f>
        <v>0.10000000000000002</v>
      </c>
      <c r="T339" s="5">
        <f>(Table20[[#This Row],[Exit1]]+Table20[[#This Row],[Exit2]])*(Table20[[#This Row],[avg_exit_price]]-Table20[[#This Row],[AvePrice]])*100*Table20[[#This Row],[Buy or Sell]]</f>
        <v>2607</v>
      </c>
      <c r="U339" s="5">
        <f>Table20[[#This Row],[Number of options]]*Table20[[#This Row],[AvePrice]]*100*Table20[[#This Row],[Buy or Sell]]</f>
        <v>-2636.9999999999995</v>
      </c>
      <c r="V339" s="8">
        <f>Table20[[#This Row],[Number of options]]-Table20[[#This Row],[Exit1]]-Table20[[#This Row],[Exit2]]</f>
        <v>0</v>
      </c>
      <c r="W339" s="30">
        <f ca="1">(Table20[[#This Row],[Expiration Date]]-TODAY())/365</f>
        <v>-1.4164383561643836</v>
      </c>
      <c r="X339" s="30" t="e">
        <f ca="1">(LN(Table20[[#This Row],[Current Price]]/Table20[[#This Row],[strike_price]]) + ($B$2 + (Table20[[#This Row],[Vol]]^2)/2)*Table20[[#This Row],[Time to expiration]]) / (Table20[[#This Row],[Vol]] * SQRT(Table20[[#This Row],[Time to expiration]]))</f>
        <v>#NUM!</v>
      </c>
      <c r="Y339" s="30" t="e">
        <f ca="1">IF(Table20[[#This Row],[Direction]]&gt;0, _xlfn.NORM.S.DIST(Table20[[#This Row],[d1]], TRUE), _xlfn.NORM.S.DIST(Table20[[#This Row],[d1]], TRUE) - 1) * Table20[[#This Row],[Buy or Sell]]</f>
        <v>#NUM!</v>
      </c>
      <c r="Z339" s="9">
        <f ca="1">Table20[[#This Row],[Remaining]]*Table20[[#This Row],[Current Price]]*100</f>
        <v>0</v>
      </c>
      <c r="AA339" s="22">
        <f ca="1">IFERROR(Table20[[#This Row],[nominal_exposure]]*Table20[[#This Row],[Delta]],0)</f>
        <v>0</v>
      </c>
      <c r="AB339" s="30" t="b">
        <f>IF(Table20[[#This Row],[date_purchased]]&lt;&gt;Table20[[#This Row],[Expiration Date]],FALSE,TRUE)</f>
        <v>0</v>
      </c>
      <c r="AC339" s="30" t="str">
        <f>VLOOKUP(Table20[[#This Row],[Asset]],Table19[#All],3,FALSE)</f>
        <v>Auto</v>
      </c>
      <c r="AD339" s="30">
        <f>IF(Table20[[#This Row],[Remaining]]&lt;&gt;0,Table20[[#This Row],[Invested]]*Table20[[#This Row],[Remaining]]/Table20[[#This Row],[Number of options]],0)</f>
        <v>0</v>
      </c>
      <c r="AE339" s="30">
        <f ca="1">SUMIF(Table20[Ticker],Table20[[#This Row],[Ticker]],Table20[realized_profit])</f>
        <v>4153</v>
      </c>
      <c r="AF339" s="30" t="str">
        <f>VLOOKUP(Table20[[#This Row],[Strategy]],Table29[#All],7,FALSE)</f>
        <v>Bullish</v>
      </c>
    </row>
    <row r="340" spans="1:32" hidden="1">
      <c r="A340" s="118">
        <v>45516</v>
      </c>
      <c r="B340" s="21" t="e" vm="96">
        <v>#VALUE!</v>
      </c>
      <c r="C340" s="109" t="str" cm="1">
        <f t="array" aca="1" ref="C340" ca="1">_FV(Table20[[#This Row],[Asset]],"Ticker symbol",TRUE)</f>
        <v>SPY</v>
      </c>
      <c r="D340" s="26" cm="1">
        <f t="array" aca="1" ref="D340" ca="1">_FV(Table20[[#This Row],[Asset]],"Price")</f>
        <v>658.59</v>
      </c>
      <c r="E340" s="26">
        <v>505</v>
      </c>
      <c r="F340" s="33">
        <v>2</v>
      </c>
      <c r="G340" s="34">
        <v>1</v>
      </c>
      <c r="H340" s="34" t="s">
        <v>161</v>
      </c>
      <c r="I340" s="31">
        <v>45510</v>
      </c>
      <c r="J340" s="26">
        <v>1.75</v>
      </c>
      <c r="K340" s="24">
        <v>0.28839999999999999</v>
      </c>
      <c r="L340" s="33">
        <f>VLOOKUP(Table20[[#This Row],[Strategy]],Table29[#All],6,FALSE)</f>
        <v>-1</v>
      </c>
      <c r="M340" s="23">
        <v>2</v>
      </c>
      <c r="N340" s="23">
        <v>0.02</v>
      </c>
      <c r="O340" s="23"/>
      <c r="P340" s="23"/>
      <c r="Q340">
        <f>Table20[[#This Row],[Exit1]]*Table20[[#This Row],[ex1_price]]</f>
        <v>0.04</v>
      </c>
      <c r="R340">
        <f>Table20[[#This Row],[Exit2]]*Table20[[#This Row],[ex2_price]]</f>
        <v>0</v>
      </c>
      <c r="S340">
        <f>IFERROR((Table20[[#This Row],[ex2_amnt]]+Table20[[#This Row],[ex1_amnt]])/(Table20[[#This Row],[Exit2]]+Table20[[#This Row],[Exit1]]),0)</f>
        <v>0.02</v>
      </c>
      <c r="T340" s="5">
        <f>(Table20[[#This Row],[Exit1]]+Table20[[#This Row],[Exit2]])*(Table20[[#This Row],[avg_exit_price]]-Table20[[#This Row],[AvePrice]])*100*Table20[[#This Row],[Buy or Sell]]</f>
        <v>-346</v>
      </c>
      <c r="U340" s="5">
        <f>Table20[[#This Row],[Number of options]]*Table20[[#This Row],[AvePrice]]*100*Table20[[#This Row],[Buy or Sell]]</f>
        <v>350</v>
      </c>
      <c r="V340" s="8">
        <f>Table20[[#This Row],[Number of options]]-Table20[[#This Row],[Exit1]]-Table20[[#This Row],[Exit2]]</f>
        <v>0</v>
      </c>
      <c r="W340" s="30">
        <f ca="1">(Table20[[#This Row],[Expiration Date]]-TODAY())/365</f>
        <v>-1.6191780821917807</v>
      </c>
      <c r="X340" s="30" t="e">
        <f ca="1">(LN(Table20[[#This Row],[Current Price]]/Table20[[#This Row],[strike_price]]) + ($B$2 + (Table20[[#This Row],[Vol]]^2)/2)*Table20[[#This Row],[Time to expiration]]) / (Table20[[#This Row],[Vol]] * SQRT(Table20[[#This Row],[Time to expiration]]))</f>
        <v>#NUM!</v>
      </c>
      <c r="Y340" s="30" t="e">
        <f ca="1">IF(Table20[[#This Row],[Direction]]&gt;0, _xlfn.NORM.S.DIST(Table20[[#This Row],[d1]], TRUE), _xlfn.NORM.S.DIST(Table20[[#This Row],[d1]], TRUE) - 1) * Table20[[#This Row],[Buy or Sell]]</f>
        <v>#NUM!</v>
      </c>
      <c r="Z340" s="9">
        <f ca="1">Table20[[#This Row],[Remaining]]*Table20[[#This Row],[Current Price]]*100</f>
        <v>0</v>
      </c>
      <c r="AA340" s="22">
        <f ca="1">IFERROR(Table20[[#This Row],[nominal_exposure]]*Table20[[#This Row],[Delta]],0)</f>
        <v>0</v>
      </c>
      <c r="AB340" s="30" t="b">
        <f>IF(Table20[[#This Row],[date_purchased]]&lt;&gt;Table20[[#This Row],[Expiration Date]],FALSE,TRUE)</f>
        <v>0</v>
      </c>
      <c r="AC340" s="30" t="str">
        <f>VLOOKUP(Table20[[#This Row],[Asset]],Table19[#All],3,FALSE)</f>
        <v>Market</v>
      </c>
      <c r="AD340" s="30">
        <f>IF(Table20[[#This Row],[Remaining]]&lt;&gt;0,Table20[[#This Row],[Invested]]*Table20[[#This Row],[Remaining]]/Table20[[#This Row],[Number of options]],0)</f>
        <v>0</v>
      </c>
      <c r="AE340" s="30">
        <f ca="1">SUMIF(Table20[Ticker],Table20[[#This Row],[Ticker]],Table20[realized_profit])</f>
        <v>-5077</v>
      </c>
      <c r="AF340" s="30" t="str">
        <f>VLOOKUP(Table20[[#This Row],[Strategy]],Table29[#All],7,FALSE)</f>
        <v>Bearish</v>
      </c>
    </row>
    <row r="341" spans="1:32" hidden="1">
      <c r="A341" s="118">
        <v>45516</v>
      </c>
      <c r="B341" s="21" t="e" vm="96">
        <v>#VALUE!</v>
      </c>
      <c r="C341" s="109" t="str" cm="1">
        <f t="array" aca="1" ref="C341" ca="1">_FV(Table20[[#This Row],[Asset]],"Ticker symbol",TRUE)</f>
        <v>SPY</v>
      </c>
      <c r="D341" s="26" cm="1">
        <f t="array" aca="1" ref="D341" ca="1">_FV(Table20[[#This Row],[Asset]],"Price")</f>
        <v>658.59</v>
      </c>
      <c r="E341" s="26">
        <v>540</v>
      </c>
      <c r="F341" s="33">
        <v>3</v>
      </c>
      <c r="G341" s="34">
        <v>1</v>
      </c>
      <c r="H341" s="34" t="s">
        <v>115</v>
      </c>
      <c r="I341" s="31">
        <v>45511</v>
      </c>
      <c r="J341" s="26">
        <v>1.04</v>
      </c>
      <c r="K341" s="24">
        <v>0.17130000000000001</v>
      </c>
      <c r="L341" s="33">
        <f>VLOOKUP(Table20[[#This Row],[Strategy]],Table29[#All],6,FALSE)</f>
        <v>1</v>
      </c>
      <c r="M341" s="23">
        <v>3</v>
      </c>
      <c r="N341" s="23">
        <v>1.04</v>
      </c>
      <c r="O341" s="23"/>
      <c r="P341" s="23"/>
      <c r="Q341">
        <f>Table20[[#This Row],[Exit1]]*Table20[[#This Row],[ex1_price]]</f>
        <v>3.12</v>
      </c>
      <c r="R341">
        <f>Table20[[#This Row],[Exit2]]*Table20[[#This Row],[ex2_price]]</f>
        <v>0</v>
      </c>
      <c r="S341">
        <f>IFERROR((Table20[[#This Row],[ex2_amnt]]+Table20[[#This Row],[ex1_amnt]])/(Table20[[#This Row],[Exit2]]+Table20[[#This Row],[Exit1]]),0)</f>
        <v>1.04</v>
      </c>
      <c r="T341" s="5">
        <f>(Table20[[#This Row],[Exit1]]+Table20[[#This Row],[Exit2]])*(Table20[[#This Row],[avg_exit_price]]-Table20[[#This Row],[AvePrice]])*100*Table20[[#This Row],[Buy or Sell]]</f>
        <v>0</v>
      </c>
      <c r="U341" s="5">
        <f>Table20[[#This Row],[Number of options]]*Table20[[#This Row],[AvePrice]]*100*Table20[[#This Row],[Buy or Sell]]</f>
        <v>312</v>
      </c>
      <c r="V341" s="8">
        <f>Table20[[#This Row],[Number of options]]-Table20[[#This Row],[Exit1]]-Table20[[#This Row],[Exit2]]</f>
        <v>0</v>
      </c>
      <c r="W341" s="30">
        <f ca="1">(Table20[[#This Row],[Expiration Date]]-TODAY())/365</f>
        <v>-1.6191780821917807</v>
      </c>
      <c r="X341" s="30" t="e">
        <f ca="1">(LN(Table20[[#This Row],[Current Price]]/Table20[[#This Row],[strike_price]]) + ($B$2 + (Table20[[#This Row],[Vol]]^2)/2)*Table20[[#This Row],[Time to expiration]]) / (Table20[[#This Row],[Vol]] * SQRT(Table20[[#This Row],[Time to expiration]]))</f>
        <v>#NUM!</v>
      </c>
      <c r="Y341" s="30" t="e">
        <f ca="1">IF(Table20[[#This Row],[Direction]]&gt;0, _xlfn.NORM.S.DIST(Table20[[#This Row],[d1]], TRUE), _xlfn.NORM.S.DIST(Table20[[#This Row],[d1]], TRUE) - 1) * Table20[[#This Row],[Buy or Sell]]</f>
        <v>#NUM!</v>
      </c>
      <c r="Z341" s="9">
        <f ca="1">Table20[[#This Row],[Remaining]]*Table20[[#This Row],[Current Price]]*100</f>
        <v>0</v>
      </c>
      <c r="AA341" s="22">
        <f ca="1">IFERROR(Table20[[#This Row],[nominal_exposure]]*Table20[[#This Row],[Delta]],0)</f>
        <v>0</v>
      </c>
      <c r="AB341" s="30" t="b">
        <f>IF(Table20[[#This Row],[date_purchased]]&lt;&gt;Table20[[#This Row],[Expiration Date]],FALSE,TRUE)</f>
        <v>0</v>
      </c>
      <c r="AC341" s="30" t="str">
        <f>VLOOKUP(Table20[[#This Row],[Asset]],Table19[#All],3,FALSE)</f>
        <v>Market</v>
      </c>
      <c r="AD341" s="30">
        <f>IF(Table20[[#This Row],[Remaining]]&lt;&gt;0,Table20[[#This Row],[Invested]]*Table20[[#This Row],[Remaining]]/Table20[[#This Row],[Number of options]],0)</f>
        <v>0</v>
      </c>
      <c r="AE341" s="30">
        <f ca="1">SUMIF(Table20[Ticker],Table20[[#This Row],[Ticker]],Table20[realized_profit])</f>
        <v>-5077</v>
      </c>
      <c r="AF341" s="30" t="str">
        <f>VLOOKUP(Table20[[#This Row],[Strategy]],Table29[#All],7,FALSE)</f>
        <v>Bullish</v>
      </c>
    </row>
    <row r="342" spans="1:32" hidden="1">
      <c r="A342" s="230">
        <v>45590</v>
      </c>
      <c r="B342" s="21" t="e" vm="63">
        <v>#VALUE!</v>
      </c>
      <c r="C342" s="109" t="str" cm="1">
        <f t="array" aca="1" ref="C342" ca="1">_FV(Table20[[#This Row],[Asset]],"Ticker symbol",TRUE)</f>
        <v>TSLA</v>
      </c>
      <c r="D342" s="26" cm="1">
        <f t="array" aca="1" ref="D342" ca="1">_FV(Table20[[#This Row],[Asset]],"Price")</f>
        <v>394.5401</v>
      </c>
      <c r="E342" s="26">
        <v>220</v>
      </c>
      <c r="F342" s="33">
        <v>3</v>
      </c>
      <c r="G342" s="34">
        <v>1</v>
      </c>
      <c r="H342" s="34" t="s">
        <v>181</v>
      </c>
      <c r="I342" s="31">
        <v>45583</v>
      </c>
      <c r="J342" s="26">
        <v>7.54</v>
      </c>
      <c r="K342" s="24">
        <v>0.82369999999999999</v>
      </c>
      <c r="L342" s="33">
        <f>VLOOKUP(Table20[[#This Row],[Strategy]],Table29[#All],6,FALSE)</f>
        <v>-1</v>
      </c>
      <c r="M342" s="23">
        <v>3</v>
      </c>
      <c r="N342" s="23">
        <v>7.0000000000000007E-2</v>
      </c>
      <c r="O342" s="23"/>
      <c r="P342" s="23"/>
      <c r="Q342">
        <f>Table20[[#This Row],[Exit1]]*Table20[[#This Row],[ex1_price]]</f>
        <v>0.21000000000000002</v>
      </c>
      <c r="R342">
        <f>Table20[[#This Row],[Exit2]]*Table20[[#This Row],[ex2_price]]</f>
        <v>0</v>
      </c>
      <c r="S342">
        <f>IFERROR((Table20[[#This Row],[ex2_amnt]]+Table20[[#This Row],[ex1_amnt]])/(Table20[[#This Row],[Exit2]]+Table20[[#This Row],[Exit1]]),0)</f>
        <v>7.0000000000000007E-2</v>
      </c>
      <c r="T342" s="5">
        <f>(Table20[[#This Row],[Exit1]]+Table20[[#This Row],[Exit2]])*(Table20[[#This Row],[avg_exit_price]]-Table20[[#This Row],[AvePrice]])*100*Table20[[#This Row],[Buy or Sell]]</f>
        <v>-2241</v>
      </c>
      <c r="U342" s="5">
        <f>Table20[[#This Row],[Number of options]]*Table20[[#This Row],[AvePrice]]*100*Table20[[#This Row],[Buy or Sell]]</f>
        <v>2262</v>
      </c>
      <c r="V342" s="8">
        <f>Table20[[#This Row],[Number of options]]-Table20[[#This Row],[Exit1]]-Table20[[#This Row],[Exit2]]</f>
        <v>0</v>
      </c>
      <c r="W342" s="30">
        <f ca="1">(Table20[[#This Row],[Expiration Date]]-TODAY())/365</f>
        <v>-1.4164383561643836</v>
      </c>
      <c r="X342" s="30" t="e">
        <f ca="1">(LN(Table20[[#This Row],[Current Price]]/Table20[[#This Row],[strike_price]]) + ($B$2 + (Table20[[#This Row],[Vol]]^2)/2)*Table20[[#This Row],[Time to expiration]]) / (Table20[[#This Row],[Vol]] * SQRT(Table20[[#This Row],[Time to expiration]]))</f>
        <v>#NUM!</v>
      </c>
      <c r="Y342" s="30" t="e">
        <f ca="1">IF(Table20[[#This Row],[Direction]]&gt;0, _xlfn.NORM.S.DIST(Table20[[#This Row],[d1]], TRUE), _xlfn.NORM.S.DIST(Table20[[#This Row],[d1]], TRUE) - 1) * Table20[[#This Row],[Buy or Sell]]</f>
        <v>#NUM!</v>
      </c>
      <c r="Z342" s="9">
        <f ca="1">Table20[[#This Row],[Remaining]]*Table20[[#This Row],[Current Price]]*100</f>
        <v>0</v>
      </c>
      <c r="AA342" s="22">
        <f ca="1">IFERROR(Table20[[#This Row],[nominal_exposure]]*Table20[[#This Row],[Delta]],0)</f>
        <v>0</v>
      </c>
      <c r="AB342" s="30" t="b">
        <f>IF(Table20[[#This Row],[date_purchased]]&lt;&gt;Table20[[#This Row],[Expiration Date]],FALSE,TRUE)</f>
        <v>0</v>
      </c>
      <c r="AC342" s="30" t="str">
        <f>VLOOKUP(Table20[[#This Row],[Asset]],Table19[#All],3,FALSE)</f>
        <v>Auto</v>
      </c>
      <c r="AD342" s="30">
        <f>IF(Table20[[#This Row],[Remaining]]&lt;&gt;0,Table20[[#This Row],[Invested]]*Table20[[#This Row],[Remaining]]/Table20[[#This Row],[Number of options]],0)</f>
        <v>0</v>
      </c>
      <c r="AE342" s="30">
        <f ca="1">SUMIF(Table20[Ticker],Table20[[#This Row],[Ticker]],Table20[realized_profit])</f>
        <v>4153</v>
      </c>
      <c r="AF342" s="30" t="str">
        <f>VLOOKUP(Table20[[#This Row],[Strategy]],Table29[#All],7,FALSE)</f>
        <v>Bullish</v>
      </c>
    </row>
    <row r="343" spans="1:32" hidden="1">
      <c r="A343" s="230">
        <v>45590</v>
      </c>
      <c r="B343" s="21" t="e" vm="291">
        <v>#VALUE!</v>
      </c>
      <c r="C343" s="109" t="str" cm="1">
        <f t="array" aca="1" ref="C343" ca="1">_FV(Table20[[#This Row],[Asset]],"Ticker symbol",TRUE)</f>
        <v>HIMS</v>
      </c>
      <c r="D343" s="26" cm="1">
        <f t="array" aca="1" ref="D343" ca="1">_FV(Table20[[#This Row],[Asset]],"Price")</f>
        <v>21.164999999999999</v>
      </c>
      <c r="E343" s="26">
        <v>21.5</v>
      </c>
      <c r="F343" s="33">
        <v>2</v>
      </c>
      <c r="G343" s="34">
        <v>1</v>
      </c>
      <c r="H343" s="34" t="s">
        <v>65</v>
      </c>
      <c r="I343" s="31">
        <v>45588</v>
      </c>
      <c r="J343" s="26">
        <v>0.55000000000000004</v>
      </c>
      <c r="K343" s="24">
        <v>0.9</v>
      </c>
      <c r="L343" s="33">
        <f>VLOOKUP(Table20[[#This Row],[Strategy]],Table29[#All],6,FALSE)</f>
        <v>-1</v>
      </c>
      <c r="M343" s="23">
        <v>2</v>
      </c>
      <c r="N343" s="23">
        <v>0</v>
      </c>
      <c r="O343" s="23"/>
      <c r="P343" s="23"/>
      <c r="Q343">
        <f>Table20[[#This Row],[Exit1]]*Table20[[#This Row],[ex1_price]]</f>
        <v>0</v>
      </c>
      <c r="R343">
        <f>Table20[[#This Row],[Exit2]]*Table20[[#This Row],[ex2_price]]</f>
        <v>0</v>
      </c>
      <c r="S343">
        <f>IFERROR((Table20[[#This Row],[ex2_amnt]]+Table20[[#This Row],[ex1_amnt]])/(Table20[[#This Row],[Exit2]]+Table20[[#This Row],[Exit1]]),0)</f>
        <v>0</v>
      </c>
      <c r="T343" s="5">
        <f>(Table20[[#This Row],[Exit1]]+Table20[[#This Row],[Exit2]])*(Table20[[#This Row],[avg_exit_price]]-Table20[[#This Row],[AvePrice]])*100*Table20[[#This Row],[Buy or Sell]]</f>
        <v>-110.00000000000001</v>
      </c>
      <c r="U343" s="5">
        <f>Table20[[#This Row],[Number of options]]*Table20[[#This Row],[AvePrice]]*100*Table20[[#This Row],[Buy or Sell]]</f>
        <v>110.00000000000001</v>
      </c>
      <c r="V343" s="8">
        <f>Table20[[#This Row],[Number of options]]-Table20[[#This Row],[Exit1]]-Table20[[#This Row],[Exit2]]</f>
        <v>0</v>
      </c>
      <c r="W343" s="30">
        <f ca="1">(Table20[[#This Row],[Expiration Date]]-TODAY())/365</f>
        <v>-1.4164383561643836</v>
      </c>
      <c r="X343" s="30" t="e">
        <f ca="1">(LN(Table20[[#This Row],[Current Price]]/Table20[[#This Row],[strike_price]]) + ($B$2 + (Table20[[#This Row],[Vol]]^2)/2)*Table20[[#This Row],[Time to expiration]]) / (Table20[[#This Row],[Vol]] * SQRT(Table20[[#This Row],[Time to expiration]]))</f>
        <v>#NUM!</v>
      </c>
      <c r="Y343" s="30" t="e">
        <f ca="1">IF(Table20[[#This Row],[Direction]]&gt;0, _xlfn.NORM.S.DIST(Table20[[#This Row],[d1]], TRUE), _xlfn.NORM.S.DIST(Table20[[#This Row],[d1]], TRUE) - 1) * Table20[[#This Row],[Buy or Sell]]</f>
        <v>#NUM!</v>
      </c>
      <c r="Z343" s="9">
        <f ca="1">Table20[[#This Row],[Remaining]]*Table20[[#This Row],[Current Price]]*100</f>
        <v>0</v>
      </c>
      <c r="AA343" s="22">
        <f ca="1">IFERROR(Table20[[#This Row],[nominal_exposure]]*Table20[[#This Row],[Delta]],0)</f>
        <v>0</v>
      </c>
      <c r="AB343" s="30" t="b">
        <f>IF(Table20[[#This Row],[date_purchased]]&lt;&gt;Table20[[#This Row],[Expiration Date]],FALSE,TRUE)</f>
        <v>0</v>
      </c>
      <c r="AC343" s="30" t="str">
        <f>VLOOKUP(Table20[[#This Row],[Asset]],Table19[#All],3,FALSE)</f>
        <v>Health Care</v>
      </c>
      <c r="AD343" s="30">
        <f>IF(Table20[[#This Row],[Remaining]]&lt;&gt;0,Table20[[#This Row],[Invested]]*Table20[[#This Row],[Remaining]]/Table20[[#This Row],[Number of options]],0)</f>
        <v>0</v>
      </c>
      <c r="AE343" s="30">
        <f ca="1">SUMIF(Table20[Ticker],Table20[[#This Row],[Ticker]],Table20[realized_profit])</f>
        <v>-110.00000000000001</v>
      </c>
      <c r="AF343" s="30" t="str">
        <f>VLOOKUP(Table20[[#This Row],[Strategy]],Table29[#All],7,FALSE)</f>
        <v>Bearish</v>
      </c>
    </row>
    <row r="344" spans="1:32" hidden="1">
      <c r="A344" s="230">
        <v>45597</v>
      </c>
      <c r="B344" s="21" t="e" vm="116">
        <v>#VALUE!</v>
      </c>
      <c r="C344" s="109" t="str" cm="1">
        <f t="array" aca="1" ref="C344" ca="1">_FV(Table20[[#This Row],[Asset]],"Ticker symbol",TRUE)</f>
        <v>MPC</v>
      </c>
      <c r="D344" s="26" cm="1">
        <f t="array" aca="1" ref="D344" ca="1">_FV(Table20[[#This Row],[Asset]],"Price")</f>
        <v>244</v>
      </c>
      <c r="E344" s="26">
        <v>157.5</v>
      </c>
      <c r="F344" s="33">
        <v>2</v>
      </c>
      <c r="G344" s="34">
        <v>-1</v>
      </c>
      <c r="H344" s="34" t="s">
        <v>181</v>
      </c>
      <c r="I344" s="31">
        <v>45588</v>
      </c>
      <c r="J344" s="26">
        <v>4.76</v>
      </c>
      <c r="K344" s="24">
        <v>0.32600000000000001</v>
      </c>
      <c r="L344" s="33">
        <f>VLOOKUP(Table20[[#This Row],[Strategy]],Table29[#All],6,FALSE)</f>
        <v>-1</v>
      </c>
      <c r="M344" s="23">
        <v>2</v>
      </c>
      <c r="N344" s="23">
        <v>5</v>
      </c>
      <c r="O344" s="23"/>
      <c r="P344" s="23"/>
      <c r="Q344">
        <f>Table20[[#This Row],[Exit1]]*Table20[[#This Row],[ex1_price]]</f>
        <v>10</v>
      </c>
      <c r="R344">
        <f>Table20[[#This Row],[Exit2]]*Table20[[#This Row],[ex2_price]]</f>
        <v>0</v>
      </c>
      <c r="S344">
        <f>IFERROR((Table20[[#This Row],[ex2_amnt]]+Table20[[#This Row],[ex1_amnt]])/(Table20[[#This Row],[Exit2]]+Table20[[#This Row],[Exit1]]),0)</f>
        <v>5</v>
      </c>
      <c r="T344" s="5">
        <f>(Table20[[#This Row],[Exit1]]+Table20[[#This Row],[Exit2]])*(Table20[[#This Row],[avg_exit_price]]-Table20[[#This Row],[AvePrice]])*100*Table20[[#This Row],[Buy or Sell]]</f>
        <v>-48.000000000000043</v>
      </c>
      <c r="U344" s="5">
        <f>Table20[[#This Row],[Number of options]]*Table20[[#This Row],[AvePrice]]*100*Table20[[#This Row],[Buy or Sell]]</f>
        <v>-952</v>
      </c>
      <c r="V344" s="8">
        <f>Table20[[#This Row],[Number of options]]-Table20[[#This Row],[Exit1]]-Table20[[#This Row],[Exit2]]</f>
        <v>0</v>
      </c>
      <c r="W344" s="30">
        <f ca="1">(Table20[[#This Row],[Expiration Date]]-TODAY())/365</f>
        <v>-1.3972602739726028</v>
      </c>
      <c r="X344" s="30" t="e">
        <f ca="1">(LN(Table20[[#This Row],[Current Price]]/Table20[[#This Row],[strike_price]]) + ($B$2 + (Table20[[#This Row],[Vol]]^2)/2)*Table20[[#This Row],[Time to expiration]]) / (Table20[[#This Row],[Vol]] * SQRT(Table20[[#This Row],[Time to expiration]]))</f>
        <v>#NUM!</v>
      </c>
      <c r="Y344" s="30" t="e">
        <f ca="1">IF(Table20[[#This Row],[Direction]]&gt;0, _xlfn.NORM.S.DIST(Table20[[#This Row],[d1]], TRUE), _xlfn.NORM.S.DIST(Table20[[#This Row],[d1]], TRUE) - 1) * Table20[[#This Row],[Buy or Sell]]</f>
        <v>#NUM!</v>
      </c>
      <c r="Z344" s="9">
        <f ca="1">Table20[[#This Row],[Remaining]]*Table20[[#This Row],[Current Price]]*100</f>
        <v>0</v>
      </c>
      <c r="AA344" s="22">
        <f ca="1">IFERROR(Table20[[#This Row],[nominal_exposure]]*Table20[[#This Row],[Delta]],0)</f>
        <v>0</v>
      </c>
      <c r="AB344" s="30" t="b">
        <f>IF(Table20[[#This Row],[date_purchased]]&lt;&gt;Table20[[#This Row],[Expiration Date]],FALSE,TRUE)</f>
        <v>0</v>
      </c>
      <c r="AC344" s="30" t="str">
        <f>VLOOKUP(Table20[[#This Row],[Asset]],Table19[#All],3,FALSE)</f>
        <v>Energy</v>
      </c>
      <c r="AD344" s="30">
        <f>IF(Table20[[#This Row],[Remaining]]&lt;&gt;0,Table20[[#This Row],[Invested]]*Table20[[#This Row],[Remaining]]/Table20[[#This Row],[Number of options]],0)</f>
        <v>0</v>
      </c>
      <c r="AE344" s="30">
        <f ca="1">SUMIF(Table20[Ticker],Table20[[#This Row],[Ticker]],Table20[realized_profit])</f>
        <v>-482.00000000000006</v>
      </c>
      <c r="AF344" s="30" t="str">
        <f>VLOOKUP(Table20[[#This Row],[Strategy]],Table29[#All],7,FALSE)</f>
        <v>Bullish</v>
      </c>
    </row>
    <row r="345" spans="1:32" hidden="1">
      <c r="A345" s="230">
        <v>45597</v>
      </c>
      <c r="B345" s="21" t="e" vm="116">
        <v>#VALUE!</v>
      </c>
      <c r="C345" s="109" t="str" cm="1">
        <f t="array" aca="1" ref="C345" ca="1">_FV(Table20[[#This Row],[Asset]],"Ticker symbol",TRUE)</f>
        <v>MPC</v>
      </c>
      <c r="D345" s="26" cm="1">
        <f t="array" aca="1" ref="D345" ca="1">_FV(Table20[[#This Row],[Asset]],"Price")</f>
        <v>244</v>
      </c>
      <c r="E345" s="26">
        <v>152.5</v>
      </c>
      <c r="F345" s="33">
        <v>2</v>
      </c>
      <c r="G345" s="34">
        <v>1</v>
      </c>
      <c r="H345" s="34" t="s">
        <v>181</v>
      </c>
      <c r="I345" s="31">
        <v>45588</v>
      </c>
      <c r="J345" s="26">
        <v>2.17</v>
      </c>
      <c r="K345" s="24">
        <v>0.30869999999999997</v>
      </c>
      <c r="L345" s="33">
        <f>VLOOKUP(Table20[[#This Row],[Strategy]],Table29[#All],6,FALSE)</f>
        <v>-1</v>
      </c>
      <c r="M345" s="23">
        <v>2</v>
      </c>
      <c r="N345" s="23">
        <v>0</v>
      </c>
      <c r="O345" s="23"/>
      <c r="P345" s="23"/>
      <c r="Q345">
        <f>Table20[[#This Row],[Exit1]]*Table20[[#This Row],[ex1_price]]</f>
        <v>0</v>
      </c>
      <c r="R345">
        <f>Table20[[#This Row],[Exit2]]*Table20[[#This Row],[ex2_price]]</f>
        <v>0</v>
      </c>
      <c r="S345">
        <f>IFERROR((Table20[[#This Row],[ex2_amnt]]+Table20[[#This Row],[ex1_amnt]])/(Table20[[#This Row],[Exit2]]+Table20[[#This Row],[Exit1]]),0)</f>
        <v>0</v>
      </c>
      <c r="T345" s="5">
        <f>(Table20[[#This Row],[Exit1]]+Table20[[#This Row],[Exit2]])*(Table20[[#This Row],[avg_exit_price]]-Table20[[#This Row],[AvePrice]])*100*Table20[[#This Row],[Buy or Sell]]</f>
        <v>-434</v>
      </c>
      <c r="U345" s="5">
        <f>Table20[[#This Row],[Number of options]]*Table20[[#This Row],[AvePrice]]*100*Table20[[#This Row],[Buy or Sell]]</f>
        <v>434</v>
      </c>
      <c r="V345" s="8">
        <f>Table20[[#This Row],[Number of options]]-Table20[[#This Row],[Exit1]]-Table20[[#This Row],[Exit2]]</f>
        <v>0</v>
      </c>
      <c r="W345" s="30">
        <f ca="1">(Table20[[#This Row],[Expiration Date]]-TODAY())/365</f>
        <v>-1.3972602739726028</v>
      </c>
      <c r="X345" s="30" t="e">
        <f ca="1">(LN(Table20[[#This Row],[Current Price]]/Table20[[#This Row],[strike_price]]) + ($B$2 + (Table20[[#This Row],[Vol]]^2)/2)*Table20[[#This Row],[Time to expiration]]) / (Table20[[#This Row],[Vol]] * SQRT(Table20[[#This Row],[Time to expiration]]))</f>
        <v>#NUM!</v>
      </c>
      <c r="Y345" s="30" t="e">
        <f ca="1">IF(Table20[[#This Row],[Direction]]&gt;0, _xlfn.NORM.S.DIST(Table20[[#This Row],[d1]], TRUE), _xlfn.NORM.S.DIST(Table20[[#This Row],[d1]], TRUE) - 1) * Table20[[#This Row],[Buy or Sell]]</f>
        <v>#NUM!</v>
      </c>
      <c r="Z345" s="9">
        <f ca="1">Table20[[#This Row],[Remaining]]*Table20[[#This Row],[Current Price]]*100</f>
        <v>0</v>
      </c>
      <c r="AA345" s="22">
        <f ca="1">IFERROR(Table20[[#This Row],[nominal_exposure]]*Table20[[#This Row],[Delta]],0)</f>
        <v>0</v>
      </c>
      <c r="AB345" s="30" t="b">
        <f>IF(Table20[[#This Row],[date_purchased]]&lt;&gt;Table20[[#This Row],[Expiration Date]],FALSE,TRUE)</f>
        <v>0</v>
      </c>
      <c r="AC345" s="30" t="str">
        <f>VLOOKUP(Table20[[#This Row],[Asset]],Table19[#All],3,FALSE)</f>
        <v>Energy</v>
      </c>
      <c r="AD345" s="30">
        <f>IF(Table20[[#This Row],[Remaining]]&lt;&gt;0,Table20[[#This Row],[Invested]]*Table20[[#This Row],[Remaining]]/Table20[[#This Row],[Number of options]],0)</f>
        <v>0</v>
      </c>
      <c r="AE345" s="30">
        <f ca="1">SUMIF(Table20[Ticker],Table20[[#This Row],[Ticker]],Table20[realized_profit])</f>
        <v>-482.00000000000006</v>
      </c>
      <c r="AF345" s="30" t="str">
        <f>VLOOKUP(Table20[[#This Row],[Strategy]],Table29[#All],7,FALSE)</f>
        <v>Bullish</v>
      </c>
    </row>
    <row r="346" spans="1:32" hidden="1">
      <c r="A346" s="230">
        <v>45597</v>
      </c>
      <c r="B346" s="21" t="e" vm="446">
        <v>#VALUE!</v>
      </c>
      <c r="C346" s="109" t="str" cm="1">
        <f t="array" aca="1" ref="C346" ca="1">_FV(Table20[[#This Row],[Asset]],"Ticker symbol",TRUE)</f>
        <v>RDDT</v>
      </c>
      <c r="D346" s="26" cm="1">
        <f t="array" aca="1" ref="D346" ca="1">_FV(Table20[[#This Row],[Asset]],"Price")</f>
        <v>143.06</v>
      </c>
      <c r="E346" s="26">
        <v>70</v>
      </c>
      <c r="F346" s="33">
        <v>1</v>
      </c>
      <c r="G346" s="34">
        <v>1</v>
      </c>
      <c r="H346" s="34" t="s">
        <v>65</v>
      </c>
      <c r="I346" s="31">
        <v>45589</v>
      </c>
      <c r="J346" s="26">
        <v>1.75</v>
      </c>
      <c r="K346" s="24">
        <v>1.0165999999999999</v>
      </c>
      <c r="L346" s="33">
        <f>VLOOKUP(Table20[[#This Row],[Strategy]],Table29[#All],6,FALSE)</f>
        <v>-1</v>
      </c>
      <c r="M346" s="23">
        <v>1</v>
      </c>
      <c r="N346" s="23">
        <v>1.04</v>
      </c>
      <c r="O346" s="23"/>
      <c r="P346" s="23"/>
      <c r="Q346">
        <f>Table20[[#This Row],[Exit1]]*Table20[[#This Row],[ex1_price]]</f>
        <v>1.04</v>
      </c>
      <c r="R346">
        <f>Table20[[#This Row],[Exit2]]*Table20[[#This Row],[ex2_price]]</f>
        <v>0</v>
      </c>
      <c r="S346">
        <f>IFERROR((Table20[[#This Row],[ex2_amnt]]+Table20[[#This Row],[ex1_amnt]])/(Table20[[#This Row],[Exit2]]+Table20[[#This Row],[Exit1]]),0)</f>
        <v>1.04</v>
      </c>
      <c r="T346" s="5">
        <f>(Table20[[#This Row],[Exit1]]+Table20[[#This Row],[Exit2]])*(Table20[[#This Row],[avg_exit_price]]-Table20[[#This Row],[AvePrice]])*100*Table20[[#This Row],[Buy or Sell]]</f>
        <v>-71</v>
      </c>
      <c r="U346" s="5">
        <f>Table20[[#This Row],[Number of options]]*Table20[[#This Row],[AvePrice]]*100*Table20[[#This Row],[Buy or Sell]]</f>
        <v>175</v>
      </c>
      <c r="V346" s="8">
        <f>Table20[[#This Row],[Number of options]]-Table20[[#This Row],[Exit1]]-Table20[[#This Row],[Exit2]]</f>
        <v>0</v>
      </c>
      <c r="W346" s="30">
        <f ca="1">(Table20[[#This Row],[Expiration Date]]-TODAY())/365</f>
        <v>-1.3972602739726028</v>
      </c>
      <c r="X346" s="30" t="e">
        <f ca="1">(LN(Table20[[#This Row],[Current Price]]/Table20[[#This Row],[strike_price]]) + ($B$2 + (Table20[[#This Row],[Vol]]^2)/2)*Table20[[#This Row],[Time to expiration]]) / (Table20[[#This Row],[Vol]] * SQRT(Table20[[#This Row],[Time to expiration]]))</f>
        <v>#NUM!</v>
      </c>
      <c r="Y346" s="30" t="e">
        <f ca="1">IF(Table20[[#This Row],[Direction]]&gt;0, _xlfn.NORM.S.DIST(Table20[[#This Row],[d1]], TRUE), _xlfn.NORM.S.DIST(Table20[[#This Row],[d1]], TRUE) - 1) * Table20[[#This Row],[Buy or Sell]]</f>
        <v>#NUM!</v>
      </c>
      <c r="Z346" s="9">
        <f ca="1">Table20[[#This Row],[Remaining]]*Table20[[#This Row],[Current Price]]*100</f>
        <v>0</v>
      </c>
      <c r="AA346" s="22">
        <f ca="1">IFERROR(Table20[[#This Row],[nominal_exposure]]*Table20[[#This Row],[Delta]],0)</f>
        <v>0</v>
      </c>
      <c r="AB346" s="30" t="b">
        <f>IF(Table20[[#This Row],[date_purchased]]&lt;&gt;Table20[[#This Row],[Expiration Date]],FALSE,TRUE)</f>
        <v>0</v>
      </c>
      <c r="AC346" s="30" t="str">
        <f>VLOOKUP(Table20[[#This Row],[Asset]],Table19[#All],3,FALSE)</f>
        <v>Technology</v>
      </c>
      <c r="AD346" s="30">
        <f>IF(Table20[[#This Row],[Remaining]]&lt;&gt;0,Table20[[#This Row],[Invested]]*Table20[[#This Row],[Remaining]]/Table20[[#This Row],[Number of options]],0)</f>
        <v>0</v>
      </c>
      <c r="AE346" s="30">
        <f ca="1">SUMIF(Table20[Ticker],Table20[[#This Row],[Ticker]],Table20[realized_profit])</f>
        <v>1766.0000000000002</v>
      </c>
      <c r="AF346" s="30" t="str">
        <f>VLOOKUP(Table20[[#This Row],[Strategy]],Table29[#All],7,FALSE)</f>
        <v>Bearish</v>
      </c>
    </row>
    <row r="347" spans="1:32" hidden="1">
      <c r="A347" s="230">
        <v>45597</v>
      </c>
      <c r="B347" s="21" t="e" vm="13">
        <v>#VALUE!</v>
      </c>
      <c r="C347" s="109" t="str" cm="1">
        <f t="array" aca="1" ref="C347" ca="1">_FV(Table20[[#This Row],[Asset]],"Ticker symbol",TRUE)</f>
        <v>ON</v>
      </c>
      <c r="D347" s="26" cm="1">
        <f t="array" aca="1" ref="D347" ca="1">_FV(Table20[[#This Row],[Asset]],"Price")</f>
        <v>63.68</v>
      </c>
      <c r="E347" s="26">
        <v>80</v>
      </c>
      <c r="F347" s="33">
        <v>3</v>
      </c>
      <c r="G347" s="34">
        <v>-1</v>
      </c>
      <c r="H347" s="34" t="s">
        <v>115</v>
      </c>
      <c r="I347" s="31">
        <v>45589</v>
      </c>
      <c r="J347" s="26">
        <v>0.38</v>
      </c>
      <c r="K347" s="24">
        <v>0.74</v>
      </c>
      <c r="L347" s="33">
        <f>VLOOKUP(Table20[[#This Row],[Strategy]],Table29[#All],6,FALSE)</f>
        <v>1</v>
      </c>
      <c r="M347" s="23">
        <v>3</v>
      </c>
      <c r="N347" s="23">
        <v>0.08</v>
      </c>
      <c r="O347" s="23"/>
      <c r="P347" s="23"/>
      <c r="Q347">
        <f>Table20[[#This Row],[Exit1]]*Table20[[#This Row],[ex1_price]]</f>
        <v>0.24</v>
      </c>
      <c r="R347">
        <f>Table20[[#This Row],[Exit2]]*Table20[[#This Row],[ex2_price]]</f>
        <v>0</v>
      </c>
      <c r="S347">
        <f>IFERROR((Table20[[#This Row],[ex2_amnt]]+Table20[[#This Row],[ex1_amnt]])/(Table20[[#This Row],[Exit2]]+Table20[[#This Row],[Exit1]]),0)</f>
        <v>0.08</v>
      </c>
      <c r="T347" s="5">
        <f>(Table20[[#This Row],[Exit1]]+Table20[[#This Row],[Exit2]])*(Table20[[#This Row],[avg_exit_price]]-Table20[[#This Row],[AvePrice]])*100*Table20[[#This Row],[Buy or Sell]]</f>
        <v>89.999999999999986</v>
      </c>
      <c r="U347" s="5">
        <f>Table20[[#This Row],[Number of options]]*Table20[[#This Row],[AvePrice]]*100*Table20[[#This Row],[Buy or Sell]]</f>
        <v>-114.00000000000001</v>
      </c>
      <c r="V347" s="8">
        <f>Table20[[#This Row],[Number of options]]-Table20[[#This Row],[Exit1]]-Table20[[#This Row],[Exit2]]</f>
        <v>0</v>
      </c>
      <c r="W347" s="30">
        <f ca="1">(Table20[[#This Row],[Expiration Date]]-TODAY())/365</f>
        <v>-1.3972602739726028</v>
      </c>
      <c r="X347" s="30" t="e">
        <f ca="1">(LN(Table20[[#This Row],[Current Price]]/Table20[[#This Row],[strike_price]]) + ($B$2 + (Table20[[#This Row],[Vol]]^2)/2)*Table20[[#This Row],[Time to expiration]]) / (Table20[[#This Row],[Vol]] * SQRT(Table20[[#This Row],[Time to expiration]]))</f>
        <v>#NUM!</v>
      </c>
      <c r="Y347" s="30" t="e">
        <f ca="1">IF(Table20[[#This Row],[Direction]]&gt;0, _xlfn.NORM.S.DIST(Table20[[#This Row],[d1]], TRUE), _xlfn.NORM.S.DIST(Table20[[#This Row],[d1]], TRUE) - 1) * Table20[[#This Row],[Buy or Sell]]</f>
        <v>#NUM!</v>
      </c>
      <c r="Z347" s="9">
        <f ca="1">Table20[[#This Row],[Remaining]]*Table20[[#This Row],[Current Price]]*100</f>
        <v>0</v>
      </c>
      <c r="AA347" s="22">
        <f ca="1">IFERROR(Table20[[#This Row],[nominal_exposure]]*Table20[[#This Row],[Delta]],0)</f>
        <v>0</v>
      </c>
      <c r="AB347" s="30" t="b">
        <f>IF(Table20[[#This Row],[date_purchased]]&lt;&gt;Table20[[#This Row],[Expiration Date]],FALSE,TRUE)</f>
        <v>0</v>
      </c>
      <c r="AC347" s="30" t="str">
        <f>VLOOKUP(Table20[[#This Row],[Asset]],Table19[#All],3,FALSE)</f>
        <v>Semiconductor</v>
      </c>
      <c r="AD347" s="30">
        <f>IF(Table20[[#This Row],[Remaining]]&lt;&gt;0,Table20[[#This Row],[Invested]]*Table20[[#This Row],[Remaining]]/Table20[[#This Row],[Number of options]],0)</f>
        <v>0</v>
      </c>
      <c r="AE347" s="30">
        <f ca="1">SUMIF(Table20[Ticker],Table20[[#This Row],[Ticker]],Table20[realized_profit])</f>
        <v>1055.92</v>
      </c>
      <c r="AF347" s="30" t="str">
        <f>VLOOKUP(Table20[[#This Row],[Strategy]],Table29[#All],7,FALSE)</f>
        <v>Bullish</v>
      </c>
    </row>
    <row r="348" spans="1:32" hidden="1">
      <c r="A348" s="180">
        <v>45597</v>
      </c>
      <c r="B348" s="21" t="e" vm="64">
        <v>#VALUE!</v>
      </c>
      <c r="C348" s="109" t="str" cm="1">
        <f t="array" aca="1" ref="C348" ca="1">_FV(Table20[[#This Row],[Asset]],"Ticker symbol",TRUE)</f>
        <v>LULU</v>
      </c>
      <c r="D348" s="26" cm="1">
        <f t="array" aca="1" ref="D348" ca="1">_FV(Table20[[#This Row],[Asset]],"Price")</f>
        <v>159.22</v>
      </c>
      <c r="E348" s="26">
        <v>305</v>
      </c>
      <c r="F348" s="33">
        <v>1</v>
      </c>
      <c r="G348" s="34">
        <v>1</v>
      </c>
      <c r="H348" s="34" t="s">
        <v>159</v>
      </c>
      <c r="I348" s="31">
        <v>45590</v>
      </c>
      <c r="J348" s="26">
        <v>5.7</v>
      </c>
      <c r="K348" s="24">
        <v>0.39910000000000001</v>
      </c>
      <c r="L348" s="33">
        <f>VLOOKUP(Table20[[#This Row],[Strategy]],Table29[#All],6,FALSE)</f>
        <v>1</v>
      </c>
      <c r="M348" s="23">
        <v>1</v>
      </c>
      <c r="N348" s="23">
        <v>0</v>
      </c>
      <c r="O348" s="23"/>
      <c r="P348" s="23"/>
      <c r="Q348">
        <f>Table20[[#This Row],[Exit1]]*Table20[[#This Row],[ex1_price]]</f>
        <v>0</v>
      </c>
      <c r="R348">
        <f>Table20[[#This Row],[Exit2]]*Table20[[#This Row],[ex2_price]]</f>
        <v>0</v>
      </c>
      <c r="S348">
        <f>IFERROR((Table20[[#This Row],[ex2_amnt]]+Table20[[#This Row],[ex1_amnt]])/(Table20[[#This Row],[Exit2]]+Table20[[#This Row],[Exit1]]),0)</f>
        <v>0</v>
      </c>
      <c r="T348" s="5">
        <f>(Table20[[#This Row],[Exit1]]+Table20[[#This Row],[Exit2]])*(Table20[[#This Row],[avg_exit_price]]-Table20[[#This Row],[AvePrice]])*100*Table20[[#This Row],[Buy or Sell]]</f>
        <v>-570</v>
      </c>
      <c r="U348" s="5">
        <f>Table20[[#This Row],[Number of options]]*Table20[[#This Row],[AvePrice]]*100*Table20[[#This Row],[Buy or Sell]]</f>
        <v>570</v>
      </c>
      <c r="V348" s="8">
        <f>Table20[[#This Row],[Number of options]]-Table20[[#This Row],[Exit1]]-Table20[[#This Row],[Exit2]]</f>
        <v>0</v>
      </c>
      <c r="W348" s="30">
        <f ca="1">(Table20[[#This Row],[Expiration Date]]-TODAY())/365</f>
        <v>-1.3972602739726028</v>
      </c>
      <c r="X348" s="30" t="e">
        <f ca="1">(LN(Table20[[#This Row],[Current Price]]/Table20[[#This Row],[strike_price]]) + ($B$2 + (Table20[[#This Row],[Vol]]^2)/2)*Table20[[#This Row],[Time to expiration]]) / (Table20[[#This Row],[Vol]] * SQRT(Table20[[#This Row],[Time to expiration]]))</f>
        <v>#NUM!</v>
      </c>
      <c r="Y348" s="30" t="e">
        <f ca="1">IF(Table20[[#This Row],[Direction]]&gt;0, _xlfn.NORM.S.DIST(Table20[[#This Row],[d1]], TRUE), _xlfn.NORM.S.DIST(Table20[[#This Row],[d1]], TRUE) - 1) * Table20[[#This Row],[Buy or Sell]]</f>
        <v>#NUM!</v>
      </c>
      <c r="Z348" s="9">
        <f ca="1">Table20[[#This Row],[Remaining]]*Table20[[#This Row],[Current Price]]*100</f>
        <v>0</v>
      </c>
      <c r="AA348" s="22">
        <f ca="1">IFERROR(Table20[[#This Row],[nominal_exposure]]*Table20[[#This Row],[Delta]],0)</f>
        <v>0</v>
      </c>
      <c r="AB348" s="30" t="b">
        <f>IF(Table20[[#This Row],[date_purchased]]&lt;&gt;Table20[[#This Row],[Expiration Date]],FALSE,TRUE)</f>
        <v>0</v>
      </c>
      <c r="AC348" s="30" t="str">
        <f>VLOOKUP(Table20[[#This Row],[Asset]],Table19[#All],3,FALSE)</f>
        <v>Consumer Discretionary</v>
      </c>
      <c r="AD348" s="30">
        <f>IF(Table20[[#This Row],[Remaining]]&lt;&gt;0,Table20[[#This Row],[Invested]]*Table20[[#This Row],[Remaining]]/Table20[[#This Row],[Number of options]],0)</f>
        <v>0</v>
      </c>
      <c r="AE348" s="30">
        <f ca="1">SUMIF(Table20[Ticker],Table20[[#This Row],[Ticker]],Table20[realized_profit])</f>
        <v>-1317.0000000000002</v>
      </c>
      <c r="AF348" s="30" t="str">
        <f>VLOOKUP(Table20[[#This Row],[Strategy]],Table29[#All],7,FALSE)</f>
        <v>Bearish</v>
      </c>
    </row>
    <row r="349" spans="1:32" hidden="1">
      <c r="A349" s="180">
        <v>45590</v>
      </c>
      <c r="B349" s="21" t="e" vm="13">
        <v>#VALUE!</v>
      </c>
      <c r="C349" s="109" t="str" cm="1">
        <f t="array" aca="1" ref="C349" ca="1">_FV(Table20[[#This Row],[Asset]],"Ticker symbol",TRUE)</f>
        <v>ON</v>
      </c>
      <c r="D349" s="26" cm="1">
        <f t="array" aca="1" ref="D349" ca="1">_FV(Table20[[#This Row],[Asset]],"Price")</f>
        <v>63.68</v>
      </c>
      <c r="E349" s="26">
        <v>70</v>
      </c>
      <c r="F349" s="33">
        <v>20</v>
      </c>
      <c r="G349" s="34">
        <v>-1</v>
      </c>
      <c r="H349" s="34" t="s">
        <v>181</v>
      </c>
      <c r="I349" s="31">
        <v>45575</v>
      </c>
      <c r="J349" s="26">
        <v>2.75</v>
      </c>
      <c r="K349" s="24">
        <v>0.4501</v>
      </c>
      <c r="L349" s="33">
        <f>VLOOKUP(Table20[[#This Row],[Strategy]],Table29[#All],6,FALSE)</f>
        <v>-1</v>
      </c>
      <c r="M349" s="23">
        <v>20</v>
      </c>
      <c r="N349" s="23">
        <v>2.87</v>
      </c>
      <c r="O349" s="23"/>
      <c r="P349" s="23"/>
      <c r="Q349">
        <f>Table20[[#This Row],[Exit1]]*Table20[[#This Row],[ex1_price]]</f>
        <v>57.400000000000006</v>
      </c>
      <c r="R349">
        <f>Table20[[#This Row],[Exit2]]*Table20[[#This Row],[ex2_price]]</f>
        <v>0</v>
      </c>
      <c r="S349">
        <f>IFERROR((Table20[[#This Row],[ex2_amnt]]+Table20[[#This Row],[ex1_amnt]])/(Table20[[#This Row],[Exit2]]+Table20[[#This Row],[Exit1]]),0)</f>
        <v>2.87</v>
      </c>
      <c r="T349" s="5">
        <f>(Table20[[#This Row],[Exit1]]+Table20[[#This Row],[Exit2]])*(Table20[[#This Row],[avg_exit_price]]-Table20[[#This Row],[AvePrice]])*100*Table20[[#This Row],[Buy or Sell]]</f>
        <v>-240.00000000000023</v>
      </c>
      <c r="U349" s="5">
        <f>Table20[[#This Row],[Number of options]]*Table20[[#This Row],[AvePrice]]*100*Table20[[#This Row],[Buy or Sell]]</f>
        <v>-5500</v>
      </c>
      <c r="V349" s="8">
        <f>Table20[[#This Row],[Number of options]]-Table20[[#This Row],[Exit1]]-Table20[[#This Row],[Exit2]]</f>
        <v>0</v>
      </c>
      <c r="W349" s="30">
        <f ca="1">(Table20[[#This Row],[Expiration Date]]-TODAY())/365</f>
        <v>-1.4164383561643836</v>
      </c>
      <c r="X349" s="30" t="e">
        <f ca="1">(LN(Table20[[#This Row],[Current Price]]/Table20[[#This Row],[strike_price]]) + ($B$2 + (Table20[[#This Row],[Vol]]^2)/2)*Table20[[#This Row],[Time to expiration]]) / (Table20[[#This Row],[Vol]] * SQRT(Table20[[#This Row],[Time to expiration]]))</f>
        <v>#NUM!</v>
      </c>
      <c r="Y349" s="30" t="e">
        <f ca="1">IF(Table20[[#This Row],[Direction]]&gt;0, _xlfn.NORM.S.DIST(Table20[[#This Row],[d1]], TRUE), _xlfn.NORM.S.DIST(Table20[[#This Row],[d1]], TRUE) - 1) * Table20[[#This Row],[Buy or Sell]]</f>
        <v>#NUM!</v>
      </c>
      <c r="Z349" s="9">
        <f ca="1">Table20[[#This Row],[Remaining]]*Table20[[#This Row],[Current Price]]*100</f>
        <v>0</v>
      </c>
      <c r="AA349" s="22">
        <f ca="1">IFERROR(Table20[[#This Row],[nominal_exposure]]*Table20[[#This Row],[Delta]],0)</f>
        <v>0</v>
      </c>
      <c r="AB349" s="30" t="b">
        <f>IF(Table20[[#This Row],[date_purchased]]&lt;&gt;Table20[[#This Row],[Expiration Date]],FALSE,TRUE)</f>
        <v>0</v>
      </c>
      <c r="AC349" s="30" t="str">
        <f>VLOOKUP(Table20[[#This Row],[Asset]],Table19[#All],3,FALSE)</f>
        <v>Semiconductor</v>
      </c>
      <c r="AD349" s="30">
        <f>IF(Table20[[#This Row],[Remaining]]&lt;&gt;0,Table20[[#This Row],[Invested]]*Table20[[#This Row],[Remaining]]/Table20[[#This Row],[Number of options]],0)</f>
        <v>0</v>
      </c>
      <c r="AE349" s="30">
        <f ca="1">SUMIF(Table20[Ticker],Table20[[#This Row],[Ticker]],Table20[realized_profit])</f>
        <v>1055.92</v>
      </c>
      <c r="AF349" s="30" t="str">
        <f>VLOOKUP(Table20[[#This Row],[Strategy]],Table29[#All],7,FALSE)</f>
        <v>Bullish</v>
      </c>
    </row>
    <row r="350" spans="1:32" hidden="1">
      <c r="A350" s="180">
        <v>45590</v>
      </c>
      <c r="B350" s="21" t="e" vm="13">
        <v>#VALUE!</v>
      </c>
      <c r="C350" s="109" t="str" cm="1">
        <f t="array" aca="1" ref="C350" ca="1">_FV(Table20[[#This Row],[Asset]],"Ticker symbol",TRUE)</f>
        <v>ON</v>
      </c>
      <c r="D350" s="26" cm="1">
        <f t="array" aca="1" ref="D350" ca="1">_FV(Table20[[#This Row],[Asset]],"Price")</f>
        <v>63.68</v>
      </c>
      <c r="E350" s="26">
        <v>69</v>
      </c>
      <c r="F350" s="33">
        <v>20</v>
      </c>
      <c r="G350" s="34">
        <v>1</v>
      </c>
      <c r="H350" s="34" t="s">
        <v>181</v>
      </c>
      <c r="I350" s="31">
        <v>45575</v>
      </c>
      <c r="J350" s="26">
        <v>2.2799999999999998</v>
      </c>
      <c r="K350" s="24">
        <v>0.45440000000000003</v>
      </c>
      <c r="L350" s="33">
        <f>VLOOKUP(Table20[[#This Row],[Strategy]],Table29[#All],6,FALSE)</f>
        <v>-1</v>
      </c>
      <c r="M350" s="23">
        <v>20</v>
      </c>
      <c r="N350" s="23">
        <v>2.1800000000000002</v>
      </c>
      <c r="O350" s="23"/>
      <c r="P350" s="23"/>
      <c r="Q350">
        <f>Table20[[#This Row],[Exit1]]*Table20[[#This Row],[ex1_price]]</f>
        <v>43.6</v>
      </c>
      <c r="R350">
        <f>Table20[[#This Row],[Exit2]]*Table20[[#This Row],[ex2_price]]</f>
        <v>0</v>
      </c>
      <c r="S350">
        <f>IFERROR((Table20[[#This Row],[ex2_amnt]]+Table20[[#This Row],[ex1_amnt]])/(Table20[[#This Row],[Exit2]]+Table20[[#This Row],[Exit1]]),0)</f>
        <v>2.1800000000000002</v>
      </c>
      <c r="T350" s="5">
        <f>(Table20[[#This Row],[Exit1]]+Table20[[#This Row],[Exit2]])*(Table20[[#This Row],[avg_exit_price]]-Table20[[#This Row],[AvePrice]])*100*Table20[[#This Row],[Buy or Sell]]</f>
        <v>-199.99999999999929</v>
      </c>
      <c r="U350" s="5">
        <f>Table20[[#This Row],[Number of options]]*Table20[[#This Row],[AvePrice]]*100*Table20[[#This Row],[Buy or Sell]]</f>
        <v>4559.9999999999991</v>
      </c>
      <c r="V350" s="8">
        <f>Table20[[#This Row],[Number of options]]-Table20[[#This Row],[Exit1]]-Table20[[#This Row],[Exit2]]</f>
        <v>0</v>
      </c>
      <c r="W350" s="30">
        <f ca="1">(Table20[[#This Row],[Expiration Date]]-TODAY())/365</f>
        <v>-1.4164383561643836</v>
      </c>
      <c r="X350" s="30" t="e">
        <f ca="1">(LN(Table20[[#This Row],[Current Price]]/Table20[[#This Row],[strike_price]]) + ($B$2 + (Table20[[#This Row],[Vol]]^2)/2)*Table20[[#This Row],[Time to expiration]]) / (Table20[[#This Row],[Vol]] * SQRT(Table20[[#This Row],[Time to expiration]]))</f>
        <v>#NUM!</v>
      </c>
      <c r="Y350" s="30" t="e">
        <f ca="1">IF(Table20[[#This Row],[Direction]]&gt;0, _xlfn.NORM.S.DIST(Table20[[#This Row],[d1]], TRUE), _xlfn.NORM.S.DIST(Table20[[#This Row],[d1]], TRUE) - 1) * Table20[[#This Row],[Buy or Sell]]</f>
        <v>#NUM!</v>
      </c>
      <c r="Z350" s="9">
        <f ca="1">Table20[[#This Row],[Remaining]]*Table20[[#This Row],[Current Price]]*100</f>
        <v>0</v>
      </c>
      <c r="AA350" s="22">
        <f ca="1">IFERROR(Table20[[#This Row],[nominal_exposure]]*Table20[[#This Row],[Delta]],0)</f>
        <v>0</v>
      </c>
      <c r="AB350" s="30" t="b">
        <f>IF(Table20[[#This Row],[date_purchased]]&lt;&gt;Table20[[#This Row],[Expiration Date]],FALSE,TRUE)</f>
        <v>0</v>
      </c>
      <c r="AC350" s="30" t="str">
        <f>VLOOKUP(Table20[[#This Row],[Asset]],Table19[#All],3,FALSE)</f>
        <v>Semiconductor</v>
      </c>
      <c r="AD350" s="30">
        <f>IF(Table20[[#This Row],[Remaining]]&lt;&gt;0,Table20[[#This Row],[Invested]]*Table20[[#This Row],[Remaining]]/Table20[[#This Row],[Number of options]],0)</f>
        <v>0</v>
      </c>
      <c r="AE350" s="30">
        <f ca="1">SUMIF(Table20[Ticker],Table20[[#This Row],[Ticker]],Table20[realized_profit])</f>
        <v>1055.92</v>
      </c>
      <c r="AF350" s="30" t="str">
        <f>VLOOKUP(Table20[[#This Row],[Strategy]],Table29[#All],7,FALSE)</f>
        <v>Bullish</v>
      </c>
    </row>
    <row r="351" spans="1:32" hidden="1">
      <c r="A351" s="180">
        <v>45597</v>
      </c>
      <c r="B351" s="21" t="e" vm="165">
        <v>#VALUE!</v>
      </c>
      <c r="C351" s="109" t="str" cm="1">
        <f t="array" aca="1" ref="C351" ca="1">_FV(Table20[[#This Row],[Asset]],"Ticker symbol",TRUE)</f>
        <v>NET</v>
      </c>
      <c r="D351" s="26" cm="1">
        <f t="array" aca="1" ref="D351" ca="1">_FV(Table20[[#This Row],[Asset]],"Price")</f>
        <v>223.83</v>
      </c>
      <c r="E351" s="26">
        <v>87</v>
      </c>
      <c r="F351" s="33">
        <v>2</v>
      </c>
      <c r="G351" s="34">
        <v>1</v>
      </c>
      <c r="H351" s="34" t="s">
        <v>65</v>
      </c>
      <c r="I351" s="31">
        <v>45590</v>
      </c>
      <c r="J351" s="26">
        <v>1.18</v>
      </c>
      <c r="K351" s="24">
        <v>0.46200000000000002</v>
      </c>
      <c r="L351" s="33">
        <f>VLOOKUP(Table20[[#This Row],[Strategy]],Table29[#All],6,FALSE)</f>
        <v>-1</v>
      </c>
      <c r="M351" s="23">
        <v>2</v>
      </c>
      <c r="N351" s="23">
        <v>0.19</v>
      </c>
      <c r="O351" s="23"/>
      <c r="P351" s="23"/>
      <c r="Q351">
        <f>Table20[[#This Row],[Exit1]]*Table20[[#This Row],[ex1_price]]</f>
        <v>0.38</v>
      </c>
      <c r="R351">
        <f>Table20[[#This Row],[Exit2]]*Table20[[#This Row],[ex2_price]]</f>
        <v>0</v>
      </c>
      <c r="S351">
        <f>IFERROR((Table20[[#This Row],[ex2_amnt]]+Table20[[#This Row],[ex1_amnt]])/(Table20[[#This Row],[Exit2]]+Table20[[#This Row],[Exit1]]),0)</f>
        <v>0.19</v>
      </c>
      <c r="T351" s="5">
        <f>(Table20[[#This Row],[Exit1]]+Table20[[#This Row],[Exit2]])*(Table20[[#This Row],[avg_exit_price]]-Table20[[#This Row],[AvePrice]])*100*Table20[[#This Row],[Buy or Sell]]</f>
        <v>-198</v>
      </c>
      <c r="U351" s="5">
        <f>Table20[[#This Row],[Number of options]]*Table20[[#This Row],[AvePrice]]*100*Table20[[#This Row],[Buy or Sell]]</f>
        <v>236</v>
      </c>
      <c r="V351" s="8">
        <f>Table20[[#This Row],[Number of options]]-Table20[[#This Row],[Exit1]]-Table20[[#This Row],[Exit2]]</f>
        <v>0</v>
      </c>
      <c r="W351" s="30">
        <f ca="1">(Table20[[#This Row],[Expiration Date]]-TODAY())/365</f>
        <v>-1.3972602739726028</v>
      </c>
      <c r="X351" s="30" t="e">
        <f ca="1">(LN(Table20[[#This Row],[Current Price]]/Table20[[#This Row],[strike_price]]) + ($B$2 + (Table20[[#This Row],[Vol]]^2)/2)*Table20[[#This Row],[Time to expiration]]) / (Table20[[#This Row],[Vol]] * SQRT(Table20[[#This Row],[Time to expiration]]))</f>
        <v>#NUM!</v>
      </c>
      <c r="Y351" s="30" t="e">
        <f ca="1">IF(Table20[[#This Row],[Direction]]&gt;0, _xlfn.NORM.S.DIST(Table20[[#This Row],[d1]], TRUE), _xlfn.NORM.S.DIST(Table20[[#This Row],[d1]], TRUE) - 1) * Table20[[#This Row],[Buy or Sell]]</f>
        <v>#NUM!</v>
      </c>
      <c r="Z351" s="9">
        <f ca="1">Table20[[#This Row],[Remaining]]*Table20[[#This Row],[Current Price]]*100</f>
        <v>0</v>
      </c>
      <c r="AA351" s="22">
        <f ca="1">IFERROR(Table20[[#This Row],[nominal_exposure]]*Table20[[#This Row],[Delta]],0)</f>
        <v>0</v>
      </c>
      <c r="AB351" s="30" t="b">
        <f>IF(Table20[[#This Row],[date_purchased]]&lt;&gt;Table20[[#This Row],[Expiration Date]],FALSE,TRUE)</f>
        <v>0</v>
      </c>
      <c r="AC351" s="30" t="str">
        <f>VLOOKUP(Table20[[#This Row],[Asset]],Table19[#All],3,FALSE)</f>
        <v>Technology</v>
      </c>
      <c r="AD351" s="30">
        <f>IF(Table20[[#This Row],[Remaining]]&lt;&gt;0,Table20[[#This Row],[Invested]]*Table20[[#This Row],[Remaining]]/Table20[[#This Row],[Number of options]],0)</f>
        <v>0</v>
      </c>
      <c r="AE351" s="30">
        <f ca="1">SUMIF(Table20[Ticker],Table20[[#This Row],[Ticker]],Table20[realized_profit])</f>
        <v>78.000000000000057</v>
      </c>
      <c r="AF351" s="30" t="str">
        <f>VLOOKUP(Table20[[#This Row],[Strategy]],Table29[#All],7,FALSE)</f>
        <v>Bearish</v>
      </c>
    </row>
    <row r="352" spans="1:32" hidden="1">
      <c r="A352" s="180">
        <v>45597</v>
      </c>
      <c r="B352" s="21" t="e" vm="64">
        <v>#VALUE!</v>
      </c>
      <c r="C352" s="109" t="str" cm="1">
        <f t="array" aca="1" ref="C352" ca="1">_FV(Table20[[#This Row],[Asset]],"Ticker symbol",TRUE)</f>
        <v>LULU</v>
      </c>
      <c r="D352" s="26" cm="1">
        <f t="array" aca="1" ref="D352" ca="1">_FV(Table20[[#This Row],[Asset]],"Price")</f>
        <v>159.22</v>
      </c>
      <c r="E352" s="26">
        <v>300</v>
      </c>
      <c r="F352" s="33">
        <v>1</v>
      </c>
      <c r="G352" s="34">
        <v>-1</v>
      </c>
      <c r="H352" s="34" t="s">
        <v>159</v>
      </c>
      <c r="I352" s="31">
        <v>45590</v>
      </c>
      <c r="J352" s="26">
        <v>8.2100000000000009</v>
      </c>
      <c r="K352" s="24">
        <v>0.44</v>
      </c>
      <c r="L352" s="33">
        <f>VLOOKUP(Table20[[#This Row],[Strategy]],Table29[#All],6,FALSE)</f>
        <v>1</v>
      </c>
      <c r="M352" s="23">
        <v>1</v>
      </c>
      <c r="N352" s="23">
        <v>5</v>
      </c>
      <c r="O352" s="23"/>
      <c r="P352" s="23"/>
      <c r="Q352">
        <f>Table20[[#This Row],[Exit1]]*Table20[[#This Row],[ex1_price]]</f>
        <v>5</v>
      </c>
      <c r="R352">
        <f>Table20[[#This Row],[Exit2]]*Table20[[#This Row],[ex2_price]]</f>
        <v>0</v>
      </c>
      <c r="S352">
        <f>IFERROR((Table20[[#This Row],[ex2_amnt]]+Table20[[#This Row],[ex1_amnt]])/(Table20[[#This Row],[Exit2]]+Table20[[#This Row],[Exit1]]),0)</f>
        <v>5</v>
      </c>
      <c r="T352" s="5">
        <f>(Table20[[#This Row],[Exit1]]+Table20[[#This Row],[Exit2]])*(Table20[[#This Row],[avg_exit_price]]-Table20[[#This Row],[AvePrice]])*100*Table20[[#This Row],[Buy or Sell]]</f>
        <v>321.00000000000011</v>
      </c>
      <c r="U352" s="5">
        <f>Table20[[#This Row],[Number of options]]*Table20[[#This Row],[AvePrice]]*100*Table20[[#This Row],[Buy or Sell]]</f>
        <v>-821.00000000000011</v>
      </c>
      <c r="V352" s="8">
        <f>Table20[[#This Row],[Number of options]]-Table20[[#This Row],[Exit1]]-Table20[[#This Row],[Exit2]]</f>
        <v>0</v>
      </c>
      <c r="W352" s="30">
        <f ca="1">(Table20[[#This Row],[Expiration Date]]-TODAY())/365</f>
        <v>-1.3972602739726028</v>
      </c>
      <c r="X352" s="30" t="e">
        <f ca="1">(LN(Table20[[#This Row],[Current Price]]/Table20[[#This Row],[strike_price]]) + ($B$2 + (Table20[[#This Row],[Vol]]^2)/2)*Table20[[#This Row],[Time to expiration]]) / (Table20[[#This Row],[Vol]] * SQRT(Table20[[#This Row],[Time to expiration]]))</f>
        <v>#NUM!</v>
      </c>
      <c r="Y352" s="30" t="e">
        <f ca="1">IF(Table20[[#This Row],[Direction]]&gt;0, _xlfn.NORM.S.DIST(Table20[[#This Row],[d1]], TRUE), _xlfn.NORM.S.DIST(Table20[[#This Row],[d1]], TRUE) - 1) * Table20[[#This Row],[Buy or Sell]]</f>
        <v>#NUM!</v>
      </c>
      <c r="Z352" s="9">
        <f ca="1">Table20[[#This Row],[Remaining]]*Table20[[#This Row],[Current Price]]*100</f>
        <v>0</v>
      </c>
      <c r="AA352" s="22">
        <f ca="1">IFERROR(Table20[[#This Row],[nominal_exposure]]*Table20[[#This Row],[Delta]],0)</f>
        <v>0</v>
      </c>
      <c r="AB352" s="30" t="b">
        <f>IF(Table20[[#This Row],[date_purchased]]&lt;&gt;Table20[[#This Row],[Expiration Date]],FALSE,TRUE)</f>
        <v>0</v>
      </c>
      <c r="AC352" s="30" t="str">
        <f>VLOOKUP(Table20[[#This Row],[Asset]],Table19[#All],3,FALSE)</f>
        <v>Consumer Discretionary</v>
      </c>
      <c r="AD352" s="30">
        <f>IF(Table20[[#This Row],[Remaining]]&lt;&gt;0,Table20[[#This Row],[Invested]]*Table20[[#This Row],[Remaining]]/Table20[[#This Row],[Number of options]],0)</f>
        <v>0</v>
      </c>
      <c r="AE352" s="30">
        <f ca="1">SUMIF(Table20[Ticker],Table20[[#This Row],[Ticker]],Table20[realized_profit])</f>
        <v>-1317.0000000000002</v>
      </c>
      <c r="AF352" s="30" t="str">
        <f>VLOOKUP(Table20[[#This Row],[Strategy]],Table29[#All],7,FALSE)</f>
        <v>Bearish</v>
      </c>
    </row>
    <row r="353" spans="1:32" hidden="1">
      <c r="A353" s="180">
        <v>45597</v>
      </c>
      <c r="B353" s="21" t="e" vm="135">
        <v>#VALUE!</v>
      </c>
      <c r="C353" s="109" t="str" cm="1">
        <f t="array" aca="1" ref="C353" ca="1">_FV(Table20[[#This Row],[Asset]],"Ticker symbol",TRUE)</f>
        <v>CRM</v>
      </c>
      <c r="D353" s="26" cm="1">
        <f t="array" aca="1" ref="D353" ca="1">_FV(Table20[[#This Row],[Asset]],"Price")</f>
        <v>183.79</v>
      </c>
      <c r="E353" s="26">
        <v>280</v>
      </c>
      <c r="F353" s="33">
        <v>2</v>
      </c>
      <c r="G353" s="34">
        <v>1</v>
      </c>
      <c r="H353" s="34" t="s">
        <v>65</v>
      </c>
      <c r="I353" s="31">
        <v>45596</v>
      </c>
      <c r="J353" s="26">
        <v>0.21</v>
      </c>
      <c r="K353" s="24">
        <v>0.48</v>
      </c>
      <c r="L353" s="33">
        <f>VLOOKUP(Table20[[#This Row],[Strategy]],Table29[#All],6,FALSE)</f>
        <v>-1</v>
      </c>
      <c r="M353" s="23">
        <v>2</v>
      </c>
      <c r="N353" s="23">
        <v>0</v>
      </c>
      <c r="O353" s="23"/>
      <c r="P353" s="23"/>
      <c r="Q353">
        <f>Table20[[#This Row],[Exit1]]*Table20[[#This Row],[ex1_price]]</f>
        <v>0</v>
      </c>
      <c r="R353">
        <f>Table20[[#This Row],[Exit2]]*Table20[[#This Row],[ex2_price]]</f>
        <v>0</v>
      </c>
      <c r="S353">
        <f>IFERROR((Table20[[#This Row],[ex2_amnt]]+Table20[[#This Row],[ex1_amnt]])/(Table20[[#This Row],[Exit2]]+Table20[[#This Row],[Exit1]]),0)</f>
        <v>0</v>
      </c>
      <c r="T353" s="5">
        <f>(Table20[[#This Row],[Exit1]]+Table20[[#This Row],[Exit2]])*(Table20[[#This Row],[avg_exit_price]]-Table20[[#This Row],[AvePrice]])*100*Table20[[#This Row],[Buy or Sell]]</f>
        <v>-42</v>
      </c>
      <c r="U353" s="5">
        <f>Table20[[#This Row],[Number of options]]*Table20[[#This Row],[AvePrice]]*100*Table20[[#This Row],[Buy or Sell]]</f>
        <v>42</v>
      </c>
      <c r="V353" s="8">
        <f>Table20[[#This Row],[Number of options]]-Table20[[#This Row],[Exit1]]-Table20[[#This Row],[Exit2]]</f>
        <v>0</v>
      </c>
      <c r="W353" s="30">
        <f ca="1">(Table20[[#This Row],[Expiration Date]]-TODAY())/365</f>
        <v>-1.3972602739726028</v>
      </c>
      <c r="X353" s="30" t="e">
        <f ca="1">(LN(Table20[[#This Row],[Current Price]]/Table20[[#This Row],[strike_price]]) + ($B$2 + (Table20[[#This Row],[Vol]]^2)/2)*Table20[[#This Row],[Time to expiration]]) / (Table20[[#This Row],[Vol]] * SQRT(Table20[[#This Row],[Time to expiration]]))</f>
        <v>#NUM!</v>
      </c>
      <c r="Y353" s="30" t="e">
        <f ca="1">IF(Table20[[#This Row],[Direction]]&gt;0, _xlfn.NORM.S.DIST(Table20[[#This Row],[d1]], TRUE), _xlfn.NORM.S.DIST(Table20[[#This Row],[d1]], TRUE) - 1) * Table20[[#This Row],[Buy or Sell]]</f>
        <v>#NUM!</v>
      </c>
      <c r="Z353" s="9">
        <f ca="1">Table20[[#This Row],[Remaining]]*Table20[[#This Row],[Current Price]]*100</f>
        <v>0</v>
      </c>
      <c r="AA353" s="22">
        <f ca="1">IFERROR(Table20[[#This Row],[nominal_exposure]]*Table20[[#This Row],[Delta]],0)</f>
        <v>0</v>
      </c>
      <c r="AB353" s="30" t="b">
        <f>IF(Table20[[#This Row],[date_purchased]]&lt;&gt;Table20[[#This Row],[Expiration Date]],FALSE,TRUE)</f>
        <v>0</v>
      </c>
      <c r="AC353" s="30" t="str">
        <f>VLOOKUP(Table20[[#This Row],[Asset]],Table19[#All],3,FALSE)</f>
        <v>Technology</v>
      </c>
      <c r="AD353" s="30">
        <f>IF(Table20[[#This Row],[Remaining]]&lt;&gt;0,Table20[[#This Row],[Invested]]*Table20[[#This Row],[Remaining]]/Table20[[#This Row],[Number of options]],0)</f>
        <v>0</v>
      </c>
      <c r="AE353" s="30">
        <f ca="1">SUMIF(Table20[Ticker],Table20[[#This Row],[Ticker]],Table20[realized_profit])</f>
        <v>-606</v>
      </c>
      <c r="AF353" s="30" t="str">
        <f>VLOOKUP(Table20[[#This Row],[Strategy]],Table29[#All],7,FALSE)</f>
        <v>Bearish</v>
      </c>
    </row>
    <row r="354" spans="1:32" hidden="1">
      <c r="A354" s="180">
        <v>45590</v>
      </c>
      <c r="B354" s="21" t="e" vm="24">
        <v>#VALUE!</v>
      </c>
      <c r="C354" s="109" t="str" cm="1">
        <f t="array" aca="1" ref="C354" ca="1">_FV(Table20[[#This Row],[Asset]],"Ticker symbol",TRUE)</f>
        <v>QCOM</v>
      </c>
      <c r="D354" s="26" cm="1">
        <f t="array" aca="1" ref="D354" ca="1">_FV(Table20[[#This Row],[Asset]],"Price")</f>
        <v>131.63499999999999</v>
      </c>
      <c r="E354" s="26">
        <v>170</v>
      </c>
      <c r="F354" s="33">
        <v>1</v>
      </c>
      <c r="G354" s="34">
        <v>1</v>
      </c>
      <c r="H354" s="34" t="s">
        <v>114</v>
      </c>
      <c r="I354" s="31">
        <v>45569</v>
      </c>
      <c r="J354" s="26">
        <v>5.09</v>
      </c>
      <c r="K354" s="24"/>
      <c r="L354" s="33">
        <f>VLOOKUP(Table20[[#This Row],[Strategy]],Table29[#All],6,FALSE)</f>
        <v>1</v>
      </c>
      <c r="M354" s="23">
        <v>1</v>
      </c>
      <c r="N354" s="23">
        <v>9.8800000000000008</v>
      </c>
      <c r="O354" s="23"/>
      <c r="P354" s="23"/>
      <c r="Q354">
        <f>Table20[[#This Row],[Exit1]]*Table20[[#This Row],[ex1_price]]</f>
        <v>9.8800000000000008</v>
      </c>
      <c r="R354">
        <f>Table20[[#This Row],[Exit2]]*Table20[[#This Row],[ex2_price]]</f>
        <v>0</v>
      </c>
      <c r="S354">
        <f>IFERROR((Table20[[#This Row],[ex2_amnt]]+Table20[[#This Row],[ex1_amnt]])/(Table20[[#This Row],[Exit2]]+Table20[[#This Row],[Exit1]]),0)</f>
        <v>9.8800000000000008</v>
      </c>
      <c r="T354" s="5">
        <f>(Table20[[#This Row],[Exit1]]+Table20[[#This Row],[Exit2]])*(Table20[[#This Row],[avg_exit_price]]-Table20[[#This Row],[AvePrice]])*100*Table20[[#This Row],[Buy or Sell]]</f>
        <v>479.00000000000011</v>
      </c>
      <c r="U354" s="5">
        <f>Table20[[#This Row],[Number of options]]*Table20[[#This Row],[AvePrice]]*100*Table20[[#This Row],[Buy or Sell]]</f>
        <v>509</v>
      </c>
      <c r="V354" s="8">
        <f>Table20[[#This Row],[Number of options]]-Table20[[#This Row],[Exit1]]-Table20[[#This Row],[Exit2]]</f>
        <v>0</v>
      </c>
      <c r="W354" s="30">
        <f ca="1">(Table20[[#This Row],[Expiration Date]]-TODAY())/365</f>
        <v>-1.4164383561643836</v>
      </c>
      <c r="X354" s="30" t="e">
        <f ca="1">(LN(Table20[[#This Row],[Current Price]]/Table20[[#This Row],[strike_price]]) + ($B$2 + (Table20[[#This Row],[Vol]]^2)/2)*Table20[[#This Row],[Time to expiration]]) / (Table20[[#This Row],[Vol]] * SQRT(Table20[[#This Row],[Time to expiration]]))</f>
        <v>#NUM!</v>
      </c>
      <c r="Y354" s="30" t="e">
        <f ca="1">IF(Table20[[#This Row],[Direction]]&gt;0, _xlfn.NORM.S.DIST(Table20[[#This Row],[d1]], TRUE), _xlfn.NORM.S.DIST(Table20[[#This Row],[d1]], TRUE) - 1) * Table20[[#This Row],[Buy or Sell]]</f>
        <v>#NUM!</v>
      </c>
      <c r="Z354" s="9">
        <f ca="1">Table20[[#This Row],[Remaining]]*Table20[[#This Row],[Current Price]]*100</f>
        <v>0</v>
      </c>
      <c r="AA354" s="22">
        <f ca="1">IFERROR(Table20[[#This Row],[nominal_exposure]]*Table20[[#This Row],[Delta]],0)</f>
        <v>0</v>
      </c>
      <c r="AB354" s="30" t="b">
        <f>IF(Table20[[#This Row],[date_purchased]]&lt;&gt;Table20[[#This Row],[Expiration Date]],FALSE,TRUE)</f>
        <v>0</v>
      </c>
      <c r="AC354" s="30" t="str">
        <f>VLOOKUP(Table20[[#This Row],[Asset]],Table19[#All],3,FALSE)</f>
        <v>AI</v>
      </c>
      <c r="AD354" s="30">
        <f>IF(Table20[[#This Row],[Remaining]]&lt;&gt;0,Table20[[#This Row],[Invested]]*Table20[[#This Row],[Remaining]]/Table20[[#This Row],[Number of options]],0)</f>
        <v>0</v>
      </c>
      <c r="AE354" s="30">
        <f ca="1">SUMIF(Table20[Ticker],Table20[[#This Row],[Ticker]],Table20[realized_profit])</f>
        <v>-2175.9999999999995</v>
      </c>
      <c r="AF354" s="30" t="str">
        <f>VLOOKUP(Table20[[#This Row],[Strategy]],Table29[#All],7,FALSE)</f>
        <v>Bullish</v>
      </c>
    </row>
    <row r="355" spans="1:32" hidden="1">
      <c r="A355" s="180">
        <v>45590</v>
      </c>
      <c r="B355" s="21" t="e" vm="24">
        <v>#VALUE!</v>
      </c>
      <c r="C355" s="109" t="str" cm="1">
        <f t="array" aca="1" ref="C355" ca="1">_FV(Table20[[#This Row],[Asset]],"Ticker symbol",TRUE)</f>
        <v>QCOM</v>
      </c>
      <c r="D355" s="26" cm="1">
        <f t="array" aca="1" ref="D355" ca="1">_FV(Table20[[#This Row],[Asset]],"Price")</f>
        <v>131.63499999999999</v>
      </c>
      <c r="E355" s="26">
        <v>185</v>
      </c>
      <c r="F355" s="33">
        <v>1</v>
      </c>
      <c r="G355" s="34">
        <v>-1</v>
      </c>
      <c r="H355" s="34" t="s">
        <v>114</v>
      </c>
      <c r="I355" s="31">
        <v>45569</v>
      </c>
      <c r="J355" s="26">
        <v>0.95</v>
      </c>
      <c r="K355" s="24"/>
      <c r="L355" s="33">
        <f>VLOOKUP(Table20[[#This Row],[Strategy]],Table29[#All],6,FALSE)</f>
        <v>1</v>
      </c>
      <c r="M355" s="23">
        <v>1</v>
      </c>
      <c r="N355" s="23">
        <v>1.75</v>
      </c>
      <c r="O355" s="23"/>
      <c r="P355" s="23"/>
      <c r="Q355">
        <f>Table20[[#This Row],[Exit1]]*Table20[[#This Row],[ex1_price]]</f>
        <v>1.75</v>
      </c>
      <c r="R355">
        <f>Table20[[#This Row],[Exit2]]*Table20[[#This Row],[ex2_price]]</f>
        <v>0</v>
      </c>
      <c r="S355">
        <f>IFERROR((Table20[[#This Row],[ex2_amnt]]+Table20[[#This Row],[ex1_amnt]])/(Table20[[#This Row],[Exit2]]+Table20[[#This Row],[Exit1]]),0)</f>
        <v>1.75</v>
      </c>
      <c r="T355" s="5">
        <f>(Table20[[#This Row],[Exit1]]+Table20[[#This Row],[Exit2]])*(Table20[[#This Row],[avg_exit_price]]-Table20[[#This Row],[AvePrice]])*100*Table20[[#This Row],[Buy or Sell]]</f>
        <v>-80</v>
      </c>
      <c r="U355" s="5">
        <f>Table20[[#This Row],[Number of options]]*Table20[[#This Row],[AvePrice]]*100*Table20[[#This Row],[Buy or Sell]]</f>
        <v>-95</v>
      </c>
      <c r="V355" s="8">
        <f>Table20[[#This Row],[Number of options]]-Table20[[#This Row],[Exit1]]-Table20[[#This Row],[Exit2]]</f>
        <v>0</v>
      </c>
      <c r="W355" s="30">
        <f ca="1">(Table20[[#This Row],[Expiration Date]]-TODAY())/365</f>
        <v>-1.4164383561643836</v>
      </c>
      <c r="X355" s="30" t="e">
        <f ca="1">(LN(Table20[[#This Row],[Current Price]]/Table20[[#This Row],[strike_price]]) + ($B$2 + (Table20[[#This Row],[Vol]]^2)/2)*Table20[[#This Row],[Time to expiration]]) / (Table20[[#This Row],[Vol]] * SQRT(Table20[[#This Row],[Time to expiration]]))</f>
        <v>#NUM!</v>
      </c>
      <c r="Y355" s="30" t="e">
        <f ca="1">IF(Table20[[#This Row],[Direction]]&gt;0, _xlfn.NORM.S.DIST(Table20[[#This Row],[d1]], TRUE), _xlfn.NORM.S.DIST(Table20[[#This Row],[d1]], TRUE) - 1) * Table20[[#This Row],[Buy or Sell]]</f>
        <v>#NUM!</v>
      </c>
      <c r="Z355" s="9">
        <f ca="1">Table20[[#This Row],[Remaining]]*Table20[[#This Row],[Current Price]]*100</f>
        <v>0</v>
      </c>
      <c r="AA355" s="22">
        <f ca="1">IFERROR(Table20[[#This Row],[nominal_exposure]]*Table20[[#This Row],[Delta]],0)</f>
        <v>0</v>
      </c>
      <c r="AB355" s="30" t="b">
        <f>IF(Table20[[#This Row],[date_purchased]]&lt;&gt;Table20[[#This Row],[Expiration Date]],FALSE,TRUE)</f>
        <v>0</v>
      </c>
      <c r="AC355" s="30" t="str">
        <f>VLOOKUP(Table20[[#This Row],[Asset]],Table19[#All],3,FALSE)</f>
        <v>AI</v>
      </c>
      <c r="AD355" s="30">
        <f>IF(Table20[[#This Row],[Remaining]]&lt;&gt;0,Table20[[#This Row],[Invested]]*Table20[[#This Row],[Remaining]]/Table20[[#This Row],[Number of options]],0)</f>
        <v>0</v>
      </c>
      <c r="AE355" s="30">
        <f ca="1">SUMIF(Table20[Ticker],Table20[[#This Row],[Ticker]],Table20[realized_profit])</f>
        <v>-2175.9999999999995</v>
      </c>
      <c r="AF355" s="30" t="str">
        <f>VLOOKUP(Table20[[#This Row],[Strategy]],Table29[#All],7,FALSE)</f>
        <v>Bullish</v>
      </c>
    </row>
    <row r="356" spans="1:32" hidden="1">
      <c r="A356" s="180">
        <v>45597</v>
      </c>
      <c r="B356" s="21" t="e" vm="80">
        <v>#VALUE!</v>
      </c>
      <c r="C356" s="109" t="str" cm="1">
        <f t="array" aca="1" ref="C356" ca="1">_FV(Table20[[#This Row],[Asset]],"Ticker symbol",TRUE)</f>
        <v>PYPL</v>
      </c>
      <c r="D356" s="26" cm="1">
        <f t="array" aca="1" ref="D356" ca="1">_FV(Table20[[#This Row],[Asset]],"Price")</f>
        <v>45.11</v>
      </c>
      <c r="E356" s="26">
        <v>78</v>
      </c>
      <c r="F356" s="33">
        <v>3</v>
      </c>
      <c r="G356" s="34">
        <v>1</v>
      </c>
      <c r="H356" s="34" t="s">
        <v>65</v>
      </c>
      <c r="I356" s="31">
        <v>45596</v>
      </c>
      <c r="J356" s="26">
        <v>0.37</v>
      </c>
      <c r="K356" s="24">
        <v>0.376</v>
      </c>
      <c r="L356" s="33">
        <f>VLOOKUP(Table20[[#This Row],[Strategy]],Table29[#All],6,FALSE)</f>
        <v>-1</v>
      </c>
      <c r="M356" s="23">
        <v>3</v>
      </c>
      <c r="N356" s="23">
        <v>0.23</v>
      </c>
      <c r="O356" s="23"/>
      <c r="P356" s="23"/>
      <c r="Q356">
        <f>Table20[[#This Row],[Exit1]]*Table20[[#This Row],[ex1_price]]</f>
        <v>0.69000000000000006</v>
      </c>
      <c r="R356">
        <f>Table20[[#This Row],[Exit2]]*Table20[[#This Row],[ex2_price]]</f>
        <v>0</v>
      </c>
      <c r="S356">
        <f>IFERROR((Table20[[#This Row],[ex2_amnt]]+Table20[[#This Row],[ex1_amnt]])/(Table20[[#This Row],[Exit2]]+Table20[[#This Row],[Exit1]]),0)</f>
        <v>0.23</v>
      </c>
      <c r="T356" s="5">
        <f>(Table20[[#This Row],[Exit1]]+Table20[[#This Row],[Exit2]])*(Table20[[#This Row],[avg_exit_price]]-Table20[[#This Row],[AvePrice]])*100*Table20[[#This Row],[Buy or Sell]]</f>
        <v>-41.999999999999993</v>
      </c>
      <c r="U356" s="5">
        <f>Table20[[#This Row],[Number of options]]*Table20[[#This Row],[AvePrice]]*100*Table20[[#This Row],[Buy or Sell]]</f>
        <v>110.99999999999999</v>
      </c>
      <c r="V356" s="8">
        <f>Table20[[#This Row],[Number of options]]-Table20[[#This Row],[Exit1]]-Table20[[#This Row],[Exit2]]</f>
        <v>0</v>
      </c>
      <c r="W356" s="30">
        <f ca="1">(Table20[[#This Row],[Expiration Date]]-TODAY())/365</f>
        <v>-1.3972602739726028</v>
      </c>
      <c r="X356" s="30" t="e">
        <f ca="1">(LN(Table20[[#This Row],[Current Price]]/Table20[[#This Row],[strike_price]]) + ($B$2 + (Table20[[#This Row],[Vol]]^2)/2)*Table20[[#This Row],[Time to expiration]]) / (Table20[[#This Row],[Vol]] * SQRT(Table20[[#This Row],[Time to expiration]]))</f>
        <v>#NUM!</v>
      </c>
      <c r="Y356" s="30" t="e">
        <f ca="1">IF(Table20[[#This Row],[Direction]]&gt;0, _xlfn.NORM.S.DIST(Table20[[#This Row],[d1]], TRUE), _xlfn.NORM.S.DIST(Table20[[#This Row],[d1]], TRUE) - 1) * Table20[[#This Row],[Buy or Sell]]</f>
        <v>#NUM!</v>
      </c>
      <c r="Z356" s="9">
        <f ca="1">Table20[[#This Row],[Remaining]]*Table20[[#This Row],[Current Price]]*100</f>
        <v>0</v>
      </c>
      <c r="AA356" s="22">
        <f ca="1">IFERROR(Table20[[#This Row],[nominal_exposure]]*Table20[[#This Row],[Delta]],0)</f>
        <v>0</v>
      </c>
      <c r="AB356" s="30" t="b">
        <f>IF(Table20[[#This Row],[date_purchased]]&lt;&gt;Table20[[#This Row],[Expiration Date]],FALSE,TRUE)</f>
        <v>0</v>
      </c>
      <c r="AC356" s="30" t="str">
        <f>VLOOKUP(Table20[[#This Row],[Asset]],Table19[#All],3,FALSE)</f>
        <v>Financials</v>
      </c>
      <c r="AD356" s="30">
        <f>IF(Table20[[#This Row],[Remaining]]&lt;&gt;0,Table20[[#This Row],[Invested]]*Table20[[#This Row],[Remaining]]/Table20[[#This Row],[Number of options]],0)</f>
        <v>0</v>
      </c>
      <c r="AE356" s="30">
        <f ca="1">SUMIF(Table20[Ticker],Table20[[#This Row],[Ticker]],Table20[realized_profit])</f>
        <v>208.99999999999997</v>
      </c>
      <c r="AF356" s="30" t="str">
        <f>VLOOKUP(Table20[[#This Row],[Strategy]],Table29[#All],7,FALSE)</f>
        <v>Bearish</v>
      </c>
    </row>
    <row r="357" spans="1:32" hidden="1">
      <c r="A357" s="118">
        <v>45513</v>
      </c>
      <c r="B357" s="21" t="e" vm="96">
        <v>#VALUE!</v>
      </c>
      <c r="C357" s="109" t="str" cm="1">
        <f t="array" aca="1" ref="C357" ca="1">_FV(Table20[[#This Row],[Asset]],"Ticker symbol",TRUE)</f>
        <v>SPY</v>
      </c>
      <c r="D357" s="26" cm="1">
        <f t="array" aca="1" ref="D357" ca="1">_FV(Table20[[#This Row],[Asset]],"Price")</f>
        <v>658.59</v>
      </c>
      <c r="E357" s="26">
        <v>500</v>
      </c>
      <c r="F357" s="33">
        <v>2</v>
      </c>
      <c r="G357" s="34">
        <v>-1</v>
      </c>
      <c r="H357" s="34" t="s">
        <v>161</v>
      </c>
      <c r="I357" s="31">
        <v>45506</v>
      </c>
      <c r="J357" s="26">
        <v>1.18</v>
      </c>
      <c r="K357" s="24">
        <v>0.34639999999999999</v>
      </c>
      <c r="L357" s="33">
        <f>VLOOKUP(Table20[[#This Row],[Strategy]],Table29[#All],6,FALSE)</f>
        <v>-1</v>
      </c>
      <c r="M357" s="23">
        <v>2</v>
      </c>
      <c r="N357" s="23">
        <v>0.01</v>
      </c>
      <c r="O357" s="23"/>
      <c r="P357" s="23"/>
      <c r="Q357">
        <f>Table20[[#This Row],[Exit1]]*Table20[[#This Row],[ex1_price]]</f>
        <v>0.02</v>
      </c>
      <c r="R357">
        <f>Table20[[#This Row],[Exit2]]*Table20[[#This Row],[ex2_price]]</f>
        <v>0</v>
      </c>
      <c r="S357">
        <f>IFERROR((Table20[[#This Row],[ex2_amnt]]+Table20[[#This Row],[ex1_amnt]])/(Table20[[#This Row],[Exit2]]+Table20[[#This Row],[Exit1]]),0)</f>
        <v>0.01</v>
      </c>
      <c r="T357" s="5">
        <f>(Table20[[#This Row],[Exit1]]+Table20[[#This Row],[Exit2]])*(Table20[[#This Row],[avg_exit_price]]-Table20[[#This Row],[AvePrice]])*100*Table20[[#This Row],[Buy or Sell]]</f>
        <v>234</v>
      </c>
      <c r="U357" s="5">
        <f>Table20[[#This Row],[Number of options]]*Table20[[#This Row],[AvePrice]]*100*Table20[[#This Row],[Buy or Sell]]</f>
        <v>-236</v>
      </c>
      <c r="V357" s="8">
        <f>Table20[[#This Row],[Number of options]]-Table20[[#This Row],[Exit1]]-Table20[[#This Row],[Exit2]]</f>
        <v>0</v>
      </c>
      <c r="W357" s="30">
        <f ca="1">(Table20[[#This Row],[Expiration Date]]-TODAY())/365</f>
        <v>-1.6273972602739726</v>
      </c>
      <c r="X357" s="30" t="e">
        <f ca="1">(LN(Table20[[#This Row],[Current Price]]/Table20[[#This Row],[strike_price]]) + ($B$2 + (Table20[[#This Row],[Vol]]^2)/2)*Table20[[#This Row],[Time to expiration]]) / (Table20[[#This Row],[Vol]] * SQRT(Table20[[#This Row],[Time to expiration]]))</f>
        <v>#NUM!</v>
      </c>
      <c r="Y357" s="30" t="e">
        <f ca="1">IF(Table20[[#This Row],[Direction]]&gt;0, _xlfn.NORM.S.DIST(Table20[[#This Row],[d1]], TRUE), _xlfn.NORM.S.DIST(Table20[[#This Row],[d1]], TRUE) - 1) * Table20[[#This Row],[Buy or Sell]]</f>
        <v>#NUM!</v>
      </c>
      <c r="Z357" s="9">
        <f ca="1">Table20[[#This Row],[Remaining]]*Table20[[#This Row],[Current Price]]*100</f>
        <v>0</v>
      </c>
      <c r="AA357" s="22">
        <f ca="1">IFERROR(Table20[[#This Row],[nominal_exposure]]*Table20[[#This Row],[Delta]],0)</f>
        <v>0</v>
      </c>
      <c r="AB357" s="30" t="b">
        <f>IF(Table20[[#This Row],[date_purchased]]&lt;&gt;Table20[[#This Row],[Expiration Date]],FALSE,TRUE)</f>
        <v>0</v>
      </c>
      <c r="AC357" s="30" t="str">
        <f>VLOOKUP(Table20[[#This Row],[Asset]],Table19[#All],3,FALSE)</f>
        <v>Market</v>
      </c>
      <c r="AD357" s="30">
        <f>IF(Table20[[#This Row],[Remaining]]&lt;&gt;0,Table20[[#This Row],[Invested]]*Table20[[#This Row],[Remaining]]/Table20[[#This Row],[Number of options]],0)</f>
        <v>0</v>
      </c>
      <c r="AE357" s="30">
        <f ca="1">SUMIF(Table20[Ticker],Table20[[#This Row],[Ticker]],Table20[realized_profit])</f>
        <v>-5077</v>
      </c>
      <c r="AF357" s="30" t="str">
        <f>VLOOKUP(Table20[[#This Row],[Strategy]],Table29[#All],7,FALSE)</f>
        <v>Bearish</v>
      </c>
    </row>
    <row r="358" spans="1:32" hidden="1">
      <c r="A358" s="201">
        <v>45604</v>
      </c>
      <c r="B358" s="21" t="e" vm="24">
        <v>#VALUE!</v>
      </c>
      <c r="C358" s="109" t="str" cm="1">
        <f t="array" aca="1" ref="C358" ca="1">_FV(Table20[[#This Row],[Asset]],"Ticker symbol",TRUE)</f>
        <v>QCOM</v>
      </c>
      <c r="D358" s="26" cm="1">
        <f t="array" aca="1" ref="D358" ca="1">_FV(Table20[[#This Row],[Asset]],"Price")</f>
        <v>131.63499999999999</v>
      </c>
      <c r="E358" s="26">
        <v>190</v>
      </c>
      <c r="F358" s="33">
        <v>2</v>
      </c>
      <c r="G358" s="34">
        <v>-1</v>
      </c>
      <c r="H358" s="34" t="s">
        <v>115</v>
      </c>
      <c r="I358" s="31">
        <v>45589</v>
      </c>
      <c r="J358" s="26">
        <v>1.65</v>
      </c>
      <c r="K358" s="24">
        <v>0.5423</v>
      </c>
      <c r="L358" s="33">
        <f>VLOOKUP(Table20[[#This Row],[Strategy]],Table29[#All],6,FALSE)</f>
        <v>1</v>
      </c>
      <c r="M358" s="23">
        <v>2</v>
      </c>
      <c r="N358" s="23">
        <v>0.01</v>
      </c>
      <c r="O358" s="23"/>
      <c r="P358" s="23"/>
      <c r="Q358">
        <f>Table20[[#This Row],[Exit1]]*Table20[[#This Row],[ex1_price]]</f>
        <v>0.02</v>
      </c>
      <c r="R358">
        <f>Table20[[#This Row],[Exit2]]*Table20[[#This Row],[ex2_price]]</f>
        <v>0</v>
      </c>
      <c r="S358">
        <f>IFERROR((Table20[[#This Row],[ex2_amnt]]+Table20[[#This Row],[ex1_amnt]])/(Table20[[#This Row],[Exit2]]+Table20[[#This Row],[Exit1]]),0)</f>
        <v>0.01</v>
      </c>
      <c r="T358" s="5">
        <f>(Table20[[#This Row],[Exit1]]+Table20[[#This Row],[Exit2]])*(Table20[[#This Row],[avg_exit_price]]-Table20[[#This Row],[AvePrice]])*100*Table20[[#This Row],[Buy or Sell]]</f>
        <v>328</v>
      </c>
      <c r="U358" s="5">
        <f>Table20[[#This Row],[Number of options]]*Table20[[#This Row],[AvePrice]]*100*Table20[[#This Row],[Buy or Sell]]</f>
        <v>-330</v>
      </c>
      <c r="V358" s="8">
        <f>Table20[[#This Row],[Number of options]]-Table20[[#This Row],[Exit1]]-Table20[[#This Row],[Exit2]]</f>
        <v>0</v>
      </c>
      <c r="W358" s="30">
        <f ca="1">(Table20[[#This Row],[Expiration Date]]-TODAY())/365</f>
        <v>-1.3780821917808219</v>
      </c>
      <c r="X358" s="30" t="e">
        <f ca="1">(LN(Table20[[#This Row],[Current Price]]/Table20[[#This Row],[strike_price]]) + ($B$2 + (Table20[[#This Row],[Vol]]^2)/2)*Table20[[#This Row],[Time to expiration]]) / (Table20[[#This Row],[Vol]] * SQRT(Table20[[#This Row],[Time to expiration]]))</f>
        <v>#NUM!</v>
      </c>
      <c r="Y358" s="30" t="e">
        <f ca="1">IF(Table20[[#This Row],[Direction]]&gt;0, _xlfn.NORM.S.DIST(Table20[[#This Row],[d1]], TRUE), _xlfn.NORM.S.DIST(Table20[[#This Row],[d1]], TRUE) - 1) * Table20[[#This Row],[Buy or Sell]]</f>
        <v>#NUM!</v>
      </c>
      <c r="Z358" s="9">
        <f ca="1">Table20[[#This Row],[Remaining]]*Table20[[#This Row],[Current Price]]*100</f>
        <v>0</v>
      </c>
      <c r="AA358" s="22">
        <f ca="1">IFERROR(Table20[[#This Row],[nominal_exposure]]*Table20[[#This Row],[Delta]],0)</f>
        <v>0</v>
      </c>
      <c r="AB358" s="30" t="b">
        <f>IF(Table20[[#This Row],[date_purchased]]&lt;&gt;Table20[[#This Row],[Expiration Date]],FALSE,TRUE)</f>
        <v>0</v>
      </c>
      <c r="AC358" s="30" t="str">
        <f>VLOOKUP(Table20[[#This Row],[Asset]],Table19[#All],3,FALSE)</f>
        <v>AI</v>
      </c>
      <c r="AD358" s="30">
        <f>IF(Table20[[#This Row],[Remaining]]&lt;&gt;0,Table20[[#This Row],[Invested]]*Table20[[#This Row],[Remaining]]/Table20[[#This Row],[Number of options]],0)</f>
        <v>0</v>
      </c>
      <c r="AE358" s="30">
        <f ca="1">SUMIF(Table20[Ticker],Table20[[#This Row],[Ticker]],Table20[realized_profit])</f>
        <v>-2175.9999999999995</v>
      </c>
      <c r="AF358" s="30" t="str">
        <f>VLOOKUP(Table20[[#This Row],[Strategy]],Table29[#All],7,FALSE)</f>
        <v>Bullish</v>
      </c>
    </row>
    <row r="359" spans="1:32" hidden="1">
      <c r="A359" s="180">
        <v>45611</v>
      </c>
      <c r="B359" s="21" t="e" vm="156">
        <v>#VALUE!</v>
      </c>
      <c r="C359" s="109" t="str" cm="1">
        <f t="array" aca="1" ref="C359" ca="1">_FV(Table20[[#This Row],[Asset]],"Ticker symbol",TRUE)</f>
        <v>FROG</v>
      </c>
      <c r="D359" s="26" cm="1">
        <f t="array" aca="1" ref="D359" ca="1">_FV(Table20[[#This Row],[Asset]],"Price")</f>
        <v>47.490099999999998</v>
      </c>
      <c r="E359" s="26">
        <v>27.5</v>
      </c>
      <c r="F359" s="33">
        <v>2</v>
      </c>
      <c r="G359" s="34">
        <v>1</v>
      </c>
      <c r="H359" s="34" t="s">
        <v>65</v>
      </c>
      <c r="I359" s="31">
        <v>45588</v>
      </c>
      <c r="J359" s="26">
        <v>1</v>
      </c>
      <c r="K359" s="24">
        <v>0.64770000000000005</v>
      </c>
      <c r="L359" s="33">
        <f>VLOOKUP(Table20[[#This Row],[Strategy]],Table29[#All],6,FALSE)</f>
        <v>-1</v>
      </c>
      <c r="M359" s="23">
        <v>2</v>
      </c>
      <c r="N359" s="23">
        <v>0.85</v>
      </c>
      <c r="O359" s="23"/>
      <c r="P359" s="23"/>
      <c r="Q359">
        <f>Table20[[#This Row],[Exit1]]*Table20[[#This Row],[ex1_price]]</f>
        <v>1.7</v>
      </c>
      <c r="R359">
        <f>Table20[[#This Row],[Exit2]]*Table20[[#This Row],[ex2_price]]</f>
        <v>0</v>
      </c>
      <c r="S359">
        <f>IFERROR((Table20[[#This Row],[ex2_amnt]]+Table20[[#This Row],[ex1_amnt]])/(Table20[[#This Row],[Exit2]]+Table20[[#This Row],[Exit1]]),0)</f>
        <v>0.85</v>
      </c>
      <c r="T359" s="5">
        <f>(Table20[[#This Row],[Exit1]]+Table20[[#This Row],[Exit2]])*(Table20[[#This Row],[avg_exit_price]]-Table20[[#This Row],[AvePrice]])*100*Table20[[#This Row],[Buy or Sell]]</f>
        <v>-30.000000000000004</v>
      </c>
      <c r="U359" s="5">
        <f>Table20[[#This Row],[Number of options]]*Table20[[#This Row],[AvePrice]]*100*Table20[[#This Row],[Buy or Sell]]</f>
        <v>200</v>
      </c>
      <c r="V359" s="8">
        <f>Table20[[#This Row],[Number of options]]-Table20[[#This Row],[Exit1]]-Table20[[#This Row],[Exit2]]</f>
        <v>0</v>
      </c>
      <c r="W359" s="30">
        <f ca="1">(Table20[[#This Row],[Expiration Date]]-TODAY())/365</f>
        <v>-1.3589041095890411</v>
      </c>
      <c r="X359" s="30" t="e">
        <f ca="1">(LN(Table20[[#This Row],[Current Price]]/Table20[[#This Row],[strike_price]]) + ($B$2 + (Table20[[#This Row],[Vol]]^2)/2)*Table20[[#This Row],[Time to expiration]]) / (Table20[[#This Row],[Vol]] * SQRT(Table20[[#This Row],[Time to expiration]]))</f>
        <v>#NUM!</v>
      </c>
      <c r="Y359" s="30" t="e">
        <f ca="1">IF(Table20[[#This Row],[Direction]]&gt;0, _xlfn.NORM.S.DIST(Table20[[#This Row],[d1]], TRUE), _xlfn.NORM.S.DIST(Table20[[#This Row],[d1]], TRUE) - 1) * Table20[[#This Row],[Buy or Sell]]</f>
        <v>#NUM!</v>
      </c>
      <c r="Z359" s="9">
        <f ca="1">Table20[[#This Row],[Remaining]]*Table20[[#This Row],[Current Price]]*100</f>
        <v>0</v>
      </c>
      <c r="AA359" s="22">
        <f ca="1">IFERROR(Table20[[#This Row],[nominal_exposure]]*Table20[[#This Row],[Delta]],0)</f>
        <v>0</v>
      </c>
      <c r="AB359" s="30" t="b">
        <f>IF(Table20[[#This Row],[date_purchased]]&lt;&gt;Table20[[#This Row],[Expiration Date]],FALSE,TRUE)</f>
        <v>0</v>
      </c>
      <c r="AC359" s="30" t="str">
        <f>VLOOKUP(Table20[[#This Row],[Asset]],Table19[#All],3,FALSE)</f>
        <v>Technology</v>
      </c>
      <c r="AD359" s="30">
        <f>IF(Table20[[#This Row],[Remaining]]&lt;&gt;0,Table20[[#This Row],[Invested]]*Table20[[#This Row],[Remaining]]/Table20[[#This Row],[Number of options]],0)</f>
        <v>0</v>
      </c>
      <c r="AE359" s="30">
        <f ca="1">SUMIF(Table20[Ticker],Table20[[#This Row],[Ticker]],Table20[realized_profit])</f>
        <v>19.999999999999996</v>
      </c>
      <c r="AF359" s="30" t="str">
        <f>VLOOKUP(Table20[[#This Row],[Strategy]],Table29[#All],7,FALSE)</f>
        <v>Bearish</v>
      </c>
    </row>
    <row r="360" spans="1:32" hidden="1">
      <c r="A360" s="180">
        <v>45611</v>
      </c>
      <c r="B360" s="21" t="e" vm="13">
        <v>#VALUE!</v>
      </c>
      <c r="C360" s="109" t="str" cm="1">
        <f t="array" aca="1" ref="C360" ca="1">_FV(Table20[[#This Row],[Asset]],"Ticker symbol",TRUE)</f>
        <v>ON</v>
      </c>
      <c r="D360" s="26" cm="1">
        <f t="array" aca="1" ref="D360" ca="1">_FV(Table20[[#This Row],[Asset]],"Price")</f>
        <v>63.68</v>
      </c>
      <c r="E360" s="26">
        <v>80</v>
      </c>
      <c r="F360" s="33">
        <v>6</v>
      </c>
      <c r="G360" s="34">
        <v>1</v>
      </c>
      <c r="H360" s="34" t="s">
        <v>115</v>
      </c>
      <c r="I360" s="31">
        <v>45589</v>
      </c>
      <c r="J360" s="26">
        <v>1.04</v>
      </c>
      <c r="K360" s="24">
        <v>0.60070000000000001</v>
      </c>
      <c r="L360" s="33">
        <f>VLOOKUP(Table20[[#This Row],[Strategy]],Table29[#All],6,FALSE)</f>
        <v>1</v>
      </c>
      <c r="M360" s="23">
        <v>6</v>
      </c>
      <c r="N360" s="23">
        <v>0.81</v>
      </c>
      <c r="O360" s="23"/>
      <c r="P360" s="23"/>
      <c r="Q360">
        <f>Table20[[#This Row],[Exit1]]*Table20[[#This Row],[ex1_price]]</f>
        <v>4.8600000000000003</v>
      </c>
      <c r="R360">
        <f>Table20[[#This Row],[Exit2]]*Table20[[#This Row],[ex2_price]]</f>
        <v>0</v>
      </c>
      <c r="S360">
        <f>IFERROR((Table20[[#This Row],[ex2_amnt]]+Table20[[#This Row],[ex1_amnt]])/(Table20[[#This Row],[Exit2]]+Table20[[#This Row],[Exit1]]),0)</f>
        <v>0.81</v>
      </c>
      <c r="T360" s="5">
        <f>(Table20[[#This Row],[Exit1]]+Table20[[#This Row],[Exit2]])*(Table20[[#This Row],[avg_exit_price]]-Table20[[#This Row],[AvePrice]])*100*Table20[[#This Row],[Buy or Sell]]</f>
        <v>-138</v>
      </c>
      <c r="U360" s="5">
        <f>Table20[[#This Row],[Number of options]]*Table20[[#This Row],[AvePrice]]*100*Table20[[#This Row],[Buy or Sell]]</f>
        <v>624</v>
      </c>
      <c r="V360" s="8">
        <f>Table20[[#This Row],[Number of options]]-Table20[[#This Row],[Exit1]]-Table20[[#This Row],[Exit2]]</f>
        <v>0</v>
      </c>
      <c r="W360" s="30">
        <f ca="1">(Table20[[#This Row],[Expiration Date]]-TODAY())/365</f>
        <v>-1.3589041095890411</v>
      </c>
      <c r="X360" s="30" t="e">
        <f ca="1">(LN(Table20[[#This Row],[Current Price]]/Table20[[#This Row],[strike_price]]) + ($B$2 + (Table20[[#This Row],[Vol]]^2)/2)*Table20[[#This Row],[Time to expiration]]) / (Table20[[#This Row],[Vol]] * SQRT(Table20[[#This Row],[Time to expiration]]))</f>
        <v>#NUM!</v>
      </c>
      <c r="Y360" s="30" t="e">
        <f ca="1">IF(Table20[[#This Row],[Direction]]&gt;0, _xlfn.NORM.S.DIST(Table20[[#This Row],[d1]], TRUE), _xlfn.NORM.S.DIST(Table20[[#This Row],[d1]], TRUE) - 1) * Table20[[#This Row],[Buy or Sell]]</f>
        <v>#NUM!</v>
      </c>
      <c r="Z360" s="9">
        <f ca="1">Table20[[#This Row],[Remaining]]*Table20[[#This Row],[Current Price]]*100</f>
        <v>0</v>
      </c>
      <c r="AA360" s="22">
        <f ca="1">IFERROR(Table20[[#This Row],[nominal_exposure]]*Table20[[#This Row],[Delta]],0)</f>
        <v>0</v>
      </c>
      <c r="AB360" s="30" t="b">
        <f>IF(Table20[[#This Row],[date_purchased]]&lt;&gt;Table20[[#This Row],[Expiration Date]],FALSE,TRUE)</f>
        <v>0</v>
      </c>
      <c r="AC360" s="30" t="str">
        <f>VLOOKUP(Table20[[#This Row],[Asset]],Table19[#All],3,FALSE)</f>
        <v>Semiconductor</v>
      </c>
      <c r="AD360" s="30">
        <f>IF(Table20[[#This Row],[Remaining]]&lt;&gt;0,Table20[[#This Row],[Invested]]*Table20[[#This Row],[Remaining]]/Table20[[#This Row],[Number of options]],0)</f>
        <v>0</v>
      </c>
      <c r="AE360" s="30">
        <f ca="1">SUMIF(Table20[Ticker],Table20[[#This Row],[Ticker]],Table20[realized_profit])</f>
        <v>1055.92</v>
      </c>
      <c r="AF360" s="30" t="str">
        <f>VLOOKUP(Table20[[#This Row],[Strategy]],Table29[#All],7,FALSE)</f>
        <v>Bullish</v>
      </c>
    </row>
    <row r="361" spans="1:32" hidden="1">
      <c r="A361" s="201">
        <v>45604</v>
      </c>
      <c r="B361" s="21" t="e" vm="148">
        <v>#VALUE!</v>
      </c>
      <c r="C361" s="109" t="str" cm="1">
        <f t="array" aca="1" ref="C361" ca="1">_FV(Table20[[#This Row],[Asset]],"Ticker symbol",TRUE)</f>
        <v>META</v>
      </c>
      <c r="D361" s="26" cm="1">
        <f t="array" aca="1" ref="D361" ca="1">_FV(Table20[[#This Row],[Asset]],"Price")</f>
        <v>599.32000000000005</v>
      </c>
      <c r="E361" s="26">
        <v>450</v>
      </c>
      <c r="F361" s="33">
        <v>1</v>
      </c>
      <c r="G361" s="34">
        <v>-1</v>
      </c>
      <c r="H361" s="34" t="s">
        <v>161</v>
      </c>
      <c r="I361" s="31">
        <v>45594</v>
      </c>
      <c r="J361" s="26">
        <v>0.33</v>
      </c>
      <c r="K361" s="24">
        <v>0.76600000000000001</v>
      </c>
      <c r="L361" s="33">
        <f>VLOOKUP(Table20[[#This Row],[Strategy]],Table29[#All],6,FALSE)</f>
        <v>-1</v>
      </c>
      <c r="M361" s="23">
        <v>1</v>
      </c>
      <c r="N361" s="23">
        <v>0.01</v>
      </c>
      <c r="O361" s="23"/>
      <c r="P361" s="23"/>
      <c r="Q361">
        <f>Table20[[#This Row],[Exit1]]*Table20[[#This Row],[ex1_price]]</f>
        <v>0.01</v>
      </c>
      <c r="R361">
        <f>Table20[[#This Row],[Exit2]]*Table20[[#This Row],[ex2_price]]</f>
        <v>0</v>
      </c>
      <c r="S361">
        <f>IFERROR((Table20[[#This Row],[ex2_amnt]]+Table20[[#This Row],[ex1_amnt]])/(Table20[[#This Row],[Exit2]]+Table20[[#This Row],[Exit1]]),0)</f>
        <v>0.01</v>
      </c>
      <c r="T361" s="5">
        <f>(Table20[[#This Row],[Exit1]]+Table20[[#This Row],[Exit2]])*(Table20[[#This Row],[avg_exit_price]]-Table20[[#This Row],[AvePrice]])*100*Table20[[#This Row],[Buy or Sell]]</f>
        <v>32</v>
      </c>
      <c r="U361" s="5">
        <f>Table20[[#This Row],[Number of options]]*Table20[[#This Row],[AvePrice]]*100*Table20[[#This Row],[Buy or Sell]]</f>
        <v>-33</v>
      </c>
      <c r="V361" s="8">
        <f>Table20[[#This Row],[Number of options]]-Table20[[#This Row],[Exit1]]-Table20[[#This Row],[Exit2]]</f>
        <v>0</v>
      </c>
      <c r="W361" s="30">
        <f ca="1">(Table20[[#This Row],[Expiration Date]]-TODAY())/365</f>
        <v>-1.3780821917808219</v>
      </c>
      <c r="X361" s="30" t="e">
        <f ca="1">(LN(Table20[[#This Row],[Current Price]]/Table20[[#This Row],[strike_price]]) + ($B$2 + (Table20[[#This Row],[Vol]]^2)/2)*Table20[[#This Row],[Time to expiration]]) / (Table20[[#This Row],[Vol]] * SQRT(Table20[[#This Row],[Time to expiration]]))</f>
        <v>#NUM!</v>
      </c>
      <c r="Y361" s="30" t="e">
        <f ca="1">IF(Table20[[#This Row],[Direction]]&gt;0, _xlfn.NORM.S.DIST(Table20[[#This Row],[d1]], TRUE), _xlfn.NORM.S.DIST(Table20[[#This Row],[d1]], TRUE) - 1) * Table20[[#This Row],[Buy or Sell]]</f>
        <v>#NUM!</v>
      </c>
      <c r="Z361" s="9">
        <f ca="1">Table20[[#This Row],[Remaining]]*Table20[[#This Row],[Current Price]]*100</f>
        <v>0</v>
      </c>
      <c r="AA361" s="22">
        <f ca="1">IFERROR(Table20[[#This Row],[nominal_exposure]]*Table20[[#This Row],[Delta]],0)</f>
        <v>0</v>
      </c>
      <c r="AB361" s="30" t="b">
        <f>IF(Table20[[#This Row],[date_purchased]]&lt;&gt;Table20[[#This Row],[Expiration Date]],FALSE,TRUE)</f>
        <v>0</v>
      </c>
      <c r="AC361" s="30" t="str">
        <f>VLOOKUP(Table20[[#This Row],[Asset]],Table19[#All],3,FALSE)</f>
        <v>AI</v>
      </c>
      <c r="AD361" s="30">
        <f>IF(Table20[[#This Row],[Remaining]]&lt;&gt;0,Table20[[#This Row],[Invested]]*Table20[[#This Row],[Remaining]]/Table20[[#This Row],[Number of options]],0)</f>
        <v>0</v>
      </c>
      <c r="AE361" s="30">
        <f ca="1">SUMIF(Table20[Ticker],Table20[[#This Row],[Ticker]],Table20[realized_profit])</f>
        <v>2450</v>
      </c>
      <c r="AF361" s="30" t="str">
        <f>VLOOKUP(Table20[[#This Row],[Strategy]],Table29[#All],7,FALSE)</f>
        <v>Bearish</v>
      </c>
    </row>
    <row r="362" spans="1:32" hidden="1">
      <c r="A362" s="201">
        <v>45604</v>
      </c>
      <c r="B362" s="21" t="e" vm="135">
        <v>#VALUE!</v>
      </c>
      <c r="C362" s="109" t="str" cm="1">
        <f t="array" aca="1" ref="C362" ca="1">_FV(Table20[[#This Row],[Asset]],"Ticker symbol",TRUE)</f>
        <v>CRM</v>
      </c>
      <c r="D362" s="26" cm="1">
        <f t="array" aca="1" ref="D362" ca="1">_FV(Table20[[#This Row],[Asset]],"Price")</f>
        <v>183.79</v>
      </c>
      <c r="E362" s="26">
        <v>290</v>
      </c>
      <c r="F362" s="33">
        <v>1</v>
      </c>
      <c r="G362" s="34">
        <v>1</v>
      </c>
      <c r="H362" s="34" t="s">
        <v>65</v>
      </c>
      <c r="I362" s="31">
        <v>45594</v>
      </c>
      <c r="J362" s="26">
        <v>2.62</v>
      </c>
      <c r="K362" s="24">
        <v>0.3261</v>
      </c>
      <c r="L362" s="33">
        <f>VLOOKUP(Table20[[#This Row],[Strategy]],Table29[#All],6,FALSE)</f>
        <v>-1</v>
      </c>
      <c r="M362" s="23">
        <v>1</v>
      </c>
      <c r="N362" s="23">
        <v>1.3</v>
      </c>
      <c r="O362" s="23"/>
      <c r="P362" s="23"/>
      <c r="Q362">
        <f>Table20[[#This Row],[Exit1]]*Table20[[#This Row],[ex1_price]]</f>
        <v>1.3</v>
      </c>
      <c r="R362">
        <f>Table20[[#This Row],[Exit2]]*Table20[[#This Row],[ex2_price]]</f>
        <v>0</v>
      </c>
      <c r="S362">
        <f>IFERROR((Table20[[#This Row],[ex2_amnt]]+Table20[[#This Row],[ex1_amnt]])/(Table20[[#This Row],[Exit2]]+Table20[[#This Row],[Exit1]]),0)</f>
        <v>1.3</v>
      </c>
      <c r="T362" s="5">
        <f>(Table20[[#This Row],[Exit1]]+Table20[[#This Row],[Exit2]])*(Table20[[#This Row],[avg_exit_price]]-Table20[[#This Row],[AvePrice]])*100*Table20[[#This Row],[Buy or Sell]]</f>
        <v>-132</v>
      </c>
      <c r="U362" s="5">
        <f>Table20[[#This Row],[Number of options]]*Table20[[#This Row],[AvePrice]]*100*Table20[[#This Row],[Buy or Sell]]</f>
        <v>262</v>
      </c>
      <c r="V362" s="8">
        <f>Table20[[#This Row],[Number of options]]-Table20[[#This Row],[Exit1]]-Table20[[#This Row],[Exit2]]</f>
        <v>0</v>
      </c>
      <c r="W362" s="30">
        <f ca="1">(Table20[[#This Row],[Expiration Date]]-TODAY())/365</f>
        <v>-1.3780821917808219</v>
      </c>
      <c r="X362" s="30" t="e">
        <f ca="1">(LN(Table20[[#This Row],[Current Price]]/Table20[[#This Row],[strike_price]]) + ($B$2 + (Table20[[#This Row],[Vol]]^2)/2)*Table20[[#This Row],[Time to expiration]]) / (Table20[[#This Row],[Vol]] * SQRT(Table20[[#This Row],[Time to expiration]]))</f>
        <v>#NUM!</v>
      </c>
      <c r="Y362" s="30" t="e">
        <f ca="1">IF(Table20[[#This Row],[Direction]]&gt;0, _xlfn.NORM.S.DIST(Table20[[#This Row],[d1]], TRUE), _xlfn.NORM.S.DIST(Table20[[#This Row],[d1]], TRUE) - 1) * Table20[[#This Row],[Buy or Sell]]</f>
        <v>#NUM!</v>
      </c>
      <c r="Z362" s="9">
        <f ca="1">Table20[[#This Row],[Remaining]]*Table20[[#This Row],[Current Price]]*100</f>
        <v>0</v>
      </c>
      <c r="AA362" s="22">
        <f ca="1">IFERROR(Table20[[#This Row],[nominal_exposure]]*Table20[[#This Row],[Delta]],0)</f>
        <v>0</v>
      </c>
      <c r="AB362" s="30" t="b">
        <f>IF(Table20[[#This Row],[date_purchased]]&lt;&gt;Table20[[#This Row],[Expiration Date]],FALSE,TRUE)</f>
        <v>0</v>
      </c>
      <c r="AC362" s="30" t="str">
        <f>VLOOKUP(Table20[[#This Row],[Asset]],Table19[#All],3,FALSE)</f>
        <v>Technology</v>
      </c>
      <c r="AD362" s="30">
        <f>IF(Table20[[#This Row],[Remaining]]&lt;&gt;0,Table20[[#This Row],[Invested]]*Table20[[#This Row],[Remaining]]/Table20[[#This Row],[Number of options]],0)</f>
        <v>0</v>
      </c>
      <c r="AE362" s="30">
        <f ca="1">SUMIF(Table20[Ticker],Table20[[#This Row],[Ticker]],Table20[realized_profit])</f>
        <v>-606</v>
      </c>
      <c r="AF362" s="30" t="str">
        <f>VLOOKUP(Table20[[#This Row],[Strategy]],Table29[#All],7,FALSE)</f>
        <v>Bearish</v>
      </c>
    </row>
    <row r="363" spans="1:32" hidden="1">
      <c r="A363" s="118">
        <v>45513</v>
      </c>
      <c r="B363" s="21" t="e" vm="96">
        <v>#VALUE!</v>
      </c>
      <c r="C363" s="109" t="str" cm="1">
        <f t="array" aca="1" ref="C363" ca="1">_FV(Table20[[#This Row],[Asset]],"Ticker symbol",TRUE)</f>
        <v>SPY</v>
      </c>
      <c r="D363" s="26" cm="1">
        <f t="array" aca="1" ref="D363" ca="1">_FV(Table20[[#This Row],[Asset]],"Price")</f>
        <v>658.59</v>
      </c>
      <c r="E363" s="26">
        <v>505</v>
      </c>
      <c r="F363" s="33">
        <v>2</v>
      </c>
      <c r="G363" s="34">
        <v>-1</v>
      </c>
      <c r="H363" s="34" t="s">
        <v>161</v>
      </c>
      <c r="I363" s="31">
        <v>45510</v>
      </c>
      <c r="J363" s="26">
        <v>1.18</v>
      </c>
      <c r="K363" s="24">
        <v>0.35160000000000002</v>
      </c>
      <c r="L363" s="33">
        <f>VLOOKUP(Table20[[#This Row],[Strategy]],Table29[#All],6,FALSE)</f>
        <v>-1</v>
      </c>
      <c r="M363" s="23">
        <v>2</v>
      </c>
      <c r="N363" s="23">
        <v>0.01</v>
      </c>
      <c r="O363" s="23"/>
      <c r="P363" s="23"/>
      <c r="Q363">
        <f>Table20[[#This Row],[Exit1]]*Table20[[#This Row],[ex1_price]]</f>
        <v>0.02</v>
      </c>
      <c r="R363">
        <f>Table20[[#This Row],[Exit2]]*Table20[[#This Row],[ex2_price]]</f>
        <v>0</v>
      </c>
      <c r="S363">
        <f>IFERROR((Table20[[#This Row],[ex2_amnt]]+Table20[[#This Row],[ex1_amnt]])/(Table20[[#This Row],[Exit2]]+Table20[[#This Row],[Exit1]]),0)</f>
        <v>0.01</v>
      </c>
      <c r="T363" s="5">
        <f>(Table20[[#This Row],[Exit1]]+Table20[[#This Row],[Exit2]])*(Table20[[#This Row],[avg_exit_price]]-Table20[[#This Row],[AvePrice]])*100*Table20[[#This Row],[Buy or Sell]]</f>
        <v>234</v>
      </c>
      <c r="U363" s="5">
        <f>Table20[[#This Row],[Number of options]]*Table20[[#This Row],[AvePrice]]*100*Table20[[#This Row],[Buy or Sell]]</f>
        <v>-236</v>
      </c>
      <c r="V363" s="8">
        <f>Table20[[#This Row],[Number of options]]-Table20[[#This Row],[Exit1]]-Table20[[#This Row],[Exit2]]</f>
        <v>0</v>
      </c>
      <c r="W363" s="30">
        <f ca="1">(Table20[[#This Row],[Expiration Date]]-TODAY())/365</f>
        <v>-1.6273972602739726</v>
      </c>
      <c r="X363" s="30" t="e">
        <f ca="1">(LN(Table20[[#This Row],[Current Price]]/Table20[[#This Row],[strike_price]]) + ($B$2 + (Table20[[#This Row],[Vol]]^2)/2)*Table20[[#This Row],[Time to expiration]]) / (Table20[[#This Row],[Vol]] * SQRT(Table20[[#This Row],[Time to expiration]]))</f>
        <v>#NUM!</v>
      </c>
      <c r="Y363" s="30" t="e">
        <f ca="1">IF(Table20[[#This Row],[Direction]]&gt;0, _xlfn.NORM.S.DIST(Table20[[#This Row],[d1]], TRUE), _xlfn.NORM.S.DIST(Table20[[#This Row],[d1]], TRUE) - 1) * Table20[[#This Row],[Buy or Sell]]</f>
        <v>#NUM!</v>
      </c>
      <c r="Z363" s="9">
        <f ca="1">Table20[[#This Row],[Remaining]]*Table20[[#This Row],[Current Price]]*100</f>
        <v>0</v>
      </c>
      <c r="AA363" s="22">
        <f ca="1">IFERROR(Table20[[#This Row],[nominal_exposure]]*Table20[[#This Row],[Delta]],0)</f>
        <v>0</v>
      </c>
      <c r="AB363" s="30" t="b">
        <f>IF(Table20[[#This Row],[date_purchased]]&lt;&gt;Table20[[#This Row],[Expiration Date]],FALSE,TRUE)</f>
        <v>0</v>
      </c>
      <c r="AC363" s="30" t="str">
        <f>VLOOKUP(Table20[[#This Row],[Asset]],Table19[#All],3,FALSE)</f>
        <v>Market</v>
      </c>
      <c r="AD363" s="30">
        <f>IF(Table20[[#This Row],[Remaining]]&lt;&gt;0,Table20[[#This Row],[Invested]]*Table20[[#This Row],[Remaining]]/Table20[[#This Row],[Number of options]],0)</f>
        <v>0</v>
      </c>
      <c r="AE363" s="30">
        <f ca="1">SUMIF(Table20[Ticker],Table20[[#This Row],[Ticker]],Table20[realized_profit])</f>
        <v>-5077</v>
      </c>
      <c r="AF363" s="30" t="str">
        <f>VLOOKUP(Table20[[#This Row],[Strategy]],Table29[#All],7,FALSE)</f>
        <v>Bearish</v>
      </c>
    </row>
    <row r="364" spans="1:32" hidden="1">
      <c r="A364" s="201">
        <v>45604</v>
      </c>
      <c r="B364" s="21" t="e" vm="119">
        <v>#VALUE!</v>
      </c>
      <c r="C364" s="109" t="str" cm="1">
        <f t="array" aca="1" ref="C364" ca="1">_FV(Table20[[#This Row],[Asset]],"Ticker symbol",TRUE)</f>
        <v>UAL</v>
      </c>
      <c r="D364" s="26" cm="1">
        <f t="array" aca="1" ref="D364" ca="1">_FV(Table20[[#This Row],[Asset]],"Price")</f>
        <v>96.894999999999996</v>
      </c>
      <c r="E364" s="26">
        <v>78</v>
      </c>
      <c r="F364" s="33">
        <v>3</v>
      </c>
      <c r="G364" s="34">
        <v>1</v>
      </c>
      <c r="H364" s="34" t="s">
        <v>65</v>
      </c>
      <c r="I364" s="31">
        <v>45596</v>
      </c>
      <c r="J364" s="26">
        <v>1.43</v>
      </c>
      <c r="K364" s="24">
        <v>0.45279999999999998</v>
      </c>
      <c r="L364" s="33">
        <f>VLOOKUP(Table20[[#This Row],[Strategy]],Table29[#All],6,FALSE)</f>
        <v>-1</v>
      </c>
      <c r="M364" s="23">
        <v>3</v>
      </c>
      <c r="N364" s="23">
        <v>0.04</v>
      </c>
      <c r="O364" s="23"/>
      <c r="P364" s="23"/>
      <c r="Q364">
        <f>Table20[[#This Row],[Exit1]]*Table20[[#This Row],[ex1_price]]</f>
        <v>0.12</v>
      </c>
      <c r="R364">
        <f>Table20[[#This Row],[Exit2]]*Table20[[#This Row],[ex2_price]]</f>
        <v>0</v>
      </c>
      <c r="S364">
        <f>IFERROR((Table20[[#This Row],[ex2_amnt]]+Table20[[#This Row],[ex1_amnt]])/(Table20[[#This Row],[Exit2]]+Table20[[#This Row],[Exit1]]),0)</f>
        <v>0.04</v>
      </c>
      <c r="T364" s="5">
        <f>(Table20[[#This Row],[Exit1]]+Table20[[#This Row],[Exit2]])*(Table20[[#This Row],[avg_exit_price]]-Table20[[#This Row],[AvePrice]])*100*Table20[[#This Row],[Buy or Sell]]</f>
        <v>-417</v>
      </c>
      <c r="U364" s="5">
        <f>Table20[[#This Row],[Number of options]]*Table20[[#This Row],[AvePrice]]*100*Table20[[#This Row],[Buy or Sell]]</f>
        <v>429</v>
      </c>
      <c r="V364" s="8">
        <f>Table20[[#This Row],[Number of options]]-Table20[[#This Row],[Exit1]]-Table20[[#This Row],[Exit2]]</f>
        <v>0</v>
      </c>
      <c r="W364" s="30">
        <f ca="1">(Table20[[#This Row],[Expiration Date]]-TODAY())/365</f>
        <v>-1.3780821917808219</v>
      </c>
      <c r="X364" s="30" t="e">
        <f ca="1">(LN(Table20[[#This Row],[Current Price]]/Table20[[#This Row],[strike_price]]) + ($B$2 + (Table20[[#This Row],[Vol]]^2)/2)*Table20[[#This Row],[Time to expiration]]) / (Table20[[#This Row],[Vol]] * SQRT(Table20[[#This Row],[Time to expiration]]))</f>
        <v>#NUM!</v>
      </c>
      <c r="Y364" s="30" t="e">
        <f ca="1">IF(Table20[[#This Row],[Direction]]&gt;0, _xlfn.NORM.S.DIST(Table20[[#This Row],[d1]], TRUE), _xlfn.NORM.S.DIST(Table20[[#This Row],[d1]], TRUE) - 1) * Table20[[#This Row],[Buy or Sell]]</f>
        <v>#NUM!</v>
      </c>
      <c r="Z364" s="9">
        <f ca="1">Table20[[#This Row],[Remaining]]*Table20[[#This Row],[Current Price]]*100</f>
        <v>0</v>
      </c>
      <c r="AA364" s="22">
        <f ca="1">IFERROR(Table20[[#This Row],[nominal_exposure]]*Table20[[#This Row],[Delta]],0)</f>
        <v>0</v>
      </c>
      <c r="AB364" s="30" t="b">
        <f>IF(Table20[[#This Row],[date_purchased]]&lt;&gt;Table20[[#This Row],[Expiration Date]],FALSE,TRUE)</f>
        <v>0</v>
      </c>
      <c r="AC364" s="30" t="str">
        <f>VLOOKUP(Table20[[#This Row],[Asset]],Table19[#All],3,FALSE)</f>
        <v>Industrials</v>
      </c>
      <c r="AD364" s="30">
        <f>IF(Table20[[#This Row],[Remaining]]&lt;&gt;0,Table20[[#This Row],[Invested]]*Table20[[#This Row],[Remaining]]/Table20[[#This Row],[Number of options]],0)</f>
        <v>0</v>
      </c>
      <c r="AE364" s="30">
        <f ca="1">SUMIF(Table20[Ticker],Table20[[#This Row],[Ticker]],Table20[realized_profit])</f>
        <v>-417</v>
      </c>
      <c r="AF364" s="30" t="str">
        <f>VLOOKUP(Table20[[#This Row],[Strategy]],Table29[#All],7,FALSE)</f>
        <v>Bearish</v>
      </c>
    </row>
    <row r="365" spans="1:32" hidden="1">
      <c r="A365" s="118">
        <v>45513</v>
      </c>
      <c r="B365" s="21" t="e" vm="96">
        <v>#VALUE!</v>
      </c>
      <c r="C365" s="109" t="str" cm="1">
        <f t="array" aca="1" ref="C365" ca="1">_FV(Table20[[#This Row],[Asset]],"Ticker symbol",TRUE)</f>
        <v>SPY</v>
      </c>
      <c r="D365" s="26" cm="1">
        <f t="array" aca="1" ref="D365" ca="1">_FV(Table20[[#This Row],[Asset]],"Price")</f>
        <v>658.59</v>
      </c>
      <c r="E365" s="26">
        <v>540</v>
      </c>
      <c r="F365" s="33">
        <v>3</v>
      </c>
      <c r="G365" s="34">
        <v>-1</v>
      </c>
      <c r="H365" s="34" t="s">
        <v>115</v>
      </c>
      <c r="I365" s="31">
        <v>45511</v>
      </c>
      <c r="J365" s="26">
        <v>0.66</v>
      </c>
      <c r="K365" s="24">
        <v>7.5800000000000006E-2</v>
      </c>
      <c r="L365" s="33">
        <f>VLOOKUP(Table20[[#This Row],[Strategy]],Table29[#All],6,FALSE)</f>
        <v>1</v>
      </c>
      <c r="M365" s="23">
        <v>3</v>
      </c>
      <c r="N365" s="23">
        <v>0.66</v>
      </c>
      <c r="O365" s="23"/>
      <c r="P365" s="23"/>
      <c r="Q365">
        <f>Table20[[#This Row],[Exit1]]*Table20[[#This Row],[ex1_price]]</f>
        <v>1.98</v>
      </c>
      <c r="R365">
        <f>Table20[[#This Row],[Exit2]]*Table20[[#This Row],[ex2_price]]</f>
        <v>0</v>
      </c>
      <c r="S365">
        <f>IFERROR((Table20[[#This Row],[ex2_amnt]]+Table20[[#This Row],[ex1_amnt]])/(Table20[[#This Row],[Exit2]]+Table20[[#This Row],[Exit1]]),0)</f>
        <v>0.66</v>
      </c>
      <c r="T365" s="5">
        <f>(Table20[[#This Row],[Exit1]]+Table20[[#This Row],[Exit2]])*(Table20[[#This Row],[avg_exit_price]]-Table20[[#This Row],[AvePrice]])*100*Table20[[#This Row],[Buy or Sell]]</f>
        <v>0</v>
      </c>
      <c r="U365" s="5">
        <f>Table20[[#This Row],[Number of options]]*Table20[[#This Row],[AvePrice]]*100*Table20[[#This Row],[Buy or Sell]]</f>
        <v>-198</v>
      </c>
      <c r="V365" s="8">
        <f>Table20[[#This Row],[Number of options]]-Table20[[#This Row],[Exit1]]-Table20[[#This Row],[Exit2]]</f>
        <v>0</v>
      </c>
      <c r="W365" s="30">
        <f ca="1">(Table20[[#This Row],[Expiration Date]]-TODAY())/365</f>
        <v>-1.6273972602739726</v>
      </c>
      <c r="X365" s="30" t="e">
        <f ca="1">(LN(Table20[[#This Row],[Current Price]]/Table20[[#This Row],[strike_price]]) + ($B$2 + (Table20[[#This Row],[Vol]]^2)/2)*Table20[[#This Row],[Time to expiration]]) / (Table20[[#This Row],[Vol]] * SQRT(Table20[[#This Row],[Time to expiration]]))</f>
        <v>#NUM!</v>
      </c>
      <c r="Y365" s="30" t="e">
        <f ca="1">IF(Table20[[#This Row],[Direction]]&gt;0, _xlfn.NORM.S.DIST(Table20[[#This Row],[d1]], TRUE), _xlfn.NORM.S.DIST(Table20[[#This Row],[d1]], TRUE) - 1) * Table20[[#This Row],[Buy or Sell]]</f>
        <v>#NUM!</v>
      </c>
      <c r="Z365" s="9">
        <f ca="1">Table20[[#This Row],[Remaining]]*Table20[[#This Row],[Current Price]]*100</f>
        <v>0</v>
      </c>
      <c r="AA365" s="22">
        <f ca="1">IFERROR(Table20[[#This Row],[nominal_exposure]]*Table20[[#This Row],[Delta]],0)</f>
        <v>0</v>
      </c>
      <c r="AB365" s="30" t="b">
        <f>IF(Table20[[#This Row],[date_purchased]]&lt;&gt;Table20[[#This Row],[Expiration Date]],FALSE,TRUE)</f>
        <v>0</v>
      </c>
      <c r="AC365" s="30" t="str">
        <f>VLOOKUP(Table20[[#This Row],[Asset]],Table19[#All],3,FALSE)</f>
        <v>Market</v>
      </c>
      <c r="AD365" s="30">
        <f>IF(Table20[[#This Row],[Remaining]]&lt;&gt;0,Table20[[#This Row],[Invested]]*Table20[[#This Row],[Remaining]]/Table20[[#This Row],[Number of options]],0)</f>
        <v>0</v>
      </c>
      <c r="AE365" s="30">
        <f ca="1">SUMIF(Table20[Ticker],Table20[[#This Row],[Ticker]],Table20[realized_profit])</f>
        <v>-5077</v>
      </c>
      <c r="AF365" s="30" t="str">
        <f>VLOOKUP(Table20[[#This Row],[Strategy]],Table29[#All],7,FALSE)</f>
        <v>Bullish</v>
      </c>
    </row>
    <row r="366" spans="1:32" hidden="1">
      <c r="A366" s="230">
        <v>45611</v>
      </c>
      <c r="B366" s="21" t="e" vm="24">
        <v>#VALUE!</v>
      </c>
      <c r="C366" s="109" t="str" cm="1">
        <f t="array" aca="1" ref="C366" ca="1">_FV(Table20[[#This Row],[Asset]],"Ticker symbol",TRUE)</f>
        <v>QCOM</v>
      </c>
      <c r="D366" s="26" cm="1">
        <f t="array" aca="1" ref="D366" ca="1">_FV(Table20[[#This Row],[Asset]],"Price")</f>
        <v>131.63499999999999</v>
      </c>
      <c r="E366" s="26">
        <v>180</v>
      </c>
      <c r="F366" s="33">
        <v>2</v>
      </c>
      <c r="G366" s="34">
        <v>1</v>
      </c>
      <c r="H366" s="34" t="s">
        <v>114</v>
      </c>
      <c r="I366" s="31">
        <v>45565</v>
      </c>
      <c r="J366" s="26">
        <v>7.34</v>
      </c>
      <c r="K366" s="24">
        <v>0.44700000000000001</v>
      </c>
      <c r="L366" s="33">
        <f>VLOOKUP(Table20[[#This Row],[Strategy]],Table29[#All],6,FALSE)</f>
        <v>1</v>
      </c>
      <c r="M366" s="23">
        <v>2</v>
      </c>
      <c r="N366" s="23">
        <v>2.82</v>
      </c>
      <c r="O366" s="23"/>
      <c r="P366" s="23"/>
      <c r="Q366">
        <f>Table20[[#This Row],[Exit1]]*Table20[[#This Row],[ex1_price]]</f>
        <v>5.64</v>
      </c>
      <c r="R366">
        <f>Table20[[#This Row],[Exit2]]*Table20[[#This Row],[ex2_price]]</f>
        <v>0</v>
      </c>
      <c r="S366">
        <f>IFERROR((Table20[[#This Row],[ex2_amnt]]+Table20[[#This Row],[ex1_amnt]])/(Table20[[#This Row],[Exit2]]+Table20[[#This Row],[Exit1]]),0)</f>
        <v>2.82</v>
      </c>
      <c r="T366" s="5">
        <f>(Table20[[#This Row],[Exit1]]+Table20[[#This Row],[Exit2]])*(Table20[[#This Row],[avg_exit_price]]-Table20[[#This Row],[AvePrice]])*100*Table20[[#This Row],[Buy or Sell]]</f>
        <v>-903.99999999999989</v>
      </c>
      <c r="U366" s="5">
        <f>Table20[[#This Row],[Number of options]]*Table20[[#This Row],[AvePrice]]*100*Table20[[#This Row],[Buy or Sell]]</f>
        <v>1468</v>
      </c>
      <c r="V366" s="8">
        <f>Table20[[#This Row],[Number of options]]-Table20[[#This Row],[Exit1]]-Table20[[#This Row],[Exit2]]</f>
        <v>0</v>
      </c>
      <c r="W366" s="30">
        <f ca="1">(Table20[[#This Row],[Expiration Date]]-TODAY())/365</f>
        <v>-1.3589041095890411</v>
      </c>
      <c r="X366" s="30" t="e">
        <f ca="1">(LN(Table20[[#This Row],[Current Price]]/Table20[[#This Row],[strike_price]]) + ($B$2 + (Table20[[#This Row],[Vol]]^2)/2)*Table20[[#This Row],[Time to expiration]]) / (Table20[[#This Row],[Vol]] * SQRT(Table20[[#This Row],[Time to expiration]]))</f>
        <v>#NUM!</v>
      </c>
      <c r="Y366" s="30" t="e">
        <f ca="1">IF(Table20[[#This Row],[Direction]]&gt;0, _xlfn.NORM.S.DIST(Table20[[#This Row],[d1]], TRUE), _xlfn.NORM.S.DIST(Table20[[#This Row],[d1]], TRUE) - 1) * Table20[[#This Row],[Buy or Sell]]</f>
        <v>#NUM!</v>
      </c>
      <c r="Z366" s="9">
        <f ca="1">Table20[[#This Row],[Remaining]]*Table20[[#This Row],[Current Price]]*100</f>
        <v>0</v>
      </c>
      <c r="AA366" s="22">
        <f ca="1">IFERROR(Table20[[#This Row],[nominal_exposure]]*Table20[[#This Row],[Delta]],0)</f>
        <v>0</v>
      </c>
      <c r="AB366" s="30" t="b">
        <f>IF(Table20[[#This Row],[date_purchased]]&lt;&gt;Table20[[#This Row],[Expiration Date]],FALSE,TRUE)</f>
        <v>0</v>
      </c>
      <c r="AC366" s="30" t="str">
        <f>VLOOKUP(Table20[[#This Row],[Asset]],Table19[#All],3,FALSE)</f>
        <v>AI</v>
      </c>
      <c r="AD366" s="30">
        <f>IF(Table20[[#This Row],[Remaining]]&lt;&gt;0,Table20[[#This Row],[Invested]]*Table20[[#This Row],[Remaining]]/Table20[[#This Row],[Number of options]],0)</f>
        <v>0</v>
      </c>
      <c r="AE366" s="30">
        <f ca="1">SUMIF(Table20[Ticker],Table20[[#This Row],[Ticker]],Table20[realized_profit])</f>
        <v>-2175.9999999999995</v>
      </c>
      <c r="AF366" s="30" t="str">
        <f>VLOOKUP(Table20[[#This Row],[Strategy]],Table29[#All],7,FALSE)</f>
        <v>Bullish</v>
      </c>
    </row>
    <row r="367" spans="1:32" hidden="1">
      <c r="A367" s="230">
        <v>45611</v>
      </c>
      <c r="B367" s="21" t="e" vm="24">
        <v>#VALUE!</v>
      </c>
      <c r="C367" s="109" t="str" cm="1">
        <f t="array" aca="1" ref="C367" ca="1">_FV(Table20[[#This Row],[Asset]],"Ticker symbol",TRUE)</f>
        <v>QCOM</v>
      </c>
      <c r="D367" s="26" cm="1">
        <f t="array" aca="1" ref="D367" ca="1">_FV(Table20[[#This Row],[Asset]],"Price")</f>
        <v>131.63499999999999</v>
      </c>
      <c r="E367" s="26">
        <v>190</v>
      </c>
      <c r="F367" s="33">
        <v>2</v>
      </c>
      <c r="G367" s="34">
        <v>-1</v>
      </c>
      <c r="H367" s="34" t="s">
        <v>114</v>
      </c>
      <c r="I367" s="31">
        <v>45565</v>
      </c>
      <c r="J367" s="26">
        <v>4.25</v>
      </c>
      <c r="K367" s="24">
        <v>0.44</v>
      </c>
      <c r="L367" s="33">
        <f>VLOOKUP(Table20[[#This Row],[Strategy]],Table29[#All],6,FALSE)</f>
        <v>1</v>
      </c>
      <c r="M367" s="23">
        <v>2</v>
      </c>
      <c r="N367" s="23">
        <v>1.27</v>
      </c>
      <c r="O367" s="23"/>
      <c r="P367" s="23"/>
      <c r="Q367">
        <f>Table20[[#This Row],[Exit1]]*Table20[[#This Row],[ex1_price]]</f>
        <v>2.54</v>
      </c>
      <c r="R367">
        <f>Table20[[#This Row],[Exit2]]*Table20[[#This Row],[ex2_price]]</f>
        <v>0</v>
      </c>
      <c r="S367">
        <f>IFERROR((Table20[[#This Row],[ex2_amnt]]+Table20[[#This Row],[ex1_amnt]])/(Table20[[#This Row],[Exit2]]+Table20[[#This Row],[Exit1]]),0)</f>
        <v>1.27</v>
      </c>
      <c r="T367" s="5">
        <f>(Table20[[#This Row],[Exit1]]+Table20[[#This Row],[Exit2]])*(Table20[[#This Row],[avg_exit_price]]-Table20[[#This Row],[AvePrice]])*100*Table20[[#This Row],[Buy or Sell]]</f>
        <v>596</v>
      </c>
      <c r="U367" s="5">
        <f>Table20[[#This Row],[Number of options]]*Table20[[#This Row],[AvePrice]]*100*Table20[[#This Row],[Buy or Sell]]</f>
        <v>-850</v>
      </c>
      <c r="V367" s="8">
        <f>Table20[[#This Row],[Number of options]]-Table20[[#This Row],[Exit1]]-Table20[[#This Row],[Exit2]]</f>
        <v>0</v>
      </c>
      <c r="W367" s="30">
        <f ca="1">(Table20[[#This Row],[Expiration Date]]-TODAY())/365</f>
        <v>-1.3589041095890411</v>
      </c>
      <c r="X367" s="30" t="e">
        <f ca="1">(LN(Table20[[#This Row],[Current Price]]/Table20[[#This Row],[strike_price]]) + ($B$2 + (Table20[[#This Row],[Vol]]^2)/2)*Table20[[#This Row],[Time to expiration]]) / (Table20[[#This Row],[Vol]] * SQRT(Table20[[#This Row],[Time to expiration]]))</f>
        <v>#NUM!</v>
      </c>
      <c r="Y367" s="30" t="e">
        <f ca="1">IF(Table20[[#This Row],[Direction]]&gt;0, _xlfn.NORM.S.DIST(Table20[[#This Row],[d1]], TRUE), _xlfn.NORM.S.DIST(Table20[[#This Row],[d1]], TRUE) - 1) * Table20[[#This Row],[Buy or Sell]]</f>
        <v>#NUM!</v>
      </c>
      <c r="Z367" s="9">
        <f ca="1">Table20[[#This Row],[Remaining]]*Table20[[#This Row],[Current Price]]*100</f>
        <v>0</v>
      </c>
      <c r="AA367" s="22">
        <f ca="1">IFERROR(Table20[[#This Row],[nominal_exposure]]*Table20[[#This Row],[Delta]],0)</f>
        <v>0</v>
      </c>
      <c r="AB367" s="30" t="b">
        <f>IF(Table20[[#This Row],[date_purchased]]&lt;&gt;Table20[[#This Row],[Expiration Date]],FALSE,TRUE)</f>
        <v>0</v>
      </c>
      <c r="AC367" s="30" t="str">
        <f>VLOOKUP(Table20[[#This Row],[Asset]],Table19[#All],3,FALSE)</f>
        <v>AI</v>
      </c>
      <c r="AD367" s="30">
        <f>IF(Table20[[#This Row],[Remaining]]&lt;&gt;0,Table20[[#This Row],[Invested]]*Table20[[#This Row],[Remaining]]/Table20[[#This Row],[Number of options]],0)</f>
        <v>0</v>
      </c>
      <c r="AE367" s="30">
        <f ca="1">SUMIF(Table20[Ticker],Table20[[#This Row],[Ticker]],Table20[realized_profit])</f>
        <v>-2175.9999999999995</v>
      </c>
      <c r="AF367" s="30" t="str">
        <f>VLOOKUP(Table20[[#This Row],[Strategy]],Table29[#All],7,FALSE)</f>
        <v>Bullish</v>
      </c>
    </row>
    <row r="368" spans="1:32" hidden="1">
      <c r="A368" s="231">
        <v>45611</v>
      </c>
      <c r="B368" s="21" t="e" vm="177">
        <v>#VALUE!</v>
      </c>
      <c r="C368" s="109" t="str" cm="1">
        <f t="array" aca="1" ref="C368" ca="1">_FV(Table20[[#This Row],[Asset]],"Ticker symbol",TRUE)</f>
        <v>ACHC</v>
      </c>
      <c r="D368" s="26" cm="1">
        <f t="array" aca="1" ref="D368" ca="1">_FV(Table20[[#This Row],[Asset]],"Price")</f>
        <v>23.78</v>
      </c>
      <c r="E368" s="26">
        <v>50</v>
      </c>
      <c r="F368" s="33">
        <v>1</v>
      </c>
      <c r="G368" s="34">
        <v>1</v>
      </c>
      <c r="H368" s="34" t="s">
        <v>65</v>
      </c>
      <c r="I368" s="31">
        <v>45583</v>
      </c>
      <c r="J368" s="26">
        <v>3.8</v>
      </c>
      <c r="K368" s="24">
        <v>0.81220000000000003</v>
      </c>
      <c r="L368" s="33">
        <f>VLOOKUP(Table20[[#This Row],[Strategy]],Table29[#All],6,FALSE)</f>
        <v>-1</v>
      </c>
      <c r="M368" s="23">
        <v>1</v>
      </c>
      <c r="N368" s="23">
        <v>10</v>
      </c>
      <c r="O368" s="23"/>
      <c r="P368" s="23"/>
      <c r="Q368">
        <f>Table20[[#This Row],[Exit1]]*Table20[[#This Row],[ex1_price]]</f>
        <v>10</v>
      </c>
      <c r="R368">
        <f>Table20[[#This Row],[Exit2]]*Table20[[#This Row],[ex2_price]]</f>
        <v>0</v>
      </c>
      <c r="S368">
        <f>IFERROR((Table20[[#This Row],[ex2_amnt]]+Table20[[#This Row],[ex1_amnt]])/(Table20[[#This Row],[Exit2]]+Table20[[#This Row],[Exit1]]),0)</f>
        <v>10</v>
      </c>
      <c r="T368" s="5">
        <f>(Table20[[#This Row],[Exit1]]+Table20[[#This Row],[Exit2]])*(Table20[[#This Row],[avg_exit_price]]-Table20[[#This Row],[AvePrice]])*100*Table20[[#This Row],[Buy or Sell]]</f>
        <v>620</v>
      </c>
      <c r="U368" s="5">
        <f>Table20[[#This Row],[Number of options]]*Table20[[#This Row],[AvePrice]]*100*Table20[[#This Row],[Buy or Sell]]</f>
        <v>380</v>
      </c>
      <c r="V368" s="8">
        <f>Table20[[#This Row],[Number of options]]-Table20[[#This Row],[Exit1]]-Table20[[#This Row],[Exit2]]</f>
        <v>0</v>
      </c>
      <c r="W368" s="30">
        <f ca="1">(Table20[[#This Row],[Expiration Date]]-TODAY())/365</f>
        <v>-1.3589041095890411</v>
      </c>
      <c r="X368" s="30" t="e">
        <f ca="1">(LN(Table20[[#This Row],[Current Price]]/Table20[[#This Row],[strike_price]]) + ($B$2 + (Table20[[#This Row],[Vol]]^2)/2)*Table20[[#This Row],[Time to expiration]]) / (Table20[[#This Row],[Vol]] * SQRT(Table20[[#This Row],[Time to expiration]]))</f>
        <v>#NUM!</v>
      </c>
      <c r="Y368" s="30" t="e">
        <f ca="1">IF(Table20[[#This Row],[Direction]]&gt;0, _xlfn.NORM.S.DIST(Table20[[#This Row],[d1]], TRUE), _xlfn.NORM.S.DIST(Table20[[#This Row],[d1]], TRUE) - 1) * Table20[[#This Row],[Buy or Sell]]</f>
        <v>#NUM!</v>
      </c>
      <c r="Z368" s="9">
        <f ca="1">Table20[[#This Row],[Remaining]]*Table20[[#This Row],[Current Price]]*100</f>
        <v>0</v>
      </c>
      <c r="AA368" s="22">
        <f ca="1">IFERROR(Table20[[#This Row],[nominal_exposure]]*Table20[[#This Row],[Delta]],0)</f>
        <v>0</v>
      </c>
      <c r="AB368" s="30" t="b">
        <f>IF(Table20[[#This Row],[date_purchased]]&lt;&gt;Table20[[#This Row],[Expiration Date]],FALSE,TRUE)</f>
        <v>0</v>
      </c>
      <c r="AC368" s="30" t="str">
        <f>VLOOKUP(Table20[[#This Row],[Asset]],Table19[#All],3,FALSE)</f>
        <v>Health Care</v>
      </c>
      <c r="AD368" s="30">
        <f>IF(Table20[[#This Row],[Remaining]]&lt;&gt;0,Table20[[#This Row],[Invested]]*Table20[[#This Row],[Remaining]]/Table20[[#This Row],[Number of options]],0)</f>
        <v>0</v>
      </c>
      <c r="AE368" s="30">
        <f ca="1">SUMIF(Table20[Ticker],Table20[[#This Row],[Ticker]],Table20[realized_profit])</f>
        <v>620</v>
      </c>
      <c r="AF368" s="30" t="str">
        <f>VLOOKUP(Table20[[#This Row],[Strategy]],Table29[#All],7,FALSE)</f>
        <v>Bearish</v>
      </c>
    </row>
    <row r="369" spans="1:32" hidden="1">
      <c r="A369" s="180">
        <v>45611</v>
      </c>
      <c r="B369" s="21" t="e" vm="25">
        <v>#VALUE!</v>
      </c>
      <c r="C369" s="109" t="str" cm="1">
        <f t="array" aca="1" ref="C369" ca="1">_FV(Table20[[#This Row],[Asset]],"Ticker symbol",TRUE)</f>
        <v>AMAT</v>
      </c>
      <c r="D369" s="26" cm="1">
        <f t="array" aca="1" ref="D369" ca="1">_FV(Table20[[#This Row],[Asset]],"Price")</f>
        <v>374.08</v>
      </c>
      <c r="E369" s="26">
        <v>210</v>
      </c>
      <c r="F369" s="33">
        <v>4</v>
      </c>
      <c r="G369" s="34">
        <v>-1</v>
      </c>
      <c r="H369" s="34" t="s">
        <v>115</v>
      </c>
      <c r="I369" s="31">
        <v>45610</v>
      </c>
      <c r="J369" s="26">
        <v>0.38</v>
      </c>
      <c r="K369" s="24">
        <v>1.4621999999999999</v>
      </c>
      <c r="L369" s="33">
        <f>VLOOKUP(Table20[[#This Row],[Strategy]],Table29[#All],6,FALSE)</f>
        <v>1</v>
      </c>
      <c r="M369" s="23">
        <v>4</v>
      </c>
      <c r="N369" s="23">
        <v>0</v>
      </c>
      <c r="O369" s="23"/>
      <c r="P369" s="23"/>
      <c r="Q369">
        <f>Table20[[#This Row],[Exit1]]*Table20[[#This Row],[ex1_price]]</f>
        <v>0</v>
      </c>
      <c r="R369">
        <f>Table20[[#This Row],[Exit2]]*Table20[[#This Row],[ex2_price]]</f>
        <v>0</v>
      </c>
      <c r="S369">
        <f>IFERROR((Table20[[#This Row],[ex2_amnt]]+Table20[[#This Row],[ex1_amnt]])/(Table20[[#This Row],[Exit2]]+Table20[[#This Row],[Exit1]]),0)</f>
        <v>0</v>
      </c>
      <c r="T369" s="5">
        <f>(Table20[[#This Row],[Exit1]]+Table20[[#This Row],[Exit2]])*(Table20[[#This Row],[avg_exit_price]]-Table20[[#This Row],[AvePrice]])*100*Table20[[#This Row],[Buy or Sell]]</f>
        <v>152</v>
      </c>
      <c r="U369" s="5">
        <f>Table20[[#This Row],[Number of options]]*Table20[[#This Row],[AvePrice]]*100*Table20[[#This Row],[Buy or Sell]]</f>
        <v>-152</v>
      </c>
      <c r="V369" s="8">
        <f>Table20[[#This Row],[Number of options]]-Table20[[#This Row],[Exit1]]-Table20[[#This Row],[Exit2]]</f>
        <v>0</v>
      </c>
      <c r="W369" s="30">
        <f ca="1">(Table20[[#This Row],[Expiration Date]]-TODAY())/365</f>
        <v>-1.3589041095890411</v>
      </c>
      <c r="X369" s="30" t="e">
        <f ca="1">(LN(Table20[[#This Row],[Current Price]]/Table20[[#This Row],[strike_price]]) + ($B$2 + (Table20[[#This Row],[Vol]]^2)/2)*Table20[[#This Row],[Time to expiration]]) / (Table20[[#This Row],[Vol]] * SQRT(Table20[[#This Row],[Time to expiration]]))</f>
        <v>#NUM!</v>
      </c>
      <c r="Y369" s="30" t="e">
        <f ca="1">IF(Table20[[#This Row],[Direction]]&gt;0, _xlfn.NORM.S.DIST(Table20[[#This Row],[d1]], TRUE), _xlfn.NORM.S.DIST(Table20[[#This Row],[d1]], TRUE) - 1) * Table20[[#This Row],[Buy or Sell]]</f>
        <v>#NUM!</v>
      </c>
      <c r="Z369" s="9">
        <f ca="1">Table20[[#This Row],[Remaining]]*Table20[[#This Row],[Current Price]]*100</f>
        <v>0</v>
      </c>
      <c r="AA369" s="22">
        <f ca="1">IFERROR(Table20[[#This Row],[nominal_exposure]]*Table20[[#This Row],[Delta]],0)</f>
        <v>0</v>
      </c>
      <c r="AB369" s="30" t="b">
        <f>IF(Table20[[#This Row],[date_purchased]]&lt;&gt;Table20[[#This Row],[Expiration Date]],FALSE,TRUE)</f>
        <v>0</v>
      </c>
      <c r="AC369" s="30" t="str">
        <f>VLOOKUP(Table20[[#This Row],[Asset]],Table19[#All],3,FALSE)</f>
        <v>Semiconductor</v>
      </c>
      <c r="AD369" s="30">
        <f>IF(Table20[[#This Row],[Remaining]]&lt;&gt;0,Table20[[#This Row],[Invested]]*Table20[[#This Row],[Remaining]]/Table20[[#This Row],[Number of options]],0)</f>
        <v>0</v>
      </c>
      <c r="AE369" s="30">
        <f ca="1">SUMIF(Table20[Ticker],Table20[[#This Row],[Ticker]],Table20[realized_profit])</f>
        <v>-1490.0000000000002</v>
      </c>
      <c r="AF369" s="30" t="str">
        <f>VLOOKUP(Table20[[#This Row],[Strategy]],Table29[#All],7,FALSE)</f>
        <v>Bullish</v>
      </c>
    </row>
    <row r="370" spans="1:32" hidden="1">
      <c r="A370" s="231">
        <v>45611</v>
      </c>
      <c r="B370" s="21" t="e" vm="25">
        <v>#VALUE!</v>
      </c>
      <c r="C370" s="109" t="str" cm="1">
        <f t="array" aca="1" ref="C370" ca="1">_FV(Table20[[#This Row],[Asset]],"Ticker symbol",TRUE)</f>
        <v>AMAT</v>
      </c>
      <c r="D370" s="26" cm="1">
        <f t="array" aca="1" ref="D370" ca="1">_FV(Table20[[#This Row],[Asset]],"Price")</f>
        <v>374.08</v>
      </c>
      <c r="E370" s="26">
        <v>220</v>
      </c>
      <c r="F370" s="33">
        <v>2</v>
      </c>
      <c r="G370" s="34">
        <v>-1</v>
      </c>
      <c r="H370" s="34" t="s">
        <v>115</v>
      </c>
      <c r="I370" s="31">
        <v>45594</v>
      </c>
      <c r="J370" s="26">
        <v>0.71</v>
      </c>
      <c r="K370" s="24">
        <v>0.4955</v>
      </c>
      <c r="L370" s="33">
        <f>VLOOKUP(Table20[[#This Row],[Strategy]],Table29[#All],6,FALSE)</f>
        <v>1</v>
      </c>
      <c r="M370" s="23">
        <v>2</v>
      </c>
      <c r="N370" s="23">
        <v>0.11</v>
      </c>
      <c r="O370" s="23"/>
      <c r="P370" s="23"/>
      <c r="Q370">
        <f>Table20[[#This Row],[Exit1]]*Table20[[#This Row],[ex1_price]]</f>
        <v>0.22</v>
      </c>
      <c r="R370">
        <f>Table20[[#This Row],[Exit2]]*Table20[[#This Row],[ex2_price]]</f>
        <v>0</v>
      </c>
      <c r="S370">
        <f>IFERROR((Table20[[#This Row],[ex2_amnt]]+Table20[[#This Row],[ex1_amnt]])/(Table20[[#This Row],[Exit2]]+Table20[[#This Row],[Exit1]]),0)</f>
        <v>0.11</v>
      </c>
      <c r="T370" s="5">
        <f>(Table20[[#This Row],[Exit1]]+Table20[[#This Row],[Exit2]])*(Table20[[#This Row],[avg_exit_price]]-Table20[[#This Row],[AvePrice]])*100*Table20[[#This Row],[Buy or Sell]]</f>
        <v>120</v>
      </c>
      <c r="U370" s="5">
        <f>Table20[[#This Row],[Number of options]]*Table20[[#This Row],[AvePrice]]*100*Table20[[#This Row],[Buy or Sell]]</f>
        <v>-142</v>
      </c>
      <c r="V370" s="8">
        <f>Table20[[#This Row],[Number of options]]-Table20[[#This Row],[Exit1]]-Table20[[#This Row],[Exit2]]</f>
        <v>0</v>
      </c>
      <c r="W370" s="30">
        <f ca="1">(Table20[[#This Row],[Expiration Date]]-TODAY())/365</f>
        <v>-1.3589041095890411</v>
      </c>
      <c r="X370" s="30" t="e">
        <f ca="1">(LN(Table20[[#This Row],[Current Price]]/Table20[[#This Row],[strike_price]]) + ($B$2 + (Table20[[#This Row],[Vol]]^2)/2)*Table20[[#This Row],[Time to expiration]]) / (Table20[[#This Row],[Vol]] * SQRT(Table20[[#This Row],[Time to expiration]]))</f>
        <v>#NUM!</v>
      </c>
      <c r="Y370" s="30" t="e">
        <f ca="1">IF(Table20[[#This Row],[Direction]]&gt;0, _xlfn.NORM.S.DIST(Table20[[#This Row],[d1]], TRUE), _xlfn.NORM.S.DIST(Table20[[#This Row],[d1]], TRUE) - 1) * Table20[[#This Row],[Buy or Sell]]</f>
        <v>#NUM!</v>
      </c>
      <c r="Z370" s="9">
        <f ca="1">Table20[[#This Row],[Remaining]]*Table20[[#This Row],[Current Price]]*100</f>
        <v>0</v>
      </c>
      <c r="AA370" s="22">
        <f ca="1">IFERROR(Table20[[#This Row],[nominal_exposure]]*Table20[[#This Row],[Delta]],0)</f>
        <v>0</v>
      </c>
      <c r="AB370" s="30" t="b">
        <f>IF(Table20[[#This Row],[date_purchased]]&lt;&gt;Table20[[#This Row],[Expiration Date]],FALSE,TRUE)</f>
        <v>0</v>
      </c>
      <c r="AC370" s="30" t="str">
        <f>VLOOKUP(Table20[[#This Row],[Asset]],Table19[#All],3,FALSE)</f>
        <v>Semiconductor</v>
      </c>
      <c r="AD370" s="30">
        <f>IF(Table20[[#This Row],[Remaining]]&lt;&gt;0,Table20[[#This Row],[Invested]]*Table20[[#This Row],[Remaining]]/Table20[[#This Row],[Number of options]],0)</f>
        <v>0</v>
      </c>
      <c r="AE370" s="30">
        <f ca="1">SUMIF(Table20[Ticker],Table20[[#This Row],[Ticker]],Table20[realized_profit])</f>
        <v>-1490.0000000000002</v>
      </c>
      <c r="AF370" s="30" t="str">
        <f>VLOOKUP(Table20[[#This Row],[Strategy]],Table29[#All],7,FALSE)</f>
        <v>Bullish</v>
      </c>
    </row>
    <row r="371" spans="1:32" hidden="1">
      <c r="A371" s="231">
        <v>45611</v>
      </c>
      <c r="B371" s="21" t="e" vm="167">
        <v>#VALUE!</v>
      </c>
      <c r="C371" s="109" t="str" cm="1">
        <f t="array" aca="1" ref="C371" ca="1">_FV(Table20[[#This Row],[Asset]],"Ticker symbol",TRUE)</f>
        <v>INFY</v>
      </c>
      <c r="D371" s="26" cm="1">
        <f t="array" aca="1" ref="D371" ca="1">_FV(Table20[[#This Row],[Asset]],"Price")</f>
        <v>13.2</v>
      </c>
      <c r="E371" s="26">
        <v>21</v>
      </c>
      <c r="F371" s="33">
        <v>10</v>
      </c>
      <c r="G371" s="34">
        <v>1</v>
      </c>
      <c r="H371" s="34" t="s">
        <v>65</v>
      </c>
      <c r="I371" s="31">
        <v>45594</v>
      </c>
      <c r="J371" s="26">
        <v>0.2</v>
      </c>
      <c r="K371" s="24">
        <v>0.28599999999999998</v>
      </c>
      <c r="L371" s="33">
        <f>VLOOKUP(Table20[[#This Row],[Strategy]],Table29[#All],6,FALSE)</f>
        <v>-1</v>
      </c>
      <c r="M371" s="23">
        <v>10</v>
      </c>
      <c r="N371" s="23">
        <v>0.5</v>
      </c>
      <c r="O371" s="23"/>
      <c r="P371" s="23"/>
      <c r="Q371">
        <f>Table20[[#This Row],[Exit1]]*Table20[[#This Row],[ex1_price]]</f>
        <v>5</v>
      </c>
      <c r="R371">
        <f>Table20[[#This Row],[Exit2]]*Table20[[#This Row],[ex2_price]]</f>
        <v>0</v>
      </c>
      <c r="S371">
        <f>IFERROR((Table20[[#This Row],[ex2_amnt]]+Table20[[#This Row],[ex1_amnt]])/(Table20[[#This Row],[Exit2]]+Table20[[#This Row],[Exit1]]),0)</f>
        <v>0.5</v>
      </c>
      <c r="T371" s="5">
        <f>(Table20[[#This Row],[Exit1]]+Table20[[#This Row],[Exit2]])*(Table20[[#This Row],[avg_exit_price]]-Table20[[#This Row],[AvePrice]])*100*Table20[[#This Row],[Buy or Sell]]</f>
        <v>300</v>
      </c>
      <c r="U371" s="5">
        <f>Table20[[#This Row],[Number of options]]*Table20[[#This Row],[AvePrice]]*100*Table20[[#This Row],[Buy or Sell]]</f>
        <v>200</v>
      </c>
      <c r="V371" s="8">
        <f>Table20[[#This Row],[Number of options]]-Table20[[#This Row],[Exit1]]-Table20[[#This Row],[Exit2]]</f>
        <v>0</v>
      </c>
      <c r="W371" s="30">
        <f ca="1">(Table20[[#This Row],[Expiration Date]]-TODAY())/365</f>
        <v>-1.3589041095890411</v>
      </c>
      <c r="X371" s="30" t="e">
        <f ca="1">(LN(Table20[[#This Row],[Current Price]]/Table20[[#This Row],[strike_price]]) + ($B$2 + (Table20[[#This Row],[Vol]]^2)/2)*Table20[[#This Row],[Time to expiration]]) / (Table20[[#This Row],[Vol]] * SQRT(Table20[[#This Row],[Time to expiration]]))</f>
        <v>#NUM!</v>
      </c>
      <c r="Y371" s="30" t="e">
        <f ca="1">IF(Table20[[#This Row],[Direction]]&gt;0, _xlfn.NORM.S.DIST(Table20[[#This Row],[d1]], TRUE), _xlfn.NORM.S.DIST(Table20[[#This Row],[d1]], TRUE) - 1) * Table20[[#This Row],[Buy or Sell]]</f>
        <v>#NUM!</v>
      </c>
      <c r="Z371" s="9">
        <f ca="1">Table20[[#This Row],[Remaining]]*Table20[[#This Row],[Current Price]]*100</f>
        <v>0</v>
      </c>
      <c r="AA371" s="22">
        <f ca="1">IFERROR(Table20[[#This Row],[nominal_exposure]]*Table20[[#This Row],[Delta]],0)</f>
        <v>0</v>
      </c>
      <c r="AB371" s="30" t="b">
        <f>IF(Table20[[#This Row],[date_purchased]]&lt;&gt;Table20[[#This Row],[Expiration Date]],FALSE,TRUE)</f>
        <v>0</v>
      </c>
      <c r="AC371" s="30" t="str">
        <f>VLOOKUP(Table20[[#This Row],[Asset]],Table19[#All],3,FALSE)</f>
        <v>Technology</v>
      </c>
      <c r="AD371" s="30">
        <f>IF(Table20[[#This Row],[Remaining]]&lt;&gt;0,Table20[[#This Row],[Invested]]*Table20[[#This Row],[Remaining]]/Table20[[#This Row],[Number of options]],0)</f>
        <v>0</v>
      </c>
      <c r="AE371" s="30">
        <f ca="1">SUMIF(Table20[Ticker],Table20[[#This Row],[Ticker]],Table20[realized_profit])</f>
        <v>300</v>
      </c>
      <c r="AF371" s="30" t="str">
        <f>VLOOKUP(Table20[[#This Row],[Strategy]],Table29[#All],7,FALSE)</f>
        <v>Bearish</v>
      </c>
    </row>
    <row r="372" spans="1:32" hidden="1">
      <c r="A372" s="231">
        <v>45611</v>
      </c>
      <c r="B372" s="21" t="e" vm="135">
        <v>#VALUE!</v>
      </c>
      <c r="C372" s="109" t="str" cm="1">
        <f t="array" aca="1" ref="C372" ca="1">_FV(Table20[[#This Row],[Asset]],"Ticker symbol",TRUE)</f>
        <v>CRM</v>
      </c>
      <c r="D372" s="26" cm="1">
        <f t="array" aca="1" ref="D372" ca="1">_FV(Table20[[#This Row],[Asset]],"Price")</f>
        <v>183.79</v>
      </c>
      <c r="E372" s="26">
        <v>290</v>
      </c>
      <c r="F372" s="33">
        <v>1</v>
      </c>
      <c r="G372" s="34">
        <v>1</v>
      </c>
      <c r="H372" s="34" t="s">
        <v>112</v>
      </c>
      <c r="I372" s="31">
        <v>45595</v>
      </c>
      <c r="J372" s="26">
        <v>3.91</v>
      </c>
      <c r="K372" s="24">
        <v>0.31580000000000003</v>
      </c>
      <c r="L372" s="33">
        <f>VLOOKUP(Table20[[#This Row],[Strategy]],Table29[#All],6,FALSE)</f>
        <v>-1</v>
      </c>
      <c r="M372" s="23">
        <v>1</v>
      </c>
      <c r="N372" s="23">
        <v>2.94</v>
      </c>
      <c r="O372" s="23"/>
      <c r="P372" s="23"/>
      <c r="Q372">
        <f>Table20[[#This Row],[Exit1]]*Table20[[#This Row],[ex1_price]]</f>
        <v>2.94</v>
      </c>
      <c r="R372">
        <f>Table20[[#This Row],[Exit2]]*Table20[[#This Row],[ex2_price]]</f>
        <v>0</v>
      </c>
      <c r="S372">
        <f>IFERROR((Table20[[#This Row],[ex2_amnt]]+Table20[[#This Row],[ex1_amnt]])/(Table20[[#This Row],[Exit2]]+Table20[[#This Row],[Exit1]]),0)</f>
        <v>2.94</v>
      </c>
      <c r="T372" s="5">
        <f>(Table20[[#This Row],[Exit1]]+Table20[[#This Row],[Exit2]])*(Table20[[#This Row],[avg_exit_price]]-Table20[[#This Row],[AvePrice]])*100*Table20[[#This Row],[Buy or Sell]]</f>
        <v>-97.000000000000014</v>
      </c>
      <c r="U372" s="5">
        <f>Table20[[#This Row],[Number of options]]*Table20[[#This Row],[AvePrice]]*100*Table20[[#This Row],[Buy or Sell]]</f>
        <v>391</v>
      </c>
      <c r="V372" s="8">
        <f>Table20[[#This Row],[Number of options]]-Table20[[#This Row],[Exit1]]-Table20[[#This Row],[Exit2]]</f>
        <v>0</v>
      </c>
      <c r="W372" s="30">
        <f ca="1">(Table20[[#This Row],[Expiration Date]]-TODAY())/365</f>
        <v>-1.3589041095890411</v>
      </c>
      <c r="X372" s="30" t="e">
        <f ca="1">(LN(Table20[[#This Row],[Current Price]]/Table20[[#This Row],[strike_price]]) + ($B$2 + (Table20[[#This Row],[Vol]]^2)/2)*Table20[[#This Row],[Time to expiration]]) / (Table20[[#This Row],[Vol]] * SQRT(Table20[[#This Row],[Time to expiration]]))</f>
        <v>#NUM!</v>
      </c>
      <c r="Y372" s="30" t="e">
        <f ca="1">IF(Table20[[#This Row],[Direction]]&gt;0, _xlfn.NORM.S.DIST(Table20[[#This Row],[d1]], TRUE), _xlfn.NORM.S.DIST(Table20[[#This Row],[d1]], TRUE) - 1) * Table20[[#This Row],[Buy or Sell]]</f>
        <v>#NUM!</v>
      </c>
      <c r="Z372" s="9">
        <f ca="1">Table20[[#This Row],[Remaining]]*Table20[[#This Row],[Current Price]]*100</f>
        <v>0</v>
      </c>
      <c r="AA372" s="22">
        <f ca="1">IFERROR(Table20[[#This Row],[nominal_exposure]]*Table20[[#This Row],[Delta]],0)</f>
        <v>0</v>
      </c>
      <c r="AB372" s="30" t="b">
        <f>IF(Table20[[#This Row],[date_purchased]]&lt;&gt;Table20[[#This Row],[Expiration Date]],FALSE,TRUE)</f>
        <v>0</v>
      </c>
      <c r="AC372" s="30" t="str">
        <f>VLOOKUP(Table20[[#This Row],[Asset]],Table19[#All],3,FALSE)</f>
        <v>Technology</v>
      </c>
      <c r="AD372" s="30">
        <f>IF(Table20[[#This Row],[Remaining]]&lt;&gt;0,Table20[[#This Row],[Invested]]*Table20[[#This Row],[Remaining]]/Table20[[#This Row],[Number of options]],0)</f>
        <v>0</v>
      </c>
      <c r="AE372" s="30">
        <f ca="1">SUMIF(Table20[Ticker],Table20[[#This Row],[Ticker]],Table20[realized_profit])</f>
        <v>-606</v>
      </c>
      <c r="AF372" s="30" t="str">
        <f>VLOOKUP(Table20[[#This Row],[Strategy]],Table29[#All],7,FALSE)</f>
        <v>Bearish</v>
      </c>
    </row>
    <row r="373" spans="1:32" hidden="1">
      <c r="A373" s="231">
        <v>45611</v>
      </c>
      <c r="B373" s="21" t="e" vm="135">
        <v>#VALUE!</v>
      </c>
      <c r="C373" s="109" t="str" cm="1">
        <f t="array" aca="1" ref="C373" ca="1">_FV(Table20[[#This Row],[Asset]],"Ticker symbol",TRUE)</f>
        <v>CRM</v>
      </c>
      <c r="D373" s="26" cm="1">
        <f t="array" aca="1" ref="D373" ca="1">_FV(Table20[[#This Row],[Asset]],"Price")</f>
        <v>183.79</v>
      </c>
      <c r="E373" s="26">
        <v>270</v>
      </c>
      <c r="F373" s="33">
        <v>1</v>
      </c>
      <c r="G373" s="34">
        <v>-1</v>
      </c>
      <c r="H373" s="34" t="s">
        <v>112</v>
      </c>
      <c r="I373" s="31">
        <v>45595</v>
      </c>
      <c r="J373" s="26">
        <v>0.78</v>
      </c>
      <c r="K373" s="24">
        <v>0.35</v>
      </c>
      <c r="L373" s="33">
        <f>VLOOKUP(Table20[[#This Row],[Strategy]],Table29[#All],6,FALSE)</f>
        <v>-1</v>
      </c>
      <c r="M373" s="23">
        <v>1</v>
      </c>
      <c r="N373" s="23">
        <v>0.53</v>
      </c>
      <c r="O373" s="23"/>
      <c r="P373" s="23"/>
      <c r="Q373">
        <f>Table20[[#This Row],[Exit1]]*Table20[[#This Row],[ex1_price]]</f>
        <v>0.53</v>
      </c>
      <c r="R373">
        <f>Table20[[#This Row],[Exit2]]*Table20[[#This Row],[ex2_price]]</f>
        <v>0</v>
      </c>
      <c r="S373">
        <f>IFERROR((Table20[[#This Row],[ex2_amnt]]+Table20[[#This Row],[ex1_amnt]])/(Table20[[#This Row],[Exit2]]+Table20[[#This Row],[Exit1]]),0)</f>
        <v>0.53</v>
      </c>
      <c r="T373" s="5">
        <f>(Table20[[#This Row],[Exit1]]+Table20[[#This Row],[Exit2]])*(Table20[[#This Row],[avg_exit_price]]-Table20[[#This Row],[AvePrice]])*100*Table20[[#This Row],[Buy or Sell]]</f>
        <v>25</v>
      </c>
      <c r="U373" s="5">
        <f>Table20[[#This Row],[Number of options]]*Table20[[#This Row],[AvePrice]]*100*Table20[[#This Row],[Buy or Sell]]</f>
        <v>-78</v>
      </c>
      <c r="V373" s="8">
        <f>Table20[[#This Row],[Number of options]]-Table20[[#This Row],[Exit1]]-Table20[[#This Row],[Exit2]]</f>
        <v>0</v>
      </c>
      <c r="W373" s="30">
        <f ca="1">(Table20[[#This Row],[Expiration Date]]-TODAY())/365</f>
        <v>-1.3589041095890411</v>
      </c>
      <c r="X373" s="30" t="e">
        <f ca="1">(LN(Table20[[#This Row],[Current Price]]/Table20[[#This Row],[strike_price]]) + ($B$2 + (Table20[[#This Row],[Vol]]^2)/2)*Table20[[#This Row],[Time to expiration]]) / (Table20[[#This Row],[Vol]] * SQRT(Table20[[#This Row],[Time to expiration]]))</f>
        <v>#NUM!</v>
      </c>
      <c r="Y373" s="30" t="e">
        <f ca="1">IF(Table20[[#This Row],[Direction]]&gt;0, _xlfn.NORM.S.DIST(Table20[[#This Row],[d1]], TRUE), _xlfn.NORM.S.DIST(Table20[[#This Row],[d1]], TRUE) - 1) * Table20[[#This Row],[Buy or Sell]]</f>
        <v>#NUM!</v>
      </c>
      <c r="Z373" s="9">
        <f ca="1">Table20[[#This Row],[Remaining]]*Table20[[#This Row],[Current Price]]*100</f>
        <v>0</v>
      </c>
      <c r="AA373" s="22">
        <f ca="1">IFERROR(Table20[[#This Row],[nominal_exposure]]*Table20[[#This Row],[Delta]],0)</f>
        <v>0</v>
      </c>
      <c r="AB373" s="30" t="b">
        <f>IF(Table20[[#This Row],[date_purchased]]&lt;&gt;Table20[[#This Row],[Expiration Date]],FALSE,TRUE)</f>
        <v>0</v>
      </c>
      <c r="AC373" s="30" t="str">
        <f>VLOOKUP(Table20[[#This Row],[Asset]],Table19[#All],3,FALSE)</f>
        <v>Technology</v>
      </c>
      <c r="AD373" s="30">
        <f>IF(Table20[[#This Row],[Remaining]]&lt;&gt;0,Table20[[#This Row],[Invested]]*Table20[[#This Row],[Remaining]]/Table20[[#This Row],[Number of options]],0)</f>
        <v>0</v>
      </c>
      <c r="AE373" s="30">
        <f ca="1">SUMIF(Table20[Ticker],Table20[[#This Row],[Ticker]],Table20[realized_profit])</f>
        <v>-606</v>
      </c>
      <c r="AF373" s="30" t="str">
        <f>VLOOKUP(Table20[[#This Row],[Strategy]],Table29[#All],7,FALSE)</f>
        <v>Bearish</v>
      </c>
    </row>
    <row r="374" spans="1:32" hidden="1">
      <c r="A374" s="180">
        <v>45618</v>
      </c>
      <c r="B374" s="21" t="e" vm="159">
        <v>#VALUE!</v>
      </c>
      <c r="C374" s="109" t="str" cm="1">
        <f t="array" aca="1" ref="C374" ca="1">_FV(Table20[[#This Row],[Asset]],"Ticker symbol",TRUE)</f>
        <v>BABA</v>
      </c>
      <c r="D374" s="26" cm="1">
        <f t="array" aca="1" ref="D374" ca="1">_FV(Table20[[#This Row],[Asset]],"Price")</f>
        <v>129.63999999999999</v>
      </c>
      <c r="E374" s="26">
        <v>100</v>
      </c>
      <c r="F374" s="33">
        <v>1</v>
      </c>
      <c r="G374" s="34">
        <v>1</v>
      </c>
      <c r="H374" s="34" t="s">
        <v>115</v>
      </c>
      <c r="I374" s="31">
        <v>45589</v>
      </c>
      <c r="J374" s="26">
        <v>3.57</v>
      </c>
      <c r="K374" s="24">
        <v>0.48</v>
      </c>
      <c r="L374" s="33">
        <f>VLOOKUP(Table20[[#This Row],[Strategy]],Table29[#All],6,FALSE)</f>
        <v>1</v>
      </c>
      <c r="M374" s="23">
        <v>1</v>
      </c>
      <c r="N374" s="23">
        <v>4.03</v>
      </c>
      <c r="O374" s="23"/>
      <c r="P374" s="23"/>
      <c r="Q374">
        <f>Table20[[#This Row],[Exit1]]*Table20[[#This Row],[ex1_price]]</f>
        <v>4.03</v>
      </c>
      <c r="R374">
        <f>Table20[[#This Row],[Exit2]]*Table20[[#This Row],[ex2_price]]</f>
        <v>0</v>
      </c>
      <c r="S374">
        <f>IFERROR((Table20[[#This Row],[ex2_amnt]]+Table20[[#This Row],[ex1_amnt]])/(Table20[[#This Row],[Exit2]]+Table20[[#This Row],[Exit1]]),0)</f>
        <v>4.03</v>
      </c>
      <c r="T374" s="5">
        <f>(Table20[[#This Row],[Exit1]]+Table20[[#This Row],[Exit2]])*(Table20[[#This Row],[avg_exit_price]]-Table20[[#This Row],[AvePrice]])*100*Table20[[#This Row],[Buy or Sell]]</f>
        <v>46.000000000000043</v>
      </c>
      <c r="U374" s="5">
        <f>Table20[[#This Row],[Number of options]]*Table20[[#This Row],[AvePrice]]*100*Table20[[#This Row],[Buy or Sell]]</f>
        <v>357</v>
      </c>
      <c r="V374" s="8">
        <f>Table20[[#This Row],[Number of options]]-Table20[[#This Row],[Exit1]]-Table20[[#This Row],[Exit2]]</f>
        <v>0</v>
      </c>
      <c r="W374" s="30">
        <f ca="1">(Table20[[#This Row],[Expiration Date]]-TODAY())/365</f>
        <v>-1.3397260273972602</v>
      </c>
      <c r="X374" s="30" t="e">
        <f ca="1">(LN(Table20[[#This Row],[Current Price]]/Table20[[#This Row],[strike_price]]) + ($B$2 + (Table20[[#This Row],[Vol]]^2)/2)*Table20[[#This Row],[Time to expiration]]) / (Table20[[#This Row],[Vol]] * SQRT(Table20[[#This Row],[Time to expiration]]))</f>
        <v>#NUM!</v>
      </c>
      <c r="Y374" s="30" t="e">
        <f ca="1">IF(Table20[[#This Row],[Direction]]&gt;0, _xlfn.NORM.S.DIST(Table20[[#This Row],[d1]], TRUE), _xlfn.NORM.S.DIST(Table20[[#This Row],[d1]], TRUE) - 1) * Table20[[#This Row],[Buy or Sell]]</f>
        <v>#NUM!</v>
      </c>
      <c r="Z374" s="9">
        <f ca="1">Table20[[#This Row],[Remaining]]*Table20[[#This Row],[Current Price]]*100</f>
        <v>0</v>
      </c>
      <c r="AA374" s="22">
        <f ca="1">IFERROR(Table20[[#This Row],[nominal_exposure]]*Table20[[#This Row],[Delta]],0)</f>
        <v>0</v>
      </c>
      <c r="AB374" s="30" t="b">
        <f>IF(Table20[[#This Row],[date_purchased]]&lt;&gt;Table20[[#This Row],[Expiration Date]],FALSE,TRUE)</f>
        <v>0</v>
      </c>
      <c r="AC374" s="30" t="str">
        <f>VLOOKUP(Table20[[#This Row],[Asset]],Table19[#All],3,FALSE)</f>
        <v>China</v>
      </c>
      <c r="AD374" s="30">
        <f>IF(Table20[[#This Row],[Remaining]]&lt;&gt;0,Table20[[#This Row],[Invested]]*Table20[[#This Row],[Remaining]]/Table20[[#This Row],[Number of options]],0)</f>
        <v>0</v>
      </c>
      <c r="AE374" s="30">
        <f ca="1">SUMIF(Table20[Ticker],Table20[[#This Row],[Ticker]],Table20[realized_profit])</f>
        <v>5855</v>
      </c>
      <c r="AF374" s="30" t="str">
        <f>VLOOKUP(Table20[[#This Row],[Strategy]],Table29[#All],7,FALSE)</f>
        <v>Bullish</v>
      </c>
    </row>
    <row r="375" spans="1:32" hidden="1">
      <c r="A375" s="180">
        <v>45618</v>
      </c>
      <c r="B375" s="21" t="e" vm="159">
        <v>#VALUE!</v>
      </c>
      <c r="C375" s="109" t="str" cm="1">
        <f t="array" aca="1" ref="C375" ca="1">_FV(Table20[[#This Row],[Asset]],"Ticker symbol",TRUE)</f>
        <v>BABA</v>
      </c>
      <c r="D375" s="26" cm="1">
        <f t="array" aca="1" ref="D375" ca="1">_FV(Table20[[#This Row],[Asset]],"Price")</f>
        <v>129.63999999999999</v>
      </c>
      <c r="E375" s="26">
        <v>120</v>
      </c>
      <c r="F375" s="33">
        <v>1</v>
      </c>
      <c r="G375" s="34">
        <v>-1</v>
      </c>
      <c r="H375" s="34" t="s">
        <v>115</v>
      </c>
      <c r="I375" s="31">
        <v>45589</v>
      </c>
      <c r="J375" s="26">
        <v>0.56999999999999995</v>
      </c>
      <c r="K375" s="24">
        <v>0.55049999999999999</v>
      </c>
      <c r="L375" s="33">
        <f>VLOOKUP(Table20[[#This Row],[Strategy]],Table29[#All],6,FALSE)</f>
        <v>1</v>
      </c>
      <c r="M375" s="23">
        <v>1</v>
      </c>
      <c r="N375" s="23">
        <v>0.54</v>
      </c>
      <c r="O375" s="23"/>
      <c r="P375" s="23"/>
      <c r="Q375">
        <f>Table20[[#This Row],[Exit1]]*Table20[[#This Row],[ex1_price]]</f>
        <v>0.54</v>
      </c>
      <c r="R375">
        <f>Table20[[#This Row],[Exit2]]*Table20[[#This Row],[ex2_price]]</f>
        <v>0</v>
      </c>
      <c r="S375">
        <f>IFERROR((Table20[[#This Row],[ex2_amnt]]+Table20[[#This Row],[ex1_amnt]])/(Table20[[#This Row],[Exit2]]+Table20[[#This Row],[Exit1]]),0)</f>
        <v>0.54</v>
      </c>
      <c r="T375" s="5">
        <f>(Table20[[#This Row],[Exit1]]+Table20[[#This Row],[Exit2]])*(Table20[[#This Row],[avg_exit_price]]-Table20[[#This Row],[AvePrice]])*100*Table20[[#This Row],[Buy or Sell]]</f>
        <v>2.9999999999999916</v>
      </c>
      <c r="U375" s="5">
        <f>Table20[[#This Row],[Number of options]]*Table20[[#This Row],[AvePrice]]*100*Table20[[#This Row],[Buy or Sell]]</f>
        <v>-56.999999999999993</v>
      </c>
      <c r="V375" s="8">
        <f>Table20[[#This Row],[Number of options]]-Table20[[#This Row],[Exit1]]-Table20[[#This Row],[Exit2]]</f>
        <v>0</v>
      </c>
      <c r="W375" s="30">
        <f ca="1">(Table20[[#This Row],[Expiration Date]]-TODAY())/365</f>
        <v>-1.3397260273972602</v>
      </c>
      <c r="X375" s="30" t="e">
        <f ca="1">(LN(Table20[[#This Row],[Current Price]]/Table20[[#This Row],[strike_price]]) + ($B$2 + (Table20[[#This Row],[Vol]]^2)/2)*Table20[[#This Row],[Time to expiration]]) / (Table20[[#This Row],[Vol]] * SQRT(Table20[[#This Row],[Time to expiration]]))</f>
        <v>#NUM!</v>
      </c>
      <c r="Y375" s="30" t="e">
        <f ca="1">IF(Table20[[#This Row],[Direction]]&gt;0, _xlfn.NORM.S.DIST(Table20[[#This Row],[d1]], TRUE), _xlfn.NORM.S.DIST(Table20[[#This Row],[d1]], TRUE) - 1) * Table20[[#This Row],[Buy or Sell]]</f>
        <v>#NUM!</v>
      </c>
      <c r="Z375" s="9">
        <f ca="1">Table20[[#This Row],[Remaining]]*Table20[[#This Row],[Current Price]]*100</f>
        <v>0</v>
      </c>
      <c r="AA375" s="22">
        <f ca="1">IFERROR(Table20[[#This Row],[nominal_exposure]]*Table20[[#This Row],[Delta]],0)</f>
        <v>0</v>
      </c>
      <c r="AB375" s="30" t="b">
        <f>IF(Table20[[#This Row],[date_purchased]]&lt;&gt;Table20[[#This Row],[Expiration Date]],FALSE,TRUE)</f>
        <v>0</v>
      </c>
      <c r="AC375" s="30" t="str">
        <f>VLOOKUP(Table20[[#This Row],[Asset]],Table19[#All],3,FALSE)</f>
        <v>China</v>
      </c>
      <c r="AD375" s="30">
        <f>IF(Table20[[#This Row],[Remaining]]&lt;&gt;0,Table20[[#This Row],[Invested]]*Table20[[#This Row],[Remaining]]/Table20[[#This Row],[Number of options]],0)</f>
        <v>0</v>
      </c>
      <c r="AE375" s="30">
        <f ca="1">SUMIF(Table20[Ticker],Table20[[#This Row],[Ticker]],Table20[realized_profit])</f>
        <v>5855</v>
      </c>
      <c r="AF375" s="30" t="str">
        <f>VLOOKUP(Table20[[#This Row],[Strategy]],Table29[#All],7,FALSE)</f>
        <v>Bullish</v>
      </c>
    </row>
    <row r="376" spans="1:32" hidden="1">
      <c r="A376" s="231">
        <v>45611</v>
      </c>
      <c r="B376" s="21" t="e" vm="25">
        <v>#VALUE!</v>
      </c>
      <c r="C376" s="109" t="str" cm="1">
        <f t="array" aca="1" ref="C376" ca="1">_FV(Table20[[#This Row],[Asset]],"Ticker symbol",TRUE)</f>
        <v>AMAT</v>
      </c>
      <c r="D376" s="26" cm="1">
        <f t="array" aca="1" ref="D376" ca="1">_FV(Table20[[#This Row],[Asset]],"Price")</f>
        <v>374.08</v>
      </c>
      <c r="E376" s="26">
        <v>240</v>
      </c>
      <c r="F376" s="33">
        <v>1</v>
      </c>
      <c r="G376" s="34">
        <v>-1</v>
      </c>
      <c r="H376" s="34" t="s">
        <v>114</v>
      </c>
      <c r="I376" s="31">
        <v>45611</v>
      </c>
      <c r="J376" s="26">
        <v>0.92</v>
      </c>
      <c r="K376" s="24">
        <v>0.51129999999999998</v>
      </c>
      <c r="L376" s="33">
        <f>VLOOKUP(Table20[[#This Row],[Strategy]],Table29[#All],6,FALSE)</f>
        <v>1</v>
      </c>
      <c r="M376" s="23">
        <v>1</v>
      </c>
      <c r="N376" s="23">
        <v>0.03</v>
      </c>
      <c r="O376" s="23"/>
      <c r="P376" s="23"/>
      <c r="Q376">
        <f>Table20[[#This Row],[Exit1]]*Table20[[#This Row],[ex1_price]]</f>
        <v>0.03</v>
      </c>
      <c r="R376">
        <f>Table20[[#This Row],[Exit2]]*Table20[[#This Row],[ex2_price]]</f>
        <v>0</v>
      </c>
      <c r="S376">
        <f>IFERROR((Table20[[#This Row],[ex2_amnt]]+Table20[[#This Row],[ex1_amnt]])/(Table20[[#This Row],[Exit2]]+Table20[[#This Row],[Exit1]]),0)</f>
        <v>0.03</v>
      </c>
      <c r="T376" s="5">
        <f>(Table20[[#This Row],[Exit1]]+Table20[[#This Row],[Exit2]])*(Table20[[#This Row],[avg_exit_price]]-Table20[[#This Row],[AvePrice]])*100*Table20[[#This Row],[Buy or Sell]]</f>
        <v>89</v>
      </c>
      <c r="U376" s="5">
        <f>Table20[[#This Row],[Number of options]]*Table20[[#This Row],[AvePrice]]*100*Table20[[#This Row],[Buy or Sell]]</f>
        <v>-92</v>
      </c>
      <c r="V376" s="8">
        <f>Table20[[#This Row],[Number of options]]-Table20[[#This Row],[Exit1]]-Table20[[#This Row],[Exit2]]</f>
        <v>0</v>
      </c>
      <c r="W376" s="30">
        <f ca="1">(Table20[[#This Row],[Expiration Date]]-TODAY())/365</f>
        <v>-1.3589041095890411</v>
      </c>
      <c r="X376" s="30" t="e">
        <f ca="1">(LN(Table20[[#This Row],[Current Price]]/Table20[[#This Row],[strike_price]]) + ($B$2 + (Table20[[#This Row],[Vol]]^2)/2)*Table20[[#This Row],[Time to expiration]]) / (Table20[[#This Row],[Vol]] * SQRT(Table20[[#This Row],[Time to expiration]]))</f>
        <v>#NUM!</v>
      </c>
      <c r="Y376" s="30" t="e">
        <f ca="1">IF(Table20[[#This Row],[Direction]]&gt;0, _xlfn.NORM.S.DIST(Table20[[#This Row],[d1]], TRUE), _xlfn.NORM.S.DIST(Table20[[#This Row],[d1]], TRUE) - 1) * Table20[[#This Row],[Buy or Sell]]</f>
        <v>#NUM!</v>
      </c>
      <c r="Z376" s="9">
        <f ca="1">Table20[[#This Row],[Remaining]]*Table20[[#This Row],[Current Price]]*100</f>
        <v>0</v>
      </c>
      <c r="AA376" s="22">
        <f ca="1">IFERROR(Table20[[#This Row],[nominal_exposure]]*Table20[[#This Row],[Delta]],0)</f>
        <v>0</v>
      </c>
      <c r="AB376" s="30" t="b">
        <f>IF(Table20[[#This Row],[date_purchased]]&lt;&gt;Table20[[#This Row],[Expiration Date]],FALSE,TRUE)</f>
        <v>1</v>
      </c>
      <c r="AC376" s="30" t="str">
        <f>VLOOKUP(Table20[[#This Row],[Asset]],Table19[#All],3,FALSE)</f>
        <v>Semiconductor</v>
      </c>
      <c r="AD376" s="30">
        <f>IF(Table20[[#This Row],[Remaining]]&lt;&gt;0,Table20[[#This Row],[Invested]]*Table20[[#This Row],[Remaining]]/Table20[[#This Row],[Number of options]],0)</f>
        <v>0</v>
      </c>
      <c r="AE376" s="30">
        <f ca="1">SUMIF(Table20[Ticker],Table20[[#This Row],[Ticker]],Table20[realized_profit])</f>
        <v>-1490.0000000000002</v>
      </c>
      <c r="AF376" s="30" t="str">
        <f>VLOOKUP(Table20[[#This Row],[Strategy]],Table29[#All],7,FALSE)</f>
        <v>Bullish</v>
      </c>
    </row>
    <row r="377" spans="1:32" hidden="1">
      <c r="A377" s="35">
        <v>45512</v>
      </c>
      <c r="B377" s="21" t="e" vm="96">
        <v>#VALUE!</v>
      </c>
      <c r="C377" s="109" t="str" cm="1">
        <f t="array" aca="1" ref="C377" ca="1">_FV(Table20[[#This Row],[Asset]],"Ticker symbol",TRUE)</f>
        <v>SPY</v>
      </c>
      <c r="D377" s="26" cm="1">
        <f t="array" aca="1" ref="D377" ca="1">_FV(Table20[[#This Row],[Asset]],"Price")</f>
        <v>658.59</v>
      </c>
      <c r="E377" s="26">
        <v>525</v>
      </c>
      <c r="F377" s="33">
        <v>1</v>
      </c>
      <c r="G377" s="34">
        <v>1</v>
      </c>
      <c r="H377" s="34" t="s">
        <v>65</v>
      </c>
      <c r="I377" s="31">
        <v>45512</v>
      </c>
      <c r="J377" s="26">
        <v>1.1000000000000001</v>
      </c>
      <c r="K377" s="24"/>
      <c r="L377" s="33">
        <f>VLOOKUP(Table20[[#This Row],[Strategy]],Table29[#All],6,FALSE)</f>
        <v>-1</v>
      </c>
      <c r="M377" s="23">
        <v>1</v>
      </c>
      <c r="N377" s="23">
        <v>0.79</v>
      </c>
      <c r="O377" s="23"/>
      <c r="P377" s="23"/>
      <c r="Q377">
        <f>Table20[[#This Row],[Exit1]]*Table20[[#This Row],[ex1_price]]</f>
        <v>0.79</v>
      </c>
      <c r="R377">
        <f>Table20[[#This Row],[Exit2]]*Table20[[#This Row],[ex2_price]]</f>
        <v>0</v>
      </c>
      <c r="S377">
        <f>IFERROR((Table20[[#This Row],[ex2_amnt]]+Table20[[#This Row],[ex1_amnt]])/(Table20[[#This Row],[Exit2]]+Table20[[#This Row],[Exit1]]),0)</f>
        <v>0.79</v>
      </c>
      <c r="T377" s="5">
        <f>(Table20[[#This Row],[Exit1]]+Table20[[#This Row],[Exit2]])*(Table20[[#This Row],[avg_exit_price]]-Table20[[#This Row],[AvePrice]])*100*Table20[[#This Row],[Buy or Sell]]</f>
        <v>-31.000000000000007</v>
      </c>
      <c r="U377" s="5">
        <f>Table20[[#This Row],[Number of options]]*Table20[[#This Row],[AvePrice]]*100*Table20[[#This Row],[Buy or Sell]]</f>
        <v>110.00000000000001</v>
      </c>
      <c r="V377" s="8">
        <f>Table20[[#This Row],[Number of options]]-Table20[[#This Row],[Exit1]]-Table20[[#This Row],[Exit2]]</f>
        <v>0</v>
      </c>
      <c r="W377" s="30">
        <f ca="1">(Table20[[#This Row],[Expiration Date]]-TODAY())/365</f>
        <v>-1.6301369863013699</v>
      </c>
      <c r="X377" s="30" t="e">
        <f ca="1">(LN(Table20[[#This Row],[Current Price]]/Table20[[#This Row],[strike_price]]) + ($B$2 + (Table20[[#This Row],[Vol]]^2)/2)*Table20[[#This Row],[Time to expiration]]) / (Table20[[#This Row],[Vol]] * SQRT(Table20[[#This Row],[Time to expiration]]))</f>
        <v>#NUM!</v>
      </c>
      <c r="Y377" s="30" t="e">
        <f ca="1">IF(Table20[[#This Row],[Direction]]&gt;0, _xlfn.NORM.S.DIST(Table20[[#This Row],[d1]], TRUE), _xlfn.NORM.S.DIST(Table20[[#This Row],[d1]], TRUE) - 1) * Table20[[#This Row],[Buy or Sell]]</f>
        <v>#NUM!</v>
      </c>
      <c r="Z377" s="9">
        <f ca="1">Table20[[#This Row],[Remaining]]*Table20[[#This Row],[Current Price]]*100</f>
        <v>0</v>
      </c>
      <c r="AA377" s="22">
        <f ca="1">IFERROR(Table20[[#This Row],[nominal_exposure]]*Table20[[#This Row],[Delta]],0)</f>
        <v>0</v>
      </c>
      <c r="AB377" s="30" t="b">
        <f>IF(Table20[[#This Row],[date_purchased]]&lt;&gt;Table20[[#This Row],[Expiration Date]],FALSE,TRUE)</f>
        <v>1</v>
      </c>
      <c r="AC377" s="30" t="str">
        <f>VLOOKUP(Table20[[#This Row],[Asset]],Table19[#All],3,FALSE)</f>
        <v>Market</v>
      </c>
      <c r="AD377" s="30">
        <f>IF(Table20[[#This Row],[Remaining]]&lt;&gt;0,Table20[[#This Row],[Invested]]*Table20[[#This Row],[Remaining]]/Table20[[#This Row],[Number of options]],0)</f>
        <v>0</v>
      </c>
      <c r="AE377" s="30">
        <f ca="1">SUMIF(Table20[Ticker],Table20[[#This Row],[Ticker]],Table20[realized_profit])</f>
        <v>-5077</v>
      </c>
      <c r="AF377" s="30" t="str">
        <f>VLOOKUP(Table20[[#This Row],[Strategy]],Table29[#All],7,FALSE)</f>
        <v>Bearish</v>
      </c>
    </row>
    <row r="378" spans="1:32" hidden="1">
      <c r="A378" s="231">
        <v>45611</v>
      </c>
      <c r="B378" s="21" t="e" vm="25">
        <v>#VALUE!</v>
      </c>
      <c r="C378" s="109" t="str" cm="1">
        <f t="array" aca="1" ref="C378" ca="1">_FV(Table20[[#This Row],[Asset]],"Ticker symbol",TRUE)</f>
        <v>AMAT</v>
      </c>
      <c r="D378" s="26" cm="1">
        <f t="array" aca="1" ref="D378" ca="1">_FV(Table20[[#This Row],[Asset]],"Price")</f>
        <v>374.08</v>
      </c>
      <c r="E378" s="26">
        <v>210</v>
      </c>
      <c r="F378" s="33">
        <v>1</v>
      </c>
      <c r="G378" s="34">
        <v>1</v>
      </c>
      <c r="H378" s="34" t="s">
        <v>114</v>
      </c>
      <c r="I378" s="31">
        <v>45611</v>
      </c>
      <c r="J378" s="26">
        <v>5.18</v>
      </c>
      <c r="K378" s="24">
        <v>0.53</v>
      </c>
      <c r="L378" s="33">
        <f>VLOOKUP(Table20[[#This Row],[Strategy]],Table29[#All],6,FALSE)</f>
        <v>1</v>
      </c>
      <c r="M378" s="23">
        <v>1</v>
      </c>
      <c r="N378" s="23">
        <v>0.53</v>
      </c>
      <c r="O378" s="23"/>
      <c r="P378" s="23"/>
      <c r="Q378">
        <f>Table20[[#This Row],[Exit1]]*Table20[[#This Row],[ex1_price]]</f>
        <v>0.53</v>
      </c>
      <c r="R378">
        <f>Table20[[#This Row],[Exit2]]*Table20[[#This Row],[ex2_price]]</f>
        <v>0</v>
      </c>
      <c r="S378">
        <f>IFERROR((Table20[[#This Row],[ex2_amnt]]+Table20[[#This Row],[ex1_amnt]])/(Table20[[#This Row],[Exit2]]+Table20[[#This Row],[Exit1]]),0)</f>
        <v>0.53</v>
      </c>
      <c r="T378" s="5">
        <f>(Table20[[#This Row],[Exit1]]+Table20[[#This Row],[Exit2]])*(Table20[[#This Row],[avg_exit_price]]-Table20[[#This Row],[AvePrice]])*100*Table20[[#This Row],[Buy or Sell]]</f>
        <v>-464.99999999999994</v>
      </c>
      <c r="U378" s="5">
        <f>Table20[[#This Row],[Number of options]]*Table20[[#This Row],[AvePrice]]*100*Table20[[#This Row],[Buy or Sell]]</f>
        <v>518</v>
      </c>
      <c r="V378" s="8">
        <f>Table20[[#This Row],[Number of options]]-Table20[[#This Row],[Exit1]]-Table20[[#This Row],[Exit2]]</f>
        <v>0</v>
      </c>
      <c r="W378" s="30">
        <f ca="1">(Table20[[#This Row],[Expiration Date]]-TODAY())/365</f>
        <v>-1.3589041095890411</v>
      </c>
      <c r="X378" s="30" t="e">
        <f ca="1">(LN(Table20[[#This Row],[Current Price]]/Table20[[#This Row],[strike_price]]) + ($B$2 + (Table20[[#This Row],[Vol]]^2)/2)*Table20[[#This Row],[Time to expiration]]) / (Table20[[#This Row],[Vol]] * SQRT(Table20[[#This Row],[Time to expiration]]))</f>
        <v>#NUM!</v>
      </c>
      <c r="Y378" s="30" t="e">
        <f ca="1">IF(Table20[[#This Row],[Direction]]&gt;0, _xlfn.NORM.S.DIST(Table20[[#This Row],[d1]], TRUE), _xlfn.NORM.S.DIST(Table20[[#This Row],[d1]], TRUE) - 1) * Table20[[#This Row],[Buy or Sell]]</f>
        <v>#NUM!</v>
      </c>
      <c r="Z378" s="9">
        <f ca="1">Table20[[#This Row],[Remaining]]*Table20[[#This Row],[Current Price]]*100</f>
        <v>0</v>
      </c>
      <c r="AA378" s="22">
        <f ca="1">IFERROR(Table20[[#This Row],[nominal_exposure]]*Table20[[#This Row],[Delta]],0)</f>
        <v>0</v>
      </c>
      <c r="AB378" s="30" t="b">
        <f>IF(Table20[[#This Row],[date_purchased]]&lt;&gt;Table20[[#This Row],[Expiration Date]],FALSE,TRUE)</f>
        <v>1</v>
      </c>
      <c r="AC378" s="30" t="str">
        <f>VLOOKUP(Table20[[#This Row],[Asset]],Table19[#All],3,FALSE)</f>
        <v>Semiconductor</v>
      </c>
      <c r="AD378" s="30">
        <f>IF(Table20[[#This Row],[Remaining]]&lt;&gt;0,Table20[[#This Row],[Invested]]*Table20[[#This Row],[Remaining]]/Table20[[#This Row],[Number of options]],0)</f>
        <v>0</v>
      </c>
      <c r="AE378" s="30">
        <f ca="1">SUMIF(Table20[Ticker],Table20[[#This Row],[Ticker]],Table20[realized_profit])</f>
        <v>-1490.0000000000002</v>
      </c>
      <c r="AF378" s="30" t="str">
        <f>VLOOKUP(Table20[[#This Row],[Strategy]],Table29[#All],7,FALSE)</f>
        <v>Bullish</v>
      </c>
    </row>
    <row r="379" spans="1:32" hidden="1">
      <c r="A379" s="118">
        <v>45511</v>
      </c>
      <c r="B379" s="21" t="e" vm="96">
        <v>#VALUE!</v>
      </c>
      <c r="C379" s="109" t="str" cm="1">
        <f t="array" aca="1" ref="C379" ca="1">_FV(Table20[[#This Row],[Asset]],"Ticker symbol",TRUE)</f>
        <v>SPY</v>
      </c>
      <c r="D379" s="26" cm="1">
        <f t="array" aca="1" ref="D379" ca="1">_FV(Table20[[#This Row],[Asset]],"Price")</f>
        <v>658.59</v>
      </c>
      <c r="E379" s="26">
        <v>515</v>
      </c>
      <c r="F379" s="33">
        <v>1</v>
      </c>
      <c r="G379" s="34">
        <v>1</v>
      </c>
      <c r="H379" s="34" t="s">
        <v>161</v>
      </c>
      <c r="I379" s="31">
        <v>45510</v>
      </c>
      <c r="J379" s="26">
        <v>2.82</v>
      </c>
      <c r="K379" s="24">
        <v>0.39410000000000001</v>
      </c>
      <c r="L379" s="33">
        <f>VLOOKUP(Table20[[#This Row],[Strategy]],Table29[#All],6,FALSE)</f>
        <v>-1</v>
      </c>
      <c r="M379" s="23">
        <v>1</v>
      </c>
      <c r="N379" s="23">
        <v>0.2</v>
      </c>
      <c r="O379" s="23"/>
      <c r="P379" s="23"/>
      <c r="Q379">
        <f>Table20[[#This Row],[Exit1]]*Table20[[#This Row],[ex1_price]]</f>
        <v>0.2</v>
      </c>
      <c r="R379">
        <f>Table20[[#This Row],[Exit2]]*Table20[[#This Row],[ex2_price]]</f>
        <v>0</v>
      </c>
      <c r="S379">
        <f>IFERROR((Table20[[#This Row],[ex2_amnt]]+Table20[[#This Row],[ex1_amnt]])/(Table20[[#This Row],[Exit2]]+Table20[[#This Row],[Exit1]]),0)</f>
        <v>0.2</v>
      </c>
      <c r="T379" s="5">
        <f>(Table20[[#This Row],[Exit1]]+Table20[[#This Row],[Exit2]])*(Table20[[#This Row],[avg_exit_price]]-Table20[[#This Row],[AvePrice]])*100*Table20[[#This Row],[Buy or Sell]]</f>
        <v>-261.99999999999994</v>
      </c>
      <c r="U379" s="5">
        <f>Table20[[#This Row],[Number of options]]*Table20[[#This Row],[AvePrice]]*100*Table20[[#This Row],[Buy or Sell]]</f>
        <v>282</v>
      </c>
      <c r="V379" s="8">
        <f>Table20[[#This Row],[Number of options]]-Table20[[#This Row],[Exit1]]-Table20[[#This Row],[Exit2]]</f>
        <v>0</v>
      </c>
      <c r="W379" s="30">
        <f ca="1">(Table20[[#This Row],[Expiration Date]]-TODAY())/365</f>
        <v>-1.6328767123287671</v>
      </c>
      <c r="X379" s="30" t="e">
        <f ca="1">(LN(Table20[[#This Row],[Current Price]]/Table20[[#This Row],[strike_price]]) + ($B$2 + (Table20[[#This Row],[Vol]]^2)/2)*Table20[[#This Row],[Time to expiration]]) / (Table20[[#This Row],[Vol]] * SQRT(Table20[[#This Row],[Time to expiration]]))</f>
        <v>#NUM!</v>
      </c>
      <c r="Y379" s="30" t="e">
        <f ca="1">IF(Table20[[#This Row],[Direction]]&gt;0, _xlfn.NORM.S.DIST(Table20[[#This Row],[d1]], TRUE), _xlfn.NORM.S.DIST(Table20[[#This Row],[d1]], TRUE) - 1) * Table20[[#This Row],[Buy or Sell]]</f>
        <v>#NUM!</v>
      </c>
      <c r="Z379" s="9">
        <f ca="1">Table20[[#This Row],[Remaining]]*Table20[[#This Row],[Current Price]]*100</f>
        <v>0</v>
      </c>
      <c r="AA379" s="22">
        <f ca="1">IFERROR(Table20[[#This Row],[nominal_exposure]]*Table20[[#This Row],[Delta]],0)</f>
        <v>0</v>
      </c>
      <c r="AB379" s="30" t="b">
        <v>1</v>
      </c>
      <c r="AC379" s="30" t="str">
        <f>VLOOKUP(Table20[[#This Row],[Asset]],Table19[#All],3,FALSE)</f>
        <v>Market</v>
      </c>
      <c r="AD379" s="30">
        <f>IF(Table20[[#This Row],[Remaining]]&lt;&gt;0,Table20[[#This Row],[Invested]]*Table20[[#This Row],[Remaining]]/Table20[[#This Row],[Number of options]],0)</f>
        <v>0</v>
      </c>
      <c r="AE379" s="30">
        <f ca="1">SUMIF(Table20[Ticker],Table20[[#This Row],[Ticker]],Table20[realized_profit])</f>
        <v>-5077</v>
      </c>
      <c r="AF379" s="30" t="str">
        <f>VLOOKUP(Table20[[#This Row],[Strategy]],Table29[#All],7,FALSE)</f>
        <v>Bearish</v>
      </c>
    </row>
    <row r="380" spans="1:32" hidden="1">
      <c r="A380" s="180">
        <v>45618</v>
      </c>
      <c r="B380" s="21" t="e" vm="25">
        <v>#VALUE!</v>
      </c>
      <c r="C380" s="109" t="str" cm="1">
        <f t="array" aca="1" ref="C380" ca="1">_FV(Table20[[#This Row],[Asset]],"Ticker symbol",TRUE)</f>
        <v>AMAT</v>
      </c>
      <c r="D380" s="26" cm="1">
        <f t="array" aca="1" ref="D380" ca="1">_FV(Table20[[#This Row],[Asset]],"Price")</f>
        <v>374.08</v>
      </c>
      <c r="E380" s="26">
        <v>210</v>
      </c>
      <c r="F380" s="33">
        <v>4</v>
      </c>
      <c r="G380" s="34">
        <v>1</v>
      </c>
      <c r="H380" s="34" t="s">
        <v>115</v>
      </c>
      <c r="I380" s="31">
        <v>45610</v>
      </c>
      <c r="J380" s="26">
        <v>0.88</v>
      </c>
      <c r="K380" s="24">
        <v>0.61919999999999997</v>
      </c>
      <c r="L380" s="33">
        <f>VLOOKUP(Table20[[#This Row],[Strategy]],Table29[#All],6,FALSE)</f>
        <v>1</v>
      </c>
      <c r="M380" s="23">
        <v>4</v>
      </c>
      <c r="N380" s="23">
        <v>0</v>
      </c>
      <c r="O380" s="23"/>
      <c r="P380" s="23"/>
      <c r="Q380">
        <f>Table20[[#This Row],[Exit1]]*Table20[[#This Row],[ex1_price]]</f>
        <v>0</v>
      </c>
      <c r="R380">
        <f>Table20[[#This Row],[Exit2]]*Table20[[#This Row],[ex2_price]]</f>
        <v>0</v>
      </c>
      <c r="S380">
        <f>IFERROR((Table20[[#This Row],[ex2_amnt]]+Table20[[#This Row],[ex1_amnt]])/(Table20[[#This Row],[Exit2]]+Table20[[#This Row],[Exit1]]),0)</f>
        <v>0</v>
      </c>
      <c r="T380" s="5">
        <f>(Table20[[#This Row],[Exit1]]+Table20[[#This Row],[Exit2]])*(Table20[[#This Row],[avg_exit_price]]-Table20[[#This Row],[AvePrice]])*100*Table20[[#This Row],[Buy or Sell]]</f>
        <v>-352</v>
      </c>
      <c r="U380" s="5">
        <f>Table20[[#This Row],[Number of options]]*Table20[[#This Row],[AvePrice]]*100*Table20[[#This Row],[Buy or Sell]]</f>
        <v>352</v>
      </c>
      <c r="V380" s="8">
        <f>Table20[[#This Row],[Number of options]]-Table20[[#This Row],[Exit1]]-Table20[[#This Row],[Exit2]]</f>
        <v>0</v>
      </c>
      <c r="W380" s="30">
        <f ca="1">(Table20[[#This Row],[Expiration Date]]-TODAY())/365</f>
        <v>-1.3397260273972602</v>
      </c>
      <c r="X380" s="30" t="e">
        <f ca="1">(LN(Table20[[#This Row],[Current Price]]/Table20[[#This Row],[strike_price]]) + ($B$2 + (Table20[[#This Row],[Vol]]^2)/2)*Table20[[#This Row],[Time to expiration]]) / (Table20[[#This Row],[Vol]] * SQRT(Table20[[#This Row],[Time to expiration]]))</f>
        <v>#NUM!</v>
      </c>
      <c r="Y380" s="30" t="e">
        <f ca="1">IF(Table20[[#This Row],[Direction]]&gt;0, _xlfn.NORM.S.DIST(Table20[[#This Row],[d1]], TRUE), _xlfn.NORM.S.DIST(Table20[[#This Row],[d1]], TRUE) - 1) * Table20[[#This Row],[Buy or Sell]]</f>
        <v>#NUM!</v>
      </c>
      <c r="Z380" s="9">
        <f ca="1">Table20[[#This Row],[Remaining]]*Table20[[#This Row],[Current Price]]*100</f>
        <v>0</v>
      </c>
      <c r="AA380" s="22">
        <f ca="1">IFERROR(Table20[[#This Row],[nominal_exposure]]*Table20[[#This Row],[Delta]],0)</f>
        <v>0</v>
      </c>
      <c r="AB380" s="30" t="b">
        <f>IF(Table20[[#This Row],[date_purchased]]&lt;&gt;Table20[[#This Row],[Expiration Date]],FALSE,TRUE)</f>
        <v>0</v>
      </c>
      <c r="AC380" s="30" t="str">
        <f>VLOOKUP(Table20[[#This Row],[Asset]],Table19[#All],3,FALSE)</f>
        <v>Semiconductor</v>
      </c>
      <c r="AD380" s="30">
        <f>IF(Table20[[#This Row],[Remaining]]&lt;&gt;0,Table20[[#This Row],[Invested]]*Table20[[#This Row],[Remaining]]/Table20[[#This Row],[Number of options]],0)</f>
        <v>0</v>
      </c>
      <c r="AE380" s="30">
        <f ca="1">SUMIF(Table20[Ticker],Table20[[#This Row],[Ticker]],Table20[realized_profit])</f>
        <v>-1490.0000000000002</v>
      </c>
      <c r="AF380" s="30" t="str">
        <f>VLOOKUP(Table20[[#This Row],[Strategy]],Table29[#All],7,FALSE)</f>
        <v>Bullish</v>
      </c>
    </row>
    <row r="381" spans="1:32" hidden="1">
      <c r="A381" s="180">
        <v>45625</v>
      </c>
      <c r="B381" s="21" t="e" vm="148">
        <v>#VALUE!</v>
      </c>
      <c r="C381" s="109" t="str" cm="1">
        <f t="array" aca="1" ref="C381" ca="1">_FV(Table20[[#This Row],[Asset]],"Ticker symbol",TRUE)</f>
        <v>META</v>
      </c>
      <c r="D381" s="26" cm="1">
        <f t="array" aca="1" ref="D381" ca="1">_FV(Table20[[#This Row],[Asset]],"Price")</f>
        <v>599.32000000000005</v>
      </c>
      <c r="E381" s="26">
        <v>450</v>
      </c>
      <c r="F381" s="33">
        <v>1</v>
      </c>
      <c r="G381" s="34">
        <v>1</v>
      </c>
      <c r="H381" s="34" t="s">
        <v>161</v>
      </c>
      <c r="I381" s="31">
        <v>45594</v>
      </c>
      <c r="J381" s="26">
        <v>1.08</v>
      </c>
      <c r="K381" s="24">
        <v>0.53039999999999998</v>
      </c>
      <c r="L381" s="33">
        <f>VLOOKUP(Table20[[#This Row],[Strategy]],Table29[#All],6,FALSE)</f>
        <v>-1</v>
      </c>
      <c r="M381" s="23">
        <v>1</v>
      </c>
      <c r="N381" s="23">
        <v>0.13</v>
      </c>
      <c r="O381" s="23"/>
      <c r="P381" s="23"/>
      <c r="Q381">
        <f>Table20[[#This Row],[Exit1]]*Table20[[#This Row],[ex1_price]]</f>
        <v>0.13</v>
      </c>
      <c r="R381">
        <f>Table20[[#This Row],[Exit2]]*Table20[[#This Row],[ex2_price]]</f>
        <v>0</v>
      </c>
      <c r="S381">
        <f>IFERROR((Table20[[#This Row],[ex2_amnt]]+Table20[[#This Row],[ex1_amnt]])/(Table20[[#This Row],[Exit2]]+Table20[[#This Row],[Exit1]]),0)</f>
        <v>0.13</v>
      </c>
      <c r="T381" s="5">
        <f>(Table20[[#This Row],[Exit1]]+Table20[[#This Row],[Exit2]])*(Table20[[#This Row],[avg_exit_price]]-Table20[[#This Row],[AvePrice]])*100*Table20[[#This Row],[Buy or Sell]]</f>
        <v>-95</v>
      </c>
      <c r="U381" s="5">
        <f>Table20[[#This Row],[Number of options]]*Table20[[#This Row],[AvePrice]]*100*Table20[[#This Row],[Buy or Sell]]</f>
        <v>108</v>
      </c>
      <c r="V381" s="8">
        <f>Table20[[#This Row],[Number of options]]-Table20[[#This Row],[Exit1]]-Table20[[#This Row],[Exit2]]</f>
        <v>0</v>
      </c>
      <c r="W381" s="30">
        <f ca="1">(Table20[[#This Row],[Expiration Date]]-TODAY())/365</f>
        <v>-1.3205479452054794</v>
      </c>
      <c r="X381" s="30" t="e">
        <f ca="1">(LN(Table20[[#This Row],[Current Price]]/Table20[[#This Row],[strike_price]]) + ($B$2 + (Table20[[#This Row],[Vol]]^2)/2)*Table20[[#This Row],[Time to expiration]]) / (Table20[[#This Row],[Vol]] * SQRT(Table20[[#This Row],[Time to expiration]]))</f>
        <v>#NUM!</v>
      </c>
      <c r="Y381" s="30" t="e">
        <f ca="1">IF(Table20[[#This Row],[Direction]]&gt;0, _xlfn.NORM.S.DIST(Table20[[#This Row],[d1]], TRUE), _xlfn.NORM.S.DIST(Table20[[#This Row],[d1]], TRUE) - 1) * Table20[[#This Row],[Buy or Sell]]</f>
        <v>#NUM!</v>
      </c>
      <c r="Z381" s="9">
        <f ca="1">Table20[[#This Row],[Remaining]]*Table20[[#This Row],[Current Price]]*100</f>
        <v>0</v>
      </c>
      <c r="AA381" s="22">
        <f ca="1">IFERROR(Table20[[#This Row],[nominal_exposure]]*Table20[[#This Row],[Delta]],0)</f>
        <v>0</v>
      </c>
      <c r="AB381" s="30" t="b">
        <f>IF(Table20[[#This Row],[date_purchased]]&lt;&gt;Table20[[#This Row],[Expiration Date]],FALSE,TRUE)</f>
        <v>0</v>
      </c>
      <c r="AC381" s="30" t="str">
        <f>VLOOKUP(Table20[[#This Row],[Asset]],Table19[#All],3,FALSE)</f>
        <v>AI</v>
      </c>
      <c r="AD381" s="30">
        <f>IF(Table20[[#This Row],[Remaining]]&lt;&gt;0,Table20[[#This Row],[Invested]]*Table20[[#This Row],[Remaining]]/Table20[[#This Row],[Number of options]],0)</f>
        <v>0</v>
      </c>
      <c r="AE381" s="30">
        <f ca="1">SUMIF(Table20[Ticker],Table20[[#This Row],[Ticker]],Table20[realized_profit])</f>
        <v>2450</v>
      </c>
      <c r="AF381" s="30" t="str">
        <f>VLOOKUP(Table20[[#This Row],[Strategy]],Table29[#All],7,FALSE)</f>
        <v>Bearish</v>
      </c>
    </row>
    <row r="382" spans="1:32" hidden="1">
      <c r="A382" s="118">
        <v>45511</v>
      </c>
      <c r="B382" s="21" t="e" vm="96">
        <v>#VALUE!</v>
      </c>
      <c r="C382" s="109" t="str" cm="1">
        <f t="array" aca="1" ref="C382" ca="1">_FV(Table20[[#This Row],[Asset]],"Ticker symbol",TRUE)</f>
        <v>SPY</v>
      </c>
      <c r="D382" s="26" cm="1">
        <f t="array" aca="1" ref="D382" ca="1">_FV(Table20[[#This Row],[Asset]],"Price")</f>
        <v>658.59</v>
      </c>
      <c r="E382" s="26">
        <v>518</v>
      </c>
      <c r="F382" s="33">
        <v>1</v>
      </c>
      <c r="G382" s="34">
        <v>1</v>
      </c>
      <c r="H382" s="34" t="s">
        <v>115</v>
      </c>
      <c r="I382" s="31">
        <v>45510</v>
      </c>
      <c r="J382" s="26">
        <v>7</v>
      </c>
      <c r="K382" s="24">
        <v>0.37480000000000002</v>
      </c>
      <c r="L382" s="33">
        <f>VLOOKUP(Table20[[#This Row],[Strategy]],Table29[#All],6,FALSE)</f>
        <v>1</v>
      </c>
      <c r="M382" s="23">
        <v>1</v>
      </c>
      <c r="N382" s="23">
        <v>9.31</v>
      </c>
      <c r="O382" s="23"/>
      <c r="P382" s="23"/>
      <c r="Q382">
        <f>Table20[[#This Row],[Exit1]]*Table20[[#This Row],[ex1_price]]</f>
        <v>9.31</v>
      </c>
      <c r="R382">
        <f>Table20[[#This Row],[Exit2]]*Table20[[#This Row],[ex2_price]]</f>
        <v>0</v>
      </c>
      <c r="S382">
        <f>IFERROR((Table20[[#This Row],[ex2_amnt]]+Table20[[#This Row],[ex1_amnt]])/(Table20[[#This Row],[Exit2]]+Table20[[#This Row],[Exit1]]),0)</f>
        <v>9.31</v>
      </c>
      <c r="T382" s="5">
        <f>(Table20[[#This Row],[Exit1]]+Table20[[#This Row],[Exit2]])*(Table20[[#This Row],[avg_exit_price]]-Table20[[#This Row],[AvePrice]])*100*Table20[[#This Row],[Buy or Sell]]</f>
        <v>231.00000000000006</v>
      </c>
      <c r="U382" s="5">
        <f>Table20[[#This Row],[Number of options]]*Table20[[#This Row],[AvePrice]]*100*Table20[[#This Row],[Buy or Sell]]</f>
        <v>700</v>
      </c>
      <c r="V382" s="8">
        <f>Table20[[#This Row],[Number of options]]-Table20[[#This Row],[Exit1]]-Table20[[#This Row],[Exit2]]</f>
        <v>0</v>
      </c>
      <c r="W382" s="30">
        <f ca="1">(Table20[[#This Row],[Expiration Date]]-TODAY())/365</f>
        <v>-1.6328767123287671</v>
      </c>
      <c r="X382" s="30" t="e">
        <f ca="1">(LN(Table20[[#This Row],[Current Price]]/Table20[[#This Row],[strike_price]]) + ($B$2 + (Table20[[#This Row],[Vol]]^2)/2)*Table20[[#This Row],[Time to expiration]]) / (Table20[[#This Row],[Vol]] * SQRT(Table20[[#This Row],[Time to expiration]]))</f>
        <v>#NUM!</v>
      </c>
      <c r="Y382" s="30" t="e">
        <f ca="1">IF(Table20[[#This Row],[Direction]]&gt;0, _xlfn.NORM.S.DIST(Table20[[#This Row],[d1]], TRUE), _xlfn.NORM.S.DIST(Table20[[#This Row],[d1]], TRUE) - 1) * Table20[[#This Row],[Buy or Sell]]</f>
        <v>#NUM!</v>
      </c>
      <c r="Z382" s="9">
        <f ca="1">Table20[[#This Row],[Remaining]]*Table20[[#This Row],[Current Price]]*100</f>
        <v>0</v>
      </c>
      <c r="AA382" s="22">
        <f ca="1">IFERROR(Table20[[#This Row],[nominal_exposure]]*Table20[[#This Row],[Delta]],0)</f>
        <v>0</v>
      </c>
      <c r="AB382" s="30" t="b">
        <f>IF(Table20[[#This Row],[date_purchased]]&lt;&gt;Table20[[#This Row],[Expiration Date]],FALSE,TRUE)</f>
        <v>0</v>
      </c>
      <c r="AC382" s="30" t="str">
        <f>VLOOKUP(Table20[[#This Row],[Asset]],Table19[#All],3,FALSE)</f>
        <v>Market</v>
      </c>
      <c r="AD382" s="30">
        <f>IF(Table20[[#This Row],[Remaining]]&lt;&gt;0,Table20[[#This Row],[Invested]]*Table20[[#This Row],[Remaining]]/Table20[[#This Row],[Number of options]],0)</f>
        <v>0</v>
      </c>
      <c r="AE382" s="30">
        <f ca="1">SUMIF(Table20[Ticker],Table20[[#This Row],[Ticker]],Table20[realized_profit])</f>
        <v>-5077</v>
      </c>
      <c r="AF382" s="30" t="str">
        <f>VLOOKUP(Table20[[#This Row],[Strategy]],Table29[#All],7,FALSE)</f>
        <v>Bullish</v>
      </c>
    </row>
    <row r="383" spans="1:32" hidden="1">
      <c r="A383" s="118">
        <v>45511</v>
      </c>
      <c r="B383" s="21" t="e" vm="96">
        <v>#VALUE!</v>
      </c>
      <c r="C383" s="109" t="str" cm="1">
        <f t="array" aca="1" ref="C383" ca="1">_FV(Table20[[#This Row],[Asset]],"Ticker symbol",TRUE)</f>
        <v>SPY</v>
      </c>
      <c r="D383" s="26" cm="1">
        <f t="array" aca="1" ref="D383" ca="1">_FV(Table20[[#This Row],[Asset]],"Price")</f>
        <v>658.59</v>
      </c>
      <c r="E383" s="26">
        <v>522</v>
      </c>
      <c r="F383" s="33">
        <v>1</v>
      </c>
      <c r="G383" s="34">
        <v>1</v>
      </c>
      <c r="H383" s="34" t="s">
        <v>115</v>
      </c>
      <c r="I383" s="31">
        <v>45510</v>
      </c>
      <c r="J383" s="26">
        <v>4.76</v>
      </c>
      <c r="K383" s="24">
        <v>0.35470000000000002</v>
      </c>
      <c r="L383" s="33">
        <f>VLOOKUP(Table20[[#This Row],[Strategy]],Table29[#All],6,FALSE)</f>
        <v>1</v>
      </c>
      <c r="M383" s="23">
        <v>1</v>
      </c>
      <c r="N383" s="23">
        <v>5.93</v>
      </c>
      <c r="O383" s="23"/>
      <c r="P383" s="23"/>
      <c r="Q383">
        <f>Table20[[#This Row],[Exit1]]*Table20[[#This Row],[ex1_price]]</f>
        <v>5.93</v>
      </c>
      <c r="R383">
        <f>Table20[[#This Row],[Exit2]]*Table20[[#This Row],[ex2_price]]</f>
        <v>0</v>
      </c>
      <c r="S383">
        <f>IFERROR((Table20[[#This Row],[ex2_amnt]]+Table20[[#This Row],[ex1_amnt]])/(Table20[[#This Row],[Exit2]]+Table20[[#This Row],[Exit1]]),0)</f>
        <v>5.93</v>
      </c>
      <c r="T383" s="5">
        <f>(Table20[[#This Row],[Exit1]]+Table20[[#This Row],[Exit2]])*(Table20[[#This Row],[avg_exit_price]]-Table20[[#This Row],[AvePrice]])*100*Table20[[#This Row],[Buy or Sell]]</f>
        <v>117</v>
      </c>
      <c r="U383" s="5">
        <f>Table20[[#This Row],[Number of options]]*Table20[[#This Row],[AvePrice]]*100*Table20[[#This Row],[Buy or Sell]]</f>
        <v>476</v>
      </c>
      <c r="V383" s="8">
        <f>Table20[[#This Row],[Number of options]]-Table20[[#This Row],[Exit1]]-Table20[[#This Row],[Exit2]]</f>
        <v>0</v>
      </c>
      <c r="W383" s="30">
        <f ca="1">(Table20[[#This Row],[Expiration Date]]-TODAY())/365</f>
        <v>-1.6328767123287671</v>
      </c>
      <c r="X383" s="30" t="e">
        <f ca="1">(LN(Table20[[#This Row],[Current Price]]/Table20[[#This Row],[strike_price]]) + ($B$2 + (Table20[[#This Row],[Vol]]^2)/2)*Table20[[#This Row],[Time to expiration]]) / (Table20[[#This Row],[Vol]] * SQRT(Table20[[#This Row],[Time to expiration]]))</f>
        <v>#NUM!</v>
      </c>
      <c r="Y383" s="30" t="e">
        <f ca="1">IF(Table20[[#This Row],[Direction]]&gt;0, _xlfn.NORM.S.DIST(Table20[[#This Row],[d1]], TRUE), _xlfn.NORM.S.DIST(Table20[[#This Row],[d1]], TRUE) - 1) * Table20[[#This Row],[Buy or Sell]]</f>
        <v>#NUM!</v>
      </c>
      <c r="Z383" s="9">
        <f ca="1">Table20[[#This Row],[Remaining]]*Table20[[#This Row],[Current Price]]*100</f>
        <v>0</v>
      </c>
      <c r="AA383" s="22">
        <f ca="1">IFERROR(Table20[[#This Row],[nominal_exposure]]*Table20[[#This Row],[Delta]],0)</f>
        <v>0</v>
      </c>
      <c r="AB383" s="30" t="b">
        <f>IF(Table20[[#This Row],[date_purchased]]&lt;&gt;Table20[[#This Row],[Expiration Date]],FALSE,TRUE)</f>
        <v>0</v>
      </c>
      <c r="AC383" s="30" t="str">
        <f>VLOOKUP(Table20[[#This Row],[Asset]],Table19[#All],3,FALSE)</f>
        <v>Market</v>
      </c>
      <c r="AD383" s="30">
        <f>IF(Table20[[#This Row],[Remaining]]&lt;&gt;0,Table20[[#This Row],[Invested]]*Table20[[#This Row],[Remaining]]/Table20[[#This Row],[Number of options]],0)</f>
        <v>0</v>
      </c>
      <c r="AE383" s="30">
        <f ca="1">SUMIF(Table20[Ticker],Table20[[#This Row],[Ticker]],Table20[realized_profit])</f>
        <v>-5077</v>
      </c>
      <c r="AF383" s="30" t="str">
        <f>VLOOKUP(Table20[[#This Row],[Strategy]],Table29[#All],7,FALSE)</f>
        <v>Bullish</v>
      </c>
    </row>
    <row r="384" spans="1:32" hidden="1">
      <c r="A384" s="35">
        <v>45511</v>
      </c>
      <c r="B384" s="21" t="e" vm="96">
        <v>#VALUE!</v>
      </c>
      <c r="C384" s="109" t="str" cm="1">
        <f t="array" aca="1" ref="C384" ca="1">_FV(Table20[[#This Row],[Asset]],"Ticker symbol",TRUE)</f>
        <v>SPY</v>
      </c>
      <c r="D384" s="26" cm="1">
        <f t="array" aca="1" ref="D384" ca="1">_FV(Table20[[#This Row],[Asset]],"Price")</f>
        <v>658.59</v>
      </c>
      <c r="E384" s="26">
        <v>505</v>
      </c>
      <c r="F384" s="33">
        <v>1</v>
      </c>
      <c r="G384" s="34">
        <v>1</v>
      </c>
      <c r="H384" s="34" t="s">
        <v>161</v>
      </c>
      <c r="I384" s="31">
        <v>45509</v>
      </c>
      <c r="J384" s="26">
        <v>1.68</v>
      </c>
      <c r="K384" s="24">
        <v>0.58789999999999998</v>
      </c>
      <c r="L384" s="33">
        <f>VLOOKUP(Table20[[#This Row],[Strategy]],Table29[#All],6,FALSE)</f>
        <v>-1</v>
      </c>
      <c r="M384" s="23">
        <v>1</v>
      </c>
      <c r="N384" s="23">
        <v>0.47</v>
      </c>
      <c r="O384" s="23"/>
      <c r="P384" s="23"/>
      <c r="Q384">
        <f>Table20[[#This Row],[Exit1]]*Table20[[#This Row],[ex1_price]]</f>
        <v>0.47</v>
      </c>
      <c r="R384">
        <f>Table20[[#This Row],[Exit2]]*Table20[[#This Row],[ex2_price]]</f>
        <v>0</v>
      </c>
      <c r="S384">
        <f>IFERROR((Table20[[#This Row],[ex2_amnt]]+Table20[[#This Row],[ex1_amnt]])/(Table20[[#This Row],[Exit2]]+Table20[[#This Row],[Exit1]]),0)</f>
        <v>0.47</v>
      </c>
      <c r="T384" s="5">
        <f>(Table20[[#This Row],[Exit1]]+Table20[[#This Row],[Exit2]])*(Table20[[#This Row],[avg_exit_price]]-Table20[[#This Row],[AvePrice]])*100*Table20[[#This Row],[Buy or Sell]]</f>
        <v>-121</v>
      </c>
      <c r="U384" s="5">
        <f>Table20[[#This Row],[Number of options]]*Table20[[#This Row],[AvePrice]]*100*Table20[[#This Row],[Buy or Sell]]</f>
        <v>168</v>
      </c>
      <c r="V384" s="8">
        <f>Table20[[#This Row],[Number of options]]-Table20[[#This Row],[Exit1]]-Table20[[#This Row],[Exit2]]</f>
        <v>0</v>
      </c>
      <c r="W384" s="30">
        <f ca="1">(Table20[[#This Row],[Expiration Date]]-TODAY())/365</f>
        <v>-1.6328767123287671</v>
      </c>
      <c r="X384" s="30" t="e">
        <f ca="1">(LN(Table20[[#This Row],[Current Price]]/Table20[[#This Row],[strike_price]]) + ($B$2 + (Table20[[#This Row],[Vol]]^2)/2)*Table20[[#This Row],[Time to expiration]]) / (Table20[[#This Row],[Vol]] * SQRT(Table20[[#This Row],[Time to expiration]]))</f>
        <v>#NUM!</v>
      </c>
      <c r="Y384" s="30" t="e">
        <f ca="1">IF(Table20[[#This Row],[Direction]]&gt;0, _xlfn.NORM.S.DIST(Table20[[#This Row],[d1]], TRUE), _xlfn.NORM.S.DIST(Table20[[#This Row],[d1]], TRUE) - 1) * Table20[[#This Row],[Buy or Sell]]</f>
        <v>#NUM!</v>
      </c>
      <c r="Z384" s="9">
        <f ca="1">Table20[[#This Row],[Remaining]]*Table20[[#This Row],[Current Price]]*100</f>
        <v>0</v>
      </c>
      <c r="AA384" s="22">
        <f ca="1">IFERROR(Table20[[#This Row],[nominal_exposure]]*Table20[[#This Row],[Delta]],0)</f>
        <v>0</v>
      </c>
      <c r="AB384" s="30" t="b">
        <f>IF(Table20[[#This Row],[date_purchased]]&lt;&gt;Table20[[#This Row],[Expiration Date]],FALSE,TRUE)</f>
        <v>0</v>
      </c>
      <c r="AC384" s="30" t="str">
        <f>VLOOKUP(Table20[[#This Row],[Asset]],Table19[#All],3,FALSE)</f>
        <v>Market</v>
      </c>
      <c r="AD384" s="30">
        <f>IF(Table20[[#This Row],[Remaining]]&lt;&gt;0,Table20[[#This Row],[Invested]]*Table20[[#This Row],[Remaining]]/Table20[[#This Row],[Number of options]],0)</f>
        <v>0</v>
      </c>
      <c r="AE384" s="30">
        <f ca="1">SUMIF(Table20[Ticker],Table20[[#This Row],[Ticker]],Table20[realized_profit])</f>
        <v>-5077</v>
      </c>
      <c r="AF384" s="30" t="str">
        <f>VLOOKUP(Table20[[#This Row],[Strategy]],Table29[#All],7,FALSE)</f>
        <v>Bearish</v>
      </c>
    </row>
    <row r="385" spans="1:32" hidden="1">
      <c r="A385" s="118">
        <v>45510</v>
      </c>
      <c r="B385" s="21" t="e" vm="96">
        <v>#VALUE!</v>
      </c>
      <c r="C385" s="109" t="str" cm="1">
        <f t="array" aca="1" ref="C385" ca="1">_FV(Table20[[#This Row],[Asset]],"Ticker symbol",TRUE)</f>
        <v>SPY</v>
      </c>
      <c r="D385" s="26" cm="1">
        <f t="array" aca="1" ref="D385" ca="1">_FV(Table20[[#This Row],[Asset]],"Price")</f>
        <v>658.59</v>
      </c>
      <c r="E385" s="26">
        <v>515</v>
      </c>
      <c r="F385" s="33">
        <v>1</v>
      </c>
      <c r="G385" s="34">
        <v>-1</v>
      </c>
      <c r="H385" s="34" t="s">
        <v>161</v>
      </c>
      <c r="I385" s="31">
        <v>45510</v>
      </c>
      <c r="J385" s="26">
        <v>1.32</v>
      </c>
      <c r="K385" s="24">
        <v>0.56999999999999995</v>
      </c>
      <c r="L385" s="33">
        <f>VLOOKUP(Table20[[#This Row],[Strategy]],Table29[#All],6,FALSE)</f>
        <v>-1</v>
      </c>
      <c r="M385" s="23">
        <v>1</v>
      </c>
      <c r="N385" s="23">
        <v>0.02</v>
      </c>
      <c r="O385" s="23"/>
      <c r="P385" s="23"/>
      <c r="Q385">
        <f>Table20[[#This Row],[Exit1]]*Table20[[#This Row],[ex1_price]]</f>
        <v>0.02</v>
      </c>
      <c r="R385">
        <f>Table20[[#This Row],[Exit2]]*Table20[[#This Row],[ex2_price]]</f>
        <v>0</v>
      </c>
      <c r="S385">
        <f>IFERROR((Table20[[#This Row],[ex2_amnt]]+Table20[[#This Row],[ex1_amnt]])/(Table20[[#This Row],[Exit2]]+Table20[[#This Row],[Exit1]]),0)</f>
        <v>0.02</v>
      </c>
      <c r="T385" s="5">
        <f>(Table20[[#This Row],[Exit1]]+Table20[[#This Row],[Exit2]])*(Table20[[#This Row],[avg_exit_price]]-Table20[[#This Row],[AvePrice]])*100*Table20[[#This Row],[Buy or Sell]]</f>
        <v>130</v>
      </c>
      <c r="U385" s="5">
        <f>Table20[[#This Row],[Number of options]]*Table20[[#This Row],[AvePrice]]*100*Table20[[#This Row],[Buy or Sell]]</f>
        <v>-132</v>
      </c>
      <c r="V385" s="8">
        <f>Table20[[#This Row],[Number of options]]-Table20[[#This Row],[Exit1]]-Table20[[#This Row],[Exit2]]</f>
        <v>0</v>
      </c>
      <c r="W385" s="30">
        <f ca="1">(Table20[[#This Row],[Expiration Date]]-TODAY())/365</f>
        <v>-1.6356164383561644</v>
      </c>
      <c r="X385" s="30" t="e">
        <f ca="1">(LN(Table20[[#This Row],[Current Price]]/Table20[[#This Row],[strike_price]]) + ($B$2 + (Table20[[#This Row],[Vol]]^2)/2)*Table20[[#This Row],[Time to expiration]]) / (Table20[[#This Row],[Vol]] * SQRT(Table20[[#This Row],[Time to expiration]]))</f>
        <v>#NUM!</v>
      </c>
      <c r="Y385" s="30" t="e">
        <f ca="1">IF(Table20[[#This Row],[Direction]]&gt;0, _xlfn.NORM.S.DIST(Table20[[#This Row],[d1]], TRUE), _xlfn.NORM.S.DIST(Table20[[#This Row],[d1]], TRUE) - 1) * Table20[[#This Row],[Buy or Sell]]</f>
        <v>#NUM!</v>
      </c>
      <c r="Z385" s="9">
        <f ca="1">Table20[[#This Row],[Remaining]]*Table20[[#This Row],[Current Price]]*100</f>
        <v>0</v>
      </c>
      <c r="AA385" s="22">
        <f ca="1">IFERROR(Table20[[#This Row],[nominal_exposure]]*Table20[[#This Row],[Delta]],0)</f>
        <v>0</v>
      </c>
      <c r="AB385" s="30" t="b">
        <f>IF(Table20[[#This Row],[date_purchased]]&lt;&gt;Table20[[#This Row],[Expiration Date]],FALSE,TRUE)</f>
        <v>1</v>
      </c>
      <c r="AC385" s="30" t="str">
        <f>VLOOKUP(Table20[[#This Row],[Asset]],Table19[#All],3,FALSE)</f>
        <v>Market</v>
      </c>
      <c r="AD385" s="30">
        <f>IF(Table20[[#This Row],[Remaining]]&lt;&gt;0,Table20[[#This Row],[Invested]]*Table20[[#This Row],[Remaining]]/Table20[[#This Row],[Number of options]],0)</f>
        <v>0</v>
      </c>
      <c r="AE385" s="30">
        <f ca="1">SUMIF(Table20[Ticker],Table20[[#This Row],[Ticker]],Table20[realized_profit])</f>
        <v>-5077</v>
      </c>
      <c r="AF385" s="30" t="str">
        <f>VLOOKUP(Table20[[#This Row],[Strategy]],Table29[#All],7,FALSE)</f>
        <v>Bearish</v>
      </c>
    </row>
    <row r="386" spans="1:32" hidden="1">
      <c r="A386" s="35">
        <v>45510</v>
      </c>
      <c r="B386" s="21" t="e" vm="96">
        <v>#VALUE!</v>
      </c>
      <c r="C386" s="109" t="str" cm="1">
        <f t="array" aca="1" ref="C386" ca="1">_FV(Table20[[#This Row],[Asset]],"Ticker symbol",TRUE)</f>
        <v>SPY</v>
      </c>
      <c r="D386" s="26" cm="1">
        <f t="array" aca="1" ref="D386" ca="1">_FV(Table20[[#This Row],[Asset]],"Price")</f>
        <v>658.59</v>
      </c>
      <c r="E386" s="26">
        <v>540</v>
      </c>
      <c r="F386" s="33">
        <v>3</v>
      </c>
      <c r="G386" s="34">
        <v>1</v>
      </c>
      <c r="H386" s="34" t="s">
        <v>115</v>
      </c>
      <c r="I386" s="31">
        <v>45507</v>
      </c>
      <c r="J386" s="26">
        <v>1.42</v>
      </c>
      <c r="K386" s="24"/>
      <c r="L386" s="33">
        <f>VLOOKUP(Table20[[#This Row],[Strategy]],Table29[#All],6,FALSE)</f>
        <v>1</v>
      </c>
      <c r="M386" s="23">
        <v>3</v>
      </c>
      <c r="N386" s="23">
        <v>0.3</v>
      </c>
      <c r="O386" s="23"/>
      <c r="P386" s="23"/>
      <c r="Q386">
        <f>Table20[[#This Row],[Exit1]]*Table20[[#This Row],[ex1_price]]</f>
        <v>0.89999999999999991</v>
      </c>
      <c r="R386">
        <f>Table20[[#This Row],[Exit2]]*Table20[[#This Row],[ex2_price]]</f>
        <v>0</v>
      </c>
      <c r="S386">
        <f>IFERROR((Table20[[#This Row],[ex2_amnt]]+Table20[[#This Row],[ex1_amnt]])/(Table20[[#This Row],[Exit2]]+Table20[[#This Row],[Exit1]]),0)</f>
        <v>0.3</v>
      </c>
      <c r="T386" s="5">
        <f>(Table20[[#This Row],[Exit1]]+Table20[[#This Row],[Exit2]])*(Table20[[#This Row],[avg_exit_price]]-Table20[[#This Row],[AvePrice]])*100*Table20[[#This Row],[Buy or Sell]]</f>
        <v>-335.99999999999994</v>
      </c>
      <c r="U386" s="5">
        <f>Table20[[#This Row],[Number of options]]*Table20[[#This Row],[AvePrice]]*100*Table20[[#This Row],[Buy or Sell]]</f>
        <v>426</v>
      </c>
      <c r="V386" s="8">
        <f>Table20[[#This Row],[Number of options]]-Table20[[#This Row],[Exit1]]-Table20[[#This Row],[Exit2]]</f>
        <v>0</v>
      </c>
      <c r="W386" s="30">
        <f ca="1">(Table20[[#This Row],[Expiration Date]]-TODAY())/365</f>
        <v>-1.6356164383561644</v>
      </c>
      <c r="X386" s="30" t="e">
        <f ca="1">(LN(Table20[[#This Row],[Current Price]]/Table20[[#This Row],[strike_price]]) + ($B$2 + (Table20[[#This Row],[Vol]]^2)/2)*Table20[[#This Row],[Time to expiration]]) / (Table20[[#This Row],[Vol]] * SQRT(Table20[[#This Row],[Time to expiration]]))</f>
        <v>#NUM!</v>
      </c>
      <c r="Y386" s="30" t="e">
        <f ca="1">IF(Table20[[#This Row],[Direction]]&gt;0, _xlfn.NORM.S.DIST(Table20[[#This Row],[d1]], TRUE), _xlfn.NORM.S.DIST(Table20[[#This Row],[d1]], TRUE) - 1) * Table20[[#This Row],[Buy or Sell]]</f>
        <v>#NUM!</v>
      </c>
      <c r="Z386" s="9">
        <f ca="1">Table20[[#This Row],[Remaining]]*Table20[[#This Row],[Current Price]]*100</f>
        <v>0</v>
      </c>
      <c r="AA386" s="22">
        <f ca="1">IFERROR(Table20[[#This Row],[nominal_exposure]]*Table20[[#This Row],[Delta]],0)</f>
        <v>0</v>
      </c>
      <c r="AB386" s="30" t="b">
        <f>IF(Table20[[#This Row],[date_purchased]]&lt;&gt;Table20[[#This Row],[Expiration Date]],FALSE,TRUE)</f>
        <v>0</v>
      </c>
      <c r="AC386" s="30" t="str">
        <f>VLOOKUP(Table20[[#This Row],[Asset]],Table19[#All],3,FALSE)</f>
        <v>Market</v>
      </c>
      <c r="AD386" s="30">
        <f>IF(Table20[[#This Row],[Remaining]]&lt;&gt;0,Table20[[#This Row],[Invested]]*Table20[[#This Row],[Remaining]]/Table20[[#This Row],[Number of options]],0)</f>
        <v>0</v>
      </c>
      <c r="AE386" s="30">
        <f ca="1">SUMIF(Table20[Ticker],Table20[[#This Row],[Ticker]],Table20[realized_profit])</f>
        <v>-5077</v>
      </c>
      <c r="AF386" s="30" t="str">
        <f>VLOOKUP(Table20[[#This Row],[Strategy]],Table29[#All],7,FALSE)</f>
        <v>Bullish</v>
      </c>
    </row>
    <row r="387" spans="1:32" hidden="1">
      <c r="A387" s="118">
        <v>45510</v>
      </c>
      <c r="B387" s="21" t="e" vm="96">
        <v>#VALUE!</v>
      </c>
      <c r="C387" s="109" t="str" cm="1">
        <f t="array" aca="1" ref="C387" ca="1">_FV(Table20[[#This Row],[Asset]],"Ticker symbol",TRUE)</f>
        <v>SPY</v>
      </c>
      <c r="D387" s="26" cm="1">
        <f t="array" aca="1" ref="D387" ca="1">_FV(Table20[[#This Row],[Asset]],"Price")</f>
        <v>658.59</v>
      </c>
      <c r="E387" s="26">
        <v>518</v>
      </c>
      <c r="F387" s="33">
        <v>1</v>
      </c>
      <c r="G387" s="34">
        <v>-1</v>
      </c>
      <c r="H387" s="34" t="s">
        <v>115</v>
      </c>
      <c r="I387" s="31">
        <v>45510</v>
      </c>
      <c r="J387" s="26">
        <v>5.43</v>
      </c>
      <c r="K387" s="24">
        <v>0.52759999999999996</v>
      </c>
      <c r="L387" s="33">
        <f>VLOOKUP(Table20[[#This Row],[Strategy]],Table29[#All],6,FALSE)</f>
        <v>1</v>
      </c>
      <c r="M387" s="23">
        <v>1</v>
      </c>
      <c r="N387" s="23">
        <v>8.6199999999999992</v>
      </c>
      <c r="O387" s="23"/>
      <c r="P387" s="23"/>
      <c r="Q387">
        <f>Table20[[#This Row],[Exit1]]*Table20[[#This Row],[ex1_price]]</f>
        <v>8.6199999999999992</v>
      </c>
      <c r="R387">
        <f>Table20[[#This Row],[Exit2]]*Table20[[#This Row],[ex2_price]]</f>
        <v>0</v>
      </c>
      <c r="S387">
        <f>IFERROR((Table20[[#This Row],[ex2_amnt]]+Table20[[#This Row],[ex1_amnt]])/(Table20[[#This Row],[Exit2]]+Table20[[#This Row],[Exit1]]),0)</f>
        <v>8.6199999999999992</v>
      </c>
      <c r="T387" s="5">
        <f>(Table20[[#This Row],[Exit1]]+Table20[[#This Row],[Exit2]])*(Table20[[#This Row],[avg_exit_price]]-Table20[[#This Row],[AvePrice]])*100*Table20[[#This Row],[Buy or Sell]]</f>
        <v>-318.99999999999994</v>
      </c>
      <c r="U387" s="5">
        <f>Table20[[#This Row],[Number of options]]*Table20[[#This Row],[AvePrice]]*100*Table20[[#This Row],[Buy or Sell]]</f>
        <v>-543</v>
      </c>
      <c r="V387" s="8">
        <f>Table20[[#This Row],[Number of options]]-Table20[[#This Row],[Exit1]]-Table20[[#This Row],[Exit2]]</f>
        <v>0</v>
      </c>
      <c r="W387" s="30">
        <f ca="1">(Table20[[#This Row],[Expiration Date]]-TODAY())/365</f>
        <v>-1.6356164383561644</v>
      </c>
      <c r="X387" s="30" t="e">
        <f ca="1">(LN(Table20[[#This Row],[Current Price]]/Table20[[#This Row],[strike_price]]) + ($B$2 + (Table20[[#This Row],[Vol]]^2)/2)*Table20[[#This Row],[Time to expiration]]) / (Table20[[#This Row],[Vol]] * SQRT(Table20[[#This Row],[Time to expiration]]))</f>
        <v>#NUM!</v>
      </c>
      <c r="Y387" s="30" t="e">
        <f ca="1">IF(Table20[[#This Row],[Direction]]&gt;0, _xlfn.NORM.S.DIST(Table20[[#This Row],[d1]], TRUE), _xlfn.NORM.S.DIST(Table20[[#This Row],[d1]], TRUE) - 1) * Table20[[#This Row],[Buy or Sell]]</f>
        <v>#NUM!</v>
      </c>
      <c r="Z387" s="9">
        <f ca="1">Table20[[#This Row],[Remaining]]*Table20[[#This Row],[Current Price]]*100</f>
        <v>0</v>
      </c>
      <c r="AA387" s="22">
        <f ca="1">IFERROR(Table20[[#This Row],[nominal_exposure]]*Table20[[#This Row],[Delta]],0)</f>
        <v>0</v>
      </c>
      <c r="AB387" s="30" t="b">
        <f>IF(Table20[[#This Row],[date_purchased]]&lt;&gt;Table20[[#This Row],[Expiration Date]],FALSE,TRUE)</f>
        <v>1</v>
      </c>
      <c r="AC387" s="30" t="str">
        <f>VLOOKUP(Table20[[#This Row],[Asset]],Table19[#All],3,FALSE)</f>
        <v>Market</v>
      </c>
      <c r="AD387" s="30">
        <f>IF(Table20[[#This Row],[Remaining]]&lt;&gt;0,Table20[[#This Row],[Invested]]*Table20[[#This Row],[Remaining]]/Table20[[#This Row],[Number of options]],0)</f>
        <v>0</v>
      </c>
      <c r="AE387" s="30">
        <f ca="1">SUMIF(Table20[Ticker],Table20[[#This Row],[Ticker]],Table20[realized_profit])</f>
        <v>-5077</v>
      </c>
      <c r="AF387" s="30" t="str">
        <f>VLOOKUP(Table20[[#This Row],[Strategy]],Table29[#All],7,FALSE)</f>
        <v>Bullish</v>
      </c>
    </row>
    <row r="388" spans="1:32" hidden="1">
      <c r="A388" s="180"/>
      <c r="B388" s="21" t="e" vm="135">
        <v>#VALUE!</v>
      </c>
      <c r="C388" s="109" t="str" cm="1">
        <f t="array" aca="1" ref="C388" ca="1">_FV(Table20[[#This Row],[Asset]],"Ticker symbol",TRUE)</f>
        <v>CRM</v>
      </c>
      <c r="D388" s="26" cm="1">
        <f t="array" aca="1" ref="D388" ca="1">_FV(Table20[[#This Row],[Asset]],"Price")</f>
        <v>183.79</v>
      </c>
      <c r="E388" s="26"/>
      <c r="F388" s="33"/>
      <c r="G388" s="34"/>
      <c r="H388" s="34"/>
      <c r="I388" s="31"/>
      <c r="J388" s="26"/>
      <c r="K388" s="24"/>
      <c r="L388" s="33" t="e">
        <f>VLOOKUP(Table20[[#This Row],[Strategy]],Table29[#All],6,FALSE)</f>
        <v>#N/A</v>
      </c>
      <c r="M388" s="23"/>
      <c r="N388" s="23"/>
      <c r="O388" s="23"/>
      <c r="P388" s="23"/>
      <c r="Q388">
        <f>Table20[[#This Row],[Exit1]]*Table20[[#This Row],[ex1_price]]</f>
        <v>0</v>
      </c>
      <c r="R388">
        <f>Table20[[#This Row],[Exit2]]*Table20[[#This Row],[ex2_price]]</f>
        <v>0</v>
      </c>
      <c r="S388">
        <f>IFERROR((Table20[[#This Row],[ex2_amnt]]+Table20[[#This Row],[ex1_amnt]])/(Table20[[#This Row],[Exit2]]+Table20[[#This Row],[Exit1]]),0)</f>
        <v>0</v>
      </c>
      <c r="T388" s="5">
        <f>(Table20[[#This Row],[Exit1]]+Table20[[#This Row],[Exit2]])*(Table20[[#This Row],[avg_exit_price]]-Table20[[#This Row],[AvePrice]])*100*Table20[[#This Row],[Buy or Sell]]</f>
        <v>0</v>
      </c>
      <c r="U388" s="5">
        <f>Table20[[#This Row],[Number of options]]*Table20[[#This Row],[AvePrice]]*100*Table20[[#This Row],[Buy or Sell]]</f>
        <v>0</v>
      </c>
      <c r="V388" s="8">
        <f>Table20[[#This Row],[Number of options]]-Table20[[#This Row],[Exit1]]-Table20[[#This Row],[Exit2]]</f>
        <v>0</v>
      </c>
      <c r="W388" s="30">
        <f ca="1">(Table20[[#This Row],[Expiration Date]]-TODAY())/365</f>
        <v>-126.32054794520548</v>
      </c>
      <c r="X388" s="30" t="e">
        <f ca="1">(LN(Table20[[#This Row],[Current Price]]/Table20[[#This Row],[strike_price]]) + ($B$2 + (Table20[[#This Row],[Vol]]^2)/2)*Table20[[#This Row],[Time to expiration]]) / (Table20[[#This Row],[Vol]] * SQRT(Table20[[#This Row],[Time to expiration]]))</f>
        <v>#DIV/0!</v>
      </c>
      <c r="Y388" s="30" t="e">
        <f>IF(Table20[[#This Row],[Direction]]&gt;0, _xlfn.NORM.S.DIST(Table20[[#This Row],[d1]], TRUE), _xlfn.NORM.S.DIST(Table20[[#This Row],[d1]], TRUE) - 1) * Table20[[#This Row],[Buy or Sell]]</f>
        <v>#N/A</v>
      </c>
      <c r="Z388" s="9">
        <f ca="1">Table20[[#This Row],[Remaining]]*Table20[[#This Row],[Current Price]]*100</f>
        <v>0</v>
      </c>
      <c r="AA388" s="22">
        <f ca="1">IFERROR(Table20[[#This Row],[nominal_exposure]]*Table20[[#This Row],[Delta]],0)</f>
        <v>0</v>
      </c>
      <c r="AB388" s="30" t="b">
        <f>IF(Table20[[#This Row],[date_purchased]]&lt;&gt;Table20[[#This Row],[Expiration Date]],FALSE,TRUE)</f>
        <v>1</v>
      </c>
      <c r="AC388" s="30" t="str">
        <f>VLOOKUP(Table20[[#This Row],[Asset]],Table19[#All],3,FALSE)</f>
        <v>Technology</v>
      </c>
      <c r="AD388" s="30">
        <f>IF(Table20[[#This Row],[Remaining]]&lt;&gt;0,Table20[[#This Row],[Invested]]*Table20[[#This Row],[Remaining]]/Table20[[#This Row],[Number of options]],0)</f>
        <v>0</v>
      </c>
      <c r="AE388" s="30">
        <f ca="1">SUMIF(Table20[Ticker],Table20[[#This Row],[Ticker]],Table20[realized_profit])</f>
        <v>-606</v>
      </c>
      <c r="AF388" s="30" t="e">
        <f>VLOOKUP(Table20[[#This Row],[Strategy]],Table29[#All],7,FALSE)</f>
        <v>#N/A</v>
      </c>
    </row>
    <row r="389" spans="1:32" hidden="1">
      <c r="A389" s="118">
        <v>45510</v>
      </c>
      <c r="B389" s="21" t="e" vm="96">
        <v>#VALUE!</v>
      </c>
      <c r="C389" s="109" t="str" cm="1">
        <f t="array" aca="1" ref="C389" ca="1">_FV(Table20[[#This Row],[Asset]],"Ticker symbol",TRUE)</f>
        <v>SPY</v>
      </c>
      <c r="D389" s="26" cm="1">
        <f t="array" aca="1" ref="D389" ca="1">_FV(Table20[[#This Row],[Asset]],"Price")</f>
        <v>658.59</v>
      </c>
      <c r="E389" s="26">
        <v>522</v>
      </c>
      <c r="F389" s="33">
        <v>1</v>
      </c>
      <c r="G389" s="34">
        <v>-1</v>
      </c>
      <c r="H389" s="34" t="s">
        <v>115</v>
      </c>
      <c r="I389" s="31">
        <v>45510</v>
      </c>
      <c r="J389" s="26">
        <v>3.08</v>
      </c>
      <c r="K389" s="24">
        <v>0.5</v>
      </c>
      <c r="L389" s="33">
        <f>VLOOKUP(Table20[[#This Row],[Strategy]],Table29[#All],6,FALSE)</f>
        <v>1</v>
      </c>
      <c r="M389" s="23">
        <v>1</v>
      </c>
      <c r="N389" s="23">
        <v>4.2699999999999996</v>
      </c>
      <c r="O389" s="23"/>
      <c r="P389" s="23"/>
      <c r="Q389">
        <f>Table20[[#This Row],[Exit1]]*Table20[[#This Row],[ex1_price]]</f>
        <v>4.2699999999999996</v>
      </c>
      <c r="R389">
        <f>Table20[[#This Row],[Exit2]]*Table20[[#This Row],[ex2_price]]</f>
        <v>0</v>
      </c>
      <c r="S389">
        <f>IFERROR((Table20[[#This Row],[ex2_amnt]]+Table20[[#This Row],[ex1_amnt]])/(Table20[[#This Row],[Exit2]]+Table20[[#This Row],[Exit1]]),0)</f>
        <v>4.2699999999999996</v>
      </c>
      <c r="T389" s="5">
        <f>(Table20[[#This Row],[Exit1]]+Table20[[#This Row],[Exit2]])*(Table20[[#This Row],[avg_exit_price]]-Table20[[#This Row],[AvePrice]])*100*Table20[[#This Row],[Buy or Sell]]</f>
        <v>-118.99999999999994</v>
      </c>
      <c r="U389" s="5">
        <f>Table20[[#This Row],[Number of options]]*Table20[[#This Row],[AvePrice]]*100*Table20[[#This Row],[Buy or Sell]]</f>
        <v>-308</v>
      </c>
      <c r="V389" s="8">
        <f>Table20[[#This Row],[Number of options]]-Table20[[#This Row],[Exit1]]-Table20[[#This Row],[Exit2]]</f>
        <v>0</v>
      </c>
      <c r="W389" s="30">
        <f ca="1">(Table20[[#This Row],[Expiration Date]]-TODAY())/365</f>
        <v>-1.6356164383561644</v>
      </c>
      <c r="X389" s="30" t="e">
        <f ca="1">(LN(Table20[[#This Row],[Current Price]]/Table20[[#This Row],[strike_price]]) + ($B$2 + (Table20[[#This Row],[Vol]]^2)/2)*Table20[[#This Row],[Time to expiration]]) / (Table20[[#This Row],[Vol]] * SQRT(Table20[[#This Row],[Time to expiration]]))</f>
        <v>#NUM!</v>
      </c>
      <c r="Y389" s="30" t="e">
        <f ca="1">IF(Table20[[#This Row],[Direction]]&gt;0, _xlfn.NORM.S.DIST(Table20[[#This Row],[d1]], TRUE), _xlfn.NORM.S.DIST(Table20[[#This Row],[d1]], TRUE) - 1) * Table20[[#This Row],[Buy or Sell]]</f>
        <v>#NUM!</v>
      </c>
      <c r="Z389" s="9">
        <f ca="1">Table20[[#This Row],[Remaining]]*Table20[[#This Row],[Current Price]]*100</f>
        <v>0</v>
      </c>
      <c r="AA389" s="22">
        <f ca="1">IFERROR(Table20[[#This Row],[nominal_exposure]]*Table20[[#This Row],[Delta]],0)</f>
        <v>0</v>
      </c>
      <c r="AB389" s="30" t="b">
        <f>IF(Table20[[#This Row],[date_purchased]]&lt;&gt;Table20[[#This Row],[Expiration Date]],FALSE,TRUE)</f>
        <v>1</v>
      </c>
      <c r="AC389" s="30" t="str">
        <f>VLOOKUP(Table20[[#This Row],[Asset]],Table19[#All],3,FALSE)</f>
        <v>Market</v>
      </c>
      <c r="AD389" s="30">
        <f>IF(Table20[[#This Row],[Remaining]]&lt;&gt;0,Table20[[#This Row],[Invested]]*Table20[[#This Row],[Remaining]]/Table20[[#This Row],[Number of options]],0)</f>
        <v>0</v>
      </c>
      <c r="AE389" s="30">
        <f ca="1">SUMIF(Table20[Ticker],Table20[[#This Row],[Ticker]],Table20[realized_profit])</f>
        <v>-5077</v>
      </c>
      <c r="AF389" s="30" t="str">
        <f>VLOOKUP(Table20[[#This Row],[Strategy]],Table29[#All],7,FALSE)</f>
        <v>Bullish</v>
      </c>
    </row>
    <row r="390" spans="1:32" hidden="1">
      <c r="A390" s="35">
        <v>45510</v>
      </c>
      <c r="B390" s="21" t="e" vm="96">
        <v>#VALUE!</v>
      </c>
      <c r="C390" s="109" t="str" cm="1">
        <f t="array" aca="1" ref="C390" ca="1">_FV(Table20[[#This Row],[Asset]],"Ticker symbol",TRUE)</f>
        <v>SPY</v>
      </c>
      <c r="D390" s="26" cm="1">
        <f t="array" aca="1" ref="D390" ca="1">_FV(Table20[[#This Row],[Asset]],"Price")</f>
        <v>658.59</v>
      </c>
      <c r="E390" s="26">
        <v>500</v>
      </c>
      <c r="F390" s="33">
        <v>3</v>
      </c>
      <c r="G390" s="34">
        <v>1</v>
      </c>
      <c r="H390" s="34" t="s">
        <v>161</v>
      </c>
      <c r="I390" s="31">
        <v>45509</v>
      </c>
      <c r="J390" s="26">
        <v>2.4700000000000002</v>
      </c>
      <c r="K390" s="24">
        <v>0.66</v>
      </c>
      <c r="L390" s="33">
        <f>VLOOKUP(Table20[[#This Row],[Strategy]],Table29[#All],6,FALSE)</f>
        <v>-1</v>
      </c>
      <c r="M390" s="23">
        <v>3</v>
      </c>
      <c r="N390" s="23">
        <v>0.49</v>
      </c>
      <c r="O390" s="23"/>
      <c r="P390" s="23"/>
      <c r="Q390">
        <f>Table20[[#This Row],[Exit1]]*Table20[[#This Row],[ex1_price]]</f>
        <v>1.47</v>
      </c>
      <c r="R390">
        <f>Table20[[#This Row],[Exit2]]*Table20[[#This Row],[ex2_price]]</f>
        <v>0</v>
      </c>
      <c r="S390">
        <f>IFERROR((Table20[[#This Row],[ex2_amnt]]+Table20[[#This Row],[ex1_amnt]])/(Table20[[#This Row],[Exit2]]+Table20[[#This Row],[Exit1]]),0)</f>
        <v>0.49</v>
      </c>
      <c r="T390" s="5">
        <f>(Table20[[#This Row],[Exit1]]+Table20[[#This Row],[Exit2]])*(Table20[[#This Row],[avg_exit_price]]-Table20[[#This Row],[AvePrice]])*100*Table20[[#This Row],[Buy or Sell]]</f>
        <v>-594</v>
      </c>
      <c r="U390" s="5">
        <f>Table20[[#This Row],[Number of options]]*Table20[[#This Row],[AvePrice]]*100*Table20[[#This Row],[Buy or Sell]]</f>
        <v>741</v>
      </c>
      <c r="V390" s="8">
        <f>Table20[[#This Row],[Number of options]]-Table20[[#This Row],[Exit1]]-Table20[[#This Row],[Exit2]]</f>
        <v>0</v>
      </c>
      <c r="W390" s="30">
        <f ca="1">(Table20[[#This Row],[Expiration Date]]-TODAY())/365</f>
        <v>-1.6356164383561644</v>
      </c>
      <c r="X390" s="30" t="e">
        <f ca="1">(LN(Table20[[#This Row],[Current Price]]/Table20[[#This Row],[strike_price]]) + ($B$2 + (Table20[[#This Row],[Vol]]^2)/2)*Table20[[#This Row],[Time to expiration]]) / (Table20[[#This Row],[Vol]] * SQRT(Table20[[#This Row],[Time to expiration]]))</f>
        <v>#NUM!</v>
      </c>
      <c r="Y390" s="30" t="e">
        <f ca="1">IF(Table20[[#This Row],[Direction]]&gt;0, _xlfn.NORM.S.DIST(Table20[[#This Row],[d1]], TRUE), _xlfn.NORM.S.DIST(Table20[[#This Row],[d1]], TRUE) - 1) * Table20[[#This Row],[Buy or Sell]]</f>
        <v>#NUM!</v>
      </c>
      <c r="Z390" s="9">
        <f ca="1">Table20[[#This Row],[Remaining]]*Table20[[#This Row],[Current Price]]*100</f>
        <v>0</v>
      </c>
      <c r="AA390" s="22">
        <f ca="1">IFERROR(Table20[[#This Row],[nominal_exposure]]*Table20[[#This Row],[Delta]],0)</f>
        <v>0</v>
      </c>
      <c r="AB390" s="30" t="b">
        <v>1</v>
      </c>
      <c r="AC390" s="30" t="str">
        <f>VLOOKUP(Table20[[#This Row],[Asset]],Table19[#All],3,FALSE)</f>
        <v>Market</v>
      </c>
      <c r="AD390" s="30">
        <f>IF(Table20[[#This Row],[Remaining]]&lt;&gt;0,Table20[[#This Row],[Invested]]*Table20[[#This Row],[Remaining]]/Table20[[#This Row],[Number of options]],0)</f>
        <v>0</v>
      </c>
      <c r="AE390" s="30">
        <f ca="1">SUMIF(Table20[Ticker],Table20[[#This Row],[Ticker]],Table20[realized_profit])</f>
        <v>-5077</v>
      </c>
      <c r="AF390" s="30" t="str">
        <f>VLOOKUP(Table20[[#This Row],[Strategy]],Table29[#All],7,FALSE)</f>
        <v>Bearish</v>
      </c>
    </row>
    <row r="391" spans="1:32" hidden="1">
      <c r="A391" s="180">
        <v>45625</v>
      </c>
      <c r="B391" s="21" t="e" vm="84">
        <v>#VALUE!</v>
      </c>
      <c r="C391" s="109" t="str" cm="1">
        <f t="array" aca="1" ref="C391" ca="1">_FV(Table20[[#This Row],[Asset]],"Ticker symbol",TRUE)</f>
        <v>COIN</v>
      </c>
      <c r="D391" s="26" cm="1">
        <f t="array" aca="1" ref="D391" ca="1">_FV(Table20[[#This Row],[Asset]],"Price")</f>
        <v>188</v>
      </c>
      <c r="E391" s="26">
        <v>160</v>
      </c>
      <c r="F391" s="33">
        <v>1</v>
      </c>
      <c r="G391" s="34">
        <v>-1</v>
      </c>
      <c r="H391" s="34" t="s">
        <v>161</v>
      </c>
      <c r="I391" s="31">
        <v>45602</v>
      </c>
      <c r="J391" s="26">
        <v>0.73</v>
      </c>
      <c r="K391" s="24">
        <v>1.0818000000000001</v>
      </c>
      <c r="L391" s="33">
        <f>VLOOKUP(Table20[[#This Row],[Strategy]],Table29[#All],6,FALSE)</f>
        <v>-1</v>
      </c>
      <c r="M391" s="23">
        <v>1</v>
      </c>
      <c r="N391" s="23">
        <v>0</v>
      </c>
      <c r="O391" s="23"/>
      <c r="P391" s="23"/>
      <c r="Q391">
        <f>Table20[[#This Row],[Exit1]]*Table20[[#This Row],[ex1_price]]</f>
        <v>0</v>
      </c>
      <c r="R391">
        <f>Table20[[#This Row],[Exit2]]*Table20[[#This Row],[ex2_price]]</f>
        <v>0</v>
      </c>
      <c r="S391">
        <f>IFERROR((Table20[[#This Row],[ex2_amnt]]+Table20[[#This Row],[ex1_amnt]])/(Table20[[#This Row],[Exit2]]+Table20[[#This Row],[Exit1]]),0)</f>
        <v>0</v>
      </c>
      <c r="T391" s="5">
        <f>(Table20[[#This Row],[Exit1]]+Table20[[#This Row],[Exit2]])*(Table20[[#This Row],[avg_exit_price]]-Table20[[#This Row],[AvePrice]])*100*Table20[[#This Row],[Buy or Sell]]</f>
        <v>73</v>
      </c>
      <c r="U391" s="5">
        <f>Table20[[#This Row],[Number of options]]*Table20[[#This Row],[AvePrice]]*100*Table20[[#This Row],[Buy or Sell]]</f>
        <v>-73</v>
      </c>
      <c r="V391" s="8">
        <f>Table20[[#This Row],[Number of options]]-Table20[[#This Row],[Exit1]]-Table20[[#This Row],[Exit2]]</f>
        <v>0</v>
      </c>
      <c r="W391" s="30">
        <f ca="1">(Table20[[#This Row],[Expiration Date]]-TODAY())/365</f>
        <v>-1.3205479452054794</v>
      </c>
      <c r="X391" s="30" t="e">
        <f ca="1">(LN(Table20[[#This Row],[Current Price]]/Table20[[#This Row],[strike_price]]) + ($B$2 + (Table20[[#This Row],[Vol]]^2)/2)*Table20[[#This Row],[Time to expiration]]) / (Table20[[#This Row],[Vol]] * SQRT(Table20[[#This Row],[Time to expiration]]))</f>
        <v>#NUM!</v>
      </c>
      <c r="Y391" s="30" t="e">
        <f ca="1">IF(Table20[[#This Row],[Direction]]&gt;0, _xlfn.NORM.S.DIST(Table20[[#This Row],[d1]], TRUE), _xlfn.NORM.S.DIST(Table20[[#This Row],[d1]], TRUE) - 1) * Table20[[#This Row],[Buy or Sell]]</f>
        <v>#NUM!</v>
      </c>
      <c r="Z391" s="9">
        <f ca="1">Table20[[#This Row],[Remaining]]*Table20[[#This Row],[Current Price]]*100</f>
        <v>0</v>
      </c>
      <c r="AA391" s="22">
        <f ca="1">IFERROR(Table20[[#This Row],[nominal_exposure]]*Table20[[#This Row],[Delta]],0)</f>
        <v>0</v>
      </c>
      <c r="AB391" s="30" t="b">
        <f>IF(Table20[[#This Row],[date_purchased]]&lt;&gt;Table20[[#This Row],[Expiration Date]],FALSE,TRUE)</f>
        <v>0</v>
      </c>
      <c r="AC391" s="30" t="str">
        <f>VLOOKUP(Table20[[#This Row],[Asset]],Table19[#All],3,FALSE)</f>
        <v>Financials</v>
      </c>
      <c r="AD391" s="30">
        <f>IF(Table20[[#This Row],[Remaining]]&lt;&gt;0,Table20[[#This Row],[Invested]]*Table20[[#This Row],[Remaining]]/Table20[[#This Row],[Number of options]],0)</f>
        <v>0</v>
      </c>
      <c r="AE391" s="30">
        <f ca="1">SUMIF(Table20[Ticker],Table20[[#This Row],[Ticker]],Table20[realized_profit])</f>
        <v>4035</v>
      </c>
      <c r="AF391" s="30" t="str">
        <f>VLOOKUP(Table20[[#This Row],[Strategy]],Table29[#All],7,FALSE)</f>
        <v>Bearish</v>
      </c>
    </row>
    <row r="392" spans="1:32" hidden="1">
      <c r="A392" s="180">
        <v>45625</v>
      </c>
      <c r="B392" s="21" t="e" vm="176">
        <v>#VALUE!</v>
      </c>
      <c r="C392" s="109" t="str" cm="1">
        <f t="array" aca="1" ref="C392" ca="1">_FV(Table20[[#This Row],[Asset]],"Ticker symbol",TRUE)</f>
        <v>HUT</v>
      </c>
      <c r="D392" s="26" cm="1">
        <f t="array" aca="1" ref="D392" ca="1">_FV(Table20[[#This Row],[Asset]],"Price")</f>
        <v>55.875</v>
      </c>
      <c r="E392" s="26">
        <v>25</v>
      </c>
      <c r="F392" s="33">
        <v>2</v>
      </c>
      <c r="G392" s="34">
        <v>1</v>
      </c>
      <c r="H392" s="34" t="s">
        <v>113</v>
      </c>
      <c r="I392" s="31">
        <v>45616</v>
      </c>
      <c r="J392" s="26">
        <v>1.7</v>
      </c>
      <c r="K392" s="24">
        <v>1.1409</v>
      </c>
      <c r="L392" s="33">
        <f>VLOOKUP(Table20[[#This Row],[Strategy]],Table29[#All],6,FALSE)</f>
        <v>1</v>
      </c>
      <c r="M392" s="23">
        <v>2</v>
      </c>
      <c r="N392" s="23">
        <v>0.48</v>
      </c>
      <c r="O392" s="23"/>
      <c r="P392" s="23"/>
      <c r="Q392">
        <f>Table20[[#This Row],[Exit1]]*Table20[[#This Row],[ex1_price]]</f>
        <v>0.96</v>
      </c>
      <c r="R392">
        <f>Table20[[#This Row],[Exit2]]*Table20[[#This Row],[ex2_price]]</f>
        <v>0</v>
      </c>
      <c r="S392">
        <f>IFERROR((Table20[[#This Row],[ex2_amnt]]+Table20[[#This Row],[ex1_amnt]])/(Table20[[#This Row],[Exit2]]+Table20[[#This Row],[Exit1]]),0)</f>
        <v>0.48</v>
      </c>
      <c r="T392" s="5">
        <f>(Table20[[#This Row],[Exit1]]+Table20[[#This Row],[Exit2]])*(Table20[[#This Row],[avg_exit_price]]-Table20[[#This Row],[AvePrice]])*100*Table20[[#This Row],[Buy or Sell]]</f>
        <v>-244</v>
      </c>
      <c r="U392" s="5">
        <f>Table20[[#This Row],[Number of options]]*Table20[[#This Row],[AvePrice]]*100*Table20[[#This Row],[Buy or Sell]]</f>
        <v>340</v>
      </c>
      <c r="V392" s="8">
        <f>Table20[[#This Row],[Number of options]]-Table20[[#This Row],[Exit1]]-Table20[[#This Row],[Exit2]]</f>
        <v>0</v>
      </c>
      <c r="W392" s="30">
        <f ca="1">(Table20[[#This Row],[Expiration Date]]-TODAY())/365</f>
        <v>-1.3205479452054794</v>
      </c>
      <c r="X392" s="30" t="e">
        <f ca="1">(LN(Table20[[#This Row],[Current Price]]/Table20[[#This Row],[strike_price]]) + ($B$2 + (Table20[[#This Row],[Vol]]^2)/2)*Table20[[#This Row],[Time to expiration]]) / (Table20[[#This Row],[Vol]] * SQRT(Table20[[#This Row],[Time to expiration]]))</f>
        <v>#NUM!</v>
      </c>
      <c r="Y392" s="30" t="e">
        <f ca="1">IF(Table20[[#This Row],[Direction]]&gt;0, _xlfn.NORM.S.DIST(Table20[[#This Row],[d1]], TRUE), _xlfn.NORM.S.DIST(Table20[[#This Row],[d1]], TRUE) - 1) * Table20[[#This Row],[Buy or Sell]]</f>
        <v>#NUM!</v>
      </c>
      <c r="Z392" s="9">
        <f ca="1">Table20[[#This Row],[Remaining]]*Table20[[#This Row],[Current Price]]*100</f>
        <v>0</v>
      </c>
      <c r="AA392" s="22">
        <f ca="1">IFERROR(Table20[[#This Row],[nominal_exposure]]*Table20[[#This Row],[Delta]],0)</f>
        <v>0</v>
      </c>
      <c r="AB392" s="30" t="b">
        <f>IF(Table20[[#This Row],[date_purchased]]&lt;&gt;Table20[[#This Row],[Expiration Date]],FALSE,TRUE)</f>
        <v>0</v>
      </c>
      <c r="AC392" s="30" t="str">
        <f>VLOOKUP(Table20[[#This Row],[Asset]],Table19[#All],3,FALSE)</f>
        <v>Bitcoin mining</v>
      </c>
      <c r="AD392" s="30">
        <f>IF(Table20[[#This Row],[Remaining]]&lt;&gt;0,Table20[[#This Row],[Invested]]*Table20[[#This Row],[Remaining]]/Table20[[#This Row],[Number of options]],0)</f>
        <v>0</v>
      </c>
      <c r="AE392" s="30">
        <f ca="1">SUMIF(Table20[Ticker],Table20[[#This Row],[Ticker]],Table20[realized_profit])</f>
        <v>-390</v>
      </c>
      <c r="AF392" s="30" t="str">
        <f>VLOOKUP(Table20[[#This Row],[Strategy]],Table29[#All],7,FALSE)</f>
        <v>Bullish</v>
      </c>
    </row>
    <row r="393" spans="1:32" hidden="1">
      <c r="A393" s="35">
        <v>45510</v>
      </c>
      <c r="B393" s="21" t="e" vm="96">
        <v>#VALUE!</v>
      </c>
      <c r="C393" s="109" t="str" cm="1">
        <f t="array" aca="1" ref="C393" ca="1">_FV(Table20[[#This Row],[Asset]],"Ticker symbol",TRUE)</f>
        <v>SPY</v>
      </c>
      <c r="D393" s="26" cm="1">
        <f t="array" aca="1" ref="D393" ca="1">_FV(Table20[[#This Row],[Asset]],"Price")</f>
        <v>658.59</v>
      </c>
      <c r="E393" s="26">
        <v>505</v>
      </c>
      <c r="F393" s="33">
        <v>1</v>
      </c>
      <c r="G393" s="34">
        <v>-1</v>
      </c>
      <c r="H393" s="34" t="s">
        <v>161</v>
      </c>
      <c r="I393" s="31">
        <v>45509</v>
      </c>
      <c r="J393" s="26">
        <v>0.95</v>
      </c>
      <c r="K393" s="24">
        <v>0.93659999999999999</v>
      </c>
      <c r="L393" s="33">
        <f>VLOOKUP(Table20[[#This Row],[Strategy]],Table29[#All],6,FALSE)</f>
        <v>-1</v>
      </c>
      <c r="M393" s="23">
        <v>1</v>
      </c>
      <c r="N393" s="23">
        <v>0.11</v>
      </c>
      <c r="O393" s="23"/>
      <c r="P393" s="23"/>
      <c r="Q393">
        <f>Table20[[#This Row],[Exit1]]*Table20[[#This Row],[ex1_price]]</f>
        <v>0.11</v>
      </c>
      <c r="R393">
        <f>Table20[[#This Row],[Exit2]]*Table20[[#This Row],[ex2_price]]</f>
        <v>0</v>
      </c>
      <c r="S393">
        <f>IFERROR((Table20[[#This Row],[ex2_amnt]]+Table20[[#This Row],[ex1_amnt]])/(Table20[[#This Row],[Exit2]]+Table20[[#This Row],[Exit1]]),0)</f>
        <v>0.11</v>
      </c>
      <c r="T393" s="5">
        <f>(Table20[[#This Row],[Exit1]]+Table20[[#This Row],[Exit2]])*(Table20[[#This Row],[avg_exit_price]]-Table20[[#This Row],[AvePrice]])*100*Table20[[#This Row],[Buy or Sell]]</f>
        <v>84</v>
      </c>
      <c r="U393" s="5">
        <f>Table20[[#This Row],[Number of options]]*Table20[[#This Row],[AvePrice]]*100*Table20[[#This Row],[Buy or Sell]]</f>
        <v>-95</v>
      </c>
      <c r="V393" s="8">
        <f>Table20[[#This Row],[Number of options]]-Table20[[#This Row],[Exit1]]-Table20[[#This Row],[Exit2]]</f>
        <v>0</v>
      </c>
      <c r="W393" s="30">
        <f ca="1">(Table20[[#This Row],[Expiration Date]]-TODAY())/365</f>
        <v>-1.6356164383561644</v>
      </c>
      <c r="X393" s="30" t="e">
        <f ca="1">(LN(Table20[[#This Row],[Current Price]]/Table20[[#This Row],[strike_price]]) + ($B$2 + (Table20[[#This Row],[Vol]]^2)/2)*Table20[[#This Row],[Time to expiration]]) / (Table20[[#This Row],[Vol]] * SQRT(Table20[[#This Row],[Time to expiration]]))</f>
        <v>#NUM!</v>
      </c>
      <c r="Y393" s="30" t="e">
        <f ca="1">IF(Table20[[#This Row],[Direction]]&gt;0, _xlfn.NORM.S.DIST(Table20[[#This Row],[d1]], TRUE), _xlfn.NORM.S.DIST(Table20[[#This Row],[d1]], TRUE) - 1) * Table20[[#This Row],[Buy or Sell]]</f>
        <v>#NUM!</v>
      </c>
      <c r="Z393" s="9">
        <f ca="1">Table20[[#This Row],[Remaining]]*Table20[[#This Row],[Current Price]]*100</f>
        <v>0</v>
      </c>
      <c r="AA393" s="22">
        <f ca="1">IFERROR(Table20[[#This Row],[nominal_exposure]]*Table20[[#This Row],[Delta]],0)</f>
        <v>0</v>
      </c>
      <c r="AB393" s="30" t="b">
        <f>IF(Table20[[#This Row],[date_purchased]]&lt;&gt;Table20[[#This Row],[Expiration Date]],FALSE,TRUE)</f>
        <v>0</v>
      </c>
      <c r="AC393" s="30" t="str">
        <f>VLOOKUP(Table20[[#This Row],[Asset]],Table19[#All],3,FALSE)</f>
        <v>Market</v>
      </c>
      <c r="AD393" s="30">
        <f>IF(Table20[[#This Row],[Remaining]]&lt;&gt;0,Table20[[#This Row],[Invested]]*Table20[[#This Row],[Remaining]]/Table20[[#This Row],[Number of options]],0)</f>
        <v>0</v>
      </c>
      <c r="AE393" s="30">
        <f ca="1">SUMIF(Table20[Ticker],Table20[[#This Row],[Ticker]],Table20[realized_profit])</f>
        <v>-5077</v>
      </c>
      <c r="AF393" s="30" t="str">
        <f>VLOOKUP(Table20[[#This Row],[Strategy]],Table29[#All],7,FALSE)</f>
        <v>Bearish</v>
      </c>
    </row>
    <row r="394" spans="1:32" hidden="1">
      <c r="A394" s="180">
        <v>45625</v>
      </c>
      <c r="B394" s="21" t="e" vm="25">
        <v>#VALUE!</v>
      </c>
      <c r="C394" s="109" t="str" cm="1">
        <f t="array" aca="1" ref="C394" ca="1">_FV(Table20[[#This Row],[Asset]],"Ticker symbol",TRUE)</f>
        <v>AMAT</v>
      </c>
      <c r="D394" s="26" cm="1">
        <f t="array" aca="1" ref="D394" ca="1">_FV(Table20[[#This Row],[Asset]],"Price")</f>
        <v>374.08</v>
      </c>
      <c r="E394" s="26">
        <v>220</v>
      </c>
      <c r="F394" s="33">
        <v>2</v>
      </c>
      <c r="G394" s="34">
        <v>1</v>
      </c>
      <c r="H394" s="34" t="s">
        <v>115</v>
      </c>
      <c r="I394" s="31">
        <v>45594</v>
      </c>
      <c r="J394" s="26">
        <v>1.48</v>
      </c>
      <c r="K394" s="24">
        <v>0.45290000000000002</v>
      </c>
      <c r="L394" s="33">
        <f>VLOOKUP(Table20[[#This Row],[Strategy]],Table29[#All],6,FALSE)</f>
        <v>1</v>
      </c>
      <c r="M394" s="23">
        <v>2</v>
      </c>
      <c r="N394" s="23">
        <v>0.46</v>
      </c>
      <c r="O394" s="23"/>
      <c r="P394" s="23"/>
      <c r="Q394">
        <f>Table20[[#This Row],[Exit1]]*Table20[[#This Row],[ex1_price]]</f>
        <v>0.92</v>
      </c>
      <c r="R394">
        <f>Table20[[#This Row],[Exit2]]*Table20[[#This Row],[ex2_price]]</f>
        <v>0</v>
      </c>
      <c r="S394">
        <f>IFERROR((Table20[[#This Row],[ex2_amnt]]+Table20[[#This Row],[ex1_amnt]])/(Table20[[#This Row],[Exit2]]+Table20[[#This Row],[Exit1]]),0)</f>
        <v>0.46</v>
      </c>
      <c r="T394" s="5">
        <f>(Table20[[#This Row],[Exit1]]+Table20[[#This Row],[Exit2]])*(Table20[[#This Row],[avg_exit_price]]-Table20[[#This Row],[AvePrice]])*100*Table20[[#This Row],[Buy or Sell]]</f>
        <v>-204</v>
      </c>
      <c r="U394" s="5">
        <f>Table20[[#This Row],[Number of options]]*Table20[[#This Row],[AvePrice]]*100*Table20[[#This Row],[Buy or Sell]]</f>
        <v>296</v>
      </c>
      <c r="V394" s="8">
        <f>Table20[[#This Row],[Number of options]]-Table20[[#This Row],[Exit1]]-Table20[[#This Row],[Exit2]]</f>
        <v>0</v>
      </c>
      <c r="W394" s="30">
        <f ca="1">(Table20[[#This Row],[Expiration Date]]-TODAY())/365</f>
        <v>-1.3205479452054794</v>
      </c>
      <c r="X394" s="30" t="e">
        <f ca="1">(LN(Table20[[#This Row],[Current Price]]/Table20[[#This Row],[strike_price]]) + ($B$2 + (Table20[[#This Row],[Vol]]^2)/2)*Table20[[#This Row],[Time to expiration]]) / (Table20[[#This Row],[Vol]] * SQRT(Table20[[#This Row],[Time to expiration]]))</f>
        <v>#NUM!</v>
      </c>
      <c r="Y394" s="30" t="e">
        <f ca="1">IF(Table20[[#This Row],[Direction]]&gt;0, _xlfn.NORM.S.DIST(Table20[[#This Row],[d1]], TRUE), _xlfn.NORM.S.DIST(Table20[[#This Row],[d1]], TRUE) - 1) * Table20[[#This Row],[Buy or Sell]]</f>
        <v>#NUM!</v>
      </c>
      <c r="Z394" s="9">
        <f ca="1">Table20[[#This Row],[Remaining]]*Table20[[#This Row],[Current Price]]*100</f>
        <v>0</v>
      </c>
      <c r="AA394" s="22">
        <f ca="1">IFERROR(Table20[[#This Row],[nominal_exposure]]*Table20[[#This Row],[Delta]],0)</f>
        <v>0</v>
      </c>
      <c r="AB394" s="30" t="b">
        <f>IF(Table20[[#This Row],[date_purchased]]&lt;&gt;Table20[[#This Row],[Expiration Date]],FALSE,TRUE)</f>
        <v>0</v>
      </c>
      <c r="AC394" s="30" t="str">
        <f>VLOOKUP(Table20[[#This Row],[Asset]],Table19[#All],3,FALSE)</f>
        <v>Semiconductor</v>
      </c>
      <c r="AD394" s="30">
        <f>IF(Table20[[#This Row],[Remaining]]&lt;&gt;0,Table20[[#This Row],[Invested]]*Table20[[#This Row],[Remaining]]/Table20[[#This Row],[Number of options]],0)</f>
        <v>0</v>
      </c>
      <c r="AE394" s="30">
        <f ca="1">SUMIF(Table20[Ticker],Table20[[#This Row],[Ticker]],Table20[realized_profit])</f>
        <v>-1490.0000000000002</v>
      </c>
      <c r="AF394" s="30" t="str">
        <f>VLOOKUP(Table20[[#This Row],[Strategy]],Table29[#All],7,FALSE)</f>
        <v>Bullish</v>
      </c>
    </row>
    <row r="395" spans="1:32" hidden="1">
      <c r="A395" s="180">
        <v>45828</v>
      </c>
      <c r="B395" s="21" t="e" vm="151">
        <v>#VALUE!</v>
      </c>
      <c r="C395" s="109" t="str" cm="1">
        <f t="array" aca="1" ref="C395" ca="1">_FV(Table20[[#This Row],[Asset]],"Ticker symbol",TRUE)</f>
        <v>TLT</v>
      </c>
      <c r="D395" s="26" cm="1">
        <f t="array" aca="1" ref="D395" ca="1">_FV(Table20[[#This Row],[Asset]],"Price")</f>
        <v>86.743499999999997</v>
      </c>
      <c r="E395" s="26">
        <v>100</v>
      </c>
      <c r="F395" s="33">
        <v>2</v>
      </c>
      <c r="G395" s="34">
        <v>1</v>
      </c>
      <c r="H395" s="34" t="s">
        <v>113</v>
      </c>
      <c r="I395" s="31">
        <v>45520</v>
      </c>
      <c r="J395" s="26">
        <v>4.0599999999999996</v>
      </c>
      <c r="K395" s="24">
        <v>0.12180000000000001</v>
      </c>
      <c r="L395" s="33">
        <f>VLOOKUP(Table20[[#This Row],[Strategy]],Table29[#All],6,FALSE)</f>
        <v>1</v>
      </c>
      <c r="M395" s="23">
        <v>2</v>
      </c>
      <c r="N395" s="23">
        <v>5.4</v>
      </c>
      <c r="O395" s="23"/>
      <c r="P395" s="23"/>
      <c r="Q395">
        <f>Table20[[#This Row],[Exit1]]*Table20[[#This Row],[ex1_price]]</f>
        <v>10.8</v>
      </c>
      <c r="R395">
        <f>Table20[[#This Row],[Exit2]]*Table20[[#This Row],[ex2_price]]</f>
        <v>0</v>
      </c>
      <c r="S395">
        <f>IFERROR((Table20[[#This Row],[ex2_amnt]]+Table20[[#This Row],[ex1_amnt]])/(Table20[[#This Row],[Exit2]]+Table20[[#This Row],[Exit1]]),0)</f>
        <v>5.4</v>
      </c>
      <c r="T395" s="5">
        <f>(Table20[[#This Row],[Exit1]]+Table20[[#This Row],[Exit2]])*(Table20[[#This Row],[avg_exit_price]]-Table20[[#This Row],[AvePrice]])*100*Table20[[#This Row],[Buy or Sell]]</f>
        <v>268.00000000000017</v>
      </c>
      <c r="U395" s="5">
        <f>Table20[[#This Row],[Number of options]]*Table20[[#This Row],[AvePrice]]*100*Table20[[#This Row],[Buy or Sell]]</f>
        <v>811.99999999999989</v>
      </c>
      <c r="V395" s="8">
        <f>Table20[[#This Row],[Number of options]]-Table20[[#This Row],[Exit1]]-Table20[[#This Row],[Exit2]]</f>
        <v>0</v>
      </c>
      <c r="W395" s="30">
        <f ca="1">(Table20[[#This Row],[Expiration Date]]-TODAY())/365</f>
        <v>-0.76438356164383559</v>
      </c>
      <c r="X395" s="30" t="e">
        <f ca="1">(LN(Table20[[#This Row],[Current Price]]/Table20[[#This Row],[strike_price]]) + ($B$2 + (Table20[[#This Row],[Vol]]^2)/2)*Table20[[#This Row],[Time to expiration]]) / (Table20[[#This Row],[Vol]] * SQRT(Table20[[#This Row],[Time to expiration]]))</f>
        <v>#NUM!</v>
      </c>
      <c r="Y395" s="30" t="e">
        <f ca="1">IF(Table20[[#This Row],[Direction]]&gt;0, _xlfn.NORM.S.DIST(Table20[[#This Row],[d1]], TRUE), _xlfn.NORM.S.DIST(Table20[[#This Row],[d1]], TRUE) - 1) * Table20[[#This Row],[Buy or Sell]]</f>
        <v>#NUM!</v>
      </c>
      <c r="Z395" s="9">
        <f ca="1">Table20[[#This Row],[Remaining]]*Table20[[#This Row],[Current Price]]*100</f>
        <v>0</v>
      </c>
      <c r="AA395" s="22">
        <f ca="1">IFERROR(Table20[[#This Row],[nominal_exposure]]*Table20[[#This Row],[Delta]],0)</f>
        <v>0</v>
      </c>
      <c r="AB395" s="30" t="b">
        <f>IF(Table20[[#This Row],[date_purchased]]&lt;&gt;Table20[[#This Row],[Expiration Date]],FALSE,TRUE)</f>
        <v>0</v>
      </c>
      <c r="AC395" s="30" t="str">
        <f>VLOOKUP(Table20[[#This Row],[Asset]],Table19[#All],3,FALSE)</f>
        <v>Market</v>
      </c>
      <c r="AD395" s="30">
        <f>IF(Table20[[#This Row],[Remaining]]&lt;&gt;0,Table20[[#This Row],[Invested]]*Table20[[#This Row],[Remaining]]/Table20[[#This Row],[Number of options]],0)</f>
        <v>0</v>
      </c>
      <c r="AE395" s="30">
        <f ca="1">SUMIF(Table20[Ticker],Table20[[#This Row],[Ticker]],Table20[realized_profit])</f>
        <v>-3328.3599999999997</v>
      </c>
      <c r="AF395" s="30" t="str">
        <f>VLOOKUP(Table20[[#This Row],[Strategy]],Table29[#All],7,FALSE)</f>
        <v>Bullish</v>
      </c>
    </row>
    <row r="396" spans="1:32" hidden="1">
      <c r="A396" s="180">
        <v>45618</v>
      </c>
      <c r="B396" s="21" t="e" vm="129">
        <v>#VALUE!</v>
      </c>
      <c r="C396" s="109" t="str" cm="1">
        <f t="array" aca="1" ref="C396" ca="1">_FV(Table20[[#This Row],[Asset]],"Ticker symbol",TRUE)</f>
        <v>MRVL</v>
      </c>
      <c r="D396" s="26" cm="1">
        <f t="array" aca="1" ref="D396" ca="1">_FV(Table20[[#This Row],[Asset]],"Price")</f>
        <v>96.84</v>
      </c>
      <c r="E396" s="26">
        <v>93</v>
      </c>
      <c r="F396" s="33">
        <v>2</v>
      </c>
      <c r="G396" s="34">
        <v>1</v>
      </c>
      <c r="H396" s="34" t="s">
        <v>113</v>
      </c>
      <c r="I396" s="31">
        <v>45602</v>
      </c>
      <c r="J396" s="26">
        <v>2.5499999999999998</v>
      </c>
      <c r="K396" s="24">
        <v>0.46379999999999999</v>
      </c>
      <c r="L396" s="33">
        <f>VLOOKUP(Table20[[#This Row],[Strategy]],Table29[#All],6,FALSE)</f>
        <v>1</v>
      </c>
      <c r="M396" s="23">
        <v>2</v>
      </c>
      <c r="N396" s="23">
        <v>0.42</v>
      </c>
      <c r="O396" s="23"/>
      <c r="P396" s="23"/>
      <c r="Q396">
        <f>Table20[[#This Row],[Exit1]]*Table20[[#This Row],[ex1_price]]</f>
        <v>0.84</v>
      </c>
      <c r="R396">
        <f>Table20[[#This Row],[Exit2]]*Table20[[#This Row],[ex2_price]]</f>
        <v>0</v>
      </c>
      <c r="S396">
        <f>IFERROR((Table20[[#This Row],[ex2_amnt]]+Table20[[#This Row],[ex1_amnt]])/(Table20[[#This Row],[Exit2]]+Table20[[#This Row],[Exit1]]),0)</f>
        <v>0.42</v>
      </c>
      <c r="T396" s="5">
        <f>(Table20[[#This Row],[Exit1]]+Table20[[#This Row],[Exit2]])*(Table20[[#This Row],[avg_exit_price]]-Table20[[#This Row],[AvePrice]])*100*Table20[[#This Row],[Buy or Sell]]</f>
        <v>-426</v>
      </c>
      <c r="U396" s="5">
        <f>Table20[[#This Row],[Number of options]]*Table20[[#This Row],[AvePrice]]*100*Table20[[#This Row],[Buy or Sell]]</f>
        <v>509.99999999999994</v>
      </c>
      <c r="V396" s="8">
        <f>Table20[[#This Row],[Number of options]]-Table20[[#This Row],[Exit1]]-Table20[[#This Row],[Exit2]]</f>
        <v>0</v>
      </c>
      <c r="W396" s="30">
        <f ca="1">(Table20[[#This Row],[Expiration Date]]-TODAY())/365</f>
        <v>-1.3397260273972602</v>
      </c>
      <c r="X396" s="30" t="e">
        <f ca="1">(LN(Table20[[#This Row],[Current Price]]/Table20[[#This Row],[strike_price]]) + ($B$2 + (Table20[[#This Row],[Vol]]^2)/2)*Table20[[#This Row],[Time to expiration]]) / (Table20[[#This Row],[Vol]] * SQRT(Table20[[#This Row],[Time to expiration]]))</f>
        <v>#NUM!</v>
      </c>
      <c r="Y396" s="30" t="e">
        <f ca="1">IF(Table20[[#This Row],[Direction]]&gt;0, _xlfn.NORM.S.DIST(Table20[[#This Row],[d1]], TRUE), _xlfn.NORM.S.DIST(Table20[[#This Row],[d1]], TRUE) - 1) * Table20[[#This Row],[Buy or Sell]]</f>
        <v>#NUM!</v>
      </c>
      <c r="Z396" s="9">
        <f ca="1">Table20[[#This Row],[Remaining]]*Table20[[#This Row],[Current Price]]*100</f>
        <v>0</v>
      </c>
      <c r="AA396" s="22">
        <f ca="1">IFERROR(Table20[[#This Row],[nominal_exposure]]*Table20[[#This Row],[Delta]],0)</f>
        <v>0</v>
      </c>
      <c r="AB396" s="30" t="b">
        <f>IF(Table20[[#This Row],[date_purchased]]&lt;&gt;Table20[[#This Row],[Expiration Date]],FALSE,TRUE)</f>
        <v>0</v>
      </c>
      <c r="AC396" s="30" t="str">
        <f>VLOOKUP(Table20[[#This Row],[Asset]],Table19[#All],3,FALSE)</f>
        <v>AI</v>
      </c>
      <c r="AD396" s="30">
        <f>IF(Table20[[#This Row],[Remaining]]&lt;&gt;0,Table20[[#This Row],[Invested]]*Table20[[#This Row],[Remaining]]/Table20[[#This Row],[Number of options]],0)</f>
        <v>0</v>
      </c>
      <c r="AE396" s="30">
        <f ca="1">SUMIF(Table20[Ticker],Table20[[#This Row],[Ticker]],Table20[realized_profit])</f>
        <v>-1014.0000000000001</v>
      </c>
      <c r="AF396" s="30" t="str">
        <f>VLOOKUP(Table20[[#This Row],[Strategy]],Table29[#All],7,FALSE)</f>
        <v>Bullish</v>
      </c>
    </row>
    <row r="397" spans="1:32" hidden="1">
      <c r="A397" s="180">
        <v>45625</v>
      </c>
      <c r="B397" s="21" t="e" vm="24">
        <v>#VALUE!</v>
      </c>
      <c r="C397" s="109" t="str" cm="1">
        <f t="array" aca="1" ref="C397" ca="1">_FV(Table20[[#This Row],[Asset]],"Ticker symbol",TRUE)</f>
        <v>QCOM</v>
      </c>
      <c r="D397" s="26" cm="1">
        <f t="array" aca="1" ref="D397" ca="1">_FV(Table20[[#This Row],[Asset]],"Price")</f>
        <v>131.63499999999999</v>
      </c>
      <c r="E397" s="26">
        <v>190</v>
      </c>
      <c r="F397" s="33">
        <v>4</v>
      </c>
      <c r="G397" s="34">
        <v>1</v>
      </c>
      <c r="H397" s="34" t="s">
        <v>115</v>
      </c>
      <c r="I397" s="31">
        <v>45589</v>
      </c>
      <c r="J397" s="26">
        <v>3.07</v>
      </c>
      <c r="K397" s="24">
        <v>0.43380000000000002</v>
      </c>
      <c r="L397" s="33">
        <f>VLOOKUP(Table20[[#This Row],[Strategy]],Table29[#All],6,FALSE)</f>
        <v>1</v>
      </c>
      <c r="M397" s="23">
        <v>2</v>
      </c>
      <c r="N397" s="23">
        <v>1.93</v>
      </c>
      <c r="O397" s="23">
        <v>2</v>
      </c>
      <c r="P397" s="23">
        <v>0.3</v>
      </c>
      <c r="Q397">
        <f>Table20[[#This Row],[Exit1]]*Table20[[#This Row],[ex1_price]]</f>
        <v>3.86</v>
      </c>
      <c r="R397">
        <f>Table20[[#This Row],[Exit2]]*Table20[[#This Row],[ex2_price]]</f>
        <v>0.6</v>
      </c>
      <c r="S397">
        <f>IFERROR((Table20[[#This Row],[ex2_amnt]]+Table20[[#This Row],[ex1_amnt]])/(Table20[[#This Row],[Exit2]]+Table20[[#This Row],[Exit1]]),0)</f>
        <v>1.115</v>
      </c>
      <c r="T397" s="5">
        <f>(Table20[[#This Row],[Exit1]]+Table20[[#This Row],[Exit2]])*(Table20[[#This Row],[avg_exit_price]]-Table20[[#This Row],[AvePrice]])*100*Table20[[#This Row],[Buy or Sell]]</f>
        <v>-781.99999999999989</v>
      </c>
      <c r="U397" s="5">
        <f>Table20[[#This Row],[Number of options]]*Table20[[#This Row],[AvePrice]]*100*Table20[[#This Row],[Buy or Sell]]</f>
        <v>1228</v>
      </c>
      <c r="V397" s="8">
        <f>Table20[[#This Row],[Number of options]]-Table20[[#This Row],[Exit1]]-Table20[[#This Row],[Exit2]]</f>
        <v>0</v>
      </c>
      <c r="W397" s="30">
        <f ca="1">(Table20[[#This Row],[Expiration Date]]-TODAY())/365</f>
        <v>-1.3205479452054794</v>
      </c>
      <c r="X397" s="30" t="e">
        <f ca="1">(LN(Table20[[#This Row],[Current Price]]/Table20[[#This Row],[strike_price]]) + ($B$2 + (Table20[[#This Row],[Vol]]^2)/2)*Table20[[#This Row],[Time to expiration]]) / (Table20[[#This Row],[Vol]] * SQRT(Table20[[#This Row],[Time to expiration]]))</f>
        <v>#NUM!</v>
      </c>
      <c r="Y397" s="30" t="e">
        <f ca="1">IF(Table20[[#This Row],[Direction]]&gt;0, _xlfn.NORM.S.DIST(Table20[[#This Row],[d1]], TRUE), _xlfn.NORM.S.DIST(Table20[[#This Row],[d1]], TRUE) - 1) * Table20[[#This Row],[Buy or Sell]]</f>
        <v>#NUM!</v>
      </c>
      <c r="Z397" s="9">
        <f ca="1">Table20[[#This Row],[Remaining]]*Table20[[#This Row],[Current Price]]*100</f>
        <v>0</v>
      </c>
      <c r="AA397" s="22">
        <f ca="1">IFERROR(Table20[[#This Row],[nominal_exposure]]*Table20[[#This Row],[Delta]],0)</f>
        <v>0</v>
      </c>
      <c r="AB397" s="30" t="b">
        <f>IF(Table20[[#This Row],[date_purchased]]&lt;&gt;Table20[[#This Row],[Expiration Date]],FALSE,TRUE)</f>
        <v>0</v>
      </c>
      <c r="AC397" s="30" t="str">
        <f>VLOOKUP(Table20[[#This Row],[Asset]],Table19[#All],3,FALSE)</f>
        <v>AI</v>
      </c>
      <c r="AD397" s="30">
        <f>IF(Table20[[#This Row],[Remaining]]&lt;&gt;0,Table20[[#This Row],[Invested]]*Table20[[#This Row],[Remaining]]/Table20[[#This Row],[Number of options]],0)</f>
        <v>0</v>
      </c>
      <c r="AE397" s="30">
        <f ca="1">SUMIF(Table20[Ticker],Table20[[#This Row],[Ticker]],Table20[realized_profit])</f>
        <v>-2175.9999999999995</v>
      </c>
      <c r="AF397" s="30" t="str">
        <f>VLOOKUP(Table20[[#This Row],[Strategy]],Table29[#All],7,FALSE)</f>
        <v>Bullish</v>
      </c>
    </row>
    <row r="398" spans="1:32" hidden="1">
      <c r="A398" s="180">
        <v>45604</v>
      </c>
      <c r="B398" s="21" t="e" vm="125">
        <v>#VALUE!</v>
      </c>
      <c r="C398" s="109" t="str" cm="1">
        <f t="array" aca="1" ref="C398" ca="1">_FV(Table20[[#This Row],[Asset]],"Ticker symbol",TRUE)</f>
        <v>TEAM</v>
      </c>
      <c r="D398" s="26" cm="1">
        <f t="array" aca="1" ref="D398" ca="1">_FV(Table20[[#This Row],[Asset]],"Price")</f>
        <v>68.885000000000005</v>
      </c>
      <c r="E398" s="26">
        <v>210</v>
      </c>
      <c r="F398" s="33">
        <v>1</v>
      </c>
      <c r="G398" s="34">
        <v>1</v>
      </c>
      <c r="H398" s="34" t="s">
        <v>65</v>
      </c>
      <c r="I398" s="31">
        <v>45600</v>
      </c>
      <c r="J398" s="26">
        <v>2.7</v>
      </c>
      <c r="K398" s="24"/>
      <c r="L398" s="33">
        <f>VLOOKUP(Table20[[#This Row],[Strategy]],Table29[#All],6,FALSE)</f>
        <v>-1</v>
      </c>
      <c r="M398" s="23">
        <v>1</v>
      </c>
      <c r="N398" s="23">
        <v>0</v>
      </c>
      <c r="O398" s="23"/>
      <c r="P398" s="23"/>
      <c r="Q398">
        <f>Table20[[#This Row],[Exit1]]*Table20[[#This Row],[ex1_price]]</f>
        <v>0</v>
      </c>
      <c r="R398">
        <f>Table20[[#This Row],[Exit2]]*Table20[[#This Row],[ex2_price]]</f>
        <v>0</v>
      </c>
      <c r="S398">
        <f>IFERROR((Table20[[#This Row],[ex2_amnt]]+Table20[[#This Row],[ex1_amnt]])/(Table20[[#This Row],[Exit2]]+Table20[[#This Row],[Exit1]]),0)</f>
        <v>0</v>
      </c>
      <c r="T398" s="5">
        <f>(Table20[[#This Row],[Exit1]]+Table20[[#This Row],[Exit2]])*(Table20[[#This Row],[avg_exit_price]]-Table20[[#This Row],[AvePrice]])*100*Table20[[#This Row],[Buy or Sell]]</f>
        <v>-270</v>
      </c>
      <c r="U398" s="5">
        <f>Table20[[#This Row],[Number of options]]*Table20[[#This Row],[AvePrice]]*100*Table20[[#This Row],[Buy or Sell]]</f>
        <v>270</v>
      </c>
      <c r="V398" s="8">
        <f>Table20[[#This Row],[Number of options]]-Table20[[#This Row],[Exit1]]-Table20[[#This Row],[Exit2]]</f>
        <v>0</v>
      </c>
      <c r="W398" s="30">
        <f ca="1">(Table20[[#This Row],[Expiration Date]]-TODAY())/365</f>
        <v>-1.3780821917808219</v>
      </c>
      <c r="X398" s="30" t="e">
        <f ca="1">(LN(Table20[[#This Row],[Current Price]]/Table20[[#This Row],[strike_price]]) + ($B$2 + (Table20[[#This Row],[Vol]]^2)/2)*Table20[[#This Row],[Time to expiration]]) / (Table20[[#This Row],[Vol]] * SQRT(Table20[[#This Row],[Time to expiration]]))</f>
        <v>#NUM!</v>
      </c>
      <c r="Y398" s="30" t="e">
        <f ca="1">IF(Table20[[#This Row],[Direction]]&gt;0, _xlfn.NORM.S.DIST(Table20[[#This Row],[d1]], TRUE), _xlfn.NORM.S.DIST(Table20[[#This Row],[d1]], TRUE) - 1) * Table20[[#This Row],[Buy or Sell]]</f>
        <v>#NUM!</v>
      </c>
      <c r="Z398" s="9">
        <f ca="1">Table20[[#This Row],[Remaining]]*Table20[[#This Row],[Current Price]]*100</f>
        <v>0</v>
      </c>
      <c r="AA398" s="22">
        <f ca="1">IFERROR(Table20[[#This Row],[nominal_exposure]]*Table20[[#This Row],[Delta]],0)</f>
        <v>0</v>
      </c>
      <c r="AB398" s="30" t="b">
        <f>IF(Table20[[#This Row],[date_purchased]]&lt;&gt;Table20[[#This Row],[Expiration Date]],FALSE,TRUE)</f>
        <v>0</v>
      </c>
      <c r="AC398" s="30" t="str">
        <f>VLOOKUP(Table20[[#This Row],[Asset]],Table19[#All],3,FALSE)</f>
        <v>Technology</v>
      </c>
      <c r="AD398" s="30">
        <f>IF(Table20[[#This Row],[Remaining]]&lt;&gt;0,Table20[[#This Row],[Invested]]*Table20[[#This Row],[Remaining]]/Table20[[#This Row],[Number of options]],0)</f>
        <v>0</v>
      </c>
      <c r="AE398" s="30">
        <f ca="1">SUMIF(Table20[Ticker],Table20[[#This Row],[Ticker]],Table20[realized_profit])</f>
        <v>-270</v>
      </c>
      <c r="AF398" s="30" t="str">
        <f>VLOOKUP(Table20[[#This Row],[Strategy]],Table29[#All],7,FALSE)</f>
        <v>Bearish</v>
      </c>
    </row>
    <row r="399" spans="1:32" hidden="1">
      <c r="A399" s="180">
        <v>45632</v>
      </c>
      <c r="B399" s="21" t="e" vm="163">
        <v>#VALUE!</v>
      </c>
      <c r="C399" s="109" t="str" cm="1">
        <f t="array" aca="1" ref="C399" ca="1">_FV(Table20[[#This Row],[Asset]],"Ticker symbol",TRUE)</f>
        <v>LLY</v>
      </c>
      <c r="D399" s="26" cm="1">
        <f t="array" aca="1" ref="D399" ca="1">_FV(Table20[[#This Row],[Asset]],"Price")</f>
        <v>910.82500000000005</v>
      </c>
      <c r="E399" s="26">
        <v>900</v>
      </c>
      <c r="F399" s="33">
        <v>2</v>
      </c>
      <c r="G399" s="34">
        <v>-1</v>
      </c>
      <c r="H399" s="34" t="s">
        <v>115</v>
      </c>
      <c r="I399" s="31">
        <v>45614</v>
      </c>
      <c r="J399" s="26">
        <v>0.65</v>
      </c>
      <c r="K399" s="24">
        <v>0.47810000000000002</v>
      </c>
      <c r="L399" s="33">
        <f>VLOOKUP(Table20[[#This Row],[Strategy]],Table29[#All],6,FALSE)</f>
        <v>1</v>
      </c>
      <c r="M399" s="23">
        <v>2</v>
      </c>
      <c r="N399" s="23">
        <v>0.18</v>
      </c>
      <c r="O399" s="23"/>
      <c r="P399" s="23"/>
      <c r="Q399">
        <f>Table20[[#This Row],[Exit1]]*Table20[[#This Row],[ex1_price]]</f>
        <v>0.36</v>
      </c>
      <c r="R399">
        <f>Table20[[#This Row],[Exit2]]*Table20[[#This Row],[ex2_price]]</f>
        <v>0</v>
      </c>
      <c r="S399">
        <f>IFERROR((Table20[[#This Row],[ex2_amnt]]+Table20[[#This Row],[ex1_amnt]])/(Table20[[#This Row],[Exit2]]+Table20[[#This Row],[Exit1]]),0)</f>
        <v>0.18</v>
      </c>
      <c r="T399" s="5">
        <f>(Table20[[#This Row],[Exit1]]+Table20[[#This Row],[Exit2]])*(Table20[[#This Row],[avg_exit_price]]-Table20[[#This Row],[AvePrice]])*100*Table20[[#This Row],[Buy or Sell]]</f>
        <v>94</v>
      </c>
      <c r="U399" s="5">
        <f>Table20[[#This Row],[Number of options]]*Table20[[#This Row],[AvePrice]]*100*Table20[[#This Row],[Buy or Sell]]</f>
        <v>-130</v>
      </c>
      <c r="V399" s="8">
        <f>Table20[[#This Row],[Number of options]]-Table20[[#This Row],[Exit1]]-Table20[[#This Row],[Exit2]]</f>
        <v>0</v>
      </c>
      <c r="W399" s="30">
        <f ca="1">(Table20[[#This Row],[Expiration Date]]-TODAY())/365</f>
        <v>-1.3013698630136987</v>
      </c>
      <c r="X399" s="30" t="e">
        <f ca="1">(LN(Table20[[#This Row],[Current Price]]/Table20[[#This Row],[strike_price]]) + ($B$2 + (Table20[[#This Row],[Vol]]^2)/2)*Table20[[#This Row],[Time to expiration]]) / (Table20[[#This Row],[Vol]] * SQRT(Table20[[#This Row],[Time to expiration]]))</f>
        <v>#NUM!</v>
      </c>
      <c r="Y399" s="30" t="e">
        <f ca="1">IF(Table20[[#This Row],[Direction]]&gt;0, _xlfn.NORM.S.DIST(Table20[[#This Row],[d1]], TRUE), _xlfn.NORM.S.DIST(Table20[[#This Row],[d1]], TRUE) - 1) * Table20[[#This Row],[Buy or Sell]]</f>
        <v>#NUM!</v>
      </c>
      <c r="Z399" s="9">
        <f ca="1">Table20[[#This Row],[Remaining]]*Table20[[#This Row],[Current Price]]*100</f>
        <v>0</v>
      </c>
      <c r="AA399" s="22">
        <f ca="1">IFERROR(Table20[[#This Row],[nominal_exposure]]*Table20[[#This Row],[Delta]],0)</f>
        <v>0</v>
      </c>
      <c r="AB399" s="30" t="b">
        <f>IF(Table20[[#This Row],[date_purchased]]&lt;&gt;Table20[[#This Row],[Expiration Date]],FALSE,TRUE)</f>
        <v>0</v>
      </c>
      <c r="AC399" s="30" t="str">
        <f>VLOOKUP(Table20[[#This Row],[Asset]],Table19[#All],3,FALSE)</f>
        <v>Health Care</v>
      </c>
      <c r="AD399" s="30">
        <f>IF(Table20[[#This Row],[Remaining]]&lt;&gt;0,Table20[[#This Row],[Invested]]*Table20[[#This Row],[Remaining]]/Table20[[#This Row],[Number of options]],0)</f>
        <v>0</v>
      </c>
      <c r="AE399" s="30">
        <f ca="1">SUMIF(Table20[Ticker],Table20[[#This Row],[Ticker]],Table20[realized_profit])</f>
        <v>8506.9999999999982</v>
      </c>
      <c r="AF399" s="30" t="str">
        <f>VLOOKUP(Table20[[#This Row],[Strategy]],Table29[#All],7,FALSE)</f>
        <v>Bullish</v>
      </c>
    </row>
    <row r="400" spans="1:32" hidden="1">
      <c r="A400" s="180">
        <v>45646</v>
      </c>
      <c r="B400" s="21" t="e" vm="25">
        <v>#VALUE!</v>
      </c>
      <c r="C400" s="109" t="str" cm="1">
        <f t="array" aca="1" ref="C400" ca="1">_FV(Table20[[#This Row],[Asset]],"Ticker symbol",TRUE)</f>
        <v>AMAT</v>
      </c>
      <c r="D400" s="26" cm="1">
        <f t="array" aca="1" ref="D400" ca="1">_FV(Table20[[#This Row],[Asset]],"Price")</f>
        <v>374.08</v>
      </c>
      <c r="E400" s="26">
        <v>250</v>
      </c>
      <c r="F400" s="33">
        <v>2</v>
      </c>
      <c r="G400" s="34">
        <v>-1</v>
      </c>
      <c r="H400" s="34" t="s">
        <v>114</v>
      </c>
      <c r="I400" s="31">
        <v>45586</v>
      </c>
      <c r="J400" s="26">
        <v>0.63</v>
      </c>
      <c r="K400" s="24">
        <v>0.42609999999999998</v>
      </c>
      <c r="L400" s="33">
        <f>VLOOKUP(Table20[[#This Row],[Strategy]],Table29[#All],6,FALSE)</f>
        <v>1</v>
      </c>
      <c r="M400" s="23">
        <v>2</v>
      </c>
      <c r="N400" s="23">
        <v>0</v>
      </c>
      <c r="O400" s="23"/>
      <c r="P400" s="23"/>
      <c r="Q400">
        <f>Table20[[#This Row],[Exit1]]*Table20[[#This Row],[ex1_price]]</f>
        <v>0</v>
      </c>
      <c r="R400">
        <f>Table20[[#This Row],[Exit2]]*Table20[[#This Row],[ex2_price]]</f>
        <v>0</v>
      </c>
      <c r="S400">
        <f>IFERROR((Table20[[#This Row],[ex2_amnt]]+Table20[[#This Row],[ex1_amnt]])/(Table20[[#This Row],[Exit2]]+Table20[[#This Row],[Exit1]]),0)</f>
        <v>0</v>
      </c>
      <c r="T400" s="5">
        <f>(Table20[[#This Row],[Exit1]]+Table20[[#This Row],[Exit2]])*(Table20[[#This Row],[avg_exit_price]]-Table20[[#This Row],[AvePrice]])*100*Table20[[#This Row],[Buy or Sell]]</f>
        <v>126</v>
      </c>
      <c r="U400" s="5">
        <f>Table20[[#This Row],[Number of options]]*Table20[[#This Row],[AvePrice]]*100*Table20[[#This Row],[Buy or Sell]]</f>
        <v>-126</v>
      </c>
      <c r="V400" s="8">
        <f>Table20[[#This Row],[Number of options]]-Table20[[#This Row],[Exit1]]-Table20[[#This Row],[Exit2]]</f>
        <v>0</v>
      </c>
      <c r="W400" s="30">
        <f ca="1">(Table20[[#This Row],[Expiration Date]]-TODAY())/365</f>
        <v>-1.263013698630137</v>
      </c>
      <c r="X400" s="30" t="e">
        <f ca="1">(LN(Table20[[#This Row],[Current Price]]/Table20[[#This Row],[strike_price]]) + ($B$2 + (Table20[[#This Row],[Vol]]^2)/2)*Table20[[#This Row],[Time to expiration]]) / (Table20[[#This Row],[Vol]] * SQRT(Table20[[#This Row],[Time to expiration]]))</f>
        <v>#NUM!</v>
      </c>
      <c r="Y400" s="30" t="e">
        <f ca="1">IF(Table20[[#This Row],[Direction]]&gt;0, _xlfn.NORM.S.DIST(Table20[[#This Row],[d1]], TRUE), _xlfn.NORM.S.DIST(Table20[[#This Row],[d1]], TRUE) - 1) * Table20[[#This Row],[Buy or Sell]]</f>
        <v>#NUM!</v>
      </c>
      <c r="Z400" s="9">
        <f ca="1">Table20[[#This Row],[Remaining]]*Table20[[#This Row],[Current Price]]*100</f>
        <v>0</v>
      </c>
      <c r="AA400" s="22">
        <f ca="1">IFERROR(Table20[[#This Row],[nominal_exposure]]*Table20[[#This Row],[Delta]],0)</f>
        <v>0</v>
      </c>
      <c r="AB400" s="30" t="b">
        <f>IF(Table20[[#This Row],[date_purchased]]&lt;&gt;Table20[[#This Row],[Expiration Date]],FALSE,TRUE)</f>
        <v>0</v>
      </c>
      <c r="AC400" s="30" t="str">
        <f>VLOOKUP(Table20[[#This Row],[Asset]],Table19[#All],3,FALSE)</f>
        <v>Semiconductor</v>
      </c>
      <c r="AD400" s="30">
        <f>IF(Table20[[#This Row],[Remaining]]&lt;&gt;0,Table20[[#This Row],[Invested]]*Table20[[#This Row],[Remaining]]/Table20[[#This Row],[Number of options]],0)</f>
        <v>0</v>
      </c>
      <c r="AE400" s="30">
        <f ca="1">SUMIF(Table20[Ticker],Table20[[#This Row],[Ticker]],Table20[realized_profit])</f>
        <v>-1490.0000000000002</v>
      </c>
      <c r="AF400" s="30" t="str">
        <f>VLOOKUP(Table20[[#This Row],[Strategy]],Table29[#All],7,FALSE)</f>
        <v>Bullish</v>
      </c>
    </row>
    <row r="401" spans="1:32" hidden="1">
      <c r="A401" s="35">
        <v>45509</v>
      </c>
      <c r="B401" s="21" t="e" vm="96">
        <v>#VALUE!</v>
      </c>
      <c r="C401" s="109" t="str" cm="1">
        <f t="array" aca="1" ref="C401" ca="1">_FV(Table20[[#This Row],[Asset]],"Ticker symbol",TRUE)</f>
        <v>SPY</v>
      </c>
      <c r="D401" s="26" cm="1">
        <f t="array" aca="1" ref="D401" ca="1">_FV(Table20[[#This Row],[Asset]],"Price")</f>
        <v>658.59</v>
      </c>
      <c r="E401" s="26">
        <v>530</v>
      </c>
      <c r="F401" s="33">
        <v>7</v>
      </c>
      <c r="G401" s="34">
        <v>1</v>
      </c>
      <c r="H401" s="34" t="s">
        <v>161</v>
      </c>
      <c r="I401" s="31">
        <v>45503</v>
      </c>
      <c r="J401" s="26">
        <v>1.28</v>
      </c>
      <c r="K401" s="24">
        <v>0.22389999999999999</v>
      </c>
      <c r="L401" s="33">
        <f>VLOOKUP(Table20[[#This Row],[Strategy]],Table29[#All],6,FALSE)</f>
        <v>-1</v>
      </c>
      <c r="M401" s="23">
        <v>7</v>
      </c>
      <c r="N401" s="23">
        <v>4.28</v>
      </c>
      <c r="O401" s="23"/>
      <c r="P401" s="23"/>
      <c r="Q401">
        <f>Table20[[#This Row],[Exit1]]*Table20[[#This Row],[ex1_price]]</f>
        <v>29.96</v>
      </c>
      <c r="R401">
        <f>Table20[[#This Row],[Exit2]]*Table20[[#This Row],[ex2_price]]</f>
        <v>0</v>
      </c>
      <c r="S401">
        <f>IFERROR((Table20[[#This Row],[ex2_amnt]]+Table20[[#This Row],[ex1_amnt]])/(Table20[[#This Row],[Exit2]]+Table20[[#This Row],[Exit1]]),0)</f>
        <v>4.28</v>
      </c>
      <c r="T401" s="5">
        <f>(Table20[[#This Row],[Exit1]]+Table20[[#This Row],[Exit2]])*(Table20[[#This Row],[avg_exit_price]]-Table20[[#This Row],[AvePrice]])*100*Table20[[#This Row],[Buy or Sell]]</f>
        <v>2100</v>
      </c>
      <c r="U401" s="5">
        <f>Table20[[#This Row],[Number of options]]*Table20[[#This Row],[AvePrice]]*100*Table20[[#This Row],[Buy or Sell]]</f>
        <v>896.00000000000011</v>
      </c>
      <c r="V401" s="8">
        <f>Table20[[#This Row],[Number of options]]-Table20[[#This Row],[Exit1]]-Table20[[#This Row],[Exit2]]</f>
        <v>0</v>
      </c>
      <c r="W401" s="30">
        <f ca="1">(Table20[[#This Row],[Expiration Date]]-TODAY())/365</f>
        <v>-1.6383561643835616</v>
      </c>
      <c r="X401" s="30" t="e">
        <f ca="1">(LN(Table20[[#This Row],[Current Price]]/Table20[[#This Row],[strike_price]]) + ($B$2 + (Table20[[#This Row],[Vol]]^2)/2)*Table20[[#This Row],[Time to expiration]]) / (Table20[[#This Row],[Vol]] * SQRT(Table20[[#This Row],[Time to expiration]]))</f>
        <v>#NUM!</v>
      </c>
      <c r="Y401" s="30" t="e">
        <f ca="1">IF(Table20[[#This Row],[Direction]]&gt;0, _xlfn.NORM.S.DIST(Table20[[#This Row],[d1]], TRUE), _xlfn.NORM.S.DIST(Table20[[#This Row],[d1]], TRUE) - 1) * Table20[[#This Row],[Buy or Sell]]</f>
        <v>#NUM!</v>
      </c>
      <c r="Z401" s="9">
        <f ca="1">Table20[[#This Row],[Remaining]]*Table20[[#This Row],[Current Price]]*100</f>
        <v>0</v>
      </c>
      <c r="AA401" s="22">
        <f ca="1">IFERROR(Table20[[#This Row],[nominal_exposure]]*Table20[[#This Row],[Delta]],0)</f>
        <v>0</v>
      </c>
      <c r="AB401" s="30" t="b">
        <f>IF(Table20[[#This Row],[date_purchased]]&lt;&gt;Table20[[#This Row],[Expiration Date]],FALSE,TRUE)</f>
        <v>0</v>
      </c>
      <c r="AC401" s="30" t="str">
        <f>VLOOKUP(Table20[[#This Row],[Asset]],Table19[#All],3,FALSE)</f>
        <v>Market</v>
      </c>
      <c r="AD401" s="4">
        <f>IF(Table20[[#This Row],[Remaining]]&lt;&gt;0,Table20[[#This Row],[Invested]]*Table20[[#This Row],[Remaining]]/Table20[[#This Row],[Number of options]],0)</f>
        <v>0</v>
      </c>
      <c r="AE401" s="30">
        <f ca="1">SUMIF(Table20[Ticker],Table20[[#This Row],[Ticker]],Table20[realized_profit])</f>
        <v>-5077</v>
      </c>
      <c r="AF401" s="30" t="str">
        <f>VLOOKUP(Table20[[#This Row],[Strategy]],Table29[#All],7,FALSE)</f>
        <v>Bearish</v>
      </c>
    </row>
    <row r="402" spans="1:32" hidden="1">
      <c r="A402" s="180">
        <v>45604</v>
      </c>
      <c r="B402" s="21" t="e" vm="24">
        <v>#VALUE!</v>
      </c>
      <c r="C402" s="109" t="str" cm="1">
        <f t="array" aca="1" ref="C402" ca="1">_FV(Table20[[#This Row],[Asset]],"Ticker symbol",TRUE)</f>
        <v>QCOM</v>
      </c>
      <c r="D402" s="26" cm="1">
        <f t="array" aca="1" ref="D402" ca="1">_FV(Table20[[#This Row],[Asset]],"Price")</f>
        <v>131.63499999999999</v>
      </c>
      <c r="E402" s="26">
        <v>180</v>
      </c>
      <c r="F402" s="33">
        <v>1</v>
      </c>
      <c r="G402" s="34">
        <v>1</v>
      </c>
      <c r="H402" s="34" t="s">
        <v>113</v>
      </c>
      <c r="I402" s="31">
        <v>45603</v>
      </c>
      <c r="J402" s="26">
        <v>1.46</v>
      </c>
      <c r="K402" s="24">
        <v>0.96899999999999997</v>
      </c>
      <c r="L402" s="33">
        <f>VLOOKUP(Table20[[#This Row],[Strategy]],Table29[#All],6,FALSE)</f>
        <v>1</v>
      </c>
      <c r="M402" s="23">
        <v>1</v>
      </c>
      <c r="N402" s="23">
        <v>0</v>
      </c>
      <c r="O402" s="23"/>
      <c r="P402" s="23"/>
      <c r="Q402">
        <f>Table20[[#This Row],[Exit1]]*Table20[[#This Row],[ex1_price]]</f>
        <v>0</v>
      </c>
      <c r="R402">
        <f>Table20[[#This Row],[Exit2]]*Table20[[#This Row],[ex2_price]]</f>
        <v>0</v>
      </c>
      <c r="S402">
        <f>IFERROR((Table20[[#This Row],[ex2_amnt]]+Table20[[#This Row],[ex1_amnt]])/(Table20[[#This Row],[Exit2]]+Table20[[#This Row],[Exit1]]),0)</f>
        <v>0</v>
      </c>
      <c r="T402" s="5">
        <f>(Table20[[#This Row],[Exit1]]+Table20[[#This Row],[Exit2]])*(Table20[[#This Row],[avg_exit_price]]-Table20[[#This Row],[AvePrice]])*100*Table20[[#This Row],[Buy or Sell]]</f>
        <v>-146</v>
      </c>
      <c r="U402" s="5">
        <f>Table20[[#This Row],[Number of options]]*Table20[[#This Row],[AvePrice]]*100*Table20[[#This Row],[Buy or Sell]]</f>
        <v>146</v>
      </c>
      <c r="V402" s="8">
        <f>Table20[[#This Row],[Number of options]]-Table20[[#This Row],[Exit1]]-Table20[[#This Row],[Exit2]]</f>
        <v>0</v>
      </c>
      <c r="W402" s="30">
        <f ca="1">(Table20[[#This Row],[Expiration Date]]-TODAY())/365</f>
        <v>-1.3780821917808219</v>
      </c>
      <c r="X402" s="30" t="e">
        <f ca="1">(LN(Table20[[#This Row],[Current Price]]/Table20[[#This Row],[strike_price]]) + ($B$2 + (Table20[[#This Row],[Vol]]^2)/2)*Table20[[#This Row],[Time to expiration]]) / (Table20[[#This Row],[Vol]] * SQRT(Table20[[#This Row],[Time to expiration]]))</f>
        <v>#NUM!</v>
      </c>
      <c r="Y402" s="30" t="e">
        <f ca="1">IF(Table20[[#This Row],[Direction]]&gt;0, _xlfn.NORM.S.DIST(Table20[[#This Row],[d1]], TRUE), _xlfn.NORM.S.DIST(Table20[[#This Row],[d1]], TRUE) - 1) * Table20[[#This Row],[Buy or Sell]]</f>
        <v>#NUM!</v>
      </c>
      <c r="Z402" s="9">
        <f ca="1">Table20[[#This Row],[Remaining]]*Table20[[#This Row],[Current Price]]*100</f>
        <v>0</v>
      </c>
      <c r="AA402" s="22">
        <f ca="1">IFERROR(Table20[[#This Row],[nominal_exposure]]*Table20[[#This Row],[Delta]],0)</f>
        <v>0</v>
      </c>
      <c r="AB402" s="30" t="b">
        <f>IF(Table20[[#This Row],[date_purchased]]&lt;&gt;Table20[[#This Row],[Expiration Date]],FALSE,TRUE)</f>
        <v>0</v>
      </c>
      <c r="AC402" s="30" t="str">
        <f>VLOOKUP(Table20[[#This Row],[Asset]],Table19[#All],3,FALSE)</f>
        <v>AI</v>
      </c>
      <c r="AD402" s="30">
        <f>IF(Table20[[#This Row],[Remaining]]&lt;&gt;0,Table20[[#This Row],[Invested]]*Table20[[#This Row],[Remaining]]/Table20[[#This Row],[Number of options]],0)</f>
        <v>0</v>
      </c>
      <c r="AE402" s="30">
        <f ca="1">SUMIF(Table20[Ticker],Table20[[#This Row],[Ticker]],Table20[realized_profit])</f>
        <v>-2175.9999999999995</v>
      </c>
      <c r="AF402" s="30" t="str">
        <f>VLOOKUP(Table20[[#This Row],[Strategy]],Table29[#All],7,FALSE)</f>
        <v>Bullish</v>
      </c>
    </row>
    <row r="403" spans="1:32" hidden="1">
      <c r="A403" s="180">
        <v>45646</v>
      </c>
      <c r="B403" s="21" t="e" vm="25">
        <v>#VALUE!</v>
      </c>
      <c r="C403" s="109" t="str" cm="1">
        <f t="array" aca="1" ref="C403" ca="1">_FV(Table20[[#This Row],[Asset]],"Ticker symbol",TRUE)</f>
        <v>AMAT</v>
      </c>
      <c r="D403" s="26" cm="1">
        <f t="array" aca="1" ref="D403" ca="1">_FV(Table20[[#This Row],[Asset]],"Price")</f>
        <v>374.08</v>
      </c>
      <c r="E403" s="26">
        <v>220</v>
      </c>
      <c r="F403" s="33">
        <v>2</v>
      </c>
      <c r="G403" s="34">
        <v>1</v>
      </c>
      <c r="H403" s="34" t="s">
        <v>114</v>
      </c>
      <c r="I403" s="31">
        <v>45586</v>
      </c>
      <c r="J403" s="26">
        <v>3.13</v>
      </c>
      <c r="K403" s="24">
        <v>0.42649999999999999</v>
      </c>
      <c r="L403" s="33">
        <f>VLOOKUP(Table20[[#This Row],[Strategy]],Table29[#All],6,FALSE)</f>
        <v>1</v>
      </c>
      <c r="M403" s="23">
        <v>2</v>
      </c>
      <c r="N403" s="23">
        <v>0</v>
      </c>
      <c r="O403" s="23"/>
      <c r="P403" s="23"/>
      <c r="Q403">
        <f>Table20[[#This Row],[Exit1]]*Table20[[#This Row],[ex1_price]]</f>
        <v>0</v>
      </c>
      <c r="R403">
        <f>Table20[[#This Row],[Exit2]]*Table20[[#This Row],[ex2_price]]</f>
        <v>0</v>
      </c>
      <c r="S403">
        <f>IFERROR((Table20[[#This Row],[ex2_amnt]]+Table20[[#This Row],[ex1_amnt]])/(Table20[[#This Row],[Exit2]]+Table20[[#This Row],[Exit1]]),0)</f>
        <v>0</v>
      </c>
      <c r="T403" s="5">
        <f>(Table20[[#This Row],[Exit1]]+Table20[[#This Row],[Exit2]])*(Table20[[#This Row],[avg_exit_price]]-Table20[[#This Row],[AvePrice]])*100*Table20[[#This Row],[Buy or Sell]]</f>
        <v>-626</v>
      </c>
      <c r="U403" s="5">
        <f>Table20[[#This Row],[Number of options]]*Table20[[#This Row],[AvePrice]]*100*Table20[[#This Row],[Buy or Sell]]</f>
        <v>626</v>
      </c>
      <c r="V403" s="8">
        <f>Table20[[#This Row],[Number of options]]-Table20[[#This Row],[Exit1]]-Table20[[#This Row],[Exit2]]</f>
        <v>0</v>
      </c>
      <c r="W403" s="30">
        <f ca="1">(Table20[[#This Row],[Expiration Date]]-TODAY())/365</f>
        <v>-1.263013698630137</v>
      </c>
      <c r="X403" s="30" t="e">
        <f ca="1">(LN(Table20[[#This Row],[Current Price]]/Table20[[#This Row],[strike_price]]) + ($B$2 + (Table20[[#This Row],[Vol]]^2)/2)*Table20[[#This Row],[Time to expiration]]) / (Table20[[#This Row],[Vol]] * SQRT(Table20[[#This Row],[Time to expiration]]))</f>
        <v>#NUM!</v>
      </c>
      <c r="Y403" s="30" t="e">
        <f ca="1">IF(Table20[[#This Row],[Direction]]&gt;0, _xlfn.NORM.S.DIST(Table20[[#This Row],[d1]], TRUE), _xlfn.NORM.S.DIST(Table20[[#This Row],[d1]], TRUE) - 1) * Table20[[#This Row],[Buy or Sell]]</f>
        <v>#NUM!</v>
      </c>
      <c r="Z403" s="9">
        <f ca="1">Table20[[#This Row],[Remaining]]*Table20[[#This Row],[Current Price]]*100</f>
        <v>0</v>
      </c>
      <c r="AA403" s="22">
        <f ca="1">IFERROR(Table20[[#This Row],[nominal_exposure]]*Table20[[#This Row],[Delta]],0)</f>
        <v>0</v>
      </c>
      <c r="AB403" s="30" t="b">
        <f>IF(Table20[[#This Row],[date_purchased]]&lt;&gt;Table20[[#This Row],[Expiration Date]],FALSE,TRUE)</f>
        <v>0</v>
      </c>
      <c r="AC403" s="30" t="str">
        <f>VLOOKUP(Table20[[#This Row],[Asset]],Table19[#All],3,FALSE)</f>
        <v>Semiconductor</v>
      </c>
      <c r="AD403" s="30">
        <f>IF(Table20[[#This Row],[Remaining]]&lt;&gt;0,Table20[[#This Row],[Invested]]*Table20[[#This Row],[Remaining]]/Table20[[#This Row],[Number of options]],0)</f>
        <v>0</v>
      </c>
      <c r="AE403" s="30">
        <f ca="1">SUMIF(Table20[Ticker],Table20[[#This Row],[Ticker]],Table20[realized_profit])</f>
        <v>-1490.0000000000002</v>
      </c>
      <c r="AF403" s="30" t="str">
        <f>VLOOKUP(Table20[[#This Row],[Strategy]],Table29[#All],7,FALSE)</f>
        <v>Bullish</v>
      </c>
    </row>
    <row r="404" spans="1:32" hidden="1">
      <c r="A404" s="180">
        <v>45653</v>
      </c>
      <c r="B404" s="21" t="e" vm="163">
        <v>#VALUE!</v>
      </c>
      <c r="C404" s="109" t="str" cm="1">
        <f t="array" aca="1" ref="C404" ca="1">_FV(Table20[[#This Row],[Asset]],"Ticker symbol",TRUE)</f>
        <v>LLY</v>
      </c>
      <c r="D404" s="26" cm="1">
        <f t="array" aca="1" ref="D404" ca="1">_FV(Table20[[#This Row],[Asset]],"Price")</f>
        <v>910.82500000000005</v>
      </c>
      <c r="E404" s="26">
        <v>900</v>
      </c>
      <c r="F404" s="33">
        <v>2</v>
      </c>
      <c r="G404" s="34">
        <v>1</v>
      </c>
      <c r="H404" s="34" t="s">
        <v>115</v>
      </c>
      <c r="I404" s="31">
        <v>45614</v>
      </c>
      <c r="J404" s="26">
        <v>2.25</v>
      </c>
      <c r="K404" s="24">
        <v>0.38329999999999997</v>
      </c>
      <c r="L404" s="33">
        <f>VLOOKUP(Table20[[#This Row],[Strategy]],Table29[#All],6,FALSE)</f>
        <v>1</v>
      </c>
      <c r="M404" s="23">
        <v>2</v>
      </c>
      <c r="N404" s="23">
        <v>6.88</v>
      </c>
      <c r="O404" s="23"/>
      <c r="P404" s="23"/>
      <c r="Q404">
        <f>Table20[[#This Row],[Exit1]]*Table20[[#This Row],[ex1_price]]</f>
        <v>13.76</v>
      </c>
      <c r="R404">
        <f>Table20[[#This Row],[Exit2]]*Table20[[#This Row],[ex2_price]]</f>
        <v>0</v>
      </c>
      <c r="S404">
        <f>IFERROR((Table20[[#This Row],[ex2_amnt]]+Table20[[#This Row],[ex1_amnt]])/(Table20[[#This Row],[Exit2]]+Table20[[#This Row],[Exit1]]),0)</f>
        <v>6.88</v>
      </c>
      <c r="T404" s="5">
        <f>(Table20[[#This Row],[Exit1]]+Table20[[#This Row],[Exit2]])*(Table20[[#This Row],[avg_exit_price]]-Table20[[#This Row],[AvePrice]])*100*Table20[[#This Row],[Buy or Sell]]</f>
        <v>926</v>
      </c>
      <c r="U404" s="5">
        <f>Table20[[#This Row],[Number of options]]*Table20[[#This Row],[AvePrice]]*100*Table20[[#This Row],[Buy or Sell]]</f>
        <v>450</v>
      </c>
      <c r="V404" s="8">
        <f>Table20[[#This Row],[Number of options]]-Table20[[#This Row],[Exit1]]-Table20[[#This Row],[Exit2]]</f>
        <v>0</v>
      </c>
      <c r="W404" s="30">
        <f ca="1">(Table20[[#This Row],[Expiration Date]]-TODAY())/365</f>
        <v>-1.2438356164383562</v>
      </c>
      <c r="X404" s="30" t="e">
        <f ca="1">(LN(Table20[[#This Row],[Current Price]]/Table20[[#This Row],[strike_price]]) + ($B$2 + (Table20[[#This Row],[Vol]]^2)/2)*Table20[[#This Row],[Time to expiration]]) / (Table20[[#This Row],[Vol]] * SQRT(Table20[[#This Row],[Time to expiration]]))</f>
        <v>#NUM!</v>
      </c>
      <c r="Y404" s="30" t="e">
        <f ca="1">IF(Table20[[#This Row],[Direction]]&gt;0, _xlfn.NORM.S.DIST(Table20[[#This Row],[d1]], TRUE), _xlfn.NORM.S.DIST(Table20[[#This Row],[d1]], TRUE) - 1) * Table20[[#This Row],[Buy or Sell]]</f>
        <v>#NUM!</v>
      </c>
      <c r="Z404" s="9">
        <f ca="1">Table20[[#This Row],[Remaining]]*Table20[[#This Row],[Current Price]]*100</f>
        <v>0</v>
      </c>
      <c r="AA404" s="22">
        <f ca="1">IFERROR(Table20[[#This Row],[nominal_exposure]]*Table20[[#This Row],[Delta]],0)</f>
        <v>0</v>
      </c>
      <c r="AB404" s="30" t="b">
        <f>IF(Table20[[#This Row],[date_purchased]]&lt;&gt;Table20[[#This Row],[Expiration Date]],FALSE,TRUE)</f>
        <v>0</v>
      </c>
      <c r="AC404" s="30" t="str">
        <f>VLOOKUP(Table20[[#This Row],[Asset]],Table19[#All],3,FALSE)</f>
        <v>Health Care</v>
      </c>
      <c r="AD404" s="30">
        <f>IF(Table20[[#This Row],[Remaining]]&lt;&gt;0,Table20[[#This Row],[Invested]]*Table20[[#This Row],[Remaining]]/Table20[[#This Row],[Number of options]],0)</f>
        <v>0</v>
      </c>
      <c r="AE404" s="30">
        <f ca="1">SUMIF(Table20[Ticker],Table20[[#This Row],[Ticker]],Table20[realized_profit])</f>
        <v>8506.9999999999982</v>
      </c>
      <c r="AF404" s="30" t="str">
        <f>VLOOKUP(Table20[[#This Row],[Strategy]],Table29[#All],7,FALSE)</f>
        <v>Bullish</v>
      </c>
    </row>
    <row r="405" spans="1:32" hidden="1">
      <c r="A405" s="180">
        <v>45674</v>
      </c>
      <c r="B405" s="21" t="e" vm="35">
        <v>#VALUE!</v>
      </c>
      <c r="C405" s="109" t="str" cm="1">
        <f t="array" aca="1" ref="C405" ca="1">_FV(Table20[[#This Row],[Asset]],"Ticker symbol",TRUE)</f>
        <v>VRT</v>
      </c>
      <c r="D405" s="26" cm="1">
        <f t="array" aca="1" ref="D405" ca="1">_FV(Table20[[#This Row],[Asset]],"Price")</f>
        <v>280.42</v>
      </c>
      <c r="E405" s="26">
        <v>150</v>
      </c>
      <c r="F405" s="33">
        <v>1</v>
      </c>
      <c r="G405" s="34">
        <v>-1</v>
      </c>
      <c r="H405" s="34" t="s">
        <v>114</v>
      </c>
      <c r="I405" s="31">
        <v>45588</v>
      </c>
      <c r="J405" s="26">
        <v>2.15</v>
      </c>
      <c r="K405" s="24">
        <v>0.53220000000000001</v>
      </c>
      <c r="L405" s="33">
        <f>VLOOKUP(Table20[[#This Row],[Strategy]],Table29[#All],6,FALSE)</f>
        <v>1</v>
      </c>
      <c r="M405" s="23">
        <v>1</v>
      </c>
      <c r="N405" s="23">
        <v>3</v>
      </c>
      <c r="O405" s="23"/>
      <c r="P405" s="23"/>
      <c r="Q405">
        <f>Table20[[#This Row],[Exit1]]*Table20[[#This Row],[ex1_price]]</f>
        <v>3</v>
      </c>
      <c r="R405">
        <f>Table20[[#This Row],[Exit2]]*Table20[[#This Row],[ex2_price]]</f>
        <v>0</v>
      </c>
      <c r="S405">
        <f>IFERROR((Table20[[#This Row],[ex2_amnt]]+Table20[[#This Row],[ex1_amnt]])/(Table20[[#This Row],[Exit2]]+Table20[[#This Row],[Exit1]]),0)</f>
        <v>3</v>
      </c>
      <c r="T405" s="5">
        <f>(Table20[[#This Row],[Exit1]]+Table20[[#This Row],[Exit2]])*(Table20[[#This Row],[avg_exit_price]]-Table20[[#This Row],[AvePrice]])*100*Table20[[#This Row],[Buy or Sell]]</f>
        <v>-85.000000000000014</v>
      </c>
      <c r="U405" s="5">
        <f>Table20[[#This Row],[Number of options]]*Table20[[#This Row],[AvePrice]]*100*Table20[[#This Row],[Buy or Sell]]</f>
        <v>-215</v>
      </c>
      <c r="V405" s="8">
        <f>Table20[[#This Row],[Number of options]]-Table20[[#This Row],[Exit1]]-Table20[[#This Row],[Exit2]]</f>
        <v>0</v>
      </c>
      <c r="W405" s="30">
        <f ca="1">(Table20[[#This Row],[Expiration Date]]-TODAY())/365</f>
        <v>-1.1863013698630136</v>
      </c>
      <c r="X405" s="30" t="e">
        <f ca="1">(LN(Table20[[#This Row],[Current Price]]/Table20[[#This Row],[strike_price]]) + ($B$2 + (Table20[[#This Row],[Vol]]^2)/2)*Table20[[#This Row],[Time to expiration]]) / (Table20[[#This Row],[Vol]] * SQRT(Table20[[#This Row],[Time to expiration]]))</f>
        <v>#NUM!</v>
      </c>
      <c r="Y405" s="30" t="e">
        <f ca="1">IF(Table20[[#This Row],[Direction]]&gt;0, _xlfn.NORM.S.DIST(Table20[[#This Row],[d1]], TRUE), _xlfn.NORM.S.DIST(Table20[[#This Row],[d1]], TRUE) - 1) * Table20[[#This Row],[Buy or Sell]]</f>
        <v>#NUM!</v>
      </c>
      <c r="Z405" s="9">
        <f ca="1">Table20[[#This Row],[Remaining]]*Table20[[#This Row],[Current Price]]*100</f>
        <v>0</v>
      </c>
      <c r="AA405" s="22">
        <f ca="1">IFERROR(Table20[[#This Row],[nominal_exposure]]*Table20[[#This Row],[Delta]],0)</f>
        <v>0</v>
      </c>
      <c r="AB405" s="30" t="b">
        <f>IF(Table20[[#This Row],[date_purchased]]&lt;&gt;Table20[[#This Row],[Expiration Date]],FALSE,TRUE)</f>
        <v>0</v>
      </c>
      <c r="AC405" s="30" t="str">
        <f>VLOOKUP(Table20[[#This Row],[Asset]],Table19[#All],3,FALSE)</f>
        <v>Industrials</v>
      </c>
      <c r="AD405" s="30">
        <f>IF(Table20[[#This Row],[Remaining]]&lt;&gt;0,Table20[[#This Row],[Invested]]*Table20[[#This Row],[Remaining]]/Table20[[#This Row],[Number of options]],0)</f>
        <v>0</v>
      </c>
      <c r="AE405" s="30">
        <f ca="1">SUMIF(Table20[Ticker],Table20[[#This Row],[Ticker]],Table20[realized_profit])</f>
        <v>-543.00000000000011</v>
      </c>
      <c r="AF405" s="30" t="str">
        <f>VLOOKUP(Table20[[#This Row],[Strategy]],Table29[#All],7,FALSE)</f>
        <v>Bullish</v>
      </c>
    </row>
    <row r="406" spans="1:32" hidden="1">
      <c r="A406" s="180">
        <v>45625</v>
      </c>
      <c r="B406" s="21" t="e" vm="84">
        <v>#VALUE!</v>
      </c>
      <c r="C406" s="109" t="str" cm="1">
        <f t="array" aca="1" ref="C406" ca="1">_FV(Table20[[#This Row],[Asset]],"Ticker symbol",TRUE)</f>
        <v>COIN</v>
      </c>
      <c r="D406" s="26" cm="1">
        <f t="array" aca="1" ref="D406" ca="1">_FV(Table20[[#This Row],[Asset]],"Price")</f>
        <v>188</v>
      </c>
      <c r="E406" s="26">
        <v>200</v>
      </c>
      <c r="F406" s="33">
        <v>3</v>
      </c>
      <c r="G406" s="34">
        <v>-1</v>
      </c>
      <c r="H406" s="34" t="s">
        <v>115</v>
      </c>
      <c r="I406" s="31">
        <v>45608</v>
      </c>
      <c r="J406" s="26">
        <v>0.9</v>
      </c>
      <c r="K406" s="24">
        <v>1</v>
      </c>
      <c r="L406" s="33">
        <f>VLOOKUP(Table20[[#This Row],[Strategy]],Table29[#All],6,FALSE)</f>
        <v>1</v>
      </c>
      <c r="M406" s="23">
        <v>3</v>
      </c>
      <c r="N406" s="23">
        <v>1.06</v>
      </c>
      <c r="O406" s="23"/>
      <c r="P406" s="23"/>
      <c r="Q406">
        <f>Table20[[#This Row],[Exit1]]*Table20[[#This Row],[ex1_price]]</f>
        <v>3.18</v>
      </c>
      <c r="R406">
        <f>Table20[[#This Row],[Exit2]]*Table20[[#This Row],[ex2_price]]</f>
        <v>0</v>
      </c>
      <c r="S406">
        <f>IFERROR((Table20[[#This Row],[ex2_amnt]]+Table20[[#This Row],[ex1_amnt]])/(Table20[[#This Row],[Exit2]]+Table20[[#This Row],[Exit1]]),0)</f>
        <v>1.06</v>
      </c>
      <c r="T406" s="5">
        <f>(Table20[[#This Row],[Exit1]]+Table20[[#This Row],[Exit2]])*(Table20[[#This Row],[avg_exit_price]]-Table20[[#This Row],[AvePrice]])*100*Table20[[#This Row],[Buy or Sell]]</f>
        <v>-48.000000000000007</v>
      </c>
      <c r="U406" s="5">
        <f>Table20[[#This Row],[Number of options]]*Table20[[#This Row],[AvePrice]]*100*Table20[[#This Row],[Buy or Sell]]</f>
        <v>-270</v>
      </c>
      <c r="V406" s="8">
        <f>Table20[[#This Row],[Number of options]]-Table20[[#This Row],[Exit1]]-Table20[[#This Row],[Exit2]]</f>
        <v>0</v>
      </c>
      <c r="W406" s="30">
        <f ca="1">(Table20[[#This Row],[Expiration Date]]-TODAY())/365</f>
        <v>-1.3205479452054794</v>
      </c>
      <c r="X406" s="30" t="e">
        <f ca="1">(LN(Table20[[#This Row],[Current Price]]/Table20[[#This Row],[strike_price]]) + ($B$2 + (Table20[[#This Row],[Vol]]^2)/2)*Table20[[#This Row],[Time to expiration]]) / (Table20[[#This Row],[Vol]] * SQRT(Table20[[#This Row],[Time to expiration]]))</f>
        <v>#NUM!</v>
      </c>
      <c r="Y406" s="30" t="e">
        <f ca="1">IF(Table20[[#This Row],[Direction]]&gt;0, _xlfn.NORM.S.DIST(Table20[[#This Row],[d1]], TRUE), _xlfn.NORM.S.DIST(Table20[[#This Row],[d1]], TRUE) - 1) * Table20[[#This Row],[Buy or Sell]]</f>
        <v>#NUM!</v>
      </c>
      <c r="Z406" s="9">
        <f ca="1">Table20[[#This Row],[Remaining]]*Table20[[#This Row],[Current Price]]*100</f>
        <v>0</v>
      </c>
      <c r="AA406" s="22">
        <f ca="1">IFERROR(Table20[[#This Row],[nominal_exposure]]*Table20[[#This Row],[Delta]],0)</f>
        <v>0</v>
      </c>
      <c r="AB406" s="30" t="b">
        <f>IF(Table20[[#This Row],[date_purchased]]&lt;&gt;Table20[[#This Row],[Expiration Date]],FALSE,TRUE)</f>
        <v>0</v>
      </c>
      <c r="AC406" s="30" t="str">
        <f>VLOOKUP(Table20[[#This Row],[Asset]],Table19[#All],3,FALSE)</f>
        <v>Financials</v>
      </c>
      <c r="AD406" s="30">
        <f>IF(Table20[[#This Row],[Remaining]]&lt;&gt;0,Table20[[#This Row],[Invested]]*Table20[[#This Row],[Remaining]]/Table20[[#This Row],[Number of options]],0)</f>
        <v>0</v>
      </c>
      <c r="AE406" s="30">
        <f ca="1">SUMIF(Table20[Ticker],Table20[[#This Row],[Ticker]],Table20[realized_profit])</f>
        <v>4035</v>
      </c>
      <c r="AF406" s="30" t="str">
        <f>VLOOKUP(Table20[[#This Row],[Strategy]],Table29[#All],7,FALSE)</f>
        <v>Bullish</v>
      </c>
    </row>
    <row r="407" spans="1:32" hidden="1">
      <c r="A407" s="180">
        <v>45646</v>
      </c>
      <c r="B407" s="21" t="e" vm="84">
        <v>#VALUE!</v>
      </c>
      <c r="C407" s="109" t="str" cm="1">
        <f t="array" aca="1" ref="C407" ca="1">_FV(Table20[[#This Row],[Asset]],"Ticker symbol",TRUE)</f>
        <v>COIN</v>
      </c>
      <c r="D407" s="26" cm="1">
        <f t="array" aca="1" ref="D407" ca="1">_FV(Table20[[#This Row],[Asset]],"Price")</f>
        <v>188</v>
      </c>
      <c r="E407" s="26">
        <v>200</v>
      </c>
      <c r="F407" s="33">
        <v>3</v>
      </c>
      <c r="G407" s="34">
        <v>1</v>
      </c>
      <c r="H407" s="34" t="s">
        <v>115</v>
      </c>
      <c r="I407" s="31">
        <v>45608</v>
      </c>
      <c r="J407" s="26">
        <v>2.13</v>
      </c>
      <c r="K407" s="24">
        <v>1</v>
      </c>
      <c r="L407" s="33">
        <f>VLOOKUP(Table20[[#This Row],[Strategy]],Table29[#All],6,FALSE)</f>
        <v>1</v>
      </c>
      <c r="M407" s="23">
        <v>3</v>
      </c>
      <c r="N407" s="23">
        <v>2.82</v>
      </c>
      <c r="O407" s="23"/>
      <c r="P407" s="23"/>
      <c r="Q407">
        <f>Table20[[#This Row],[Exit1]]*Table20[[#This Row],[ex1_price]]</f>
        <v>8.4599999999999991</v>
      </c>
      <c r="R407">
        <f>Table20[[#This Row],[Exit2]]*Table20[[#This Row],[ex2_price]]</f>
        <v>0</v>
      </c>
      <c r="S407">
        <f>IFERROR((Table20[[#This Row],[ex2_amnt]]+Table20[[#This Row],[ex1_amnt]])/(Table20[[#This Row],[Exit2]]+Table20[[#This Row],[Exit1]]),0)</f>
        <v>2.82</v>
      </c>
      <c r="T407" s="5">
        <f>(Table20[[#This Row],[Exit1]]+Table20[[#This Row],[Exit2]])*(Table20[[#This Row],[avg_exit_price]]-Table20[[#This Row],[AvePrice]])*100*Table20[[#This Row],[Buy or Sell]]</f>
        <v>206.99999999999997</v>
      </c>
      <c r="U407" s="5">
        <f>Table20[[#This Row],[Number of options]]*Table20[[#This Row],[AvePrice]]*100*Table20[[#This Row],[Buy or Sell]]</f>
        <v>639</v>
      </c>
      <c r="V407" s="8">
        <f>Table20[[#This Row],[Number of options]]-Table20[[#This Row],[Exit1]]-Table20[[#This Row],[Exit2]]</f>
        <v>0</v>
      </c>
      <c r="W407" s="30">
        <f ca="1">(Table20[[#This Row],[Expiration Date]]-TODAY())/365</f>
        <v>-1.263013698630137</v>
      </c>
      <c r="X407" s="30" t="e">
        <f ca="1">(LN(Table20[[#This Row],[Current Price]]/Table20[[#This Row],[strike_price]]) + ($B$2 + (Table20[[#This Row],[Vol]]^2)/2)*Table20[[#This Row],[Time to expiration]]) / (Table20[[#This Row],[Vol]] * SQRT(Table20[[#This Row],[Time to expiration]]))</f>
        <v>#NUM!</v>
      </c>
      <c r="Y407" s="30" t="e">
        <f ca="1">IF(Table20[[#This Row],[Direction]]&gt;0, _xlfn.NORM.S.DIST(Table20[[#This Row],[d1]], TRUE), _xlfn.NORM.S.DIST(Table20[[#This Row],[d1]], TRUE) - 1) * Table20[[#This Row],[Buy or Sell]]</f>
        <v>#NUM!</v>
      </c>
      <c r="Z407" s="9">
        <f ca="1">Table20[[#This Row],[Remaining]]*Table20[[#This Row],[Current Price]]*100</f>
        <v>0</v>
      </c>
      <c r="AA407" s="22">
        <f ca="1">IFERROR(Table20[[#This Row],[nominal_exposure]]*Table20[[#This Row],[Delta]],0)</f>
        <v>0</v>
      </c>
      <c r="AB407" s="30" t="b">
        <f>IF(Table20[[#This Row],[date_purchased]]&lt;&gt;Table20[[#This Row],[Expiration Date]],FALSE,TRUE)</f>
        <v>0</v>
      </c>
      <c r="AC407" s="30" t="str">
        <f>VLOOKUP(Table20[[#This Row],[Asset]],Table19[#All],3,FALSE)</f>
        <v>Financials</v>
      </c>
      <c r="AD407" s="30">
        <f>IF(Table20[[#This Row],[Remaining]]&lt;&gt;0,Table20[[#This Row],[Invested]]*Table20[[#This Row],[Remaining]]/Table20[[#This Row],[Number of options]],0)</f>
        <v>0</v>
      </c>
      <c r="AE407" s="30">
        <f ca="1">SUMIF(Table20[Ticker],Table20[[#This Row],[Ticker]],Table20[realized_profit])</f>
        <v>4035</v>
      </c>
      <c r="AF407" s="30" t="str">
        <f>VLOOKUP(Table20[[#This Row],[Strategy]],Table29[#All],7,FALSE)</f>
        <v>Bullish</v>
      </c>
    </row>
    <row r="408" spans="1:32" hidden="1">
      <c r="A408" s="180">
        <v>45674</v>
      </c>
      <c r="B408" s="21" t="e" vm="82">
        <v>#VALUE!</v>
      </c>
      <c r="C408" s="109" t="str" cm="1">
        <f t="array" aca="1" ref="C408" ca="1">_FV(Table20[[#This Row],[Asset]],"Ticker symbol",TRUE)</f>
        <v>XYZ</v>
      </c>
      <c r="D408" s="26" cm="1">
        <f t="array" aca="1" ref="D408" ca="1">_FV(Table20[[#This Row],[Asset]],"Price")</f>
        <v>61.17</v>
      </c>
      <c r="E408" s="26">
        <v>100</v>
      </c>
      <c r="F408" s="33">
        <v>2</v>
      </c>
      <c r="G408" s="34">
        <v>1</v>
      </c>
      <c r="H408" s="34" t="s">
        <v>114</v>
      </c>
      <c r="I408" s="31">
        <v>45614</v>
      </c>
      <c r="J408" s="26">
        <v>3.78</v>
      </c>
      <c r="K408" s="24">
        <v>0.45019999999999999</v>
      </c>
      <c r="L408" s="33">
        <f>VLOOKUP(Table20[[#This Row],[Strategy]],Table29[#All],6,FALSE)</f>
        <v>1</v>
      </c>
      <c r="M408" s="23">
        <v>2</v>
      </c>
      <c r="N408" s="23">
        <v>0.25</v>
      </c>
      <c r="O408" s="23"/>
      <c r="P408" s="23"/>
      <c r="Q408">
        <f>Table20[[#This Row],[Exit1]]*Table20[[#This Row],[ex1_price]]</f>
        <v>0.5</v>
      </c>
      <c r="R408">
        <f>Table20[[#This Row],[Exit2]]*Table20[[#This Row],[ex2_price]]</f>
        <v>0</v>
      </c>
      <c r="S408">
        <f>IFERROR((Table20[[#This Row],[ex2_amnt]]+Table20[[#This Row],[ex1_amnt]])/(Table20[[#This Row],[Exit2]]+Table20[[#This Row],[Exit1]]),0)</f>
        <v>0.25</v>
      </c>
      <c r="T408" s="5">
        <f>(Table20[[#This Row],[Exit1]]+Table20[[#This Row],[Exit2]])*(Table20[[#This Row],[avg_exit_price]]-Table20[[#This Row],[AvePrice]])*100*Table20[[#This Row],[Buy or Sell]]</f>
        <v>-706</v>
      </c>
      <c r="U408" s="5">
        <f>Table20[[#This Row],[Number of options]]*Table20[[#This Row],[AvePrice]]*100*Table20[[#This Row],[Buy or Sell]]</f>
        <v>756</v>
      </c>
      <c r="V408" s="8">
        <f>Table20[[#This Row],[Number of options]]-Table20[[#This Row],[Exit1]]-Table20[[#This Row],[Exit2]]</f>
        <v>0</v>
      </c>
      <c r="W408" s="30">
        <f ca="1">(Table20[[#This Row],[Expiration Date]]-TODAY())/365</f>
        <v>-1.1863013698630136</v>
      </c>
      <c r="X408" s="30" t="e">
        <f ca="1">(LN(Table20[[#This Row],[Current Price]]/Table20[[#This Row],[strike_price]]) + ($B$2 + (Table20[[#This Row],[Vol]]^2)/2)*Table20[[#This Row],[Time to expiration]]) / (Table20[[#This Row],[Vol]] * SQRT(Table20[[#This Row],[Time to expiration]]))</f>
        <v>#NUM!</v>
      </c>
      <c r="Y408" s="30" t="e">
        <f ca="1">IF(Table20[[#This Row],[Direction]]&gt;0, _xlfn.NORM.S.DIST(Table20[[#This Row],[d1]], TRUE), _xlfn.NORM.S.DIST(Table20[[#This Row],[d1]], TRUE) - 1) * Table20[[#This Row],[Buy or Sell]]</f>
        <v>#NUM!</v>
      </c>
      <c r="Z408" s="9">
        <f ca="1">Table20[[#This Row],[Remaining]]*Table20[[#This Row],[Current Price]]*100</f>
        <v>0</v>
      </c>
      <c r="AA408" s="22">
        <f ca="1">IFERROR(Table20[[#This Row],[nominal_exposure]]*Table20[[#This Row],[Delta]],0)</f>
        <v>0</v>
      </c>
      <c r="AB408" s="30" t="b">
        <f>IF(Table20[[#This Row],[date_purchased]]&lt;&gt;Table20[[#This Row],[Expiration Date]],FALSE,TRUE)</f>
        <v>0</v>
      </c>
      <c r="AC408" s="30" t="str">
        <f>VLOOKUP(Table20[[#This Row],[Asset]],Table19[#All],3,FALSE)</f>
        <v>Financials</v>
      </c>
      <c r="AD408" s="30">
        <f>IF(Table20[[#This Row],[Remaining]]&lt;&gt;0,Table20[[#This Row],[Invested]]*Table20[[#This Row],[Remaining]]/Table20[[#This Row],[Number of options]],0)</f>
        <v>0</v>
      </c>
      <c r="AE408" s="30">
        <f ca="1">SUMIF(Table20[Ticker],Table20[[#This Row],[Ticker]],Table20[realized_profit])</f>
        <v>-729</v>
      </c>
      <c r="AF408" s="30" t="str">
        <f>VLOOKUP(Table20[[#This Row],[Strategy]],Table29[#All],7,FALSE)</f>
        <v>Bullish</v>
      </c>
    </row>
    <row r="409" spans="1:32" hidden="1">
      <c r="A409" s="180">
        <v>45674</v>
      </c>
      <c r="B409" s="21" t="e" vm="82">
        <v>#VALUE!</v>
      </c>
      <c r="C409" s="109" t="str" cm="1">
        <f t="array" aca="1" ref="C409" ca="1">_FV(Table20[[#This Row],[Asset]],"Ticker symbol",TRUE)</f>
        <v>XYZ</v>
      </c>
      <c r="D409" s="26" cm="1">
        <f t="array" aca="1" ref="D409" ca="1">_FV(Table20[[#This Row],[Asset]],"Price")</f>
        <v>61.17</v>
      </c>
      <c r="E409" s="26">
        <v>120</v>
      </c>
      <c r="F409" s="33">
        <v>2</v>
      </c>
      <c r="G409" s="34">
        <v>-1</v>
      </c>
      <c r="H409" s="34" t="s">
        <v>114</v>
      </c>
      <c r="I409" s="31">
        <v>45614</v>
      </c>
      <c r="J409" s="26">
        <v>1.05</v>
      </c>
      <c r="K409" s="24">
        <v>0.51910000000000001</v>
      </c>
      <c r="L409" s="33">
        <f>VLOOKUP(Table20[[#This Row],[Strategy]],Table29[#All],6,FALSE)</f>
        <v>1</v>
      </c>
      <c r="M409" s="23">
        <v>2</v>
      </c>
      <c r="N409" s="23">
        <v>3.5000000000000003E-2</v>
      </c>
      <c r="O409" s="23"/>
      <c r="P409" s="23"/>
      <c r="Q409">
        <f>Table20[[#This Row],[Exit1]]*Table20[[#This Row],[ex1_price]]</f>
        <v>7.0000000000000007E-2</v>
      </c>
      <c r="R409">
        <f>Table20[[#This Row],[Exit2]]*Table20[[#This Row],[ex2_price]]</f>
        <v>0</v>
      </c>
      <c r="S409">
        <f>IFERROR((Table20[[#This Row],[ex2_amnt]]+Table20[[#This Row],[ex1_amnt]])/(Table20[[#This Row],[Exit2]]+Table20[[#This Row],[Exit1]]),0)</f>
        <v>3.5000000000000003E-2</v>
      </c>
      <c r="T409" s="5">
        <f>(Table20[[#This Row],[Exit1]]+Table20[[#This Row],[Exit2]])*(Table20[[#This Row],[avg_exit_price]]-Table20[[#This Row],[AvePrice]])*100*Table20[[#This Row],[Buy or Sell]]</f>
        <v>203.00000000000003</v>
      </c>
      <c r="U409" s="5">
        <f>Table20[[#This Row],[Number of options]]*Table20[[#This Row],[AvePrice]]*100*Table20[[#This Row],[Buy or Sell]]</f>
        <v>-210</v>
      </c>
      <c r="V409" s="8">
        <f>Table20[[#This Row],[Number of options]]-Table20[[#This Row],[Exit1]]-Table20[[#This Row],[Exit2]]</f>
        <v>0</v>
      </c>
      <c r="W409" s="30">
        <f ca="1">(Table20[[#This Row],[Expiration Date]]-TODAY())/365</f>
        <v>-1.1863013698630136</v>
      </c>
      <c r="X409" s="30" t="e">
        <f ca="1">(LN(Table20[[#This Row],[Current Price]]/Table20[[#This Row],[strike_price]]) + ($B$2 + (Table20[[#This Row],[Vol]]^2)/2)*Table20[[#This Row],[Time to expiration]]) / (Table20[[#This Row],[Vol]] * SQRT(Table20[[#This Row],[Time to expiration]]))</f>
        <v>#NUM!</v>
      </c>
      <c r="Y409" s="30" t="e">
        <f ca="1">IF(Table20[[#This Row],[Direction]]&gt;0, _xlfn.NORM.S.DIST(Table20[[#This Row],[d1]], TRUE), _xlfn.NORM.S.DIST(Table20[[#This Row],[d1]], TRUE) - 1) * Table20[[#This Row],[Buy or Sell]]</f>
        <v>#NUM!</v>
      </c>
      <c r="Z409" s="9">
        <f ca="1">Table20[[#This Row],[Remaining]]*Table20[[#This Row],[Current Price]]*100</f>
        <v>0</v>
      </c>
      <c r="AA409" s="22">
        <f ca="1">IFERROR(Table20[[#This Row],[nominal_exposure]]*Table20[[#This Row],[Delta]],0)</f>
        <v>0</v>
      </c>
      <c r="AB409" s="30" t="b">
        <f>IF(Table20[[#This Row],[date_purchased]]&lt;&gt;Table20[[#This Row],[Expiration Date]],FALSE,TRUE)</f>
        <v>0</v>
      </c>
      <c r="AC409" s="30" t="str">
        <f>VLOOKUP(Table20[[#This Row],[Asset]],Table19[#All],3,FALSE)</f>
        <v>Financials</v>
      </c>
      <c r="AD409" s="30">
        <f>IF(Table20[[#This Row],[Remaining]]&lt;&gt;0,Table20[[#This Row],[Invested]]*Table20[[#This Row],[Remaining]]/Table20[[#This Row],[Number of options]],0)</f>
        <v>0</v>
      </c>
      <c r="AE409" s="30">
        <f ca="1">SUMIF(Table20[Ticker],Table20[[#This Row],[Ticker]],Table20[realized_profit])</f>
        <v>-729</v>
      </c>
      <c r="AF409" s="30" t="str">
        <f>VLOOKUP(Table20[[#This Row],[Strategy]],Table29[#All],7,FALSE)</f>
        <v>Bullish</v>
      </c>
    </row>
    <row r="410" spans="1:32" hidden="1">
      <c r="A410" s="180">
        <v>45674</v>
      </c>
      <c r="B410" s="21" t="e" vm="35">
        <v>#VALUE!</v>
      </c>
      <c r="C410" s="109" t="str" cm="1">
        <f t="array" aca="1" ref="C410" ca="1">_FV(Table20[[#This Row],[Asset]],"Ticker symbol",TRUE)</f>
        <v>VRT</v>
      </c>
      <c r="D410" s="26" cm="1">
        <f t="array" aca="1" ref="D410" ca="1">_FV(Table20[[#This Row],[Asset]],"Price")</f>
        <v>280.42</v>
      </c>
      <c r="E410" s="26">
        <v>125</v>
      </c>
      <c r="F410" s="33">
        <v>1</v>
      </c>
      <c r="G410" s="34">
        <v>1</v>
      </c>
      <c r="H410" s="34" t="s">
        <v>114</v>
      </c>
      <c r="I410" s="31">
        <v>45588</v>
      </c>
      <c r="J410" s="26">
        <v>6.65</v>
      </c>
      <c r="K410" s="24">
        <v>0.50790000000000002</v>
      </c>
      <c r="L410" s="33">
        <f>VLOOKUP(Table20[[#This Row],[Strategy]],Table29[#All],6,FALSE)</f>
        <v>1</v>
      </c>
      <c r="M410" s="23">
        <v>1</v>
      </c>
      <c r="N410" s="23">
        <v>9.6999999999999993</v>
      </c>
      <c r="O410" s="23"/>
      <c r="P410" s="23"/>
      <c r="Q410">
        <f>Table20[[#This Row],[Exit1]]*Table20[[#This Row],[ex1_price]]</f>
        <v>9.6999999999999993</v>
      </c>
      <c r="R410">
        <f>Table20[[#This Row],[Exit2]]*Table20[[#This Row],[ex2_price]]</f>
        <v>0</v>
      </c>
      <c r="S410">
        <f>IFERROR((Table20[[#This Row],[ex2_amnt]]+Table20[[#This Row],[ex1_amnt]])/(Table20[[#This Row],[Exit2]]+Table20[[#This Row],[Exit1]]),0)</f>
        <v>9.6999999999999993</v>
      </c>
      <c r="T410" s="5">
        <f>(Table20[[#This Row],[Exit1]]+Table20[[#This Row],[Exit2]])*(Table20[[#This Row],[avg_exit_price]]-Table20[[#This Row],[AvePrice]])*100*Table20[[#This Row],[Buy or Sell]]</f>
        <v>304.99999999999989</v>
      </c>
      <c r="U410" s="5">
        <f>Table20[[#This Row],[Number of options]]*Table20[[#This Row],[AvePrice]]*100*Table20[[#This Row],[Buy or Sell]]</f>
        <v>665</v>
      </c>
      <c r="V410" s="8">
        <f>Table20[[#This Row],[Number of options]]-Table20[[#This Row],[Exit1]]-Table20[[#This Row],[Exit2]]</f>
        <v>0</v>
      </c>
      <c r="W410" s="30">
        <f ca="1">(Table20[[#This Row],[Expiration Date]]-TODAY())/365</f>
        <v>-1.1863013698630136</v>
      </c>
      <c r="X410" s="30" t="e">
        <f ca="1">(LN(Table20[[#This Row],[Current Price]]/Table20[[#This Row],[strike_price]]) + ($B$2 + (Table20[[#This Row],[Vol]]^2)/2)*Table20[[#This Row],[Time to expiration]]) / (Table20[[#This Row],[Vol]] * SQRT(Table20[[#This Row],[Time to expiration]]))</f>
        <v>#NUM!</v>
      </c>
      <c r="Y410" s="30" t="e">
        <f ca="1">IF(Table20[[#This Row],[Direction]]&gt;0, _xlfn.NORM.S.DIST(Table20[[#This Row],[d1]], TRUE), _xlfn.NORM.S.DIST(Table20[[#This Row],[d1]], TRUE) - 1) * Table20[[#This Row],[Buy or Sell]]</f>
        <v>#NUM!</v>
      </c>
      <c r="Z410" s="9">
        <f ca="1">Table20[[#This Row],[Remaining]]*Table20[[#This Row],[Current Price]]*100</f>
        <v>0</v>
      </c>
      <c r="AA410" s="22">
        <f ca="1">IFERROR(Table20[[#This Row],[nominal_exposure]]*Table20[[#This Row],[Delta]],0)</f>
        <v>0</v>
      </c>
      <c r="AB410" s="30" t="b">
        <f>IF(Table20[[#This Row],[date_purchased]]&lt;&gt;Table20[[#This Row],[Expiration Date]],FALSE,TRUE)</f>
        <v>0</v>
      </c>
      <c r="AC410" s="30" t="str">
        <f>VLOOKUP(Table20[[#This Row],[Asset]],Table19[#All],3,FALSE)</f>
        <v>Industrials</v>
      </c>
      <c r="AD410" s="30">
        <f>IF(Table20[[#This Row],[Remaining]]&lt;&gt;0,Table20[[#This Row],[Invested]]*Table20[[#This Row],[Remaining]]/Table20[[#This Row],[Number of options]],0)</f>
        <v>0</v>
      </c>
      <c r="AE410" s="30">
        <f ca="1">SUMIF(Table20[Ticker],Table20[[#This Row],[Ticker]],Table20[realized_profit])</f>
        <v>-543.00000000000011</v>
      </c>
      <c r="AF410" s="30" t="str">
        <f>VLOOKUP(Table20[[#This Row],[Strategy]],Table29[#All],7,FALSE)</f>
        <v>Bullish</v>
      </c>
    </row>
    <row r="411" spans="1:32" hidden="1">
      <c r="A411" s="180">
        <v>45674</v>
      </c>
      <c r="B411" s="21" t="e" vm="84">
        <v>#VALUE!</v>
      </c>
      <c r="C411" s="109" t="str" cm="1">
        <f t="array" aca="1" ref="C411" ca="1">_FV(Table20[[#This Row],[Asset]],"Ticker symbol",TRUE)</f>
        <v>COIN</v>
      </c>
      <c r="D411" s="26" cm="1">
        <f t="array" aca="1" ref="D411" ca="1">_FV(Table20[[#This Row],[Asset]],"Price")</f>
        <v>188</v>
      </c>
      <c r="E411" s="26">
        <v>160</v>
      </c>
      <c r="F411" s="33">
        <v>1</v>
      </c>
      <c r="G411" s="34">
        <v>1</v>
      </c>
      <c r="H411" s="34" t="s">
        <v>161</v>
      </c>
      <c r="I411" s="31">
        <v>45602</v>
      </c>
      <c r="J411" s="26">
        <v>2.92</v>
      </c>
      <c r="K411" s="24">
        <v>0.78300000000000003</v>
      </c>
      <c r="L411" s="33">
        <f>VLOOKUP(Table20[[#This Row],[Strategy]],Table29[#All],6,FALSE)</f>
        <v>-1</v>
      </c>
      <c r="M411" s="23">
        <v>1</v>
      </c>
      <c r="N411" s="23">
        <v>1.05</v>
      </c>
      <c r="O411" s="23"/>
      <c r="P411" s="23"/>
      <c r="Q411">
        <f>Table20[[#This Row],[Exit1]]*Table20[[#This Row],[ex1_price]]</f>
        <v>1.05</v>
      </c>
      <c r="R411">
        <f>Table20[[#This Row],[Exit2]]*Table20[[#This Row],[ex2_price]]</f>
        <v>0</v>
      </c>
      <c r="S411">
        <f>IFERROR((Table20[[#This Row],[ex2_amnt]]+Table20[[#This Row],[ex1_amnt]])/(Table20[[#This Row],[Exit2]]+Table20[[#This Row],[Exit1]]),0)</f>
        <v>1.05</v>
      </c>
      <c r="T411" s="5">
        <f>(Table20[[#This Row],[Exit1]]+Table20[[#This Row],[Exit2]])*(Table20[[#This Row],[avg_exit_price]]-Table20[[#This Row],[AvePrice]])*100*Table20[[#This Row],[Buy or Sell]]</f>
        <v>-187</v>
      </c>
      <c r="U411" s="5">
        <f>Table20[[#This Row],[Number of options]]*Table20[[#This Row],[AvePrice]]*100*Table20[[#This Row],[Buy or Sell]]</f>
        <v>292</v>
      </c>
      <c r="V411" s="8">
        <f>Table20[[#This Row],[Number of options]]-Table20[[#This Row],[Exit1]]-Table20[[#This Row],[Exit2]]</f>
        <v>0</v>
      </c>
      <c r="W411" s="30">
        <f ca="1">(Table20[[#This Row],[Expiration Date]]-TODAY())/365</f>
        <v>-1.1863013698630136</v>
      </c>
      <c r="X411" s="30" t="e">
        <f ca="1">(LN(Table20[[#This Row],[Current Price]]/Table20[[#This Row],[strike_price]]) + ($B$2 + (Table20[[#This Row],[Vol]]^2)/2)*Table20[[#This Row],[Time to expiration]]) / (Table20[[#This Row],[Vol]] * SQRT(Table20[[#This Row],[Time to expiration]]))</f>
        <v>#NUM!</v>
      </c>
      <c r="Y411" s="30" t="e">
        <f ca="1">IF(Table20[[#This Row],[Direction]]&gt;0, _xlfn.NORM.S.DIST(Table20[[#This Row],[d1]], TRUE), _xlfn.NORM.S.DIST(Table20[[#This Row],[d1]], TRUE) - 1) * Table20[[#This Row],[Buy or Sell]]</f>
        <v>#NUM!</v>
      </c>
      <c r="Z411" s="9">
        <f ca="1">Table20[[#This Row],[Remaining]]*Table20[[#This Row],[Current Price]]*100</f>
        <v>0</v>
      </c>
      <c r="AA411" s="22">
        <f ca="1">IFERROR(Table20[[#This Row],[nominal_exposure]]*Table20[[#This Row],[Delta]],0)</f>
        <v>0</v>
      </c>
      <c r="AB411" s="30" t="b">
        <f>IF(Table20[[#This Row],[date_purchased]]&lt;&gt;Table20[[#This Row],[Expiration Date]],FALSE,TRUE)</f>
        <v>0</v>
      </c>
      <c r="AC411" s="30" t="str">
        <f>VLOOKUP(Table20[[#This Row],[Asset]],Table19[#All],3,FALSE)</f>
        <v>Financials</v>
      </c>
      <c r="AD411" s="30">
        <f>IF(Table20[[#This Row],[Remaining]]&lt;&gt;0,Table20[[#This Row],[Invested]]*Table20[[#This Row],[Remaining]]/Table20[[#This Row],[Number of options]],0)</f>
        <v>0</v>
      </c>
      <c r="AE411" s="30">
        <f ca="1">SUMIF(Table20[Ticker],Table20[[#This Row],[Ticker]],Table20[realized_profit])</f>
        <v>4035</v>
      </c>
      <c r="AF411" s="30" t="str">
        <f>VLOOKUP(Table20[[#This Row],[Strategy]],Table29[#All],7,FALSE)</f>
        <v>Bearish</v>
      </c>
    </row>
    <row r="412" spans="1:32" hidden="1">
      <c r="A412" s="180">
        <v>45674</v>
      </c>
      <c r="B412" s="21" t="e" vm="24">
        <v>#VALUE!</v>
      </c>
      <c r="C412" s="109" t="str" cm="1">
        <f t="array" aca="1" ref="C412" ca="1">_FV(Table20[[#This Row],[Asset]],"Ticker symbol",TRUE)</f>
        <v>QCOM</v>
      </c>
      <c r="D412" s="26" cm="1">
        <f t="array" aca="1" ref="D412" ca="1">_FV(Table20[[#This Row],[Asset]],"Price")</f>
        <v>131.63499999999999</v>
      </c>
      <c r="E412" s="26">
        <v>200</v>
      </c>
      <c r="F412" s="33">
        <v>4</v>
      </c>
      <c r="G412" s="34">
        <v>1</v>
      </c>
      <c r="H412" s="34" t="s">
        <v>114</v>
      </c>
      <c r="I412" s="31">
        <v>45602</v>
      </c>
      <c r="J412" s="26">
        <v>3.04</v>
      </c>
      <c r="K412" s="24">
        <v>0.33</v>
      </c>
      <c r="L412" s="33">
        <f>VLOOKUP(Table20[[#This Row],[Strategy]],Table29[#All],6,FALSE)</f>
        <v>1</v>
      </c>
      <c r="M412" s="23">
        <v>4</v>
      </c>
      <c r="N412" s="23">
        <v>0</v>
      </c>
      <c r="O412" s="23"/>
      <c r="P412" s="23"/>
      <c r="Q412">
        <f>Table20[[#This Row],[Exit1]]*Table20[[#This Row],[ex1_price]]</f>
        <v>0</v>
      </c>
      <c r="R412">
        <f>Table20[[#This Row],[Exit2]]*Table20[[#This Row],[ex2_price]]</f>
        <v>0</v>
      </c>
      <c r="S412">
        <f>IFERROR((Table20[[#This Row],[ex2_amnt]]+Table20[[#This Row],[ex1_amnt]])/(Table20[[#This Row],[Exit2]]+Table20[[#This Row],[Exit1]]),0)</f>
        <v>0</v>
      </c>
      <c r="T412" s="5">
        <f>(Table20[[#This Row],[Exit1]]+Table20[[#This Row],[Exit2]])*(Table20[[#This Row],[avg_exit_price]]-Table20[[#This Row],[AvePrice]])*100*Table20[[#This Row],[Buy or Sell]]</f>
        <v>-1216</v>
      </c>
      <c r="U412" s="5">
        <f>Table20[[#This Row],[Number of options]]*Table20[[#This Row],[AvePrice]]*100*Table20[[#This Row],[Buy or Sell]]</f>
        <v>1216</v>
      </c>
      <c r="V412" s="8">
        <f>Table20[[#This Row],[Number of options]]-Table20[[#This Row],[Exit1]]-Table20[[#This Row],[Exit2]]</f>
        <v>0</v>
      </c>
      <c r="W412" s="30">
        <f ca="1">(Table20[[#This Row],[Expiration Date]]-TODAY())/365</f>
        <v>-1.1863013698630136</v>
      </c>
      <c r="X412" s="30" t="e">
        <f ca="1">(LN(Table20[[#This Row],[Current Price]]/Table20[[#This Row],[strike_price]]) + ($B$2 + (Table20[[#This Row],[Vol]]^2)/2)*Table20[[#This Row],[Time to expiration]]) / (Table20[[#This Row],[Vol]] * SQRT(Table20[[#This Row],[Time to expiration]]))</f>
        <v>#NUM!</v>
      </c>
      <c r="Y412" s="30" t="e">
        <f ca="1">IF(Table20[[#This Row],[Direction]]&gt;0, _xlfn.NORM.S.DIST(Table20[[#This Row],[d1]], TRUE), _xlfn.NORM.S.DIST(Table20[[#This Row],[d1]], TRUE) - 1) * Table20[[#This Row],[Buy or Sell]]</f>
        <v>#NUM!</v>
      </c>
      <c r="Z412" s="9">
        <f ca="1">Table20[[#This Row],[Remaining]]*Table20[[#This Row],[Current Price]]*100</f>
        <v>0</v>
      </c>
      <c r="AA412" s="22">
        <f ca="1">IFERROR(Table20[[#This Row],[nominal_exposure]]*Table20[[#This Row],[Delta]],0)</f>
        <v>0</v>
      </c>
      <c r="AB412" s="30" t="b">
        <f>IF(Table20[[#This Row],[date_purchased]]&lt;&gt;Table20[[#This Row],[Expiration Date]],FALSE,TRUE)</f>
        <v>0</v>
      </c>
      <c r="AC412" s="30" t="str">
        <f>VLOOKUP(Table20[[#This Row],[Asset]],Table19[#All],3,FALSE)</f>
        <v>AI</v>
      </c>
      <c r="AD412" s="30">
        <f>IF(Table20[[#This Row],[Remaining]]&lt;&gt;0,Table20[[#This Row],[Invested]]*Table20[[#This Row],[Remaining]]/Table20[[#This Row],[Number of options]],0)</f>
        <v>0</v>
      </c>
      <c r="AE412" s="30">
        <f ca="1">SUMIF(Table20[Ticker],Table20[[#This Row],[Ticker]],Table20[realized_profit])</f>
        <v>-2175.9999999999995</v>
      </c>
      <c r="AF412" s="30" t="str">
        <f>VLOOKUP(Table20[[#This Row],[Strategy]],Table29[#All],7,FALSE)</f>
        <v>Bullish</v>
      </c>
    </row>
    <row r="413" spans="1:32" hidden="1">
      <c r="A413" s="180">
        <v>45674</v>
      </c>
      <c r="B413" s="21" t="e" vm="24">
        <v>#VALUE!</v>
      </c>
      <c r="C413" s="109" t="str" cm="1">
        <f t="array" aca="1" ref="C413" ca="1">_FV(Table20[[#This Row],[Asset]],"Ticker symbol",TRUE)</f>
        <v>QCOM</v>
      </c>
      <c r="D413" s="26" cm="1">
        <f t="array" aca="1" ref="D413" ca="1">_FV(Table20[[#This Row],[Asset]],"Price")</f>
        <v>131.63499999999999</v>
      </c>
      <c r="E413" s="26">
        <v>230</v>
      </c>
      <c r="F413" s="33">
        <v>4</v>
      </c>
      <c r="G413" s="34">
        <v>-1</v>
      </c>
      <c r="H413" s="34" t="s">
        <v>114</v>
      </c>
      <c r="I413" s="31">
        <v>45602</v>
      </c>
      <c r="J413" s="26">
        <v>0.55000000000000004</v>
      </c>
      <c r="K413" s="24">
        <v>0.36549999999999999</v>
      </c>
      <c r="L413" s="33">
        <f>VLOOKUP(Table20[[#This Row],[Strategy]],Table29[#All],6,FALSE)</f>
        <v>1</v>
      </c>
      <c r="M413" s="23">
        <v>4</v>
      </c>
      <c r="N413" s="23">
        <v>0</v>
      </c>
      <c r="O413" s="23"/>
      <c r="P413" s="23"/>
      <c r="Q413">
        <f>Table20[[#This Row],[Exit1]]*Table20[[#This Row],[ex1_price]]</f>
        <v>0</v>
      </c>
      <c r="R413">
        <f>Table20[[#This Row],[Exit2]]*Table20[[#This Row],[ex2_price]]</f>
        <v>0</v>
      </c>
      <c r="S413">
        <f>IFERROR((Table20[[#This Row],[ex2_amnt]]+Table20[[#This Row],[ex1_amnt]])/(Table20[[#This Row],[Exit2]]+Table20[[#This Row],[Exit1]]),0)</f>
        <v>0</v>
      </c>
      <c r="T413" s="5">
        <f>(Table20[[#This Row],[Exit1]]+Table20[[#This Row],[Exit2]])*(Table20[[#This Row],[avg_exit_price]]-Table20[[#This Row],[AvePrice]])*100*Table20[[#This Row],[Buy or Sell]]</f>
        <v>220.00000000000003</v>
      </c>
      <c r="U413" s="5">
        <f>Table20[[#This Row],[Number of options]]*Table20[[#This Row],[AvePrice]]*100*Table20[[#This Row],[Buy or Sell]]</f>
        <v>-220.00000000000003</v>
      </c>
      <c r="V413" s="8">
        <f>Table20[[#This Row],[Number of options]]-Table20[[#This Row],[Exit1]]-Table20[[#This Row],[Exit2]]</f>
        <v>0</v>
      </c>
      <c r="W413" s="30">
        <f ca="1">(Table20[[#This Row],[Expiration Date]]-TODAY())/365</f>
        <v>-1.1863013698630136</v>
      </c>
      <c r="X413" s="30" t="e">
        <f ca="1">(LN(Table20[[#This Row],[Current Price]]/Table20[[#This Row],[strike_price]]) + ($B$2 + (Table20[[#This Row],[Vol]]^2)/2)*Table20[[#This Row],[Time to expiration]]) / (Table20[[#This Row],[Vol]] * SQRT(Table20[[#This Row],[Time to expiration]]))</f>
        <v>#NUM!</v>
      </c>
      <c r="Y413" s="30" t="e">
        <f ca="1">IF(Table20[[#This Row],[Direction]]&gt;0, _xlfn.NORM.S.DIST(Table20[[#This Row],[d1]], TRUE), _xlfn.NORM.S.DIST(Table20[[#This Row],[d1]], TRUE) - 1) * Table20[[#This Row],[Buy or Sell]]</f>
        <v>#NUM!</v>
      </c>
      <c r="Z413" s="9">
        <f ca="1">Table20[[#This Row],[Remaining]]*Table20[[#This Row],[Current Price]]*100</f>
        <v>0</v>
      </c>
      <c r="AA413" s="22">
        <f ca="1">IFERROR(Table20[[#This Row],[nominal_exposure]]*Table20[[#This Row],[Delta]],0)</f>
        <v>0</v>
      </c>
      <c r="AB413" s="30" t="b">
        <f>IF(Table20[[#This Row],[date_purchased]]&lt;&gt;Table20[[#This Row],[Expiration Date]],FALSE,TRUE)</f>
        <v>0</v>
      </c>
      <c r="AC413" s="30" t="str">
        <f>VLOOKUP(Table20[[#This Row],[Asset]],Table19[#All],3,FALSE)</f>
        <v>AI</v>
      </c>
      <c r="AD413" s="30">
        <f>IF(Table20[[#This Row],[Remaining]]&lt;&gt;0,Table20[[#This Row],[Invested]]*Table20[[#This Row],[Remaining]]/Table20[[#This Row],[Number of options]],0)</f>
        <v>0</v>
      </c>
      <c r="AE413" s="30">
        <f ca="1">SUMIF(Table20[Ticker],Table20[[#This Row],[Ticker]],Table20[realized_profit])</f>
        <v>-2175.9999999999995</v>
      </c>
      <c r="AF413" s="30" t="str">
        <f>VLOOKUP(Table20[[#This Row],[Strategy]],Table29[#All],7,FALSE)</f>
        <v>Bullish</v>
      </c>
    </row>
    <row r="414" spans="1:32" hidden="1">
      <c r="A414" s="180">
        <v>45674</v>
      </c>
      <c r="B414" s="21" t="e" vm="176">
        <v>#VALUE!</v>
      </c>
      <c r="C414" s="109" t="str" cm="1">
        <f t="array" aca="1" ref="C414" ca="1">_FV(Table20[[#This Row],[Asset]],"Ticker symbol",TRUE)</f>
        <v>HUT</v>
      </c>
      <c r="D414" s="26" cm="1">
        <f t="array" aca="1" ref="D414" ca="1">_FV(Table20[[#This Row],[Asset]],"Price")</f>
        <v>55.875</v>
      </c>
      <c r="E414" s="26">
        <v>30</v>
      </c>
      <c r="F414" s="33">
        <v>1</v>
      </c>
      <c r="G414" s="34">
        <v>1</v>
      </c>
      <c r="H414" s="34" t="s">
        <v>114</v>
      </c>
      <c r="I414" s="31">
        <v>45608</v>
      </c>
      <c r="J414" s="26">
        <v>2.99</v>
      </c>
      <c r="K414" s="24">
        <v>1.2068000000000001</v>
      </c>
      <c r="L414" s="33">
        <f>VLOOKUP(Table20[[#This Row],[Strategy]],Table29[#All],6,FALSE)</f>
        <v>1</v>
      </c>
      <c r="M414" s="23">
        <v>1</v>
      </c>
      <c r="N414" s="23">
        <v>0</v>
      </c>
      <c r="O414" s="23"/>
      <c r="P414" s="23"/>
      <c r="Q414">
        <f>Table20[[#This Row],[Exit1]]*Table20[[#This Row],[ex1_price]]</f>
        <v>0</v>
      </c>
      <c r="R414">
        <f>Table20[[#This Row],[Exit2]]*Table20[[#This Row],[ex2_price]]</f>
        <v>0</v>
      </c>
      <c r="S414">
        <f>IFERROR((Table20[[#This Row],[ex2_amnt]]+Table20[[#This Row],[ex1_amnt]])/(Table20[[#This Row],[Exit2]]+Table20[[#This Row],[Exit1]]),0)</f>
        <v>0</v>
      </c>
      <c r="T414" s="5">
        <f>(Table20[[#This Row],[Exit1]]+Table20[[#This Row],[Exit2]])*(Table20[[#This Row],[avg_exit_price]]-Table20[[#This Row],[AvePrice]])*100*Table20[[#This Row],[Buy or Sell]]</f>
        <v>-299</v>
      </c>
      <c r="U414" s="5">
        <f>Table20[[#This Row],[Number of options]]*Table20[[#This Row],[AvePrice]]*100*Table20[[#This Row],[Buy or Sell]]</f>
        <v>299</v>
      </c>
      <c r="V414" s="8">
        <f>Table20[[#This Row],[Number of options]]-Table20[[#This Row],[Exit1]]-Table20[[#This Row],[Exit2]]</f>
        <v>0</v>
      </c>
      <c r="W414" s="30">
        <f ca="1">(Table20[[#This Row],[Expiration Date]]-TODAY())/365</f>
        <v>-1.1863013698630136</v>
      </c>
      <c r="X414" s="30" t="e">
        <f ca="1">(LN(Table20[[#This Row],[Current Price]]/Table20[[#This Row],[strike_price]]) + ($B$2 + (Table20[[#This Row],[Vol]]^2)/2)*Table20[[#This Row],[Time to expiration]]) / (Table20[[#This Row],[Vol]] * SQRT(Table20[[#This Row],[Time to expiration]]))</f>
        <v>#NUM!</v>
      </c>
      <c r="Y414" s="30" t="e">
        <f ca="1">IF(Table20[[#This Row],[Direction]]&gt;0, _xlfn.NORM.S.DIST(Table20[[#This Row],[d1]], TRUE), _xlfn.NORM.S.DIST(Table20[[#This Row],[d1]], TRUE) - 1) * Table20[[#This Row],[Buy or Sell]]</f>
        <v>#NUM!</v>
      </c>
      <c r="Z414" s="9">
        <f ca="1">Table20[[#This Row],[Remaining]]*Table20[[#This Row],[Current Price]]*100</f>
        <v>0</v>
      </c>
      <c r="AA414" s="22">
        <f ca="1">IFERROR(Table20[[#This Row],[nominal_exposure]]*Table20[[#This Row],[Delta]],0)</f>
        <v>0</v>
      </c>
      <c r="AB414" s="30" t="b">
        <f>IF(Table20[[#This Row],[date_purchased]]&lt;&gt;Table20[[#This Row],[Expiration Date]],FALSE,TRUE)</f>
        <v>0</v>
      </c>
      <c r="AC414" s="30" t="str">
        <f>VLOOKUP(Table20[[#This Row],[Asset]],Table19[#All],3,FALSE)</f>
        <v>Bitcoin mining</v>
      </c>
      <c r="AD414" s="30">
        <f>IF(Table20[[#This Row],[Remaining]]&lt;&gt;0,Table20[[#This Row],[Invested]]*Table20[[#This Row],[Remaining]]/Table20[[#This Row],[Number of options]],0)</f>
        <v>0</v>
      </c>
      <c r="AE414" s="30">
        <f ca="1">SUMIF(Table20[Ticker],Table20[[#This Row],[Ticker]],Table20[realized_profit])</f>
        <v>-390</v>
      </c>
      <c r="AF414" s="30" t="str">
        <f>VLOOKUP(Table20[[#This Row],[Strategy]],Table29[#All],7,FALSE)</f>
        <v>Bullish</v>
      </c>
    </row>
    <row r="415" spans="1:32" hidden="1">
      <c r="A415" s="180">
        <v>45674</v>
      </c>
      <c r="B415" s="21" t="e" vm="176">
        <v>#VALUE!</v>
      </c>
      <c r="C415" s="109" t="str" cm="1">
        <f t="array" aca="1" ref="C415" ca="1">_FV(Table20[[#This Row],[Asset]],"Ticker symbol",TRUE)</f>
        <v>HUT</v>
      </c>
      <c r="D415" s="26" cm="1">
        <f t="array" aca="1" ref="D415" ca="1">_FV(Table20[[#This Row],[Asset]],"Price")</f>
        <v>55.875</v>
      </c>
      <c r="E415" s="26">
        <v>40</v>
      </c>
      <c r="F415" s="33">
        <v>1</v>
      </c>
      <c r="G415" s="34">
        <v>-1</v>
      </c>
      <c r="H415" s="34" t="s">
        <v>114</v>
      </c>
      <c r="I415" s="31">
        <v>45608</v>
      </c>
      <c r="J415" s="26">
        <v>1.53</v>
      </c>
      <c r="K415" s="24">
        <v>1.2239</v>
      </c>
      <c r="L415" s="33">
        <f>VLOOKUP(Table20[[#This Row],[Strategy]],Table29[#All],6,FALSE)</f>
        <v>1</v>
      </c>
      <c r="M415" s="23">
        <v>1</v>
      </c>
      <c r="N415" s="23">
        <v>0</v>
      </c>
      <c r="O415" s="23"/>
      <c r="P415" s="23"/>
      <c r="Q415">
        <f>Table20[[#This Row],[Exit1]]*Table20[[#This Row],[ex1_price]]</f>
        <v>0</v>
      </c>
      <c r="R415">
        <f>Table20[[#This Row],[Exit2]]*Table20[[#This Row],[ex2_price]]</f>
        <v>0</v>
      </c>
      <c r="S415">
        <f>IFERROR((Table20[[#This Row],[ex2_amnt]]+Table20[[#This Row],[ex1_amnt]])/(Table20[[#This Row],[Exit2]]+Table20[[#This Row],[Exit1]]),0)</f>
        <v>0</v>
      </c>
      <c r="T415" s="5">
        <f>(Table20[[#This Row],[Exit1]]+Table20[[#This Row],[Exit2]])*(Table20[[#This Row],[avg_exit_price]]-Table20[[#This Row],[AvePrice]])*100*Table20[[#This Row],[Buy or Sell]]</f>
        <v>153</v>
      </c>
      <c r="U415" s="5">
        <f>Table20[[#This Row],[Number of options]]*Table20[[#This Row],[AvePrice]]*100*Table20[[#This Row],[Buy or Sell]]</f>
        <v>-153</v>
      </c>
      <c r="V415" s="8">
        <f>Table20[[#This Row],[Number of options]]-Table20[[#This Row],[Exit1]]-Table20[[#This Row],[Exit2]]</f>
        <v>0</v>
      </c>
      <c r="W415" s="30">
        <f ca="1">(Table20[[#This Row],[Expiration Date]]-TODAY())/365</f>
        <v>-1.1863013698630136</v>
      </c>
      <c r="X415" s="30" t="e">
        <f ca="1">(LN(Table20[[#This Row],[Current Price]]/Table20[[#This Row],[strike_price]]) + ($B$2 + (Table20[[#This Row],[Vol]]^2)/2)*Table20[[#This Row],[Time to expiration]]) / (Table20[[#This Row],[Vol]] * SQRT(Table20[[#This Row],[Time to expiration]]))</f>
        <v>#NUM!</v>
      </c>
      <c r="Y415" s="30" t="e">
        <f ca="1">IF(Table20[[#This Row],[Direction]]&gt;0, _xlfn.NORM.S.DIST(Table20[[#This Row],[d1]], TRUE), _xlfn.NORM.S.DIST(Table20[[#This Row],[d1]], TRUE) - 1) * Table20[[#This Row],[Buy or Sell]]</f>
        <v>#NUM!</v>
      </c>
      <c r="Z415" s="9">
        <f ca="1">Table20[[#This Row],[Remaining]]*Table20[[#This Row],[Current Price]]*100</f>
        <v>0</v>
      </c>
      <c r="AA415" s="22">
        <f ca="1">IFERROR(Table20[[#This Row],[nominal_exposure]]*Table20[[#This Row],[Delta]],0)</f>
        <v>0</v>
      </c>
      <c r="AB415" s="30" t="b">
        <f>IF(Table20[[#This Row],[date_purchased]]&lt;&gt;Table20[[#This Row],[Expiration Date]],FALSE,TRUE)</f>
        <v>0</v>
      </c>
      <c r="AC415" s="30" t="str">
        <f>VLOOKUP(Table20[[#This Row],[Asset]],Table19[#All],3,FALSE)</f>
        <v>Bitcoin mining</v>
      </c>
      <c r="AD415" s="30">
        <f>IF(Table20[[#This Row],[Remaining]]&lt;&gt;0,Table20[[#This Row],[Invested]]*Table20[[#This Row],[Remaining]]/Table20[[#This Row],[Number of options]],0)</f>
        <v>0</v>
      </c>
      <c r="AE415" s="30">
        <f ca="1">SUMIF(Table20[Ticker],Table20[[#This Row],[Ticker]],Table20[realized_profit])</f>
        <v>-390</v>
      </c>
      <c r="AF415" s="30" t="str">
        <f>VLOOKUP(Table20[[#This Row],[Strategy]],Table29[#All],7,FALSE)</f>
        <v>Bullish</v>
      </c>
    </row>
    <row r="416" spans="1:32" hidden="1">
      <c r="A416" s="180">
        <v>45674</v>
      </c>
      <c r="B416" s="21" t="e" vm="25">
        <v>#VALUE!</v>
      </c>
      <c r="C416" s="109" t="str" cm="1">
        <f t="array" aca="1" ref="C416" ca="1">_FV(Table20[[#This Row],[Asset]],"Ticker symbol",TRUE)</f>
        <v>AMAT</v>
      </c>
      <c r="D416" s="26" cm="1">
        <f t="array" aca="1" ref="D416" ca="1">_FV(Table20[[#This Row],[Asset]],"Price")</f>
        <v>374.08</v>
      </c>
      <c r="E416" s="26">
        <v>210</v>
      </c>
      <c r="F416" s="33">
        <v>3</v>
      </c>
      <c r="G416" s="34">
        <v>1</v>
      </c>
      <c r="H416" s="34" t="s">
        <v>113</v>
      </c>
      <c r="I416" s="31">
        <v>45628</v>
      </c>
      <c r="J416" s="26">
        <v>1.57</v>
      </c>
      <c r="K416" s="24">
        <v>0.3453</v>
      </c>
      <c r="L416" s="33">
        <f>VLOOKUP(Table20[[#This Row],[Strategy]],Table29[#All],6,FALSE)</f>
        <v>1</v>
      </c>
      <c r="M416" s="23">
        <v>3</v>
      </c>
      <c r="N416" s="23">
        <v>0</v>
      </c>
      <c r="O416" s="23"/>
      <c r="P416" s="23"/>
      <c r="Q416">
        <f>Table20[[#This Row],[Exit1]]*Table20[[#This Row],[ex1_price]]</f>
        <v>0</v>
      </c>
      <c r="R416">
        <f>Table20[[#This Row],[Exit2]]*Table20[[#This Row],[ex2_price]]</f>
        <v>0</v>
      </c>
      <c r="S416">
        <f>IFERROR((Table20[[#This Row],[ex2_amnt]]+Table20[[#This Row],[ex1_amnt]])/(Table20[[#This Row],[Exit2]]+Table20[[#This Row],[Exit1]]),0)</f>
        <v>0</v>
      </c>
      <c r="T416" s="5">
        <f>(Table20[[#This Row],[Exit1]]+Table20[[#This Row],[Exit2]])*(Table20[[#This Row],[avg_exit_price]]-Table20[[#This Row],[AvePrice]])*100*Table20[[#This Row],[Buy or Sell]]</f>
        <v>-471</v>
      </c>
      <c r="U416" s="5">
        <f>Table20[[#This Row],[Number of options]]*Table20[[#This Row],[AvePrice]]*100*Table20[[#This Row],[Buy or Sell]]</f>
        <v>471</v>
      </c>
      <c r="V416" s="8">
        <f>Table20[[#This Row],[Number of options]]-Table20[[#This Row],[Exit1]]-Table20[[#This Row],[Exit2]]</f>
        <v>0</v>
      </c>
      <c r="W416" s="30">
        <f ca="1">(Table20[[#This Row],[Expiration Date]]-TODAY())/365</f>
        <v>-1.1863013698630136</v>
      </c>
      <c r="X416" s="30" t="e">
        <f ca="1">(LN(Table20[[#This Row],[Current Price]]/Table20[[#This Row],[strike_price]]) + ($B$2 + (Table20[[#This Row],[Vol]]^2)/2)*Table20[[#This Row],[Time to expiration]]) / (Table20[[#This Row],[Vol]] * SQRT(Table20[[#This Row],[Time to expiration]]))</f>
        <v>#NUM!</v>
      </c>
      <c r="Y416" s="30" t="e">
        <f ca="1">IF(Table20[[#This Row],[Direction]]&gt;0, _xlfn.NORM.S.DIST(Table20[[#This Row],[d1]], TRUE), _xlfn.NORM.S.DIST(Table20[[#This Row],[d1]], TRUE) - 1) * Table20[[#This Row],[Buy or Sell]]</f>
        <v>#NUM!</v>
      </c>
      <c r="Z416" s="9">
        <f ca="1">Table20[[#This Row],[Remaining]]*Table20[[#This Row],[Current Price]]*100</f>
        <v>0</v>
      </c>
      <c r="AA416" s="22">
        <f ca="1">IFERROR(Table20[[#This Row],[nominal_exposure]]*Table20[[#This Row],[Delta]],0)</f>
        <v>0</v>
      </c>
      <c r="AB416" s="30" t="b">
        <f>IF(Table20[[#This Row],[date_purchased]]&lt;&gt;Table20[[#This Row],[Expiration Date]],FALSE,TRUE)</f>
        <v>0</v>
      </c>
      <c r="AC416" s="30" t="str">
        <f>VLOOKUP(Table20[[#This Row],[Asset]],Table19[#All],3,FALSE)</f>
        <v>Semiconductor</v>
      </c>
      <c r="AD416" s="30">
        <f>IF(Table20[[#This Row],[Remaining]]&lt;&gt;0,Table20[[#This Row],[Invested]]*Table20[[#This Row],[Remaining]]/Table20[[#This Row],[Number of options]],0)</f>
        <v>0</v>
      </c>
      <c r="AE416" s="30">
        <f ca="1">SUMIF(Table20[Ticker],Table20[[#This Row],[Ticker]],Table20[realized_profit])</f>
        <v>-1490.0000000000002</v>
      </c>
      <c r="AF416" s="30" t="str">
        <f>VLOOKUP(Table20[[#This Row],[Strategy]],Table29[#All],7,FALSE)</f>
        <v>Bullish</v>
      </c>
    </row>
    <row r="417" spans="1:32" hidden="1">
      <c r="A417" s="180">
        <v>45674</v>
      </c>
      <c r="B417" s="21" t="e" vm="32">
        <v>#VALUE!</v>
      </c>
      <c r="C417" s="109" t="str" cm="1">
        <f t="array" aca="1" ref="C417" ca="1">_FV(Table20[[#This Row],[Asset]],"Ticker symbol",TRUE)</f>
        <v>MU</v>
      </c>
      <c r="D417" s="26" cm="1">
        <f t="array" aca="1" ref="D417" ca="1">_FV(Table20[[#This Row],[Asset]],"Price")</f>
        <v>381.57</v>
      </c>
      <c r="E417" s="26">
        <v>125</v>
      </c>
      <c r="F417" s="33">
        <v>1</v>
      </c>
      <c r="G417" s="34">
        <v>1</v>
      </c>
      <c r="H417" s="34" t="s">
        <v>113</v>
      </c>
      <c r="I417" s="31">
        <v>45642</v>
      </c>
      <c r="J417" s="26">
        <v>4.3</v>
      </c>
      <c r="K417" s="24">
        <v>0.70099999999999996</v>
      </c>
      <c r="L417" s="33">
        <f>VLOOKUP(Table20[[#This Row],[Strategy]],Table29[#All],6,FALSE)</f>
        <v>1</v>
      </c>
      <c r="M417" s="23">
        <v>1</v>
      </c>
      <c r="N417" s="23">
        <v>0</v>
      </c>
      <c r="O417" s="23"/>
      <c r="P417" s="23"/>
      <c r="Q417">
        <f>Table20[[#This Row],[Exit1]]*Table20[[#This Row],[ex1_price]]</f>
        <v>0</v>
      </c>
      <c r="R417">
        <f>Table20[[#This Row],[Exit2]]*Table20[[#This Row],[ex2_price]]</f>
        <v>0</v>
      </c>
      <c r="S417">
        <f>IFERROR((Table20[[#This Row],[ex2_amnt]]+Table20[[#This Row],[ex1_amnt]])/(Table20[[#This Row],[Exit2]]+Table20[[#This Row],[Exit1]]),0)</f>
        <v>0</v>
      </c>
      <c r="T417" s="5">
        <f>(Table20[[#This Row],[Exit1]]+Table20[[#This Row],[Exit2]])*(Table20[[#This Row],[avg_exit_price]]-Table20[[#This Row],[AvePrice]])*100*Table20[[#This Row],[Buy or Sell]]</f>
        <v>-430</v>
      </c>
      <c r="U417" s="5">
        <f>Table20[[#This Row],[Number of options]]*Table20[[#This Row],[AvePrice]]*100*Table20[[#This Row],[Buy or Sell]]</f>
        <v>430</v>
      </c>
      <c r="V417" s="8">
        <f>Table20[[#This Row],[Number of options]]-Table20[[#This Row],[Exit1]]-Table20[[#This Row],[Exit2]]</f>
        <v>0</v>
      </c>
      <c r="W417" s="30">
        <f ca="1">(Table20[[#This Row],[Expiration Date]]-TODAY())/365</f>
        <v>-1.1863013698630136</v>
      </c>
      <c r="X417" s="30" t="e">
        <f ca="1">(LN(Table20[[#This Row],[Current Price]]/Table20[[#This Row],[strike_price]]) + ($B$2 + (Table20[[#This Row],[Vol]]^2)/2)*Table20[[#This Row],[Time to expiration]]) / (Table20[[#This Row],[Vol]] * SQRT(Table20[[#This Row],[Time to expiration]]))</f>
        <v>#NUM!</v>
      </c>
      <c r="Y417" s="30" t="e">
        <f ca="1">IF(Table20[[#This Row],[Direction]]&gt;0, _xlfn.NORM.S.DIST(Table20[[#This Row],[d1]], TRUE), _xlfn.NORM.S.DIST(Table20[[#This Row],[d1]], TRUE) - 1) * Table20[[#This Row],[Buy or Sell]]</f>
        <v>#NUM!</v>
      </c>
      <c r="Z417" s="9">
        <f ca="1">Table20[[#This Row],[Remaining]]*Table20[[#This Row],[Current Price]]*100</f>
        <v>0</v>
      </c>
      <c r="AA417" s="22">
        <f ca="1">IFERROR(Table20[[#This Row],[nominal_exposure]]*Table20[[#This Row],[Delta]],0)</f>
        <v>0</v>
      </c>
      <c r="AB417" s="30" t="b">
        <f>IF(Table20[[#This Row],[date_purchased]]&lt;&gt;Table20[[#This Row],[Expiration Date]],FALSE,TRUE)</f>
        <v>0</v>
      </c>
      <c r="AC417" s="30" t="str">
        <f>VLOOKUP(Table20[[#This Row],[Asset]],Table19[#All],3,FALSE)</f>
        <v>AI</v>
      </c>
      <c r="AD417" s="30">
        <f>IF(Table20[[#This Row],[Remaining]]&lt;&gt;0,Table20[[#This Row],[Invested]]*Table20[[#This Row],[Remaining]]/Table20[[#This Row],[Number of options]],0)</f>
        <v>0</v>
      </c>
      <c r="AE417" s="30">
        <f ca="1">SUMIF(Table20[Ticker],Table20[[#This Row],[Ticker]],Table20[realized_profit])</f>
        <v>-4181</v>
      </c>
      <c r="AF417" s="30" t="str">
        <f>VLOOKUP(Table20[[#This Row],[Strategy]],Table29[#All],7,FALSE)</f>
        <v>Bullish</v>
      </c>
    </row>
    <row r="418" spans="1:32" hidden="1">
      <c r="A418" s="35">
        <v>45509</v>
      </c>
      <c r="B418" s="21" t="e" vm="96">
        <v>#VALUE!</v>
      </c>
      <c r="C418" s="109" t="str" cm="1">
        <f t="array" aca="1" ref="C418" ca="1">_FV(Table20[[#This Row],[Asset]],"Ticker symbol",TRUE)</f>
        <v>SPY</v>
      </c>
      <c r="D418" s="26" cm="1">
        <f t="array" aca="1" ref="D418" ca="1">_FV(Table20[[#This Row],[Asset]],"Price")</f>
        <v>658.59</v>
      </c>
      <c r="E418" s="26">
        <v>540</v>
      </c>
      <c r="F418" s="33">
        <v>3</v>
      </c>
      <c r="G418" s="34">
        <v>-1</v>
      </c>
      <c r="H418" s="34" t="s">
        <v>115</v>
      </c>
      <c r="I418" s="31">
        <v>45507</v>
      </c>
      <c r="J418" s="26">
        <v>0.77</v>
      </c>
      <c r="K418" s="24"/>
      <c r="L418" s="33">
        <f>VLOOKUP(Table20[[#This Row],[Strategy]],Table29[#All],6,FALSE)</f>
        <v>1</v>
      </c>
      <c r="M418" s="23">
        <v>3</v>
      </c>
      <c r="N418" s="23">
        <v>0.09</v>
      </c>
      <c r="O418" s="23"/>
      <c r="P418" s="23"/>
      <c r="Q418">
        <f>Table20[[#This Row],[Exit1]]*Table20[[#This Row],[ex1_price]]</f>
        <v>0.27</v>
      </c>
      <c r="R418">
        <f>Table20[[#This Row],[Exit2]]*Table20[[#This Row],[ex2_price]]</f>
        <v>0</v>
      </c>
      <c r="S418">
        <f>IFERROR((Table20[[#This Row],[ex2_amnt]]+Table20[[#This Row],[ex1_amnt]])/(Table20[[#This Row],[Exit2]]+Table20[[#This Row],[Exit1]]),0)</f>
        <v>9.0000000000000011E-2</v>
      </c>
      <c r="T418" s="5">
        <f>(Table20[[#This Row],[Exit1]]+Table20[[#This Row],[Exit2]])*(Table20[[#This Row],[avg_exit_price]]-Table20[[#This Row],[AvePrice]])*100*Table20[[#This Row],[Buy or Sell]]</f>
        <v>204</v>
      </c>
      <c r="U418" s="5">
        <f>Table20[[#This Row],[Number of options]]*Table20[[#This Row],[AvePrice]]*100*Table20[[#This Row],[Buy or Sell]]</f>
        <v>-231</v>
      </c>
      <c r="V418" s="8">
        <f>Table20[[#This Row],[Number of options]]-Table20[[#This Row],[Exit1]]-Table20[[#This Row],[Exit2]]</f>
        <v>0</v>
      </c>
      <c r="W418" s="30">
        <f ca="1">(Table20[[#This Row],[Expiration Date]]-TODAY())/365</f>
        <v>-1.6383561643835616</v>
      </c>
      <c r="X418" s="30" t="e">
        <f ca="1">(LN(Table20[[#This Row],[Current Price]]/Table20[[#This Row],[strike_price]]) + ($B$2 + (Table20[[#This Row],[Vol]]^2)/2)*Table20[[#This Row],[Time to expiration]]) / (Table20[[#This Row],[Vol]] * SQRT(Table20[[#This Row],[Time to expiration]]))</f>
        <v>#NUM!</v>
      </c>
      <c r="Y418" s="30" t="e">
        <f ca="1">IF(Table20[[#This Row],[Direction]]&gt;0, _xlfn.NORM.S.DIST(Table20[[#This Row],[d1]], TRUE), _xlfn.NORM.S.DIST(Table20[[#This Row],[d1]], TRUE) - 1) * Table20[[#This Row],[Buy or Sell]]</f>
        <v>#NUM!</v>
      </c>
      <c r="Z418" s="9">
        <f ca="1">Table20[[#This Row],[Remaining]]*Table20[[#This Row],[Current Price]]*100</f>
        <v>0</v>
      </c>
      <c r="AA418" s="22">
        <f ca="1">IFERROR(Table20[[#This Row],[nominal_exposure]]*Table20[[#This Row],[Delta]],0)</f>
        <v>0</v>
      </c>
      <c r="AB418" s="30" t="b">
        <f>IF(Table20[[#This Row],[date_purchased]]&lt;&gt;Table20[[#This Row],[Expiration Date]],FALSE,TRUE)</f>
        <v>0</v>
      </c>
      <c r="AC418" s="30" t="str">
        <f>VLOOKUP(Table20[[#This Row],[Asset]],Table19[#All],3,FALSE)</f>
        <v>Market</v>
      </c>
      <c r="AD418" s="30">
        <f>IF(Table20[[#This Row],[Remaining]]&lt;&gt;0,Table20[[#This Row],[Invested]]*Table20[[#This Row],[Remaining]]/Table20[[#This Row],[Number of options]],0)</f>
        <v>0</v>
      </c>
      <c r="AE418" s="30">
        <f ca="1">SUMIF(Table20[Ticker],Table20[[#This Row],[Ticker]],Table20[realized_profit])</f>
        <v>-5077</v>
      </c>
      <c r="AF418" s="30" t="str">
        <f>VLOOKUP(Table20[[#This Row],[Strategy]],Table29[#All],7,FALSE)</f>
        <v>Bullish</v>
      </c>
    </row>
    <row r="419" spans="1:32" hidden="1">
      <c r="A419" s="35">
        <v>45509</v>
      </c>
      <c r="B419" s="21" t="e" vm="96">
        <v>#VALUE!</v>
      </c>
      <c r="C419" s="109" t="str" cm="1">
        <f t="array" aca="1" ref="C419" ca="1">_FV(Table20[[#This Row],[Asset]],"Ticker symbol",TRUE)</f>
        <v>SPY</v>
      </c>
      <c r="D419" s="26" cm="1">
        <f t="array" aca="1" ref="D419" ca="1">_FV(Table20[[#This Row],[Asset]],"Price")</f>
        <v>658.59</v>
      </c>
      <c r="E419" s="26">
        <v>500</v>
      </c>
      <c r="F419" s="33">
        <v>3</v>
      </c>
      <c r="G419" s="34">
        <v>-1</v>
      </c>
      <c r="H419" s="34" t="s">
        <v>161</v>
      </c>
      <c r="I419" s="31">
        <v>45509</v>
      </c>
      <c r="J419" s="26">
        <v>0.72</v>
      </c>
      <c r="K419" s="24">
        <v>0.96</v>
      </c>
      <c r="L419" s="33">
        <f>VLOOKUP(Table20[[#This Row],[Strategy]],Table29[#All],6,FALSE)</f>
        <v>-1</v>
      </c>
      <c r="M419" s="23">
        <v>3</v>
      </c>
      <c r="N419" s="23">
        <v>0.01</v>
      </c>
      <c r="O419" s="23"/>
      <c r="P419" s="23"/>
      <c r="Q419">
        <f>Table20[[#This Row],[Exit1]]*Table20[[#This Row],[ex1_price]]</f>
        <v>0.03</v>
      </c>
      <c r="R419">
        <f>Table20[[#This Row],[Exit2]]*Table20[[#This Row],[ex2_price]]</f>
        <v>0</v>
      </c>
      <c r="S419">
        <f>IFERROR((Table20[[#This Row],[ex2_amnt]]+Table20[[#This Row],[ex1_amnt]])/(Table20[[#This Row],[Exit2]]+Table20[[#This Row],[Exit1]]),0)</f>
        <v>0.01</v>
      </c>
      <c r="T419" s="5">
        <f>(Table20[[#This Row],[Exit1]]+Table20[[#This Row],[Exit2]])*(Table20[[#This Row],[avg_exit_price]]-Table20[[#This Row],[AvePrice]])*100*Table20[[#This Row],[Buy or Sell]]</f>
        <v>213</v>
      </c>
      <c r="U419" s="5">
        <f>Table20[[#This Row],[Number of options]]*Table20[[#This Row],[AvePrice]]*100*Table20[[#This Row],[Buy or Sell]]</f>
        <v>-216</v>
      </c>
      <c r="V419" s="8">
        <f>Table20[[#This Row],[Number of options]]-Table20[[#This Row],[Exit1]]-Table20[[#This Row],[Exit2]]</f>
        <v>0</v>
      </c>
      <c r="W419" s="30">
        <f ca="1">(Table20[[#This Row],[Expiration Date]]-TODAY())/365</f>
        <v>-1.6383561643835616</v>
      </c>
      <c r="X419" s="30" t="e">
        <f ca="1">(LN(Table20[[#This Row],[Current Price]]/Table20[[#This Row],[strike_price]]) + ($B$2 + (Table20[[#This Row],[Vol]]^2)/2)*Table20[[#This Row],[Time to expiration]]) / (Table20[[#This Row],[Vol]] * SQRT(Table20[[#This Row],[Time to expiration]]))</f>
        <v>#NUM!</v>
      </c>
      <c r="Y419" s="30" t="e">
        <f ca="1">IF(Table20[[#This Row],[Direction]]&gt;0, _xlfn.NORM.S.DIST(Table20[[#This Row],[d1]], TRUE), _xlfn.NORM.S.DIST(Table20[[#This Row],[d1]], TRUE) - 1) * Table20[[#This Row],[Buy or Sell]]</f>
        <v>#NUM!</v>
      </c>
      <c r="Z419" s="9">
        <f ca="1">Table20[[#This Row],[Remaining]]*Table20[[#This Row],[Current Price]]*100</f>
        <v>0</v>
      </c>
      <c r="AA419" s="22">
        <f ca="1">IFERROR(Table20[[#This Row],[nominal_exposure]]*Table20[[#This Row],[Delta]],0)</f>
        <v>0</v>
      </c>
      <c r="AB419" s="30" t="b">
        <f>IF(Table20[[#This Row],[date_purchased]]&lt;&gt;Table20[[#This Row],[Expiration Date]],FALSE,TRUE)</f>
        <v>1</v>
      </c>
      <c r="AC419" s="30" t="str">
        <f>VLOOKUP(Table20[[#This Row],[Asset]],Table19[#All],3,FALSE)</f>
        <v>Market</v>
      </c>
      <c r="AD419" s="30">
        <f>IF(Table20[[#This Row],[Remaining]]&lt;&gt;0,Table20[[#This Row],[Invested]]*Table20[[#This Row],[Remaining]]/Table20[[#This Row],[Number of options]],0)</f>
        <v>0</v>
      </c>
      <c r="AE419" s="30">
        <f ca="1">SUMIF(Table20[Ticker],Table20[[#This Row],[Ticker]],Table20[realized_profit])</f>
        <v>-5077</v>
      </c>
      <c r="AF419" s="30" t="str">
        <f>VLOOKUP(Table20[[#This Row],[Strategy]],Table29[#All],7,FALSE)</f>
        <v>Bearish</v>
      </c>
    </row>
    <row r="420" spans="1:32" hidden="1">
      <c r="A420" s="35">
        <v>45507</v>
      </c>
      <c r="B420" s="21" t="e" vm="96">
        <v>#VALUE!</v>
      </c>
      <c r="C420" s="109" t="str" cm="1">
        <f t="array" aca="1" ref="C420" ca="1">_FV(Table20[[#This Row],[Asset]],"Ticker symbol",TRUE)</f>
        <v>SPY</v>
      </c>
      <c r="D420" s="26" cm="1">
        <f t="array" aca="1" ref="D420" ca="1">_FV(Table20[[#This Row],[Asset]],"Price")</f>
        <v>658.59</v>
      </c>
      <c r="E420" s="26">
        <v>530</v>
      </c>
      <c r="F420" s="33">
        <v>7</v>
      </c>
      <c r="G420" s="34">
        <v>-1</v>
      </c>
      <c r="H420" s="34" t="s">
        <v>161</v>
      </c>
      <c r="I420" s="31">
        <v>45503</v>
      </c>
      <c r="J420" s="26">
        <v>0.96</v>
      </c>
      <c r="K420" s="24">
        <v>0.2944</v>
      </c>
      <c r="L420" s="33">
        <f>VLOOKUP(Table20[[#This Row],[Strategy]],Table29[#All],6,FALSE)</f>
        <v>-1</v>
      </c>
      <c r="M420" s="23">
        <v>7</v>
      </c>
      <c r="N420" s="23">
        <v>2.4500000000000002</v>
      </c>
      <c r="O420" s="23"/>
      <c r="P420" s="23"/>
      <c r="Q420">
        <f>Table20[[#This Row],[Exit1]]*Table20[[#This Row],[ex1_price]]</f>
        <v>17.150000000000002</v>
      </c>
      <c r="R420">
        <f>Table20[[#This Row],[Exit2]]*Table20[[#This Row],[ex2_price]]</f>
        <v>0</v>
      </c>
      <c r="S420">
        <f>IFERROR((Table20[[#This Row],[ex2_amnt]]+Table20[[#This Row],[ex1_amnt]])/(Table20[[#This Row],[Exit2]]+Table20[[#This Row],[Exit1]]),0)</f>
        <v>2.4500000000000002</v>
      </c>
      <c r="T420" s="5">
        <f>(Table20[[#This Row],[Exit1]]+Table20[[#This Row],[Exit2]])*(Table20[[#This Row],[avg_exit_price]]-Table20[[#This Row],[AvePrice]])*100*Table20[[#This Row],[Buy or Sell]]</f>
        <v>-1043.0000000000002</v>
      </c>
      <c r="U420" s="5">
        <f>Table20[[#This Row],[Number of options]]*Table20[[#This Row],[AvePrice]]*100*Table20[[#This Row],[Buy or Sell]]</f>
        <v>-672</v>
      </c>
      <c r="V420" s="8">
        <f>Table20[[#This Row],[Number of options]]-Table20[[#This Row],[Exit1]]-Table20[[#This Row],[Exit2]]</f>
        <v>0</v>
      </c>
      <c r="W420" s="30">
        <f ca="1">(Table20[[#This Row],[Expiration Date]]-TODAY())/365</f>
        <v>-1.6438356164383561</v>
      </c>
      <c r="X420" s="30" t="e">
        <f ca="1">(LN(Table20[[#This Row],[Current Price]]/Table20[[#This Row],[strike_price]]) + ($B$2 + (Table20[[#This Row],[Vol]]^2)/2)*Table20[[#This Row],[Time to expiration]]) / (Table20[[#This Row],[Vol]] * SQRT(Table20[[#This Row],[Time to expiration]]))</f>
        <v>#NUM!</v>
      </c>
      <c r="Y420" s="30" t="e">
        <f ca="1">IF(Table20[[#This Row],[Direction]]&gt;0, _xlfn.NORM.S.DIST(Table20[[#This Row],[d1]], TRUE), _xlfn.NORM.S.DIST(Table20[[#This Row],[d1]], TRUE) - 1) * Table20[[#This Row],[Buy or Sell]]</f>
        <v>#NUM!</v>
      </c>
      <c r="Z420" s="9">
        <f ca="1">Table20[[#This Row],[Remaining]]*Table20[[#This Row],[Current Price]]*100</f>
        <v>0</v>
      </c>
      <c r="AA420" s="22">
        <f ca="1">IFERROR(Table20[[#This Row],[nominal_exposure]]*Table20[[#This Row],[Delta]],0)</f>
        <v>0</v>
      </c>
      <c r="AB420" s="30" t="b">
        <f>IF(Table20[[#This Row],[date_purchased]]&lt;&gt;Table20[[#This Row],[Expiration Date]],FALSE,TRUE)</f>
        <v>0</v>
      </c>
      <c r="AC420" s="30" t="str">
        <f>VLOOKUP(Table20[[#This Row],[Asset]],Table19[#All],3,FALSE)</f>
        <v>Market</v>
      </c>
      <c r="AD420" s="4">
        <f>IF(Table20[[#This Row],[Remaining]]&lt;&gt;0,Table20[[#This Row],[Invested]]*Table20[[#This Row],[Remaining]]/Table20[[#This Row],[Number of options]],0)</f>
        <v>0</v>
      </c>
      <c r="AE420" s="30">
        <f ca="1">SUMIF(Table20[Ticker],Table20[[#This Row],[Ticker]],Table20[realized_profit])</f>
        <v>-5077</v>
      </c>
      <c r="AF420" s="30" t="str">
        <f>VLOOKUP(Table20[[#This Row],[Strategy]],Table29[#All],7,FALSE)</f>
        <v>Bearish</v>
      </c>
    </row>
    <row r="421" spans="1:32" hidden="1">
      <c r="A421" s="35">
        <v>45506</v>
      </c>
      <c r="B421" s="21" t="e" vm="96">
        <v>#VALUE!</v>
      </c>
      <c r="C421" s="109" t="str" cm="1">
        <f t="array" aca="1" ref="C421" ca="1">_FV(Table20[[#This Row],[Asset]],"Ticker symbol",TRUE)</f>
        <v>SPY</v>
      </c>
      <c r="D421" s="26" cm="1">
        <f t="array" aca="1" ref="D421" ca="1">_FV(Table20[[#This Row],[Asset]],"Price")</f>
        <v>658.59</v>
      </c>
      <c r="E421" s="26">
        <v>550</v>
      </c>
      <c r="F421" s="33">
        <v>1</v>
      </c>
      <c r="G421" s="34">
        <v>1</v>
      </c>
      <c r="H421" s="111" t="s">
        <v>65</v>
      </c>
      <c r="I421" s="31">
        <v>45496</v>
      </c>
      <c r="J421" s="26">
        <v>3.22</v>
      </c>
      <c r="K421" s="24">
        <v>0.14369999999999999</v>
      </c>
      <c r="L421" s="33">
        <f>VLOOKUP(Table20[[#This Row],[Strategy]],Table29[#All],6,FALSE)</f>
        <v>-1</v>
      </c>
      <c r="M421" s="23">
        <v>1</v>
      </c>
      <c r="N421" s="23">
        <v>5.07</v>
      </c>
      <c r="O421" s="23"/>
      <c r="P421" s="23"/>
      <c r="Q421">
        <f>Table20[[#This Row],[Exit1]]*Table20[[#This Row],[ex1_price]]</f>
        <v>5.07</v>
      </c>
      <c r="R421">
        <f>Table20[[#This Row],[Exit2]]*Table20[[#This Row],[ex2_price]]</f>
        <v>0</v>
      </c>
      <c r="S421">
        <f>IFERROR((Table20[[#This Row],[ex2_amnt]]+Table20[[#This Row],[ex1_amnt]])/(Table20[[#This Row],[Exit2]]+Table20[[#This Row],[Exit1]]),0)</f>
        <v>5.07</v>
      </c>
      <c r="T421" s="5">
        <f>(Table20[[#This Row],[Exit1]]+Table20[[#This Row],[Exit2]])*(Table20[[#This Row],[avg_exit_price]]-Table20[[#This Row],[AvePrice]])*100*Table20[[#This Row],[Buy or Sell]]</f>
        <v>185</v>
      </c>
      <c r="U421" s="5">
        <f>Table20[[#This Row],[Number of options]]*Table20[[#This Row],[AvePrice]]*100*Table20[[#This Row],[Buy or Sell]]</f>
        <v>322</v>
      </c>
      <c r="V421" s="8">
        <f>Table20[[#This Row],[Number of options]]-Table20[[#This Row],[Exit1]]-Table20[[#This Row],[Exit2]]</f>
        <v>0</v>
      </c>
      <c r="W421" s="30">
        <f ca="1">(Table20[[#This Row],[Expiration Date]]-TODAY())/365</f>
        <v>-1.6465753424657534</v>
      </c>
      <c r="X421" s="30" t="e">
        <f ca="1">(LN(Table20[[#This Row],[Current Price]]/Table20[[#This Row],[strike_price]]) + ($B$2 + (Table20[[#This Row],[Vol]]^2)/2)*Table20[[#This Row],[Time to expiration]]) / (Table20[[#This Row],[Vol]] * SQRT(Table20[[#This Row],[Time to expiration]]))</f>
        <v>#NUM!</v>
      </c>
      <c r="Y421" s="30" t="e">
        <f ca="1">IF(Table20[[#This Row],[Direction]]&gt;0, _xlfn.NORM.S.DIST(Table20[[#This Row],[d1]], TRUE), _xlfn.NORM.S.DIST(Table20[[#This Row],[d1]], TRUE) - 1) * Table20[[#This Row],[Buy or Sell]]</f>
        <v>#NUM!</v>
      </c>
      <c r="Z421" s="9">
        <f ca="1">Table20[[#This Row],[Remaining]]*Table20[[#This Row],[Current Price]]*100</f>
        <v>0</v>
      </c>
      <c r="AA421" s="22">
        <f ca="1">IFERROR(Table20[[#This Row],[nominal_exposure]]*Table20[[#This Row],[Delta]],0)</f>
        <v>0</v>
      </c>
      <c r="AB421" s="30" t="b">
        <f>IF(Table20[[#This Row],[date_purchased]]&lt;&gt;Table20[[#This Row],[Expiration Date]],FALSE,TRUE)</f>
        <v>0</v>
      </c>
      <c r="AC421" s="30" t="str">
        <f>VLOOKUP(Table20[[#This Row],[Asset]],Table19[#All],3,FALSE)</f>
        <v>Market</v>
      </c>
      <c r="AD421" s="30">
        <f>IF(Table20[[#This Row],[Remaining]]&lt;&gt;0,Table20[[#This Row],[Invested]]*Table20[[#This Row],[Remaining]]/Table20[[#This Row],[Number of options]],0)</f>
        <v>0</v>
      </c>
      <c r="AE421" s="30">
        <f ca="1">SUMIF(Table20[Ticker],Table20[[#This Row],[Ticker]],Table20[realized_profit])</f>
        <v>-5077</v>
      </c>
      <c r="AF421" s="30" t="str">
        <f>VLOOKUP(Table20[[#This Row],[Strategy]],Table29[#All],7,FALSE)</f>
        <v>Bearish</v>
      </c>
    </row>
    <row r="422" spans="1:32" hidden="1">
      <c r="A422" s="35">
        <v>45506</v>
      </c>
      <c r="B422" s="21" t="e" vm="96">
        <v>#VALUE!</v>
      </c>
      <c r="C422" s="109" t="str" cm="1">
        <f t="array" aca="1" ref="C422" ca="1">_FV(Table20[[#This Row],[Asset]],"Ticker symbol",TRUE)</f>
        <v>SPY</v>
      </c>
      <c r="D422" s="26" cm="1">
        <f t="array" aca="1" ref="D422" ca="1">_FV(Table20[[#This Row],[Asset]],"Price")</f>
        <v>658.59</v>
      </c>
      <c r="E422" s="26">
        <v>540</v>
      </c>
      <c r="F422" s="33">
        <v>2</v>
      </c>
      <c r="G422" s="34">
        <v>1</v>
      </c>
      <c r="H422" s="113" t="s">
        <v>65</v>
      </c>
      <c r="I422" s="31">
        <v>45497</v>
      </c>
      <c r="J422" s="26">
        <v>2.4700000000000002</v>
      </c>
      <c r="K422" s="24">
        <v>0.16039999999999999</v>
      </c>
      <c r="L422" s="33">
        <f>VLOOKUP(Table20[[#This Row],[Strategy]],Table29[#All],6,FALSE)</f>
        <v>-1</v>
      </c>
      <c r="M422" s="23">
        <v>2</v>
      </c>
      <c r="N422" s="23">
        <v>3.19</v>
      </c>
      <c r="O422" s="23"/>
      <c r="P422" s="23"/>
      <c r="Q422">
        <f>Table20[[#This Row],[Exit1]]*Table20[[#This Row],[ex1_price]]</f>
        <v>6.38</v>
      </c>
      <c r="R422">
        <f>Table20[[#This Row],[Exit2]]*Table20[[#This Row],[ex2_price]]</f>
        <v>0</v>
      </c>
      <c r="S422">
        <f>IFERROR((Table20[[#This Row],[ex2_amnt]]+Table20[[#This Row],[ex1_amnt]])/(Table20[[#This Row],[Exit2]]+Table20[[#This Row],[Exit1]]),0)</f>
        <v>3.19</v>
      </c>
      <c r="T422" s="5">
        <f>(Table20[[#This Row],[Exit1]]+Table20[[#This Row],[Exit2]])*(Table20[[#This Row],[avg_exit_price]]-Table20[[#This Row],[AvePrice]])*100*Table20[[#This Row],[Buy or Sell]]</f>
        <v>143.99999999999994</v>
      </c>
      <c r="U422" s="5">
        <f>Table20[[#This Row],[Number of options]]*Table20[[#This Row],[AvePrice]]*100*Table20[[#This Row],[Buy or Sell]]</f>
        <v>494.00000000000006</v>
      </c>
      <c r="V422" s="8">
        <f>Table20[[#This Row],[Number of options]]-Table20[[#This Row],[Exit1]]-Table20[[#This Row],[Exit2]]</f>
        <v>0</v>
      </c>
      <c r="W422" s="30">
        <f ca="1">(Table20[[#This Row],[Expiration Date]]-TODAY())/365</f>
        <v>-1.6465753424657534</v>
      </c>
      <c r="X422" s="30" t="e">
        <f ca="1">(LN(Table20[[#This Row],[Current Price]]/Table20[[#This Row],[strike_price]]) + ($B$2 + (Table20[[#This Row],[Vol]]^2)/2)*Table20[[#This Row],[Time to expiration]]) / (Table20[[#This Row],[Vol]] * SQRT(Table20[[#This Row],[Time to expiration]]))</f>
        <v>#NUM!</v>
      </c>
      <c r="Y422" s="30" t="e">
        <f ca="1">IF(Table20[[#This Row],[Direction]]&gt;0, _xlfn.NORM.S.DIST(Table20[[#This Row],[d1]], TRUE), _xlfn.NORM.S.DIST(Table20[[#This Row],[d1]], TRUE) - 1) * Table20[[#This Row],[Buy or Sell]]</f>
        <v>#NUM!</v>
      </c>
      <c r="Z422" s="9">
        <f ca="1">Table20[[#This Row],[Remaining]]*Table20[[#This Row],[Current Price]]*100</f>
        <v>0</v>
      </c>
      <c r="AA422" s="22">
        <f ca="1">IFERROR(Table20[[#This Row],[nominal_exposure]]*Table20[[#This Row],[Delta]],0)</f>
        <v>0</v>
      </c>
      <c r="AB422" s="30" t="b">
        <f>IF(Table20[[#This Row],[date_purchased]]&lt;&gt;Table20[[#This Row],[Expiration Date]],FALSE,TRUE)</f>
        <v>0</v>
      </c>
      <c r="AC422" s="30" t="str">
        <f>VLOOKUP(Table20[[#This Row],[Asset]],Table19[#All],3,FALSE)</f>
        <v>Market</v>
      </c>
      <c r="AD422" s="30">
        <f>IF(Table20[[#This Row],[Remaining]]&lt;&gt;0,Table20[[#This Row],[Invested]]*Table20[[#This Row],[Remaining]]/Table20[[#This Row],[Number of options]],0)</f>
        <v>0</v>
      </c>
      <c r="AE422" s="30">
        <f ca="1">SUMIF(Table20[Ticker],Table20[[#This Row],[Ticker]],Table20[realized_profit])</f>
        <v>-5077</v>
      </c>
      <c r="AF422" s="30" t="str">
        <f>VLOOKUP(Table20[[#This Row],[Strategy]],Table29[#All],7,FALSE)</f>
        <v>Bearish</v>
      </c>
    </row>
    <row r="423" spans="1:32" hidden="1">
      <c r="A423" s="35">
        <v>45499</v>
      </c>
      <c r="B423" s="21" t="e" vm="96">
        <v>#VALUE!</v>
      </c>
      <c r="C423" s="109" t="str" cm="1">
        <f t="array" aca="1" ref="C423" ca="1">_FV(Table20[[#This Row],[Asset]],"Ticker symbol",TRUE)</f>
        <v>SPY</v>
      </c>
      <c r="D423" s="26" cm="1">
        <f t="array" aca="1" ref="D423" ca="1">_FV(Table20[[#This Row],[Asset]],"Price")</f>
        <v>658.59</v>
      </c>
      <c r="E423" s="26">
        <v>540</v>
      </c>
      <c r="F423" s="33">
        <v>2</v>
      </c>
      <c r="G423" s="34">
        <v>1</v>
      </c>
      <c r="H423" s="34" t="s">
        <v>65</v>
      </c>
      <c r="I423" s="31">
        <v>45498</v>
      </c>
      <c r="J423" s="26">
        <v>1.085</v>
      </c>
      <c r="K423" s="24">
        <v>0.35339999999999999</v>
      </c>
      <c r="L423" s="33">
        <f>VLOOKUP(Table20[[#This Row],[Strategy]],Table29[#All],6,FALSE)</f>
        <v>-1</v>
      </c>
      <c r="M423" s="23">
        <v>2</v>
      </c>
      <c r="N423" s="23">
        <v>0.37</v>
      </c>
      <c r="O423" s="23"/>
      <c r="P423" s="23"/>
      <c r="Q423">
        <f>Table20[[#This Row],[Exit1]]*Table20[[#This Row],[ex1_price]]</f>
        <v>0.74</v>
      </c>
      <c r="R423">
        <f>Table20[[#This Row],[Exit2]]*Table20[[#This Row],[ex2_price]]</f>
        <v>0</v>
      </c>
      <c r="S423">
        <f>IFERROR((Table20[[#This Row],[ex2_amnt]]+Table20[[#This Row],[ex1_amnt]])/(Table20[[#This Row],[Exit2]]+Table20[[#This Row],[Exit1]]),0)</f>
        <v>0.37</v>
      </c>
      <c r="T423" s="5">
        <f>(Table20[[#This Row],[Exit1]]+Table20[[#This Row],[Exit2]])*(Table20[[#This Row],[avg_exit_price]]-Table20[[#This Row],[AvePrice]])*100*Table20[[#This Row],[Buy or Sell]]</f>
        <v>-143</v>
      </c>
      <c r="U423" s="5">
        <f>Table20[[#This Row],[Number of options]]*Table20[[#This Row],[AvePrice]]*100*Table20[[#This Row],[Buy or Sell]]</f>
        <v>217</v>
      </c>
      <c r="V423" s="8">
        <f>Table20[[#This Row],[Number of options]]-Table20[[#This Row],[Exit1]]-Table20[[#This Row],[Exit2]]</f>
        <v>0</v>
      </c>
      <c r="W423" s="30">
        <f ca="1">(Table20[[#This Row],[Expiration Date]]-TODAY())/365</f>
        <v>-1.6657534246575343</v>
      </c>
      <c r="X423" s="30" t="e">
        <f ca="1">(LN(Table20[[#This Row],[Current Price]]/Table20[[#This Row],[strike_price]]) + ($B$2 + (Table20[[#This Row],[Vol]]^2)/2)*Table20[[#This Row],[Time to expiration]]) / (Table20[[#This Row],[Vol]] * SQRT(Table20[[#This Row],[Time to expiration]]))</f>
        <v>#NUM!</v>
      </c>
      <c r="Y423" s="30" t="e">
        <f ca="1">IF(Table20[[#This Row],[Direction]]&gt;0, _xlfn.NORM.S.DIST(Table20[[#This Row],[d1]], TRUE), _xlfn.NORM.S.DIST(Table20[[#This Row],[d1]], TRUE) - 1) * Table20[[#This Row],[Buy or Sell]]</f>
        <v>#NUM!</v>
      </c>
      <c r="Z423" s="9">
        <f ca="1">Table20[[#This Row],[Remaining]]*Table20[[#This Row],[Current Price]]*100</f>
        <v>0</v>
      </c>
      <c r="AA423" s="22">
        <f ca="1">IFERROR(Table20[[#This Row],[nominal_exposure]]*Table20[[#This Row],[Delta]],0)</f>
        <v>0</v>
      </c>
      <c r="AB423" s="30" t="b">
        <f>IF(Table20[[#This Row],[date_purchased]]&lt;&gt;Table20[[#This Row],[Expiration Date]],FALSE,TRUE)</f>
        <v>0</v>
      </c>
      <c r="AC423" s="30" t="str">
        <f>VLOOKUP(Table20[[#This Row],[Asset]],Table19[#All],3,FALSE)</f>
        <v>Market</v>
      </c>
      <c r="AD423" s="30">
        <f>IF(Table20[[#This Row],[Remaining]]&lt;&gt;0,Table20[[#This Row],[Invested]]*Table20[[#This Row],[Remaining]]/Table20[[#This Row],[Number of options]],0)</f>
        <v>0</v>
      </c>
      <c r="AE423" s="30">
        <f ca="1">SUMIF(Table20[Ticker],Table20[[#This Row],[Ticker]],Table20[realized_profit])</f>
        <v>-5077</v>
      </c>
      <c r="AF423" s="30" t="str">
        <f>VLOOKUP(Table20[[#This Row],[Strategy]],Table29[#All],7,FALSE)</f>
        <v>Bearish</v>
      </c>
    </row>
    <row r="424" spans="1:32" hidden="1">
      <c r="A424" s="180">
        <v>45618</v>
      </c>
      <c r="B424" s="21" t="e" vm="313">
        <v>#VALUE!</v>
      </c>
      <c r="C424" s="109" t="str" cm="1">
        <f t="array" aca="1" ref="C424" ca="1">_FV(Table20[[#This Row],[Asset]],"Ticker symbol",TRUE)</f>
        <v>APLD</v>
      </c>
      <c r="D424" s="26" cm="1">
        <f t="array" aca="1" ref="D424" ca="1">_FV(Table20[[#This Row],[Asset]],"Price")</f>
        <v>28.18</v>
      </c>
      <c r="E424" s="26">
        <v>10</v>
      </c>
      <c r="F424" s="33">
        <v>5</v>
      </c>
      <c r="G424" s="34">
        <v>1</v>
      </c>
      <c r="H424" s="34" t="s">
        <v>113</v>
      </c>
      <c r="I424" s="31">
        <v>45594</v>
      </c>
      <c r="J424" s="26">
        <v>0.39</v>
      </c>
      <c r="K424" s="24"/>
      <c r="L424" s="33">
        <f>VLOOKUP(Table20[[#This Row],[Strategy]],Table29[#All],6,FALSE)</f>
        <v>1</v>
      </c>
      <c r="M424" s="23">
        <v>5</v>
      </c>
      <c r="N424" s="23">
        <v>0</v>
      </c>
      <c r="O424" s="23"/>
      <c r="P424" s="23"/>
      <c r="Q424">
        <f>Table20[[#This Row],[Exit1]]*Table20[[#This Row],[ex1_price]]</f>
        <v>0</v>
      </c>
      <c r="R424">
        <f>Table20[[#This Row],[Exit2]]*Table20[[#This Row],[ex2_price]]</f>
        <v>0</v>
      </c>
      <c r="S424">
        <f>IFERROR((Table20[[#This Row],[ex2_amnt]]+Table20[[#This Row],[ex1_amnt]])/(Table20[[#This Row],[Exit2]]+Table20[[#This Row],[Exit1]]),0)</f>
        <v>0</v>
      </c>
      <c r="T424" s="5">
        <f>(Table20[[#This Row],[Exit1]]+Table20[[#This Row],[Exit2]])*(Table20[[#This Row],[avg_exit_price]]-Table20[[#This Row],[AvePrice]])*100*Table20[[#This Row],[Buy or Sell]]</f>
        <v>-195.00000000000003</v>
      </c>
      <c r="U424" s="5">
        <f>Table20[[#This Row],[Number of options]]*Table20[[#This Row],[AvePrice]]*100*Table20[[#This Row],[Buy or Sell]]</f>
        <v>195.00000000000003</v>
      </c>
      <c r="V424" s="8">
        <f>Table20[[#This Row],[Number of options]]-Table20[[#This Row],[Exit1]]-Table20[[#This Row],[Exit2]]</f>
        <v>0</v>
      </c>
      <c r="W424" s="30">
        <f ca="1">(Table20[[#This Row],[Expiration Date]]-TODAY())/365</f>
        <v>-1.3397260273972602</v>
      </c>
      <c r="X424" s="30" t="e">
        <f ca="1">(LN(Table20[[#This Row],[Current Price]]/Table20[[#This Row],[strike_price]]) + ($B$2 + (Table20[[#This Row],[Vol]]^2)/2)*Table20[[#This Row],[Time to expiration]]) / (Table20[[#This Row],[Vol]] * SQRT(Table20[[#This Row],[Time to expiration]]))</f>
        <v>#NUM!</v>
      </c>
      <c r="Y424" s="30" t="e">
        <f ca="1">IF(Table20[[#This Row],[Direction]]&gt;0, _xlfn.NORM.S.DIST(Table20[[#This Row],[d1]], TRUE), _xlfn.NORM.S.DIST(Table20[[#This Row],[d1]], TRUE) - 1) * Table20[[#This Row],[Buy or Sell]]</f>
        <v>#NUM!</v>
      </c>
      <c r="Z424" s="9">
        <f ca="1">Table20[[#This Row],[Remaining]]*Table20[[#This Row],[Current Price]]*100</f>
        <v>0</v>
      </c>
      <c r="AA424" s="22">
        <f ca="1">IFERROR(Table20[[#This Row],[nominal_exposure]]*Table20[[#This Row],[Delta]],0)</f>
        <v>0</v>
      </c>
      <c r="AB424" s="30" t="b">
        <f>IF(Table20[[#This Row],[date_purchased]]&lt;&gt;Table20[[#This Row],[Expiration Date]],FALSE,TRUE)</f>
        <v>0</v>
      </c>
      <c r="AC424" s="30" t="str">
        <f>VLOOKUP(Table20[[#This Row],[Asset]],Table19[#All],3,FALSE)</f>
        <v>Bitcoin mining</v>
      </c>
      <c r="AD424" s="30">
        <f>IF(Table20[[#This Row],[Remaining]]&lt;&gt;0,Table20[[#This Row],[Invested]]*Table20[[#This Row],[Remaining]]/Table20[[#This Row],[Number of options]],0)</f>
        <v>0</v>
      </c>
      <c r="AE424" s="30">
        <f ca="1">SUMIF(Table20[Ticker],Table20[[#This Row],[Ticker]],Table20[realized_profit])</f>
        <v>-195.00000000000003</v>
      </c>
      <c r="AF424" s="30" t="str">
        <f>VLOOKUP(Table20[[#This Row],[Strategy]],Table29[#All],7,FALSE)</f>
        <v>Bullish</v>
      </c>
    </row>
    <row r="425" spans="1:32" hidden="1">
      <c r="A425" s="180">
        <v>45674</v>
      </c>
      <c r="B425" s="21" t="e" vm="82">
        <v>#VALUE!</v>
      </c>
      <c r="C425" s="109" t="str" cm="1">
        <f t="array" aca="1" ref="C425" ca="1">_FV(Table20[[#This Row],[Asset]],"Ticker symbol",TRUE)</f>
        <v>XYZ</v>
      </c>
      <c r="D425" s="26" cm="1">
        <f t="array" aca="1" ref="D425" ca="1">_FV(Table20[[#This Row],[Asset]],"Price")</f>
        <v>61.17</v>
      </c>
      <c r="E425" s="26">
        <v>90</v>
      </c>
      <c r="F425" s="33">
        <v>1</v>
      </c>
      <c r="G425" s="34">
        <v>1</v>
      </c>
      <c r="H425" s="34" t="s">
        <v>113</v>
      </c>
      <c r="I425" s="31">
        <v>45610</v>
      </c>
      <c r="J425" s="26">
        <v>3.8</v>
      </c>
      <c r="K425" s="24">
        <v>0.4027</v>
      </c>
      <c r="L425" s="33">
        <f>VLOOKUP(Table20[[#This Row],[Strategy]],Table29[#All],6,FALSE)</f>
        <v>1</v>
      </c>
      <c r="M425" s="23">
        <v>1</v>
      </c>
      <c r="N425" s="23">
        <v>4.0999999999999996</v>
      </c>
      <c r="O425" s="23"/>
      <c r="P425" s="23"/>
      <c r="Q425">
        <f>Table20[[#This Row],[Exit1]]*Table20[[#This Row],[ex1_price]]</f>
        <v>4.0999999999999996</v>
      </c>
      <c r="R425">
        <f>Table20[[#This Row],[Exit2]]*Table20[[#This Row],[ex2_price]]</f>
        <v>0</v>
      </c>
      <c r="S425">
        <f>IFERROR((Table20[[#This Row],[ex2_amnt]]+Table20[[#This Row],[ex1_amnt]])/(Table20[[#This Row],[Exit2]]+Table20[[#This Row],[Exit1]]),0)</f>
        <v>4.0999999999999996</v>
      </c>
      <c r="T425" s="5">
        <f>(Table20[[#This Row],[Exit1]]+Table20[[#This Row],[Exit2]])*(Table20[[#This Row],[avg_exit_price]]-Table20[[#This Row],[AvePrice]])*100*Table20[[#This Row],[Buy or Sell]]</f>
        <v>29.999999999999982</v>
      </c>
      <c r="U425" s="5">
        <f>Table20[[#This Row],[Number of options]]*Table20[[#This Row],[AvePrice]]*100*Table20[[#This Row],[Buy or Sell]]</f>
        <v>380</v>
      </c>
      <c r="V425" s="8">
        <f>Table20[[#This Row],[Number of options]]-Table20[[#This Row],[Exit1]]-Table20[[#This Row],[Exit2]]</f>
        <v>0</v>
      </c>
      <c r="W425" s="30">
        <f ca="1">(Table20[[#This Row],[Expiration Date]]-TODAY())/365</f>
        <v>-1.1863013698630136</v>
      </c>
      <c r="X425" s="30" t="e">
        <f ca="1">(LN(Table20[[#This Row],[Current Price]]/Table20[[#This Row],[strike_price]]) + ($B$2 + (Table20[[#This Row],[Vol]]^2)/2)*Table20[[#This Row],[Time to expiration]]) / (Table20[[#This Row],[Vol]] * SQRT(Table20[[#This Row],[Time to expiration]]))</f>
        <v>#NUM!</v>
      </c>
      <c r="Y425" s="30" t="e">
        <f ca="1">IF(Table20[[#This Row],[Direction]]&gt;0, _xlfn.NORM.S.DIST(Table20[[#This Row],[d1]], TRUE), _xlfn.NORM.S.DIST(Table20[[#This Row],[d1]], TRUE) - 1) * Table20[[#This Row],[Buy or Sell]]</f>
        <v>#NUM!</v>
      </c>
      <c r="Z425" s="9">
        <f ca="1">Table20[[#This Row],[Remaining]]*Table20[[#This Row],[Current Price]]*100</f>
        <v>0</v>
      </c>
      <c r="AA425" s="22">
        <f ca="1">IFERROR(Table20[[#This Row],[nominal_exposure]]*Table20[[#This Row],[Delta]],0)</f>
        <v>0</v>
      </c>
      <c r="AB425" s="30" t="b">
        <f>IF(Table20[[#This Row],[date_purchased]]&lt;&gt;Table20[[#This Row],[Expiration Date]],FALSE,TRUE)</f>
        <v>0</v>
      </c>
      <c r="AC425" s="30" t="str">
        <f>VLOOKUP(Table20[[#This Row],[Asset]],Table19[#All],3,FALSE)</f>
        <v>Financials</v>
      </c>
      <c r="AD425" s="30">
        <f>IF(Table20[[#This Row],[Remaining]]&lt;&gt;0,Table20[[#This Row],[Invested]]*Table20[[#This Row],[Remaining]]/Table20[[#This Row],[Number of options]],0)</f>
        <v>0</v>
      </c>
      <c r="AE425" s="30">
        <f ca="1">SUMIF(Table20[Ticker],Table20[[#This Row],[Ticker]],Table20[realized_profit])</f>
        <v>-729</v>
      </c>
      <c r="AF425" s="30" t="str">
        <f>VLOOKUP(Table20[[#This Row],[Strategy]],Table29[#All],7,FALSE)</f>
        <v>Bullish</v>
      </c>
    </row>
    <row r="426" spans="1:32" hidden="1">
      <c r="A426" s="35">
        <v>45499</v>
      </c>
      <c r="B426" s="21" t="e" vm="96">
        <v>#VALUE!</v>
      </c>
      <c r="C426" s="109" t="str" cm="1">
        <f t="array" aca="1" ref="C426" ca="1">_FV(Table20[[#This Row],[Asset]],"Ticker symbol",TRUE)</f>
        <v>SPY</v>
      </c>
      <c r="D426" s="26" cm="1">
        <f t="array" aca="1" ref="D426" ca="1">_FV(Table20[[#This Row],[Asset]],"Price")</f>
        <v>658.59</v>
      </c>
      <c r="E426" s="26">
        <v>550</v>
      </c>
      <c r="F426" s="33">
        <v>3</v>
      </c>
      <c r="G426" s="34">
        <v>1</v>
      </c>
      <c r="H426" s="21" t="s">
        <v>113</v>
      </c>
      <c r="I426" s="31">
        <v>45492</v>
      </c>
      <c r="J426" s="26">
        <v>3.71</v>
      </c>
      <c r="K426" s="24">
        <v>0.17</v>
      </c>
      <c r="L426" s="33">
        <f>VLOOKUP(Table20[[#This Row],[Strategy]],Table29[#All],6,FALSE)</f>
        <v>1</v>
      </c>
      <c r="M426" s="23">
        <v>3</v>
      </c>
      <c r="N426" s="23">
        <v>5.42</v>
      </c>
      <c r="O426" s="23"/>
      <c r="P426" s="23"/>
      <c r="Q426">
        <f>Table20[[#This Row],[Exit1]]*Table20[[#This Row],[ex1_price]]</f>
        <v>16.259999999999998</v>
      </c>
      <c r="R426">
        <f>Table20[[#This Row],[Exit2]]*Table20[[#This Row],[ex2_price]]</f>
        <v>0</v>
      </c>
      <c r="S426">
        <f>IFERROR((Table20[[#This Row],[ex2_amnt]]+Table20[[#This Row],[ex1_amnt]])/(Table20[[#This Row],[Exit2]]+Table20[[#This Row],[Exit1]]),0)</f>
        <v>5.419999999999999</v>
      </c>
      <c r="T426" s="5">
        <f>(Table20[[#This Row],[Exit1]]+Table20[[#This Row],[Exit2]])*(Table20[[#This Row],[avg_exit_price]]-Table20[[#This Row],[AvePrice]])*100*Table20[[#This Row],[Buy or Sell]]</f>
        <v>512.99999999999977</v>
      </c>
      <c r="U426" s="5">
        <f>Table20[[#This Row],[Number of options]]*Table20[[#This Row],[AvePrice]]*100*Table20[[#This Row],[Buy or Sell]]</f>
        <v>1113</v>
      </c>
      <c r="V426" s="8">
        <f>Table20[[#This Row],[Number of options]]-Table20[[#This Row],[Exit1]]-Table20[[#This Row],[Exit2]]</f>
        <v>0</v>
      </c>
      <c r="W426" s="30">
        <f ca="1">(Table20[[#This Row],[Expiration Date]]-TODAY())/365</f>
        <v>-1.6657534246575343</v>
      </c>
      <c r="X426" s="30" t="e">
        <f ca="1">(LN(Table20[[#This Row],[Current Price]]/Table20[[#This Row],[strike_price]]) + ($B$2 + (Table20[[#This Row],[Vol]]^2)/2)*Table20[[#This Row],[Time to expiration]]) / (Table20[[#This Row],[Vol]] * SQRT(Table20[[#This Row],[Time to expiration]]))</f>
        <v>#NUM!</v>
      </c>
      <c r="Y426" s="30" t="e">
        <f ca="1">IF(Table20[[#This Row],[Direction]]&gt;0, _xlfn.NORM.S.DIST(Table20[[#This Row],[d1]], TRUE), _xlfn.NORM.S.DIST(Table20[[#This Row],[d1]], TRUE) - 1) * Table20[[#This Row],[Buy or Sell]]</f>
        <v>#NUM!</v>
      </c>
      <c r="Z426" s="9">
        <f ca="1">Table20[[#This Row],[Remaining]]*Table20[[#This Row],[Current Price]]*100</f>
        <v>0</v>
      </c>
      <c r="AA426" s="22">
        <f ca="1">IFERROR(Table20[[#This Row],[nominal_exposure]]*Table20[[#This Row],[Delta]],0)</f>
        <v>0</v>
      </c>
      <c r="AB426" s="95" t="b">
        <f>IF(Table20[[#This Row],[date_purchased]]&lt;&gt;Table20[[#This Row],[Expiration Date]],FALSE,TRUE)</f>
        <v>0</v>
      </c>
      <c r="AC426" s="30" t="str">
        <f>VLOOKUP(Table20[[#This Row],[Asset]],Table19[#All],3,FALSE)</f>
        <v>Market</v>
      </c>
      <c r="AD426" s="30">
        <f>IF(Table20[[#This Row],[Remaining]]&lt;&gt;0,Table20[[#This Row],[Invested]]*Table20[[#This Row],[Remaining]]/Table20[[#This Row],[Number of options]],0)</f>
        <v>0</v>
      </c>
      <c r="AE426" s="30">
        <f ca="1">SUMIF(Table20[Ticker],Table20[[#This Row],[Ticker]],Table20[realized_profit])</f>
        <v>-5077</v>
      </c>
      <c r="AF426" s="30" t="str">
        <f>VLOOKUP(Table20[[#This Row],[Strategy]],Table29[#All],7,FALSE)</f>
        <v>Bullish</v>
      </c>
    </row>
    <row r="427" spans="1:32" hidden="1">
      <c r="A427" s="180">
        <v>45702</v>
      </c>
      <c r="B427" s="21" t="e" vm="96">
        <v>#VALUE!</v>
      </c>
      <c r="C427" s="109" t="str" cm="1">
        <f t="array" aca="1" ref="C427" ca="1">_FV(Table20[[#This Row],[Asset]],"Ticker symbol",TRUE)</f>
        <v>SPY</v>
      </c>
      <c r="D427" s="26" cm="1">
        <f t="array" aca="1" ref="D427" ca="1">_FV(Table20[[#This Row],[Asset]],"Price")</f>
        <v>658.59</v>
      </c>
      <c r="E427" s="26">
        <v>590</v>
      </c>
      <c r="F427" s="33">
        <v>1</v>
      </c>
      <c r="G427" s="34">
        <v>1</v>
      </c>
      <c r="H427" s="34" t="s">
        <v>65</v>
      </c>
      <c r="I427" s="31">
        <v>45700</v>
      </c>
      <c r="J427" s="26">
        <v>2.2599999999999998</v>
      </c>
      <c r="K427" s="24"/>
      <c r="L427" s="33">
        <f>VLOOKUP(Table20[[#This Row],[Strategy]],Table29[#All],6,FALSE)</f>
        <v>-1</v>
      </c>
      <c r="M427" s="23">
        <v>1</v>
      </c>
      <c r="N427" s="23">
        <v>0.5</v>
      </c>
      <c r="O427" s="23"/>
      <c r="P427" s="23"/>
      <c r="Q427">
        <f>Table20[[#This Row],[Exit1]]*Table20[[#This Row],[ex1_price]]</f>
        <v>0.5</v>
      </c>
      <c r="R427">
        <f>Table20[[#This Row],[Exit2]]*Table20[[#This Row],[ex2_price]]</f>
        <v>0</v>
      </c>
      <c r="S427">
        <f>IFERROR((Table20[[#This Row],[ex2_amnt]]+Table20[[#This Row],[ex1_amnt]])/(Table20[[#This Row],[Exit2]]+Table20[[#This Row],[Exit1]]),0)</f>
        <v>0.5</v>
      </c>
      <c r="T427" s="5">
        <f>(Table20[[#This Row],[Exit1]]+Table20[[#This Row],[Exit2]])*(Table20[[#This Row],[avg_exit_price]]-Table20[[#This Row],[AvePrice]])*100*Table20[[#This Row],[Buy or Sell]]</f>
        <v>-175.99999999999997</v>
      </c>
      <c r="U427" s="5">
        <f>Table20[[#This Row],[Number of options]]*Table20[[#This Row],[AvePrice]]*100*Table20[[#This Row],[Buy or Sell]]</f>
        <v>225.99999999999997</v>
      </c>
      <c r="V427" s="8">
        <f>Table20[[#This Row],[Number of options]]-Table20[[#This Row],[Exit1]]-Table20[[#This Row],[Exit2]]</f>
        <v>0</v>
      </c>
      <c r="W427" s="30">
        <f ca="1">(Table20[[#This Row],[Expiration Date]]-TODAY())/365</f>
        <v>-1.1095890410958904</v>
      </c>
      <c r="X427" s="30" t="e">
        <f ca="1">(LN(Table20[[#This Row],[Current Price]]/Table20[[#This Row],[strike_price]]) + ($B$2 + (Table20[[#This Row],[Vol]]^2)/2)*Table20[[#This Row],[Time to expiration]]) / (Table20[[#This Row],[Vol]] * SQRT(Table20[[#This Row],[Time to expiration]]))</f>
        <v>#NUM!</v>
      </c>
      <c r="Y427" s="30" t="e">
        <f ca="1">IF(Table20[[#This Row],[Direction]]&gt;0, _xlfn.NORM.S.DIST(Table20[[#This Row],[d1]], TRUE), _xlfn.NORM.S.DIST(Table20[[#This Row],[d1]], TRUE) - 1) * Table20[[#This Row],[Buy or Sell]]</f>
        <v>#NUM!</v>
      </c>
      <c r="Z427" s="9">
        <f ca="1">Table20[[#This Row],[Remaining]]*Table20[[#This Row],[Current Price]]*100</f>
        <v>0</v>
      </c>
      <c r="AA427" s="22">
        <f ca="1">IFERROR(Table20[[#This Row],[nominal_exposure]]*Table20[[#This Row],[Delta]],0)</f>
        <v>0</v>
      </c>
      <c r="AB427" s="30" t="b">
        <f>IF(Table20[[#This Row],[date_purchased]]&lt;&gt;Table20[[#This Row],[Expiration Date]],FALSE,TRUE)</f>
        <v>0</v>
      </c>
      <c r="AC427" s="30" t="str">
        <f>VLOOKUP(Table20[[#This Row],[Asset]],Table19[#All],3,FALSE)</f>
        <v>Market</v>
      </c>
      <c r="AD427" s="30">
        <f>IF(Table20[[#This Row],[Remaining]]&lt;&gt;0,Table20[[#This Row],[Invested]]*Table20[[#This Row],[Remaining]]/Table20[[#This Row],[Number of options]],0)</f>
        <v>0</v>
      </c>
      <c r="AE427" s="30">
        <f ca="1">SUMIF(Table20[Ticker],Table20[[#This Row],[Ticker]],Table20[realized_profit])</f>
        <v>-5077</v>
      </c>
      <c r="AF427" s="30" t="str">
        <f>VLOOKUP(Table20[[#This Row],[Strategy]],Table29[#All],7,FALSE)</f>
        <v>Bearish</v>
      </c>
    </row>
    <row r="428" spans="1:32" hidden="1">
      <c r="A428" s="180">
        <v>45828</v>
      </c>
      <c r="B428" s="21" t="e" vm="21">
        <v>#VALUE!</v>
      </c>
      <c r="C428" s="109" t="str" cm="1">
        <f t="array" aca="1" ref="C428" ca="1">_FV(Table20[[#This Row],[Asset]],"Ticker symbol",TRUE)</f>
        <v>INTC</v>
      </c>
      <c r="D428" s="26" cm="1">
        <f t="array" aca="1" ref="D428" ca="1">_FV(Table20[[#This Row],[Asset]],"Price")</f>
        <v>47.290100000000002</v>
      </c>
      <c r="E428" s="26">
        <v>25</v>
      </c>
      <c r="F428" s="33">
        <v>4</v>
      </c>
      <c r="G428" s="34">
        <v>1</v>
      </c>
      <c r="H428" s="34" t="s">
        <v>113</v>
      </c>
      <c r="I428" s="31">
        <v>45552</v>
      </c>
      <c r="J428" s="26">
        <v>3.07</v>
      </c>
      <c r="K428" s="24">
        <v>0.5222</v>
      </c>
      <c r="L428" s="33">
        <f>VLOOKUP(Table20[[#This Row],[Strategy]],Table29[#All],6,FALSE)</f>
        <v>1</v>
      </c>
      <c r="M428" s="23">
        <v>4</v>
      </c>
      <c r="N428" s="23">
        <v>2</v>
      </c>
      <c r="O428" s="23"/>
      <c r="P428" s="23"/>
      <c r="Q428">
        <f>Table20[[#This Row],[Exit1]]*Table20[[#This Row],[ex1_price]]</f>
        <v>8</v>
      </c>
      <c r="R428">
        <f>Table20[[#This Row],[Exit2]]*Table20[[#This Row],[ex2_price]]</f>
        <v>0</v>
      </c>
      <c r="S428">
        <f>IFERROR((Table20[[#This Row],[ex2_amnt]]+Table20[[#This Row],[ex1_amnt]])/(Table20[[#This Row],[Exit2]]+Table20[[#This Row],[Exit1]]),0)</f>
        <v>2</v>
      </c>
      <c r="T428" s="5">
        <f>(Table20[[#This Row],[Exit1]]+Table20[[#This Row],[Exit2]])*(Table20[[#This Row],[avg_exit_price]]-Table20[[#This Row],[AvePrice]])*100*Table20[[#This Row],[Buy or Sell]]</f>
        <v>-427.99999999999994</v>
      </c>
      <c r="U428" s="5">
        <f>Table20[[#This Row],[Number of options]]*Table20[[#This Row],[AvePrice]]*100*Table20[[#This Row],[Buy or Sell]]</f>
        <v>1228</v>
      </c>
      <c r="V428" s="8">
        <f>Table20[[#This Row],[Number of options]]-Table20[[#This Row],[Exit1]]-Table20[[#This Row],[Exit2]]</f>
        <v>0</v>
      </c>
      <c r="W428" s="30">
        <f ca="1">(Table20[[#This Row],[Expiration Date]]-TODAY())/365</f>
        <v>-0.76438356164383559</v>
      </c>
      <c r="X428" s="30" t="e">
        <f ca="1">(LN(Table20[[#This Row],[Current Price]]/Table20[[#This Row],[strike_price]]) + ($B$2 + (Table20[[#This Row],[Vol]]^2)/2)*Table20[[#This Row],[Time to expiration]]) / (Table20[[#This Row],[Vol]] * SQRT(Table20[[#This Row],[Time to expiration]]))</f>
        <v>#NUM!</v>
      </c>
      <c r="Y428" s="30" t="e">
        <f ca="1">IF(Table20[[#This Row],[Direction]]&gt;0, _xlfn.NORM.S.DIST(Table20[[#This Row],[d1]], TRUE), _xlfn.NORM.S.DIST(Table20[[#This Row],[d1]], TRUE) - 1) * Table20[[#This Row],[Buy or Sell]]</f>
        <v>#NUM!</v>
      </c>
      <c r="Z428" s="9">
        <f ca="1">Table20[[#This Row],[Remaining]]*Table20[[#This Row],[Current Price]]*100</f>
        <v>0</v>
      </c>
      <c r="AA428" s="22">
        <f ca="1">IFERROR(Table20[[#This Row],[nominal_exposure]]*Table20[[#This Row],[Delta]],0)</f>
        <v>0</v>
      </c>
      <c r="AB428" s="30" t="b">
        <f>IF(Table20[[#This Row],[date_purchased]]&lt;&gt;Table20[[#This Row],[Expiration Date]],FALSE,TRUE)</f>
        <v>0</v>
      </c>
      <c r="AC428" s="30" t="str">
        <f>VLOOKUP(Table20[[#This Row],[Asset]],Table19[#All],3,FALSE)</f>
        <v>AI</v>
      </c>
      <c r="AD428" s="30">
        <f>IF(Table20[[#This Row],[Remaining]]&lt;&gt;0,Table20[[#This Row],[Invested]]*Table20[[#This Row],[Remaining]]/Table20[[#This Row],[Number of options]],0)</f>
        <v>0</v>
      </c>
      <c r="AE428" s="30">
        <f ca="1">SUMIF(Table20[Ticker],Table20[[#This Row],[Ticker]],Table20[realized_profit])</f>
        <v>4779</v>
      </c>
      <c r="AF428" s="30" t="str">
        <f>VLOOKUP(Table20[[#This Row],[Strategy]],Table29[#All],7,FALSE)</f>
        <v>Bullish</v>
      </c>
    </row>
    <row r="429" spans="1:32" hidden="1">
      <c r="A429" s="180">
        <v>45709</v>
      </c>
      <c r="B429" s="21" t="e" vm="110">
        <v>#VALUE!</v>
      </c>
      <c r="C429" s="109" t="str" cm="1">
        <f t="array" aca="1" ref="C429" ca="1">_FV(Table20[[#This Row],[Asset]],"Ticker symbol",TRUE)</f>
        <v>JPM</v>
      </c>
      <c r="D429" s="26" cm="1">
        <f t="array" aca="1" ref="D429" ca="1">_FV(Table20[[#This Row],[Asset]],"Price")</f>
        <v>295.33</v>
      </c>
      <c r="E429" s="26">
        <v>260</v>
      </c>
      <c r="F429" s="33">
        <v>6</v>
      </c>
      <c r="G429" s="34">
        <v>1</v>
      </c>
      <c r="H429" s="34" t="s">
        <v>65</v>
      </c>
      <c r="I429" s="31">
        <v>45679</v>
      </c>
      <c r="J429" s="26">
        <v>3.43</v>
      </c>
      <c r="K429" s="24">
        <v>0.191</v>
      </c>
      <c r="L429" s="33">
        <f>VLOOKUP(Table20[[#This Row],[Strategy]],Table29[#All],6,FALSE)</f>
        <v>-1</v>
      </c>
      <c r="M429" s="23">
        <v>3</v>
      </c>
      <c r="N429" s="23">
        <v>1.8</v>
      </c>
      <c r="O429" s="23">
        <v>3</v>
      </c>
      <c r="P429" s="23">
        <v>0.62</v>
      </c>
      <c r="Q429">
        <f>Table20[[#This Row],[Exit1]]*Table20[[#This Row],[ex1_price]]</f>
        <v>5.4</v>
      </c>
      <c r="R429">
        <f>Table20[[#This Row],[Exit2]]*Table20[[#This Row],[ex2_price]]</f>
        <v>1.8599999999999999</v>
      </c>
      <c r="S429">
        <f>IFERROR((Table20[[#This Row],[ex2_amnt]]+Table20[[#This Row],[ex1_amnt]])/(Table20[[#This Row],[Exit2]]+Table20[[#This Row],[Exit1]]),0)</f>
        <v>1.21</v>
      </c>
      <c r="T429" s="5">
        <f>(Table20[[#This Row],[Exit1]]+Table20[[#This Row],[Exit2]])*(Table20[[#This Row],[avg_exit_price]]-Table20[[#This Row],[AvePrice]])*100*Table20[[#This Row],[Buy or Sell]]</f>
        <v>-1332</v>
      </c>
      <c r="U429" s="5">
        <f>Table20[[#This Row],[Number of options]]*Table20[[#This Row],[AvePrice]]*100*Table20[[#This Row],[Buy or Sell]]</f>
        <v>2058</v>
      </c>
      <c r="V429" s="8">
        <f>Table20[[#This Row],[Number of options]]-Table20[[#This Row],[Exit1]]-Table20[[#This Row],[Exit2]]</f>
        <v>0</v>
      </c>
      <c r="W429" s="30">
        <f ca="1">(Table20[[#This Row],[Expiration Date]]-TODAY())/365</f>
        <v>-1.0904109589041096</v>
      </c>
      <c r="X429" s="30" t="e">
        <f ca="1">(LN(Table20[[#This Row],[Current Price]]/Table20[[#This Row],[strike_price]]) + ($B$2 + (Table20[[#This Row],[Vol]]^2)/2)*Table20[[#This Row],[Time to expiration]]) / (Table20[[#This Row],[Vol]] * SQRT(Table20[[#This Row],[Time to expiration]]))</f>
        <v>#NUM!</v>
      </c>
      <c r="Y429" s="30" t="e">
        <f ca="1">IF(Table20[[#This Row],[Direction]]&gt;0, _xlfn.NORM.S.DIST(Table20[[#This Row],[d1]], TRUE), _xlfn.NORM.S.DIST(Table20[[#This Row],[d1]], TRUE) - 1) * Table20[[#This Row],[Buy or Sell]]</f>
        <v>#NUM!</v>
      </c>
      <c r="Z429" s="9">
        <f ca="1">Table20[[#This Row],[Remaining]]*Table20[[#This Row],[Current Price]]*100</f>
        <v>0</v>
      </c>
      <c r="AA429" s="22">
        <f ca="1">IFERROR(Table20[[#This Row],[nominal_exposure]]*Table20[[#This Row],[Delta]],0)</f>
        <v>0</v>
      </c>
      <c r="AB429" s="30" t="b">
        <f>IF(Table20[[#This Row],[date_purchased]]&lt;&gt;Table20[[#This Row],[Expiration Date]],FALSE,TRUE)</f>
        <v>0</v>
      </c>
      <c r="AC429" s="30" t="str">
        <f>VLOOKUP(Table20[[#This Row],[Asset]],Table19[#All],3,FALSE)</f>
        <v>Financials</v>
      </c>
      <c r="AD429" s="30">
        <f>IF(Table20[[#This Row],[Remaining]]&lt;&gt;0,Table20[[#This Row],[Invested]]*Table20[[#This Row],[Remaining]]/Table20[[#This Row],[Number of options]],0)</f>
        <v>0</v>
      </c>
      <c r="AE429" s="30">
        <f ca="1">SUMIF(Table20[Ticker],Table20[[#This Row],[Ticker]],Table20[realized_profit])</f>
        <v>-1533</v>
      </c>
      <c r="AF429" s="30" t="str">
        <f>VLOOKUP(Table20[[#This Row],[Strategy]],Table29[#All],7,FALSE)</f>
        <v>Bearish</v>
      </c>
    </row>
    <row r="430" spans="1:32" hidden="1">
      <c r="A430" s="35">
        <v>45499</v>
      </c>
      <c r="B430" s="21" t="e" vm="96">
        <v>#VALUE!</v>
      </c>
      <c r="C430" s="109" t="str" cm="1">
        <f t="array" aca="1" ref="C430" ca="1">_FV(Table20[[#This Row],[Asset]],"Ticker symbol",TRUE)</f>
        <v>SPY</v>
      </c>
      <c r="D430" s="26" cm="1">
        <f t="array" aca="1" ref="D430" ca="1">_FV(Table20[[#This Row],[Asset]],"Price")</f>
        <v>658.59</v>
      </c>
      <c r="E430" s="26">
        <v>540</v>
      </c>
      <c r="F430" s="33">
        <v>1</v>
      </c>
      <c r="G430" s="34">
        <v>1</v>
      </c>
      <c r="H430" s="34" t="s">
        <v>65</v>
      </c>
      <c r="I430" s="31">
        <v>45498</v>
      </c>
      <c r="J430" s="26">
        <v>1.33</v>
      </c>
      <c r="K430" s="24"/>
      <c r="L430" s="33">
        <f>VLOOKUP(Table20[[#This Row],[Strategy]],Table29[#All],6,FALSE)</f>
        <v>-1</v>
      </c>
      <c r="M430" s="23">
        <v>1</v>
      </c>
      <c r="N430" s="23">
        <v>0.72</v>
      </c>
      <c r="O430" s="23"/>
      <c r="P430" s="23"/>
      <c r="Q430">
        <f>Table20[[#This Row],[Exit1]]*Table20[[#This Row],[ex1_price]]</f>
        <v>0.72</v>
      </c>
      <c r="R430">
        <f>Table20[[#This Row],[Exit2]]*Table20[[#This Row],[ex2_price]]</f>
        <v>0</v>
      </c>
      <c r="S430">
        <f>IFERROR((Table20[[#This Row],[ex2_amnt]]+Table20[[#This Row],[ex1_amnt]])/(Table20[[#This Row],[Exit2]]+Table20[[#This Row],[Exit1]]),0)</f>
        <v>0.72</v>
      </c>
      <c r="T430" s="5">
        <f>(Table20[[#This Row],[Exit1]]+Table20[[#This Row],[Exit2]])*(Table20[[#This Row],[avg_exit_price]]-Table20[[#This Row],[AvePrice]])*100*Table20[[#This Row],[Buy or Sell]]</f>
        <v>-61.000000000000007</v>
      </c>
      <c r="U430" s="5">
        <f>Table20[[#This Row],[Number of options]]*Table20[[#This Row],[AvePrice]]*100*Table20[[#This Row],[Buy or Sell]]</f>
        <v>133</v>
      </c>
      <c r="V430" s="8">
        <f>Table20[[#This Row],[Number of options]]-Table20[[#This Row],[Exit1]]-Table20[[#This Row],[Exit2]]</f>
        <v>0</v>
      </c>
      <c r="W430" s="30">
        <f ca="1">(Table20[[#This Row],[Expiration Date]]-TODAY())/365</f>
        <v>-1.6657534246575343</v>
      </c>
      <c r="X430" s="30" t="e">
        <f ca="1">(LN(Table20[[#This Row],[Current Price]]/Table20[[#This Row],[strike_price]]) + ($B$2 + (Table20[[#This Row],[Vol]]^2)/2)*Table20[[#This Row],[Time to expiration]]) / (Table20[[#This Row],[Vol]] * SQRT(Table20[[#This Row],[Time to expiration]]))</f>
        <v>#NUM!</v>
      </c>
      <c r="Y430" s="30" t="e">
        <f ca="1">IF(Table20[[#This Row],[Direction]]&gt;0, _xlfn.NORM.S.DIST(Table20[[#This Row],[d1]], TRUE), _xlfn.NORM.S.DIST(Table20[[#This Row],[d1]], TRUE) - 1) * Table20[[#This Row],[Buy or Sell]]</f>
        <v>#NUM!</v>
      </c>
      <c r="Z430" s="9">
        <f ca="1">Table20[[#This Row],[Remaining]]*Table20[[#This Row],[Current Price]]*100</f>
        <v>0</v>
      </c>
      <c r="AA430" s="22">
        <f ca="1">IFERROR(Table20[[#This Row],[nominal_exposure]]*Table20[[#This Row],[Delta]],0)</f>
        <v>0</v>
      </c>
      <c r="AB430" s="30" t="b">
        <f>IF(Table20[[#This Row],[date_purchased]]&lt;&gt;Table20[[#This Row],[Expiration Date]],FALSE,TRUE)</f>
        <v>0</v>
      </c>
      <c r="AC430" s="30" t="str">
        <f>VLOOKUP(Table20[[#This Row],[Asset]],Table19[#All],3,FALSE)</f>
        <v>Market</v>
      </c>
      <c r="AD430" s="30">
        <f>IF(Table20[[#This Row],[Remaining]]&lt;&gt;0,Table20[[#This Row],[Invested]]*Table20[[#This Row],[Remaining]]/Table20[[#This Row],[Number of options]],0)</f>
        <v>0</v>
      </c>
      <c r="AE430" s="30">
        <f ca="1">SUMIF(Table20[Ticker],Table20[[#This Row],[Ticker]],Table20[realized_profit])</f>
        <v>-5077</v>
      </c>
      <c r="AF430" s="30" t="str">
        <f>VLOOKUP(Table20[[#This Row],[Strategy]],Table29[#All],7,FALSE)</f>
        <v>Bearish</v>
      </c>
    </row>
    <row r="431" spans="1:32" hidden="1">
      <c r="A431" s="35">
        <v>45492</v>
      </c>
      <c r="B431" s="21" t="e" vm="96">
        <v>#VALUE!</v>
      </c>
      <c r="C431" s="109" t="str" cm="1">
        <f t="array" aca="1" ref="C431" ca="1">_FV(Table20[[#This Row],[Asset]],"Ticker symbol",TRUE)</f>
        <v>SPY</v>
      </c>
      <c r="D431" s="26" cm="1">
        <f t="array" aca="1" ref="D431" ca="1">_FV(Table20[[#This Row],[Asset]],"Price")</f>
        <v>658.59</v>
      </c>
      <c r="E431" s="26">
        <v>560</v>
      </c>
      <c r="F431" s="33">
        <v>1</v>
      </c>
      <c r="G431" s="34">
        <v>1</v>
      </c>
      <c r="H431" s="21" t="s">
        <v>65</v>
      </c>
      <c r="I431" s="31">
        <v>45488</v>
      </c>
      <c r="J431" s="26">
        <v>1.4</v>
      </c>
      <c r="K431" s="24">
        <v>0.1166</v>
      </c>
      <c r="L431" s="33">
        <f>VLOOKUP(Table20[[#This Row],[Strategy]],Table29[#All],6,FALSE)</f>
        <v>-1</v>
      </c>
      <c r="M431" s="23">
        <v>1</v>
      </c>
      <c r="N431" s="23">
        <v>2.33</v>
      </c>
      <c r="O431" s="23"/>
      <c r="P431" s="23"/>
      <c r="Q431">
        <f>Table20[[#This Row],[Exit1]]*Table20[[#This Row],[ex1_price]]</f>
        <v>2.33</v>
      </c>
      <c r="R431">
        <f>Table20[[#This Row],[Exit2]]*Table20[[#This Row],[ex2_price]]</f>
        <v>0</v>
      </c>
      <c r="S431">
        <f>IFERROR((Table20[[#This Row],[ex2_amnt]]+Table20[[#This Row],[ex1_amnt]])/(Table20[[#This Row],[Exit2]]+Table20[[#This Row],[Exit1]]),0)</f>
        <v>2.33</v>
      </c>
      <c r="T431" s="5">
        <f>(Table20[[#This Row],[Exit1]]+Table20[[#This Row],[Exit2]])*(Table20[[#This Row],[avg_exit_price]]-Table20[[#This Row],[AvePrice]])*100*Table20[[#This Row],[Buy or Sell]]</f>
        <v>93.000000000000014</v>
      </c>
      <c r="U431" s="5">
        <f>Table20[[#This Row],[Number of options]]*Table20[[#This Row],[AvePrice]]*100*Table20[[#This Row],[Buy or Sell]]</f>
        <v>140</v>
      </c>
      <c r="V431" s="8">
        <f>Table20[[#This Row],[Number of options]]-Table20[[#This Row],[Exit1]]-Table20[[#This Row],[Exit2]]</f>
        <v>0</v>
      </c>
      <c r="W431" s="30">
        <f ca="1">(Table20[[#This Row],[Expiration Date]]-TODAY())/365</f>
        <v>-1.6849315068493151</v>
      </c>
      <c r="X431" s="30" t="e">
        <f ca="1">(LN(Table20[[#This Row],[Current Price]]/Table20[[#This Row],[strike_price]]) + ($B$2 + (Table20[[#This Row],[Vol]]^2)/2)*Table20[[#This Row],[Time to expiration]]) / (Table20[[#This Row],[Vol]] * SQRT(Table20[[#This Row],[Time to expiration]]))</f>
        <v>#NUM!</v>
      </c>
      <c r="Y431" s="30" t="e">
        <f ca="1">IF(Table20[[#This Row],[Direction]]&gt;0, _xlfn.NORM.S.DIST(Table20[[#This Row],[d1]], TRUE), _xlfn.NORM.S.DIST(Table20[[#This Row],[d1]], TRUE) - 1) * Table20[[#This Row],[Buy or Sell]]</f>
        <v>#NUM!</v>
      </c>
      <c r="Z431" s="9">
        <f ca="1">Table20[[#This Row],[Remaining]]*Table20[[#This Row],[Current Price]]*100</f>
        <v>0</v>
      </c>
      <c r="AA431" s="22">
        <f ca="1">IFERROR(Table20[[#This Row],[nominal_exposure]]*Table20[[#This Row],[Delta]],0)</f>
        <v>0</v>
      </c>
      <c r="AB431" s="95" t="b">
        <f>IF(Table20[[#This Row],[date_purchased]]&lt;&gt;Table20[[#This Row],[Expiration Date]],FALSE,TRUE)</f>
        <v>0</v>
      </c>
      <c r="AC431" s="30" t="str">
        <f>VLOOKUP(Table20[[#This Row],[Asset]],Table19[#All],3,FALSE)</f>
        <v>Market</v>
      </c>
      <c r="AD431" s="30">
        <f>IF(Table20[[#This Row],[Remaining]]&lt;&gt;0,Table20[[#This Row],[Invested]]*Table20[[#This Row],[Remaining]]/Table20[[#This Row],[Number of options]],0)</f>
        <v>0</v>
      </c>
      <c r="AE431" s="30">
        <f ca="1">SUMIF(Table20[Ticker],Table20[[#This Row],[Ticker]],Table20[realized_profit])</f>
        <v>-5077</v>
      </c>
      <c r="AF431" s="30" t="str">
        <f>VLOOKUP(Table20[[#This Row],[Strategy]],Table29[#All],7,FALSE)</f>
        <v>Bearish</v>
      </c>
    </row>
    <row r="432" spans="1:32" hidden="1">
      <c r="A432" s="180">
        <v>45709</v>
      </c>
      <c r="B432" s="21" t="e" vm="24">
        <v>#VALUE!</v>
      </c>
      <c r="C432" s="109" t="str" cm="1">
        <f t="array" aca="1" ref="C432" ca="1">_FV(Table20[[#This Row],[Asset]],"Ticker symbol",TRUE)</f>
        <v>QCOM</v>
      </c>
      <c r="D432" s="26" cm="1">
        <f t="array" aca="1" ref="D432" ca="1">_FV(Table20[[#This Row],[Asset]],"Price")</f>
        <v>131.63499999999999</v>
      </c>
      <c r="E432" s="26">
        <v>180</v>
      </c>
      <c r="F432" s="33">
        <v>1</v>
      </c>
      <c r="G432" s="34">
        <v>1</v>
      </c>
      <c r="H432" s="34" t="s">
        <v>113</v>
      </c>
      <c r="I432" s="31">
        <v>45628</v>
      </c>
      <c r="J432" s="26">
        <v>4.9000000000000004</v>
      </c>
      <c r="K432" s="24">
        <v>0.3634</v>
      </c>
      <c r="L432" s="33">
        <f>VLOOKUP(Table20[[#This Row],[Strategy]],Table29[#All],6,FALSE)</f>
        <v>1</v>
      </c>
      <c r="M432" s="23">
        <v>1</v>
      </c>
      <c r="N432" s="23">
        <v>2.1</v>
      </c>
      <c r="O432" s="23"/>
      <c r="P432" s="23"/>
      <c r="Q432">
        <f>Table20[[#This Row],[Exit1]]*Table20[[#This Row],[ex1_price]]</f>
        <v>2.1</v>
      </c>
      <c r="R432">
        <f>Table20[[#This Row],[Exit2]]*Table20[[#This Row],[ex2_price]]</f>
        <v>0</v>
      </c>
      <c r="S432">
        <f>IFERROR((Table20[[#This Row],[ex2_amnt]]+Table20[[#This Row],[ex1_amnt]])/(Table20[[#This Row],[Exit2]]+Table20[[#This Row],[Exit1]]),0)</f>
        <v>2.1</v>
      </c>
      <c r="T432" s="5">
        <f>(Table20[[#This Row],[Exit1]]+Table20[[#This Row],[Exit2]])*(Table20[[#This Row],[avg_exit_price]]-Table20[[#This Row],[AvePrice]])*100*Table20[[#This Row],[Buy or Sell]]</f>
        <v>-280</v>
      </c>
      <c r="U432" s="5">
        <f>Table20[[#This Row],[Number of options]]*Table20[[#This Row],[AvePrice]]*100*Table20[[#This Row],[Buy or Sell]]</f>
        <v>490.00000000000006</v>
      </c>
      <c r="V432" s="8">
        <f>Table20[[#This Row],[Number of options]]-Table20[[#This Row],[Exit1]]-Table20[[#This Row],[Exit2]]</f>
        <v>0</v>
      </c>
      <c r="W432" s="30">
        <f ca="1">(Table20[[#This Row],[Expiration Date]]-TODAY())/365</f>
        <v>-1.0904109589041096</v>
      </c>
      <c r="X432" s="30" t="e">
        <f ca="1">(LN(Table20[[#This Row],[Current Price]]/Table20[[#This Row],[strike_price]]) + ($B$2 + (Table20[[#This Row],[Vol]]^2)/2)*Table20[[#This Row],[Time to expiration]]) / (Table20[[#This Row],[Vol]] * SQRT(Table20[[#This Row],[Time to expiration]]))</f>
        <v>#NUM!</v>
      </c>
      <c r="Y432" s="30" t="e">
        <f ca="1">IF(Table20[[#This Row],[Direction]]&gt;0, _xlfn.NORM.S.DIST(Table20[[#This Row],[d1]], TRUE), _xlfn.NORM.S.DIST(Table20[[#This Row],[d1]], TRUE) - 1) * Table20[[#This Row],[Buy or Sell]]</f>
        <v>#NUM!</v>
      </c>
      <c r="Z432" s="9">
        <f ca="1">Table20[[#This Row],[Remaining]]*Table20[[#This Row],[Current Price]]*100</f>
        <v>0</v>
      </c>
      <c r="AA432" s="22">
        <f ca="1">IFERROR(Table20[[#This Row],[nominal_exposure]]*Table20[[#This Row],[Delta]],0)</f>
        <v>0</v>
      </c>
      <c r="AB432" s="30" t="b">
        <f>IF(Table20[[#This Row],[date_purchased]]&lt;&gt;Table20[[#This Row],[Expiration Date]],FALSE,TRUE)</f>
        <v>0</v>
      </c>
      <c r="AC432" s="30" t="str">
        <f>VLOOKUP(Table20[[#This Row],[Asset]],Table19[#All],3,FALSE)</f>
        <v>AI</v>
      </c>
      <c r="AD432" s="30">
        <f>IF(Table20[[#This Row],[Remaining]]&lt;&gt;0,Table20[[#This Row],[Invested]]*Table20[[#This Row],[Remaining]]/Table20[[#This Row],[Number of options]],0)</f>
        <v>0</v>
      </c>
      <c r="AE432" s="30">
        <f ca="1">SUMIF(Table20[Ticker],Table20[[#This Row],[Ticker]],Table20[realized_profit])</f>
        <v>-2175.9999999999995</v>
      </c>
      <c r="AF432" s="30" t="str">
        <f>VLOOKUP(Table20[[#This Row],[Strategy]],Table29[#All],7,FALSE)</f>
        <v>Bullish</v>
      </c>
    </row>
    <row r="433" spans="1:32" hidden="1">
      <c r="A433" s="180">
        <v>45639</v>
      </c>
      <c r="B433" s="21" t="e" vm="163">
        <v>#VALUE!</v>
      </c>
      <c r="C433" s="109" t="str" cm="1">
        <f t="array" aca="1" ref="C433" ca="1">_FV(Table20[[#This Row],[Asset]],"Ticker symbol",TRUE)</f>
        <v>LLY</v>
      </c>
      <c r="D433" s="26" cm="1">
        <f t="array" aca="1" ref="D433" ca="1">_FV(Table20[[#This Row],[Asset]],"Price")</f>
        <v>910.82500000000005</v>
      </c>
      <c r="E433" s="26">
        <v>920</v>
      </c>
      <c r="F433" s="33">
        <v>2</v>
      </c>
      <c r="G433" s="34">
        <v>-1</v>
      </c>
      <c r="H433" s="34" t="s">
        <v>115</v>
      </c>
      <c r="I433" s="31">
        <v>45631</v>
      </c>
      <c r="J433" s="26">
        <v>0.56000000000000005</v>
      </c>
      <c r="K433" s="24">
        <v>0.55710000000000004</v>
      </c>
      <c r="L433" s="33">
        <f>VLOOKUP(Table20[[#This Row],[Strategy]],Table29[#All],6,FALSE)</f>
        <v>1</v>
      </c>
      <c r="M433" s="23">
        <v>2</v>
      </c>
      <c r="N433" s="23">
        <v>0</v>
      </c>
      <c r="O433" s="23"/>
      <c r="P433" s="23"/>
      <c r="Q433">
        <f>Table20[[#This Row],[Exit1]]*Table20[[#This Row],[ex1_price]]</f>
        <v>0</v>
      </c>
      <c r="R433">
        <f>Table20[[#This Row],[Exit2]]*Table20[[#This Row],[ex2_price]]</f>
        <v>0</v>
      </c>
      <c r="S433">
        <f>IFERROR((Table20[[#This Row],[ex2_amnt]]+Table20[[#This Row],[ex1_amnt]])/(Table20[[#This Row],[Exit2]]+Table20[[#This Row],[Exit1]]),0)</f>
        <v>0</v>
      </c>
      <c r="T433" s="5">
        <f>(Table20[[#This Row],[Exit1]]+Table20[[#This Row],[Exit2]])*(Table20[[#This Row],[avg_exit_price]]-Table20[[#This Row],[AvePrice]])*100*Table20[[#This Row],[Buy or Sell]]</f>
        <v>112.00000000000001</v>
      </c>
      <c r="U433" s="5">
        <f>Table20[[#This Row],[Number of options]]*Table20[[#This Row],[AvePrice]]*100*Table20[[#This Row],[Buy or Sell]]</f>
        <v>-112.00000000000001</v>
      </c>
      <c r="V433" s="8">
        <f>Table20[[#This Row],[Number of options]]-Table20[[#This Row],[Exit1]]-Table20[[#This Row],[Exit2]]</f>
        <v>0</v>
      </c>
      <c r="W433" s="30">
        <f ca="1">(Table20[[#This Row],[Expiration Date]]-TODAY())/365</f>
        <v>-1.2821917808219179</v>
      </c>
      <c r="X433" s="30" t="e">
        <f ca="1">(LN(Table20[[#This Row],[Current Price]]/Table20[[#This Row],[strike_price]]) + ($B$2 + (Table20[[#This Row],[Vol]]^2)/2)*Table20[[#This Row],[Time to expiration]]) / (Table20[[#This Row],[Vol]] * SQRT(Table20[[#This Row],[Time to expiration]]))</f>
        <v>#NUM!</v>
      </c>
      <c r="Y433" s="30" t="e">
        <f ca="1">IF(Table20[[#This Row],[Direction]]&gt;0, _xlfn.NORM.S.DIST(Table20[[#This Row],[d1]], TRUE), _xlfn.NORM.S.DIST(Table20[[#This Row],[d1]], TRUE) - 1) * Table20[[#This Row],[Buy or Sell]]</f>
        <v>#NUM!</v>
      </c>
      <c r="Z433" s="9">
        <f ca="1">Table20[[#This Row],[Remaining]]*Table20[[#This Row],[Current Price]]*100</f>
        <v>0</v>
      </c>
      <c r="AA433" s="22">
        <f ca="1">IFERROR(Table20[[#This Row],[nominal_exposure]]*Table20[[#This Row],[Delta]],0)</f>
        <v>0</v>
      </c>
      <c r="AB433" s="30" t="b">
        <f>IF(Table20[[#This Row],[date_purchased]]&lt;&gt;Table20[[#This Row],[Expiration Date]],FALSE,TRUE)</f>
        <v>0</v>
      </c>
      <c r="AC433" s="30" t="str">
        <f>VLOOKUP(Table20[[#This Row],[Asset]],Table19[#All],3,FALSE)</f>
        <v>Health Care</v>
      </c>
      <c r="AD433" s="30">
        <f>IF(Table20[[#This Row],[Remaining]]&lt;&gt;0,Table20[[#This Row],[Invested]]*Table20[[#This Row],[Remaining]]/Table20[[#This Row],[Number of options]],0)</f>
        <v>0</v>
      </c>
      <c r="AE433" s="30">
        <f ca="1">SUMIF(Table20[Ticker],Table20[[#This Row],[Ticker]],Table20[realized_profit])</f>
        <v>8506.9999999999982</v>
      </c>
      <c r="AF433" s="30" t="str">
        <f>VLOOKUP(Table20[[#This Row],[Strategy]],Table29[#All],7,FALSE)</f>
        <v>Bullish</v>
      </c>
    </row>
    <row r="434" spans="1:32" hidden="1">
      <c r="A434" s="180">
        <v>45646</v>
      </c>
      <c r="B434" s="21" t="e" vm="163">
        <v>#VALUE!</v>
      </c>
      <c r="C434" s="109" t="str" cm="1">
        <f t="array" aca="1" ref="C434" ca="1">_FV(Table20[[#This Row],[Asset]],"Ticker symbol",TRUE)</f>
        <v>LLY</v>
      </c>
      <c r="D434" s="26" cm="1">
        <f t="array" aca="1" ref="D434" ca="1">_FV(Table20[[#This Row],[Asset]],"Price")</f>
        <v>910.82500000000005</v>
      </c>
      <c r="E434" s="26">
        <v>920</v>
      </c>
      <c r="F434" s="33">
        <v>2</v>
      </c>
      <c r="G434" s="34">
        <v>1</v>
      </c>
      <c r="H434" s="34" t="s">
        <v>115</v>
      </c>
      <c r="I434" s="31">
        <v>45631</v>
      </c>
      <c r="J434" s="26">
        <v>2.25</v>
      </c>
      <c r="K434" s="24">
        <v>0.4173</v>
      </c>
      <c r="L434" s="33">
        <f>VLOOKUP(Table20[[#This Row],[Strategy]],Table29[#All],6,FALSE)</f>
        <v>1</v>
      </c>
      <c r="M434" s="23">
        <v>2</v>
      </c>
      <c r="N434" s="23">
        <v>0</v>
      </c>
      <c r="O434" s="23"/>
      <c r="P434" s="23"/>
      <c r="Q434">
        <f>Table20[[#This Row],[Exit1]]*Table20[[#This Row],[ex1_price]]</f>
        <v>0</v>
      </c>
      <c r="R434">
        <f>Table20[[#This Row],[Exit2]]*Table20[[#This Row],[ex2_price]]</f>
        <v>0</v>
      </c>
      <c r="S434">
        <f>IFERROR((Table20[[#This Row],[ex2_amnt]]+Table20[[#This Row],[ex1_amnt]])/(Table20[[#This Row],[Exit2]]+Table20[[#This Row],[Exit1]]),0)</f>
        <v>0</v>
      </c>
      <c r="T434" s="5">
        <f>(Table20[[#This Row],[Exit1]]+Table20[[#This Row],[Exit2]])*(Table20[[#This Row],[avg_exit_price]]-Table20[[#This Row],[AvePrice]])*100*Table20[[#This Row],[Buy or Sell]]</f>
        <v>-450</v>
      </c>
      <c r="U434" s="5">
        <f>Table20[[#This Row],[Number of options]]*Table20[[#This Row],[AvePrice]]*100*Table20[[#This Row],[Buy or Sell]]</f>
        <v>450</v>
      </c>
      <c r="V434" s="8">
        <f>Table20[[#This Row],[Number of options]]-Table20[[#This Row],[Exit1]]-Table20[[#This Row],[Exit2]]</f>
        <v>0</v>
      </c>
      <c r="W434" s="30">
        <f ca="1">(Table20[[#This Row],[Expiration Date]]-TODAY())/365</f>
        <v>-1.263013698630137</v>
      </c>
      <c r="X434" s="30" t="e">
        <f ca="1">(LN(Table20[[#This Row],[Current Price]]/Table20[[#This Row],[strike_price]]) + ($B$2 + (Table20[[#This Row],[Vol]]^2)/2)*Table20[[#This Row],[Time to expiration]]) / (Table20[[#This Row],[Vol]] * SQRT(Table20[[#This Row],[Time to expiration]]))</f>
        <v>#NUM!</v>
      </c>
      <c r="Y434" s="30" t="e">
        <f ca="1">IF(Table20[[#This Row],[Direction]]&gt;0, _xlfn.NORM.S.DIST(Table20[[#This Row],[d1]], TRUE), _xlfn.NORM.S.DIST(Table20[[#This Row],[d1]], TRUE) - 1) * Table20[[#This Row],[Buy or Sell]]</f>
        <v>#NUM!</v>
      </c>
      <c r="Z434" s="9">
        <f ca="1">Table20[[#This Row],[Remaining]]*Table20[[#This Row],[Current Price]]*100</f>
        <v>0</v>
      </c>
      <c r="AA434" s="22">
        <f ca="1">IFERROR(Table20[[#This Row],[nominal_exposure]]*Table20[[#This Row],[Delta]],0)</f>
        <v>0</v>
      </c>
      <c r="AB434" s="30" t="b">
        <f>IF(Table20[[#This Row],[date_purchased]]&lt;&gt;Table20[[#This Row],[Expiration Date]],FALSE,TRUE)</f>
        <v>0</v>
      </c>
      <c r="AC434" s="30" t="str">
        <f>VLOOKUP(Table20[[#This Row],[Asset]],Table19[#All],3,FALSE)</f>
        <v>Health Care</v>
      </c>
      <c r="AD434" s="30">
        <f>IF(Table20[[#This Row],[Remaining]]&lt;&gt;0,Table20[[#This Row],[Invested]]*Table20[[#This Row],[Remaining]]/Table20[[#This Row],[Number of options]],0)</f>
        <v>0</v>
      </c>
      <c r="AE434" s="30">
        <f ca="1">SUMIF(Table20[Ticker],Table20[[#This Row],[Ticker]],Table20[realized_profit])</f>
        <v>8506.9999999999982</v>
      </c>
      <c r="AF434" s="30" t="str">
        <f>VLOOKUP(Table20[[#This Row],[Strategy]],Table29[#All],7,FALSE)</f>
        <v>Bullish</v>
      </c>
    </row>
    <row r="435" spans="1:32" hidden="1">
      <c r="A435" s="180">
        <v>45709</v>
      </c>
      <c r="B435" s="21" t="e" vm="16">
        <v>#VALUE!</v>
      </c>
      <c r="C435" s="109" t="str" cm="1">
        <f t="array" aca="1" ref="C435" ca="1">_FV(Table20[[#This Row],[Asset]],"Ticker symbol",TRUE)</f>
        <v>GOOG</v>
      </c>
      <c r="D435" s="26" cm="1">
        <f t="array" aca="1" ref="D435" ca="1">_FV(Table20[[#This Row],[Asset]],"Price")</f>
        <v>290.39</v>
      </c>
      <c r="E435" s="26">
        <v>190</v>
      </c>
      <c r="F435" s="33">
        <v>2</v>
      </c>
      <c r="G435" s="34">
        <v>1</v>
      </c>
      <c r="H435" s="34" t="s">
        <v>65</v>
      </c>
      <c r="I435" s="31">
        <v>45688</v>
      </c>
      <c r="J435" s="26">
        <v>2.0099999999999998</v>
      </c>
      <c r="K435" s="24"/>
      <c r="L435" s="33">
        <f>VLOOKUP(Table20[[#This Row],[Strategy]],Table29[#All],6,FALSE)</f>
        <v>-1</v>
      </c>
      <c r="M435" s="23">
        <v>2</v>
      </c>
      <c r="N435" s="23">
        <v>3.7</v>
      </c>
      <c r="O435" s="23"/>
      <c r="P435" s="23"/>
      <c r="Q435">
        <f>Table20[[#This Row],[Exit1]]*Table20[[#This Row],[ex1_price]]</f>
        <v>7.4</v>
      </c>
      <c r="R435">
        <f>Table20[[#This Row],[Exit2]]*Table20[[#This Row],[ex2_price]]</f>
        <v>0</v>
      </c>
      <c r="S435">
        <f>IFERROR((Table20[[#This Row],[ex2_amnt]]+Table20[[#This Row],[ex1_amnt]])/(Table20[[#This Row],[Exit2]]+Table20[[#This Row],[Exit1]]),0)</f>
        <v>3.7</v>
      </c>
      <c r="T435" s="5">
        <f>(Table20[[#This Row],[Exit1]]+Table20[[#This Row],[Exit2]])*(Table20[[#This Row],[avg_exit_price]]-Table20[[#This Row],[AvePrice]])*100*Table20[[#This Row],[Buy or Sell]]</f>
        <v>338.00000000000006</v>
      </c>
      <c r="U435" s="5">
        <f>Table20[[#This Row],[Number of options]]*Table20[[#This Row],[AvePrice]]*100*Table20[[#This Row],[Buy or Sell]]</f>
        <v>401.99999999999994</v>
      </c>
      <c r="V435" s="8">
        <f>Table20[[#This Row],[Number of options]]-Table20[[#This Row],[Exit1]]-Table20[[#This Row],[Exit2]]</f>
        <v>0</v>
      </c>
      <c r="W435" s="30">
        <f ca="1">(Table20[[#This Row],[Expiration Date]]-TODAY())/365</f>
        <v>-1.0904109589041096</v>
      </c>
      <c r="X435" s="30" t="e">
        <f ca="1">(LN(Table20[[#This Row],[Current Price]]/Table20[[#This Row],[strike_price]]) + ($B$2 + (Table20[[#This Row],[Vol]]^2)/2)*Table20[[#This Row],[Time to expiration]]) / (Table20[[#This Row],[Vol]] * SQRT(Table20[[#This Row],[Time to expiration]]))</f>
        <v>#NUM!</v>
      </c>
      <c r="Y435" s="30" t="e">
        <f ca="1">IF(Table20[[#This Row],[Direction]]&gt;0, _xlfn.NORM.S.DIST(Table20[[#This Row],[d1]], TRUE), _xlfn.NORM.S.DIST(Table20[[#This Row],[d1]], TRUE) - 1) * Table20[[#This Row],[Buy or Sell]]</f>
        <v>#NUM!</v>
      </c>
      <c r="Z435" s="9">
        <f ca="1">Table20[[#This Row],[Remaining]]*Table20[[#This Row],[Current Price]]*100</f>
        <v>0</v>
      </c>
      <c r="AA435" s="22">
        <f ca="1">IFERROR(Table20[[#This Row],[nominal_exposure]]*Table20[[#This Row],[Delta]],0)</f>
        <v>0</v>
      </c>
      <c r="AB435" s="30" t="b">
        <f>IF(Table20[[#This Row],[date_purchased]]&lt;&gt;Table20[[#This Row],[Expiration Date]],FALSE,TRUE)</f>
        <v>0</v>
      </c>
      <c r="AC435" s="30" t="str">
        <f>VLOOKUP(Table20[[#This Row],[Asset]],Table19[#All],3,FALSE)</f>
        <v>AI</v>
      </c>
      <c r="AD435" s="30">
        <f>IF(Table20[[#This Row],[Remaining]]&lt;&gt;0,Table20[[#This Row],[Invested]]*Table20[[#This Row],[Remaining]]/Table20[[#This Row],[Number of options]],0)</f>
        <v>0</v>
      </c>
      <c r="AE435" s="30">
        <f ca="1">SUMIF(Table20[Ticker],Table20[[#This Row],[Ticker]],Table20[realized_profit])</f>
        <v>4148.03</v>
      </c>
      <c r="AF435" s="30" t="str">
        <f>VLOOKUP(Table20[[#This Row],[Strategy]],Table29[#All],7,FALSE)</f>
        <v>Bearish</v>
      </c>
    </row>
    <row r="436" spans="1:32" hidden="1">
      <c r="A436" s="180">
        <v>45653</v>
      </c>
      <c r="B436" s="21" t="e" vm="63">
        <v>#VALUE!</v>
      </c>
      <c r="C436" s="109" t="str" cm="1">
        <f t="array" aca="1" ref="C436" ca="1">_FV(Table20[[#This Row],[Asset]],"Ticker symbol",TRUE)</f>
        <v>TSLA</v>
      </c>
      <c r="D436" s="26" cm="1">
        <f t="array" aca="1" ref="D436" ca="1">_FV(Table20[[#This Row],[Asset]],"Price")</f>
        <v>394.5401</v>
      </c>
      <c r="E436" s="26">
        <v>400</v>
      </c>
      <c r="F436" s="33">
        <v>1</v>
      </c>
      <c r="G436" s="34">
        <v>1</v>
      </c>
      <c r="H436" s="34" t="s">
        <v>65</v>
      </c>
      <c r="I436" s="31">
        <v>45642</v>
      </c>
      <c r="J436" s="26">
        <v>4</v>
      </c>
      <c r="K436" s="24">
        <v>0.58350000000000002</v>
      </c>
      <c r="L436" s="33">
        <f>VLOOKUP(Table20[[#This Row],[Strategy]],Table29[#All],6,FALSE)</f>
        <v>-1</v>
      </c>
      <c r="M436" s="23">
        <v>1</v>
      </c>
      <c r="N436" s="23">
        <v>2.5499999999999998</v>
      </c>
      <c r="O436" s="23"/>
      <c r="P436" s="23"/>
      <c r="Q436">
        <f>Table20[[#This Row],[Exit1]]*Table20[[#This Row],[ex1_price]]</f>
        <v>2.5499999999999998</v>
      </c>
      <c r="R436">
        <f>Table20[[#This Row],[Exit2]]*Table20[[#This Row],[ex2_price]]</f>
        <v>0</v>
      </c>
      <c r="S436">
        <f>IFERROR((Table20[[#This Row],[ex2_amnt]]+Table20[[#This Row],[ex1_amnt]])/(Table20[[#This Row],[Exit2]]+Table20[[#This Row],[Exit1]]),0)</f>
        <v>2.5499999999999998</v>
      </c>
      <c r="T436" s="5">
        <f>(Table20[[#This Row],[Exit1]]+Table20[[#This Row],[Exit2]])*(Table20[[#This Row],[avg_exit_price]]-Table20[[#This Row],[AvePrice]])*100*Table20[[#This Row],[Buy or Sell]]</f>
        <v>-145.00000000000003</v>
      </c>
      <c r="U436" s="5">
        <f>Table20[[#This Row],[Number of options]]*Table20[[#This Row],[AvePrice]]*100*Table20[[#This Row],[Buy or Sell]]</f>
        <v>400</v>
      </c>
      <c r="V436" s="8">
        <f>Table20[[#This Row],[Number of options]]-Table20[[#This Row],[Exit1]]-Table20[[#This Row],[Exit2]]</f>
        <v>0</v>
      </c>
      <c r="W436" s="30">
        <f ca="1">(Table20[[#This Row],[Expiration Date]]-TODAY())/365</f>
        <v>-1.2438356164383562</v>
      </c>
      <c r="X436" s="30" t="e">
        <f ca="1">(LN(Table20[[#This Row],[Current Price]]/Table20[[#This Row],[strike_price]]) + ($B$2 + (Table20[[#This Row],[Vol]]^2)/2)*Table20[[#This Row],[Time to expiration]]) / (Table20[[#This Row],[Vol]] * SQRT(Table20[[#This Row],[Time to expiration]]))</f>
        <v>#NUM!</v>
      </c>
      <c r="Y436" s="30" t="e">
        <f ca="1">IF(Table20[[#This Row],[Direction]]&gt;0, _xlfn.NORM.S.DIST(Table20[[#This Row],[d1]], TRUE), _xlfn.NORM.S.DIST(Table20[[#This Row],[d1]], TRUE) - 1) * Table20[[#This Row],[Buy or Sell]]</f>
        <v>#NUM!</v>
      </c>
      <c r="Z436" s="9">
        <f ca="1">Table20[[#This Row],[Remaining]]*Table20[[#This Row],[Current Price]]*100</f>
        <v>0</v>
      </c>
      <c r="AA436" s="22">
        <f ca="1">IFERROR(Table20[[#This Row],[nominal_exposure]]*Table20[[#This Row],[Delta]],0)</f>
        <v>0</v>
      </c>
      <c r="AB436" s="30" t="b">
        <f>IF(Table20[[#This Row],[date_purchased]]&lt;&gt;Table20[[#This Row],[Expiration Date]],FALSE,TRUE)</f>
        <v>0</v>
      </c>
      <c r="AC436" s="30" t="str">
        <f>VLOOKUP(Table20[[#This Row],[Asset]],Table19[#All],3,FALSE)</f>
        <v>Auto</v>
      </c>
      <c r="AD436" s="30">
        <f>IF(Table20[[#This Row],[Remaining]]&lt;&gt;0,Table20[[#This Row],[Invested]]*Table20[[#This Row],[Remaining]]/Table20[[#This Row],[Number of options]],0)</f>
        <v>0</v>
      </c>
      <c r="AE436" s="30">
        <f ca="1">SUMIF(Table20[Ticker],Table20[[#This Row],[Ticker]],Table20[realized_profit])</f>
        <v>4153</v>
      </c>
      <c r="AF436" s="30" t="str">
        <f>VLOOKUP(Table20[[#This Row],[Strategy]],Table29[#All],7,FALSE)</f>
        <v>Bearish</v>
      </c>
    </row>
    <row r="437" spans="1:32" hidden="1">
      <c r="A437" s="180">
        <v>45639</v>
      </c>
      <c r="B437" s="21" t="e" vm="122">
        <v>#VALUE!</v>
      </c>
      <c r="C437" s="109" t="str" cm="1">
        <f t="array" aca="1" ref="C437" ca="1">_FV(Table20[[#This Row],[Asset]],"Ticker symbol",TRUE)</f>
        <v>AVGO</v>
      </c>
      <c r="D437" s="26" cm="1">
        <f t="array" aca="1" ref="D437" ca="1">_FV(Table20[[#This Row],[Asset]],"Price")</f>
        <v>321.02</v>
      </c>
      <c r="E437" s="26">
        <v>200</v>
      </c>
      <c r="F437" s="33">
        <v>3</v>
      </c>
      <c r="G437" s="34">
        <v>-1</v>
      </c>
      <c r="H437" s="34" t="s">
        <v>115</v>
      </c>
      <c r="I437" s="31">
        <v>45635</v>
      </c>
      <c r="J437" s="26">
        <v>0.9</v>
      </c>
      <c r="K437" s="24"/>
      <c r="L437" s="33">
        <f>VLOOKUP(Table20[[#This Row],[Strategy]],Table29[#All],6,FALSE)</f>
        <v>1</v>
      </c>
      <c r="M437" s="23">
        <v>3</v>
      </c>
      <c r="N437" s="23">
        <v>23.13</v>
      </c>
      <c r="O437" s="23"/>
      <c r="P437" s="23"/>
      <c r="Q437">
        <f>Table20[[#This Row],[Exit1]]*Table20[[#This Row],[ex1_price]]</f>
        <v>69.39</v>
      </c>
      <c r="R437">
        <f>Table20[[#This Row],[Exit2]]*Table20[[#This Row],[ex2_price]]</f>
        <v>0</v>
      </c>
      <c r="S437">
        <f>IFERROR((Table20[[#This Row],[ex2_amnt]]+Table20[[#This Row],[ex1_amnt]])/(Table20[[#This Row],[Exit2]]+Table20[[#This Row],[Exit1]]),0)</f>
        <v>23.13</v>
      </c>
      <c r="T437" s="5">
        <f>(Table20[[#This Row],[Exit1]]+Table20[[#This Row],[Exit2]])*(Table20[[#This Row],[avg_exit_price]]-Table20[[#This Row],[AvePrice]])*100*Table20[[#This Row],[Buy or Sell]]</f>
        <v>-6669</v>
      </c>
      <c r="U437" s="5">
        <f>Table20[[#This Row],[Number of options]]*Table20[[#This Row],[AvePrice]]*100*Table20[[#This Row],[Buy or Sell]]</f>
        <v>-270</v>
      </c>
      <c r="V437" s="8">
        <f>Table20[[#This Row],[Number of options]]-Table20[[#This Row],[Exit1]]-Table20[[#This Row],[Exit2]]</f>
        <v>0</v>
      </c>
      <c r="W437" s="30">
        <f ca="1">(Table20[[#This Row],[Expiration Date]]-TODAY())/365</f>
        <v>-1.2821917808219179</v>
      </c>
      <c r="X437" s="30" t="e">
        <f ca="1">(LN(Table20[[#This Row],[Current Price]]/Table20[[#This Row],[strike_price]]) + ($B$2 + (Table20[[#This Row],[Vol]]^2)/2)*Table20[[#This Row],[Time to expiration]]) / (Table20[[#This Row],[Vol]] * SQRT(Table20[[#This Row],[Time to expiration]]))</f>
        <v>#NUM!</v>
      </c>
      <c r="Y437" s="30" t="e">
        <f ca="1">IF(Table20[[#This Row],[Direction]]&gt;0, _xlfn.NORM.S.DIST(Table20[[#This Row],[d1]], TRUE), _xlfn.NORM.S.DIST(Table20[[#This Row],[d1]], TRUE) - 1) * Table20[[#This Row],[Buy or Sell]]</f>
        <v>#NUM!</v>
      </c>
      <c r="Z437" s="9">
        <f ca="1">Table20[[#This Row],[Remaining]]*Table20[[#This Row],[Current Price]]*100</f>
        <v>0</v>
      </c>
      <c r="AA437" s="22">
        <f ca="1">IFERROR(Table20[[#This Row],[nominal_exposure]]*Table20[[#This Row],[Delta]],0)</f>
        <v>0</v>
      </c>
      <c r="AB437" s="30" t="b">
        <f>IF(Table20[[#This Row],[date_purchased]]&lt;&gt;Table20[[#This Row],[Expiration Date]],FALSE,TRUE)</f>
        <v>0</v>
      </c>
      <c r="AC437" s="30" t="str">
        <f>VLOOKUP(Table20[[#This Row],[Asset]],Table19[#All],3,FALSE)</f>
        <v>AI</v>
      </c>
      <c r="AD437" s="30">
        <f>IF(Table20[[#This Row],[Remaining]]&lt;&gt;0,Table20[[#This Row],[Invested]]*Table20[[#This Row],[Remaining]]/Table20[[#This Row],[Number of options]],0)</f>
        <v>0</v>
      </c>
      <c r="AE437" s="30">
        <f ca="1">SUMIF(Table20[Ticker],Table20[[#This Row],[Ticker]],Table20[realized_profit])</f>
        <v>-87.000000000000909</v>
      </c>
      <c r="AF437" s="30" t="str">
        <f>VLOOKUP(Table20[[#This Row],[Strategy]],Table29[#All],7,FALSE)</f>
        <v>Bullish</v>
      </c>
    </row>
    <row r="438" spans="1:32" hidden="1">
      <c r="A438" s="180">
        <v>45653</v>
      </c>
      <c r="B438" s="21" t="e" vm="122">
        <v>#VALUE!</v>
      </c>
      <c r="C438" s="109" t="str" cm="1">
        <f t="array" aca="1" ref="C438" ca="1">_FV(Table20[[#This Row],[Asset]],"Ticker symbol",TRUE)</f>
        <v>AVGO</v>
      </c>
      <c r="D438" s="26" cm="1">
        <f t="array" aca="1" ref="D438" ca="1">_FV(Table20[[#This Row],[Asset]],"Price")</f>
        <v>321.02</v>
      </c>
      <c r="E438" s="26">
        <v>200</v>
      </c>
      <c r="F438" s="33">
        <v>3</v>
      </c>
      <c r="G438" s="34">
        <v>1</v>
      </c>
      <c r="H438" s="34" t="s">
        <v>115</v>
      </c>
      <c r="I438" s="31">
        <v>45635</v>
      </c>
      <c r="J438" s="26">
        <v>1.94</v>
      </c>
      <c r="K438" s="24"/>
      <c r="L438" s="33">
        <f>VLOOKUP(Table20[[#This Row],[Strategy]],Table29[#All],6,FALSE)</f>
        <v>1</v>
      </c>
      <c r="M438" s="23">
        <v>3</v>
      </c>
      <c r="N438" s="23">
        <v>23.88</v>
      </c>
      <c r="O438" s="23"/>
      <c r="P438" s="23"/>
      <c r="Q438">
        <f>Table20[[#This Row],[Exit1]]*Table20[[#This Row],[ex1_price]]</f>
        <v>71.64</v>
      </c>
      <c r="R438">
        <f>Table20[[#This Row],[Exit2]]*Table20[[#This Row],[ex2_price]]</f>
        <v>0</v>
      </c>
      <c r="S438">
        <f>IFERROR((Table20[[#This Row],[ex2_amnt]]+Table20[[#This Row],[ex1_amnt]])/(Table20[[#This Row],[Exit2]]+Table20[[#This Row],[Exit1]]),0)</f>
        <v>23.88</v>
      </c>
      <c r="T438" s="5">
        <f>(Table20[[#This Row],[Exit1]]+Table20[[#This Row],[Exit2]])*(Table20[[#This Row],[avg_exit_price]]-Table20[[#This Row],[AvePrice]])*100*Table20[[#This Row],[Buy or Sell]]</f>
        <v>6581.9999999999991</v>
      </c>
      <c r="U438" s="5">
        <f>Table20[[#This Row],[Number of options]]*Table20[[#This Row],[AvePrice]]*100*Table20[[#This Row],[Buy or Sell]]</f>
        <v>582</v>
      </c>
      <c r="V438" s="8">
        <f>Table20[[#This Row],[Number of options]]-Table20[[#This Row],[Exit1]]-Table20[[#This Row],[Exit2]]</f>
        <v>0</v>
      </c>
      <c r="W438" s="30">
        <f ca="1">(Table20[[#This Row],[Expiration Date]]-TODAY())/365</f>
        <v>-1.2438356164383562</v>
      </c>
      <c r="X438" s="30" t="e">
        <f ca="1">(LN(Table20[[#This Row],[Current Price]]/Table20[[#This Row],[strike_price]]) + ($B$2 + (Table20[[#This Row],[Vol]]^2)/2)*Table20[[#This Row],[Time to expiration]]) / (Table20[[#This Row],[Vol]] * SQRT(Table20[[#This Row],[Time to expiration]]))</f>
        <v>#NUM!</v>
      </c>
      <c r="Y438" s="30" t="e">
        <f ca="1">IF(Table20[[#This Row],[Direction]]&gt;0, _xlfn.NORM.S.DIST(Table20[[#This Row],[d1]], TRUE), _xlfn.NORM.S.DIST(Table20[[#This Row],[d1]], TRUE) - 1) * Table20[[#This Row],[Buy or Sell]]</f>
        <v>#NUM!</v>
      </c>
      <c r="Z438" s="9">
        <f ca="1">Table20[[#This Row],[Remaining]]*Table20[[#This Row],[Current Price]]*100</f>
        <v>0</v>
      </c>
      <c r="AA438" s="22">
        <f ca="1">IFERROR(Table20[[#This Row],[nominal_exposure]]*Table20[[#This Row],[Delta]],0)</f>
        <v>0</v>
      </c>
      <c r="AB438" s="30" t="b">
        <f>IF(Table20[[#This Row],[date_purchased]]&lt;&gt;Table20[[#This Row],[Expiration Date]],FALSE,TRUE)</f>
        <v>0</v>
      </c>
      <c r="AC438" s="30" t="str">
        <f>VLOOKUP(Table20[[#This Row],[Asset]],Table19[#All],3,FALSE)</f>
        <v>AI</v>
      </c>
      <c r="AD438" s="30">
        <f>IF(Table20[[#This Row],[Remaining]]&lt;&gt;0,Table20[[#This Row],[Invested]]*Table20[[#This Row],[Remaining]]/Table20[[#This Row],[Number of options]],0)</f>
        <v>0</v>
      </c>
      <c r="AE438" s="30">
        <f ca="1">SUMIF(Table20[Ticker],Table20[[#This Row],[Ticker]],Table20[realized_profit])</f>
        <v>-87.000000000000909</v>
      </c>
      <c r="AF438" s="30" t="str">
        <f>VLOOKUP(Table20[[#This Row],[Strategy]],Table29[#All],7,FALSE)</f>
        <v>Bullish</v>
      </c>
    </row>
    <row r="439" spans="1:32" hidden="1">
      <c r="A439" s="35">
        <v>45492</v>
      </c>
      <c r="B439" s="21" t="e" vm="96">
        <v>#VALUE!</v>
      </c>
      <c r="C439" s="109" t="str" cm="1">
        <f t="array" aca="1" ref="C439" ca="1">_FV(Table20[[#This Row],[Asset]],"Ticker symbol",TRUE)</f>
        <v>SPY</v>
      </c>
      <c r="D439" s="26" cm="1">
        <f t="array" aca="1" ref="D439" ca="1">_FV(Table20[[#This Row],[Asset]],"Price")</f>
        <v>658.59</v>
      </c>
      <c r="E439" s="26">
        <v>550</v>
      </c>
      <c r="F439" s="33">
        <v>2</v>
      </c>
      <c r="G439" s="34">
        <v>1</v>
      </c>
      <c r="H439" s="21" t="s">
        <v>65</v>
      </c>
      <c r="I439" s="31">
        <v>45492</v>
      </c>
      <c r="J439" s="26">
        <v>0.82</v>
      </c>
      <c r="K439" s="24">
        <v>0.15</v>
      </c>
      <c r="L439" s="33">
        <f>VLOOKUP(Table20[[#This Row],[Strategy]],Table29[#All],6,FALSE)</f>
        <v>-1</v>
      </c>
      <c r="M439" s="23">
        <v>2</v>
      </c>
      <c r="N439" s="23">
        <v>2.08</v>
      </c>
      <c r="O439" s="23"/>
      <c r="P439" s="23"/>
      <c r="Q439">
        <f>Table20[[#This Row],[Exit1]]*Table20[[#This Row],[ex1_price]]</f>
        <v>4.16</v>
      </c>
      <c r="R439">
        <f>Table20[[#This Row],[Exit2]]*Table20[[#This Row],[ex2_price]]</f>
        <v>0</v>
      </c>
      <c r="S439">
        <f>IFERROR((Table20[[#This Row],[ex2_amnt]]+Table20[[#This Row],[ex1_amnt]])/(Table20[[#This Row],[Exit2]]+Table20[[#This Row],[Exit1]]),0)</f>
        <v>2.08</v>
      </c>
      <c r="T439" s="5">
        <f>(Table20[[#This Row],[Exit1]]+Table20[[#This Row],[Exit2]])*(Table20[[#This Row],[avg_exit_price]]-Table20[[#This Row],[AvePrice]])*100*Table20[[#This Row],[Buy or Sell]]</f>
        <v>252.00000000000006</v>
      </c>
      <c r="U439" s="5">
        <f>Table20[[#This Row],[Number of options]]*Table20[[#This Row],[AvePrice]]*100*Table20[[#This Row],[Buy or Sell]]</f>
        <v>164</v>
      </c>
      <c r="V439" s="8">
        <f>Table20[[#This Row],[Number of options]]-Table20[[#This Row],[Exit1]]-Table20[[#This Row],[Exit2]]</f>
        <v>0</v>
      </c>
      <c r="W439" s="30">
        <f ca="1">(Table20[[#This Row],[Expiration Date]]-TODAY())/365</f>
        <v>-1.6849315068493151</v>
      </c>
      <c r="X439" s="30" t="e">
        <f ca="1">(LN(Table20[[#This Row],[Current Price]]/Table20[[#This Row],[strike_price]]) + ($B$2 + (Table20[[#This Row],[Vol]]^2)/2)*Table20[[#This Row],[Time to expiration]]) / (Table20[[#This Row],[Vol]] * SQRT(Table20[[#This Row],[Time to expiration]]))</f>
        <v>#NUM!</v>
      </c>
      <c r="Y439" s="30" t="e">
        <f ca="1">IF(Table20[[#This Row],[Direction]]&gt;0, _xlfn.NORM.S.DIST(Table20[[#This Row],[d1]], TRUE), _xlfn.NORM.S.DIST(Table20[[#This Row],[d1]], TRUE) - 1) * Table20[[#This Row],[Buy or Sell]]</f>
        <v>#NUM!</v>
      </c>
      <c r="Z439" s="9">
        <f ca="1">Table20[[#This Row],[Remaining]]*Table20[[#This Row],[Current Price]]*100</f>
        <v>0</v>
      </c>
      <c r="AA439" s="22">
        <f ca="1">IFERROR(Table20[[#This Row],[nominal_exposure]]*Table20[[#This Row],[Delta]],0)</f>
        <v>0</v>
      </c>
      <c r="AB439" s="95" t="b">
        <f>IF(Table20[[#This Row],[date_purchased]]&lt;&gt;Table20[[#This Row],[Expiration Date]],FALSE,TRUE)</f>
        <v>1</v>
      </c>
      <c r="AC439" s="30" t="str">
        <f>VLOOKUP(Table20[[#This Row],[Asset]],Table19[#All],3,FALSE)</f>
        <v>Market</v>
      </c>
      <c r="AD439" s="30">
        <f>IF(Table20[[#This Row],[Remaining]]&lt;&gt;0,Table20[[#This Row],[Invested]]*Table20[[#This Row],[Remaining]]/Table20[[#This Row],[Number of options]],0)</f>
        <v>0</v>
      </c>
      <c r="AE439" s="30">
        <f ca="1">SUMIF(Table20[Ticker],Table20[[#This Row],[Ticker]],Table20[realized_profit])</f>
        <v>-5077</v>
      </c>
      <c r="AF439" s="30" t="str">
        <f>VLOOKUP(Table20[[#This Row],[Strategy]],Table29[#All],7,FALSE)</f>
        <v>Bearish</v>
      </c>
    </row>
    <row r="440" spans="1:32" hidden="1">
      <c r="A440" s="35">
        <v>45488</v>
      </c>
      <c r="B440" s="21" t="e" vm="96">
        <v>#VALUE!</v>
      </c>
      <c r="C440" s="109" t="str" cm="1">
        <f t="array" aca="1" ref="C440" ca="1">_FV(Table20[[#This Row],[Asset]],"Ticker symbol",TRUE)</f>
        <v>SPY</v>
      </c>
      <c r="D440" s="26" cm="1">
        <f t="array" aca="1" ref="D440" ca="1">_FV(Table20[[#This Row],[Asset]],"Price")</f>
        <v>658.59</v>
      </c>
      <c r="E440" s="26">
        <v>545</v>
      </c>
      <c r="F440" s="33">
        <v>1</v>
      </c>
      <c r="G440" s="34">
        <v>1</v>
      </c>
      <c r="H440" s="21" t="s">
        <v>65</v>
      </c>
      <c r="I440" s="31">
        <v>45474</v>
      </c>
      <c r="J440" s="26">
        <v>3.36</v>
      </c>
      <c r="K440" s="24">
        <v>9.4E-2</v>
      </c>
      <c r="L440" s="33">
        <f>VLOOKUP(Table20[[#This Row],[Strategy]],Table29[#All],6,FALSE)</f>
        <v>-1</v>
      </c>
      <c r="M440" s="23">
        <v>1</v>
      </c>
      <c r="N440" s="23">
        <v>3.69</v>
      </c>
      <c r="O440" s="23"/>
      <c r="P440" s="23"/>
      <c r="Q440">
        <f>Table20[[#This Row],[Exit1]]*Table20[[#This Row],[ex1_price]]</f>
        <v>3.69</v>
      </c>
      <c r="R440">
        <f>Table20[[#This Row],[Exit2]]*Table20[[#This Row],[ex2_price]]</f>
        <v>0</v>
      </c>
      <c r="S440">
        <f>IFERROR((Table20[[#This Row],[ex2_amnt]]+Table20[[#This Row],[ex1_amnt]])/(Table20[[#This Row],[Exit2]]+Table20[[#This Row],[Exit1]]),0)</f>
        <v>3.69</v>
      </c>
      <c r="T440" s="5">
        <f>(Table20[[#This Row],[Exit1]]+Table20[[#This Row],[Exit2]])*(Table20[[#This Row],[avg_exit_price]]-Table20[[#This Row],[AvePrice]])*100*Table20[[#This Row],[Buy or Sell]]</f>
        <v>33.000000000000007</v>
      </c>
      <c r="U440" s="5">
        <f>Table20[[#This Row],[Number of options]]*Table20[[#This Row],[AvePrice]]*100*Table20[[#This Row],[Buy or Sell]]</f>
        <v>336</v>
      </c>
      <c r="V440" s="8">
        <f>Table20[[#This Row],[Number of options]]-Table20[[#This Row],[Exit1]]-Table20[[#This Row],[Exit2]]</f>
        <v>0</v>
      </c>
      <c r="W440" s="30">
        <f ca="1">(Table20[[#This Row],[Expiration Date]]-TODAY())/365</f>
        <v>-1.6958904109589041</v>
      </c>
      <c r="X440" s="30" t="e">
        <f ca="1">(LN(Table20[[#This Row],[Current Price]]/Table20[[#This Row],[strike_price]]) + ($B$2 + (Table20[[#This Row],[Vol]]^2)/2)*Table20[[#This Row],[Time to expiration]]) / (Table20[[#This Row],[Vol]] * SQRT(Table20[[#This Row],[Time to expiration]]))</f>
        <v>#NUM!</v>
      </c>
      <c r="Y440" s="30" t="e">
        <f ca="1">IF(Table20[[#This Row],[Direction]]&gt;0, _xlfn.NORM.S.DIST(Table20[[#This Row],[d1]], TRUE), _xlfn.NORM.S.DIST(Table20[[#This Row],[d1]], TRUE) - 1) * Table20[[#This Row],[Buy or Sell]]</f>
        <v>#NUM!</v>
      </c>
      <c r="Z440" s="9">
        <f ca="1">Table20[[#This Row],[Remaining]]*Table20[[#This Row],[Current Price]]*100</f>
        <v>0</v>
      </c>
      <c r="AA440" s="22">
        <f ca="1">IFERROR(Table20[[#This Row],[nominal_exposure]]*Table20[[#This Row],[Delta]],0)</f>
        <v>0</v>
      </c>
      <c r="AB440" s="95" t="b">
        <f>IF(Table20[[#This Row],[date_purchased]]&lt;&gt;Table20[[#This Row],[Expiration Date]],FALSE,TRUE)</f>
        <v>0</v>
      </c>
      <c r="AC440" s="30" t="str">
        <f>VLOOKUP(Table20[[#This Row],[Asset]],Table19[#All],3,FALSE)</f>
        <v>Market</v>
      </c>
      <c r="AD440" s="30">
        <f>IF(Table20[[#This Row],[Remaining]]&lt;&gt;0,Table20[[#This Row],[Invested]]*Table20[[#This Row],[Remaining]]/Table20[[#This Row],[Number of options]],0)</f>
        <v>0</v>
      </c>
      <c r="AE440" s="30">
        <f ca="1">SUMIF(Table20[Ticker],Table20[[#This Row],[Ticker]],Table20[realized_profit])</f>
        <v>-5077</v>
      </c>
      <c r="AF440" s="30" t="str">
        <f>VLOOKUP(Table20[[#This Row],[Strategy]],Table29[#All],7,FALSE)</f>
        <v>Bearish</v>
      </c>
    </row>
    <row r="441" spans="1:32" hidden="1">
      <c r="A441" s="180">
        <v>45301</v>
      </c>
      <c r="B441" s="21" t="e" vm="34">
        <v>#VALUE!</v>
      </c>
      <c r="C441" s="109" t="str" cm="1">
        <f t="array" aca="1" ref="C441" ca="1">_FV(Table20[[#This Row],[Asset]],"Ticker symbol",TRUE)</f>
        <v>TSM</v>
      </c>
      <c r="D441" s="26" cm="1">
        <f t="array" aca="1" ref="D441" ca="1">_FV(Table20[[#This Row],[Asset]],"Price")</f>
        <v>348.52499999999998</v>
      </c>
      <c r="E441" s="26">
        <v>220</v>
      </c>
      <c r="F441" s="33">
        <v>2</v>
      </c>
      <c r="G441" s="34">
        <v>1</v>
      </c>
      <c r="H441" s="34" t="s">
        <v>113</v>
      </c>
      <c r="I441" s="31">
        <v>45639</v>
      </c>
      <c r="J441" s="26">
        <v>2.14</v>
      </c>
      <c r="K441" s="24">
        <v>0.38119999999999998</v>
      </c>
      <c r="L441" s="33">
        <f>VLOOKUP(Table20[[#This Row],[Strategy]],Table29[#All],6,FALSE)</f>
        <v>1</v>
      </c>
      <c r="M441" s="23">
        <v>2</v>
      </c>
      <c r="N441" s="23">
        <v>1.1100000000000001</v>
      </c>
      <c r="O441" s="23"/>
      <c r="P441" s="23"/>
      <c r="Q441">
        <f>Table20[[#This Row],[Exit1]]*Table20[[#This Row],[ex1_price]]</f>
        <v>2.2200000000000002</v>
      </c>
      <c r="R441">
        <f>Table20[[#This Row],[Exit2]]*Table20[[#This Row],[ex2_price]]</f>
        <v>0</v>
      </c>
      <c r="S441">
        <f>IFERROR((Table20[[#This Row],[ex2_amnt]]+Table20[[#This Row],[ex1_amnt]])/(Table20[[#This Row],[Exit2]]+Table20[[#This Row],[Exit1]]),0)</f>
        <v>1.1100000000000001</v>
      </c>
      <c r="T441" s="5">
        <f>(Table20[[#This Row],[Exit1]]+Table20[[#This Row],[Exit2]])*(Table20[[#This Row],[avg_exit_price]]-Table20[[#This Row],[AvePrice]])*100*Table20[[#This Row],[Buy or Sell]]</f>
        <v>-206</v>
      </c>
      <c r="U441" s="5">
        <f>Table20[[#This Row],[Number of options]]*Table20[[#This Row],[AvePrice]]*100*Table20[[#This Row],[Buy or Sell]]</f>
        <v>428</v>
      </c>
      <c r="V441" s="8">
        <f>Table20[[#This Row],[Number of options]]-Table20[[#This Row],[Exit1]]-Table20[[#This Row],[Exit2]]</f>
        <v>0</v>
      </c>
      <c r="W441" s="30">
        <f ca="1">(Table20[[#This Row],[Expiration Date]]-TODAY())/365</f>
        <v>-2.2082191780821918</v>
      </c>
      <c r="X441" s="30" t="e">
        <f ca="1">(LN(Table20[[#This Row],[Current Price]]/Table20[[#This Row],[strike_price]]) + ($B$2 + (Table20[[#This Row],[Vol]]^2)/2)*Table20[[#This Row],[Time to expiration]]) / (Table20[[#This Row],[Vol]] * SQRT(Table20[[#This Row],[Time to expiration]]))</f>
        <v>#NUM!</v>
      </c>
      <c r="Y441" s="30" t="e">
        <f ca="1">IF(Table20[[#This Row],[Direction]]&gt;0, _xlfn.NORM.S.DIST(Table20[[#This Row],[d1]], TRUE), _xlfn.NORM.S.DIST(Table20[[#This Row],[d1]], TRUE) - 1) * Table20[[#This Row],[Buy or Sell]]</f>
        <v>#NUM!</v>
      </c>
      <c r="Z441" s="9">
        <f ca="1">Table20[[#This Row],[Remaining]]*Table20[[#This Row],[Current Price]]*100</f>
        <v>0</v>
      </c>
      <c r="AA441" s="22">
        <f ca="1">IFERROR(Table20[[#This Row],[nominal_exposure]]*Table20[[#This Row],[Delta]],0)</f>
        <v>0</v>
      </c>
      <c r="AB441" s="30" t="b">
        <f>IF(Table20[[#This Row],[date_purchased]]&lt;&gt;Table20[[#This Row],[Expiration Date]],FALSE,TRUE)</f>
        <v>0</v>
      </c>
      <c r="AC441" s="30" t="str">
        <f>VLOOKUP(Table20[[#This Row],[Asset]],Table19[#All],3,FALSE)</f>
        <v>AI</v>
      </c>
      <c r="AD441" s="30">
        <f>IF(Table20[[#This Row],[Remaining]]&lt;&gt;0,Table20[[#This Row],[Invested]]*Table20[[#This Row],[Remaining]]/Table20[[#This Row],[Number of options]],0)</f>
        <v>0</v>
      </c>
      <c r="AE441" s="30">
        <f ca="1">SUMIF(Table20[Ticker],Table20[[#This Row],[Ticker]],Table20[realized_profit])</f>
        <v>-444.99999999999977</v>
      </c>
      <c r="AF441" s="30" t="str">
        <f>VLOOKUP(Table20[[#This Row],[Strategy]],Table29[#All],7,FALSE)</f>
        <v>Bullish</v>
      </c>
    </row>
    <row r="442" spans="1:32" hidden="1">
      <c r="A442" s="180">
        <v>45709</v>
      </c>
      <c r="B442" s="21" t="e" vm="63">
        <v>#VALUE!</v>
      </c>
      <c r="C442" s="109" t="str" cm="1">
        <f t="array" aca="1" ref="C442" ca="1">_FV(Table20[[#This Row],[Asset]],"Ticker symbol",TRUE)</f>
        <v>TSLA</v>
      </c>
      <c r="D442" s="26" cm="1">
        <f t="array" aca="1" ref="D442" ca="1">_FV(Table20[[#This Row],[Asset]],"Price")</f>
        <v>394.5401</v>
      </c>
      <c r="E442" s="26">
        <v>300</v>
      </c>
      <c r="F442" s="33">
        <v>1</v>
      </c>
      <c r="G442" s="34">
        <v>1</v>
      </c>
      <c r="H442" s="34" t="s">
        <v>65</v>
      </c>
      <c r="I442" s="31">
        <v>45643</v>
      </c>
      <c r="J442" s="26">
        <v>4.49</v>
      </c>
      <c r="K442" s="24">
        <v>0.78220000000000001</v>
      </c>
      <c r="L442" s="33">
        <f>VLOOKUP(Table20[[#This Row],[Strategy]],Table29[#All],6,FALSE)</f>
        <v>-1</v>
      </c>
      <c r="M442" s="23">
        <v>1</v>
      </c>
      <c r="N442" s="23">
        <v>7.4</v>
      </c>
      <c r="O442" s="23"/>
      <c r="P442" s="23"/>
      <c r="Q442">
        <f>Table20[[#This Row],[Exit1]]*Table20[[#This Row],[ex1_price]]</f>
        <v>7.4</v>
      </c>
      <c r="R442">
        <f>Table20[[#This Row],[Exit2]]*Table20[[#This Row],[ex2_price]]</f>
        <v>0</v>
      </c>
      <c r="S442">
        <f>IFERROR((Table20[[#This Row],[ex2_amnt]]+Table20[[#This Row],[ex1_amnt]])/(Table20[[#This Row],[Exit2]]+Table20[[#This Row],[Exit1]]),0)</f>
        <v>7.4</v>
      </c>
      <c r="T442" s="5">
        <f>(Table20[[#This Row],[Exit1]]+Table20[[#This Row],[Exit2]])*(Table20[[#This Row],[avg_exit_price]]-Table20[[#This Row],[AvePrice]])*100*Table20[[#This Row],[Buy or Sell]]</f>
        <v>291</v>
      </c>
      <c r="U442" s="5">
        <f>Table20[[#This Row],[Number of options]]*Table20[[#This Row],[AvePrice]]*100*Table20[[#This Row],[Buy or Sell]]</f>
        <v>449</v>
      </c>
      <c r="V442" s="8">
        <f>Table20[[#This Row],[Number of options]]-Table20[[#This Row],[Exit1]]-Table20[[#This Row],[Exit2]]</f>
        <v>0</v>
      </c>
      <c r="W442" s="30">
        <f ca="1">(Table20[[#This Row],[Expiration Date]]-TODAY())/365</f>
        <v>-1.0904109589041096</v>
      </c>
      <c r="X442" s="30" t="e">
        <f ca="1">(LN(Table20[[#This Row],[Current Price]]/Table20[[#This Row],[strike_price]]) + ($B$2 + (Table20[[#This Row],[Vol]]^2)/2)*Table20[[#This Row],[Time to expiration]]) / (Table20[[#This Row],[Vol]] * SQRT(Table20[[#This Row],[Time to expiration]]))</f>
        <v>#NUM!</v>
      </c>
      <c r="Y442" s="30" t="e">
        <f ca="1">IF(Table20[[#This Row],[Direction]]&gt;0, _xlfn.NORM.S.DIST(Table20[[#This Row],[d1]], TRUE), _xlfn.NORM.S.DIST(Table20[[#This Row],[d1]], TRUE) - 1) * Table20[[#This Row],[Buy or Sell]]</f>
        <v>#NUM!</v>
      </c>
      <c r="Z442" s="9">
        <f ca="1">Table20[[#This Row],[Remaining]]*Table20[[#This Row],[Current Price]]*100</f>
        <v>0</v>
      </c>
      <c r="AA442" s="22">
        <f ca="1">IFERROR(Table20[[#This Row],[nominal_exposure]]*Table20[[#This Row],[Delta]],0)</f>
        <v>0</v>
      </c>
      <c r="AB442" s="30" t="b">
        <f>IF(Table20[[#This Row],[date_purchased]]&lt;&gt;Table20[[#This Row],[Expiration Date]],FALSE,TRUE)</f>
        <v>0</v>
      </c>
      <c r="AC442" s="30" t="str">
        <f>VLOOKUP(Table20[[#This Row],[Asset]],Table19[#All],3,FALSE)</f>
        <v>Auto</v>
      </c>
      <c r="AD442" s="30">
        <f>IF(Table20[[#This Row],[Remaining]]&lt;&gt;0,Table20[[#This Row],[Invested]]*Table20[[#This Row],[Remaining]]/Table20[[#This Row],[Number of options]],0)</f>
        <v>0</v>
      </c>
      <c r="AE442" s="30">
        <f ca="1">SUMIF(Table20[Ticker],Table20[[#This Row],[Ticker]],Table20[realized_profit])</f>
        <v>4153</v>
      </c>
      <c r="AF442" s="30" t="str">
        <f>VLOOKUP(Table20[[#This Row],[Strategy]],Table29[#All],7,FALSE)</f>
        <v>Bearish</v>
      </c>
    </row>
    <row r="443" spans="1:32" hidden="1">
      <c r="A443" s="35">
        <v>45485</v>
      </c>
      <c r="B443" s="21" t="e" vm="96">
        <v>#VALUE!</v>
      </c>
      <c r="C443" s="109" t="str" cm="1">
        <f t="array" aca="1" ref="C443" ca="1">_FV(Table20[[#This Row],[Asset]],"Ticker symbol",TRUE)</f>
        <v>SPY</v>
      </c>
      <c r="D443" s="26" cm="1">
        <f t="array" aca="1" ref="D443" ca="1">_FV(Table20[[#This Row],[Asset]],"Price")</f>
        <v>658.59</v>
      </c>
      <c r="E443" s="26">
        <v>540</v>
      </c>
      <c r="F443" s="33">
        <v>1</v>
      </c>
      <c r="G443" s="34">
        <v>1</v>
      </c>
      <c r="H443" s="21" t="s">
        <v>65</v>
      </c>
      <c r="I443" s="31">
        <v>45475</v>
      </c>
      <c r="J443" s="26">
        <v>1.75</v>
      </c>
      <c r="K443" s="24">
        <v>0.1086</v>
      </c>
      <c r="L443" s="33">
        <f>VLOOKUP(Table20[[#This Row],[Strategy]],Table29[#All],6,FALSE)</f>
        <v>-1</v>
      </c>
      <c r="M443" s="23">
        <v>1</v>
      </c>
      <c r="N443" s="23">
        <v>0</v>
      </c>
      <c r="O443" s="23"/>
      <c r="P443" s="23"/>
      <c r="Q443">
        <f>Table20[[#This Row],[Exit1]]*Table20[[#This Row],[ex1_price]]</f>
        <v>0</v>
      </c>
      <c r="R443">
        <f>Table20[[#This Row],[Exit2]]*Table20[[#This Row],[ex2_price]]</f>
        <v>0</v>
      </c>
      <c r="S443">
        <f>IFERROR((Table20[[#This Row],[ex2_amnt]]+Table20[[#This Row],[ex1_amnt]])/(Table20[[#This Row],[Exit2]]+Table20[[#This Row],[Exit1]]),0)</f>
        <v>0</v>
      </c>
      <c r="T443" s="5">
        <f>(Table20[[#This Row],[Exit1]]+Table20[[#This Row],[Exit2]])*(Table20[[#This Row],[avg_exit_price]]-Table20[[#This Row],[AvePrice]])*100*Table20[[#This Row],[Buy or Sell]]</f>
        <v>-175</v>
      </c>
      <c r="U443" s="5">
        <f>Table20[[#This Row],[Number of options]]*Table20[[#This Row],[AvePrice]]*100*Table20[[#This Row],[Buy or Sell]]</f>
        <v>175</v>
      </c>
      <c r="V443" s="8">
        <f>Table20[[#This Row],[Number of options]]-Table20[[#This Row],[Exit1]]-Table20[[#This Row],[Exit2]]</f>
        <v>0</v>
      </c>
      <c r="W443" s="30">
        <f ca="1">(Table20[[#This Row],[Expiration Date]]-TODAY())/365</f>
        <v>-1.704109589041096</v>
      </c>
      <c r="X443" s="30" t="e">
        <f ca="1">(LN(Table20[[#This Row],[Current Price]]/Table20[[#This Row],[strike_price]]) + ($B$2 + (Table20[[#This Row],[Vol]]^2)/2)*Table20[[#This Row],[Time to expiration]]) / (Table20[[#This Row],[Vol]] * SQRT(Table20[[#This Row],[Time to expiration]]))</f>
        <v>#NUM!</v>
      </c>
      <c r="Y443" s="30" t="e">
        <f ca="1">IF(Table20[[#This Row],[Direction]]&gt;0, _xlfn.NORM.S.DIST(Table20[[#This Row],[d1]], TRUE), _xlfn.NORM.S.DIST(Table20[[#This Row],[d1]], TRUE) - 1) * Table20[[#This Row],[Buy or Sell]]</f>
        <v>#NUM!</v>
      </c>
      <c r="Z443" s="9">
        <f ca="1">Table20[[#This Row],[Remaining]]*Table20[[#This Row],[Current Price]]*100</f>
        <v>0</v>
      </c>
      <c r="AA443" s="22">
        <f ca="1">IFERROR(Table20[[#This Row],[nominal_exposure]]*Table20[[#This Row],[Delta]],0)</f>
        <v>0</v>
      </c>
      <c r="AB443" s="95" t="b">
        <f>IF(Table20[[#This Row],[date_purchased]]&lt;&gt;Table20[[#This Row],[Expiration Date]],FALSE,TRUE)</f>
        <v>0</v>
      </c>
      <c r="AC443" s="30" t="str">
        <f>VLOOKUP(Table20[[#This Row],[Asset]],Table19[#All],3,FALSE)</f>
        <v>Market</v>
      </c>
      <c r="AD443" s="30">
        <f>IF(Table20[[#This Row],[Remaining]]&lt;&gt;0,Table20[[#This Row],[Invested]]*Table20[[#This Row],[Remaining]]/Table20[[#This Row],[Number of options]],0)</f>
        <v>0</v>
      </c>
      <c r="AE443" s="30">
        <f ca="1">SUMIF(Table20[Ticker],Table20[[#This Row],[Ticker]],Table20[realized_profit])</f>
        <v>-5077</v>
      </c>
      <c r="AF443" s="30" t="str">
        <f>VLOOKUP(Table20[[#This Row],[Strategy]],Table29[#All],7,FALSE)</f>
        <v>Bearish</v>
      </c>
    </row>
    <row r="444" spans="1:32" hidden="1">
      <c r="A444" s="35">
        <v>45478</v>
      </c>
      <c r="B444" s="21" t="e" vm="96">
        <v>#VALUE!</v>
      </c>
      <c r="C444" s="109" t="str" cm="1">
        <f t="array" aca="1" ref="C444" ca="1">_FV(Table20[[#This Row],[Asset]],"Ticker symbol",TRUE)</f>
        <v>SPY</v>
      </c>
      <c r="D444" s="26" cm="1">
        <f t="array" aca="1" ref="D444" ca="1">_FV(Table20[[#This Row],[Asset]],"Price")</f>
        <v>658.59</v>
      </c>
      <c r="E444" s="26">
        <v>546</v>
      </c>
      <c r="F444" s="33">
        <v>1</v>
      </c>
      <c r="G444" s="34">
        <v>1</v>
      </c>
      <c r="H444" s="21" t="s">
        <v>113</v>
      </c>
      <c r="I444" s="31">
        <v>45471</v>
      </c>
      <c r="J444" s="26">
        <v>2.4700000000000002</v>
      </c>
      <c r="K444" s="24">
        <v>8.9200000000000002E-2</v>
      </c>
      <c r="L444" s="33">
        <f>VLOOKUP(Table20[[#This Row],[Strategy]],Table29[#All],6,FALSE)</f>
        <v>1</v>
      </c>
      <c r="M444" s="23">
        <v>1</v>
      </c>
      <c r="N444" s="23">
        <v>1.64</v>
      </c>
      <c r="O444" s="23"/>
      <c r="P444" s="23"/>
      <c r="Q444">
        <f>Table20[[#This Row],[Exit1]]*Table20[[#This Row],[ex1_price]]</f>
        <v>1.64</v>
      </c>
      <c r="R444">
        <f>Table20[[#This Row],[Exit2]]*Table20[[#This Row],[ex2_price]]</f>
        <v>0</v>
      </c>
      <c r="S444">
        <f>IFERROR((Table20[[#This Row],[ex2_amnt]]+Table20[[#This Row],[ex1_amnt]])/(Table20[[#This Row],[Exit2]]+Table20[[#This Row],[Exit1]]),0)</f>
        <v>1.64</v>
      </c>
      <c r="T444" s="5">
        <f>(Table20[[#This Row],[Exit1]]+Table20[[#This Row],[Exit2]])*(Table20[[#This Row],[avg_exit_price]]-Table20[[#This Row],[AvePrice]])*100*Table20[[#This Row],[Buy or Sell]]</f>
        <v>-83.000000000000028</v>
      </c>
      <c r="U444" s="5">
        <f>Table20[[#This Row],[Number of options]]*Table20[[#This Row],[AvePrice]]*100*Table20[[#This Row],[Buy or Sell]]</f>
        <v>247.00000000000003</v>
      </c>
      <c r="V444" s="8">
        <f>Table20[[#This Row],[Number of options]]-Table20[[#This Row],[Exit1]]-Table20[[#This Row],[Exit2]]</f>
        <v>0</v>
      </c>
      <c r="W444" s="30">
        <f ca="1">(Table20[[#This Row],[Expiration Date]]-TODAY())/365</f>
        <v>-1.7232876712328766</v>
      </c>
      <c r="X444" s="30" t="e">
        <f ca="1">(LN(Table20[[#This Row],[Current Price]]/Table20[[#This Row],[strike_price]]) + ($B$2 + (Table20[[#This Row],[Vol]]^2)/2)*Table20[[#This Row],[Time to expiration]]) / (Table20[[#This Row],[Vol]] * SQRT(Table20[[#This Row],[Time to expiration]]))</f>
        <v>#NUM!</v>
      </c>
      <c r="Y444" s="30" t="e">
        <f ca="1">IF(Table20[[#This Row],[Direction]]&gt;0, _xlfn.NORM.S.DIST(Table20[[#This Row],[d1]], TRUE), _xlfn.NORM.S.DIST(Table20[[#This Row],[d1]], TRUE) - 1) * Table20[[#This Row],[Buy or Sell]]</f>
        <v>#NUM!</v>
      </c>
      <c r="Z444" s="9">
        <f ca="1">Table20[[#This Row],[Remaining]]*Table20[[#This Row],[Current Price]]*100</f>
        <v>0</v>
      </c>
      <c r="AA444" s="22">
        <f ca="1">IFERROR(Table20[[#This Row],[nominal_exposure]]*Table20[[#This Row],[Delta]],0)</f>
        <v>0</v>
      </c>
      <c r="AB444" s="95" t="b">
        <f>IF(Table20[[#This Row],[date_purchased]]&lt;&gt;Table20[[#This Row],[Expiration Date]],FALSE,TRUE)</f>
        <v>0</v>
      </c>
      <c r="AC444" s="30" t="str">
        <f>VLOOKUP(Table20[[#This Row],[Asset]],Table19[#All],3,FALSE)</f>
        <v>Market</v>
      </c>
      <c r="AD444" s="30">
        <f>IF(Table20[[#This Row],[Remaining]]&lt;&gt;0,Table20[[#This Row],[Invested]]*Table20[[#This Row],[Remaining]]/Table20[[#This Row],[Number of options]],0)</f>
        <v>0</v>
      </c>
      <c r="AE444" s="30">
        <f ca="1">SUMIF(Table20[Ticker],Table20[[#This Row],[Ticker]],Table20[realized_profit])</f>
        <v>-5077</v>
      </c>
      <c r="AF444" s="30" t="str">
        <f>VLOOKUP(Table20[[#This Row],[Strategy]],Table29[#All],7,FALSE)</f>
        <v>Bullish</v>
      </c>
    </row>
    <row r="445" spans="1:32" hidden="1">
      <c r="A445" s="180">
        <v>45709</v>
      </c>
      <c r="B445" s="21" t="e" vm="144">
        <v>#VALUE!</v>
      </c>
      <c r="C445" s="109" t="str" cm="1">
        <f t="array" aca="1" ref="C445" ca="1">_FV(Table20[[#This Row],[Asset]],"Ticker symbol",TRUE)</f>
        <v>AAPL</v>
      </c>
      <c r="D445" s="26" cm="1">
        <f t="array" aca="1" ref="D445" ca="1">_FV(Table20[[#This Row],[Asset]],"Price")</f>
        <v>253.2</v>
      </c>
      <c r="E445" s="26">
        <v>230</v>
      </c>
      <c r="F445" s="33">
        <v>1</v>
      </c>
      <c r="G445" s="34">
        <v>1</v>
      </c>
      <c r="H445" s="34" t="s">
        <v>65</v>
      </c>
      <c r="I445" s="31">
        <v>45688</v>
      </c>
      <c r="J445" s="26">
        <v>1.9</v>
      </c>
      <c r="K445" s="24"/>
      <c r="L445" s="33">
        <f>VLOOKUP(Table20[[#This Row],[Strategy]],Table29[#All],6,FALSE)</f>
        <v>-1</v>
      </c>
      <c r="M445" s="23">
        <v>1</v>
      </c>
      <c r="N445" s="23">
        <v>5.2</v>
      </c>
      <c r="O445" s="23"/>
      <c r="P445" s="23"/>
      <c r="Q445">
        <f>Table20[[#This Row],[Exit1]]*Table20[[#This Row],[ex1_price]]</f>
        <v>5.2</v>
      </c>
      <c r="R445">
        <f>Table20[[#This Row],[Exit2]]*Table20[[#This Row],[ex2_price]]</f>
        <v>0</v>
      </c>
      <c r="S445">
        <f>IFERROR((Table20[[#This Row],[ex2_amnt]]+Table20[[#This Row],[ex1_amnt]])/(Table20[[#This Row],[Exit2]]+Table20[[#This Row],[Exit1]]),0)</f>
        <v>5.2</v>
      </c>
      <c r="T445" s="5">
        <f>(Table20[[#This Row],[Exit1]]+Table20[[#This Row],[Exit2]])*(Table20[[#This Row],[avg_exit_price]]-Table20[[#This Row],[AvePrice]])*100*Table20[[#This Row],[Buy or Sell]]</f>
        <v>330</v>
      </c>
      <c r="U445" s="5">
        <f>Table20[[#This Row],[Number of options]]*Table20[[#This Row],[AvePrice]]*100*Table20[[#This Row],[Buy or Sell]]</f>
        <v>190</v>
      </c>
      <c r="V445" s="8">
        <f>Table20[[#This Row],[Number of options]]-Table20[[#This Row],[Exit1]]-Table20[[#This Row],[Exit2]]</f>
        <v>0</v>
      </c>
      <c r="W445" s="30">
        <f ca="1">(Table20[[#This Row],[Expiration Date]]-TODAY())/365</f>
        <v>-1.0904109589041096</v>
      </c>
      <c r="X445" s="30" t="e">
        <f ca="1">(LN(Table20[[#This Row],[Current Price]]/Table20[[#This Row],[strike_price]]) + ($B$2 + (Table20[[#This Row],[Vol]]^2)/2)*Table20[[#This Row],[Time to expiration]]) / (Table20[[#This Row],[Vol]] * SQRT(Table20[[#This Row],[Time to expiration]]))</f>
        <v>#NUM!</v>
      </c>
      <c r="Y445" s="30" t="e">
        <f ca="1">IF(Table20[[#This Row],[Direction]]&gt;0, _xlfn.NORM.S.DIST(Table20[[#This Row],[d1]], TRUE), _xlfn.NORM.S.DIST(Table20[[#This Row],[d1]], TRUE) - 1) * Table20[[#This Row],[Buy or Sell]]</f>
        <v>#NUM!</v>
      </c>
      <c r="Z445" s="9">
        <f ca="1">Table20[[#This Row],[Remaining]]*Table20[[#This Row],[Current Price]]*100</f>
        <v>0</v>
      </c>
      <c r="AA445" s="22">
        <f ca="1">IFERROR(Table20[[#This Row],[nominal_exposure]]*Table20[[#This Row],[Delta]],0)</f>
        <v>0</v>
      </c>
      <c r="AB445" s="30" t="b">
        <f>IF(Table20[[#This Row],[date_purchased]]&lt;&gt;Table20[[#This Row],[Expiration Date]],FALSE,TRUE)</f>
        <v>0</v>
      </c>
      <c r="AC445" s="30" t="str">
        <f>VLOOKUP(Table20[[#This Row],[Asset]],Table19[#All],3,FALSE)</f>
        <v>AI</v>
      </c>
      <c r="AD445" s="30">
        <f>IF(Table20[[#This Row],[Remaining]]&lt;&gt;0,Table20[[#This Row],[Invested]]*Table20[[#This Row],[Remaining]]/Table20[[#This Row],[Number of options]],0)</f>
        <v>0</v>
      </c>
      <c r="AE445" s="30">
        <f ca="1">SUMIF(Table20[Ticker],Table20[[#This Row],[Ticker]],Table20[realized_profit])</f>
        <v>-153.9999999999996</v>
      </c>
      <c r="AF445" s="30" t="str">
        <f>VLOOKUP(Table20[[#This Row],[Strategy]],Table29[#All],7,FALSE)</f>
        <v>Bearish</v>
      </c>
    </row>
    <row r="446" spans="1:32" hidden="1">
      <c r="A446" s="180">
        <v>45709</v>
      </c>
      <c r="B446" s="21" t="e" vm="96">
        <v>#VALUE!</v>
      </c>
      <c r="C446" s="109" t="str" cm="1">
        <f t="array" aca="1" ref="C446" ca="1">_FV(Table20[[#This Row],[Asset]],"Ticker symbol",TRUE)</f>
        <v>SPY</v>
      </c>
      <c r="D446" s="26" cm="1">
        <f t="array" aca="1" ref="D446" ca="1">_FV(Table20[[#This Row],[Asset]],"Price")</f>
        <v>658.59</v>
      </c>
      <c r="E446" s="26">
        <v>590</v>
      </c>
      <c r="F446" s="33">
        <v>1</v>
      </c>
      <c r="G446" s="34">
        <v>1</v>
      </c>
      <c r="H446" s="34" t="s">
        <v>65</v>
      </c>
      <c r="I446" s="31">
        <v>45688</v>
      </c>
      <c r="J446" s="26">
        <v>3.3</v>
      </c>
      <c r="K446" s="24"/>
      <c r="L446" s="33">
        <f>VLOOKUP(Table20[[#This Row],[Strategy]],Table29[#All],6,FALSE)</f>
        <v>-1</v>
      </c>
      <c r="M446" s="23">
        <v>1</v>
      </c>
      <c r="N446" s="23">
        <v>2.4300000000000002</v>
      </c>
      <c r="O446" s="23"/>
      <c r="P446" s="23"/>
      <c r="Q446">
        <f>Table20[[#This Row],[Exit1]]*Table20[[#This Row],[ex1_price]]</f>
        <v>2.4300000000000002</v>
      </c>
      <c r="R446">
        <f>Table20[[#This Row],[Exit2]]*Table20[[#This Row],[ex2_price]]</f>
        <v>0</v>
      </c>
      <c r="S446">
        <f>IFERROR((Table20[[#This Row],[ex2_amnt]]+Table20[[#This Row],[ex1_amnt]])/(Table20[[#This Row],[Exit2]]+Table20[[#This Row],[Exit1]]),0)</f>
        <v>2.4300000000000002</v>
      </c>
      <c r="T446" s="5">
        <f>(Table20[[#This Row],[Exit1]]+Table20[[#This Row],[Exit2]])*(Table20[[#This Row],[avg_exit_price]]-Table20[[#This Row],[AvePrice]])*100*Table20[[#This Row],[Buy or Sell]]</f>
        <v>-86.999999999999972</v>
      </c>
      <c r="U446" s="5">
        <f>Table20[[#This Row],[Number of options]]*Table20[[#This Row],[AvePrice]]*100*Table20[[#This Row],[Buy or Sell]]</f>
        <v>330</v>
      </c>
      <c r="V446" s="8">
        <f>Table20[[#This Row],[Number of options]]-Table20[[#This Row],[Exit1]]-Table20[[#This Row],[Exit2]]</f>
        <v>0</v>
      </c>
      <c r="W446" s="30">
        <f ca="1">(Table20[[#This Row],[Expiration Date]]-TODAY())/365</f>
        <v>-1.0904109589041096</v>
      </c>
      <c r="X446" s="30" t="e">
        <f ca="1">(LN(Table20[[#This Row],[Current Price]]/Table20[[#This Row],[strike_price]]) + ($B$2 + (Table20[[#This Row],[Vol]]^2)/2)*Table20[[#This Row],[Time to expiration]]) / (Table20[[#This Row],[Vol]] * SQRT(Table20[[#This Row],[Time to expiration]]))</f>
        <v>#NUM!</v>
      </c>
      <c r="Y446" s="30" t="e">
        <f ca="1">IF(Table20[[#This Row],[Direction]]&gt;0, _xlfn.NORM.S.DIST(Table20[[#This Row],[d1]], TRUE), _xlfn.NORM.S.DIST(Table20[[#This Row],[d1]], TRUE) - 1) * Table20[[#This Row],[Buy or Sell]]</f>
        <v>#NUM!</v>
      </c>
      <c r="Z446" s="9">
        <f ca="1">Table20[[#This Row],[Remaining]]*Table20[[#This Row],[Current Price]]*100</f>
        <v>0</v>
      </c>
      <c r="AA446" s="22">
        <f ca="1">IFERROR(Table20[[#This Row],[nominal_exposure]]*Table20[[#This Row],[Delta]],0)</f>
        <v>0</v>
      </c>
      <c r="AB446" s="30" t="b">
        <f>IF(Table20[[#This Row],[date_purchased]]&lt;&gt;Table20[[#This Row],[Expiration Date]],FALSE,TRUE)</f>
        <v>0</v>
      </c>
      <c r="AC446" s="30" t="str">
        <f>VLOOKUP(Table20[[#This Row],[Asset]],Table19[#All],3,FALSE)</f>
        <v>Market</v>
      </c>
      <c r="AD446" s="30">
        <f>IF(Table20[[#This Row],[Remaining]]&lt;&gt;0,Table20[[#This Row],[Invested]]*Table20[[#This Row],[Remaining]]/Table20[[#This Row],[Number of options]],0)</f>
        <v>0</v>
      </c>
      <c r="AE446" s="30">
        <f ca="1">SUMIF(Table20[Ticker],Table20[[#This Row],[Ticker]],Table20[realized_profit])</f>
        <v>-5077</v>
      </c>
      <c r="AF446" s="30" t="str">
        <f>VLOOKUP(Table20[[#This Row],[Strategy]],Table29[#All],7,FALSE)</f>
        <v>Bearish</v>
      </c>
    </row>
    <row r="447" spans="1:32" hidden="1">
      <c r="A447" s="35">
        <v>45471</v>
      </c>
      <c r="B447" s="21" t="e" vm="96">
        <v>#VALUE!</v>
      </c>
      <c r="C447" s="109" t="str" cm="1">
        <f t="array" aca="1" ref="C447" ca="1">_FV(Table20[[#This Row],[Asset]],"Ticker symbol",TRUE)</f>
        <v>SPY</v>
      </c>
      <c r="D447" s="26" cm="1">
        <f t="array" aca="1" ref="D447" ca="1">_FV(Table20[[#This Row],[Asset]],"Price")</f>
        <v>658.59</v>
      </c>
      <c r="E447" s="26">
        <v>550</v>
      </c>
      <c r="F447" s="33">
        <v>1</v>
      </c>
      <c r="G447" s="34">
        <v>1</v>
      </c>
      <c r="H447" s="21" t="s">
        <v>65</v>
      </c>
      <c r="I447" s="31">
        <v>45471</v>
      </c>
      <c r="J447" s="26">
        <v>1.53</v>
      </c>
      <c r="K447" s="24">
        <v>0.19</v>
      </c>
      <c r="L447" s="33">
        <f>VLOOKUP(Table20[[#This Row],[Strategy]],Table29[#All],6,FALSE)</f>
        <v>-1</v>
      </c>
      <c r="M447" s="23">
        <v>1</v>
      </c>
      <c r="N447" s="23">
        <v>2.59</v>
      </c>
      <c r="O447" s="23"/>
      <c r="P447" s="23"/>
      <c r="Q447">
        <f>Table20[[#This Row],[Exit1]]*Table20[[#This Row],[ex1_price]]</f>
        <v>2.59</v>
      </c>
      <c r="R447">
        <f>Table20[[#This Row],[Exit2]]*Table20[[#This Row],[ex2_price]]</f>
        <v>0</v>
      </c>
      <c r="S447">
        <f>IFERROR((Table20[[#This Row],[ex2_amnt]]+Table20[[#This Row],[ex1_amnt]])/(Table20[[#This Row],[Exit2]]+Table20[[#This Row],[Exit1]]),0)</f>
        <v>2.59</v>
      </c>
      <c r="T447" s="5">
        <f>(Table20[[#This Row],[Exit1]]+Table20[[#This Row],[Exit2]])*(Table20[[#This Row],[avg_exit_price]]-Table20[[#This Row],[AvePrice]])*100*Table20[[#This Row],[Buy or Sell]]</f>
        <v>105.99999999999999</v>
      </c>
      <c r="U447" s="5">
        <f>Table20[[#This Row],[Number of options]]*Table20[[#This Row],[AvePrice]]*100*Table20[[#This Row],[Buy or Sell]]</f>
        <v>153</v>
      </c>
      <c r="V447" s="8">
        <f>Table20[[#This Row],[Number of options]]-Table20[[#This Row],[Exit1]]-Table20[[#This Row],[Exit2]]</f>
        <v>0</v>
      </c>
      <c r="W447" s="30">
        <f ca="1">(Table20[[#This Row],[Expiration Date]]-TODAY())/365</f>
        <v>-1.7424657534246575</v>
      </c>
      <c r="X447" s="30" t="e">
        <f ca="1">(LN(Table20[[#This Row],[Current Price]]/Table20[[#This Row],[strike_price]]) + ($B$2 + (Table20[[#This Row],[Vol]]^2)/2)*Table20[[#This Row],[Time to expiration]]) / (Table20[[#This Row],[Vol]] * SQRT(Table20[[#This Row],[Time to expiration]]))</f>
        <v>#NUM!</v>
      </c>
      <c r="Y447" s="30" t="e">
        <f ca="1">IF(Table20[[#This Row],[Direction]]&gt;0, _xlfn.NORM.S.DIST(Table20[[#This Row],[d1]], TRUE), _xlfn.NORM.S.DIST(Table20[[#This Row],[d1]], TRUE) - 1) * Table20[[#This Row],[Buy or Sell]]</f>
        <v>#NUM!</v>
      </c>
      <c r="Z447" s="9">
        <f ca="1">Table20[[#This Row],[Remaining]]*Table20[[#This Row],[Current Price]]*100</f>
        <v>0</v>
      </c>
      <c r="AA447" s="22">
        <f ca="1">IFERROR(Table20[[#This Row],[nominal_exposure]]*Table20[[#This Row],[Delta]],0)</f>
        <v>0</v>
      </c>
      <c r="AB447" s="95" t="b">
        <f>IF(Table20[[#This Row],[date_purchased]]&lt;&gt;Table20[[#This Row],[Expiration Date]],FALSE,TRUE)</f>
        <v>1</v>
      </c>
      <c r="AC447" s="30" t="str">
        <f>VLOOKUP(Table20[[#This Row],[Asset]],Table19[#All],3,FALSE)</f>
        <v>Market</v>
      </c>
      <c r="AD447" s="30">
        <f>IF(Table20[[#This Row],[Remaining]]&lt;&gt;0,Table20[[#This Row],[Invested]]*Table20[[#This Row],[Remaining]]/Table20[[#This Row],[Number of options]],0)</f>
        <v>0</v>
      </c>
      <c r="AE447" s="30">
        <f ca="1">SUMIF(Table20[Ticker],Table20[[#This Row],[Ticker]],Table20[realized_profit])</f>
        <v>-5077</v>
      </c>
      <c r="AF447" s="30" t="str">
        <f>VLOOKUP(Table20[[#This Row],[Strategy]],Table29[#All],7,FALSE)</f>
        <v>Bearish</v>
      </c>
    </row>
    <row r="448" spans="1:32" hidden="1">
      <c r="A448" s="180">
        <v>45674</v>
      </c>
      <c r="B448" s="21" t="e" vm="82">
        <v>#VALUE!</v>
      </c>
      <c r="C448" s="109" t="str" cm="1">
        <f t="array" aca="1" ref="C448" ca="1">_FV(Table20[[#This Row],[Asset]],"Ticker symbol",TRUE)</f>
        <v>XYZ</v>
      </c>
      <c r="D448" s="26" cm="1">
        <f t="array" aca="1" ref="D448" ca="1">_FV(Table20[[#This Row],[Asset]],"Price")</f>
        <v>61.17</v>
      </c>
      <c r="E448" s="26">
        <v>100</v>
      </c>
      <c r="F448" s="33">
        <v>2</v>
      </c>
      <c r="G448" s="34">
        <v>1</v>
      </c>
      <c r="H448" s="34" t="s">
        <v>113</v>
      </c>
      <c r="I448" s="31">
        <v>46011</v>
      </c>
      <c r="J448" s="26">
        <v>1.51</v>
      </c>
      <c r="K448" s="24"/>
      <c r="L448" s="33">
        <f>VLOOKUP(Table20[[#This Row],[Strategy]],Table29[#All],6,FALSE)</f>
        <v>1</v>
      </c>
      <c r="M448" s="23">
        <v>2</v>
      </c>
      <c r="N448" s="23">
        <v>0.23</v>
      </c>
      <c r="O448" s="23"/>
      <c r="P448" s="23"/>
      <c r="Q448">
        <f>Table20[[#This Row],[Exit1]]*Table20[[#This Row],[ex1_price]]</f>
        <v>0.46</v>
      </c>
      <c r="R448">
        <f>Table20[[#This Row],[Exit2]]*Table20[[#This Row],[ex2_price]]</f>
        <v>0</v>
      </c>
      <c r="S448">
        <f>IFERROR((Table20[[#This Row],[ex2_amnt]]+Table20[[#This Row],[ex1_amnt]])/(Table20[[#This Row],[Exit2]]+Table20[[#This Row],[Exit1]]),0)</f>
        <v>0.23</v>
      </c>
      <c r="T448" s="5">
        <f>(Table20[[#This Row],[Exit1]]+Table20[[#This Row],[Exit2]])*(Table20[[#This Row],[avg_exit_price]]-Table20[[#This Row],[AvePrice]])*100*Table20[[#This Row],[Buy or Sell]]</f>
        <v>-256</v>
      </c>
      <c r="U448" s="5">
        <f>Table20[[#This Row],[Number of options]]*Table20[[#This Row],[AvePrice]]*100*Table20[[#This Row],[Buy or Sell]]</f>
        <v>302</v>
      </c>
      <c r="V448" s="8">
        <f>Table20[[#This Row],[Number of options]]-Table20[[#This Row],[Exit1]]-Table20[[#This Row],[Exit2]]</f>
        <v>0</v>
      </c>
      <c r="W448" s="30">
        <f ca="1">(Table20[[#This Row],[Expiration Date]]-TODAY())/365</f>
        <v>-1.1863013698630136</v>
      </c>
      <c r="X448" s="30" t="e">
        <f ca="1">(LN(Table20[[#This Row],[Current Price]]/Table20[[#This Row],[strike_price]]) + ($B$2 + (Table20[[#This Row],[Vol]]^2)/2)*Table20[[#This Row],[Time to expiration]]) / (Table20[[#This Row],[Vol]] * SQRT(Table20[[#This Row],[Time to expiration]]))</f>
        <v>#NUM!</v>
      </c>
      <c r="Y448" s="30" t="e">
        <f ca="1">IF(Table20[[#This Row],[Direction]]&gt;0, _xlfn.NORM.S.DIST(Table20[[#This Row],[d1]], TRUE), _xlfn.NORM.S.DIST(Table20[[#This Row],[d1]], TRUE) - 1) * Table20[[#This Row],[Buy or Sell]]</f>
        <v>#NUM!</v>
      </c>
      <c r="Z448" s="9">
        <f ca="1">Table20[[#This Row],[Remaining]]*Table20[[#This Row],[Current Price]]*100</f>
        <v>0</v>
      </c>
      <c r="AA448" s="22">
        <f ca="1">IFERROR(Table20[[#This Row],[nominal_exposure]]*Table20[[#This Row],[Delta]],0)</f>
        <v>0</v>
      </c>
      <c r="AB448" s="30" t="b">
        <f>IF(Table20[[#This Row],[date_purchased]]&lt;&gt;Table20[[#This Row],[Expiration Date]],FALSE,TRUE)</f>
        <v>0</v>
      </c>
      <c r="AC448" s="30" t="str">
        <f>VLOOKUP(Table20[[#This Row],[Asset]],Table19[#All],3,FALSE)</f>
        <v>Financials</v>
      </c>
      <c r="AD448" s="30">
        <f>IF(Table20[[#This Row],[Remaining]]&lt;&gt;0,Table20[[#This Row],[Invested]]*Table20[[#This Row],[Remaining]]/Table20[[#This Row],[Number of options]],0)</f>
        <v>0</v>
      </c>
      <c r="AE448" s="30">
        <f ca="1">SUMIF(Table20[Ticker],Table20[[#This Row],[Ticker]],Table20[realized_profit])</f>
        <v>-729</v>
      </c>
      <c r="AF448" s="30" t="str">
        <f>VLOOKUP(Table20[[#This Row],[Strategy]],Table29[#All],7,FALSE)</f>
        <v>Bullish</v>
      </c>
    </row>
    <row r="449" spans="1:32" hidden="1">
      <c r="A449" s="180">
        <v>45747</v>
      </c>
      <c r="B449" s="21" t="e" vm="115">
        <v>#VALUE!</v>
      </c>
      <c r="C449" s="109" t="str" cm="1">
        <f t="array" aca="1" ref="C449" ca="1">_FV(Table20[[#This Row],[Asset]],"Ticker symbol",TRUE)</f>
        <v>QQQ</v>
      </c>
      <c r="D449" s="26" cm="1">
        <f t="array" aca="1" ref="D449" ca="1">_FV(Table20[[#This Row],[Asset]],"Price")</f>
        <v>590.62</v>
      </c>
      <c r="E449" s="26">
        <v>475</v>
      </c>
      <c r="F449" s="33">
        <v>1</v>
      </c>
      <c r="G449" s="34">
        <v>-1</v>
      </c>
      <c r="H449" s="34" t="s">
        <v>112</v>
      </c>
      <c r="I449" s="31">
        <v>45659</v>
      </c>
      <c r="J449" s="26">
        <v>4.28</v>
      </c>
      <c r="K449" s="24"/>
      <c r="L449" s="33">
        <f>VLOOKUP(Table20[[#This Row],[Strategy]],Table29[#All],6,FALSE)</f>
        <v>-1</v>
      </c>
      <c r="M449" s="23">
        <v>1</v>
      </c>
      <c r="N449" s="23">
        <v>3.93</v>
      </c>
      <c r="O449" s="23"/>
      <c r="P449" s="23"/>
      <c r="Q449">
        <f>Table20[[#This Row],[Exit1]]*Table20[[#This Row],[ex1_price]]</f>
        <v>3.93</v>
      </c>
      <c r="R449">
        <f>Table20[[#This Row],[Exit2]]*Table20[[#This Row],[ex2_price]]</f>
        <v>0</v>
      </c>
      <c r="S449">
        <f>IFERROR((Table20[[#This Row],[ex2_amnt]]+Table20[[#This Row],[ex1_amnt]])/(Table20[[#This Row],[Exit2]]+Table20[[#This Row],[Exit1]]),0)</f>
        <v>3.93</v>
      </c>
      <c r="T449" s="5">
        <f>(Table20[[#This Row],[Exit1]]+Table20[[#This Row],[Exit2]])*(Table20[[#This Row],[avg_exit_price]]-Table20[[#This Row],[AvePrice]])*100*Table20[[#This Row],[Buy or Sell]]</f>
        <v>35.000000000000007</v>
      </c>
      <c r="U449" s="5">
        <f>Table20[[#This Row],[Number of options]]*Table20[[#This Row],[AvePrice]]*100*Table20[[#This Row],[Buy or Sell]]</f>
        <v>-428</v>
      </c>
      <c r="V449" s="8">
        <f>Table20[[#This Row],[Number of options]]-Table20[[#This Row],[Exit1]]-Table20[[#This Row],[Exit2]]</f>
        <v>0</v>
      </c>
      <c r="W449" s="30">
        <f ca="1">(Table20[[#This Row],[Expiration Date]]-TODAY())/365</f>
        <v>-0.98630136986301364</v>
      </c>
      <c r="X449" s="30" t="e">
        <f ca="1">(LN(Table20[[#This Row],[Current Price]]/Table20[[#This Row],[strike_price]]) + ($B$2 + (Table20[[#This Row],[Vol]]^2)/2)*Table20[[#This Row],[Time to expiration]]) / (Table20[[#This Row],[Vol]] * SQRT(Table20[[#This Row],[Time to expiration]]))</f>
        <v>#NUM!</v>
      </c>
      <c r="Y449" s="30" t="e">
        <f ca="1">IF(Table20[[#This Row],[Direction]]&gt;0, _xlfn.NORM.S.DIST(Table20[[#This Row],[d1]], TRUE), _xlfn.NORM.S.DIST(Table20[[#This Row],[d1]], TRUE) - 1) * Table20[[#This Row],[Buy or Sell]]</f>
        <v>#NUM!</v>
      </c>
      <c r="Z449" s="9">
        <f ca="1">Table20[[#This Row],[Remaining]]*Table20[[#This Row],[Current Price]]*100</f>
        <v>0</v>
      </c>
      <c r="AA449" s="22">
        <f ca="1">IFERROR(Table20[[#This Row],[nominal_exposure]]*Table20[[#This Row],[Delta]],0)</f>
        <v>0</v>
      </c>
      <c r="AB449" s="30" t="b">
        <f>IF(Table20[[#This Row],[date_purchased]]&lt;&gt;Table20[[#This Row],[Expiration Date]],FALSE,TRUE)</f>
        <v>0</v>
      </c>
      <c r="AC449" s="30" t="str">
        <f>VLOOKUP(Table20[[#This Row],[Asset]],Table19[#All],3,FALSE)</f>
        <v>Market</v>
      </c>
      <c r="AD449" s="30">
        <f>IF(Table20[[#This Row],[Remaining]]&lt;&gt;0,Table20[[#This Row],[Invested]]*Table20[[#This Row],[Remaining]]/Table20[[#This Row],[Number of options]],0)</f>
        <v>0</v>
      </c>
      <c r="AE449" s="30">
        <f ca="1">SUMIF(Table20[Ticker],Table20[[#This Row],[Ticker]],Table20[realized_profit])</f>
        <v>-1212</v>
      </c>
      <c r="AF449" s="30" t="str">
        <f>VLOOKUP(Table20[[#This Row],[Strategy]],Table29[#All],7,FALSE)</f>
        <v>Bearish</v>
      </c>
    </row>
    <row r="450" spans="1:32" hidden="1">
      <c r="A450" s="180">
        <v>45747</v>
      </c>
      <c r="B450" s="21" t="e" vm="115">
        <v>#VALUE!</v>
      </c>
      <c r="C450" s="109" t="str" cm="1">
        <f t="array" aca="1" ref="C450" ca="1">_FV(Table20[[#This Row],[Asset]],"Ticker symbol",TRUE)</f>
        <v>QQQ</v>
      </c>
      <c r="D450" s="26" cm="1">
        <f t="array" aca="1" ref="D450" ca="1">_FV(Table20[[#This Row],[Asset]],"Price")</f>
        <v>590.62</v>
      </c>
      <c r="E450" s="26">
        <v>450</v>
      </c>
      <c r="F450" s="33">
        <v>1</v>
      </c>
      <c r="G450" s="34">
        <v>1</v>
      </c>
      <c r="H450" s="34" t="s">
        <v>112</v>
      </c>
      <c r="I450" s="31">
        <v>45659</v>
      </c>
      <c r="J450" s="26">
        <v>7.42</v>
      </c>
      <c r="K450" s="24"/>
      <c r="L450" s="33">
        <f>VLOOKUP(Table20[[#This Row],[Strategy]],Table29[#All],6,FALSE)</f>
        <v>-1</v>
      </c>
      <c r="M450" s="23">
        <v>1</v>
      </c>
      <c r="N450" s="23">
        <v>6.8</v>
      </c>
      <c r="O450" s="23"/>
      <c r="P450" s="23"/>
      <c r="Q450">
        <f>Table20[[#This Row],[Exit1]]*Table20[[#This Row],[ex1_price]]</f>
        <v>6.8</v>
      </c>
      <c r="R450">
        <f>Table20[[#This Row],[Exit2]]*Table20[[#This Row],[ex2_price]]</f>
        <v>0</v>
      </c>
      <c r="S450">
        <f>IFERROR((Table20[[#This Row],[ex2_amnt]]+Table20[[#This Row],[ex1_amnt]])/(Table20[[#This Row],[Exit2]]+Table20[[#This Row],[Exit1]]),0)</f>
        <v>6.8</v>
      </c>
      <c r="T450" s="5">
        <f>(Table20[[#This Row],[Exit1]]+Table20[[#This Row],[Exit2]])*(Table20[[#This Row],[avg_exit_price]]-Table20[[#This Row],[AvePrice]])*100*Table20[[#This Row],[Buy or Sell]]</f>
        <v>-62.000000000000014</v>
      </c>
      <c r="U450" s="5">
        <f>Table20[[#This Row],[Number of options]]*Table20[[#This Row],[AvePrice]]*100*Table20[[#This Row],[Buy or Sell]]</f>
        <v>742</v>
      </c>
      <c r="V450" s="8">
        <f>Table20[[#This Row],[Number of options]]-Table20[[#This Row],[Exit1]]-Table20[[#This Row],[Exit2]]</f>
        <v>0</v>
      </c>
      <c r="W450" s="30">
        <f ca="1">(Table20[[#This Row],[Expiration Date]]-TODAY())/365</f>
        <v>-0.98630136986301364</v>
      </c>
      <c r="X450" s="30" t="e">
        <f ca="1">(LN(Table20[[#This Row],[Current Price]]/Table20[[#This Row],[strike_price]]) + ($B$2 + (Table20[[#This Row],[Vol]]^2)/2)*Table20[[#This Row],[Time to expiration]]) / (Table20[[#This Row],[Vol]] * SQRT(Table20[[#This Row],[Time to expiration]]))</f>
        <v>#NUM!</v>
      </c>
      <c r="Y450" s="30" t="e">
        <f ca="1">IF(Table20[[#This Row],[Direction]]&gt;0, _xlfn.NORM.S.DIST(Table20[[#This Row],[d1]], TRUE), _xlfn.NORM.S.DIST(Table20[[#This Row],[d1]], TRUE) - 1) * Table20[[#This Row],[Buy or Sell]]</f>
        <v>#NUM!</v>
      </c>
      <c r="Z450" s="9">
        <f ca="1">Table20[[#This Row],[Remaining]]*Table20[[#This Row],[Current Price]]*100</f>
        <v>0</v>
      </c>
      <c r="AA450" s="22">
        <f ca="1">IFERROR(Table20[[#This Row],[nominal_exposure]]*Table20[[#This Row],[Delta]],0)</f>
        <v>0</v>
      </c>
      <c r="AB450" s="30" t="b">
        <f>IF(Table20[[#This Row],[date_purchased]]&lt;&gt;Table20[[#This Row],[Expiration Date]],FALSE,TRUE)</f>
        <v>0</v>
      </c>
      <c r="AC450" s="30" t="str">
        <f>VLOOKUP(Table20[[#This Row],[Asset]],Table19[#All],3,FALSE)</f>
        <v>Market</v>
      </c>
      <c r="AD450" s="30">
        <f>IF(Table20[[#This Row],[Remaining]]&lt;&gt;0,Table20[[#This Row],[Invested]]*Table20[[#This Row],[Remaining]]/Table20[[#This Row],[Number of options]],0)</f>
        <v>0</v>
      </c>
      <c r="AE450" s="30">
        <f ca="1">SUMIF(Table20[Ticker],Table20[[#This Row],[Ticker]],Table20[realized_profit])</f>
        <v>-1212</v>
      </c>
      <c r="AF450" s="30" t="str">
        <f>VLOOKUP(Table20[[#This Row],[Strategy]],Table29[#All],7,FALSE)</f>
        <v>Bearish</v>
      </c>
    </row>
    <row r="451" spans="1:32" hidden="1">
      <c r="A451" s="180">
        <v>45709</v>
      </c>
      <c r="B451" s="21" t="e" vm="139">
        <v>#VALUE!</v>
      </c>
      <c r="C451" s="109" t="str" cm="1">
        <f t="array" aca="1" ref="C451" ca="1">_FV(Table20[[#This Row],[Asset]],"Ticker symbol",TRUE)</f>
        <v>WMT</v>
      </c>
      <c r="D451" s="26" cm="1">
        <f t="array" aca="1" ref="D451" ca="1">_FV(Table20[[#This Row],[Asset]],"Price")</f>
        <v>122.55500000000001</v>
      </c>
      <c r="E451" s="26">
        <v>95</v>
      </c>
      <c r="F451" s="33">
        <v>2</v>
      </c>
      <c r="G451" s="34">
        <v>1</v>
      </c>
      <c r="H451" s="34" t="s">
        <v>65</v>
      </c>
      <c r="I451" s="31">
        <v>45691</v>
      </c>
      <c r="J451" s="26">
        <v>1.36</v>
      </c>
      <c r="K451" s="24"/>
      <c r="L451" s="33">
        <f>VLOOKUP(Table20[[#This Row],[Strategy]],Table29[#All],6,FALSE)</f>
        <v>-1</v>
      </c>
      <c r="M451" s="23">
        <v>2</v>
      </c>
      <c r="N451" s="23">
        <v>1</v>
      </c>
      <c r="O451" s="23"/>
      <c r="P451" s="23"/>
      <c r="Q451">
        <f>Table20[[#This Row],[Exit1]]*Table20[[#This Row],[ex1_price]]</f>
        <v>2</v>
      </c>
      <c r="R451">
        <f>Table20[[#This Row],[Exit2]]*Table20[[#This Row],[ex2_price]]</f>
        <v>0</v>
      </c>
      <c r="S451">
        <f>IFERROR((Table20[[#This Row],[ex2_amnt]]+Table20[[#This Row],[ex1_amnt]])/(Table20[[#This Row],[Exit2]]+Table20[[#This Row],[Exit1]]),0)</f>
        <v>1</v>
      </c>
      <c r="T451" s="5">
        <f>(Table20[[#This Row],[Exit1]]+Table20[[#This Row],[Exit2]])*(Table20[[#This Row],[avg_exit_price]]-Table20[[#This Row],[AvePrice]])*100*Table20[[#This Row],[Buy or Sell]]</f>
        <v>-72.000000000000014</v>
      </c>
      <c r="U451" s="5">
        <f>Table20[[#This Row],[Number of options]]*Table20[[#This Row],[AvePrice]]*100*Table20[[#This Row],[Buy or Sell]]</f>
        <v>272</v>
      </c>
      <c r="V451" s="8">
        <f>Table20[[#This Row],[Number of options]]-Table20[[#This Row],[Exit1]]-Table20[[#This Row],[Exit2]]</f>
        <v>0</v>
      </c>
      <c r="W451" s="30">
        <f ca="1">(Table20[[#This Row],[Expiration Date]]-TODAY())/365</f>
        <v>-1.0904109589041096</v>
      </c>
      <c r="X451" s="30" t="e">
        <f ca="1">(LN(Table20[[#This Row],[Current Price]]/Table20[[#This Row],[strike_price]]) + ($B$2 + (Table20[[#This Row],[Vol]]^2)/2)*Table20[[#This Row],[Time to expiration]]) / (Table20[[#This Row],[Vol]] * SQRT(Table20[[#This Row],[Time to expiration]]))</f>
        <v>#NUM!</v>
      </c>
      <c r="Y451" s="30" t="e">
        <f ca="1">IF(Table20[[#This Row],[Direction]]&gt;0, _xlfn.NORM.S.DIST(Table20[[#This Row],[d1]], TRUE), _xlfn.NORM.S.DIST(Table20[[#This Row],[d1]], TRUE) - 1) * Table20[[#This Row],[Buy or Sell]]</f>
        <v>#NUM!</v>
      </c>
      <c r="Z451" s="9">
        <f ca="1">Table20[[#This Row],[Remaining]]*Table20[[#This Row],[Current Price]]*100</f>
        <v>0</v>
      </c>
      <c r="AA451" s="22">
        <f ca="1">IFERROR(Table20[[#This Row],[nominal_exposure]]*Table20[[#This Row],[Delta]],0)</f>
        <v>0</v>
      </c>
      <c r="AB451" s="30" t="b">
        <f>IF(Table20[[#This Row],[date_purchased]]&lt;&gt;Table20[[#This Row],[Expiration Date]],FALSE,TRUE)</f>
        <v>0</v>
      </c>
      <c r="AC451" s="30" t="str">
        <f>VLOOKUP(Table20[[#This Row],[Asset]],Table19[#All],3,FALSE)</f>
        <v>Consumer Staples</v>
      </c>
      <c r="AD451" s="30">
        <f>IF(Table20[[#This Row],[Remaining]]&lt;&gt;0,Table20[[#This Row],[Invested]]*Table20[[#This Row],[Remaining]]/Table20[[#This Row],[Number of options]],0)</f>
        <v>0</v>
      </c>
      <c r="AE451" s="30">
        <f ca="1">SUMIF(Table20[Ticker],Table20[[#This Row],[Ticker]],Table20[realized_profit])</f>
        <v>-838.16</v>
      </c>
      <c r="AF451" s="30" t="str">
        <f>VLOOKUP(Table20[[#This Row],[Strategy]],Table29[#All],7,FALSE)</f>
        <v>Bearish</v>
      </c>
    </row>
    <row r="452" spans="1:32" hidden="1">
      <c r="A452" s="35">
        <v>45471</v>
      </c>
      <c r="B452" s="21" t="e" vm="96">
        <v>#VALUE!</v>
      </c>
      <c r="C452" s="109" t="str" cm="1">
        <f t="array" aca="1" ref="C452" ca="1">_FV(Table20[[#This Row],[Asset]],"Ticker symbol",TRUE)</f>
        <v>SPY</v>
      </c>
      <c r="D452" s="26" cm="1">
        <f t="array" aca="1" ref="D452" ca="1">_FV(Table20[[#This Row],[Asset]],"Price")</f>
        <v>658.59</v>
      </c>
      <c r="E452" s="26">
        <v>545</v>
      </c>
      <c r="F452" s="33">
        <v>5</v>
      </c>
      <c r="G452" s="34">
        <v>1</v>
      </c>
      <c r="H452" s="21" t="s">
        <v>113</v>
      </c>
      <c r="I452" s="31">
        <v>45471</v>
      </c>
      <c r="J452" s="26">
        <v>0.7</v>
      </c>
      <c r="K452" s="24">
        <v>0.08</v>
      </c>
      <c r="L452" s="33">
        <f>VLOOKUP(Table20[[#This Row],[Strategy]],Table29[#All],6,FALSE)</f>
        <v>1</v>
      </c>
      <c r="M452" s="23">
        <v>5</v>
      </c>
      <c r="N452" s="23">
        <v>0.55000000000000004</v>
      </c>
      <c r="O452" s="23"/>
      <c r="P452" s="23"/>
      <c r="Q452">
        <f>Table20[[#This Row],[Exit1]]*Table20[[#This Row],[ex1_price]]</f>
        <v>2.75</v>
      </c>
      <c r="R452">
        <f>Table20[[#This Row],[Exit2]]*Table20[[#This Row],[ex2_price]]</f>
        <v>0</v>
      </c>
      <c r="S452">
        <f>IFERROR((Table20[[#This Row],[ex2_amnt]]+Table20[[#This Row],[ex1_amnt]])/(Table20[[#This Row],[Exit2]]+Table20[[#This Row],[Exit1]]),0)</f>
        <v>0.55000000000000004</v>
      </c>
      <c r="T452" s="5">
        <f>(Table20[[#This Row],[Exit1]]+Table20[[#This Row],[Exit2]])*(Table20[[#This Row],[avg_exit_price]]-Table20[[#This Row],[AvePrice]])*100*Table20[[#This Row],[Buy or Sell]]</f>
        <v>-74.999999999999957</v>
      </c>
      <c r="U452" s="5">
        <f>Table20[[#This Row],[Number of options]]*Table20[[#This Row],[AvePrice]]*100*Table20[[#This Row],[Buy or Sell]]</f>
        <v>350</v>
      </c>
      <c r="V452" s="8">
        <f>Table20[[#This Row],[Number of options]]-Table20[[#This Row],[Exit1]]-Table20[[#This Row],[Exit2]]</f>
        <v>0</v>
      </c>
      <c r="W452" s="30">
        <f ca="1">(Table20[[#This Row],[Expiration Date]]-TODAY())/365</f>
        <v>-1.7424657534246575</v>
      </c>
      <c r="X452" s="30" t="e">
        <f ca="1">(LN(Table20[[#This Row],[Current Price]]/Table20[[#This Row],[strike_price]]) + ($B$2 + (Table20[[#This Row],[Vol]]^2)/2)*Table20[[#This Row],[Time to expiration]]) / (Table20[[#This Row],[Vol]] * SQRT(Table20[[#This Row],[Time to expiration]]))</f>
        <v>#NUM!</v>
      </c>
      <c r="Y452" s="30" t="e">
        <f ca="1">IF(Table20[[#This Row],[Direction]]&gt;0, _xlfn.NORM.S.DIST(Table20[[#This Row],[d1]], TRUE), _xlfn.NORM.S.DIST(Table20[[#This Row],[d1]], TRUE) - 1) * Table20[[#This Row],[Buy or Sell]]</f>
        <v>#NUM!</v>
      </c>
      <c r="Z452" s="9">
        <f ca="1">Table20[[#This Row],[Remaining]]*Table20[[#This Row],[Current Price]]*100</f>
        <v>0</v>
      </c>
      <c r="AA452" s="22">
        <f ca="1">IFERROR(Table20[[#This Row],[nominal_exposure]]*Table20[[#This Row],[Delta]],0)</f>
        <v>0</v>
      </c>
      <c r="AB452" s="95" t="b">
        <f>IF(Table20[[#This Row],[date_purchased]]&lt;&gt;Table20[[#This Row],[Expiration Date]],FALSE,TRUE)</f>
        <v>1</v>
      </c>
      <c r="AC452" s="30" t="str">
        <f>VLOOKUP(Table20[[#This Row],[Asset]],Table19[#All],3,FALSE)</f>
        <v>Market</v>
      </c>
      <c r="AD452" s="30">
        <f>IF(Table20[[#This Row],[Remaining]]&lt;&gt;0,Table20[[#This Row],[Invested]]*Table20[[#This Row],[Remaining]]/Table20[[#This Row],[Number of options]],0)</f>
        <v>0</v>
      </c>
      <c r="AE452" s="30">
        <f ca="1">SUMIF(Table20[Ticker],Table20[[#This Row],[Ticker]],Table20[realized_profit])</f>
        <v>-5077</v>
      </c>
      <c r="AF452" s="30" t="str">
        <f>VLOOKUP(Table20[[#This Row],[Strategy]],Table29[#All],7,FALSE)</f>
        <v>Bullish</v>
      </c>
    </row>
    <row r="453" spans="1:32" hidden="1">
      <c r="A453" s="180">
        <v>45709</v>
      </c>
      <c r="B453" s="21" t="e" vm="63">
        <v>#VALUE!</v>
      </c>
      <c r="C453" s="109" t="str" cm="1">
        <f t="array" aca="1" ref="C453" ca="1">_FV(Table20[[#This Row],[Asset]],"Ticker symbol",TRUE)</f>
        <v>TSLA</v>
      </c>
      <c r="D453" s="26" cm="1">
        <f t="array" aca="1" ref="D453" ca="1">_FV(Table20[[#This Row],[Asset]],"Price")</f>
        <v>394.5401</v>
      </c>
      <c r="E453" s="26">
        <v>370</v>
      </c>
      <c r="F453" s="33">
        <v>1</v>
      </c>
      <c r="G453" s="34">
        <v>1</v>
      </c>
      <c r="H453" s="34" t="s">
        <v>113</v>
      </c>
      <c r="I453" s="31">
        <v>45699</v>
      </c>
      <c r="J453" s="26">
        <v>3.75</v>
      </c>
      <c r="K453" s="24"/>
      <c r="L453" s="33">
        <f>VLOOKUP(Table20[[#This Row],[Strategy]],Table29[#All],6,FALSE)</f>
        <v>1</v>
      </c>
      <c r="M453" s="23">
        <v>1</v>
      </c>
      <c r="N453" s="23">
        <v>5.85</v>
      </c>
      <c r="O453" s="23"/>
      <c r="P453" s="23"/>
      <c r="Q453">
        <f>Table20[[#This Row],[Exit1]]*Table20[[#This Row],[ex1_price]]</f>
        <v>5.85</v>
      </c>
      <c r="R453">
        <f>Table20[[#This Row],[Exit2]]*Table20[[#This Row],[ex2_price]]</f>
        <v>0</v>
      </c>
      <c r="S453">
        <f>IFERROR((Table20[[#This Row],[ex2_amnt]]+Table20[[#This Row],[ex1_amnt]])/(Table20[[#This Row],[Exit2]]+Table20[[#This Row],[Exit1]]),0)</f>
        <v>5.85</v>
      </c>
      <c r="T453" s="5">
        <f>(Table20[[#This Row],[Exit1]]+Table20[[#This Row],[Exit2]])*(Table20[[#This Row],[avg_exit_price]]-Table20[[#This Row],[AvePrice]])*100*Table20[[#This Row],[Buy or Sell]]</f>
        <v>209.99999999999997</v>
      </c>
      <c r="U453" s="5">
        <f>Table20[[#This Row],[Number of options]]*Table20[[#This Row],[AvePrice]]*100*Table20[[#This Row],[Buy or Sell]]</f>
        <v>375</v>
      </c>
      <c r="V453" s="8">
        <f>Table20[[#This Row],[Number of options]]-Table20[[#This Row],[Exit1]]-Table20[[#This Row],[Exit2]]</f>
        <v>0</v>
      </c>
      <c r="W453" s="30">
        <f ca="1">(Table20[[#This Row],[Expiration Date]]-TODAY())/365</f>
        <v>-1.0904109589041096</v>
      </c>
      <c r="X453" s="30" t="e">
        <f ca="1">(LN(Table20[[#This Row],[Current Price]]/Table20[[#This Row],[strike_price]]) + ($B$2 + (Table20[[#This Row],[Vol]]^2)/2)*Table20[[#This Row],[Time to expiration]]) / (Table20[[#This Row],[Vol]] * SQRT(Table20[[#This Row],[Time to expiration]]))</f>
        <v>#NUM!</v>
      </c>
      <c r="Y453" s="30" t="e">
        <f ca="1">IF(Table20[[#This Row],[Direction]]&gt;0, _xlfn.NORM.S.DIST(Table20[[#This Row],[d1]], TRUE), _xlfn.NORM.S.DIST(Table20[[#This Row],[d1]], TRUE) - 1) * Table20[[#This Row],[Buy or Sell]]</f>
        <v>#NUM!</v>
      </c>
      <c r="Z453" s="9">
        <f ca="1">Table20[[#This Row],[Remaining]]*Table20[[#This Row],[Current Price]]*100</f>
        <v>0</v>
      </c>
      <c r="AA453" s="22">
        <f ca="1">IFERROR(Table20[[#This Row],[nominal_exposure]]*Table20[[#This Row],[Delta]],0)</f>
        <v>0</v>
      </c>
      <c r="AB453" s="30" t="b">
        <f>IF(Table20[[#This Row],[date_purchased]]&lt;&gt;Table20[[#This Row],[Expiration Date]],FALSE,TRUE)</f>
        <v>0</v>
      </c>
      <c r="AC453" s="30" t="str">
        <f>VLOOKUP(Table20[[#This Row],[Asset]],Table19[#All],3,FALSE)</f>
        <v>Auto</v>
      </c>
      <c r="AD453" s="30">
        <f>IF(Table20[[#This Row],[Remaining]]&lt;&gt;0,Table20[[#This Row],[Invested]]*Table20[[#This Row],[Remaining]]/Table20[[#This Row],[Number of options]],0)</f>
        <v>0</v>
      </c>
      <c r="AE453" s="30">
        <f ca="1">SUMIF(Table20[Ticker],Table20[[#This Row],[Ticker]],Table20[realized_profit])</f>
        <v>4153</v>
      </c>
      <c r="AF453" s="30" t="str">
        <f>VLOOKUP(Table20[[#This Row],[Strategy]],Table29[#All],7,FALSE)</f>
        <v>Bullish</v>
      </c>
    </row>
    <row r="454" spans="1:32" hidden="1">
      <c r="A454" s="180">
        <v>45709</v>
      </c>
      <c r="B454" s="21" t="e" vm="33">
        <v>#VALUE!</v>
      </c>
      <c r="C454" s="109" t="str" cm="1">
        <f t="array" aca="1" ref="C454" ca="1">_FV(Table20[[#This Row],[Asset]],"Ticker symbol",TRUE)</f>
        <v>CRDO</v>
      </c>
      <c r="D454" s="26" cm="1">
        <f t="array" aca="1" ref="D454" ca="1">_FV(Table20[[#This Row],[Asset]],"Price")</f>
        <v>103.09</v>
      </c>
      <c r="E454" s="26">
        <v>70</v>
      </c>
      <c r="F454" s="33">
        <v>1</v>
      </c>
      <c r="G454" s="34">
        <v>1</v>
      </c>
      <c r="H454" s="34" t="s">
        <v>65</v>
      </c>
      <c r="I454" s="31">
        <v>45699</v>
      </c>
      <c r="J454" s="26">
        <v>1.01</v>
      </c>
      <c r="K454" s="24"/>
      <c r="L454" s="33">
        <f>VLOOKUP(Table20[[#This Row],[Strategy]],Table29[#All],6,FALSE)</f>
        <v>-1</v>
      </c>
      <c r="M454" s="23">
        <v>1</v>
      </c>
      <c r="N454" s="23">
        <v>2.3199999999999998</v>
      </c>
      <c r="O454" s="23"/>
      <c r="P454" s="23"/>
      <c r="Q454">
        <f>Table20[[#This Row],[Exit1]]*Table20[[#This Row],[ex1_price]]</f>
        <v>2.3199999999999998</v>
      </c>
      <c r="R454">
        <f>Table20[[#This Row],[Exit2]]*Table20[[#This Row],[ex2_price]]</f>
        <v>0</v>
      </c>
      <c r="S454">
        <f>IFERROR((Table20[[#This Row],[ex2_amnt]]+Table20[[#This Row],[ex1_amnt]])/(Table20[[#This Row],[Exit2]]+Table20[[#This Row],[Exit1]]),0)</f>
        <v>2.3199999999999998</v>
      </c>
      <c r="T454" s="5">
        <f>(Table20[[#This Row],[Exit1]]+Table20[[#This Row],[Exit2]])*(Table20[[#This Row],[avg_exit_price]]-Table20[[#This Row],[AvePrice]])*100*Table20[[#This Row],[Buy or Sell]]</f>
        <v>130.99999999999997</v>
      </c>
      <c r="U454" s="5">
        <f>Table20[[#This Row],[Number of options]]*Table20[[#This Row],[AvePrice]]*100*Table20[[#This Row],[Buy or Sell]]</f>
        <v>101</v>
      </c>
      <c r="V454" s="8">
        <f>Table20[[#This Row],[Number of options]]-Table20[[#This Row],[Exit1]]-Table20[[#This Row],[Exit2]]</f>
        <v>0</v>
      </c>
      <c r="W454" s="30">
        <f ca="1">(Table20[[#This Row],[Expiration Date]]-TODAY())/365</f>
        <v>-1.0904109589041096</v>
      </c>
      <c r="X454" s="30" t="e">
        <f ca="1">(LN(Table20[[#This Row],[Current Price]]/Table20[[#This Row],[strike_price]]) + ($B$2 + (Table20[[#This Row],[Vol]]^2)/2)*Table20[[#This Row],[Time to expiration]]) / (Table20[[#This Row],[Vol]] * SQRT(Table20[[#This Row],[Time to expiration]]))</f>
        <v>#NUM!</v>
      </c>
      <c r="Y454" s="30" t="e">
        <f ca="1">IF(Table20[[#This Row],[Direction]]&gt;0, _xlfn.NORM.S.DIST(Table20[[#This Row],[d1]], TRUE), _xlfn.NORM.S.DIST(Table20[[#This Row],[d1]], TRUE) - 1) * Table20[[#This Row],[Buy or Sell]]</f>
        <v>#NUM!</v>
      </c>
      <c r="Z454" s="9">
        <f ca="1">Table20[[#This Row],[Remaining]]*Table20[[#This Row],[Current Price]]*100</f>
        <v>0</v>
      </c>
      <c r="AA454" s="22">
        <f ca="1">IFERROR(Table20[[#This Row],[nominal_exposure]]*Table20[[#This Row],[Delta]],0)</f>
        <v>0</v>
      </c>
      <c r="AB454" s="30" t="b">
        <f>IF(Table20[[#This Row],[date_purchased]]&lt;&gt;Table20[[#This Row],[Expiration Date]],FALSE,TRUE)</f>
        <v>0</v>
      </c>
      <c r="AC454" s="30" t="str">
        <f>VLOOKUP(Table20[[#This Row],[Asset]],Table19[#All],3,FALSE)</f>
        <v>AI</v>
      </c>
      <c r="AD454" s="30">
        <f>IF(Table20[[#This Row],[Remaining]]&lt;&gt;0,Table20[[#This Row],[Invested]]*Table20[[#This Row],[Remaining]]/Table20[[#This Row],[Number of options]],0)</f>
        <v>0</v>
      </c>
      <c r="AE454" s="30">
        <f ca="1">SUMIF(Table20[Ticker],Table20[[#This Row],[Ticker]],Table20[realized_profit])</f>
        <v>306.99999999999994</v>
      </c>
      <c r="AF454" s="30" t="str">
        <f>VLOOKUP(Table20[[#This Row],[Strategy]],Table29[#All],7,FALSE)</f>
        <v>Bearish</v>
      </c>
    </row>
    <row r="455" spans="1:32" hidden="1">
      <c r="A455" s="180">
        <v>45687</v>
      </c>
      <c r="B455" s="21" t="e" vm="96">
        <v>#VALUE!</v>
      </c>
      <c r="C455" s="109" t="str" cm="1">
        <f t="array" aca="1" ref="C455" ca="1">_FV(Table20[[#This Row],[Asset]],"Ticker symbol",TRUE)</f>
        <v>SPY</v>
      </c>
      <c r="D455" s="26" cm="1">
        <f t="array" aca="1" ref="D455" ca="1">_FV(Table20[[#This Row],[Asset]],"Price")</f>
        <v>658.59</v>
      </c>
      <c r="E455" s="26">
        <v>605</v>
      </c>
      <c r="F455" s="33">
        <v>1</v>
      </c>
      <c r="G455" s="34">
        <v>1</v>
      </c>
      <c r="H455" s="34" t="s">
        <v>65</v>
      </c>
      <c r="I455" s="31">
        <v>45680</v>
      </c>
      <c r="J455" s="26">
        <v>2.1</v>
      </c>
      <c r="K455" s="24"/>
      <c r="L455" s="33">
        <f>VLOOKUP(Table20[[#This Row],[Strategy]],Table29[#All],6,FALSE)</f>
        <v>-1</v>
      </c>
      <c r="M455" s="23">
        <v>1</v>
      </c>
      <c r="N455" s="23">
        <v>8.1</v>
      </c>
      <c r="O455" s="23"/>
      <c r="P455" s="23"/>
      <c r="Q455">
        <f>Table20[[#This Row],[Exit1]]*Table20[[#This Row],[ex1_price]]</f>
        <v>8.1</v>
      </c>
      <c r="R455">
        <f>Table20[[#This Row],[Exit2]]*Table20[[#This Row],[ex2_price]]</f>
        <v>0</v>
      </c>
      <c r="S455">
        <f>IFERROR((Table20[[#This Row],[ex2_amnt]]+Table20[[#This Row],[ex1_amnt]])/(Table20[[#This Row],[Exit2]]+Table20[[#This Row],[Exit1]]),0)</f>
        <v>8.1</v>
      </c>
      <c r="T455" s="5">
        <f>(Table20[[#This Row],[Exit1]]+Table20[[#This Row],[Exit2]])*(Table20[[#This Row],[avg_exit_price]]-Table20[[#This Row],[AvePrice]])*100*Table20[[#This Row],[Buy or Sell]]</f>
        <v>600</v>
      </c>
      <c r="U455" s="5">
        <f>Table20[[#This Row],[Number of options]]*Table20[[#This Row],[AvePrice]]*100*Table20[[#This Row],[Buy or Sell]]</f>
        <v>210</v>
      </c>
      <c r="V455" s="8">
        <f>Table20[[#This Row],[Number of options]]-Table20[[#This Row],[Exit1]]-Table20[[#This Row],[Exit2]]</f>
        <v>0</v>
      </c>
      <c r="W455" s="30">
        <f ca="1">(Table20[[#This Row],[Expiration Date]]-TODAY())/365</f>
        <v>-1.1506849315068493</v>
      </c>
      <c r="X455" s="30" t="e">
        <f ca="1">(LN(Table20[[#This Row],[Current Price]]/Table20[[#This Row],[strike_price]]) + ($B$2 + (Table20[[#This Row],[Vol]]^2)/2)*Table20[[#This Row],[Time to expiration]]) / (Table20[[#This Row],[Vol]] * SQRT(Table20[[#This Row],[Time to expiration]]))</f>
        <v>#NUM!</v>
      </c>
      <c r="Y455" s="30" t="e">
        <f ca="1">IF(Table20[[#This Row],[Direction]]&gt;0, _xlfn.NORM.S.DIST(Table20[[#This Row],[d1]], TRUE), _xlfn.NORM.S.DIST(Table20[[#This Row],[d1]], TRUE) - 1) * Table20[[#This Row],[Buy or Sell]]</f>
        <v>#NUM!</v>
      </c>
      <c r="Z455" s="9">
        <f ca="1">Table20[[#This Row],[Remaining]]*Table20[[#This Row],[Current Price]]*100</f>
        <v>0</v>
      </c>
      <c r="AA455" s="22">
        <f ca="1">IFERROR(Table20[[#This Row],[nominal_exposure]]*Table20[[#This Row],[Delta]],0)</f>
        <v>0</v>
      </c>
      <c r="AB455" s="30" t="b">
        <f>IF(Table20[[#This Row],[date_purchased]]&lt;&gt;Table20[[#This Row],[Expiration Date]],FALSE,TRUE)</f>
        <v>0</v>
      </c>
      <c r="AC455" s="30" t="str">
        <f>VLOOKUP(Table20[[#This Row],[Asset]],Table19[#All],3,FALSE)</f>
        <v>Market</v>
      </c>
      <c r="AD455" s="30">
        <f>IF(Table20[[#This Row],[Remaining]]&lt;&gt;0,Table20[[#This Row],[Invested]]*Table20[[#This Row],[Remaining]]/Table20[[#This Row],[Number of options]],0)</f>
        <v>0</v>
      </c>
      <c r="AE455" s="30">
        <f ca="1">SUMIF(Table20[Ticker],Table20[[#This Row],[Ticker]],Table20[realized_profit])</f>
        <v>-5077</v>
      </c>
      <c r="AF455" s="30" t="str">
        <f>VLOOKUP(Table20[[#This Row],[Strategy]],Table29[#All],7,FALSE)</f>
        <v>Bearish</v>
      </c>
    </row>
    <row r="456" spans="1:32" hidden="1">
      <c r="A456" s="180">
        <v>45716</v>
      </c>
      <c r="B456" s="21" t="e" vm="21">
        <v>#VALUE!</v>
      </c>
      <c r="C456" s="109" t="str" cm="1">
        <f t="array" aca="1" ref="C456" ca="1">_FV(Table20[[#This Row],[Asset]],"Ticker symbol",TRUE)</f>
        <v>INTC</v>
      </c>
      <c r="D456" s="26" cm="1">
        <f t="array" aca="1" ref="D456" ca="1">_FV(Table20[[#This Row],[Asset]],"Price")</f>
        <v>47.290100000000002</v>
      </c>
      <c r="E456" s="26">
        <v>22</v>
      </c>
      <c r="F456" s="33">
        <v>4</v>
      </c>
      <c r="G456" s="34">
        <v>1</v>
      </c>
      <c r="H456" s="34" t="s">
        <v>113</v>
      </c>
      <c r="I456" s="31">
        <v>45685</v>
      </c>
      <c r="J456" s="26">
        <v>0.82</v>
      </c>
      <c r="K456" s="24">
        <v>0.55689999999999995</v>
      </c>
      <c r="L456" s="33">
        <f>VLOOKUP(Table20[[#This Row],[Strategy]],Table29[#All],6,FALSE)</f>
        <v>1</v>
      </c>
      <c r="M456" s="23">
        <v>4</v>
      </c>
      <c r="N456" s="23">
        <v>2.65</v>
      </c>
      <c r="O456" s="23"/>
      <c r="P456" s="23"/>
      <c r="Q456">
        <f>Table20[[#This Row],[Exit1]]*Table20[[#This Row],[ex1_price]]</f>
        <v>10.6</v>
      </c>
      <c r="R456">
        <f>Table20[[#This Row],[Exit2]]*Table20[[#This Row],[ex2_price]]</f>
        <v>0</v>
      </c>
      <c r="S456">
        <f>IFERROR((Table20[[#This Row],[ex2_amnt]]+Table20[[#This Row],[ex1_amnt]])/(Table20[[#This Row],[Exit2]]+Table20[[#This Row],[Exit1]]),0)</f>
        <v>2.65</v>
      </c>
      <c r="T456" s="5">
        <f>(Table20[[#This Row],[Exit1]]+Table20[[#This Row],[Exit2]])*(Table20[[#This Row],[avg_exit_price]]-Table20[[#This Row],[AvePrice]])*100*Table20[[#This Row],[Buy or Sell]]</f>
        <v>732</v>
      </c>
      <c r="U456" s="5">
        <f>Table20[[#This Row],[Number of options]]*Table20[[#This Row],[AvePrice]]*100*Table20[[#This Row],[Buy or Sell]]</f>
        <v>328</v>
      </c>
      <c r="V456" s="8">
        <f>Table20[[#This Row],[Number of options]]-Table20[[#This Row],[Exit1]]-Table20[[#This Row],[Exit2]]</f>
        <v>0</v>
      </c>
      <c r="W456" s="30">
        <f ca="1">(Table20[[#This Row],[Expiration Date]]-TODAY())/365</f>
        <v>-1.0712328767123287</v>
      </c>
      <c r="X456" s="30" t="e">
        <f ca="1">(LN(Table20[[#This Row],[Current Price]]/Table20[[#This Row],[strike_price]]) + ($B$2 + (Table20[[#This Row],[Vol]]^2)/2)*Table20[[#This Row],[Time to expiration]]) / (Table20[[#This Row],[Vol]] * SQRT(Table20[[#This Row],[Time to expiration]]))</f>
        <v>#NUM!</v>
      </c>
      <c r="Y456" s="30" t="e">
        <f ca="1">IF(Table20[[#This Row],[Direction]]&gt;0, _xlfn.NORM.S.DIST(Table20[[#This Row],[d1]], TRUE), _xlfn.NORM.S.DIST(Table20[[#This Row],[d1]], TRUE) - 1) * Table20[[#This Row],[Buy or Sell]]</f>
        <v>#NUM!</v>
      </c>
      <c r="Z456" s="9">
        <f ca="1">Table20[[#This Row],[Remaining]]*Table20[[#This Row],[Current Price]]*100</f>
        <v>0</v>
      </c>
      <c r="AA456" s="22">
        <f ca="1">IFERROR(Table20[[#This Row],[nominal_exposure]]*Table20[[#This Row],[Delta]],0)</f>
        <v>0</v>
      </c>
      <c r="AB456" s="30" t="b">
        <f>IF(Table20[[#This Row],[date_purchased]]&lt;&gt;Table20[[#This Row],[Expiration Date]],FALSE,TRUE)</f>
        <v>0</v>
      </c>
      <c r="AC456" s="30" t="str">
        <f>VLOOKUP(Table20[[#This Row],[Asset]],Table19[#All],3,FALSE)</f>
        <v>AI</v>
      </c>
      <c r="AD456" s="30">
        <f>IF(Table20[[#This Row],[Remaining]]&lt;&gt;0,Table20[[#This Row],[Invested]]*Table20[[#This Row],[Remaining]]/Table20[[#This Row],[Number of options]],0)</f>
        <v>0</v>
      </c>
      <c r="AE456" s="30">
        <f ca="1">SUMIF(Table20[Ticker],Table20[[#This Row],[Ticker]],Table20[realized_profit])</f>
        <v>4779</v>
      </c>
      <c r="AF456" s="30" t="str">
        <f>VLOOKUP(Table20[[#This Row],[Strategy]],Table29[#All],7,FALSE)</f>
        <v>Bullish</v>
      </c>
    </row>
    <row r="457" spans="1:32" hidden="1">
      <c r="A457" s="180">
        <v>45737</v>
      </c>
      <c r="B457" s="21" t="e" vm="169">
        <v>#VALUE!</v>
      </c>
      <c r="C457" s="109" t="str" cm="1">
        <f t="array" aca="1" ref="C457" ca="1">_FV(Table20[[#This Row],[Asset]],"Ticker symbol",TRUE)</f>
        <v>CVS</v>
      </c>
      <c r="D457" s="26" cm="1">
        <f t="array" aca="1" ref="D457" ca="1">_FV(Table20[[#This Row],[Asset]],"Price")</f>
        <v>72.055000000000007</v>
      </c>
      <c r="E457" s="26">
        <v>70</v>
      </c>
      <c r="F457" s="33">
        <v>3</v>
      </c>
      <c r="G457" s="34">
        <v>1</v>
      </c>
      <c r="H457" s="34" t="s">
        <v>113</v>
      </c>
      <c r="I457" s="31">
        <v>45621</v>
      </c>
      <c r="J457" s="26">
        <v>1.1000000000000001</v>
      </c>
      <c r="K457" s="24">
        <v>0.2863</v>
      </c>
      <c r="L457" s="33">
        <f>VLOOKUP(Table20[[#This Row],[Strategy]],Table29[#All],6,FALSE)</f>
        <v>1</v>
      </c>
      <c r="M457" s="23">
        <v>3</v>
      </c>
      <c r="N457" s="23">
        <v>0.23</v>
      </c>
      <c r="O457" s="23"/>
      <c r="P457" s="23"/>
      <c r="Q457">
        <f>Table20[[#This Row],[Exit1]]*Table20[[#This Row],[ex1_price]]</f>
        <v>0.69000000000000006</v>
      </c>
      <c r="R457">
        <f>Table20[[#This Row],[Exit2]]*Table20[[#This Row],[ex2_price]]</f>
        <v>0</v>
      </c>
      <c r="S457">
        <f>IFERROR((Table20[[#This Row],[ex2_amnt]]+Table20[[#This Row],[ex1_amnt]])/(Table20[[#This Row],[Exit2]]+Table20[[#This Row],[Exit1]]),0)</f>
        <v>0.23</v>
      </c>
      <c r="T457" s="5">
        <f>(Table20[[#This Row],[Exit1]]+Table20[[#This Row],[Exit2]])*(Table20[[#This Row],[avg_exit_price]]-Table20[[#This Row],[AvePrice]])*100*Table20[[#This Row],[Buy or Sell]]</f>
        <v>-261.00000000000006</v>
      </c>
      <c r="U457" s="5">
        <f>Table20[[#This Row],[Number of options]]*Table20[[#This Row],[AvePrice]]*100*Table20[[#This Row],[Buy or Sell]]</f>
        <v>330</v>
      </c>
      <c r="V457" s="8">
        <f>Table20[[#This Row],[Number of options]]-Table20[[#This Row],[Exit1]]-Table20[[#This Row],[Exit2]]</f>
        <v>0</v>
      </c>
      <c r="W457" s="30">
        <f ca="1">(Table20[[#This Row],[Expiration Date]]-TODAY())/365</f>
        <v>-1.0136986301369864</v>
      </c>
      <c r="X457" s="30" t="e">
        <f ca="1">(LN(Table20[[#This Row],[Current Price]]/Table20[[#This Row],[strike_price]]) + ($B$2 + (Table20[[#This Row],[Vol]]^2)/2)*Table20[[#This Row],[Time to expiration]]) / (Table20[[#This Row],[Vol]] * SQRT(Table20[[#This Row],[Time to expiration]]))</f>
        <v>#NUM!</v>
      </c>
      <c r="Y457" s="30" t="e">
        <f ca="1">IF(Table20[[#This Row],[Direction]]&gt;0, _xlfn.NORM.S.DIST(Table20[[#This Row],[d1]], TRUE), _xlfn.NORM.S.DIST(Table20[[#This Row],[d1]], TRUE) - 1) * Table20[[#This Row],[Buy or Sell]]</f>
        <v>#NUM!</v>
      </c>
      <c r="Z457" s="9">
        <f ca="1">Table20[[#This Row],[Remaining]]*Table20[[#This Row],[Current Price]]*100</f>
        <v>0</v>
      </c>
      <c r="AA457" s="22">
        <f ca="1">IFERROR(Table20[[#This Row],[nominal_exposure]]*Table20[[#This Row],[Delta]],0)</f>
        <v>0</v>
      </c>
      <c r="AB457" s="30" t="b">
        <f>IF(Table20[[#This Row],[date_purchased]]&lt;&gt;Table20[[#This Row],[Expiration Date]],FALSE,TRUE)</f>
        <v>0</v>
      </c>
      <c r="AC457" s="30" t="str">
        <f>VLOOKUP(Table20[[#This Row],[Asset]],Table19[#All],3,FALSE)</f>
        <v>Health Care</v>
      </c>
      <c r="AD457" s="30">
        <f>IF(Table20[[#This Row],[Remaining]]&lt;&gt;0,Table20[[#This Row],[Invested]]*Table20[[#This Row],[Remaining]]/Table20[[#This Row],[Number of options]],0)</f>
        <v>0</v>
      </c>
      <c r="AE457" s="30">
        <f ca="1">SUMIF(Table20[Ticker],Table20[[#This Row],[Ticker]],Table20[realized_profit])</f>
        <v>-446.00000000000006</v>
      </c>
      <c r="AF457" s="30" t="str">
        <f>VLOOKUP(Table20[[#This Row],[Strategy]],Table29[#All],7,FALSE)</f>
        <v>Bullish</v>
      </c>
    </row>
    <row r="458" spans="1:32" hidden="1">
      <c r="A458" s="180">
        <v>45737</v>
      </c>
      <c r="B458" s="21" t="e" vm="110">
        <v>#VALUE!</v>
      </c>
      <c r="C458" s="109" t="str" cm="1">
        <f t="array" aca="1" ref="C458" ca="1">_FV(Table20[[#This Row],[Asset]],"Ticker symbol",TRUE)</f>
        <v>JPM</v>
      </c>
      <c r="D458" s="26" cm="1">
        <f t="array" aca="1" ref="D458" ca="1">_FV(Table20[[#This Row],[Asset]],"Price")</f>
        <v>295.33</v>
      </c>
      <c r="E458" s="26">
        <v>260</v>
      </c>
      <c r="F458" s="33">
        <v>1</v>
      </c>
      <c r="G458" s="34">
        <v>1</v>
      </c>
      <c r="H458" s="34" t="s">
        <v>65</v>
      </c>
      <c r="I458" s="31">
        <v>45694</v>
      </c>
      <c r="J458" s="26">
        <v>2.46</v>
      </c>
      <c r="K458" s="24"/>
      <c r="L458" s="33">
        <f>VLOOKUP(Table20[[#This Row],[Strategy]],Table29[#All],6,FALSE)</f>
        <v>-1</v>
      </c>
      <c r="M458" s="23">
        <v>1</v>
      </c>
      <c r="N458" s="23">
        <v>1.45</v>
      </c>
      <c r="O458" s="23"/>
      <c r="P458" s="23"/>
      <c r="Q458">
        <f>Table20[[#This Row],[Exit1]]*Table20[[#This Row],[ex1_price]]</f>
        <v>1.45</v>
      </c>
      <c r="R458">
        <f>Table20[[#This Row],[Exit2]]*Table20[[#This Row],[ex2_price]]</f>
        <v>0</v>
      </c>
      <c r="S458">
        <f>IFERROR((Table20[[#This Row],[ex2_amnt]]+Table20[[#This Row],[ex1_amnt]])/(Table20[[#This Row],[Exit2]]+Table20[[#This Row],[Exit1]]),0)</f>
        <v>1.45</v>
      </c>
      <c r="T458" s="5">
        <f>(Table20[[#This Row],[Exit1]]+Table20[[#This Row],[Exit2]])*(Table20[[#This Row],[avg_exit_price]]-Table20[[#This Row],[AvePrice]])*100*Table20[[#This Row],[Buy or Sell]]</f>
        <v>-101</v>
      </c>
      <c r="U458" s="5">
        <f>Table20[[#This Row],[Number of options]]*Table20[[#This Row],[AvePrice]]*100*Table20[[#This Row],[Buy or Sell]]</f>
        <v>246</v>
      </c>
      <c r="V458" s="8">
        <f>Table20[[#This Row],[Number of options]]-Table20[[#This Row],[Exit1]]-Table20[[#This Row],[Exit2]]</f>
        <v>0</v>
      </c>
      <c r="W458" s="30">
        <f ca="1">(Table20[[#This Row],[Expiration Date]]-TODAY())/365</f>
        <v>-1.0136986301369864</v>
      </c>
      <c r="X458" s="30" t="e">
        <f ca="1">(LN(Table20[[#This Row],[Current Price]]/Table20[[#This Row],[strike_price]]) + ($B$2 + (Table20[[#This Row],[Vol]]^2)/2)*Table20[[#This Row],[Time to expiration]]) / (Table20[[#This Row],[Vol]] * SQRT(Table20[[#This Row],[Time to expiration]]))</f>
        <v>#NUM!</v>
      </c>
      <c r="Y458" s="30" t="e">
        <f ca="1">IF(Table20[[#This Row],[Direction]]&gt;0, _xlfn.NORM.S.DIST(Table20[[#This Row],[d1]], TRUE), _xlfn.NORM.S.DIST(Table20[[#This Row],[d1]], TRUE) - 1) * Table20[[#This Row],[Buy or Sell]]</f>
        <v>#NUM!</v>
      </c>
      <c r="Z458" s="9">
        <f ca="1">Table20[[#This Row],[Remaining]]*Table20[[#This Row],[Current Price]]*100</f>
        <v>0</v>
      </c>
      <c r="AA458" s="22">
        <f ca="1">IFERROR(Table20[[#This Row],[nominal_exposure]]*Table20[[#This Row],[Delta]],0)</f>
        <v>0</v>
      </c>
      <c r="AB458" s="30" t="b">
        <f>IF(Table20[[#This Row],[date_purchased]]&lt;&gt;Table20[[#This Row],[Expiration Date]],FALSE,TRUE)</f>
        <v>0</v>
      </c>
      <c r="AC458" s="30" t="str">
        <f>VLOOKUP(Table20[[#This Row],[Asset]],Table19[#All],3,FALSE)</f>
        <v>Financials</v>
      </c>
      <c r="AD458" s="30">
        <f>IF(Table20[[#This Row],[Remaining]]&lt;&gt;0,Table20[[#This Row],[Invested]]*Table20[[#This Row],[Remaining]]/Table20[[#This Row],[Number of options]],0)</f>
        <v>0</v>
      </c>
      <c r="AE458" s="30">
        <f ca="1">SUMIF(Table20[Ticker],Table20[[#This Row],[Ticker]],Table20[realized_profit])</f>
        <v>-1533</v>
      </c>
      <c r="AF458" s="30" t="str">
        <f>VLOOKUP(Table20[[#This Row],[Strategy]],Table29[#All],7,FALSE)</f>
        <v>Bearish</v>
      </c>
    </row>
    <row r="459" spans="1:32" hidden="1">
      <c r="A459" s="180">
        <v>45737</v>
      </c>
      <c r="B459" s="21" t="e" vm="110">
        <v>#VALUE!</v>
      </c>
      <c r="C459" s="109" t="str" cm="1">
        <f t="array" aca="1" ref="C459" ca="1">_FV(Table20[[#This Row],[Asset]],"Ticker symbol",TRUE)</f>
        <v>JPM</v>
      </c>
      <c r="D459" s="26" cm="1">
        <f t="array" aca="1" ref="D459" ca="1">_FV(Table20[[#This Row],[Asset]],"Price")</f>
        <v>295.33</v>
      </c>
      <c r="E459" s="26">
        <v>260</v>
      </c>
      <c r="F459" s="33">
        <v>1</v>
      </c>
      <c r="G459" s="34">
        <v>1</v>
      </c>
      <c r="H459" s="34" t="s">
        <v>65</v>
      </c>
      <c r="I459" s="31">
        <v>45698</v>
      </c>
      <c r="J459" s="26">
        <v>2.9</v>
      </c>
      <c r="K459" s="24"/>
      <c r="L459" s="33">
        <f>VLOOKUP(Table20[[#This Row],[Strategy]],Table29[#All],6,FALSE)</f>
        <v>-1</v>
      </c>
      <c r="M459" s="23">
        <v>1</v>
      </c>
      <c r="N459" s="23">
        <v>1.45</v>
      </c>
      <c r="O459" s="23"/>
      <c r="P459" s="23"/>
      <c r="Q459">
        <f>Table20[[#This Row],[Exit1]]*Table20[[#This Row],[ex1_price]]</f>
        <v>1.45</v>
      </c>
      <c r="R459">
        <f>Table20[[#This Row],[Exit2]]*Table20[[#This Row],[ex2_price]]</f>
        <v>0</v>
      </c>
      <c r="S459">
        <f>IFERROR((Table20[[#This Row],[ex2_amnt]]+Table20[[#This Row],[ex1_amnt]])/(Table20[[#This Row],[Exit2]]+Table20[[#This Row],[Exit1]]),0)</f>
        <v>1.45</v>
      </c>
      <c r="T459" s="5">
        <f>(Table20[[#This Row],[Exit1]]+Table20[[#This Row],[Exit2]])*(Table20[[#This Row],[avg_exit_price]]-Table20[[#This Row],[AvePrice]])*100*Table20[[#This Row],[Buy or Sell]]</f>
        <v>-145</v>
      </c>
      <c r="U459" s="5">
        <f>Table20[[#This Row],[Number of options]]*Table20[[#This Row],[AvePrice]]*100*Table20[[#This Row],[Buy or Sell]]</f>
        <v>290</v>
      </c>
      <c r="V459" s="8">
        <f>Table20[[#This Row],[Number of options]]-Table20[[#This Row],[Exit1]]-Table20[[#This Row],[Exit2]]</f>
        <v>0</v>
      </c>
      <c r="W459" s="30">
        <f ca="1">(Table20[[#This Row],[Expiration Date]]-TODAY())/365</f>
        <v>-1.0136986301369864</v>
      </c>
      <c r="X459" s="30" t="e">
        <f ca="1">(LN(Table20[[#This Row],[Current Price]]/Table20[[#This Row],[strike_price]]) + ($B$2 + (Table20[[#This Row],[Vol]]^2)/2)*Table20[[#This Row],[Time to expiration]]) / (Table20[[#This Row],[Vol]] * SQRT(Table20[[#This Row],[Time to expiration]]))</f>
        <v>#NUM!</v>
      </c>
      <c r="Y459" s="30" t="e">
        <f ca="1">IF(Table20[[#This Row],[Direction]]&gt;0, _xlfn.NORM.S.DIST(Table20[[#This Row],[d1]], TRUE), _xlfn.NORM.S.DIST(Table20[[#This Row],[d1]], TRUE) - 1) * Table20[[#This Row],[Buy or Sell]]</f>
        <v>#NUM!</v>
      </c>
      <c r="Z459" s="9">
        <f ca="1">Table20[[#This Row],[Remaining]]*Table20[[#This Row],[Current Price]]*100</f>
        <v>0</v>
      </c>
      <c r="AA459" s="22">
        <f ca="1">IFERROR(Table20[[#This Row],[nominal_exposure]]*Table20[[#This Row],[Delta]],0)</f>
        <v>0</v>
      </c>
      <c r="AB459" s="30" t="b">
        <f>IF(Table20[[#This Row],[date_purchased]]&lt;&gt;Table20[[#This Row],[Expiration Date]],FALSE,TRUE)</f>
        <v>0</v>
      </c>
      <c r="AC459" s="30" t="str">
        <f>VLOOKUP(Table20[[#This Row],[Asset]],Table19[#All],3,FALSE)</f>
        <v>Financials</v>
      </c>
      <c r="AD459" s="30">
        <f>IF(Table20[[#This Row],[Remaining]]&lt;&gt;0,Table20[[#This Row],[Invested]]*Table20[[#This Row],[Remaining]]/Table20[[#This Row],[Number of options]],0)</f>
        <v>0</v>
      </c>
      <c r="AE459" s="30">
        <f ca="1">SUMIF(Table20[Ticker],Table20[[#This Row],[Ticker]],Table20[realized_profit])</f>
        <v>-1533</v>
      </c>
      <c r="AF459" s="30" t="str">
        <f>VLOOKUP(Table20[[#This Row],[Strategy]],Table29[#All],7,FALSE)</f>
        <v>Bearish</v>
      </c>
    </row>
    <row r="460" spans="1:32" hidden="1">
      <c r="A460" s="180">
        <v>45737</v>
      </c>
      <c r="B460" s="21" t="e" vm="446">
        <v>#VALUE!</v>
      </c>
      <c r="C460" s="109" t="str" cm="1">
        <f t="array" aca="1" ref="C460" ca="1">_FV(Table20[[#This Row],[Asset]],"Ticker symbol",TRUE)</f>
        <v>RDDT</v>
      </c>
      <c r="D460" s="26" cm="1">
        <f t="array" aca="1" ref="D460" ca="1">_FV(Table20[[#This Row],[Asset]],"Price")</f>
        <v>143.06</v>
      </c>
      <c r="E460" s="26">
        <v>160</v>
      </c>
      <c r="F460" s="33">
        <v>2</v>
      </c>
      <c r="G460" s="34">
        <v>1</v>
      </c>
      <c r="H460" s="34" t="s">
        <v>65</v>
      </c>
      <c r="I460" s="31">
        <v>45701</v>
      </c>
      <c r="J460" s="26">
        <v>2.77</v>
      </c>
      <c r="K460" s="24">
        <v>0.62350000000000005</v>
      </c>
      <c r="L460" s="33">
        <f>VLOOKUP(Table20[[#This Row],[Strategy]],Table29[#All],6,FALSE)</f>
        <v>-1</v>
      </c>
      <c r="M460" s="23">
        <v>1</v>
      </c>
      <c r="N460" s="23">
        <v>5.2</v>
      </c>
      <c r="O460" s="23">
        <v>1</v>
      </c>
      <c r="P460" s="23">
        <v>9.14</v>
      </c>
      <c r="Q460">
        <f>Table20[[#This Row],[Exit1]]*Table20[[#This Row],[ex1_price]]</f>
        <v>5.2</v>
      </c>
      <c r="R460">
        <f>Table20[[#This Row],[Exit2]]*Table20[[#This Row],[ex2_price]]</f>
        <v>9.14</v>
      </c>
      <c r="S460">
        <f>IFERROR((Table20[[#This Row],[ex2_amnt]]+Table20[[#This Row],[ex1_amnt]])/(Table20[[#This Row],[Exit2]]+Table20[[#This Row],[Exit1]]),0)</f>
        <v>7.17</v>
      </c>
      <c r="T460" s="5">
        <f>(Table20[[#This Row],[Exit1]]+Table20[[#This Row],[Exit2]])*(Table20[[#This Row],[avg_exit_price]]-Table20[[#This Row],[AvePrice]])*100*Table20[[#This Row],[Buy or Sell]]</f>
        <v>880.00000000000011</v>
      </c>
      <c r="U460" s="5">
        <f>Table20[[#This Row],[Number of options]]*Table20[[#This Row],[AvePrice]]*100*Table20[[#This Row],[Buy or Sell]]</f>
        <v>554</v>
      </c>
      <c r="V460" s="8">
        <f>Table20[[#This Row],[Number of options]]-Table20[[#This Row],[Exit1]]-Table20[[#This Row],[Exit2]]</f>
        <v>0</v>
      </c>
      <c r="W460" s="30">
        <f ca="1">(Table20[[#This Row],[Expiration Date]]-TODAY())/365</f>
        <v>-1.0136986301369864</v>
      </c>
      <c r="X460" s="30" t="e">
        <f ca="1">(LN(Table20[[#This Row],[Current Price]]/Table20[[#This Row],[strike_price]]) + ($B$2 + (Table20[[#This Row],[Vol]]^2)/2)*Table20[[#This Row],[Time to expiration]]) / (Table20[[#This Row],[Vol]] * SQRT(Table20[[#This Row],[Time to expiration]]))</f>
        <v>#NUM!</v>
      </c>
      <c r="Y460" s="30" t="e">
        <f ca="1">IF(Table20[[#This Row],[Direction]]&gt;0, _xlfn.NORM.S.DIST(Table20[[#This Row],[d1]], TRUE), _xlfn.NORM.S.DIST(Table20[[#This Row],[d1]], TRUE) - 1) * Table20[[#This Row],[Buy or Sell]]</f>
        <v>#NUM!</v>
      </c>
      <c r="Z460" s="9">
        <f ca="1">Table20[[#This Row],[Remaining]]*Table20[[#This Row],[Current Price]]*100</f>
        <v>0</v>
      </c>
      <c r="AA460" s="22">
        <f ca="1">IFERROR(Table20[[#This Row],[nominal_exposure]]*Table20[[#This Row],[Delta]],0)</f>
        <v>0</v>
      </c>
      <c r="AB460" s="30" t="b">
        <f>IF(Table20[[#This Row],[date_purchased]]&lt;&gt;Table20[[#This Row],[Expiration Date]],FALSE,TRUE)</f>
        <v>0</v>
      </c>
      <c r="AC460" s="30" t="str">
        <f>VLOOKUP(Table20[[#This Row],[Asset]],Table19[#All],3,FALSE)</f>
        <v>Technology</v>
      </c>
      <c r="AD460" s="30">
        <f>IF(Table20[[#This Row],[Remaining]]&lt;&gt;0,Table20[[#This Row],[Invested]]*Table20[[#This Row],[Remaining]]/Table20[[#This Row],[Number of options]],0)</f>
        <v>0</v>
      </c>
      <c r="AE460" s="30">
        <f ca="1">SUMIF(Table20[Ticker],Table20[[#This Row],[Ticker]],Table20[realized_profit])</f>
        <v>1766.0000000000002</v>
      </c>
      <c r="AF460" s="30" t="str">
        <f>VLOOKUP(Table20[[#This Row],[Strategy]],Table29[#All],7,FALSE)</f>
        <v>Bearish</v>
      </c>
    </row>
    <row r="461" spans="1:32" hidden="1">
      <c r="A461" s="180">
        <v>45747</v>
      </c>
      <c r="B461" s="21" t="e" vm="96">
        <v>#VALUE!</v>
      </c>
      <c r="C461" s="109" t="str" cm="1">
        <f t="array" aca="1" ref="C461" ca="1">_FV(Table20[[#This Row],[Asset]],"Ticker symbol",TRUE)</f>
        <v>SPY</v>
      </c>
      <c r="D461" s="26" cm="1">
        <f t="array" aca="1" ref="D461" ca="1">_FV(Table20[[#This Row],[Asset]],"Price")</f>
        <v>658.59</v>
      </c>
      <c r="E461" s="26">
        <v>550</v>
      </c>
      <c r="F461" s="33">
        <v>2</v>
      </c>
      <c r="G461" s="34">
        <v>1</v>
      </c>
      <c r="H461" s="34" t="s">
        <v>65</v>
      </c>
      <c r="I461" s="31">
        <v>45608</v>
      </c>
      <c r="J461" s="26">
        <v>6.36</v>
      </c>
      <c r="K461" s="24">
        <v>0.1772</v>
      </c>
      <c r="L461" s="33">
        <f>VLOOKUP(Table20[[#This Row],[Strategy]],Table29[#All],6,FALSE)</f>
        <v>-1</v>
      </c>
      <c r="M461" s="23">
        <v>1</v>
      </c>
      <c r="N461" s="23">
        <v>6.14</v>
      </c>
      <c r="O461" s="23">
        <v>1</v>
      </c>
      <c r="P461" s="23">
        <v>1.88</v>
      </c>
      <c r="Q461">
        <f>Table20[[#This Row],[Exit1]]*Table20[[#This Row],[ex1_price]]</f>
        <v>6.14</v>
      </c>
      <c r="R461">
        <f>Table20[[#This Row],[Exit2]]*Table20[[#This Row],[ex2_price]]</f>
        <v>1.88</v>
      </c>
      <c r="S461">
        <f>IFERROR((Table20[[#This Row],[ex2_amnt]]+Table20[[#This Row],[ex1_amnt]])/(Table20[[#This Row],[Exit2]]+Table20[[#This Row],[Exit1]]),0)</f>
        <v>4.01</v>
      </c>
      <c r="T461" s="5">
        <f>(Table20[[#This Row],[Exit1]]+Table20[[#This Row],[Exit2]])*(Table20[[#This Row],[avg_exit_price]]-Table20[[#This Row],[AvePrice]])*100*Table20[[#This Row],[Buy or Sell]]</f>
        <v>-470.00000000000011</v>
      </c>
      <c r="U461" s="5">
        <f>Table20[[#This Row],[Number of options]]*Table20[[#This Row],[AvePrice]]*100*Table20[[#This Row],[Buy or Sell]]</f>
        <v>1272</v>
      </c>
      <c r="V461" s="8">
        <f>Table20[[#This Row],[Number of options]]-Table20[[#This Row],[Exit1]]-Table20[[#This Row],[Exit2]]</f>
        <v>0</v>
      </c>
      <c r="W461" s="30">
        <f ca="1">(Table20[[#This Row],[Expiration Date]]-TODAY())/365</f>
        <v>-0.98630136986301364</v>
      </c>
      <c r="X461" s="30" t="e">
        <f ca="1">(LN(Table20[[#This Row],[Current Price]]/Table20[[#This Row],[strike_price]]) + ($B$2 + (Table20[[#This Row],[Vol]]^2)/2)*Table20[[#This Row],[Time to expiration]]) / (Table20[[#This Row],[Vol]] * SQRT(Table20[[#This Row],[Time to expiration]]))</f>
        <v>#NUM!</v>
      </c>
      <c r="Y461" s="30" t="e">
        <f ca="1">IF(Table20[[#This Row],[Direction]]&gt;0, _xlfn.NORM.S.DIST(Table20[[#This Row],[d1]], TRUE), _xlfn.NORM.S.DIST(Table20[[#This Row],[d1]], TRUE) - 1) * Table20[[#This Row],[Buy or Sell]]</f>
        <v>#NUM!</v>
      </c>
      <c r="Z461" s="9">
        <f ca="1">Table20[[#This Row],[Remaining]]*Table20[[#This Row],[Current Price]]*100</f>
        <v>0</v>
      </c>
      <c r="AA461" s="22">
        <f ca="1">IFERROR(Table20[[#This Row],[nominal_exposure]]*Table20[[#This Row],[Delta]],0)</f>
        <v>0</v>
      </c>
      <c r="AB461" s="30" t="b">
        <f>IF(Table20[[#This Row],[date_purchased]]&lt;&gt;Table20[[#This Row],[Expiration Date]],FALSE,TRUE)</f>
        <v>0</v>
      </c>
      <c r="AC461" s="30" t="str">
        <f>VLOOKUP(Table20[[#This Row],[Asset]],Table19[#All],3,FALSE)</f>
        <v>Market</v>
      </c>
      <c r="AD461" s="30">
        <f>IF(Table20[[#This Row],[Remaining]]&lt;&gt;0,Table20[[#This Row],[Invested]]*Table20[[#This Row],[Remaining]]/Table20[[#This Row],[Number of options]],0)</f>
        <v>0</v>
      </c>
      <c r="AE461" s="30">
        <f ca="1">SUMIF(Table20[Ticker],Table20[[#This Row],[Ticker]],Table20[realized_profit])</f>
        <v>-5077</v>
      </c>
      <c r="AF461" s="30" t="str">
        <f>VLOOKUP(Table20[[#This Row],[Strategy]],Table29[#All],7,FALSE)</f>
        <v>Bearish</v>
      </c>
    </row>
    <row r="462" spans="1:32" hidden="1">
      <c r="A462" s="180">
        <v>45747</v>
      </c>
      <c r="B462" s="21" t="e" vm="151">
        <v>#VALUE!</v>
      </c>
      <c r="C462" s="109" t="str" cm="1">
        <f t="array" aca="1" ref="C462" ca="1">_FV(Table20[[#This Row],[Asset]],"Ticker symbol",TRUE)</f>
        <v>TLT</v>
      </c>
      <c r="D462" s="26" cm="1">
        <f t="array" aca="1" ref="D462" ca="1">_FV(Table20[[#This Row],[Asset]],"Price")</f>
        <v>86.743499999999997</v>
      </c>
      <c r="E462" s="26">
        <v>90</v>
      </c>
      <c r="F462" s="33">
        <v>9</v>
      </c>
      <c r="G462" s="34">
        <v>1</v>
      </c>
      <c r="H462" s="34" t="s">
        <v>113</v>
      </c>
      <c r="I462" s="31">
        <v>45665</v>
      </c>
      <c r="J462" s="26">
        <v>1.19</v>
      </c>
      <c r="K462" s="24">
        <v>0.15310000000000001</v>
      </c>
      <c r="L462" s="33">
        <f>VLOOKUP(Table20[[#This Row],[Strategy]],Table29[#All],6,FALSE)</f>
        <v>1</v>
      </c>
      <c r="M462" s="23">
        <v>4</v>
      </c>
      <c r="N462" s="23">
        <v>1.26</v>
      </c>
      <c r="O462" s="23">
        <v>5</v>
      </c>
      <c r="P462" s="23">
        <v>2.23</v>
      </c>
      <c r="Q462">
        <f>Table20[[#This Row],[Exit1]]*Table20[[#This Row],[ex1_price]]</f>
        <v>5.04</v>
      </c>
      <c r="R462">
        <f>Table20[[#This Row],[Exit2]]*Table20[[#This Row],[ex2_price]]</f>
        <v>11.15</v>
      </c>
      <c r="S462">
        <f>IFERROR((Table20[[#This Row],[ex2_amnt]]+Table20[[#This Row],[ex1_amnt]])/(Table20[[#This Row],[Exit2]]+Table20[[#This Row],[Exit1]]),0)</f>
        <v>1.798888888888889</v>
      </c>
      <c r="T462" s="5">
        <f>(Table20[[#This Row],[Exit1]]+Table20[[#This Row],[Exit2]])*(Table20[[#This Row],[avg_exit_price]]-Table20[[#This Row],[AvePrice]])*100*Table20[[#This Row],[Buy or Sell]]</f>
        <v>548.00000000000011</v>
      </c>
      <c r="U462" s="5">
        <f>Table20[[#This Row],[Number of options]]*Table20[[#This Row],[AvePrice]]*100*Table20[[#This Row],[Buy or Sell]]</f>
        <v>1071</v>
      </c>
      <c r="V462" s="8">
        <f>Table20[[#This Row],[Number of options]]-Table20[[#This Row],[Exit1]]-Table20[[#This Row],[Exit2]]</f>
        <v>0</v>
      </c>
      <c r="W462" s="30">
        <f ca="1">(Table20[[#This Row],[Expiration Date]]-TODAY())/365</f>
        <v>-0.98630136986301364</v>
      </c>
      <c r="X462" s="30" t="e">
        <f ca="1">(LN(Table20[[#This Row],[Current Price]]/Table20[[#This Row],[strike_price]]) + ($B$2 + (Table20[[#This Row],[Vol]]^2)/2)*Table20[[#This Row],[Time to expiration]]) / (Table20[[#This Row],[Vol]] * SQRT(Table20[[#This Row],[Time to expiration]]))</f>
        <v>#NUM!</v>
      </c>
      <c r="Y462" s="30" t="e">
        <f ca="1">IF(Table20[[#This Row],[Direction]]&gt;0, _xlfn.NORM.S.DIST(Table20[[#This Row],[d1]], TRUE), _xlfn.NORM.S.DIST(Table20[[#This Row],[d1]], TRUE) - 1) * Table20[[#This Row],[Buy or Sell]]</f>
        <v>#NUM!</v>
      </c>
      <c r="Z462" s="9">
        <f ca="1">Table20[[#This Row],[Remaining]]*Table20[[#This Row],[Current Price]]*100</f>
        <v>0</v>
      </c>
      <c r="AA462" s="22">
        <f ca="1">IFERROR(Table20[[#This Row],[nominal_exposure]]*Table20[[#This Row],[Delta]],0)</f>
        <v>0</v>
      </c>
      <c r="AB462" s="30" t="b">
        <f>IF(Table20[[#This Row],[date_purchased]]&lt;&gt;Table20[[#This Row],[Expiration Date]],FALSE,TRUE)</f>
        <v>0</v>
      </c>
      <c r="AC462" s="30" t="str">
        <f>VLOOKUP(Table20[[#This Row],[Asset]],Table19[#All],3,FALSE)</f>
        <v>Market</v>
      </c>
      <c r="AD462" s="30">
        <f>IF(Table20[[#This Row],[Remaining]]&lt;&gt;0,Table20[[#This Row],[Invested]]*Table20[[#This Row],[Remaining]]/Table20[[#This Row],[Number of options]],0)</f>
        <v>0</v>
      </c>
      <c r="AE462" s="30">
        <f ca="1">SUMIF(Table20[Ticker],Table20[[#This Row],[Ticker]],Table20[realized_profit])</f>
        <v>-3328.3599999999997</v>
      </c>
      <c r="AF462" s="30" t="str">
        <f>VLOOKUP(Table20[[#This Row],[Strategy]],Table29[#All],7,FALSE)</f>
        <v>Bullish</v>
      </c>
    </row>
    <row r="463" spans="1:32" hidden="1">
      <c r="A463" s="180">
        <v>45747</v>
      </c>
      <c r="B463" s="21" t="e" vm="96">
        <v>#VALUE!</v>
      </c>
      <c r="C463" s="109" t="str" cm="1">
        <f t="array" aca="1" ref="C463" ca="1">_FV(Table20[[#This Row],[Asset]],"Ticker symbol",TRUE)</f>
        <v>SPY</v>
      </c>
      <c r="D463" s="26" cm="1">
        <f t="array" aca="1" ref="D463" ca="1">_FV(Table20[[#This Row],[Asset]],"Price")</f>
        <v>658.59</v>
      </c>
      <c r="E463" s="26">
        <v>550</v>
      </c>
      <c r="F463" s="33">
        <v>2</v>
      </c>
      <c r="G463" s="34">
        <v>1</v>
      </c>
      <c r="H463" s="34" t="s">
        <v>65</v>
      </c>
      <c r="I463" s="31">
        <v>45700</v>
      </c>
      <c r="J463" s="26">
        <v>1.8</v>
      </c>
      <c r="K463" s="24"/>
      <c r="L463" s="33">
        <f>VLOOKUP(Table20[[#This Row],[Strategy]],Table29[#All],6,FALSE)</f>
        <v>-1</v>
      </c>
      <c r="M463" s="23">
        <v>2</v>
      </c>
      <c r="N463" s="23">
        <v>1.56</v>
      </c>
      <c r="O463" s="23"/>
      <c r="P463" s="23"/>
      <c r="Q463">
        <f>Table20[[#This Row],[Exit1]]*Table20[[#This Row],[ex1_price]]</f>
        <v>3.12</v>
      </c>
      <c r="R463">
        <f>Table20[[#This Row],[Exit2]]*Table20[[#This Row],[ex2_price]]</f>
        <v>0</v>
      </c>
      <c r="S463">
        <f>IFERROR((Table20[[#This Row],[ex2_amnt]]+Table20[[#This Row],[ex1_amnt]])/(Table20[[#This Row],[Exit2]]+Table20[[#This Row],[Exit1]]),0)</f>
        <v>1.56</v>
      </c>
      <c r="T463" s="5">
        <f>(Table20[[#This Row],[Exit1]]+Table20[[#This Row],[Exit2]])*(Table20[[#This Row],[avg_exit_price]]-Table20[[#This Row],[AvePrice]])*100*Table20[[#This Row],[Buy or Sell]]</f>
        <v>-48</v>
      </c>
      <c r="U463" s="5">
        <f>Table20[[#This Row],[Number of options]]*Table20[[#This Row],[AvePrice]]*100*Table20[[#This Row],[Buy or Sell]]</f>
        <v>360</v>
      </c>
      <c r="V463" s="8">
        <f>Table20[[#This Row],[Number of options]]-Table20[[#This Row],[Exit1]]-Table20[[#This Row],[Exit2]]</f>
        <v>0</v>
      </c>
      <c r="W463" s="30">
        <f ca="1">(Table20[[#This Row],[Expiration Date]]-TODAY())/365</f>
        <v>-0.98630136986301364</v>
      </c>
      <c r="X463" s="30" t="e">
        <f ca="1">(LN(Table20[[#This Row],[Current Price]]/Table20[[#This Row],[strike_price]]) + ($B$2 + (Table20[[#This Row],[Vol]]^2)/2)*Table20[[#This Row],[Time to expiration]]) / (Table20[[#This Row],[Vol]] * SQRT(Table20[[#This Row],[Time to expiration]]))</f>
        <v>#NUM!</v>
      </c>
      <c r="Y463" s="30" t="e">
        <f ca="1">IF(Table20[[#This Row],[Direction]]&gt;0, _xlfn.NORM.S.DIST(Table20[[#This Row],[d1]], TRUE), _xlfn.NORM.S.DIST(Table20[[#This Row],[d1]], TRUE) - 1) * Table20[[#This Row],[Buy or Sell]]</f>
        <v>#NUM!</v>
      </c>
      <c r="Z463" s="9">
        <f ca="1">Table20[[#This Row],[Remaining]]*Table20[[#This Row],[Current Price]]*100</f>
        <v>0</v>
      </c>
      <c r="AA463" s="22">
        <f ca="1">IFERROR(Table20[[#This Row],[nominal_exposure]]*Table20[[#This Row],[Delta]],0)</f>
        <v>0</v>
      </c>
      <c r="AB463" s="30" t="b">
        <f>IF(Table20[[#This Row],[date_purchased]]&lt;&gt;Table20[[#This Row],[Expiration Date]],FALSE,TRUE)</f>
        <v>0</v>
      </c>
      <c r="AC463" s="30" t="str">
        <f>VLOOKUP(Table20[[#This Row],[Asset]],Table19[#All],3,FALSE)</f>
        <v>Market</v>
      </c>
      <c r="AD463" s="30">
        <f>IF(Table20[[#This Row],[Remaining]]&lt;&gt;0,Table20[[#This Row],[Invested]]*Table20[[#This Row],[Remaining]]/Table20[[#This Row],[Number of options]],0)</f>
        <v>0</v>
      </c>
      <c r="AE463" s="30">
        <f ca="1">SUMIF(Table20[Ticker],Table20[[#This Row],[Ticker]],Table20[realized_profit])</f>
        <v>-5077</v>
      </c>
      <c r="AF463" s="30" t="str">
        <f>VLOOKUP(Table20[[#This Row],[Strategy]],Table29[#All],7,FALSE)</f>
        <v>Bearish</v>
      </c>
    </row>
    <row r="464" spans="1:32" hidden="1">
      <c r="A464" s="180">
        <v>45730</v>
      </c>
      <c r="B464" s="21" t="e" vm="446">
        <v>#VALUE!</v>
      </c>
      <c r="C464" s="109" t="str" cm="1">
        <f t="array" aca="1" ref="C464" ca="1">_FV(Table20[[#This Row],[Asset]],"Ticker symbol",TRUE)</f>
        <v>RDDT</v>
      </c>
      <c r="D464" s="26" cm="1">
        <f t="array" aca="1" ref="D464" ca="1">_FV(Table20[[#This Row],[Asset]],"Price")</f>
        <v>143.06</v>
      </c>
      <c r="E464" s="26">
        <v>100</v>
      </c>
      <c r="F464" s="33">
        <v>1</v>
      </c>
      <c r="G464" s="34">
        <v>1</v>
      </c>
      <c r="H464" s="34" t="s">
        <v>65</v>
      </c>
      <c r="I464" s="31">
        <v>45726</v>
      </c>
      <c r="J464" s="26">
        <v>1.65</v>
      </c>
      <c r="K464" s="24">
        <v>1.44</v>
      </c>
      <c r="L464" s="33">
        <f>VLOOKUP(Table20[[#This Row],[Strategy]],Table29[#All],6,FALSE)</f>
        <v>-1</v>
      </c>
      <c r="M464" s="23">
        <v>1</v>
      </c>
      <c r="N464" s="23">
        <v>2.94</v>
      </c>
      <c r="O464" s="23"/>
      <c r="P464" s="23"/>
      <c r="Q464">
        <f>Table20[[#This Row],[Exit1]]*Table20[[#This Row],[ex1_price]]</f>
        <v>2.94</v>
      </c>
      <c r="R464">
        <f>Table20[[#This Row],[Exit2]]*Table20[[#This Row],[ex2_price]]</f>
        <v>0</v>
      </c>
      <c r="S464">
        <f>IFERROR((Table20[[#This Row],[ex2_amnt]]+Table20[[#This Row],[ex1_amnt]])/(Table20[[#This Row],[Exit2]]+Table20[[#This Row],[Exit1]]),0)</f>
        <v>2.94</v>
      </c>
      <c r="T464" s="5">
        <f>(Table20[[#This Row],[Exit1]]+Table20[[#This Row],[Exit2]])*(Table20[[#This Row],[avg_exit_price]]-Table20[[#This Row],[AvePrice]])*100*Table20[[#This Row],[Buy or Sell]]</f>
        <v>129</v>
      </c>
      <c r="U464" s="5">
        <f>Table20[[#This Row],[Number of options]]*Table20[[#This Row],[AvePrice]]*100*Table20[[#This Row],[Buy or Sell]]</f>
        <v>165</v>
      </c>
      <c r="V464" s="8">
        <f>Table20[[#This Row],[Number of options]]-Table20[[#This Row],[Exit1]]-Table20[[#This Row],[Exit2]]</f>
        <v>0</v>
      </c>
      <c r="W464" s="30">
        <f ca="1">(Table20[[#This Row],[Expiration Date]]-TODAY())/365</f>
        <v>-1.0328767123287672</v>
      </c>
      <c r="X464" s="30" t="e">
        <f ca="1">(LN(Table20[[#This Row],[Current Price]]/Table20[[#This Row],[strike_price]]) + ($B$2 + (Table20[[#This Row],[Vol]]^2)/2)*Table20[[#This Row],[Time to expiration]]) / (Table20[[#This Row],[Vol]] * SQRT(Table20[[#This Row],[Time to expiration]]))</f>
        <v>#NUM!</v>
      </c>
      <c r="Y464" s="30" t="e">
        <f ca="1">IF(Table20[[#This Row],[Direction]]&gt;0, _xlfn.NORM.S.DIST(Table20[[#This Row],[d1]], TRUE), _xlfn.NORM.S.DIST(Table20[[#This Row],[d1]], TRUE) - 1) * Table20[[#This Row],[Buy or Sell]]</f>
        <v>#NUM!</v>
      </c>
      <c r="Z464" s="9">
        <f ca="1">Table20[[#This Row],[Remaining]]*Table20[[#This Row],[Current Price]]*100</f>
        <v>0</v>
      </c>
      <c r="AA464" s="22">
        <f ca="1">IFERROR(Table20[[#This Row],[nominal_exposure]]*Table20[[#This Row],[Delta]],0)</f>
        <v>0</v>
      </c>
      <c r="AB464" s="30" t="b">
        <f>IF(Table20[[#This Row],[date_purchased]]&lt;&gt;Table20[[#This Row],[Expiration Date]],FALSE,TRUE)</f>
        <v>0</v>
      </c>
      <c r="AC464" s="30" t="str">
        <f>VLOOKUP(Table20[[#This Row],[Asset]],Table19[#All],3,FALSE)</f>
        <v>Technology</v>
      </c>
      <c r="AD464" s="30">
        <f>IF(Table20[[#This Row],[Remaining]]&lt;&gt;0,Table20[[#This Row],[Invested]]*Table20[[#This Row],[Remaining]]/Table20[[#This Row],[Number of options]],0)</f>
        <v>0</v>
      </c>
      <c r="AE464" s="30">
        <f ca="1">SUMIF(Table20[Ticker],Table20[[#This Row],[Ticker]],Table20[realized_profit])</f>
        <v>1766.0000000000002</v>
      </c>
      <c r="AF464" s="30" t="str">
        <f>VLOOKUP(Table20[[#This Row],[Strategy]],Table29[#All],7,FALSE)</f>
        <v>Bearish</v>
      </c>
    </row>
    <row r="465" spans="1:32" hidden="1">
      <c r="A465" s="180">
        <v>45730</v>
      </c>
      <c r="B465" s="21" t="e" vm="139">
        <v>#VALUE!</v>
      </c>
      <c r="C465" s="109" t="str" cm="1">
        <f t="array" aca="1" ref="C465" ca="1">_FV(Table20[[#This Row],[Asset]],"Ticker symbol",TRUE)</f>
        <v>WMT</v>
      </c>
      <c r="D465" s="26" cm="1">
        <f t="array" aca="1" ref="D465" ca="1">_FV(Table20[[#This Row],[Asset]],"Price")</f>
        <v>122.55500000000001</v>
      </c>
      <c r="E465" s="26">
        <v>85</v>
      </c>
      <c r="F465" s="33">
        <v>2</v>
      </c>
      <c r="G465" s="34">
        <v>1</v>
      </c>
      <c r="H465" s="34" t="s">
        <v>65</v>
      </c>
      <c r="I465" s="31">
        <v>45729</v>
      </c>
      <c r="J465" s="26">
        <v>1.29</v>
      </c>
      <c r="K465" s="24">
        <v>0.41</v>
      </c>
      <c r="L465" s="33">
        <f>VLOOKUP(Table20[[#This Row],[Strategy]],Table29[#All],6,FALSE)</f>
        <v>-1</v>
      </c>
      <c r="M465" s="23">
        <v>2</v>
      </c>
      <c r="N465" s="23">
        <v>0.64</v>
      </c>
      <c r="O465" s="23"/>
      <c r="P465" s="23"/>
      <c r="Q465">
        <f>Table20[[#This Row],[Exit1]]*Table20[[#This Row],[ex1_price]]</f>
        <v>1.28</v>
      </c>
      <c r="R465">
        <f>Table20[[#This Row],[Exit2]]*Table20[[#This Row],[ex2_price]]</f>
        <v>0</v>
      </c>
      <c r="S465">
        <f>IFERROR((Table20[[#This Row],[ex2_amnt]]+Table20[[#This Row],[ex1_amnt]])/(Table20[[#This Row],[Exit2]]+Table20[[#This Row],[Exit1]]),0)</f>
        <v>0.64</v>
      </c>
      <c r="T465" s="5">
        <f>(Table20[[#This Row],[Exit1]]+Table20[[#This Row],[Exit2]])*(Table20[[#This Row],[avg_exit_price]]-Table20[[#This Row],[AvePrice]])*100*Table20[[#This Row],[Buy or Sell]]</f>
        <v>-130</v>
      </c>
      <c r="U465" s="5">
        <f>Table20[[#This Row],[Number of options]]*Table20[[#This Row],[AvePrice]]*100*Table20[[#This Row],[Buy or Sell]]</f>
        <v>258</v>
      </c>
      <c r="V465" s="8">
        <f>Table20[[#This Row],[Number of options]]-Table20[[#This Row],[Exit1]]-Table20[[#This Row],[Exit2]]</f>
        <v>0</v>
      </c>
      <c r="W465" s="30">
        <f ca="1">(Table20[[#This Row],[Expiration Date]]-TODAY())/365</f>
        <v>-1.0328767123287672</v>
      </c>
      <c r="X465" s="30" t="e">
        <f ca="1">(LN(Table20[[#This Row],[Current Price]]/Table20[[#This Row],[strike_price]]) + ($B$2 + (Table20[[#This Row],[Vol]]^2)/2)*Table20[[#This Row],[Time to expiration]]) / (Table20[[#This Row],[Vol]] * SQRT(Table20[[#This Row],[Time to expiration]]))</f>
        <v>#NUM!</v>
      </c>
      <c r="Y465" s="30" t="e">
        <f ca="1">IF(Table20[[#This Row],[Direction]]&gt;0, _xlfn.NORM.S.DIST(Table20[[#This Row],[d1]], TRUE), _xlfn.NORM.S.DIST(Table20[[#This Row],[d1]], TRUE) - 1) * Table20[[#This Row],[Buy or Sell]]</f>
        <v>#NUM!</v>
      </c>
      <c r="Z465" s="9">
        <f ca="1">Table20[[#This Row],[Remaining]]*Table20[[#This Row],[Current Price]]*100</f>
        <v>0</v>
      </c>
      <c r="AA465" s="22">
        <f ca="1">IFERROR(Table20[[#This Row],[nominal_exposure]]*Table20[[#This Row],[Delta]],0)</f>
        <v>0</v>
      </c>
      <c r="AB465" s="30" t="b">
        <f>IF(Table20[[#This Row],[date_purchased]]&lt;&gt;Table20[[#This Row],[Expiration Date]],FALSE,TRUE)</f>
        <v>0</v>
      </c>
      <c r="AC465" s="30" t="str">
        <f>VLOOKUP(Table20[[#This Row],[Asset]],Table19[#All],3,FALSE)</f>
        <v>Consumer Staples</v>
      </c>
      <c r="AD465" s="30">
        <f>IF(Table20[[#This Row],[Remaining]]&lt;&gt;0,Table20[[#This Row],[Invested]]*Table20[[#This Row],[Remaining]]/Table20[[#This Row],[Number of options]],0)</f>
        <v>0</v>
      </c>
      <c r="AE465" s="30">
        <f ca="1">SUMIF(Table20[Ticker],Table20[[#This Row],[Ticker]],Table20[realized_profit])</f>
        <v>-838.16</v>
      </c>
      <c r="AF465" s="30" t="str">
        <f>VLOOKUP(Table20[[#This Row],[Strategy]],Table29[#All],7,FALSE)</f>
        <v>Bearish</v>
      </c>
    </row>
    <row r="466" spans="1:32" hidden="1">
      <c r="A466" s="180">
        <v>45828</v>
      </c>
      <c r="B466" s="21" t="e" vm="159">
        <v>#VALUE!</v>
      </c>
      <c r="C466" s="109" t="str" cm="1">
        <f t="array" aca="1" ref="C466" ca="1">_FV(Table20[[#This Row],[Asset]],"Ticker symbol",TRUE)</f>
        <v>BABA</v>
      </c>
      <c r="D466" s="26" cm="1">
        <f t="array" aca="1" ref="D466" ca="1">_FV(Table20[[#This Row],[Asset]],"Price")</f>
        <v>129.63999999999999</v>
      </c>
      <c r="E466" s="26">
        <v>120</v>
      </c>
      <c r="F466" s="33">
        <v>5</v>
      </c>
      <c r="G466" s="34">
        <v>1</v>
      </c>
      <c r="H466" s="34" t="s">
        <v>113</v>
      </c>
      <c r="I466" s="31">
        <v>45622</v>
      </c>
      <c r="J466" s="26">
        <v>2.11</v>
      </c>
      <c r="K466" s="24">
        <v>0.38540000000000002</v>
      </c>
      <c r="L466" s="33">
        <f>VLOOKUP(Table20[[#This Row],[Strategy]],Table29[#All],6,FALSE)</f>
        <v>1</v>
      </c>
      <c r="M466" s="23">
        <v>3</v>
      </c>
      <c r="N466" s="23">
        <v>4.53</v>
      </c>
      <c r="O466" s="23">
        <v>2</v>
      </c>
      <c r="P466" s="23">
        <v>5.0999999999999996</v>
      </c>
      <c r="Q466">
        <f>Table20[[#This Row],[Exit1]]*Table20[[#This Row],[ex1_price]]</f>
        <v>13.59</v>
      </c>
      <c r="R466">
        <f>Table20[[#This Row],[Exit2]]*Table20[[#This Row],[ex2_price]]</f>
        <v>10.199999999999999</v>
      </c>
      <c r="S466">
        <f>IFERROR((Table20[[#This Row],[ex2_amnt]]+Table20[[#This Row],[ex1_amnt]])/(Table20[[#This Row],[Exit2]]+Table20[[#This Row],[Exit1]]),0)</f>
        <v>4.758</v>
      </c>
      <c r="T466" s="5">
        <f>(Table20[[#This Row],[Exit1]]+Table20[[#This Row],[Exit2]])*(Table20[[#This Row],[avg_exit_price]]-Table20[[#This Row],[AvePrice]])*100*Table20[[#This Row],[Buy or Sell]]</f>
        <v>1324</v>
      </c>
      <c r="U466" s="5">
        <f>Table20[[#This Row],[Number of options]]*Table20[[#This Row],[AvePrice]]*100*Table20[[#This Row],[Buy or Sell]]</f>
        <v>1055</v>
      </c>
      <c r="V466" s="8">
        <f>Table20[[#This Row],[Number of options]]-Table20[[#This Row],[Exit1]]-Table20[[#This Row],[Exit2]]</f>
        <v>0</v>
      </c>
      <c r="W466" s="30">
        <f ca="1">(Table20[[#This Row],[Expiration Date]]-TODAY())/365</f>
        <v>-0.76438356164383559</v>
      </c>
      <c r="X466" s="30" t="e">
        <f ca="1">(LN(Table20[[#This Row],[Current Price]]/Table20[[#This Row],[strike_price]]) + ($B$2 + (Table20[[#This Row],[Vol]]^2)/2)*Table20[[#This Row],[Time to expiration]]) / (Table20[[#This Row],[Vol]] * SQRT(Table20[[#This Row],[Time to expiration]]))</f>
        <v>#NUM!</v>
      </c>
      <c r="Y466" s="30" t="e">
        <f ca="1">IF(Table20[[#This Row],[Direction]]&gt;0, _xlfn.NORM.S.DIST(Table20[[#This Row],[d1]], TRUE), _xlfn.NORM.S.DIST(Table20[[#This Row],[d1]], TRUE) - 1) * Table20[[#This Row],[Buy or Sell]]</f>
        <v>#NUM!</v>
      </c>
      <c r="Z466" s="9">
        <f ca="1">Table20[[#This Row],[Remaining]]*Table20[[#This Row],[Current Price]]*100</f>
        <v>0</v>
      </c>
      <c r="AA466" s="22">
        <f ca="1">IFERROR(Table20[[#This Row],[nominal_exposure]]*Table20[[#This Row],[Delta]],0)</f>
        <v>0</v>
      </c>
      <c r="AB466" s="30" t="b">
        <f>IF(Table20[[#This Row],[date_purchased]]&lt;&gt;Table20[[#This Row],[Expiration Date]],FALSE,TRUE)</f>
        <v>0</v>
      </c>
      <c r="AC466" s="30" t="str">
        <f>VLOOKUP(Table20[[#This Row],[Asset]],Table19[#All],3,FALSE)</f>
        <v>China</v>
      </c>
      <c r="AD466" s="30">
        <f>IF(Table20[[#This Row],[Remaining]]&lt;&gt;0,Table20[[#This Row],[Invested]]*Table20[[#This Row],[Remaining]]/Table20[[#This Row],[Number of options]],0)</f>
        <v>0</v>
      </c>
      <c r="AE466" s="30">
        <f ca="1">SUMIF(Table20[Ticker],Table20[[#This Row],[Ticker]],Table20[realized_profit])</f>
        <v>5855</v>
      </c>
      <c r="AF466" s="30" t="str">
        <f>VLOOKUP(Table20[[#This Row],[Strategy]],Table29[#All],7,FALSE)</f>
        <v>Bullish</v>
      </c>
    </row>
    <row r="467" spans="1:32" hidden="1">
      <c r="A467" s="180">
        <v>46038</v>
      </c>
      <c r="B467" s="21" t="e" vm="159">
        <v>#VALUE!</v>
      </c>
      <c r="C467" s="109" t="str" cm="1">
        <f t="array" aca="1" ref="C467" ca="1">_FV(Table20[[#This Row],[Asset]],"Ticker symbol",TRUE)</f>
        <v>BABA</v>
      </c>
      <c r="D467" s="26" cm="1">
        <f t="array" aca="1" ref="D467" ca="1">_FV(Table20[[#This Row],[Asset]],"Price")</f>
        <v>129.63999999999999</v>
      </c>
      <c r="E467" s="26">
        <v>130</v>
      </c>
      <c r="F467" s="33">
        <v>2</v>
      </c>
      <c r="G467" s="34">
        <v>1</v>
      </c>
      <c r="H467" s="34" t="s">
        <v>113</v>
      </c>
      <c r="I467" s="31">
        <v>45684</v>
      </c>
      <c r="J467" s="26">
        <v>4.8</v>
      </c>
      <c r="K467" s="24">
        <v>0.39350000000000002</v>
      </c>
      <c r="L467" s="33">
        <f>VLOOKUP(Table20[[#This Row],[Strategy]],Table29[#All],6,FALSE)</f>
        <v>1</v>
      </c>
      <c r="M467" s="23">
        <v>2</v>
      </c>
      <c r="N467" s="23">
        <v>7.5</v>
      </c>
      <c r="O467" s="23"/>
      <c r="P467" s="23"/>
      <c r="Q467">
        <f>Table20[[#This Row],[Exit1]]*Table20[[#This Row],[ex1_price]]</f>
        <v>15</v>
      </c>
      <c r="R467">
        <f>Table20[[#This Row],[Exit2]]*Table20[[#This Row],[ex2_price]]</f>
        <v>0</v>
      </c>
      <c r="S467">
        <f>IFERROR((Table20[[#This Row],[ex2_amnt]]+Table20[[#This Row],[ex1_amnt]])/(Table20[[#This Row],[Exit2]]+Table20[[#This Row],[Exit1]]),0)</f>
        <v>7.5</v>
      </c>
      <c r="T467" s="5">
        <f>(Table20[[#This Row],[Exit1]]+Table20[[#This Row],[Exit2]])*(Table20[[#This Row],[avg_exit_price]]-Table20[[#This Row],[AvePrice]])*100*Table20[[#This Row],[Buy or Sell]]</f>
        <v>540</v>
      </c>
      <c r="U467" s="5">
        <f>Table20[[#This Row],[Number of options]]*Table20[[#This Row],[AvePrice]]*100*Table20[[#This Row],[Buy or Sell]]</f>
        <v>960</v>
      </c>
      <c r="V467" s="8">
        <f>Table20[[#This Row],[Number of options]]-Table20[[#This Row],[Exit1]]-Table20[[#This Row],[Exit2]]</f>
        <v>0</v>
      </c>
      <c r="W467" s="30">
        <f ca="1">(Table20[[#This Row],[Expiration Date]]-TODAY())/365</f>
        <v>-0.18904109589041096</v>
      </c>
      <c r="X467" s="30" t="e">
        <f ca="1">(LN(Table20[[#This Row],[Current Price]]/Table20[[#This Row],[strike_price]]) + ($B$2 + (Table20[[#This Row],[Vol]]^2)/2)*Table20[[#This Row],[Time to expiration]]) / (Table20[[#This Row],[Vol]] * SQRT(Table20[[#This Row],[Time to expiration]]))</f>
        <v>#NUM!</v>
      </c>
      <c r="Y467" s="30" t="e">
        <f ca="1">IF(Table20[[#This Row],[Direction]]&gt;0, _xlfn.NORM.S.DIST(Table20[[#This Row],[d1]], TRUE), _xlfn.NORM.S.DIST(Table20[[#This Row],[d1]], TRUE) - 1) * Table20[[#This Row],[Buy or Sell]]</f>
        <v>#NUM!</v>
      </c>
      <c r="Z467" s="9">
        <f ca="1">Table20[[#This Row],[Remaining]]*Table20[[#This Row],[Current Price]]*100</f>
        <v>0</v>
      </c>
      <c r="AA467" s="22">
        <f ca="1">IFERROR(Table20[[#This Row],[nominal_exposure]]*Table20[[#This Row],[Delta]],0)</f>
        <v>0</v>
      </c>
      <c r="AB467" s="30" t="b">
        <f>IF(Table20[[#This Row],[date_purchased]]&lt;&gt;Table20[[#This Row],[Expiration Date]],FALSE,TRUE)</f>
        <v>0</v>
      </c>
      <c r="AC467" s="30" t="str">
        <f>VLOOKUP(Table20[[#This Row],[Asset]],Table19[#All],3,FALSE)</f>
        <v>China</v>
      </c>
      <c r="AD467" s="30">
        <f>IF(Table20[[#This Row],[Remaining]]&lt;&gt;0,Table20[[#This Row],[Invested]]*Table20[[#This Row],[Remaining]]/Table20[[#This Row],[Number of options]],0)</f>
        <v>0</v>
      </c>
      <c r="AE467" s="30">
        <f ca="1">SUMIF(Table20[Ticker],Table20[[#This Row],[Ticker]],Table20[realized_profit])</f>
        <v>5855</v>
      </c>
      <c r="AF467" s="30" t="str">
        <f>VLOOKUP(Table20[[#This Row],[Strategy]],Table29[#All],7,FALSE)</f>
        <v>Bullish</v>
      </c>
    </row>
    <row r="468" spans="1:32" hidden="1">
      <c r="A468" s="180">
        <v>45737</v>
      </c>
      <c r="B468" s="21" t="e" vm="144">
        <v>#VALUE!</v>
      </c>
      <c r="C468" s="109" t="str" cm="1">
        <f t="array" aca="1" ref="C468" ca="1">_FV(Table20[[#This Row],[Asset]],"Ticker symbol",TRUE)</f>
        <v>AAPL</v>
      </c>
      <c r="D468" s="26" cm="1">
        <f t="array" aca="1" ref="D468" ca="1">_FV(Table20[[#This Row],[Asset]],"Price")</f>
        <v>253.2</v>
      </c>
      <c r="E468" s="26">
        <v>210</v>
      </c>
      <c r="F468" s="33">
        <v>2</v>
      </c>
      <c r="G468" s="34">
        <v>1</v>
      </c>
      <c r="H468" s="34" t="s">
        <v>65</v>
      </c>
      <c r="I468" s="31">
        <v>45727</v>
      </c>
      <c r="J468" s="26">
        <v>2.0699999999999998</v>
      </c>
      <c r="K468" s="24">
        <v>0.45839999999999997</v>
      </c>
      <c r="L468" s="33">
        <f>VLOOKUP(Table20[[#This Row],[Strategy]],Table29[#All],6,FALSE)</f>
        <v>-1</v>
      </c>
      <c r="M468" s="23">
        <v>2</v>
      </c>
      <c r="N468" s="23">
        <v>2.4700000000000002</v>
      </c>
      <c r="O468" s="23"/>
      <c r="P468" s="23"/>
      <c r="Q468">
        <f>Table20[[#This Row],[Exit1]]*Table20[[#This Row],[ex1_price]]</f>
        <v>4.9400000000000004</v>
      </c>
      <c r="R468">
        <f>Table20[[#This Row],[Exit2]]*Table20[[#This Row],[ex2_price]]</f>
        <v>0</v>
      </c>
      <c r="S468">
        <f>IFERROR((Table20[[#This Row],[ex2_amnt]]+Table20[[#This Row],[ex1_amnt]])/(Table20[[#This Row],[Exit2]]+Table20[[#This Row],[Exit1]]),0)</f>
        <v>2.4700000000000002</v>
      </c>
      <c r="T468" s="5">
        <f>(Table20[[#This Row],[Exit1]]+Table20[[#This Row],[Exit2]])*(Table20[[#This Row],[avg_exit_price]]-Table20[[#This Row],[AvePrice]])*100*Table20[[#This Row],[Buy or Sell]]</f>
        <v>80.000000000000071</v>
      </c>
      <c r="U468" s="5">
        <f>Table20[[#This Row],[Number of options]]*Table20[[#This Row],[AvePrice]]*100*Table20[[#This Row],[Buy or Sell]]</f>
        <v>413.99999999999994</v>
      </c>
      <c r="V468" s="8">
        <f>Table20[[#This Row],[Number of options]]-Table20[[#This Row],[Exit1]]-Table20[[#This Row],[Exit2]]</f>
        <v>0</v>
      </c>
      <c r="W468" s="30">
        <f ca="1">(Table20[[#This Row],[Expiration Date]]-TODAY())/365</f>
        <v>-1.0136986301369864</v>
      </c>
      <c r="X468" s="30" t="e">
        <f ca="1">(LN(Table20[[#This Row],[Current Price]]/Table20[[#This Row],[strike_price]]) + ($B$2 + (Table20[[#This Row],[Vol]]^2)/2)*Table20[[#This Row],[Time to expiration]]) / (Table20[[#This Row],[Vol]] * SQRT(Table20[[#This Row],[Time to expiration]]))</f>
        <v>#NUM!</v>
      </c>
      <c r="Y468" s="30" t="e">
        <f ca="1">IF(Table20[[#This Row],[Direction]]&gt;0, _xlfn.NORM.S.DIST(Table20[[#This Row],[d1]], TRUE), _xlfn.NORM.S.DIST(Table20[[#This Row],[d1]], TRUE) - 1) * Table20[[#This Row],[Buy or Sell]]</f>
        <v>#NUM!</v>
      </c>
      <c r="Z468" s="9">
        <f ca="1">Table20[[#This Row],[Remaining]]*Table20[[#This Row],[Current Price]]*100</f>
        <v>0</v>
      </c>
      <c r="AA468" s="22">
        <f ca="1">IFERROR(Table20[[#This Row],[nominal_exposure]]*Table20[[#This Row],[Delta]],0)</f>
        <v>0</v>
      </c>
      <c r="AB468" s="30" t="b">
        <f>IF(Table20[[#This Row],[date_purchased]]&lt;&gt;Table20[[#This Row],[Expiration Date]],FALSE,TRUE)</f>
        <v>0</v>
      </c>
      <c r="AC468" s="30" t="str">
        <f>VLOOKUP(Table20[[#This Row],[Asset]],Table19[#All],3,FALSE)</f>
        <v>AI</v>
      </c>
      <c r="AD468" s="30">
        <f>IF(Table20[[#This Row],[Remaining]]&lt;&gt;0,Table20[[#This Row],[Invested]]*Table20[[#This Row],[Remaining]]/Table20[[#This Row],[Number of options]],0)</f>
        <v>0</v>
      </c>
      <c r="AE468" s="30">
        <f ca="1">SUMIF(Table20[Ticker],Table20[[#This Row],[Ticker]],Table20[realized_profit])</f>
        <v>-153.9999999999996</v>
      </c>
      <c r="AF468" s="30" t="str">
        <f>VLOOKUP(Table20[[#This Row],[Strategy]],Table29[#All],7,FALSE)</f>
        <v>Bearish</v>
      </c>
    </row>
    <row r="469" spans="1:32" hidden="1">
      <c r="A469" s="180">
        <v>45737</v>
      </c>
      <c r="B469" s="21" t="e" vm="106">
        <v>#VALUE!</v>
      </c>
      <c r="C469" s="109" t="str" cm="1">
        <f t="array" aca="1" ref="C469" ca="1">_FV(Table20[[#This Row],[Asset]],"Ticker symbol",TRUE)</f>
        <v>GLD</v>
      </c>
      <c r="D469" s="26" cm="1">
        <f t="array" aca="1" ref="D469" ca="1">_FV(Table20[[#This Row],[Asset]],"Price")</f>
        <v>419.54</v>
      </c>
      <c r="E469" s="26">
        <v>269</v>
      </c>
      <c r="F469" s="33">
        <v>1</v>
      </c>
      <c r="G469" s="34">
        <v>1</v>
      </c>
      <c r="H469" s="34" t="s">
        <v>65</v>
      </c>
      <c r="I469" s="31">
        <v>45727</v>
      </c>
      <c r="J469" s="26">
        <v>2.84</v>
      </c>
      <c r="K469" s="24">
        <v>0.16789999999999999</v>
      </c>
      <c r="L469" s="33">
        <f>VLOOKUP(Table20[[#This Row],[Strategy]],Table29[#All],6,FALSE)</f>
        <v>-1</v>
      </c>
      <c r="M469" s="23">
        <v>1</v>
      </c>
      <c r="N469" s="23">
        <v>1.76</v>
      </c>
      <c r="O469" s="23"/>
      <c r="P469" s="23"/>
      <c r="Q469">
        <f>Table20[[#This Row],[Exit1]]*Table20[[#This Row],[ex1_price]]</f>
        <v>1.76</v>
      </c>
      <c r="R469">
        <f>Table20[[#This Row],[Exit2]]*Table20[[#This Row],[ex2_price]]</f>
        <v>0</v>
      </c>
      <c r="S469">
        <f>IFERROR((Table20[[#This Row],[ex2_amnt]]+Table20[[#This Row],[ex1_amnt]])/(Table20[[#This Row],[Exit2]]+Table20[[#This Row],[Exit1]]),0)</f>
        <v>1.76</v>
      </c>
      <c r="T469" s="5">
        <f>(Table20[[#This Row],[Exit1]]+Table20[[#This Row],[Exit2]])*(Table20[[#This Row],[avg_exit_price]]-Table20[[#This Row],[AvePrice]])*100*Table20[[#This Row],[Buy or Sell]]</f>
        <v>-107.99999999999999</v>
      </c>
      <c r="U469" s="5">
        <f>Table20[[#This Row],[Number of options]]*Table20[[#This Row],[AvePrice]]*100*Table20[[#This Row],[Buy or Sell]]</f>
        <v>284</v>
      </c>
      <c r="V469" s="8">
        <f>Table20[[#This Row],[Number of options]]-Table20[[#This Row],[Exit1]]-Table20[[#This Row],[Exit2]]</f>
        <v>0</v>
      </c>
      <c r="W469" s="30">
        <f ca="1">(Table20[[#This Row],[Expiration Date]]-TODAY())/365</f>
        <v>-1.0136986301369864</v>
      </c>
      <c r="X469" s="30" t="e">
        <f ca="1">(LN(Table20[[#This Row],[Current Price]]/Table20[[#This Row],[strike_price]]) + ($B$2 + (Table20[[#This Row],[Vol]]^2)/2)*Table20[[#This Row],[Time to expiration]]) / (Table20[[#This Row],[Vol]] * SQRT(Table20[[#This Row],[Time to expiration]]))</f>
        <v>#NUM!</v>
      </c>
      <c r="Y469" s="30" t="e">
        <f ca="1">IF(Table20[[#This Row],[Direction]]&gt;0, _xlfn.NORM.S.DIST(Table20[[#This Row],[d1]], TRUE), _xlfn.NORM.S.DIST(Table20[[#This Row],[d1]], TRUE) - 1) * Table20[[#This Row],[Buy or Sell]]</f>
        <v>#NUM!</v>
      </c>
      <c r="Z469" s="9">
        <f ca="1">Table20[[#This Row],[Remaining]]*Table20[[#This Row],[Current Price]]*100</f>
        <v>0</v>
      </c>
      <c r="AA469" s="22">
        <f ca="1">IFERROR(Table20[[#This Row],[nominal_exposure]]*Table20[[#This Row],[Delta]],0)</f>
        <v>0</v>
      </c>
      <c r="AB469" s="30" t="b">
        <f>IF(Table20[[#This Row],[date_purchased]]&lt;&gt;Table20[[#This Row],[Expiration Date]],FALSE,TRUE)</f>
        <v>0</v>
      </c>
      <c r="AC469" s="30" t="str">
        <f>VLOOKUP(Table20[[#This Row],[Asset]],Table19[#All],3,FALSE)</f>
        <v>Gold and Silver</v>
      </c>
      <c r="AD469" s="30">
        <f>IF(Table20[[#This Row],[Remaining]]&lt;&gt;0,Table20[[#This Row],[Invested]]*Table20[[#This Row],[Remaining]]/Table20[[#This Row],[Number of options]],0)</f>
        <v>0</v>
      </c>
      <c r="AE469" s="30">
        <f ca="1">SUMIF(Table20[Ticker],Table20[[#This Row],[Ticker]],Table20[realized_profit])</f>
        <v>228</v>
      </c>
      <c r="AF469" s="30" t="str">
        <f>VLOOKUP(Table20[[#This Row],[Strategy]],Table29[#All],7,FALSE)</f>
        <v>Bearish</v>
      </c>
    </row>
    <row r="470" spans="1:32" hidden="1">
      <c r="A470" s="180">
        <v>45716</v>
      </c>
      <c r="B470" s="21" t="e" vm="96">
        <v>#VALUE!</v>
      </c>
      <c r="C470" s="109" t="str" cm="1">
        <f t="array" aca="1" ref="C470" ca="1">_FV(Table20[[#This Row],[Asset]],"Ticker symbol",TRUE)</f>
        <v>SPY</v>
      </c>
      <c r="D470" s="26" cm="1">
        <f t="array" aca="1" ref="D470" ca="1">_FV(Table20[[#This Row],[Asset]],"Price")</f>
        <v>658.59</v>
      </c>
      <c r="E470" s="26">
        <v>600</v>
      </c>
      <c r="F470" s="33">
        <v>1</v>
      </c>
      <c r="G470" s="34">
        <v>1</v>
      </c>
      <c r="H470" s="34" t="s">
        <v>113</v>
      </c>
      <c r="I470" s="31">
        <v>45701</v>
      </c>
      <c r="J470" s="26">
        <v>3.58</v>
      </c>
      <c r="K470" s="24"/>
      <c r="L470" s="33">
        <f>VLOOKUP(Table20[[#This Row],[Strategy]],Table29[#All],6,FALSE)</f>
        <v>1</v>
      </c>
      <c r="M470" s="23">
        <v>1</v>
      </c>
      <c r="N470" s="23">
        <v>3.04</v>
      </c>
      <c r="O470" s="23"/>
      <c r="P470" s="23"/>
      <c r="Q470">
        <f>Table20[[#This Row],[Exit1]]*Table20[[#This Row],[ex1_price]]</f>
        <v>3.04</v>
      </c>
      <c r="R470">
        <f>Table20[[#This Row],[Exit2]]*Table20[[#This Row],[ex2_price]]</f>
        <v>0</v>
      </c>
      <c r="S470">
        <f>IFERROR((Table20[[#This Row],[ex2_amnt]]+Table20[[#This Row],[ex1_amnt]])/(Table20[[#This Row],[Exit2]]+Table20[[#This Row],[Exit1]]),0)</f>
        <v>3.04</v>
      </c>
      <c r="T470" s="5">
        <f>(Table20[[#This Row],[Exit1]]+Table20[[#This Row],[Exit2]])*(Table20[[#This Row],[avg_exit_price]]-Table20[[#This Row],[AvePrice]])*100*Table20[[#This Row],[Buy or Sell]]</f>
        <v>-54</v>
      </c>
      <c r="U470" s="5">
        <f>Table20[[#This Row],[Number of options]]*Table20[[#This Row],[AvePrice]]*100*Table20[[#This Row],[Buy or Sell]]</f>
        <v>358</v>
      </c>
      <c r="V470" s="8">
        <f>Table20[[#This Row],[Number of options]]-Table20[[#This Row],[Exit1]]-Table20[[#This Row],[Exit2]]</f>
        <v>0</v>
      </c>
      <c r="W470" s="30">
        <f ca="1">(Table20[[#This Row],[Expiration Date]]-TODAY())/365</f>
        <v>-1.0712328767123287</v>
      </c>
      <c r="X470" s="30" t="e">
        <f ca="1">(LN(Table20[[#This Row],[Current Price]]/Table20[[#This Row],[strike_price]]) + ($B$2 + (Table20[[#This Row],[Vol]]^2)/2)*Table20[[#This Row],[Time to expiration]]) / (Table20[[#This Row],[Vol]] * SQRT(Table20[[#This Row],[Time to expiration]]))</f>
        <v>#NUM!</v>
      </c>
      <c r="Y470" s="30" t="e">
        <f ca="1">IF(Table20[[#This Row],[Direction]]&gt;0, _xlfn.NORM.S.DIST(Table20[[#This Row],[d1]], TRUE), _xlfn.NORM.S.DIST(Table20[[#This Row],[d1]], TRUE) - 1) * Table20[[#This Row],[Buy or Sell]]</f>
        <v>#NUM!</v>
      </c>
      <c r="Z470" s="9">
        <f ca="1">Table20[[#This Row],[Remaining]]*Table20[[#This Row],[Current Price]]*100</f>
        <v>0</v>
      </c>
      <c r="AA470" s="22">
        <f ca="1">IFERROR(Table20[[#This Row],[nominal_exposure]]*Table20[[#This Row],[Delta]],0)</f>
        <v>0</v>
      </c>
      <c r="AB470" s="30" t="b">
        <f>IF(Table20[[#This Row],[date_purchased]]&lt;&gt;Table20[[#This Row],[Expiration Date]],FALSE,TRUE)</f>
        <v>0</v>
      </c>
      <c r="AC470" s="30" t="str">
        <f>VLOOKUP(Table20[[#This Row],[Asset]],Table19[#All],3,FALSE)</f>
        <v>Market</v>
      </c>
      <c r="AD470" s="30">
        <f>IF(Table20[[#This Row],[Remaining]]&lt;&gt;0,Table20[[#This Row],[Invested]]*Table20[[#This Row],[Remaining]]/Table20[[#This Row],[Number of options]],0)</f>
        <v>0</v>
      </c>
      <c r="AE470" s="30">
        <f ca="1">SUMIF(Table20[Ticker],Table20[[#This Row],[Ticker]],Table20[realized_profit])</f>
        <v>-5077</v>
      </c>
      <c r="AF470" s="30" t="str">
        <f>VLOOKUP(Table20[[#This Row],[Strategy]],Table29[#All],7,FALSE)</f>
        <v>Bullish</v>
      </c>
    </row>
    <row r="471" spans="1:32" hidden="1">
      <c r="A471" s="180">
        <v>45737</v>
      </c>
      <c r="B471" s="21" t="e" vm="548">
        <v>#VALUE!</v>
      </c>
      <c r="C471" s="109" t="str" cm="1">
        <f t="array" aca="1" ref="C471" ca="1">_FV(Table20[[#This Row],[Asset]],"Ticker symbol",TRUE)</f>
        <v>CI</v>
      </c>
      <c r="D471" s="26" cm="1">
        <f t="array" aca="1" ref="D471" ca="1">_FV(Table20[[#This Row],[Asset]],"Price")</f>
        <v>268.08</v>
      </c>
      <c r="E471" s="26">
        <v>280</v>
      </c>
      <c r="F471" s="33">
        <v>1</v>
      </c>
      <c r="G471" s="34">
        <v>1</v>
      </c>
      <c r="H471" s="34" t="s">
        <v>65</v>
      </c>
      <c r="I471" s="31">
        <v>45714</v>
      </c>
      <c r="J471" s="26">
        <v>2.2599999999999998</v>
      </c>
      <c r="K471" s="24"/>
      <c r="L471" s="33">
        <f>VLOOKUP(Table20[[#This Row],[Strategy]],Table29[#All],6,FALSE)</f>
        <v>-1</v>
      </c>
      <c r="M471" s="23">
        <v>1</v>
      </c>
      <c r="N471" s="23">
        <v>0</v>
      </c>
      <c r="O471" s="23"/>
      <c r="P471" s="23"/>
      <c r="Q471">
        <f>Table20[[#This Row],[Exit1]]*Table20[[#This Row],[ex1_price]]</f>
        <v>0</v>
      </c>
      <c r="R471">
        <f>Table20[[#This Row],[Exit2]]*Table20[[#This Row],[ex2_price]]</f>
        <v>0</v>
      </c>
      <c r="S471">
        <f>IFERROR((Table20[[#This Row],[ex2_amnt]]+Table20[[#This Row],[ex1_amnt]])/(Table20[[#This Row],[Exit2]]+Table20[[#This Row],[Exit1]]),0)</f>
        <v>0</v>
      </c>
      <c r="T471" s="5">
        <f>(Table20[[#This Row],[Exit1]]+Table20[[#This Row],[Exit2]])*(Table20[[#This Row],[avg_exit_price]]-Table20[[#This Row],[AvePrice]])*100*Table20[[#This Row],[Buy or Sell]]</f>
        <v>-225.99999999999997</v>
      </c>
      <c r="U471" s="5">
        <f>Table20[[#This Row],[Number of options]]*Table20[[#This Row],[AvePrice]]*100*Table20[[#This Row],[Buy or Sell]]</f>
        <v>225.99999999999997</v>
      </c>
      <c r="V471" s="8">
        <f>Table20[[#This Row],[Number of options]]-Table20[[#This Row],[Exit1]]-Table20[[#This Row],[Exit2]]</f>
        <v>0</v>
      </c>
      <c r="W471" s="30">
        <f ca="1">(Table20[[#This Row],[Expiration Date]]-TODAY())/365</f>
        <v>-1.0136986301369864</v>
      </c>
      <c r="X471" s="30" t="e">
        <f ca="1">(LN(Table20[[#This Row],[Current Price]]/Table20[[#This Row],[strike_price]]) + ($B$2 + (Table20[[#This Row],[Vol]]^2)/2)*Table20[[#This Row],[Time to expiration]]) / (Table20[[#This Row],[Vol]] * SQRT(Table20[[#This Row],[Time to expiration]]))</f>
        <v>#NUM!</v>
      </c>
      <c r="Y471" s="30" t="e">
        <f ca="1">IF(Table20[[#This Row],[Direction]]&gt;0, _xlfn.NORM.S.DIST(Table20[[#This Row],[d1]], TRUE), _xlfn.NORM.S.DIST(Table20[[#This Row],[d1]], TRUE) - 1) * Table20[[#This Row],[Buy or Sell]]</f>
        <v>#NUM!</v>
      </c>
      <c r="Z471" s="9">
        <f ca="1">Table20[[#This Row],[Remaining]]*Table20[[#This Row],[Current Price]]*100</f>
        <v>0</v>
      </c>
      <c r="AA471" s="22">
        <f ca="1">IFERROR(Table20[[#This Row],[nominal_exposure]]*Table20[[#This Row],[Delta]],0)</f>
        <v>0</v>
      </c>
      <c r="AB471" s="30" t="b">
        <f>IF(Table20[[#This Row],[date_purchased]]&lt;&gt;Table20[[#This Row],[Expiration Date]],FALSE,TRUE)</f>
        <v>0</v>
      </c>
      <c r="AC471" s="30" t="str">
        <f>VLOOKUP(Table20[[#This Row],[Asset]],Table19[#All],3,FALSE)</f>
        <v>Health Care</v>
      </c>
      <c r="AD471" s="30">
        <f>IF(Table20[[#This Row],[Remaining]]&lt;&gt;0,Table20[[#This Row],[Invested]]*Table20[[#This Row],[Remaining]]/Table20[[#This Row],[Number of options]],0)</f>
        <v>0</v>
      </c>
      <c r="AE471" s="30">
        <f ca="1">SUMIF(Table20[Ticker],Table20[[#This Row],[Ticker]],Table20[realized_profit])</f>
        <v>-225.99999999999997</v>
      </c>
      <c r="AF471" s="30" t="str">
        <f>VLOOKUP(Table20[[#This Row],[Strategy]],Table29[#All],7,FALSE)</f>
        <v>Bearish</v>
      </c>
    </row>
    <row r="472" spans="1:32" hidden="1">
      <c r="A472" s="180">
        <v>45737</v>
      </c>
      <c r="B472" s="21" t="e" vm="169">
        <v>#VALUE!</v>
      </c>
      <c r="C472" s="109" t="str" cm="1">
        <f t="array" aca="1" ref="C472" ca="1">_FV(Table20[[#This Row],[Asset]],"Ticker symbol",TRUE)</f>
        <v>CVS</v>
      </c>
      <c r="D472" s="26" cm="1">
        <f t="array" aca="1" ref="D472" ca="1">_FV(Table20[[#This Row],[Asset]],"Price")</f>
        <v>72.055000000000007</v>
      </c>
      <c r="E472" s="26">
        <v>65</v>
      </c>
      <c r="F472" s="33">
        <v>2</v>
      </c>
      <c r="G472" s="34">
        <v>1</v>
      </c>
      <c r="H472" s="34" t="s">
        <v>65</v>
      </c>
      <c r="I472" s="31">
        <v>45706</v>
      </c>
      <c r="J472" s="26">
        <v>1.38</v>
      </c>
      <c r="K472" s="24">
        <v>0.2878</v>
      </c>
      <c r="L472" s="33">
        <f>VLOOKUP(Table20[[#This Row],[Strategy]],Table29[#All],6,FALSE)</f>
        <v>-1</v>
      </c>
      <c r="M472" s="23">
        <v>2</v>
      </c>
      <c r="N472" s="23">
        <v>2.0099999999999998</v>
      </c>
      <c r="O472" s="23"/>
      <c r="P472" s="23"/>
      <c r="Q472">
        <f>Table20[[#This Row],[Exit1]]*Table20[[#This Row],[ex1_price]]</f>
        <v>4.0199999999999996</v>
      </c>
      <c r="R472">
        <f>Table20[[#This Row],[Exit2]]*Table20[[#This Row],[ex2_price]]</f>
        <v>0</v>
      </c>
      <c r="S472">
        <f>IFERROR((Table20[[#This Row],[ex2_amnt]]+Table20[[#This Row],[ex1_amnt]])/(Table20[[#This Row],[Exit2]]+Table20[[#This Row],[Exit1]]),0)</f>
        <v>2.0099999999999998</v>
      </c>
      <c r="T472" s="5">
        <f>(Table20[[#This Row],[Exit1]]+Table20[[#This Row],[Exit2]])*(Table20[[#This Row],[avg_exit_price]]-Table20[[#This Row],[AvePrice]])*100*Table20[[#This Row],[Buy or Sell]]</f>
        <v>125.99999999999997</v>
      </c>
      <c r="U472" s="5">
        <f>Table20[[#This Row],[Number of options]]*Table20[[#This Row],[AvePrice]]*100*Table20[[#This Row],[Buy or Sell]]</f>
        <v>276</v>
      </c>
      <c r="V472" s="8">
        <f>Table20[[#This Row],[Number of options]]-Table20[[#This Row],[Exit1]]-Table20[[#This Row],[Exit2]]</f>
        <v>0</v>
      </c>
      <c r="W472" s="30">
        <f ca="1">(Table20[[#This Row],[Expiration Date]]-TODAY())/365</f>
        <v>-1.0136986301369864</v>
      </c>
      <c r="X472" s="30" t="e">
        <f ca="1">(LN(Table20[[#This Row],[Current Price]]/Table20[[#This Row],[strike_price]]) + ($B$2 + (Table20[[#This Row],[Vol]]^2)/2)*Table20[[#This Row],[Time to expiration]]) / (Table20[[#This Row],[Vol]] * SQRT(Table20[[#This Row],[Time to expiration]]))</f>
        <v>#NUM!</v>
      </c>
      <c r="Y472" s="30" t="e">
        <f ca="1">IF(Table20[[#This Row],[Direction]]&gt;0, _xlfn.NORM.S.DIST(Table20[[#This Row],[d1]], TRUE), _xlfn.NORM.S.DIST(Table20[[#This Row],[d1]], TRUE) - 1) * Table20[[#This Row],[Buy or Sell]]</f>
        <v>#NUM!</v>
      </c>
      <c r="Z472" s="9">
        <f ca="1">Table20[[#This Row],[Remaining]]*Table20[[#This Row],[Current Price]]*100</f>
        <v>0</v>
      </c>
      <c r="AA472" s="22">
        <f ca="1">IFERROR(Table20[[#This Row],[nominal_exposure]]*Table20[[#This Row],[Delta]],0)</f>
        <v>0</v>
      </c>
      <c r="AB472" s="30" t="b">
        <f>IF(Table20[[#This Row],[date_purchased]]&lt;&gt;Table20[[#This Row],[Expiration Date]],FALSE,TRUE)</f>
        <v>0</v>
      </c>
      <c r="AC472" s="30" t="str">
        <f>VLOOKUP(Table20[[#This Row],[Asset]],Table19[#All],3,FALSE)</f>
        <v>Health Care</v>
      </c>
      <c r="AD472" s="30">
        <f>IF(Table20[[#This Row],[Remaining]]&lt;&gt;0,Table20[[#This Row],[Invested]]*Table20[[#This Row],[Remaining]]/Table20[[#This Row],[Number of options]],0)</f>
        <v>0</v>
      </c>
      <c r="AE472" s="30">
        <f ca="1">SUMIF(Table20[Ticker],Table20[[#This Row],[Ticker]],Table20[realized_profit])</f>
        <v>-446.00000000000006</v>
      </c>
      <c r="AF472" s="30" t="str">
        <f>VLOOKUP(Table20[[#This Row],[Strategy]],Table29[#All],7,FALSE)</f>
        <v>Bearish</v>
      </c>
    </row>
    <row r="473" spans="1:32" hidden="1">
      <c r="A473" s="180">
        <v>45747</v>
      </c>
      <c r="B473" s="21" t="e" vm="35">
        <v>#VALUE!</v>
      </c>
      <c r="C473" s="109" t="str" cm="1">
        <f t="array" aca="1" ref="C473" ca="1">_FV(Table20[[#This Row],[Asset]],"Ticker symbol",TRUE)</f>
        <v>VRT</v>
      </c>
      <c r="D473" s="26" cm="1">
        <f t="array" aca="1" ref="D473" ca="1">_FV(Table20[[#This Row],[Asset]],"Price")</f>
        <v>280.42</v>
      </c>
      <c r="E473" s="26">
        <v>115</v>
      </c>
      <c r="F473" s="33">
        <v>5</v>
      </c>
      <c r="G473" s="34">
        <v>1</v>
      </c>
      <c r="H473" s="34" t="s">
        <v>113</v>
      </c>
      <c r="I473" s="31">
        <v>45709</v>
      </c>
      <c r="J473" s="26">
        <v>2.06</v>
      </c>
      <c r="K473" s="24">
        <v>0.63</v>
      </c>
      <c r="L473" s="33">
        <f>VLOOKUP(Table20[[#This Row],[Strategy]],Table29[#All],6,FALSE)</f>
        <v>1</v>
      </c>
      <c r="M473" s="23">
        <v>4</v>
      </c>
      <c r="N473" s="23">
        <v>1</v>
      </c>
      <c r="O473" s="23">
        <v>1</v>
      </c>
      <c r="P473" s="23">
        <v>0.8</v>
      </c>
      <c r="Q473">
        <f>Table20[[#This Row],[Exit1]]*Table20[[#This Row],[ex1_price]]</f>
        <v>4</v>
      </c>
      <c r="R473">
        <f>Table20[[#This Row],[Exit2]]*Table20[[#This Row],[ex2_price]]</f>
        <v>0.8</v>
      </c>
      <c r="S473">
        <f>IFERROR((Table20[[#This Row],[ex2_amnt]]+Table20[[#This Row],[ex1_amnt]])/(Table20[[#This Row],[Exit2]]+Table20[[#This Row],[Exit1]]),0)</f>
        <v>0.96</v>
      </c>
      <c r="T473" s="5">
        <f>(Table20[[#This Row],[Exit1]]+Table20[[#This Row],[Exit2]])*(Table20[[#This Row],[avg_exit_price]]-Table20[[#This Row],[AvePrice]])*100*Table20[[#This Row],[Buy or Sell]]</f>
        <v>-550</v>
      </c>
      <c r="U473" s="5">
        <f>Table20[[#This Row],[Number of options]]*Table20[[#This Row],[AvePrice]]*100*Table20[[#This Row],[Buy or Sell]]</f>
        <v>1030</v>
      </c>
      <c r="V473" s="8">
        <f>Table20[[#This Row],[Number of options]]-Table20[[#This Row],[Exit1]]-Table20[[#This Row],[Exit2]]</f>
        <v>0</v>
      </c>
      <c r="W473" s="30">
        <f ca="1">(Table20[[#This Row],[Expiration Date]]-TODAY())/365</f>
        <v>-0.98630136986301364</v>
      </c>
      <c r="X473" s="30" t="e">
        <f ca="1">(LN(Table20[[#This Row],[Current Price]]/Table20[[#This Row],[strike_price]]) + ($B$2 + (Table20[[#This Row],[Vol]]^2)/2)*Table20[[#This Row],[Time to expiration]]) / (Table20[[#This Row],[Vol]] * SQRT(Table20[[#This Row],[Time to expiration]]))</f>
        <v>#NUM!</v>
      </c>
      <c r="Y473" s="30" t="e">
        <f ca="1">IF(Table20[[#This Row],[Direction]]&gt;0, _xlfn.NORM.S.DIST(Table20[[#This Row],[d1]], TRUE), _xlfn.NORM.S.DIST(Table20[[#This Row],[d1]], TRUE) - 1) * Table20[[#This Row],[Buy or Sell]]</f>
        <v>#NUM!</v>
      </c>
      <c r="Z473" s="9">
        <f ca="1">Table20[[#This Row],[Remaining]]*Table20[[#This Row],[Current Price]]*100</f>
        <v>0</v>
      </c>
      <c r="AA473" s="22">
        <f ca="1">IFERROR(Table20[[#This Row],[nominal_exposure]]*Table20[[#This Row],[Delta]],0)</f>
        <v>0</v>
      </c>
      <c r="AB473" s="30" t="b">
        <f>IF(Table20[[#This Row],[date_purchased]]&lt;&gt;Table20[[#This Row],[Expiration Date]],FALSE,TRUE)</f>
        <v>0</v>
      </c>
      <c r="AC473" s="30" t="str">
        <f>VLOOKUP(Table20[[#This Row],[Asset]],Table19[#All],3,FALSE)</f>
        <v>Industrials</v>
      </c>
      <c r="AD473" s="30">
        <f>IF(Table20[[#This Row],[Remaining]]&lt;&gt;0,Table20[[#This Row],[Invested]]*Table20[[#This Row],[Remaining]]/Table20[[#This Row],[Number of options]],0)</f>
        <v>0</v>
      </c>
      <c r="AE473" s="30">
        <f ca="1">SUMIF(Table20[Ticker],Table20[[#This Row],[Ticker]],Table20[realized_profit])</f>
        <v>-543.00000000000011</v>
      </c>
      <c r="AF473" s="30" t="str">
        <f>VLOOKUP(Table20[[#This Row],[Strategy]],Table29[#All],7,FALSE)</f>
        <v>Bullish</v>
      </c>
    </row>
    <row r="474" spans="1:32" hidden="1">
      <c r="A474" s="180">
        <v>45737</v>
      </c>
      <c r="B474" s="21" t="e" vm="231">
        <v>#VALUE!</v>
      </c>
      <c r="C474" s="109" t="str" cm="1">
        <f t="array" aca="1" ref="C474" ca="1">_FV(Table20[[#This Row],[Asset]],"Ticker symbol",TRUE)</f>
        <v>UNH</v>
      </c>
      <c r="D474" s="26" cm="1">
        <f t="array" aca="1" ref="D474" ca="1">_FV(Table20[[#This Row],[Asset]],"Price")</f>
        <v>269.3</v>
      </c>
      <c r="E474" s="26">
        <v>390</v>
      </c>
      <c r="F474" s="33">
        <v>1</v>
      </c>
      <c r="G474" s="34">
        <v>-1</v>
      </c>
      <c r="H474" s="34" t="s">
        <v>112</v>
      </c>
      <c r="I474" s="31">
        <v>45714</v>
      </c>
      <c r="J474" s="26">
        <v>1.21</v>
      </c>
      <c r="K474" s="24"/>
      <c r="L474" s="33">
        <f>VLOOKUP(Table20[[#This Row],[Strategy]],Table29[#All],6,FALSE)</f>
        <v>-1</v>
      </c>
      <c r="M474" s="23">
        <v>1</v>
      </c>
      <c r="N474" s="23">
        <v>0</v>
      </c>
      <c r="O474" s="23"/>
      <c r="P474" s="23"/>
      <c r="Q474">
        <f>Table20[[#This Row],[Exit1]]*Table20[[#This Row],[ex1_price]]</f>
        <v>0</v>
      </c>
      <c r="R474">
        <f>Table20[[#This Row],[Exit2]]*Table20[[#This Row],[ex2_price]]</f>
        <v>0</v>
      </c>
      <c r="S474">
        <f>IFERROR((Table20[[#This Row],[ex2_amnt]]+Table20[[#This Row],[ex1_amnt]])/(Table20[[#This Row],[Exit2]]+Table20[[#This Row],[Exit1]]),0)</f>
        <v>0</v>
      </c>
      <c r="T474" s="5">
        <f>(Table20[[#This Row],[Exit1]]+Table20[[#This Row],[Exit2]])*(Table20[[#This Row],[avg_exit_price]]-Table20[[#This Row],[AvePrice]])*100*Table20[[#This Row],[Buy or Sell]]</f>
        <v>121</v>
      </c>
      <c r="U474" s="5">
        <f>Table20[[#This Row],[Number of options]]*Table20[[#This Row],[AvePrice]]*100*Table20[[#This Row],[Buy or Sell]]</f>
        <v>-121</v>
      </c>
      <c r="V474" s="8">
        <f>Table20[[#This Row],[Number of options]]-Table20[[#This Row],[Exit1]]-Table20[[#This Row],[Exit2]]</f>
        <v>0</v>
      </c>
      <c r="W474" s="30">
        <f ca="1">(Table20[[#This Row],[Expiration Date]]-TODAY())/365</f>
        <v>-1.0136986301369864</v>
      </c>
      <c r="X474" s="30" t="e">
        <f ca="1">(LN(Table20[[#This Row],[Current Price]]/Table20[[#This Row],[strike_price]]) + ($B$2 + (Table20[[#This Row],[Vol]]^2)/2)*Table20[[#This Row],[Time to expiration]]) / (Table20[[#This Row],[Vol]] * SQRT(Table20[[#This Row],[Time to expiration]]))</f>
        <v>#NUM!</v>
      </c>
      <c r="Y474" s="30" t="e">
        <f ca="1">IF(Table20[[#This Row],[Direction]]&gt;0, _xlfn.NORM.S.DIST(Table20[[#This Row],[d1]], TRUE), _xlfn.NORM.S.DIST(Table20[[#This Row],[d1]], TRUE) - 1) * Table20[[#This Row],[Buy or Sell]]</f>
        <v>#NUM!</v>
      </c>
      <c r="Z474" s="9">
        <f ca="1">Table20[[#This Row],[Remaining]]*Table20[[#This Row],[Current Price]]*100</f>
        <v>0</v>
      </c>
      <c r="AA474" s="22">
        <f ca="1">IFERROR(Table20[[#This Row],[nominal_exposure]]*Table20[[#This Row],[Delta]],0)</f>
        <v>0</v>
      </c>
      <c r="AB474" s="30" t="b">
        <f>IF(Table20[[#This Row],[date_purchased]]&lt;&gt;Table20[[#This Row],[Expiration Date]],FALSE,TRUE)</f>
        <v>0</v>
      </c>
      <c r="AC474" s="30" t="str">
        <f>VLOOKUP(Table20[[#This Row],[Asset]],Table19[#All],3,FALSE)</f>
        <v>Health Care</v>
      </c>
      <c r="AD474" s="30">
        <f>IF(Table20[[#This Row],[Remaining]]&lt;&gt;0,Table20[[#This Row],[Invested]]*Table20[[#This Row],[Remaining]]/Table20[[#This Row],[Number of options]],0)</f>
        <v>0</v>
      </c>
      <c r="AE474" s="30">
        <f ca="1">SUMIF(Table20[Ticker],Table20[[#This Row],[Ticker]],Table20[realized_profit])</f>
        <v>4342</v>
      </c>
      <c r="AF474" s="30" t="str">
        <f>VLOOKUP(Table20[[#This Row],[Strategy]],Table29[#All],7,FALSE)</f>
        <v>Bearish</v>
      </c>
    </row>
    <row r="475" spans="1:32" hidden="1">
      <c r="A475" s="180">
        <v>45737</v>
      </c>
      <c r="B475" s="21" t="e" vm="231">
        <v>#VALUE!</v>
      </c>
      <c r="C475" s="109" t="str" cm="1">
        <f t="array" aca="1" ref="C475" ca="1">_FV(Table20[[#This Row],[Asset]],"Ticker symbol",TRUE)</f>
        <v>UNH</v>
      </c>
      <c r="D475" s="26" cm="1">
        <f t="array" aca="1" ref="D475" ca="1">_FV(Table20[[#This Row],[Asset]],"Price")</f>
        <v>269.3</v>
      </c>
      <c r="E475" s="26">
        <v>420</v>
      </c>
      <c r="F475" s="33">
        <v>1</v>
      </c>
      <c r="G475" s="34">
        <v>1</v>
      </c>
      <c r="H475" s="34" t="s">
        <v>112</v>
      </c>
      <c r="I475" s="31">
        <v>45714</v>
      </c>
      <c r="J475" s="26">
        <v>3.61</v>
      </c>
      <c r="K475" s="24"/>
      <c r="L475" s="33">
        <f>VLOOKUP(Table20[[#This Row],[Strategy]],Table29[#All],6,FALSE)</f>
        <v>-1</v>
      </c>
      <c r="M475" s="23">
        <v>1</v>
      </c>
      <c r="N475" s="23">
        <v>0</v>
      </c>
      <c r="O475" s="23"/>
      <c r="P475" s="23"/>
      <c r="Q475">
        <f>Table20[[#This Row],[Exit1]]*Table20[[#This Row],[ex1_price]]</f>
        <v>0</v>
      </c>
      <c r="R475">
        <f>Table20[[#This Row],[Exit2]]*Table20[[#This Row],[ex2_price]]</f>
        <v>0</v>
      </c>
      <c r="S475">
        <f>IFERROR((Table20[[#This Row],[ex2_amnt]]+Table20[[#This Row],[ex1_amnt]])/(Table20[[#This Row],[Exit2]]+Table20[[#This Row],[Exit1]]),0)</f>
        <v>0</v>
      </c>
      <c r="T475" s="5">
        <f>(Table20[[#This Row],[Exit1]]+Table20[[#This Row],[Exit2]])*(Table20[[#This Row],[avg_exit_price]]-Table20[[#This Row],[AvePrice]])*100*Table20[[#This Row],[Buy or Sell]]</f>
        <v>-361</v>
      </c>
      <c r="U475" s="5">
        <f>Table20[[#This Row],[Number of options]]*Table20[[#This Row],[AvePrice]]*100*Table20[[#This Row],[Buy or Sell]]</f>
        <v>361</v>
      </c>
      <c r="V475" s="8">
        <f>Table20[[#This Row],[Number of options]]-Table20[[#This Row],[Exit1]]-Table20[[#This Row],[Exit2]]</f>
        <v>0</v>
      </c>
      <c r="W475" s="30">
        <f ca="1">(Table20[[#This Row],[Expiration Date]]-TODAY())/365</f>
        <v>-1.0136986301369864</v>
      </c>
      <c r="X475" s="30" t="e">
        <f ca="1">(LN(Table20[[#This Row],[Current Price]]/Table20[[#This Row],[strike_price]]) + ($B$2 + (Table20[[#This Row],[Vol]]^2)/2)*Table20[[#This Row],[Time to expiration]]) / (Table20[[#This Row],[Vol]] * SQRT(Table20[[#This Row],[Time to expiration]]))</f>
        <v>#NUM!</v>
      </c>
      <c r="Y475" s="30" t="e">
        <f ca="1">IF(Table20[[#This Row],[Direction]]&gt;0, _xlfn.NORM.S.DIST(Table20[[#This Row],[d1]], TRUE), _xlfn.NORM.S.DIST(Table20[[#This Row],[d1]], TRUE) - 1) * Table20[[#This Row],[Buy or Sell]]</f>
        <v>#NUM!</v>
      </c>
      <c r="Z475" s="9">
        <f ca="1">Table20[[#This Row],[Remaining]]*Table20[[#This Row],[Current Price]]*100</f>
        <v>0</v>
      </c>
      <c r="AA475" s="22">
        <f ca="1">IFERROR(Table20[[#This Row],[nominal_exposure]]*Table20[[#This Row],[Delta]],0)</f>
        <v>0</v>
      </c>
      <c r="AB475" s="30" t="b">
        <f>IF(Table20[[#This Row],[date_purchased]]&lt;&gt;Table20[[#This Row],[Expiration Date]],FALSE,TRUE)</f>
        <v>0</v>
      </c>
      <c r="AC475" s="30" t="str">
        <f>VLOOKUP(Table20[[#This Row],[Asset]],Table19[#All],3,FALSE)</f>
        <v>Health Care</v>
      </c>
      <c r="AD475" s="30">
        <f>IF(Table20[[#This Row],[Remaining]]&lt;&gt;0,Table20[[#This Row],[Invested]]*Table20[[#This Row],[Remaining]]/Table20[[#This Row],[Number of options]],0)</f>
        <v>0</v>
      </c>
      <c r="AE475" s="30">
        <f ca="1">SUMIF(Table20[Ticker],Table20[[#This Row],[Ticker]],Table20[realized_profit])</f>
        <v>4342</v>
      </c>
      <c r="AF475" s="30" t="str">
        <f>VLOOKUP(Table20[[#This Row],[Strategy]],Table29[#All],7,FALSE)</f>
        <v>Bearish</v>
      </c>
    </row>
    <row r="476" spans="1:32" hidden="1">
      <c r="A476" s="180">
        <v>45730</v>
      </c>
      <c r="B476" s="21" t="e" vm="547">
        <v>#VALUE!</v>
      </c>
      <c r="C476" s="109" t="str" cm="1">
        <f t="array" aca="1" ref="C476" ca="1">_FV(Table20[[#This Row],[Asset]],"Ticker symbol",TRUE)</f>
        <v>HD</v>
      </c>
      <c r="D476" s="26" cm="1">
        <f t="array" aca="1" ref="D476" ca="1">_FV(Table20[[#This Row],[Asset]],"Price")</f>
        <v>330.05</v>
      </c>
      <c r="E476" s="26">
        <v>370</v>
      </c>
      <c r="F476" s="33">
        <v>1</v>
      </c>
      <c r="G476" s="34">
        <v>1</v>
      </c>
      <c r="H476" s="34" t="s">
        <v>65</v>
      </c>
      <c r="I476" s="31">
        <v>45726</v>
      </c>
      <c r="J476" s="26">
        <v>3.7</v>
      </c>
      <c r="K476" s="24">
        <v>0.42849999999999999</v>
      </c>
      <c r="L476" s="33">
        <f>VLOOKUP(Table20[[#This Row],[Strategy]],Table29[#All],6,FALSE)</f>
        <v>-1</v>
      </c>
      <c r="M476" s="23">
        <v>1</v>
      </c>
      <c r="N476" s="23">
        <v>4.6500000000000004</v>
      </c>
      <c r="O476" s="23"/>
      <c r="P476" s="23"/>
      <c r="Q476">
        <f>Table20[[#This Row],[Exit1]]*Table20[[#This Row],[ex1_price]]</f>
        <v>4.6500000000000004</v>
      </c>
      <c r="R476">
        <f>Table20[[#This Row],[Exit2]]*Table20[[#This Row],[ex2_price]]</f>
        <v>0</v>
      </c>
      <c r="S476">
        <f>IFERROR((Table20[[#This Row],[ex2_amnt]]+Table20[[#This Row],[ex1_amnt]])/(Table20[[#This Row],[Exit2]]+Table20[[#This Row],[Exit1]]),0)</f>
        <v>4.6500000000000004</v>
      </c>
      <c r="T476" s="5">
        <f>(Table20[[#This Row],[Exit1]]+Table20[[#This Row],[Exit2]])*(Table20[[#This Row],[avg_exit_price]]-Table20[[#This Row],[AvePrice]])*100*Table20[[#This Row],[Buy or Sell]]</f>
        <v>95.000000000000014</v>
      </c>
      <c r="U476" s="5">
        <f>Table20[[#This Row],[Number of options]]*Table20[[#This Row],[AvePrice]]*100*Table20[[#This Row],[Buy or Sell]]</f>
        <v>370</v>
      </c>
      <c r="V476" s="8">
        <f>Table20[[#This Row],[Number of options]]-Table20[[#This Row],[Exit1]]-Table20[[#This Row],[Exit2]]</f>
        <v>0</v>
      </c>
      <c r="W476" s="30">
        <f ca="1">(Table20[[#This Row],[Expiration Date]]-TODAY())/365</f>
        <v>-1.0328767123287672</v>
      </c>
      <c r="X476" s="30" t="e">
        <f ca="1">(LN(Table20[[#This Row],[Current Price]]/Table20[[#This Row],[strike_price]]) + ($B$2 + (Table20[[#This Row],[Vol]]^2)/2)*Table20[[#This Row],[Time to expiration]]) / (Table20[[#This Row],[Vol]] * SQRT(Table20[[#This Row],[Time to expiration]]))</f>
        <v>#NUM!</v>
      </c>
      <c r="Y476" s="30" t="e">
        <f ca="1">IF(Table20[[#This Row],[Direction]]&gt;0, _xlfn.NORM.S.DIST(Table20[[#This Row],[d1]], TRUE), _xlfn.NORM.S.DIST(Table20[[#This Row],[d1]], TRUE) - 1) * Table20[[#This Row],[Buy or Sell]]</f>
        <v>#NUM!</v>
      </c>
      <c r="Z476" s="9">
        <f ca="1">Table20[[#This Row],[Remaining]]*Table20[[#This Row],[Current Price]]*100</f>
        <v>0</v>
      </c>
      <c r="AA476" s="22">
        <f ca="1">IFERROR(Table20[[#This Row],[nominal_exposure]]*Table20[[#This Row],[Delta]],0)</f>
        <v>0</v>
      </c>
      <c r="AB476" s="30" t="b">
        <f>IF(Table20[[#This Row],[date_purchased]]&lt;&gt;Table20[[#This Row],[Expiration Date]],FALSE,TRUE)</f>
        <v>0</v>
      </c>
      <c r="AC476" s="30" t="str">
        <f>VLOOKUP(Table20[[#This Row],[Asset]],Table19[#All],3,FALSE)</f>
        <v>Real estate</v>
      </c>
      <c r="AD476" s="30">
        <f>IF(Table20[[#This Row],[Remaining]]&lt;&gt;0,Table20[[#This Row],[Invested]]*Table20[[#This Row],[Remaining]]/Table20[[#This Row],[Number of options]],0)</f>
        <v>0</v>
      </c>
      <c r="AE476" s="30">
        <f ca="1">SUMIF(Table20[Ticker],Table20[[#This Row],[Ticker]],Table20[realized_profit])</f>
        <v>1151</v>
      </c>
      <c r="AF476" s="30" t="str">
        <f>VLOOKUP(Table20[[#This Row],[Strategy]],Table29[#All],7,FALSE)</f>
        <v>Bearish</v>
      </c>
    </row>
    <row r="477" spans="1:32" hidden="1">
      <c r="A477" s="180">
        <v>45737</v>
      </c>
      <c r="B477" s="21" t="e" vm="446">
        <v>#VALUE!</v>
      </c>
      <c r="C477" s="109" t="str" cm="1">
        <f t="array" aca="1" ref="C477" ca="1">_FV(Table20[[#This Row],[Asset]],"Ticker symbol",TRUE)</f>
        <v>RDDT</v>
      </c>
      <c r="D477" s="26" cm="1">
        <f t="array" aca="1" ref="D477" ca="1">_FV(Table20[[#This Row],[Asset]],"Price")</f>
        <v>143.06</v>
      </c>
      <c r="E477" s="26">
        <v>140</v>
      </c>
      <c r="F477" s="33">
        <v>1</v>
      </c>
      <c r="G477" s="34">
        <v>1</v>
      </c>
      <c r="H477" s="34" t="s">
        <v>65</v>
      </c>
      <c r="I477" s="31">
        <v>45715</v>
      </c>
      <c r="J477" s="26">
        <v>3.3</v>
      </c>
      <c r="K477" s="24"/>
      <c r="L477" s="33">
        <f>VLOOKUP(Table20[[#This Row],[Strategy]],Table29[#All],6,FALSE)</f>
        <v>-1</v>
      </c>
      <c r="M477" s="23">
        <v>1</v>
      </c>
      <c r="N477" s="23">
        <v>11.4</v>
      </c>
      <c r="O477" s="23"/>
      <c r="P477" s="23"/>
      <c r="Q477">
        <f>Table20[[#This Row],[Exit1]]*Table20[[#This Row],[ex1_price]]</f>
        <v>11.4</v>
      </c>
      <c r="R477">
        <f>Table20[[#This Row],[Exit2]]*Table20[[#This Row],[ex2_price]]</f>
        <v>0</v>
      </c>
      <c r="S477">
        <f>IFERROR((Table20[[#This Row],[ex2_amnt]]+Table20[[#This Row],[ex1_amnt]])/(Table20[[#This Row],[Exit2]]+Table20[[#This Row],[Exit1]]),0)</f>
        <v>11.4</v>
      </c>
      <c r="T477" s="5">
        <f>(Table20[[#This Row],[Exit1]]+Table20[[#This Row],[Exit2]])*(Table20[[#This Row],[avg_exit_price]]-Table20[[#This Row],[AvePrice]])*100*Table20[[#This Row],[Buy or Sell]]</f>
        <v>810.00000000000011</v>
      </c>
      <c r="U477" s="5">
        <f>Table20[[#This Row],[Number of options]]*Table20[[#This Row],[AvePrice]]*100*Table20[[#This Row],[Buy or Sell]]</f>
        <v>330</v>
      </c>
      <c r="V477" s="8">
        <f>Table20[[#This Row],[Number of options]]-Table20[[#This Row],[Exit1]]-Table20[[#This Row],[Exit2]]</f>
        <v>0</v>
      </c>
      <c r="W477" s="30">
        <f ca="1">(Table20[[#This Row],[Expiration Date]]-TODAY())/365</f>
        <v>-1.0136986301369864</v>
      </c>
      <c r="X477" s="30" t="e">
        <f ca="1">(LN(Table20[[#This Row],[Current Price]]/Table20[[#This Row],[strike_price]]) + ($B$2 + (Table20[[#This Row],[Vol]]^2)/2)*Table20[[#This Row],[Time to expiration]]) / (Table20[[#This Row],[Vol]] * SQRT(Table20[[#This Row],[Time to expiration]]))</f>
        <v>#NUM!</v>
      </c>
      <c r="Y477" s="30" t="e">
        <f ca="1">IF(Table20[[#This Row],[Direction]]&gt;0, _xlfn.NORM.S.DIST(Table20[[#This Row],[d1]], TRUE), _xlfn.NORM.S.DIST(Table20[[#This Row],[d1]], TRUE) - 1) * Table20[[#This Row],[Buy or Sell]]</f>
        <v>#NUM!</v>
      </c>
      <c r="Z477" s="9">
        <f ca="1">Table20[[#This Row],[Remaining]]*Table20[[#This Row],[Current Price]]*100</f>
        <v>0</v>
      </c>
      <c r="AA477" s="22">
        <f ca="1">IFERROR(Table20[[#This Row],[nominal_exposure]]*Table20[[#This Row],[Delta]],0)</f>
        <v>0</v>
      </c>
      <c r="AB477" s="30" t="b">
        <f>IF(Table20[[#This Row],[date_purchased]]&lt;&gt;Table20[[#This Row],[Expiration Date]],FALSE,TRUE)</f>
        <v>0</v>
      </c>
      <c r="AC477" s="30" t="str">
        <f>VLOOKUP(Table20[[#This Row],[Asset]],Table19[#All],3,FALSE)</f>
        <v>Technology</v>
      </c>
      <c r="AD477" s="30">
        <f>IF(Table20[[#This Row],[Remaining]]&lt;&gt;0,Table20[[#This Row],[Invested]]*Table20[[#This Row],[Remaining]]/Table20[[#This Row],[Number of options]],0)</f>
        <v>0</v>
      </c>
      <c r="AE477" s="30">
        <f ca="1">SUMIF(Table20[Ticker],Table20[[#This Row],[Ticker]],Table20[realized_profit])</f>
        <v>1766.0000000000002</v>
      </c>
      <c r="AF477" s="30" t="str">
        <f>VLOOKUP(Table20[[#This Row],[Strategy]],Table29[#All],7,FALSE)</f>
        <v>Bearish</v>
      </c>
    </row>
    <row r="478" spans="1:32" hidden="1">
      <c r="A478" s="180">
        <v>45737</v>
      </c>
      <c r="B478" s="21" t="e" vm="550">
        <v>#VALUE!</v>
      </c>
      <c r="C478" s="109" t="str" cm="1">
        <f t="array" aca="1" ref="C478" ca="1">_FV(Table20[[#This Row],[Asset]],"Ticker symbol",TRUE)</f>
        <v>BLDR</v>
      </c>
      <c r="D478" s="26" cm="1">
        <f t="array" aca="1" ref="D478" ca="1">_FV(Table20[[#This Row],[Asset]],"Price")</f>
        <v>83.07</v>
      </c>
      <c r="E478" s="26">
        <v>120</v>
      </c>
      <c r="F478" s="33">
        <v>1</v>
      </c>
      <c r="G478" s="34">
        <v>1</v>
      </c>
      <c r="H478" s="34" t="s">
        <v>65</v>
      </c>
      <c r="I478" s="31">
        <v>45716</v>
      </c>
      <c r="J478" s="26">
        <v>2.75</v>
      </c>
      <c r="K478" s="24">
        <v>0.62880000000000003</v>
      </c>
      <c r="L478" s="33">
        <f>VLOOKUP(Table20[[#This Row],[Strategy]],Table29[#All],6,FALSE)</f>
        <v>-1</v>
      </c>
      <c r="M478" s="23">
        <v>1</v>
      </c>
      <c r="N478" s="23">
        <v>0.35</v>
      </c>
      <c r="O478" s="23"/>
      <c r="P478" s="23"/>
      <c r="Q478">
        <f>Table20[[#This Row],[Exit1]]*Table20[[#This Row],[ex1_price]]</f>
        <v>0.35</v>
      </c>
      <c r="R478">
        <f>Table20[[#This Row],[Exit2]]*Table20[[#This Row],[ex2_price]]</f>
        <v>0</v>
      </c>
      <c r="S478">
        <f>IFERROR((Table20[[#This Row],[ex2_amnt]]+Table20[[#This Row],[ex1_amnt]])/(Table20[[#This Row],[Exit2]]+Table20[[#This Row],[Exit1]]),0)</f>
        <v>0.35</v>
      </c>
      <c r="T478" s="5">
        <f>(Table20[[#This Row],[Exit1]]+Table20[[#This Row],[Exit2]])*(Table20[[#This Row],[avg_exit_price]]-Table20[[#This Row],[AvePrice]])*100*Table20[[#This Row],[Buy or Sell]]</f>
        <v>-240</v>
      </c>
      <c r="U478" s="5">
        <f>Table20[[#This Row],[Number of options]]*Table20[[#This Row],[AvePrice]]*100*Table20[[#This Row],[Buy or Sell]]</f>
        <v>275</v>
      </c>
      <c r="V478" s="8">
        <f>Table20[[#This Row],[Number of options]]-Table20[[#This Row],[Exit1]]-Table20[[#This Row],[Exit2]]</f>
        <v>0</v>
      </c>
      <c r="W478" s="30">
        <f ca="1">(Table20[[#This Row],[Expiration Date]]-TODAY())/365</f>
        <v>-1.0136986301369864</v>
      </c>
      <c r="X478" s="30" t="e">
        <f ca="1">(LN(Table20[[#This Row],[Current Price]]/Table20[[#This Row],[strike_price]]) + ($B$2 + (Table20[[#This Row],[Vol]]^2)/2)*Table20[[#This Row],[Time to expiration]]) / (Table20[[#This Row],[Vol]] * SQRT(Table20[[#This Row],[Time to expiration]]))</f>
        <v>#NUM!</v>
      </c>
      <c r="Y478" s="30" t="e">
        <f ca="1">IF(Table20[[#This Row],[Direction]]&gt;0, _xlfn.NORM.S.DIST(Table20[[#This Row],[d1]], TRUE), _xlfn.NORM.S.DIST(Table20[[#This Row],[d1]], TRUE) - 1) * Table20[[#This Row],[Buy or Sell]]</f>
        <v>#NUM!</v>
      </c>
      <c r="Z478" s="9">
        <f ca="1">Table20[[#This Row],[Remaining]]*Table20[[#This Row],[Current Price]]*100</f>
        <v>0</v>
      </c>
      <c r="AA478" s="22">
        <f ca="1">IFERROR(Table20[[#This Row],[nominal_exposure]]*Table20[[#This Row],[Delta]],0)</f>
        <v>0</v>
      </c>
      <c r="AB478" s="30" t="b">
        <f>IF(Table20[[#This Row],[date_purchased]]&lt;&gt;Table20[[#This Row],[Expiration Date]],FALSE,TRUE)</f>
        <v>0</v>
      </c>
      <c r="AC478" s="30" t="str">
        <f>VLOOKUP(Table20[[#This Row],[Asset]],Table19[#All],3,FALSE)</f>
        <v>Real estate</v>
      </c>
      <c r="AD478" s="30">
        <f>IF(Table20[[#This Row],[Remaining]]&lt;&gt;0,Table20[[#This Row],[Invested]]*Table20[[#This Row],[Remaining]]/Table20[[#This Row],[Number of options]],0)</f>
        <v>0</v>
      </c>
      <c r="AE478" s="30">
        <f ca="1">SUMIF(Table20[Ticker],Table20[[#This Row],[Ticker]],Table20[realized_profit])</f>
        <v>-240</v>
      </c>
      <c r="AF478" s="30" t="str">
        <f>VLOOKUP(Table20[[#This Row],[Strategy]],Table29[#All],7,FALSE)</f>
        <v>Bearish</v>
      </c>
    </row>
    <row r="479" spans="1:32" hidden="1">
      <c r="A479" s="180">
        <v>45737</v>
      </c>
      <c r="B479" s="21" t="e" vm="139">
        <v>#VALUE!</v>
      </c>
      <c r="C479" s="109" t="str" cm="1">
        <f t="array" aca="1" ref="C479" ca="1">_FV(Table20[[#This Row],[Asset]],"Ticker symbol",TRUE)</f>
        <v>WMT</v>
      </c>
      <c r="D479" s="26" cm="1">
        <f t="array" aca="1" ref="D479" ca="1">_FV(Table20[[#This Row],[Asset]],"Price")</f>
        <v>122.55500000000001</v>
      </c>
      <c r="E479" s="26">
        <v>95</v>
      </c>
      <c r="F479" s="33">
        <v>2</v>
      </c>
      <c r="G479" s="34">
        <v>1</v>
      </c>
      <c r="H479" s="34" t="s">
        <v>65</v>
      </c>
      <c r="I479" s="31">
        <v>45722</v>
      </c>
      <c r="J479" s="26">
        <v>1.87</v>
      </c>
      <c r="K479" s="24"/>
      <c r="L479" s="33">
        <f>VLOOKUP(Table20[[#This Row],[Strategy]],Table29[#All],6,FALSE)</f>
        <v>-1</v>
      </c>
      <c r="M479" s="23">
        <v>1</v>
      </c>
      <c r="N479" s="23">
        <v>3.9</v>
      </c>
      <c r="O479" s="23">
        <v>1</v>
      </c>
      <c r="P479" s="23">
        <v>7.2</v>
      </c>
      <c r="Q479">
        <f>Table20[[#This Row],[Exit1]]*Table20[[#This Row],[ex1_price]]</f>
        <v>3.9</v>
      </c>
      <c r="R479">
        <f>Table20[[#This Row],[Exit2]]*Table20[[#This Row],[ex2_price]]</f>
        <v>7.2</v>
      </c>
      <c r="S479">
        <f>IFERROR((Table20[[#This Row],[ex2_amnt]]+Table20[[#This Row],[ex1_amnt]])/(Table20[[#This Row],[Exit2]]+Table20[[#This Row],[Exit1]]),0)</f>
        <v>5.55</v>
      </c>
      <c r="T479" s="5">
        <f>(Table20[[#This Row],[Exit1]]+Table20[[#This Row],[Exit2]])*(Table20[[#This Row],[avg_exit_price]]-Table20[[#This Row],[AvePrice]])*100*Table20[[#This Row],[Buy or Sell]]</f>
        <v>736</v>
      </c>
      <c r="U479" s="5">
        <f>Table20[[#This Row],[Number of options]]*Table20[[#This Row],[AvePrice]]*100*Table20[[#This Row],[Buy or Sell]]</f>
        <v>374</v>
      </c>
      <c r="V479" s="8">
        <f>Table20[[#This Row],[Number of options]]-Table20[[#This Row],[Exit1]]-Table20[[#This Row],[Exit2]]</f>
        <v>0</v>
      </c>
      <c r="W479" s="30">
        <f ca="1">(Table20[[#This Row],[Expiration Date]]-TODAY())/365</f>
        <v>-1.0136986301369864</v>
      </c>
      <c r="X479" s="30" t="e">
        <f ca="1">(LN(Table20[[#This Row],[Current Price]]/Table20[[#This Row],[strike_price]]) + ($B$2 + (Table20[[#This Row],[Vol]]^2)/2)*Table20[[#This Row],[Time to expiration]]) / (Table20[[#This Row],[Vol]] * SQRT(Table20[[#This Row],[Time to expiration]]))</f>
        <v>#NUM!</v>
      </c>
      <c r="Y479" s="30" t="e">
        <f ca="1">IF(Table20[[#This Row],[Direction]]&gt;0, _xlfn.NORM.S.DIST(Table20[[#This Row],[d1]], TRUE), _xlfn.NORM.S.DIST(Table20[[#This Row],[d1]], TRUE) - 1) * Table20[[#This Row],[Buy or Sell]]</f>
        <v>#NUM!</v>
      </c>
      <c r="Z479" s="9">
        <f ca="1">Table20[[#This Row],[Remaining]]*Table20[[#This Row],[Current Price]]*100</f>
        <v>0</v>
      </c>
      <c r="AA479" s="22">
        <f ca="1">IFERROR(Table20[[#This Row],[nominal_exposure]]*Table20[[#This Row],[Delta]],0)</f>
        <v>0</v>
      </c>
      <c r="AB479" s="30" t="b">
        <f>IF(Table20[[#This Row],[date_purchased]]&lt;&gt;Table20[[#This Row],[Expiration Date]],FALSE,TRUE)</f>
        <v>0</v>
      </c>
      <c r="AC479" s="30" t="str">
        <f>VLOOKUP(Table20[[#This Row],[Asset]],Table19[#All],3,FALSE)</f>
        <v>Consumer Staples</v>
      </c>
      <c r="AD479" s="30">
        <f>IF(Table20[[#This Row],[Remaining]]&lt;&gt;0,Table20[[#This Row],[Invested]]*Table20[[#This Row],[Remaining]]/Table20[[#This Row],[Number of options]],0)</f>
        <v>0</v>
      </c>
      <c r="AE479" s="30">
        <f ca="1">SUMIF(Table20[Ticker],Table20[[#This Row],[Ticker]],Table20[realized_profit])</f>
        <v>-838.16</v>
      </c>
      <c r="AF479" s="30" t="str">
        <f>VLOOKUP(Table20[[#This Row],[Strategy]],Table29[#All],7,FALSE)</f>
        <v>Bearish</v>
      </c>
    </row>
    <row r="480" spans="1:32" hidden="1">
      <c r="A480" s="180">
        <v>45737</v>
      </c>
      <c r="B480" s="21" t="e" vm="111">
        <v>#VALUE!</v>
      </c>
      <c r="C480" s="109" t="str" cm="1">
        <f t="array" aca="1" ref="C480" ca="1">_FV(Table20[[#This Row],[Asset]],"Ticker symbol",TRUE)</f>
        <v>SMH</v>
      </c>
      <c r="D480" s="26" cm="1">
        <f t="array" aca="1" ref="D480" ca="1">_FV(Table20[[#This Row],[Asset]],"Price")</f>
        <v>401.41500000000002</v>
      </c>
      <c r="E480" s="26">
        <v>210</v>
      </c>
      <c r="F480" s="33">
        <v>1</v>
      </c>
      <c r="G480" s="34">
        <v>1</v>
      </c>
      <c r="H480" s="34" t="s">
        <v>65</v>
      </c>
      <c r="I480" s="31">
        <v>45716</v>
      </c>
      <c r="J480" s="26">
        <v>3.05</v>
      </c>
      <c r="K480" s="24"/>
      <c r="L480" s="33">
        <f>VLOOKUP(Table20[[#This Row],[Strategy]],Table29[#All],6,FALSE)</f>
        <v>-1</v>
      </c>
      <c r="M480" s="23">
        <v>1</v>
      </c>
      <c r="N480" s="23">
        <v>3</v>
      </c>
      <c r="O480" s="23"/>
      <c r="P480" s="23"/>
      <c r="Q480">
        <f>Table20[[#This Row],[Exit1]]*Table20[[#This Row],[ex1_price]]</f>
        <v>3</v>
      </c>
      <c r="R480">
        <f>Table20[[#This Row],[Exit2]]*Table20[[#This Row],[ex2_price]]</f>
        <v>0</v>
      </c>
      <c r="S480">
        <f>IFERROR((Table20[[#This Row],[ex2_amnt]]+Table20[[#This Row],[ex1_amnt]])/(Table20[[#This Row],[Exit2]]+Table20[[#This Row],[Exit1]]),0)</f>
        <v>3</v>
      </c>
      <c r="T480" s="5">
        <f>(Table20[[#This Row],[Exit1]]+Table20[[#This Row],[Exit2]])*(Table20[[#This Row],[avg_exit_price]]-Table20[[#This Row],[AvePrice]])*100*Table20[[#This Row],[Buy or Sell]]</f>
        <v>-4.9999999999999822</v>
      </c>
      <c r="U480" s="5">
        <f>Table20[[#This Row],[Number of options]]*Table20[[#This Row],[AvePrice]]*100*Table20[[#This Row],[Buy or Sell]]</f>
        <v>305</v>
      </c>
      <c r="V480" s="8">
        <f>Table20[[#This Row],[Number of options]]-Table20[[#This Row],[Exit1]]-Table20[[#This Row],[Exit2]]</f>
        <v>0</v>
      </c>
      <c r="W480" s="30">
        <f ca="1">(Table20[[#This Row],[Expiration Date]]-TODAY())/365</f>
        <v>-1.0136986301369864</v>
      </c>
      <c r="X480" s="30" t="e">
        <f ca="1">(LN(Table20[[#This Row],[Current Price]]/Table20[[#This Row],[strike_price]]) + ($B$2 + (Table20[[#This Row],[Vol]]^2)/2)*Table20[[#This Row],[Time to expiration]]) / (Table20[[#This Row],[Vol]] * SQRT(Table20[[#This Row],[Time to expiration]]))</f>
        <v>#NUM!</v>
      </c>
      <c r="Y480" s="30" t="e">
        <f ca="1">IF(Table20[[#This Row],[Direction]]&gt;0, _xlfn.NORM.S.DIST(Table20[[#This Row],[d1]], TRUE), _xlfn.NORM.S.DIST(Table20[[#This Row],[d1]], TRUE) - 1) * Table20[[#This Row],[Buy or Sell]]</f>
        <v>#NUM!</v>
      </c>
      <c r="Z480" s="9">
        <f ca="1">Table20[[#This Row],[Remaining]]*Table20[[#This Row],[Current Price]]*100</f>
        <v>0</v>
      </c>
      <c r="AA480" s="22">
        <f ca="1">IFERROR(Table20[[#This Row],[nominal_exposure]]*Table20[[#This Row],[Delta]],0)</f>
        <v>0</v>
      </c>
      <c r="AB480" s="30" t="b">
        <f>IF(Table20[[#This Row],[date_purchased]]&lt;&gt;Table20[[#This Row],[Expiration Date]],FALSE,TRUE)</f>
        <v>0</v>
      </c>
      <c r="AC480" s="30" t="str">
        <f>VLOOKUP(Table20[[#This Row],[Asset]],Table19[#All],3,FALSE)</f>
        <v>AI</v>
      </c>
      <c r="AD480" s="30">
        <f>IF(Table20[[#This Row],[Remaining]]&lt;&gt;0,Table20[[#This Row],[Invested]]*Table20[[#This Row],[Remaining]]/Table20[[#This Row],[Number of options]],0)</f>
        <v>0</v>
      </c>
      <c r="AE480" s="30">
        <f ca="1">SUMIF(Table20[Ticker],Table20[[#This Row],[Ticker]],Table20[realized_profit])</f>
        <v>259.00000000000006</v>
      </c>
      <c r="AF480" s="30" t="str">
        <f>VLOOKUP(Table20[[#This Row],[Strategy]],Table29[#All],7,FALSE)</f>
        <v>Bearish</v>
      </c>
    </row>
    <row r="481" spans="1:32" hidden="1">
      <c r="A481" s="180">
        <v>45737</v>
      </c>
      <c r="B481" s="21" t="e" vm="32">
        <v>#VALUE!</v>
      </c>
      <c r="C481" s="109" t="str" cm="1">
        <f t="array" aca="1" ref="C481" ca="1">_FV(Table20[[#This Row],[Asset]],"Ticker symbol",TRUE)</f>
        <v>MU</v>
      </c>
      <c r="D481" s="26" cm="1">
        <f t="array" aca="1" ref="D481" ca="1">_FV(Table20[[#This Row],[Asset]],"Price")</f>
        <v>381.57</v>
      </c>
      <c r="E481" s="26">
        <v>120</v>
      </c>
      <c r="F481" s="33">
        <v>2</v>
      </c>
      <c r="G481" s="34">
        <v>1</v>
      </c>
      <c r="H481" s="34" t="s">
        <v>113</v>
      </c>
      <c r="I481" s="31">
        <v>45707</v>
      </c>
      <c r="J481" s="26">
        <v>1.38</v>
      </c>
      <c r="K481" s="24"/>
      <c r="L481" s="33">
        <f>VLOOKUP(Table20[[#This Row],[Strategy]],Table29[#All],6,FALSE)</f>
        <v>1</v>
      </c>
      <c r="M481" s="23">
        <v>2</v>
      </c>
      <c r="N481" s="23">
        <v>0.4</v>
      </c>
      <c r="O481" s="23">
        <v>0</v>
      </c>
      <c r="P481" s="23">
        <v>0</v>
      </c>
      <c r="Q481">
        <f>Table20[[#This Row],[Exit1]]*Table20[[#This Row],[ex1_price]]</f>
        <v>0.8</v>
      </c>
      <c r="R481">
        <f>Table20[[#This Row],[Exit2]]*Table20[[#This Row],[ex2_price]]</f>
        <v>0</v>
      </c>
      <c r="S481">
        <f>IFERROR((Table20[[#This Row],[ex2_amnt]]+Table20[[#This Row],[ex1_amnt]])/(Table20[[#This Row],[Exit2]]+Table20[[#This Row],[Exit1]]),0)</f>
        <v>0.4</v>
      </c>
      <c r="T481" s="5">
        <f>(Table20[[#This Row],[Exit1]]+Table20[[#This Row],[Exit2]])*(Table20[[#This Row],[avg_exit_price]]-Table20[[#This Row],[AvePrice]])*100*Table20[[#This Row],[Buy or Sell]]</f>
        <v>-195.99999999999997</v>
      </c>
      <c r="U481" s="5">
        <f>Table20[[#This Row],[Number of options]]*Table20[[#This Row],[AvePrice]]*100*Table20[[#This Row],[Buy or Sell]]</f>
        <v>276</v>
      </c>
      <c r="V481" s="8">
        <f>Table20[[#This Row],[Number of options]]-Table20[[#This Row],[Exit1]]-Table20[[#This Row],[Exit2]]</f>
        <v>0</v>
      </c>
      <c r="W481" s="30">
        <f ca="1">(Table20[[#This Row],[Expiration Date]]-TODAY())/365</f>
        <v>-1.0136986301369864</v>
      </c>
      <c r="X481" s="30" t="e">
        <f ca="1">(LN(Table20[[#This Row],[Current Price]]/Table20[[#This Row],[strike_price]]) + ($B$2 + (Table20[[#This Row],[Vol]]^2)/2)*Table20[[#This Row],[Time to expiration]]) / (Table20[[#This Row],[Vol]] * SQRT(Table20[[#This Row],[Time to expiration]]))</f>
        <v>#NUM!</v>
      </c>
      <c r="Y481" s="30" t="e">
        <f ca="1">IF(Table20[[#This Row],[Direction]]&gt;0, _xlfn.NORM.S.DIST(Table20[[#This Row],[d1]], TRUE), _xlfn.NORM.S.DIST(Table20[[#This Row],[d1]], TRUE) - 1) * Table20[[#This Row],[Buy or Sell]]</f>
        <v>#NUM!</v>
      </c>
      <c r="Z481" s="9">
        <f ca="1">Table20[[#This Row],[Remaining]]*Table20[[#This Row],[Current Price]]*100</f>
        <v>0</v>
      </c>
      <c r="AA481" s="22">
        <f ca="1">IFERROR(Table20[[#This Row],[nominal_exposure]]*Table20[[#This Row],[Delta]],0)</f>
        <v>0</v>
      </c>
      <c r="AB481" s="30" t="b">
        <f>IF(Table20[[#This Row],[date_purchased]]&lt;&gt;Table20[[#This Row],[Expiration Date]],FALSE,TRUE)</f>
        <v>0</v>
      </c>
      <c r="AC481" s="30" t="str">
        <f>VLOOKUP(Table20[[#This Row],[Asset]],Table19[#All],3,FALSE)</f>
        <v>AI</v>
      </c>
      <c r="AD481" s="30">
        <f>IF(Table20[[#This Row],[Remaining]]&lt;&gt;0,Table20[[#This Row],[Invested]]*Table20[[#This Row],[Remaining]]/Table20[[#This Row],[Number of options]],0)</f>
        <v>0</v>
      </c>
      <c r="AE481" s="30">
        <f ca="1">SUMIF(Table20[Ticker],Table20[[#This Row],[Ticker]],Table20[realized_profit])</f>
        <v>-4181</v>
      </c>
      <c r="AF481" s="30" t="str">
        <f>VLOOKUP(Table20[[#This Row],[Strategy]],Table29[#All],7,FALSE)</f>
        <v>Bullish</v>
      </c>
    </row>
    <row r="482" spans="1:32" hidden="1">
      <c r="A482" s="180">
        <v>45744</v>
      </c>
      <c r="B482" s="21" t="e" vm="547">
        <v>#VALUE!</v>
      </c>
      <c r="C482" s="109" t="str" cm="1">
        <f t="array" aca="1" ref="C482" ca="1">_FV(Table20[[#This Row],[Asset]],"Ticker symbol",TRUE)</f>
        <v>HD</v>
      </c>
      <c r="D482" s="26" cm="1">
        <f t="array" aca="1" ref="D482" ca="1">_FV(Table20[[#This Row],[Asset]],"Price")</f>
        <v>330.05</v>
      </c>
      <c r="E482" s="26">
        <v>370</v>
      </c>
      <c r="F482" s="33">
        <v>1</v>
      </c>
      <c r="G482" s="34">
        <v>1</v>
      </c>
      <c r="H482" s="34" t="s">
        <v>65</v>
      </c>
      <c r="I482" s="31">
        <v>45719</v>
      </c>
      <c r="J482" s="26">
        <v>2.85</v>
      </c>
      <c r="K482" s="24">
        <v>0.27489999999999998</v>
      </c>
      <c r="L482" s="33">
        <f>VLOOKUP(Table20[[#This Row],[Strategy]],Table29[#All],6,FALSE)</f>
        <v>-1</v>
      </c>
      <c r="M482" s="23">
        <v>1</v>
      </c>
      <c r="N482" s="23">
        <v>11.6</v>
      </c>
      <c r="O482" s="23"/>
      <c r="P482" s="23"/>
      <c r="Q482">
        <f>Table20[[#This Row],[Exit1]]*Table20[[#This Row],[ex1_price]]</f>
        <v>11.6</v>
      </c>
      <c r="R482">
        <f>Table20[[#This Row],[Exit2]]*Table20[[#This Row],[ex2_price]]</f>
        <v>0</v>
      </c>
      <c r="S482">
        <f>IFERROR((Table20[[#This Row],[ex2_amnt]]+Table20[[#This Row],[ex1_amnt]])/(Table20[[#This Row],[Exit2]]+Table20[[#This Row],[Exit1]]),0)</f>
        <v>11.6</v>
      </c>
      <c r="T482" s="5">
        <f>(Table20[[#This Row],[Exit1]]+Table20[[#This Row],[Exit2]])*(Table20[[#This Row],[avg_exit_price]]-Table20[[#This Row],[AvePrice]])*100*Table20[[#This Row],[Buy or Sell]]</f>
        <v>875</v>
      </c>
      <c r="U482" s="5">
        <f>Table20[[#This Row],[Number of options]]*Table20[[#This Row],[AvePrice]]*100*Table20[[#This Row],[Buy or Sell]]</f>
        <v>285</v>
      </c>
      <c r="V482" s="8">
        <f>Table20[[#This Row],[Number of options]]-Table20[[#This Row],[Exit1]]-Table20[[#This Row],[Exit2]]</f>
        <v>0</v>
      </c>
      <c r="W482" s="30">
        <f ca="1">(Table20[[#This Row],[Expiration Date]]-TODAY())/365</f>
        <v>-0.9945205479452055</v>
      </c>
      <c r="X482" s="30" t="e">
        <f ca="1">(LN(Table20[[#This Row],[Current Price]]/Table20[[#This Row],[strike_price]]) + ($B$2 + (Table20[[#This Row],[Vol]]^2)/2)*Table20[[#This Row],[Time to expiration]]) / (Table20[[#This Row],[Vol]] * SQRT(Table20[[#This Row],[Time to expiration]]))</f>
        <v>#NUM!</v>
      </c>
      <c r="Y482" s="30" t="e">
        <f ca="1">IF(Table20[[#This Row],[Direction]]&gt;0, _xlfn.NORM.S.DIST(Table20[[#This Row],[d1]], TRUE), _xlfn.NORM.S.DIST(Table20[[#This Row],[d1]], TRUE) - 1) * Table20[[#This Row],[Buy or Sell]]</f>
        <v>#NUM!</v>
      </c>
      <c r="Z482" s="9">
        <f ca="1">Table20[[#This Row],[Remaining]]*Table20[[#This Row],[Current Price]]*100</f>
        <v>0</v>
      </c>
      <c r="AA482" s="22">
        <f ca="1">IFERROR(Table20[[#This Row],[nominal_exposure]]*Table20[[#This Row],[Delta]],0)</f>
        <v>0</v>
      </c>
      <c r="AB482" s="30" t="b">
        <f>IF(Table20[[#This Row],[date_purchased]]&lt;&gt;Table20[[#This Row],[Expiration Date]],FALSE,TRUE)</f>
        <v>0</v>
      </c>
      <c r="AC482" s="30" t="str">
        <f>VLOOKUP(Table20[[#This Row],[Asset]],Table19[#All],3,FALSE)</f>
        <v>Real estate</v>
      </c>
      <c r="AD482" s="30">
        <f>IF(Table20[[#This Row],[Remaining]]&lt;&gt;0,Table20[[#This Row],[Invested]]*Table20[[#This Row],[Remaining]]/Table20[[#This Row],[Number of options]],0)</f>
        <v>0</v>
      </c>
      <c r="AE482" s="30">
        <f ca="1">SUMIF(Table20[Ticker],Table20[[#This Row],[Ticker]],Table20[realized_profit])</f>
        <v>1151</v>
      </c>
      <c r="AF482" s="30" t="str">
        <f>VLOOKUP(Table20[[#This Row],[Strategy]],Table29[#All],7,FALSE)</f>
        <v>Bearish</v>
      </c>
    </row>
    <row r="483" spans="1:32" hidden="1">
      <c r="A483" s="180">
        <v>45744</v>
      </c>
      <c r="B483" s="21" t="e" vm="139">
        <v>#VALUE!</v>
      </c>
      <c r="C483" s="109" t="str" cm="1">
        <f t="array" aca="1" ref="C483" ca="1">_FV(Table20[[#This Row],[Asset]],"Ticker symbol",TRUE)</f>
        <v>WMT</v>
      </c>
      <c r="D483" s="26" cm="1">
        <f t="array" aca="1" ref="D483" ca="1">_FV(Table20[[#This Row],[Asset]],"Price")</f>
        <v>122.55500000000001</v>
      </c>
      <c r="E483" s="26">
        <v>97</v>
      </c>
      <c r="F483" s="33">
        <v>2</v>
      </c>
      <c r="G483" s="34">
        <v>1</v>
      </c>
      <c r="H483" s="34" t="s">
        <v>65</v>
      </c>
      <c r="I483" s="31">
        <v>45716</v>
      </c>
      <c r="J483" s="26">
        <v>2.4300000000000002</v>
      </c>
      <c r="K483" s="24"/>
      <c r="L483" s="33">
        <f>VLOOKUP(Table20[[#This Row],[Strategy]],Table29[#All],6,FALSE)</f>
        <v>-1</v>
      </c>
      <c r="M483" s="23">
        <v>2</v>
      </c>
      <c r="N483" s="23">
        <v>2.57</v>
      </c>
      <c r="O483" s="23"/>
      <c r="P483" s="23"/>
      <c r="Q483">
        <f>Table20[[#This Row],[Exit1]]*Table20[[#This Row],[ex1_price]]</f>
        <v>5.14</v>
      </c>
      <c r="R483">
        <f>Table20[[#This Row],[Exit2]]*Table20[[#This Row],[ex2_price]]</f>
        <v>0</v>
      </c>
      <c r="S483">
        <f>IFERROR((Table20[[#This Row],[ex2_amnt]]+Table20[[#This Row],[ex1_amnt]])/(Table20[[#This Row],[Exit2]]+Table20[[#This Row],[Exit1]]),0)</f>
        <v>2.57</v>
      </c>
      <c r="T483" s="5">
        <f>(Table20[[#This Row],[Exit1]]+Table20[[#This Row],[Exit2]])*(Table20[[#This Row],[avg_exit_price]]-Table20[[#This Row],[AvePrice]])*100*Table20[[#This Row],[Buy or Sell]]</f>
        <v>27.999999999999936</v>
      </c>
      <c r="U483" s="5">
        <f>Table20[[#This Row],[Number of options]]*Table20[[#This Row],[AvePrice]]*100*Table20[[#This Row],[Buy or Sell]]</f>
        <v>486.00000000000006</v>
      </c>
      <c r="V483" s="8">
        <f>Table20[[#This Row],[Number of options]]-Table20[[#This Row],[Exit1]]-Table20[[#This Row],[Exit2]]</f>
        <v>0</v>
      </c>
      <c r="W483" s="30">
        <f ca="1">(Table20[[#This Row],[Expiration Date]]-TODAY())/365</f>
        <v>-0.9945205479452055</v>
      </c>
      <c r="X483" s="30" t="e">
        <f ca="1">(LN(Table20[[#This Row],[Current Price]]/Table20[[#This Row],[strike_price]]) + ($B$2 + (Table20[[#This Row],[Vol]]^2)/2)*Table20[[#This Row],[Time to expiration]]) / (Table20[[#This Row],[Vol]] * SQRT(Table20[[#This Row],[Time to expiration]]))</f>
        <v>#NUM!</v>
      </c>
      <c r="Y483" s="30" t="e">
        <f ca="1">IF(Table20[[#This Row],[Direction]]&gt;0, _xlfn.NORM.S.DIST(Table20[[#This Row],[d1]], TRUE), _xlfn.NORM.S.DIST(Table20[[#This Row],[d1]], TRUE) - 1) * Table20[[#This Row],[Buy or Sell]]</f>
        <v>#NUM!</v>
      </c>
      <c r="Z483" s="9">
        <f ca="1">Table20[[#This Row],[Remaining]]*Table20[[#This Row],[Current Price]]*100</f>
        <v>0</v>
      </c>
      <c r="AA483" s="22">
        <f ca="1">IFERROR(Table20[[#This Row],[nominal_exposure]]*Table20[[#This Row],[Delta]],0)</f>
        <v>0</v>
      </c>
      <c r="AB483" s="30" t="b">
        <f>IF(Table20[[#This Row],[date_purchased]]&lt;&gt;Table20[[#This Row],[Expiration Date]],FALSE,TRUE)</f>
        <v>0</v>
      </c>
      <c r="AC483" s="30" t="str">
        <f>VLOOKUP(Table20[[#This Row],[Asset]],Table19[#All],3,FALSE)</f>
        <v>Consumer Staples</v>
      </c>
      <c r="AD483" s="30">
        <f>IF(Table20[[#This Row],[Remaining]]&lt;&gt;0,Table20[[#This Row],[Invested]]*Table20[[#This Row],[Remaining]]/Table20[[#This Row],[Number of options]],0)</f>
        <v>0</v>
      </c>
      <c r="AE483" s="30">
        <f ca="1">SUMIF(Table20[Ticker],Table20[[#This Row],[Ticker]],Table20[realized_profit])</f>
        <v>-838.16</v>
      </c>
      <c r="AF483" s="30" t="str">
        <f>VLOOKUP(Table20[[#This Row],[Strategy]],Table29[#All],7,FALSE)</f>
        <v>Bearish</v>
      </c>
    </row>
    <row r="484" spans="1:32" hidden="1">
      <c r="A484" s="180">
        <v>45744</v>
      </c>
      <c r="B484" s="21" t="e" vm="111">
        <v>#VALUE!</v>
      </c>
      <c r="C484" s="109" t="str" cm="1">
        <f t="array" aca="1" ref="C484" ca="1">_FV(Table20[[#This Row],[Asset]],"Ticker symbol",TRUE)</f>
        <v>SMH</v>
      </c>
      <c r="D484" s="26" cm="1">
        <f t="array" aca="1" ref="D484" ca="1">_FV(Table20[[#This Row],[Asset]],"Price")</f>
        <v>401.41500000000002</v>
      </c>
      <c r="E484" s="26">
        <v>190</v>
      </c>
      <c r="F484" s="33">
        <v>1</v>
      </c>
      <c r="G484" s="34">
        <v>-1</v>
      </c>
      <c r="H484" s="34" t="s">
        <v>112</v>
      </c>
      <c r="I484" s="31">
        <v>45713</v>
      </c>
      <c r="J484" s="26">
        <v>0.94</v>
      </c>
      <c r="K484" s="24"/>
      <c r="L484" s="33">
        <f>VLOOKUP(Table20[[#This Row],[Strategy]],Table29[#All],6,FALSE)</f>
        <v>-1</v>
      </c>
      <c r="M484" s="23">
        <v>1</v>
      </c>
      <c r="N484" s="23">
        <v>1.41</v>
      </c>
      <c r="O484" s="23"/>
      <c r="P484" s="23"/>
      <c r="Q484">
        <f>Table20[[#This Row],[Exit1]]*Table20[[#This Row],[ex1_price]]</f>
        <v>1.41</v>
      </c>
      <c r="R484">
        <f>Table20[[#This Row],[Exit2]]*Table20[[#This Row],[ex2_price]]</f>
        <v>0</v>
      </c>
      <c r="S484">
        <f>IFERROR((Table20[[#This Row],[ex2_amnt]]+Table20[[#This Row],[ex1_amnt]])/(Table20[[#This Row],[Exit2]]+Table20[[#This Row],[Exit1]]),0)</f>
        <v>1.41</v>
      </c>
      <c r="T484" s="5">
        <f>(Table20[[#This Row],[Exit1]]+Table20[[#This Row],[Exit2]])*(Table20[[#This Row],[avg_exit_price]]-Table20[[#This Row],[AvePrice]])*100*Table20[[#This Row],[Buy or Sell]]</f>
        <v>-47</v>
      </c>
      <c r="U484" s="5">
        <f>Table20[[#This Row],[Number of options]]*Table20[[#This Row],[AvePrice]]*100*Table20[[#This Row],[Buy or Sell]]</f>
        <v>-94</v>
      </c>
      <c r="V484" s="8">
        <f>Table20[[#This Row],[Number of options]]-Table20[[#This Row],[Exit1]]-Table20[[#This Row],[Exit2]]</f>
        <v>0</v>
      </c>
      <c r="W484" s="30">
        <f ca="1">(Table20[[#This Row],[Expiration Date]]-TODAY())/365</f>
        <v>-0.9945205479452055</v>
      </c>
      <c r="X484" s="30" t="e">
        <f ca="1">(LN(Table20[[#This Row],[Current Price]]/Table20[[#This Row],[strike_price]]) + ($B$2 + (Table20[[#This Row],[Vol]]^2)/2)*Table20[[#This Row],[Time to expiration]]) / (Table20[[#This Row],[Vol]] * SQRT(Table20[[#This Row],[Time to expiration]]))</f>
        <v>#NUM!</v>
      </c>
      <c r="Y484" s="30" t="e">
        <f ca="1">IF(Table20[[#This Row],[Direction]]&gt;0, _xlfn.NORM.S.DIST(Table20[[#This Row],[d1]], TRUE), _xlfn.NORM.S.DIST(Table20[[#This Row],[d1]], TRUE) - 1) * Table20[[#This Row],[Buy or Sell]]</f>
        <v>#NUM!</v>
      </c>
      <c r="Z484" s="9">
        <f ca="1">Table20[[#This Row],[Remaining]]*Table20[[#This Row],[Current Price]]*100</f>
        <v>0</v>
      </c>
      <c r="AA484" s="22">
        <f ca="1">IFERROR(Table20[[#This Row],[nominal_exposure]]*Table20[[#This Row],[Delta]],0)</f>
        <v>0</v>
      </c>
      <c r="AB484" s="30" t="b">
        <f>IF(Table20[[#This Row],[date_purchased]]&lt;&gt;Table20[[#This Row],[Expiration Date]],FALSE,TRUE)</f>
        <v>0</v>
      </c>
      <c r="AC484" s="30" t="str">
        <f>VLOOKUP(Table20[[#This Row],[Asset]],Table19[#All],3,FALSE)</f>
        <v>AI</v>
      </c>
      <c r="AD484" s="30">
        <f>IF(Table20[[#This Row],[Remaining]]&lt;&gt;0,Table20[[#This Row],[Invested]]*Table20[[#This Row],[Remaining]]/Table20[[#This Row],[Number of options]],0)</f>
        <v>0</v>
      </c>
      <c r="AE484" s="30">
        <f ca="1">SUMIF(Table20[Ticker],Table20[[#This Row],[Ticker]],Table20[realized_profit])</f>
        <v>259.00000000000006</v>
      </c>
      <c r="AF484" s="30" t="str">
        <f>VLOOKUP(Table20[[#This Row],[Strategy]],Table29[#All],7,FALSE)</f>
        <v>Bearish</v>
      </c>
    </row>
    <row r="485" spans="1:32" hidden="1">
      <c r="A485" s="180">
        <v>45744</v>
      </c>
      <c r="B485" s="21" t="e" vm="111">
        <v>#VALUE!</v>
      </c>
      <c r="C485" s="109" t="str" cm="1">
        <f t="array" aca="1" ref="C485" ca="1">_FV(Table20[[#This Row],[Asset]],"Ticker symbol",TRUE)</f>
        <v>SMH</v>
      </c>
      <c r="D485" s="26" cm="1">
        <f t="array" aca="1" ref="D485" ca="1">_FV(Table20[[#This Row],[Asset]],"Price")</f>
        <v>401.41500000000002</v>
      </c>
      <c r="E485" s="26">
        <v>220</v>
      </c>
      <c r="F485" s="33">
        <v>1</v>
      </c>
      <c r="G485" s="34">
        <v>1</v>
      </c>
      <c r="H485" s="34" t="s">
        <v>112</v>
      </c>
      <c r="I485" s="31">
        <v>45713</v>
      </c>
      <c r="J485" s="26">
        <v>4.04</v>
      </c>
      <c r="K485" s="24"/>
      <c r="L485" s="33">
        <f>VLOOKUP(Table20[[#This Row],[Strategy]],Table29[#All],6,FALSE)</f>
        <v>-1</v>
      </c>
      <c r="M485" s="23">
        <v>1</v>
      </c>
      <c r="N485" s="23">
        <v>7.15</v>
      </c>
      <c r="O485" s="23"/>
      <c r="P485" s="23"/>
      <c r="Q485">
        <f>Table20[[#This Row],[Exit1]]*Table20[[#This Row],[ex1_price]]</f>
        <v>7.15</v>
      </c>
      <c r="R485">
        <f>Table20[[#This Row],[Exit2]]*Table20[[#This Row],[ex2_price]]</f>
        <v>0</v>
      </c>
      <c r="S485">
        <f>IFERROR((Table20[[#This Row],[ex2_amnt]]+Table20[[#This Row],[ex1_amnt]])/(Table20[[#This Row],[Exit2]]+Table20[[#This Row],[Exit1]]),0)</f>
        <v>7.15</v>
      </c>
      <c r="T485" s="5">
        <f>(Table20[[#This Row],[Exit1]]+Table20[[#This Row],[Exit2]])*(Table20[[#This Row],[avg_exit_price]]-Table20[[#This Row],[AvePrice]])*100*Table20[[#This Row],[Buy or Sell]]</f>
        <v>311.00000000000006</v>
      </c>
      <c r="U485" s="5">
        <f>Table20[[#This Row],[Number of options]]*Table20[[#This Row],[AvePrice]]*100*Table20[[#This Row],[Buy or Sell]]</f>
        <v>404</v>
      </c>
      <c r="V485" s="8">
        <f>Table20[[#This Row],[Number of options]]-Table20[[#This Row],[Exit1]]-Table20[[#This Row],[Exit2]]</f>
        <v>0</v>
      </c>
      <c r="W485" s="30">
        <f ca="1">(Table20[[#This Row],[Expiration Date]]-TODAY())/365</f>
        <v>-0.9945205479452055</v>
      </c>
      <c r="X485" s="30" t="e">
        <f ca="1">(LN(Table20[[#This Row],[Current Price]]/Table20[[#This Row],[strike_price]]) + ($B$2 + (Table20[[#This Row],[Vol]]^2)/2)*Table20[[#This Row],[Time to expiration]]) / (Table20[[#This Row],[Vol]] * SQRT(Table20[[#This Row],[Time to expiration]]))</f>
        <v>#NUM!</v>
      </c>
      <c r="Y485" s="30" t="e">
        <f ca="1">IF(Table20[[#This Row],[Direction]]&gt;0, _xlfn.NORM.S.DIST(Table20[[#This Row],[d1]], TRUE), _xlfn.NORM.S.DIST(Table20[[#This Row],[d1]], TRUE) - 1) * Table20[[#This Row],[Buy or Sell]]</f>
        <v>#NUM!</v>
      </c>
      <c r="Z485" s="9">
        <f ca="1">Table20[[#This Row],[Remaining]]*Table20[[#This Row],[Current Price]]*100</f>
        <v>0</v>
      </c>
      <c r="AA485" s="22">
        <f ca="1">IFERROR(Table20[[#This Row],[nominal_exposure]]*Table20[[#This Row],[Delta]],0)</f>
        <v>0</v>
      </c>
      <c r="AB485" s="30" t="b">
        <f>IF(Table20[[#This Row],[date_purchased]]&lt;&gt;Table20[[#This Row],[Expiration Date]],FALSE,TRUE)</f>
        <v>0</v>
      </c>
      <c r="AC485" s="30" t="str">
        <f>VLOOKUP(Table20[[#This Row],[Asset]],Table19[#All],3,FALSE)</f>
        <v>AI</v>
      </c>
      <c r="AD485" s="30">
        <f>IF(Table20[[#This Row],[Remaining]]&lt;&gt;0,Table20[[#This Row],[Invested]]*Table20[[#This Row],[Remaining]]/Table20[[#This Row],[Number of options]],0)</f>
        <v>0</v>
      </c>
      <c r="AE485" s="30">
        <f ca="1">SUMIF(Table20[Ticker],Table20[[#This Row],[Ticker]],Table20[realized_profit])</f>
        <v>259.00000000000006</v>
      </c>
      <c r="AF485" s="30" t="str">
        <f>VLOOKUP(Table20[[#This Row],[Strategy]],Table29[#All],7,FALSE)</f>
        <v>Bearish</v>
      </c>
    </row>
    <row r="486" spans="1:32" hidden="1">
      <c r="A486" s="180">
        <v>45744</v>
      </c>
      <c r="B486" s="21" t="e" vm="102">
        <v>#VALUE!</v>
      </c>
      <c r="C486" s="109" t="str" cm="1">
        <f t="array" aca="1" ref="C486" ca="1">_FV(Table20[[#This Row],[Asset]],"Ticker symbol",TRUE)</f>
        <v>GM</v>
      </c>
      <c r="D486" s="26" cm="1">
        <f t="array" aca="1" ref="D486" ca="1">_FV(Table20[[#This Row],[Asset]],"Price")</f>
        <v>77.844999999999999</v>
      </c>
      <c r="E486" s="26">
        <v>49</v>
      </c>
      <c r="F486" s="33">
        <v>3</v>
      </c>
      <c r="G486" s="34">
        <v>1</v>
      </c>
      <c r="H486" s="34" t="s">
        <v>65</v>
      </c>
      <c r="I486" s="31">
        <v>45716</v>
      </c>
      <c r="J486" s="26">
        <v>1.69</v>
      </c>
      <c r="K486" s="24"/>
      <c r="L486" s="33">
        <f>VLOOKUP(Table20[[#This Row],[Strategy]],Table29[#All],6,FALSE)</f>
        <v>-1</v>
      </c>
      <c r="M486" s="23">
        <v>2</v>
      </c>
      <c r="N486" s="23">
        <v>5</v>
      </c>
      <c r="O486" s="23">
        <v>1</v>
      </c>
      <c r="P486" s="23">
        <v>3</v>
      </c>
      <c r="Q486">
        <f>Table20[[#This Row],[Exit1]]*Table20[[#This Row],[ex1_price]]</f>
        <v>10</v>
      </c>
      <c r="R486">
        <f>Table20[[#This Row],[Exit2]]*Table20[[#This Row],[ex2_price]]</f>
        <v>3</v>
      </c>
      <c r="S486">
        <f>IFERROR((Table20[[#This Row],[ex2_amnt]]+Table20[[#This Row],[ex1_amnt]])/(Table20[[#This Row],[Exit2]]+Table20[[#This Row],[Exit1]]),0)</f>
        <v>4.333333333333333</v>
      </c>
      <c r="T486" s="5">
        <f>(Table20[[#This Row],[Exit1]]+Table20[[#This Row],[Exit2]])*(Table20[[#This Row],[avg_exit_price]]-Table20[[#This Row],[AvePrice]])*100*Table20[[#This Row],[Buy or Sell]]</f>
        <v>793</v>
      </c>
      <c r="U486" s="5">
        <f>Table20[[#This Row],[Number of options]]*Table20[[#This Row],[AvePrice]]*100*Table20[[#This Row],[Buy or Sell]]</f>
        <v>507</v>
      </c>
      <c r="V486" s="8">
        <f>Table20[[#This Row],[Number of options]]-Table20[[#This Row],[Exit1]]-Table20[[#This Row],[Exit2]]</f>
        <v>0</v>
      </c>
      <c r="W486" s="30">
        <f ca="1">(Table20[[#This Row],[Expiration Date]]-TODAY())/365</f>
        <v>-0.9945205479452055</v>
      </c>
      <c r="X486" s="30" t="e">
        <f ca="1">(LN(Table20[[#This Row],[Current Price]]/Table20[[#This Row],[strike_price]]) + ($B$2 + (Table20[[#This Row],[Vol]]^2)/2)*Table20[[#This Row],[Time to expiration]]) / (Table20[[#This Row],[Vol]] * SQRT(Table20[[#This Row],[Time to expiration]]))</f>
        <v>#NUM!</v>
      </c>
      <c r="Y486" s="30" t="e">
        <f ca="1">IF(Table20[[#This Row],[Direction]]&gt;0, _xlfn.NORM.S.DIST(Table20[[#This Row],[d1]], TRUE), _xlfn.NORM.S.DIST(Table20[[#This Row],[d1]], TRUE) - 1) * Table20[[#This Row],[Buy or Sell]]</f>
        <v>#NUM!</v>
      </c>
      <c r="Z486" s="9">
        <f ca="1">Table20[[#This Row],[Remaining]]*Table20[[#This Row],[Current Price]]*100</f>
        <v>0</v>
      </c>
      <c r="AA486" s="22">
        <f ca="1">IFERROR(Table20[[#This Row],[nominal_exposure]]*Table20[[#This Row],[Delta]],0)</f>
        <v>0</v>
      </c>
      <c r="AB486" s="30" t="b">
        <f>IF(Table20[[#This Row],[date_purchased]]&lt;&gt;Table20[[#This Row],[Expiration Date]],FALSE,TRUE)</f>
        <v>0</v>
      </c>
      <c r="AC486" s="30" t="str">
        <f>VLOOKUP(Table20[[#This Row],[Asset]],Table19[#All],3,FALSE)</f>
        <v>Auto</v>
      </c>
      <c r="AD486" s="30">
        <f>IF(Table20[[#This Row],[Remaining]]&lt;&gt;0,Table20[[#This Row],[Invested]]*Table20[[#This Row],[Remaining]]/Table20[[#This Row],[Number of options]],0)</f>
        <v>0</v>
      </c>
      <c r="AE486" s="30">
        <f ca="1">SUMIF(Table20[Ticker],Table20[[#This Row],[Ticker]],Table20[realized_profit])</f>
        <v>455</v>
      </c>
      <c r="AF486" s="30" t="str">
        <f>VLOOKUP(Table20[[#This Row],[Strategy]],Table29[#All],7,FALSE)</f>
        <v>Bearish</v>
      </c>
    </row>
    <row r="487" spans="1:32" hidden="1">
      <c r="A487" s="180">
        <v>45744</v>
      </c>
      <c r="B487" s="21" t="e" vm="127">
        <v>#VALUE!</v>
      </c>
      <c r="C487" s="109" t="str" cm="1">
        <f t="array" aca="1" ref="C487" ca="1">_FV(Table20[[#This Row],[Asset]],"Ticker symbol",TRUE)</f>
        <v>COST</v>
      </c>
      <c r="D487" s="26" cm="1">
        <f t="array" aca="1" ref="D487" ca="1">_FV(Table20[[#This Row],[Asset]],"Price")</f>
        <v>970.86</v>
      </c>
      <c r="E487" s="26">
        <v>950</v>
      </c>
      <c r="F487" s="33">
        <v>1</v>
      </c>
      <c r="G487" s="34">
        <v>1</v>
      </c>
      <c r="H487" s="34" t="s">
        <v>112</v>
      </c>
      <c r="I487" s="31">
        <v>45716</v>
      </c>
      <c r="J487" s="26">
        <v>8.48</v>
      </c>
      <c r="K487" s="24"/>
      <c r="L487" s="33">
        <f>VLOOKUP(Table20[[#This Row],[Strategy]],Table29[#All],6,FALSE)</f>
        <v>-1</v>
      </c>
      <c r="M487" s="23">
        <v>1</v>
      </c>
      <c r="N487" s="23">
        <v>32.270000000000003</v>
      </c>
      <c r="O487" s="23"/>
      <c r="P487" s="23"/>
      <c r="Q487">
        <f>Table20[[#This Row],[Exit1]]*Table20[[#This Row],[ex1_price]]</f>
        <v>32.270000000000003</v>
      </c>
      <c r="R487">
        <f>Table20[[#This Row],[Exit2]]*Table20[[#This Row],[ex2_price]]</f>
        <v>0</v>
      </c>
      <c r="S487">
        <f>IFERROR((Table20[[#This Row],[ex2_amnt]]+Table20[[#This Row],[ex1_amnt]])/(Table20[[#This Row],[Exit2]]+Table20[[#This Row],[Exit1]]),0)</f>
        <v>32.270000000000003</v>
      </c>
      <c r="T487" s="5">
        <f>(Table20[[#This Row],[Exit1]]+Table20[[#This Row],[Exit2]])*(Table20[[#This Row],[avg_exit_price]]-Table20[[#This Row],[AvePrice]])*100*Table20[[#This Row],[Buy or Sell]]</f>
        <v>2379.0000000000005</v>
      </c>
      <c r="U487" s="5">
        <f>Table20[[#This Row],[Number of options]]*Table20[[#This Row],[AvePrice]]*100*Table20[[#This Row],[Buy or Sell]]</f>
        <v>848</v>
      </c>
      <c r="V487" s="8">
        <f>Table20[[#This Row],[Number of options]]-Table20[[#This Row],[Exit1]]-Table20[[#This Row],[Exit2]]</f>
        <v>0</v>
      </c>
      <c r="W487" s="30">
        <f ca="1">(Table20[[#This Row],[Expiration Date]]-TODAY())/365</f>
        <v>-0.9945205479452055</v>
      </c>
      <c r="X487" s="30" t="e">
        <f ca="1">(LN(Table20[[#This Row],[Current Price]]/Table20[[#This Row],[strike_price]]) + ($B$2 + (Table20[[#This Row],[Vol]]^2)/2)*Table20[[#This Row],[Time to expiration]]) / (Table20[[#This Row],[Vol]] * SQRT(Table20[[#This Row],[Time to expiration]]))</f>
        <v>#NUM!</v>
      </c>
      <c r="Y487" s="30" t="e">
        <f ca="1">IF(Table20[[#This Row],[Direction]]&gt;0, _xlfn.NORM.S.DIST(Table20[[#This Row],[d1]], TRUE), _xlfn.NORM.S.DIST(Table20[[#This Row],[d1]], TRUE) - 1) * Table20[[#This Row],[Buy or Sell]]</f>
        <v>#NUM!</v>
      </c>
      <c r="Z487" s="9">
        <f ca="1">Table20[[#This Row],[Remaining]]*Table20[[#This Row],[Current Price]]*100</f>
        <v>0</v>
      </c>
      <c r="AA487" s="22">
        <f ca="1">IFERROR(Table20[[#This Row],[nominal_exposure]]*Table20[[#This Row],[Delta]],0)</f>
        <v>0</v>
      </c>
      <c r="AB487" s="30" t="b">
        <f>IF(Table20[[#This Row],[date_purchased]]&lt;&gt;Table20[[#This Row],[Expiration Date]],FALSE,TRUE)</f>
        <v>0</v>
      </c>
      <c r="AC487" s="30" t="str">
        <f>VLOOKUP(Table20[[#This Row],[Asset]],Table19[#All],3,FALSE)</f>
        <v>Consumer Staples</v>
      </c>
      <c r="AD487" s="30">
        <f>IF(Table20[[#This Row],[Remaining]]&lt;&gt;0,Table20[[#This Row],[Invested]]*Table20[[#This Row],[Remaining]]/Table20[[#This Row],[Number of options]],0)</f>
        <v>0</v>
      </c>
      <c r="AE487" s="30">
        <f ca="1">SUMIF(Table20[Ticker],Table20[[#This Row],[Ticker]],Table20[realized_profit])</f>
        <v>1200.0000000000005</v>
      </c>
      <c r="AF487" s="30" t="str">
        <f>VLOOKUP(Table20[[#This Row],[Strategy]],Table29[#All],7,FALSE)</f>
        <v>Bearish</v>
      </c>
    </row>
    <row r="488" spans="1:32" hidden="1">
      <c r="A488" s="180">
        <v>45744</v>
      </c>
      <c r="B488" s="21" t="e" vm="127">
        <v>#VALUE!</v>
      </c>
      <c r="C488" s="109" t="str" cm="1">
        <f t="array" aca="1" ref="C488" ca="1">_FV(Table20[[#This Row],[Asset]],"Ticker symbol",TRUE)</f>
        <v>COST</v>
      </c>
      <c r="D488" s="26" cm="1">
        <f t="array" aca="1" ref="D488" ca="1">_FV(Table20[[#This Row],[Asset]],"Price")</f>
        <v>970.86</v>
      </c>
      <c r="E488" s="26">
        <v>900</v>
      </c>
      <c r="F488" s="33">
        <v>1</v>
      </c>
      <c r="G488" s="34">
        <v>-1</v>
      </c>
      <c r="H488" s="34" t="s">
        <v>112</v>
      </c>
      <c r="I488" s="31">
        <v>45716</v>
      </c>
      <c r="J488" s="26">
        <v>3.3</v>
      </c>
      <c r="K488" s="24"/>
      <c r="L488" s="33">
        <f>VLOOKUP(Table20[[#This Row],[Strategy]],Table29[#All],6,FALSE)</f>
        <v>-1</v>
      </c>
      <c r="M488" s="23">
        <v>1</v>
      </c>
      <c r="N488" s="23">
        <v>12.27</v>
      </c>
      <c r="O488" s="23"/>
      <c r="P488" s="23"/>
      <c r="Q488">
        <f>Table20[[#This Row],[Exit1]]*Table20[[#This Row],[ex1_price]]</f>
        <v>12.27</v>
      </c>
      <c r="R488">
        <f>Table20[[#This Row],[Exit2]]*Table20[[#This Row],[ex2_price]]</f>
        <v>0</v>
      </c>
      <c r="S488">
        <f>IFERROR((Table20[[#This Row],[ex2_amnt]]+Table20[[#This Row],[ex1_amnt]])/(Table20[[#This Row],[Exit2]]+Table20[[#This Row],[Exit1]]),0)</f>
        <v>12.27</v>
      </c>
      <c r="T488" s="5">
        <f>(Table20[[#This Row],[Exit1]]+Table20[[#This Row],[Exit2]])*(Table20[[#This Row],[avg_exit_price]]-Table20[[#This Row],[AvePrice]])*100*Table20[[#This Row],[Buy or Sell]]</f>
        <v>-896.99999999999989</v>
      </c>
      <c r="U488" s="5">
        <f>Table20[[#This Row],[Number of options]]*Table20[[#This Row],[AvePrice]]*100*Table20[[#This Row],[Buy or Sell]]</f>
        <v>-330</v>
      </c>
      <c r="V488" s="8">
        <f>Table20[[#This Row],[Number of options]]-Table20[[#This Row],[Exit1]]-Table20[[#This Row],[Exit2]]</f>
        <v>0</v>
      </c>
      <c r="W488" s="30">
        <f ca="1">(Table20[[#This Row],[Expiration Date]]-TODAY())/365</f>
        <v>-0.9945205479452055</v>
      </c>
      <c r="X488" s="30" t="e">
        <f ca="1">(LN(Table20[[#This Row],[Current Price]]/Table20[[#This Row],[strike_price]]) + ($B$2 + (Table20[[#This Row],[Vol]]^2)/2)*Table20[[#This Row],[Time to expiration]]) / (Table20[[#This Row],[Vol]] * SQRT(Table20[[#This Row],[Time to expiration]]))</f>
        <v>#NUM!</v>
      </c>
      <c r="Y488" s="30" t="e">
        <f ca="1">IF(Table20[[#This Row],[Direction]]&gt;0, _xlfn.NORM.S.DIST(Table20[[#This Row],[d1]], TRUE), _xlfn.NORM.S.DIST(Table20[[#This Row],[d1]], TRUE) - 1) * Table20[[#This Row],[Buy or Sell]]</f>
        <v>#NUM!</v>
      </c>
      <c r="Z488" s="9">
        <f ca="1">Table20[[#This Row],[Remaining]]*Table20[[#This Row],[Current Price]]*100</f>
        <v>0</v>
      </c>
      <c r="AA488" s="22">
        <f ca="1">IFERROR(Table20[[#This Row],[nominal_exposure]]*Table20[[#This Row],[Delta]],0)</f>
        <v>0</v>
      </c>
      <c r="AB488" s="30" t="b">
        <f>IF(Table20[[#This Row],[date_purchased]]&lt;&gt;Table20[[#This Row],[Expiration Date]],FALSE,TRUE)</f>
        <v>0</v>
      </c>
      <c r="AC488" s="30" t="str">
        <f>VLOOKUP(Table20[[#This Row],[Asset]],Table19[#All],3,FALSE)</f>
        <v>Consumer Staples</v>
      </c>
      <c r="AD488" s="30">
        <f>IF(Table20[[#This Row],[Remaining]]&lt;&gt;0,Table20[[#This Row],[Invested]]*Table20[[#This Row],[Remaining]]/Table20[[#This Row],[Number of options]],0)</f>
        <v>0</v>
      </c>
      <c r="AE488" s="30">
        <f ca="1">SUMIF(Table20[Ticker],Table20[[#This Row],[Ticker]],Table20[realized_profit])</f>
        <v>1200.0000000000005</v>
      </c>
      <c r="AF488" s="30" t="str">
        <f>VLOOKUP(Table20[[#This Row],[Strategy]],Table29[#All],7,FALSE)</f>
        <v>Bearish</v>
      </c>
    </row>
    <row r="489" spans="1:32" hidden="1">
      <c r="A489" s="180">
        <v>45747</v>
      </c>
      <c r="B489" s="21" t="e" vm="106">
        <v>#VALUE!</v>
      </c>
      <c r="C489" s="109" t="str" cm="1">
        <f t="array" aca="1" ref="C489" ca="1">_FV(Table20[[#This Row],[Asset]],"Ticker symbol",TRUE)</f>
        <v>GLD</v>
      </c>
      <c r="D489" s="26" cm="1">
        <f t="array" aca="1" ref="D489" ca="1">_FV(Table20[[#This Row],[Asset]],"Price")</f>
        <v>419.54</v>
      </c>
      <c r="E489" s="26">
        <v>260</v>
      </c>
      <c r="F489" s="33">
        <v>1</v>
      </c>
      <c r="G489" s="34">
        <v>1</v>
      </c>
      <c r="H489" s="34" t="s">
        <v>65</v>
      </c>
      <c r="I489" s="31">
        <v>45715</v>
      </c>
      <c r="J489" s="26">
        <v>1.99</v>
      </c>
      <c r="K489" s="24"/>
      <c r="L489" s="33">
        <f>VLOOKUP(Table20[[#This Row],[Strategy]],Table29[#All],6,FALSE)</f>
        <v>-1</v>
      </c>
      <c r="M489" s="23">
        <v>1</v>
      </c>
      <c r="N489" s="23">
        <v>1.95</v>
      </c>
      <c r="O489" s="23"/>
      <c r="P489" s="23"/>
      <c r="Q489">
        <f>Table20[[#This Row],[Exit1]]*Table20[[#This Row],[ex1_price]]</f>
        <v>1.95</v>
      </c>
      <c r="R489">
        <f>Table20[[#This Row],[Exit2]]*Table20[[#This Row],[ex2_price]]</f>
        <v>0</v>
      </c>
      <c r="S489">
        <f>IFERROR((Table20[[#This Row],[ex2_amnt]]+Table20[[#This Row],[ex1_amnt]])/(Table20[[#This Row],[Exit2]]+Table20[[#This Row],[Exit1]]),0)</f>
        <v>1.95</v>
      </c>
      <c r="T489" s="5">
        <f>(Table20[[#This Row],[Exit1]]+Table20[[#This Row],[Exit2]])*(Table20[[#This Row],[avg_exit_price]]-Table20[[#This Row],[AvePrice]])*100*Table20[[#This Row],[Buy or Sell]]</f>
        <v>-4.0000000000000036</v>
      </c>
      <c r="U489" s="5">
        <f>Table20[[#This Row],[Number of options]]*Table20[[#This Row],[AvePrice]]*100*Table20[[#This Row],[Buy or Sell]]</f>
        <v>199</v>
      </c>
      <c r="V489" s="8">
        <f>Table20[[#This Row],[Number of options]]-Table20[[#This Row],[Exit1]]-Table20[[#This Row],[Exit2]]</f>
        <v>0</v>
      </c>
      <c r="W489" s="30">
        <f ca="1">(Table20[[#This Row],[Expiration Date]]-TODAY())/365</f>
        <v>-0.98630136986301364</v>
      </c>
      <c r="X489" s="30" t="e">
        <f ca="1">(LN(Table20[[#This Row],[Current Price]]/Table20[[#This Row],[strike_price]]) + ($B$2 + (Table20[[#This Row],[Vol]]^2)/2)*Table20[[#This Row],[Time to expiration]]) / (Table20[[#This Row],[Vol]] * SQRT(Table20[[#This Row],[Time to expiration]]))</f>
        <v>#NUM!</v>
      </c>
      <c r="Y489" s="30" t="e">
        <f ca="1">IF(Table20[[#This Row],[Direction]]&gt;0, _xlfn.NORM.S.DIST(Table20[[#This Row],[d1]], TRUE), _xlfn.NORM.S.DIST(Table20[[#This Row],[d1]], TRUE) - 1) * Table20[[#This Row],[Buy or Sell]]</f>
        <v>#NUM!</v>
      </c>
      <c r="Z489" s="9">
        <f ca="1">Table20[[#This Row],[Remaining]]*Table20[[#This Row],[Current Price]]*100</f>
        <v>0</v>
      </c>
      <c r="AA489" s="22">
        <f ca="1">IFERROR(Table20[[#This Row],[nominal_exposure]]*Table20[[#This Row],[Delta]],0)</f>
        <v>0</v>
      </c>
      <c r="AB489" s="30" t="b">
        <f>IF(Table20[[#This Row],[date_purchased]]&lt;&gt;Table20[[#This Row],[Expiration Date]],FALSE,TRUE)</f>
        <v>0</v>
      </c>
      <c r="AC489" s="30" t="str">
        <f>VLOOKUP(Table20[[#This Row],[Asset]],Table19[#All],3,FALSE)</f>
        <v>Gold and Silver</v>
      </c>
      <c r="AD489" s="30">
        <f>IF(Table20[[#This Row],[Remaining]]&lt;&gt;0,Table20[[#This Row],[Invested]]*Table20[[#This Row],[Remaining]]/Table20[[#This Row],[Number of options]],0)</f>
        <v>0</v>
      </c>
      <c r="AE489" s="30">
        <f ca="1">SUMIF(Table20[Ticker],Table20[[#This Row],[Ticker]],Table20[realized_profit])</f>
        <v>228</v>
      </c>
      <c r="AF489" s="30" t="str">
        <f>VLOOKUP(Table20[[#This Row],[Strategy]],Table29[#All],7,FALSE)</f>
        <v>Bearish</v>
      </c>
    </row>
    <row r="490" spans="1:32" hidden="1">
      <c r="A490" s="180">
        <v>45764</v>
      </c>
      <c r="B490" s="21" t="e" vm="169">
        <v>#VALUE!</v>
      </c>
      <c r="C490" s="109" t="str" cm="1">
        <f t="array" aca="1" ref="C490" ca="1">_FV(Table20[[#This Row],[Asset]],"Ticker symbol",TRUE)</f>
        <v>CVS</v>
      </c>
      <c r="D490" s="26" cm="1">
        <f t="array" aca="1" ref="D490" ca="1">_FV(Table20[[#This Row],[Asset]],"Price")</f>
        <v>72.055000000000007</v>
      </c>
      <c r="E490" s="26">
        <v>65</v>
      </c>
      <c r="F490" s="33">
        <v>1</v>
      </c>
      <c r="G490" s="34">
        <v>1</v>
      </c>
      <c r="H490" s="34" t="s">
        <v>65</v>
      </c>
      <c r="I490" s="31">
        <v>45733</v>
      </c>
      <c r="J490" s="26">
        <v>1.82</v>
      </c>
      <c r="K490" s="24">
        <v>0.3382</v>
      </c>
      <c r="L490" s="33">
        <f>VLOOKUP(Table20[[#This Row],[Strategy]],Table29[#All],6,FALSE)</f>
        <v>-1</v>
      </c>
      <c r="M490" s="23">
        <v>1</v>
      </c>
      <c r="N490" s="23">
        <v>1.26</v>
      </c>
      <c r="O490" s="23"/>
      <c r="P490" s="23"/>
      <c r="Q490">
        <f>Table20[[#This Row],[Exit1]]*Table20[[#This Row],[ex1_price]]</f>
        <v>1.26</v>
      </c>
      <c r="R490">
        <f>Table20[[#This Row],[Exit2]]*Table20[[#This Row],[ex2_price]]</f>
        <v>0</v>
      </c>
      <c r="S490">
        <f>IFERROR((Table20[[#This Row],[ex2_amnt]]+Table20[[#This Row],[ex1_amnt]])/(Table20[[#This Row],[Exit2]]+Table20[[#This Row],[Exit1]]),0)</f>
        <v>1.26</v>
      </c>
      <c r="T490" s="5">
        <f>(Table20[[#This Row],[Exit1]]+Table20[[#This Row],[Exit2]])*(Table20[[#This Row],[avg_exit_price]]-Table20[[#This Row],[AvePrice]])*100*Table20[[#This Row],[Buy or Sell]]</f>
        <v>-56.000000000000007</v>
      </c>
      <c r="U490" s="5">
        <f>Table20[[#This Row],[Number of options]]*Table20[[#This Row],[AvePrice]]*100*Table20[[#This Row],[Buy or Sell]]</f>
        <v>182</v>
      </c>
      <c r="V490" s="8">
        <f>Table20[[#This Row],[Number of options]]-Table20[[#This Row],[Exit1]]-Table20[[#This Row],[Exit2]]</f>
        <v>0</v>
      </c>
      <c r="W490" s="30">
        <f ca="1">(Table20[[#This Row],[Expiration Date]]-TODAY())/365</f>
        <v>-0.9397260273972603</v>
      </c>
      <c r="X490" s="30" t="e">
        <f ca="1">(LN(Table20[[#This Row],[Current Price]]/Table20[[#This Row],[strike_price]]) + ($B$2 + (Table20[[#This Row],[Vol]]^2)/2)*Table20[[#This Row],[Time to expiration]]) / (Table20[[#This Row],[Vol]] * SQRT(Table20[[#This Row],[Time to expiration]]))</f>
        <v>#NUM!</v>
      </c>
      <c r="Y490" s="30" t="e">
        <f ca="1">IF(Table20[[#This Row],[Direction]]&gt;0, _xlfn.NORM.S.DIST(Table20[[#This Row],[d1]], TRUE), _xlfn.NORM.S.DIST(Table20[[#This Row],[d1]], TRUE) - 1) * Table20[[#This Row],[Buy or Sell]]</f>
        <v>#NUM!</v>
      </c>
      <c r="Z490" s="9">
        <f ca="1">Table20[[#This Row],[Remaining]]*Table20[[#This Row],[Current Price]]*100</f>
        <v>0</v>
      </c>
      <c r="AA490" s="22">
        <f ca="1">IFERROR(Table20[[#This Row],[nominal_exposure]]*Table20[[#This Row],[Delta]],0)</f>
        <v>0</v>
      </c>
      <c r="AB490" s="30" t="b">
        <f>IF(Table20[[#This Row],[date_purchased]]&lt;&gt;Table20[[#This Row],[Expiration Date]],FALSE,TRUE)</f>
        <v>0</v>
      </c>
      <c r="AC490" s="30" t="str">
        <f>VLOOKUP(Table20[[#This Row],[Asset]],Table19[#All],3,FALSE)</f>
        <v>Health Care</v>
      </c>
      <c r="AD490" s="30">
        <f>IF(Table20[[#This Row],[Remaining]]&lt;&gt;0,Table20[[#This Row],[Invested]]*Table20[[#This Row],[Remaining]]/Table20[[#This Row],[Number of options]],0)</f>
        <v>0</v>
      </c>
      <c r="AE490" s="30">
        <f ca="1">SUMIF(Table20[Ticker],Table20[[#This Row],[Ticker]],Table20[realized_profit])</f>
        <v>-446.00000000000006</v>
      </c>
      <c r="AF490" s="30" t="str">
        <f>VLOOKUP(Table20[[#This Row],[Strategy]],Table29[#All],7,FALSE)</f>
        <v>Bearish</v>
      </c>
    </row>
    <row r="491" spans="1:32" hidden="1">
      <c r="A491" s="180">
        <v>45737</v>
      </c>
      <c r="B491" s="21" t="e" vm="159">
        <v>#VALUE!</v>
      </c>
      <c r="C491" s="109" t="str" cm="1">
        <f t="array" aca="1" ref="C491" ca="1">_FV(Table20[[#This Row],[Asset]],"Ticker symbol",TRUE)</f>
        <v>BABA</v>
      </c>
      <c r="D491" s="26" cm="1">
        <f t="array" aca="1" ref="D491" ca="1">_FV(Table20[[#This Row],[Asset]],"Price")</f>
        <v>129.63999999999999</v>
      </c>
      <c r="E491" s="26">
        <v>120</v>
      </c>
      <c r="F491" s="33">
        <v>8</v>
      </c>
      <c r="G491" s="34">
        <v>1</v>
      </c>
      <c r="H491" s="34" t="s">
        <v>65</v>
      </c>
      <c r="I491" s="31">
        <v>45715</v>
      </c>
      <c r="J491" s="26">
        <v>1.1299999999999999</v>
      </c>
      <c r="K491" s="24"/>
      <c r="L491" s="33">
        <f>VLOOKUP(Table20[[#This Row],[Strategy]],Table29[#All],6,FALSE)</f>
        <v>-1</v>
      </c>
      <c r="M491" s="23">
        <v>8</v>
      </c>
      <c r="N491" s="23">
        <v>0.68</v>
      </c>
      <c r="O491" s="23"/>
      <c r="P491" s="23"/>
      <c r="Q491">
        <f>Table20[[#This Row],[Exit1]]*Table20[[#This Row],[ex1_price]]</f>
        <v>5.44</v>
      </c>
      <c r="R491">
        <f>Table20[[#This Row],[Exit2]]*Table20[[#This Row],[ex2_price]]</f>
        <v>0</v>
      </c>
      <c r="S491">
        <f>IFERROR((Table20[[#This Row],[ex2_amnt]]+Table20[[#This Row],[ex1_amnt]])/(Table20[[#This Row],[Exit2]]+Table20[[#This Row],[Exit1]]),0)</f>
        <v>0.68</v>
      </c>
      <c r="T491" s="5">
        <f>(Table20[[#This Row],[Exit1]]+Table20[[#This Row],[Exit2]])*(Table20[[#This Row],[avg_exit_price]]-Table20[[#This Row],[AvePrice]])*100*Table20[[#This Row],[Buy or Sell]]</f>
        <v>-359.99999999999989</v>
      </c>
      <c r="U491" s="5">
        <f>Table20[[#This Row],[Number of options]]*Table20[[#This Row],[AvePrice]]*100*Table20[[#This Row],[Buy or Sell]]</f>
        <v>903.99999999999989</v>
      </c>
      <c r="V491" s="8">
        <f>Table20[[#This Row],[Number of options]]-Table20[[#This Row],[Exit1]]-Table20[[#This Row],[Exit2]]</f>
        <v>0</v>
      </c>
      <c r="W491" s="30">
        <f ca="1">(Table20[[#This Row],[Expiration Date]]-TODAY())/365</f>
        <v>-1.0136986301369864</v>
      </c>
      <c r="X491" s="30" t="e">
        <f ca="1">(LN(Table20[[#This Row],[Current Price]]/Table20[[#This Row],[strike_price]]) + ($B$2 + (Table20[[#This Row],[Vol]]^2)/2)*Table20[[#This Row],[Time to expiration]]) / (Table20[[#This Row],[Vol]] * SQRT(Table20[[#This Row],[Time to expiration]]))</f>
        <v>#NUM!</v>
      </c>
      <c r="Y491" s="30" t="e">
        <f ca="1">IF(Table20[[#This Row],[Direction]]&gt;0, _xlfn.NORM.S.DIST(Table20[[#This Row],[d1]], TRUE), _xlfn.NORM.S.DIST(Table20[[#This Row],[d1]], TRUE) - 1) * Table20[[#This Row],[Buy or Sell]]</f>
        <v>#NUM!</v>
      </c>
      <c r="Z491" s="9">
        <f ca="1">Table20[[#This Row],[Remaining]]*Table20[[#This Row],[Current Price]]*100</f>
        <v>0</v>
      </c>
      <c r="AA491" s="22">
        <f ca="1">IFERROR(Table20[[#This Row],[nominal_exposure]]*Table20[[#This Row],[Delta]],0)</f>
        <v>0</v>
      </c>
      <c r="AB491" s="30" t="b">
        <f>IF(Table20[[#This Row],[date_purchased]]&lt;&gt;Table20[[#This Row],[Expiration Date]],FALSE,TRUE)</f>
        <v>0</v>
      </c>
      <c r="AC491" s="30" t="str">
        <f>VLOOKUP(Table20[[#This Row],[Asset]],Table19[#All],3,FALSE)</f>
        <v>China</v>
      </c>
      <c r="AD491" s="30">
        <f>IF(Table20[[#This Row],[Remaining]]&lt;&gt;0,Table20[[#This Row],[Invested]]*Table20[[#This Row],[Remaining]]/Table20[[#This Row],[Number of options]],0)</f>
        <v>0</v>
      </c>
      <c r="AE491" s="30">
        <f ca="1">SUMIF(Table20[Ticker],Table20[[#This Row],[Ticker]],Table20[realized_profit])</f>
        <v>5855</v>
      </c>
      <c r="AF491" s="30" t="str">
        <f>VLOOKUP(Table20[[#This Row],[Strategy]],Table29[#All],7,FALSE)</f>
        <v>Bearish</v>
      </c>
    </row>
    <row r="492" spans="1:32" hidden="1">
      <c r="A492" s="180">
        <v>45777</v>
      </c>
      <c r="B492" s="21" t="e" vm="96">
        <v>#VALUE!</v>
      </c>
      <c r="C492" s="109" t="str" cm="1">
        <f t="array" aca="1" ref="C492" ca="1">_FV(Table20[[#This Row],[Asset]],"Ticker symbol",TRUE)</f>
        <v>SPY</v>
      </c>
      <c r="D492" s="26" cm="1">
        <f t="array" aca="1" ref="D492" ca="1">_FV(Table20[[#This Row],[Asset]],"Price")</f>
        <v>658.59</v>
      </c>
      <c r="E492" s="26">
        <v>550</v>
      </c>
      <c r="F492" s="33">
        <v>1</v>
      </c>
      <c r="G492" s="34">
        <v>1</v>
      </c>
      <c r="H492" s="34" t="s">
        <v>65</v>
      </c>
      <c r="I492" s="31">
        <v>45709</v>
      </c>
      <c r="J492" s="26">
        <v>3.57</v>
      </c>
      <c r="K492" s="24"/>
      <c r="L492" s="33">
        <f>VLOOKUP(Table20[[#This Row],[Strategy]],Table29[#All],6,FALSE)</f>
        <v>-1</v>
      </c>
      <c r="M492" s="23">
        <v>1</v>
      </c>
      <c r="N492" s="23">
        <v>9.14</v>
      </c>
      <c r="O492" s="23"/>
      <c r="P492" s="23"/>
      <c r="Q492">
        <f>Table20[[#This Row],[Exit1]]*Table20[[#This Row],[ex1_price]]</f>
        <v>9.14</v>
      </c>
      <c r="R492">
        <f>Table20[[#This Row],[Exit2]]*Table20[[#This Row],[ex2_price]]</f>
        <v>0</v>
      </c>
      <c r="S492">
        <f>IFERROR((Table20[[#This Row],[ex2_amnt]]+Table20[[#This Row],[ex1_amnt]])/(Table20[[#This Row],[Exit2]]+Table20[[#This Row],[Exit1]]),0)</f>
        <v>9.14</v>
      </c>
      <c r="T492" s="5">
        <f>(Table20[[#This Row],[Exit1]]+Table20[[#This Row],[Exit2]])*(Table20[[#This Row],[avg_exit_price]]-Table20[[#This Row],[AvePrice]])*100*Table20[[#This Row],[Buy or Sell]]</f>
        <v>557</v>
      </c>
      <c r="U492" s="5">
        <f>Table20[[#This Row],[Number of options]]*Table20[[#This Row],[AvePrice]]*100*Table20[[#This Row],[Buy or Sell]]</f>
        <v>357</v>
      </c>
      <c r="V492" s="8">
        <f>Table20[[#This Row],[Number of options]]-Table20[[#This Row],[Exit1]]-Table20[[#This Row],[Exit2]]</f>
        <v>0</v>
      </c>
      <c r="W492" s="30">
        <f ca="1">(Table20[[#This Row],[Expiration Date]]-TODAY())/365</f>
        <v>-0.90410958904109584</v>
      </c>
      <c r="X492" s="30" t="e">
        <f ca="1">(LN(Table20[[#This Row],[Current Price]]/Table20[[#This Row],[strike_price]]) + ($B$2 + (Table20[[#This Row],[Vol]]^2)/2)*Table20[[#This Row],[Time to expiration]]) / (Table20[[#This Row],[Vol]] * SQRT(Table20[[#This Row],[Time to expiration]]))</f>
        <v>#NUM!</v>
      </c>
      <c r="Y492" s="30" t="e">
        <f ca="1">IF(Table20[[#This Row],[Direction]]&gt;0, _xlfn.NORM.S.DIST(Table20[[#This Row],[d1]], TRUE), _xlfn.NORM.S.DIST(Table20[[#This Row],[d1]], TRUE) - 1) * Table20[[#This Row],[Buy or Sell]]</f>
        <v>#NUM!</v>
      </c>
      <c r="Z492" s="9">
        <f ca="1">Table20[[#This Row],[Remaining]]*Table20[[#This Row],[Current Price]]*100</f>
        <v>0</v>
      </c>
      <c r="AA492" s="22">
        <f ca="1">IFERROR(Table20[[#This Row],[nominal_exposure]]*Table20[[#This Row],[Delta]],0)</f>
        <v>0</v>
      </c>
      <c r="AB492" s="30" t="b">
        <f>IF(Table20[[#This Row],[date_purchased]]&lt;&gt;Table20[[#This Row],[Expiration Date]],FALSE,TRUE)</f>
        <v>0</v>
      </c>
      <c r="AC492" s="30" t="str">
        <f>VLOOKUP(Table20[[#This Row],[Asset]],Table19[#All],3,FALSE)</f>
        <v>Market</v>
      </c>
      <c r="AD492" s="30">
        <f>IF(Table20[[#This Row],[Remaining]]&lt;&gt;0,Table20[[#This Row],[Invested]]*Table20[[#This Row],[Remaining]]/Table20[[#This Row],[Number of options]],0)</f>
        <v>0</v>
      </c>
      <c r="AE492" s="30">
        <f ca="1">SUMIF(Table20[Ticker],Table20[[#This Row],[Ticker]],Table20[realized_profit])</f>
        <v>-5077</v>
      </c>
      <c r="AF492" s="30" t="str">
        <f>VLOOKUP(Table20[[#This Row],[Strategy]],Table29[#All],7,FALSE)</f>
        <v>Bearish</v>
      </c>
    </row>
    <row r="493" spans="1:32" hidden="1">
      <c r="A493" s="180">
        <v>45751</v>
      </c>
      <c r="B493" s="21" t="e" vm="553">
        <v>#VALUE!</v>
      </c>
      <c r="C493" s="109" t="str" cm="1">
        <f t="array" aca="1" ref="C493" ca="1">_FV(Table20[[#This Row],[Asset]],"Ticker symbol",TRUE)</f>
        <v>DASH</v>
      </c>
      <c r="D493" s="26" cm="1">
        <f t="array" aca="1" ref="D493" ca="1">_FV(Table20[[#This Row],[Asset]],"Price")</f>
        <v>154.72</v>
      </c>
      <c r="E493" s="26">
        <v>160</v>
      </c>
      <c r="F493" s="33">
        <v>1</v>
      </c>
      <c r="G493" s="34">
        <v>1</v>
      </c>
      <c r="H493" s="34" t="s">
        <v>65</v>
      </c>
      <c r="I493" s="31">
        <v>45747</v>
      </c>
      <c r="J493" s="26">
        <v>0.67</v>
      </c>
      <c r="K493" s="24">
        <v>0.72</v>
      </c>
      <c r="L493" s="33">
        <f>VLOOKUP(Table20[[#This Row],[Strategy]],Table29[#All],6,FALSE)</f>
        <v>-1</v>
      </c>
      <c r="M493" s="23">
        <v>1</v>
      </c>
      <c r="N493" s="23">
        <v>0</v>
      </c>
      <c r="O493" s="23"/>
      <c r="P493" s="23"/>
      <c r="Q493">
        <f>Table20[[#This Row],[Exit1]]*Table20[[#This Row],[ex1_price]]</f>
        <v>0</v>
      </c>
      <c r="R493">
        <f>Table20[[#This Row],[Exit2]]*Table20[[#This Row],[ex2_price]]</f>
        <v>0</v>
      </c>
      <c r="S493">
        <f>IFERROR((Table20[[#This Row],[ex2_amnt]]+Table20[[#This Row],[ex1_amnt]])/(Table20[[#This Row],[Exit2]]+Table20[[#This Row],[Exit1]]),0)</f>
        <v>0</v>
      </c>
      <c r="T493" s="5">
        <f>(Table20[[#This Row],[Exit1]]+Table20[[#This Row],[Exit2]])*(Table20[[#This Row],[avg_exit_price]]-Table20[[#This Row],[AvePrice]])*100*Table20[[#This Row],[Buy or Sell]]</f>
        <v>-67</v>
      </c>
      <c r="U493" s="5">
        <f>Table20[[#This Row],[Number of options]]*Table20[[#This Row],[AvePrice]]*100*Table20[[#This Row],[Buy or Sell]]</f>
        <v>67</v>
      </c>
      <c r="V493" s="8">
        <f>Table20[[#This Row],[Number of options]]-Table20[[#This Row],[Exit1]]-Table20[[#This Row],[Exit2]]</f>
        <v>0</v>
      </c>
      <c r="W493" s="30">
        <f ca="1">(Table20[[#This Row],[Expiration Date]]-TODAY())/365</f>
        <v>-0.97534246575342465</v>
      </c>
      <c r="X493" s="30" t="e">
        <f ca="1">(LN(Table20[[#This Row],[Current Price]]/Table20[[#This Row],[strike_price]]) + ($B$2 + (Table20[[#This Row],[Vol]]^2)/2)*Table20[[#This Row],[Time to expiration]]) / (Table20[[#This Row],[Vol]] * SQRT(Table20[[#This Row],[Time to expiration]]))</f>
        <v>#NUM!</v>
      </c>
      <c r="Y493" s="30" t="e">
        <f ca="1">IF(Table20[[#This Row],[Direction]]&gt;0, _xlfn.NORM.S.DIST(Table20[[#This Row],[d1]], TRUE), _xlfn.NORM.S.DIST(Table20[[#This Row],[d1]], TRUE) - 1) * Table20[[#This Row],[Buy or Sell]]</f>
        <v>#NUM!</v>
      </c>
      <c r="Z493" s="9">
        <f ca="1">Table20[[#This Row],[Remaining]]*Table20[[#This Row],[Current Price]]*100</f>
        <v>0</v>
      </c>
      <c r="AA493" s="22">
        <f ca="1">IFERROR(Table20[[#This Row],[nominal_exposure]]*Table20[[#This Row],[Delta]],0)</f>
        <v>0</v>
      </c>
      <c r="AB493" s="30" t="b">
        <f>IF(Table20[[#This Row],[date_purchased]]&lt;&gt;Table20[[#This Row],[Expiration Date]],FALSE,TRUE)</f>
        <v>0</v>
      </c>
      <c r="AC493" s="30" t="str">
        <f>VLOOKUP(Table20[[#This Row],[Asset]],Table19[#All],3,FALSE)</f>
        <v>Consumer Discretionary</v>
      </c>
      <c r="AD493" s="30">
        <f>IF(Table20[[#This Row],[Remaining]]&lt;&gt;0,Table20[[#This Row],[Invested]]*Table20[[#This Row],[Remaining]]/Table20[[#This Row],[Number of options]],0)</f>
        <v>0</v>
      </c>
      <c r="AE493" s="30">
        <f ca="1">SUMIF(Table20[Ticker],Table20[[#This Row],[Ticker]],Table20[realized_profit])</f>
        <v>-67</v>
      </c>
      <c r="AF493" s="30" t="str">
        <f>VLOOKUP(Table20[[#This Row],[Strategy]],Table29[#All],7,FALSE)</f>
        <v>Bearish</v>
      </c>
    </row>
    <row r="494" spans="1:32" hidden="1">
      <c r="A494" s="180">
        <v>45751</v>
      </c>
      <c r="B494" s="21" t="e" vm="547">
        <v>#VALUE!</v>
      </c>
      <c r="C494" s="109" t="str" cm="1">
        <f t="array" aca="1" ref="C494" ca="1">_FV(Table20[[#This Row],[Asset]],"Ticker symbol",TRUE)</f>
        <v>HD</v>
      </c>
      <c r="D494" s="26" cm="1">
        <f t="array" aca="1" ref="D494" ca="1">_FV(Table20[[#This Row],[Asset]],"Price")</f>
        <v>330.05</v>
      </c>
      <c r="E494" s="26">
        <v>350</v>
      </c>
      <c r="F494" s="33">
        <v>1</v>
      </c>
      <c r="G494" s="34">
        <v>1</v>
      </c>
      <c r="H494" s="34" t="s">
        <v>65</v>
      </c>
      <c r="I494" s="31">
        <v>45751</v>
      </c>
      <c r="J494" s="26">
        <v>1.1399999999999999</v>
      </c>
      <c r="K494" s="24">
        <v>0.82</v>
      </c>
      <c r="L494" s="33">
        <f>VLOOKUP(Table20[[#This Row],[Strategy]],Table29[#All],6,FALSE)</f>
        <v>-1</v>
      </c>
      <c r="M494" s="23">
        <v>1</v>
      </c>
      <c r="N494" s="23">
        <v>0</v>
      </c>
      <c r="O494" s="23"/>
      <c r="P494" s="23"/>
      <c r="Q494">
        <f>Table20[[#This Row],[Exit1]]*Table20[[#This Row],[ex1_price]]</f>
        <v>0</v>
      </c>
      <c r="R494">
        <f>Table20[[#This Row],[Exit2]]*Table20[[#This Row],[ex2_price]]</f>
        <v>0</v>
      </c>
      <c r="S494">
        <f>IFERROR((Table20[[#This Row],[ex2_amnt]]+Table20[[#This Row],[ex1_amnt]])/(Table20[[#This Row],[Exit2]]+Table20[[#This Row],[Exit1]]),0)</f>
        <v>0</v>
      </c>
      <c r="T494" s="5">
        <f>(Table20[[#This Row],[Exit1]]+Table20[[#This Row],[Exit2]])*(Table20[[#This Row],[avg_exit_price]]-Table20[[#This Row],[AvePrice]])*100*Table20[[#This Row],[Buy or Sell]]</f>
        <v>-113.99999999999999</v>
      </c>
      <c r="U494" s="5">
        <f>Table20[[#This Row],[Number of options]]*Table20[[#This Row],[AvePrice]]*100*Table20[[#This Row],[Buy or Sell]]</f>
        <v>113.99999999999999</v>
      </c>
      <c r="V494" s="8">
        <f>Table20[[#This Row],[Number of options]]-Table20[[#This Row],[Exit1]]-Table20[[#This Row],[Exit2]]</f>
        <v>0</v>
      </c>
      <c r="W494" s="30">
        <f ca="1">(Table20[[#This Row],[Expiration Date]]-TODAY())/365</f>
        <v>-0.97534246575342465</v>
      </c>
      <c r="X494" s="30" t="e">
        <f ca="1">(LN(Table20[[#This Row],[Current Price]]/Table20[[#This Row],[strike_price]]) + ($B$2 + (Table20[[#This Row],[Vol]]^2)/2)*Table20[[#This Row],[Time to expiration]]) / (Table20[[#This Row],[Vol]] * SQRT(Table20[[#This Row],[Time to expiration]]))</f>
        <v>#NUM!</v>
      </c>
      <c r="Y494" s="30" t="e">
        <f ca="1">IF(Table20[[#This Row],[Direction]]&gt;0, _xlfn.NORM.S.DIST(Table20[[#This Row],[d1]], TRUE), _xlfn.NORM.S.DIST(Table20[[#This Row],[d1]], TRUE) - 1) * Table20[[#This Row],[Buy or Sell]]</f>
        <v>#NUM!</v>
      </c>
      <c r="Z494" s="9">
        <f ca="1">Table20[[#This Row],[Remaining]]*Table20[[#This Row],[Current Price]]*100</f>
        <v>0</v>
      </c>
      <c r="AA494" s="22">
        <f ca="1">IFERROR(Table20[[#This Row],[nominal_exposure]]*Table20[[#This Row],[Delta]],0)</f>
        <v>0</v>
      </c>
      <c r="AB494" s="30" t="b">
        <f>IF(Table20[[#This Row],[date_purchased]]&lt;&gt;Table20[[#This Row],[Expiration Date]],FALSE,TRUE)</f>
        <v>1</v>
      </c>
      <c r="AC494" s="30" t="str">
        <f>VLOOKUP(Table20[[#This Row],[Asset]],Table19[#All],3,FALSE)</f>
        <v>Real estate</v>
      </c>
      <c r="AD494" s="30">
        <f>IF(Table20[[#This Row],[Remaining]]&lt;&gt;0,Table20[[#This Row],[Invested]]*Table20[[#This Row],[Remaining]]/Table20[[#This Row],[Number of options]],0)</f>
        <v>0</v>
      </c>
      <c r="AE494" s="30">
        <f ca="1">SUMIF(Table20[Ticker],Table20[[#This Row],[Ticker]],Table20[realized_profit])</f>
        <v>1151</v>
      </c>
      <c r="AF494" s="30" t="str">
        <f>VLOOKUP(Table20[[#This Row],[Strategy]],Table29[#All],7,FALSE)</f>
        <v>Bearish</v>
      </c>
    </row>
    <row r="495" spans="1:32" hidden="1">
      <c r="A495" s="180">
        <v>45828</v>
      </c>
      <c r="B495" s="21" t="e" vm="159">
        <v>#VALUE!</v>
      </c>
      <c r="C495" s="109" t="str" cm="1">
        <f t="array" aca="1" ref="C495" ca="1">_FV(Table20[[#This Row],[Asset]],"Ticker symbol",TRUE)</f>
        <v>BABA</v>
      </c>
      <c r="D495" s="26" cm="1">
        <f t="array" aca="1" ref="D495" ca="1">_FV(Table20[[#This Row],[Asset]],"Price")</f>
        <v>129.63999999999999</v>
      </c>
      <c r="E495" s="26">
        <v>100</v>
      </c>
      <c r="F495" s="33">
        <v>5</v>
      </c>
      <c r="G495" s="34">
        <v>1</v>
      </c>
      <c r="H495" s="34" t="s">
        <v>65</v>
      </c>
      <c r="I495" s="31">
        <v>45726</v>
      </c>
      <c r="J495" s="26">
        <v>1.95</v>
      </c>
      <c r="K495" s="24">
        <v>0.49209999999999998</v>
      </c>
      <c r="L495" s="33">
        <f>VLOOKUP(Table20[[#This Row],[Strategy]],Table29[#All],6,FALSE)</f>
        <v>-1</v>
      </c>
      <c r="M495" s="23">
        <v>5</v>
      </c>
      <c r="N495" s="23">
        <v>0.9</v>
      </c>
      <c r="O495" s="23"/>
      <c r="P495" s="23"/>
      <c r="Q495">
        <f>Table20[[#This Row],[Exit1]]*Table20[[#This Row],[ex1_price]]</f>
        <v>4.5</v>
      </c>
      <c r="R495">
        <f>Table20[[#This Row],[Exit2]]*Table20[[#This Row],[ex2_price]]</f>
        <v>0</v>
      </c>
      <c r="S495">
        <f>IFERROR((Table20[[#This Row],[ex2_amnt]]+Table20[[#This Row],[ex1_amnt]])/(Table20[[#This Row],[Exit2]]+Table20[[#This Row],[Exit1]]),0)</f>
        <v>0.9</v>
      </c>
      <c r="T495" s="5">
        <f>(Table20[[#This Row],[Exit1]]+Table20[[#This Row],[Exit2]])*(Table20[[#This Row],[avg_exit_price]]-Table20[[#This Row],[AvePrice]])*100*Table20[[#This Row],[Buy or Sell]]</f>
        <v>-524.99999999999989</v>
      </c>
      <c r="U495" s="5">
        <f>Table20[[#This Row],[Number of options]]*Table20[[#This Row],[AvePrice]]*100*Table20[[#This Row],[Buy or Sell]]</f>
        <v>975</v>
      </c>
      <c r="V495" s="8">
        <f>Table20[[#This Row],[Number of options]]-Table20[[#This Row],[Exit1]]-Table20[[#This Row],[Exit2]]</f>
        <v>0</v>
      </c>
      <c r="W495" s="30">
        <f ca="1">(Table20[[#This Row],[Expiration Date]]-TODAY())/365</f>
        <v>-0.76438356164383559</v>
      </c>
      <c r="X495" s="30" t="e">
        <f ca="1">(LN(Table20[[#This Row],[Current Price]]/Table20[[#This Row],[strike_price]]) + ($B$2 + (Table20[[#This Row],[Vol]]^2)/2)*Table20[[#This Row],[Time to expiration]]) / (Table20[[#This Row],[Vol]] * SQRT(Table20[[#This Row],[Time to expiration]]))</f>
        <v>#NUM!</v>
      </c>
      <c r="Y495" s="30" t="e">
        <f ca="1">IF(Table20[[#This Row],[Direction]]&gt;0, _xlfn.NORM.S.DIST(Table20[[#This Row],[d1]], TRUE), _xlfn.NORM.S.DIST(Table20[[#This Row],[d1]], TRUE) - 1) * Table20[[#This Row],[Buy or Sell]]</f>
        <v>#NUM!</v>
      </c>
      <c r="Z495" s="9">
        <f ca="1">Table20[[#This Row],[Remaining]]*Table20[[#This Row],[Current Price]]*100</f>
        <v>0</v>
      </c>
      <c r="AA495" s="22">
        <f ca="1">IFERROR(Table20[[#This Row],[nominal_exposure]]*Table20[[#This Row],[Delta]],0)</f>
        <v>0</v>
      </c>
      <c r="AB495" s="30" t="b">
        <f>IF(Table20[[#This Row],[date_purchased]]&lt;&gt;Table20[[#This Row],[Expiration Date]],FALSE,TRUE)</f>
        <v>0</v>
      </c>
      <c r="AC495" s="30" t="str">
        <f>VLOOKUP(Table20[[#This Row],[Asset]],Table19[#All],3,FALSE)</f>
        <v>China</v>
      </c>
      <c r="AD495" s="30">
        <f>IF(Table20[[#This Row],[Remaining]]&lt;&gt;0,Table20[[#This Row],[Invested]]*Table20[[#This Row],[Remaining]]/Table20[[#This Row],[Number of options]],0)</f>
        <v>0</v>
      </c>
      <c r="AE495" s="30">
        <f ca="1">SUMIF(Table20[Ticker],Table20[[#This Row],[Ticker]],Table20[realized_profit])</f>
        <v>5855</v>
      </c>
      <c r="AF495" s="30" t="str">
        <f>VLOOKUP(Table20[[#This Row],[Strategy]],Table29[#All],7,FALSE)</f>
        <v>Bearish</v>
      </c>
    </row>
    <row r="496" spans="1:32" hidden="1">
      <c r="A496" s="180">
        <v>45764</v>
      </c>
      <c r="B496" s="21" t="e" vm="34">
        <v>#VALUE!</v>
      </c>
      <c r="C496" s="109" t="str" cm="1">
        <f t="array" aca="1" ref="C496" ca="1">_FV(Table20[[#This Row],[Asset]],"Ticker symbol",TRUE)</f>
        <v>TSM</v>
      </c>
      <c r="D496" s="26" cm="1">
        <f t="array" aca="1" ref="D496" ca="1">_FV(Table20[[#This Row],[Asset]],"Price")</f>
        <v>348.52499999999998</v>
      </c>
      <c r="E496" s="26">
        <v>155</v>
      </c>
      <c r="F496" s="33">
        <v>2</v>
      </c>
      <c r="G496" s="34">
        <v>1</v>
      </c>
      <c r="H496" s="34" t="s">
        <v>65</v>
      </c>
      <c r="I496" s="31">
        <v>45764</v>
      </c>
      <c r="J496" s="26">
        <v>1.3</v>
      </c>
      <c r="K496" s="24"/>
      <c r="L496" s="33">
        <f>VLOOKUP(Table20[[#This Row],[Strategy]],Table29[#All],6,FALSE)</f>
        <v>-1</v>
      </c>
      <c r="M496" s="23">
        <v>1</v>
      </c>
      <c r="N496" s="23">
        <v>2.81</v>
      </c>
      <c r="O496" s="23">
        <v>1</v>
      </c>
      <c r="P496" s="23">
        <v>2.6</v>
      </c>
      <c r="Q496">
        <f>Table20[[#This Row],[Exit1]]*Table20[[#This Row],[ex1_price]]</f>
        <v>2.81</v>
      </c>
      <c r="R496">
        <f>Table20[[#This Row],[Exit2]]*Table20[[#This Row],[ex2_price]]</f>
        <v>2.6</v>
      </c>
      <c r="S496">
        <f>IFERROR((Table20[[#This Row],[ex2_amnt]]+Table20[[#This Row],[ex1_amnt]])/(Table20[[#This Row],[Exit2]]+Table20[[#This Row],[Exit1]]),0)</f>
        <v>2.7050000000000001</v>
      </c>
      <c r="T496" s="5">
        <f>(Table20[[#This Row],[Exit1]]+Table20[[#This Row],[Exit2]])*(Table20[[#This Row],[avg_exit_price]]-Table20[[#This Row],[AvePrice]])*100*Table20[[#This Row],[Buy or Sell]]</f>
        <v>281</v>
      </c>
      <c r="U496" s="5">
        <f>Table20[[#This Row],[Number of options]]*Table20[[#This Row],[AvePrice]]*100*Table20[[#This Row],[Buy or Sell]]</f>
        <v>260</v>
      </c>
      <c r="V496" s="8">
        <f>Table20[[#This Row],[Number of options]]-Table20[[#This Row],[Exit1]]-Table20[[#This Row],[Exit2]]</f>
        <v>0</v>
      </c>
      <c r="W496" s="30">
        <f ca="1">(Table20[[#This Row],[Expiration Date]]-TODAY())/365</f>
        <v>-0.9397260273972603</v>
      </c>
      <c r="X496" s="30" t="e">
        <f ca="1">(LN(Table20[[#This Row],[Current Price]]/Table20[[#This Row],[strike_price]]) + ($B$2 + (Table20[[#This Row],[Vol]]^2)/2)*Table20[[#This Row],[Time to expiration]]) / (Table20[[#This Row],[Vol]] * SQRT(Table20[[#This Row],[Time to expiration]]))</f>
        <v>#NUM!</v>
      </c>
      <c r="Y496" s="30" t="e">
        <f ca="1">IF(Table20[[#This Row],[Direction]]&gt;0, _xlfn.NORM.S.DIST(Table20[[#This Row],[d1]], TRUE), _xlfn.NORM.S.DIST(Table20[[#This Row],[d1]], TRUE) - 1) * Table20[[#This Row],[Buy or Sell]]</f>
        <v>#NUM!</v>
      </c>
      <c r="Z496" s="9">
        <f ca="1">Table20[[#This Row],[Remaining]]*Table20[[#This Row],[Current Price]]*100</f>
        <v>0</v>
      </c>
      <c r="AA496" s="22">
        <f ca="1">IFERROR(Table20[[#This Row],[nominal_exposure]]*Table20[[#This Row],[Delta]],0)</f>
        <v>0</v>
      </c>
      <c r="AB496" s="30" t="b">
        <f>IF(Table20[[#This Row],[date_purchased]]&lt;&gt;Table20[[#This Row],[Expiration Date]],FALSE,TRUE)</f>
        <v>1</v>
      </c>
      <c r="AC496" s="30" t="str">
        <f>VLOOKUP(Table20[[#This Row],[Asset]],Table19[#All],3,FALSE)</f>
        <v>AI</v>
      </c>
      <c r="AD496" s="30">
        <f>IF(Table20[[#This Row],[Remaining]]&lt;&gt;0,Table20[[#This Row],[Invested]]*Table20[[#This Row],[Remaining]]/Table20[[#This Row],[Number of options]],0)</f>
        <v>0</v>
      </c>
      <c r="AE496" s="30">
        <f ca="1">SUMIF(Table20[Ticker],Table20[[#This Row],[Ticker]],Table20[realized_profit])</f>
        <v>-444.99999999999977</v>
      </c>
      <c r="AF496" s="30" t="str">
        <f>VLOOKUP(Table20[[#This Row],[Strategy]],Table29[#All],7,FALSE)</f>
        <v>Bearish</v>
      </c>
    </row>
    <row r="497" spans="1:32" hidden="1">
      <c r="A497" s="180">
        <v>45772</v>
      </c>
      <c r="B497" s="21" t="e" vm="425">
        <v>#VALUE!</v>
      </c>
      <c r="C497" s="109" t="str" cm="1">
        <f t="array" aca="1" ref="C497" ca="1">_FV(Table20[[#This Row],[Asset]],"Ticker symbol",TRUE)</f>
        <v>SBUX</v>
      </c>
      <c r="D497" s="26" cm="1">
        <f t="array" aca="1" ref="D497" ca="1">_FV(Table20[[#This Row],[Asset]],"Price")</f>
        <v>92.6</v>
      </c>
      <c r="E497" s="26">
        <v>95</v>
      </c>
      <c r="F497" s="33">
        <v>2</v>
      </c>
      <c r="G497" s="34">
        <v>1</v>
      </c>
      <c r="H497" s="34" t="s">
        <v>65</v>
      </c>
      <c r="I497" s="31">
        <v>45737</v>
      </c>
      <c r="J497" s="26">
        <v>2.1800000000000002</v>
      </c>
      <c r="K497" s="24">
        <v>0.26729999999999998</v>
      </c>
      <c r="L497" s="33">
        <f>VLOOKUP(Table20[[#This Row],[Strategy]],Table29[#All],6,FALSE)</f>
        <v>-1</v>
      </c>
      <c r="M497" s="23">
        <v>1</v>
      </c>
      <c r="N497" s="23">
        <v>1.96</v>
      </c>
      <c r="O497" s="23">
        <v>1</v>
      </c>
      <c r="P497" s="23">
        <v>1.23</v>
      </c>
      <c r="Q497">
        <f>Table20[[#This Row],[Exit1]]*Table20[[#This Row],[ex1_price]]</f>
        <v>1.96</v>
      </c>
      <c r="R497">
        <f>Table20[[#This Row],[Exit2]]*Table20[[#This Row],[ex2_price]]</f>
        <v>1.23</v>
      </c>
      <c r="S497">
        <f>IFERROR((Table20[[#This Row],[ex2_amnt]]+Table20[[#This Row],[ex1_amnt]])/(Table20[[#This Row],[Exit2]]+Table20[[#This Row],[Exit1]]),0)</f>
        <v>1.595</v>
      </c>
      <c r="T497" s="5">
        <f>(Table20[[#This Row],[Exit1]]+Table20[[#This Row],[Exit2]])*(Table20[[#This Row],[avg_exit_price]]-Table20[[#This Row],[AvePrice]])*100*Table20[[#This Row],[Buy or Sell]]</f>
        <v>-117.00000000000004</v>
      </c>
      <c r="U497" s="5">
        <f>Table20[[#This Row],[Number of options]]*Table20[[#This Row],[AvePrice]]*100*Table20[[#This Row],[Buy or Sell]]</f>
        <v>436.00000000000006</v>
      </c>
      <c r="V497" s="8">
        <f>Table20[[#This Row],[Number of options]]-Table20[[#This Row],[Exit1]]-Table20[[#This Row],[Exit2]]</f>
        <v>0</v>
      </c>
      <c r="W497" s="30">
        <f ca="1">(Table20[[#This Row],[Expiration Date]]-TODAY())/365</f>
        <v>-0.9178082191780822</v>
      </c>
      <c r="X497" s="30" t="e">
        <f ca="1">(LN(Table20[[#This Row],[Current Price]]/Table20[[#This Row],[strike_price]]) + ($B$2 + (Table20[[#This Row],[Vol]]^2)/2)*Table20[[#This Row],[Time to expiration]]) / (Table20[[#This Row],[Vol]] * SQRT(Table20[[#This Row],[Time to expiration]]))</f>
        <v>#NUM!</v>
      </c>
      <c r="Y497" s="30" t="e">
        <f ca="1">IF(Table20[[#This Row],[Direction]]&gt;0, _xlfn.NORM.S.DIST(Table20[[#This Row],[d1]], TRUE), _xlfn.NORM.S.DIST(Table20[[#This Row],[d1]], TRUE) - 1) * Table20[[#This Row],[Buy or Sell]]</f>
        <v>#NUM!</v>
      </c>
      <c r="Z497" s="9">
        <f ca="1">Table20[[#This Row],[Remaining]]*Table20[[#This Row],[Current Price]]*100</f>
        <v>0</v>
      </c>
      <c r="AA497" s="22">
        <f ca="1">IFERROR(Table20[[#This Row],[nominal_exposure]]*Table20[[#This Row],[Delta]],0)</f>
        <v>0</v>
      </c>
      <c r="AB497" s="30" t="b">
        <f>IF(Table20[[#This Row],[date_purchased]]&lt;&gt;Table20[[#This Row],[Expiration Date]],FALSE,TRUE)</f>
        <v>0</v>
      </c>
      <c r="AC497" s="30" t="str">
        <f>VLOOKUP(Table20[[#This Row],[Asset]],Table19[#All],3,FALSE)</f>
        <v>Consumer Discretionary</v>
      </c>
      <c r="AD497" s="30">
        <f>IF(Table20[[#This Row],[Remaining]]&lt;&gt;0,Table20[[#This Row],[Invested]]*Table20[[#This Row],[Remaining]]/Table20[[#This Row],[Number of options]],0)</f>
        <v>0</v>
      </c>
      <c r="AE497" s="30">
        <f ca="1">SUMIF(Table20[Ticker],Table20[[#This Row],[Ticker]],Table20[realized_profit])</f>
        <v>-251.00000000000006</v>
      </c>
      <c r="AF497" s="30" t="str">
        <f>VLOOKUP(Table20[[#This Row],[Strategy]],Table29[#All],7,FALSE)</f>
        <v>Bearish</v>
      </c>
    </row>
    <row r="498" spans="1:32" hidden="1">
      <c r="A498" s="180">
        <v>45737</v>
      </c>
      <c r="B498" s="21" t="e" vm="144">
        <v>#VALUE!</v>
      </c>
      <c r="C498" s="109" t="str" cm="1">
        <f t="array" aca="1" ref="C498" ca="1">_FV(Table20[[#This Row],[Asset]],"Ticker symbol",TRUE)</f>
        <v>AAPL</v>
      </c>
      <c r="D498" s="26" cm="1">
        <f t="array" aca="1" ref="D498" ca="1">_FV(Table20[[#This Row],[Asset]],"Price")</f>
        <v>253.2</v>
      </c>
      <c r="E498" s="26">
        <v>230</v>
      </c>
      <c r="F498" s="33">
        <v>1</v>
      </c>
      <c r="G498" s="34">
        <v>1</v>
      </c>
      <c r="H498" s="34" t="s">
        <v>65</v>
      </c>
      <c r="I498" s="31">
        <v>45716</v>
      </c>
      <c r="J498" s="26">
        <v>3</v>
      </c>
      <c r="K498" s="24"/>
      <c r="L498" s="33">
        <f>VLOOKUP(Table20[[#This Row],[Strategy]],Table29[#All],6,FALSE)</f>
        <v>-1</v>
      </c>
      <c r="M498" s="23">
        <v>1</v>
      </c>
      <c r="N498" s="23">
        <v>4.95</v>
      </c>
      <c r="O498" s="23"/>
      <c r="P498" s="23"/>
      <c r="Q498">
        <f>Table20[[#This Row],[Exit1]]*Table20[[#This Row],[ex1_price]]</f>
        <v>4.95</v>
      </c>
      <c r="R498">
        <f>Table20[[#This Row],[Exit2]]*Table20[[#This Row],[ex2_price]]</f>
        <v>0</v>
      </c>
      <c r="S498">
        <f>IFERROR((Table20[[#This Row],[ex2_amnt]]+Table20[[#This Row],[ex1_amnt]])/(Table20[[#This Row],[Exit2]]+Table20[[#This Row],[Exit1]]),0)</f>
        <v>4.95</v>
      </c>
      <c r="T498" s="5">
        <f>(Table20[[#This Row],[Exit1]]+Table20[[#This Row],[Exit2]])*(Table20[[#This Row],[avg_exit_price]]-Table20[[#This Row],[AvePrice]])*100*Table20[[#This Row],[Buy or Sell]]</f>
        <v>195.00000000000003</v>
      </c>
      <c r="U498" s="5">
        <f>Table20[[#This Row],[Number of options]]*Table20[[#This Row],[AvePrice]]*100*Table20[[#This Row],[Buy or Sell]]</f>
        <v>300</v>
      </c>
      <c r="V498" s="8">
        <f>Table20[[#This Row],[Number of options]]-Table20[[#This Row],[Exit1]]-Table20[[#This Row],[Exit2]]</f>
        <v>0</v>
      </c>
      <c r="W498" s="30">
        <f ca="1">(Table20[[#This Row],[Expiration Date]]-TODAY())/365</f>
        <v>-1.0136986301369864</v>
      </c>
      <c r="X498" s="30" t="e">
        <f ca="1">(LN(Table20[[#This Row],[Current Price]]/Table20[[#This Row],[strike_price]]) + ($B$2 + (Table20[[#This Row],[Vol]]^2)/2)*Table20[[#This Row],[Time to expiration]]) / (Table20[[#This Row],[Vol]] * SQRT(Table20[[#This Row],[Time to expiration]]))</f>
        <v>#NUM!</v>
      </c>
      <c r="Y498" s="30" t="e">
        <f ca="1">IF(Table20[[#This Row],[Direction]]&gt;0, _xlfn.NORM.S.DIST(Table20[[#This Row],[d1]], TRUE), _xlfn.NORM.S.DIST(Table20[[#This Row],[d1]], TRUE) - 1) * Table20[[#This Row],[Buy or Sell]]</f>
        <v>#NUM!</v>
      </c>
      <c r="Z498" s="9">
        <f ca="1">Table20[[#This Row],[Remaining]]*Table20[[#This Row],[Current Price]]*100</f>
        <v>0</v>
      </c>
      <c r="AA498" s="22">
        <f ca="1">IFERROR(Table20[[#This Row],[nominal_exposure]]*Table20[[#This Row],[Delta]],0)</f>
        <v>0</v>
      </c>
      <c r="AB498" s="30" t="b">
        <f>IF(Table20[[#This Row],[date_purchased]]&lt;&gt;Table20[[#This Row],[Expiration Date]],FALSE,TRUE)</f>
        <v>0</v>
      </c>
      <c r="AC498" s="30" t="str">
        <f>VLOOKUP(Table20[[#This Row],[Asset]],Table19[#All],3,FALSE)</f>
        <v>AI</v>
      </c>
      <c r="AD498" s="30">
        <f>IF(Table20[[#This Row],[Remaining]]&lt;&gt;0,Table20[[#This Row],[Invested]]*Table20[[#This Row],[Remaining]]/Table20[[#This Row],[Number of options]],0)</f>
        <v>0</v>
      </c>
      <c r="AE498" s="30">
        <f ca="1">SUMIF(Table20[Ticker],Table20[[#This Row],[Ticker]],Table20[realized_profit])</f>
        <v>-153.9999999999996</v>
      </c>
      <c r="AF498" s="30" t="str">
        <f>VLOOKUP(Table20[[#This Row],[Strategy]],Table29[#All],7,FALSE)</f>
        <v>Bearish</v>
      </c>
    </row>
    <row r="499" spans="1:32" hidden="1">
      <c r="A499" s="180">
        <v>45737</v>
      </c>
      <c r="B499" s="21" t="e" vm="144">
        <v>#VALUE!</v>
      </c>
      <c r="C499" s="109" t="str" cm="1">
        <f t="array" aca="1" ref="C499" ca="1">_FV(Table20[[#This Row],[Asset]],"Ticker symbol",TRUE)</f>
        <v>AAPL</v>
      </c>
      <c r="D499" s="26" cm="1">
        <f t="array" aca="1" ref="D499" ca="1">_FV(Table20[[#This Row],[Asset]],"Price")</f>
        <v>253.2</v>
      </c>
      <c r="E499" s="26">
        <v>230</v>
      </c>
      <c r="F499" s="33">
        <v>2</v>
      </c>
      <c r="G499" s="34">
        <v>1</v>
      </c>
      <c r="H499" s="34" t="s">
        <v>65</v>
      </c>
      <c r="I499" s="31">
        <v>45722</v>
      </c>
      <c r="J499" s="26">
        <v>3.3</v>
      </c>
      <c r="K499" s="24"/>
      <c r="L499" s="33">
        <f>VLOOKUP(Table20[[#This Row],[Strategy]],Table29[#All],6,FALSE)</f>
        <v>-1</v>
      </c>
      <c r="M499" s="23">
        <v>2</v>
      </c>
      <c r="N499" s="23">
        <v>2.4700000000000002</v>
      </c>
      <c r="O499" s="23"/>
      <c r="P499" s="23"/>
      <c r="Q499">
        <f>Table20[[#This Row],[Exit1]]*Table20[[#This Row],[ex1_price]]</f>
        <v>4.9400000000000004</v>
      </c>
      <c r="R499">
        <f>Table20[[#This Row],[Exit2]]*Table20[[#This Row],[ex2_price]]</f>
        <v>0</v>
      </c>
      <c r="S499">
        <f>IFERROR((Table20[[#This Row],[ex2_amnt]]+Table20[[#This Row],[ex1_amnt]])/(Table20[[#This Row],[Exit2]]+Table20[[#This Row],[Exit1]]),0)</f>
        <v>2.4700000000000002</v>
      </c>
      <c r="T499" s="5">
        <f>(Table20[[#This Row],[Exit1]]+Table20[[#This Row],[Exit2]])*(Table20[[#This Row],[avg_exit_price]]-Table20[[#This Row],[AvePrice]])*100*Table20[[#This Row],[Buy or Sell]]</f>
        <v>-165.99999999999991</v>
      </c>
      <c r="U499" s="5">
        <f>Table20[[#This Row],[Number of options]]*Table20[[#This Row],[AvePrice]]*100*Table20[[#This Row],[Buy or Sell]]</f>
        <v>660</v>
      </c>
      <c r="V499" s="8">
        <f>Table20[[#This Row],[Number of options]]-Table20[[#This Row],[Exit1]]-Table20[[#This Row],[Exit2]]</f>
        <v>0</v>
      </c>
      <c r="W499" s="30">
        <f ca="1">(Table20[[#This Row],[Expiration Date]]-TODAY())/365</f>
        <v>-1.0136986301369864</v>
      </c>
      <c r="X499" s="30" t="e">
        <f ca="1">(LN(Table20[[#This Row],[Current Price]]/Table20[[#This Row],[strike_price]]) + ($B$2 + (Table20[[#This Row],[Vol]]^2)/2)*Table20[[#This Row],[Time to expiration]]) / (Table20[[#This Row],[Vol]] * SQRT(Table20[[#This Row],[Time to expiration]]))</f>
        <v>#NUM!</v>
      </c>
      <c r="Y499" s="30" t="e">
        <f ca="1">IF(Table20[[#This Row],[Direction]]&gt;0, _xlfn.NORM.S.DIST(Table20[[#This Row],[d1]], TRUE), _xlfn.NORM.S.DIST(Table20[[#This Row],[d1]], TRUE) - 1) * Table20[[#This Row],[Buy or Sell]]</f>
        <v>#NUM!</v>
      </c>
      <c r="Z499" s="9">
        <f ca="1">Table20[[#This Row],[Remaining]]*Table20[[#This Row],[Current Price]]*100</f>
        <v>0</v>
      </c>
      <c r="AA499" s="22">
        <f ca="1">IFERROR(Table20[[#This Row],[nominal_exposure]]*Table20[[#This Row],[Delta]],0)</f>
        <v>0</v>
      </c>
      <c r="AB499" s="30" t="b">
        <f>IF(Table20[[#This Row],[date_purchased]]&lt;&gt;Table20[[#This Row],[Expiration Date]],FALSE,TRUE)</f>
        <v>0</v>
      </c>
      <c r="AC499" s="30" t="str">
        <f>VLOOKUP(Table20[[#This Row],[Asset]],Table19[#All],3,FALSE)</f>
        <v>AI</v>
      </c>
      <c r="AD499" s="30">
        <f>IF(Table20[[#This Row],[Remaining]]&lt;&gt;0,Table20[[#This Row],[Invested]]*Table20[[#This Row],[Remaining]]/Table20[[#This Row],[Number of options]],0)</f>
        <v>0</v>
      </c>
      <c r="AE499" s="30">
        <f ca="1">SUMIF(Table20[Ticker],Table20[[#This Row],[Ticker]],Table20[realized_profit])</f>
        <v>-153.9999999999996</v>
      </c>
      <c r="AF499" s="30" t="str">
        <f>VLOOKUP(Table20[[#This Row],[Strategy]],Table29[#All],7,FALSE)</f>
        <v>Bearish</v>
      </c>
    </row>
    <row r="500" spans="1:32" hidden="1">
      <c r="A500" s="180">
        <v>45786</v>
      </c>
      <c r="B500" s="21" t="e" vm="96">
        <v>#VALUE!</v>
      </c>
      <c r="C500" s="109" t="str" cm="1">
        <f t="array" aca="1" ref="C500" ca="1">_FV(Table20[[#This Row],[Asset]],"Ticker symbol",TRUE)</f>
        <v>SPY</v>
      </c>
      <c r="D500" s="26" cm="1">
        <f t="array" aca="1" ref="D500" ca="1">_FV(Table20[[#This Row],[Asset]],"Price")</f>
        <v>658.59</v>
      </c>
      <c r="E500" s="26">
        <v>530</v>
      </c>
      <c r="F500" s="33">
        <v>1</v>
      </c>
      <c r="G500" s="34">
        <v>1</v>
      </c>
      <c r="H500" s="34" t="s">
        <v>65</v>
      </c>
      <c r="I500" s="31">
        <v>45776</v>
      </c>
      <c r="J500" s="26">
        <v>3.23</v>
      </c>
      <c r="K500" s="24"/>
      <c r="L500" s="33">
        <f>VLOOKUP(Table20[[#This Row],[Strategy]],Table29[#All],6,FALSE)</f>
        <v>-1</v>
      </c>
      <c r="M500" s="23">
        <v>1</v>
      </c>
      <c r="N500" s="23">
        <v>2.61</v>
      </c>
      <c r="O500" s="23"/>
      <c r="P500" s="23"/>
      <c r="Q500">
        <f>Table20[[#This Row],[Exit1]]*Table20[[#This Row],[ex1_price]]</f>
        <v>2.61</v>
      </c>
      <c r="R500">
        <f>Table20[[#This Row],[Exit2]]*Table20[[#This Row],[ex2_price]]</f>
        <v>0</v>
      </c>
      <c r="S500">
        <f>IFERROR((Table20[[#This Row],[ex2_amnt]]+Table20[[#This Row],[ex1_amnt]])/(Table20[[#This Row],[Exit2]]+Table20[[#This Row],[Exit1]]),0)</f>
        <v>2.61</v>
      </c>
      <c r="T500" s="5">
        <f>(Table20[[#This Row],[Exit1]]+Table20[[#This Row],[Exit2]])*(Table20[[#This Row],[avg_exit_price]]-Table20[[#This Row],[AvePrice]])*100*Table20[[#This Row],[Buy or Sell]]</f>
        <v>-62.000000000000014</v>
      </c>
      <c r="U500" s="5">
        <f>Table20[[#This Row],[Number of options]]*Table20[[#This Row],[AvePrice]]*100*Table20[[#This Row],[Buy or Sell]]</f>
        <v>323</v>
      </c>
      <c r="V500" s="8">
        <f>Table20[[#This Row],[Number of options]]-Table20[[#This Row],[Exit1]]-Table20[[#This Row],[Exit2]]</f>
        <v>0</v>
      </c>
      <c r="W500" s="30">
        <f ca="1">(Table20[[#This Row],[Expiration Date]]-TODAY())/365</f>
        <v>-0.8794520547945206</v>
      </c>
      <c r="X500" s="30" t="e">
        <f ca="1">(LN(Table20[[#This Row],[Current Price]]/Table20[[#This Row],[strike_price]]) + ($B$2 + (Table20[[#This Row],[Vol]]^2)/2)*Table20[[#This Row],[Time to expiration]]) / (Table20[[#This Row],[Vol]] * SQRT(Table20[[#This Row],[Time to expiration]]))</f>
        <v>#NUM!</v>
      </c>
      <c r="Y500" s="30" t="e">
        <f ca="1">IF(Table20[[#This Row],[Direction]]&gt;0, _xlfn.NORM.S.DIST(Table20[[#This Row],[d1]], TRUE), _xlfn.NORM.S.DIST(Table20[[#This Row],[d1]], TRUE) - 1) * Table20[[#This Row],[Buy or Sell]]</f>
        <v>#NUM!</v>
      </c>
      <c r="Z500" s="9">
        <f ca="1">Table20[[#This Row],[Remaining]]*Table20[[#This Row],[Current Price]]*100</f>
        <v>0</v>
      </c>
      <c r="AA500" s="22">
        <f ca="1">IFERROR(Table20[[#This Row],[nominal_exposure]]*Table20[[#This Row],[Delta]],0)</f>
        <v>0</v>
      </c>
      <c r="AB500" s="30" t="b">
        <f>IF(Table20[[#This Row],[date_purchased]]&lt;&gt;Table20[[#This Row],[Expiration Date]],FALSE,TRUE)</f>
        <v>0</v>
      </c>
      <c r="AC500" s="30" t="str">
        <f>VLOOKUP(Table20[[#This Row],[Asset]],Table19[#All],3,FALSE)</f>
        <v>Market</v>
      </c>
      <c r="AD500" s="30">
        <f>IF(Table20[[#This Row],[Remaining]]&lt;&gt;0,Table20[[#This Row],[Invested]]*Table20[[#This Row],[Remaining]]/Table20[[#This Row],[Number of options]],0)</f>
        <v>0</v>
      </c>
      <c r="AE500" s="30">
        <f ca="1">SUMIF(Table20[Ticker],Table20[[#This Row],[Ticker]],Table20[realized_profit])</f>
        <v>-5077</v>
      </c>
      <c r="AF500" s="30" t="str">
        <f>VLOOKUP(Table20[[#This Row],[Strategy]],Table29[#All],7,FALSE)</f>
        <v>Bearish</v>
      </c>
    </row>
    <row r="501" spans="1:32" hidden="1">
      <c r="A501" s="180">
        <v>45744</v>
      </c>
      <c r="B501" s="21" t="e" vm="102">
        <v>#VALUE!</v>
      </c>
      <c r="C501" s="109" t="str" cm="1">
        <f t="array" aca="1" ref="C501" ca="1">_FV(Table20[[#This Row],[Asset]],"Ticker symbol",TRUE)</f>
        <v>GM</v>
      </c>
      <c r="D501" s="26" cm="1">
        <f t="array" aca="1" ref="D501" ca="1">_FV(Table20[[#This Row],[Asset]],"Price")</f>
        <v>77.844999999999999</v>
      </c>
      <c r="E501" s="26">
        <v>49</v>
      </c>
      <c r="F501" s="33">
        <v>1</v>
      </c>
      <c r="G501" s="34">
        <v>1</v>
      </c>
      <c r="H501" s="34" t="s">
        <v>65</v>
      </c>
      <c r="I501" s="31">
        <v>45723</v>
      </c>
      <c r="J501" s="26">
        <v>2.72</v>
      </c>
      <c r="K501" s="24"/>
      <c r="L501" s="33">
        <f>VLOOKUP(Table20[[#This Row],[Strategy]],Table29[#All],6,FALSE)</f>
        <v>-1</v>
      </c>
      <c r="M501" s="23">
        <v>1</v>
      </c>
      <c r="N501" s="23">
        <v>3</v>
      </c>
      <c r="O501" s="23"/>
      <c r="P501" s="23"/>
      <c r="Q501">
        <f>Table20[[#This Row],[Exit1]]*Table20[[#This Row],[ex1_price]]</f>
        <v>3</v>
      </c>
      <c r="R501">
        <f>Table20[[#This Row],[Exit2]]*Table20[[#This Row],[ex2_price]]</f>
        <v>0</v>
      </c>
      <c r="S501">
        <f>IFERROR((Table20[[#This Row],[ex2_amnt]]+Table20[[#This Row],[ex1_amnt]])/(Table20[[#This Row],[Exit2]]+Table20[[#This Row],[Exit1]]),0)</f>
        <v>3</v>
      </c>
      <c r="T501" s="5">
        <f>(Table20[[#This Row],[Exit1]]+Table20[[#This Row],[Exit2]])*(Table20[[#This Row],[avg_exit_price]]-Table20[[#This Row],[AvePrice]])*100*Table20[[#This Row],[Buy or Sell]]</f>
        <v>27.999999999999979</v>
      </c>
      <c r="U501" s="5">
        <f>Table20[[#This Row],[Number of options]]*Table20[[#This Row],[AvePrice]]*100*Table20[[#This Row],[Buy or Sell]]</f>
        <v>272</v>
      </c>
      <c r="V501" s="8">
        <f>Table20[[#This Row],[Number of options]]-Table20[[#This Row],[Exit1]]-Table20[[#This Row],[Exit2]]</f>
        <v>0</v>
      </c>
      <c r="W501" s="30">
        <f ca="1">(Table20[[#This Row],[Expiration Date]]-TODAY())/365</f>
        <v>-0.9945205479452055</v>
      </c>
      <c r="X501" s="30" t="e">
        <f ca="1">(LN(Table20[[#This Row],[Current Price]]/Table20[[#This Row],[strike_price]]) + ($B$2 + (Table20[[#This Row],[Vol]]^2)/2)*Table20[[#This Row],[Time to expiration]]) / (Table20[[#This Row],[Vol]] * SQRT(Table20[[#This Row],[Time to expiration]]))</f>
        <v>#NUM!</v>
      </c>
      <c r="Y501" s="30" t="e">
        <f ca="1">IF(Table20[[#This Row],[Direction]]&gt;0, _xlfn.NORM.S.DIST(Table20[[#This Row],[d1]], TRUE), _xlfn.NORM.S.DIST(Table20[[#This Row],[d1]], TRUE) - 1) * Table20[[#This Row],[Buy or Sell]]</f>
        <v>#NUM!</v>
      </c>
      <c r="Z501" s="9">
        <f ca="1">Table20[[#This Row],[Remaining]]*Table20[[#This Row],[Current Price]]*100</f>
        <v>0</v>
      </c>
      <c r="AA501" s="22">
        <f ca="1">IFERROR(Table20[[#This Row],[nominal_exposure]]*Table20[[#This Row],[Delta]],0)</f>
        <v>0</v>
      </c>
      <c r="AB501" s="30" t="b">
        <f>IF(Table20[[#This Row],[date_purchased]]&lt;&gt;Table20[[#This Row],[Expiration Date]],FALSE,TRUE)</f>
        <v>0</v>
      </c>
      <c r="AC501" s="30" t="str">
        <f>VLOOKUP(Table20[[#This Row],[Asset]],Table19[#All],3,FALSE)</f>
        <v>Auto</v>
      </c>
      <c r="AD501" s="30">
        <f>IF(Table20[[#This Row],[Remaining]]&lt;&gt;0,Table20[[#This Row],[Invested]]*Table20[[#This Row],[Remaining]]/Table20[[#This Row],[Number of options]],0)</f>
        <v>0</v>
      </c>
      <c r="AE501" s="30">
        <f ca="1">SUMIF(Table20[Ticker],Table20[[#This Row],[Ticker]],Table20[realized_profit])</f>
        <v>455</v>
      </c>
      <c r="AF501" s="30" t="str">
        <f>VLOOKUP(Table20[[#This Row],[Strategy]],Table29[#All],7,FALSE)</f>
        <v>Bearish</v>
      </c>
    </row>
    <row r="502" spans="1:32" hidden="1">
      <c r="A502" s="180">
        <v>45772</v>
      </c>
      <c r="B502" s="21" t="e" vm="96">
        <v>#VALUE!</v>
      </c>
      <c r="C502" s="109" t="str" cm="1">
        <f t="array" aca="1" ref="C502" ca="1">_FV(Table20[[#This Row],[Asset]],"Ticker symbol",TRUE)</f>
        <v>SPY</v>
      </c>
      <c r="D502" s="26" cm="1">
        <f t="array" aca="1" ref="D502" ca="1">_FV(Table20[[#This Row],[Asset]],"Price")</f>
        <v>658.59</v>
      </c>
      <c r="E502" s="26">
        <v>530</v>
      </c>
      <c r="F502" s="33">
        <v>1</v>
      </c>
      <c r="G502" s="34">
        <v>1</v>
      </c>
      <c r="H502" s="34" t="s">
        <v>65</v>
      </c>
      <c r="I502" s="31">
        <v>45723</v>
      </c>
      <c r="J502" s="26">
        <v>4.57</v>
      </c>
      <c r="K502" s="24"/>
      <c r="L502" s="33">
        <f>VLOOKUP(Table20[[#This Row],[Strategy]],Table29[#All],6,FALSE)</f>
        <v>-1</v>
      </c>
      <c r="M502" s="23">
        <v>1</v>
      </c>
      <c r="N502" s="23">
        <v>8.06</v>
      </c>
      <c r="O502" s="23"/>
      <c r="P502" s="23"/>
      <c r="Q502">
        <f>Table20[[#This Row],[Exit1]]*Table20[[#This Row],[ex1_price]]</f>
        <v>8.06</v>
      </c>
      <c r="R502">
        <f>Table20[[#This Row],[Exit2]]*Table20[[#This Row],[ex2_price]]</f>
        <v>0</v>
      </c>
      <c r="S502">
        <f>IFERROR((Table20[[#This Row],[ex2_amnt]]+Table20[[#This Row],[ex1_amnt]])/(Table20[[#This Row],[Exit2]]+Table20[[#This Row],[Exit1]]),0)</f>
        <v>8.06</v>
      </c>
      <c r="T502" s="5">
        <f>(Table20[[#This Row],[Exit1]]+Table20[[#This Row],[Exit2]])*(Table20[[#This Row],[avg_exit_price]]-Table20[[#This Row],[AvePrice]])*100*Table20[[#This Row],[Buy or Sell]]</f>
        <v>349</v>
      </c>
      <c r="U502" s="5">
        <f>Table20[[#This Row],[Number of options]]*Table20[[#This Row],[AvePrice]]*100*Table20[[#This Row],[Buy or Sell]]</f>
        <v>457</v>
      </c>
      <c r="V502" s="8">
        <f>Table20[[#This Row],[Number of options]]-Table20[[#This Row],[Exit1]]-Table20[[#This Row],[Exit2]]</f>
        <v>0</v>
      </c>
      <c r="W502" s="30">
        <f ca="1">(Table20[[#This Row],[Expiration Date]]-TODAY())/365</f>
        <v>-0.9178082191780822</v>
      </c>
      <c r="X502" s="30" t="e">
        <f ca="1">(LN(Table20[[#This Row],[Current Price]]/Table20[[#This Row],[strike_price]]) + ($B$2 + (Table20[[#This Row],[Vol]]^2)/2)*Table20[[#This Row],[Time to expiration]]) / (Table20[[#This Row],[Vol]] * SQRT(Table20[[#This Row],[Time to expiration]]))</f>
        <v>#NUM!</v>
      </c>
      <c r="Y502" s="30" t="e">
        <f ca="1">IF(Table20[[#This Row],[Direction]]&gt;0, _xlfn.NORM.S.DIST(Table20[[#This Row],[d1]], TRUE), _xlfn.NORM.S.DIST(Table20[[#This Row],[d1]], TRUE) - 1) * Table20[[#This Row],[Buy or Sell]]</f>
        <v>#NUM!</v>
      </c>
      <c r="Z502" s="9">
        <f ca="1">Table20[[#This Row],[Remaining]]*Table20[[#This Row],[Current Price]]*100</f>
        <v>0</v>
      </c>
      <c r="AA502" s="22">
        <f ca="1">IFERROR(Table20[[#This Row],[nominal_exposure]]*Table20[[#This Row],[Delta]],0)</f>
        <v>0</v>
      </c>
      <c r="AB502" s="30" t="b">
        <f>IF(Table20[[#This Row],[date_purchased]]&lt;&gt;Table20[[#This Row],[Expiration Date]],FALSE,TRUE)</f>
        <v>0</v>
      </c>
      <c r="AC502" s="30" t="str">
        <f>VLOOKUP(Table20[[#This Row],[Asset]],Table19[#All],3,FALSE)</f>
        <v>Market</v>
      </c>
      <c r="AD502" s="30">
        <f>IF(Table20[[#This Row],[Remaining]]&lt;&gt;0,Table20[[#This Row],[Invested]]*Table20[[#This Row],[Remaining]]/Table20[[#This Row],[Number of options]],0)</f>
        <v>0</v>
      </c>
      <c r="AE502" s="30">
        <f ca="1">SUMIF(Table20[Ticker],Table20[[#This Row],[Ticker]],Table20[realized_profit])</f>
        <v>-5077</v>
      </c>
      <c r="AF502" s="30" t="str">
        <f>VLOOKUP(Table20[[#This Row],[Strategy]],Table29[#All],7,FALSE)</f>
        <v>Bearish</v>
      </c>
    </row>
    <row r="503" spans="1:32" hidden="1">
      <c r="A503" s="180">
        <v>45828</v>
      </c>
      <c r="B503" s="21" t="e" vm="151">
        <v>#VALUE!</v>
      </c>
      <c r="C503" s="109" t="str" cm="1">
        <f t="array" aca="1" ref="C503" ca="1">_FV(Table20[[#This Row],[Asset]],"Ticker symbol",TRUE)</f>
        <v>TLT</v>
      </c>
      <c r="D503" s="26" cm="1">
        <f t="array" aca="1" ref="D503" ca="1">_FV(Table20[[#This Row],[Asset]],"Price")</f>
        <v>86.743499999999997</v>
      </c>
      <c r="E503" s="26">
        <v>100</v>
      </c>
      <c r="F503" s="33">
        <v>20</v>
      </c>
      <c r="G503" s="34">
        <v>1</v>
      </c>
      <c r="H503" s="34" t="s">
        <v>113</v>
      </c>
      <c r="I503" s="31">
        <v>45726</v>
      </c>
      <c r="J503" s="26">
        <v>0.7</v>
      </c>
      <c r="K503" s="24">
        <v>0.14000000000000001</v>
      </c>
      <c r="L503" s="33">
        <f>VLOOKUP(Table20[[#This Row],[Strategy]],Table29[#All],6,FALSE)</f>
        <v>1</v>
      </c>
      <c r="M503" s="23">
        <v>20</v>
      </c>
      <c r="N503" s="23">
        <v>0.24</v>
      </c>
      <c r="O503" s="23"/>
      <c r="P503" s="23"/>
      <c r="Q503">
        <f>Table20[[#This Row],[Exit1]]*Table20[[#This Row],[ex1_price]]</f>
        <v>4.8</v>
      </c>
      <c r="R503">
        <f>Table20[[#This Row],[Exit2]]*Table20[[#This Row],[ex2_price]]</f>
        <v>0</v>
      </c>
      <c r="S503">
        <f>IFERROR((Table20[[#This Row],[ex2_amnt]]+Table20[[#This Row],[ex1_amnt]])/(Table20[[#This Row],[Exit2]]+Table20[[#This Row],[Exit1]]),0)</f>
        <v>0.24</v>
      </c>
      <c r="T503" s="5">
        <f>(Table20[[#This Row],[Exit1]]+Table20[[#This Row],[Exit2]])*(Table20[[#This Row],[avg_exit_price]]-Table20[[#This Row],[AvePrice]])*100*Table20[[#This Row],[Buy or Sell]]</f>
        <v>-919.99999999999989</v>
      </c>
      <c r="U503" s="5">
        <f>Table20[[#This Row],[Number of options]]*Table20[[#This Row],[AvePrice]]*100*Table20[[#This Row],[Buy or Sell]]</f>
        <v>1400</v>
      </c>
      <c r="V503" s="8">
        <f>Table20[[#This Row],[Number of options]]-Table20[[#This Row],[Exit1]]-Table20[[#This Row],[Exit2]]</f>
        <v>0</v>
      </c>
      <c r="W503" s="30">
        <f ca="1">(Table20[[#This Row],[Expiration Date]]-TODAY())/365</f>
        <v>-0.76438356164383559</v>
      </c>
      <c r="X503" s="30" t="e">
        <f ca="1">(LN(Table20[[#This Row],[Current Price]]/Table20[[#This Row],[strike_price]]) + ($B$2 + (Table20[[#This Row],[Vol]]^2)/2)*Table20[[#This Row],[Time to expiration]]) / (Table20[[#This Row],[Vol]] * SQRT(Table20[[#This Row],[Time to expiration]]))</f>
        <v>#NUM!</v>
      </c>
      <c r="Y503" s="30" t="e">
        <f ca="1">IF(Table20[[#This Row],[Direction]]&gt;0, _xlfn.NORM.S.DIST(Table20[[#This Row],[d1]], TRUE), _xlfn.NORM.S.DIST(Table20[[#This Row],[d1]], TRUE) - 1) * Table20[[#This Row],[Buy or Sell]]</f>
        <v>#NUM!</v>
      </c>
      <c r="Z503" s="9">
        <f ca="1">Table20[[#This Row],[Remaining]]*Table20[[#This Row],[Current Price]]*100</f>
        <v>0</v>
      </c>
      <c r="AA503" s="22">
        <f ca="1">IFERROR(Table20[[#This Row],[nominal_exposure]]*Table20[[#This Row],[Delta]],0)</f>
        <v>0</v>
      </c>
      <c r="AB503" s="30" t="b">
        <f>IF(Table20[[#This Row],[date_purchased]]&lt;&gt;Table20[[#This Row],[Expiration Date]],FALSE,TRUE)</f>
        <v>0</v>
      </c>
      <c r="AC503" s="30" t="str">
        <f>VLOOKUP(Table20[[#This Row],[Asset]],Table19[#All],3,FALSE)</f>
        <v>Market</v>
      </c>
      <c r="AD503" s="30">
        <f>IF(Table20[[#This Row],[Remaining]]&lt;&gt;0,Table20[[#This Row],[Invested]]*Table20[[#This Row],[Remaining]]/Table20[[#This Row],[Number of options]],0)</f>
        <v>0</v>
      </c>
      <c r="AE503" s="30">
        <f ca="1">SUMIF(Table20[Ticker],Table20[[#This Row],[Ticker]],Table20[realized_profit])</f>
        <v>-3328.3599999999997</v>
      </c>
      <c r="AF503" s="30" t="str">
        <f>VLOOKUP(Table20[[#This Row],[Strategy]],Table29[#All],7,FALSE)</f>
        <v>Bullish</v>
      </c>
    </row>
    <row r="504" spans="1:32" hidden="1">
      <c r="A504" s="180">
        <v>45758</v>
      </c>
      <c r="B504" s="21" t="e" vm="35">
        <v>#VALUE!</v>
      </c>
      <c r="C504" s="109" t="str" cm="1">
        <f t="array" aca="1" ref="C504" ca="1">_FV(Table20[[#This Row],[Asset]],"Ticker symbol",TRUE)</f>
        <v>VRT</v>
      </c>
      <c r="D504" s="26" cm="1">
        <f t="array" aca="1" ref="D504" ca="1">_FV(Table20[[#This Row],[Asset]],"Price")</f>
        <v>280.42</v>
      </c>
      <c r="E504" s="26">
        <v>90</v>
      </c>
      <c r="F504" s="33">
        <v>1</v>
      </c>
      <c r="G504" s="34">
        <v>1</v>
      </c>
      <c r="H504" s="34" t="s">
        <v>113</v>
      </c>
      <c r="I504" s="31">
        <v>45734</v>
      </c>
      <c r="J504" s="26">
        <v>4.22</v>
      </c>
      <c r="K504" s="24">
        <v>0.66620000000000001</v>
      </c>
      <c r="L504" s="33">
        <f>VLOOKUP(Table20[[#This Row],[Strategy]],Table29[#All],6,FALSE)</f>
        <v>1</v>
      </c>
      <c r="M504" s="23">
        <v>1</v>
      </c>
      <c r="N504" s="23">
        <v>3.65</v>
      </c>
      <c r="O504" s="23"/>
      <c r="P504" s="23"/>
      <c r="Q504">
        <f>Table20[[#This Row],[Exit1]]*Table20[[#This Row],[ex1_price]]</f>
        <v>3.65</v>
      </c>
      <c r="R504">
        <f>Table20[[#This Row],[Exit2]]*Table20[[#This Row],[ex2_price]]</f>
        <v>0</v>
      </c>
      <c r="S504">
        <f>IFERROR((Table20[[#This Row],[ex2_amnt]]+Table20[[#This Row],[ex1_amnt]])/(Table20[[#This Row],[Exit2]]+Table20[[#This Row],[Exit1]]),0)</f>
        <v>3.65</v>
      </c>
      <c r="T504" s="5">
        <f>(Table20[[#This Row],[Exit1]]+Table20[[#This Row],[Exit2]])*(Table20[[#This Row],[avg_exit_price]]-Table20[[#This Row],[AvePrice]])*100*Table20[[#This Row],[Buy or Sell]]</f>
        <v>-56.999999999999986</v>
      </c>
      <c r="U504" s="5">
        <f>Table20[[#This Row],[Number of options]]*Table20[[#This Row],[AvePrice]]*100*Table20[[#This Row],[Buy or Sell]]</f>
        <v>422</v>
      </c>
      <c r="V504" s="8">
        <f>Table20[[#This Row],[Number of options]]-Table20[[#This Row],[Exit1]]-Table20[[#This Row],[Exit2]]</f>
        <v>0</v>
      </c>
      <c r="W504" s="30">
        <f ca="1">(Table20[[#This Row],[Expiration Date]]-TODAY())/365</f>
        <v>-0.95616438356164379</v>
      </c>
      <c r="X504" s="30" t="e">
        <f ca="1">(LN(Table20[[#This Row],[Current Price]]/Table20[[#This Row],[strike_price]]) + ($B$2 + (Table20[[#This Row],[Vol]]^2)/2)*Table20[[#This Row],[Time to expiration]]) / (Table20[[#This Row],[Vol]] * SQRT(Table20[[#This Row],[Time to expiration]]))</f>
        <v>#NUM!</v>
      </c>
      <c r="Y504" s="30" t="e">
        <f ca="1">IF(Table20[[#This Row],[Direction]]&gt;0, _xlfn.NORM.S.DIST(Table20[[#This Row],[d1]], TRUE), _xlfn.NORM.S.DIST(Table20[[#This Row],[d1]], TRUE) - 1) * Table20[[#This Row],[Buy or Sell]]</f>
        <v>#NUM!</v>
      </c>
      <c r="Z504" s="9">
        <f ca="1">Table20[[#This Row],[Remaining]]*Table20[[#This Row],[Current Price]]*100</f>
        <v>0</v>
      </c>
      <c r="AA504" s="22">
        <f ca="1">IFERROR(Table20[[#This Row],[nominal_exposure]]*Table20[[#This Row],[Delta]],0)</f>
        <v>0</v>
      </c>
      <c r="AB504" s="30" t="b">
        <f>IF(Table20[[#This Row],[date_purchased]]&lt;&gt;Table20[[#This Row],[Expiration Date]],FALSE,TRUE)</f>
        <v>0</v>
      </c>
      <c r="AC504" s="30" t="str">
        <f>VLOOKUP(Table20[[#This Row],[Asset]],Table19[#All],3,FALSE)</f>
        <v>Industrials</v>
      </c>
      <c r="AD504" s="30">
        <f>IF(Table20[[#This Row],[Remaining]]&lt;&gt;0,Table20[[#This Row],[Invested]]*Table20[[#This Row],[Remaining]]/Table20[[#This Row],[Number of options]],0)</f>
        <v>0</v>
      </c>
      <c r="AE504" s="30">
        <f ca="1">SUMIF(Table20[Ticker],Table20[[#This Row],[Ticker]],Table20[realized_profit])</f>
        <v>-543.00000000000011</v>
      </c>
      <c r="AF504" s="30" t="str">
        <f>VLOOKUP(Table20[[#This Row],[Strategy]],Table29[#All],7,FALSE)</f>
        <v>Bullish</v>
      </c>
    </row>
    <row r="505" spans="1:32" hidden="1">
      <c r="A505" s="180">
        <v>45730</v>
      </c>
      <c r="B505" s="21" t="e" vm="96">
        <v>#VALUE!</v>
      </c>
      <c r="C505" s="109" t="str" cm="1">
        <f t="array" aca="1" ref="C505" ca="1">_FV(Table20[[#This Row],[Asset]],"Ticker symbol",TRUE)</f>
        <v>SPY</v>
      </c>
      <c r="D505" s="26" cm="1">
        <f t="array" aca="1" ref="D505" ca="1">_FV(Table20[[#This Row],[Asset]],"Price")</f>
        <v>658.59</v>
      </c>
      <c r="E505" s="26">
        <v>575</v>
      </c>
      <c r="F505" s="33">
        <v>1</v>
      </c>
      <c r="G505" s="34">
        <v>-1</v>
      </c>
      <c r="H505" s="34" t="s">
        <v>115</v>
      </c>
      <c r="I505" s="31">
        <v>45726</v>
      </c>
      <c r="J505" s="26">
        <v>2.4500000000000002</v>
      </c>
      <c r="K505" s="24"/>
      <c r="L505" s="33">
        <f>VLOOKUP(Table20[[#This Row],[Strategy]],Table29[#All],6,FALSE)</f>
        <v>1</v>
      </c>
      <c r="M505" s="23">
        <v>1</v>
      </c>
      <c r="N505" s="23">
        <v>0</v>
      </c>
      <c r="O505" s="23"/>
      <c r="P505" s="23"/>
      <c r="Q505">
        <f>Table20[[#This Row],[Exit1]]*Table20[[#This Row],[ex1_price]]</f>
        <v>0</v>
      </c>
      <c r="R505">
        <f>Table20[[#This Row],[Exit2]]*Table20[[#This Row],[ex2_price]]</f>
        <v>0</v>
      </c>
      <c r="S505">
        <f>IFERROR((Table20[[#This Row],[ex2_amnt]]+Table20[[#This Row],[ex1_amnt]])/(Table20[[#This Row],[Exit2]]+Table20[[#This Row],[Exit1]]),0)</f>
        <v>0</v>
      </c>
      <c r="T505" s="5">
        <f>(Table20[[#This Row],[Exit1]]+Table20[[#This Row],[Exit2]])*(Table20[[#This Row],[avg_exit_price]]-Table20[[#This Row],[AvePrice]])*100*Table20[[#This Row],[Buy or Sell]]</f>
        <v>245.00000000000003</v>
      </c>
      <c r="U505" s="5">
        <f>Table20[[#This Row],[Number of options]]*Table20[[#This Row],[AvePrice]]*100*Table20[[#This Row],[Buy or Sell]]</f>
        <v>-245.00000000000003</v>
      </c>
      <c r="V505" s="8">
        <f>Table20[[#This Row],[Number of options]]-Table20[[#This Row],[Exit1]]-Table20[[#This Row],[Exit2]]</f>
        <v>0</v>
      </c>
      <c r="W505" s="30">
        <f ca="1">(Table20[[#This Row],[Expiration Date]]-TODAY())/365</f>
        <v>-1.0328767123287672</v>
      </c>
      <c r="X505" s="30" t="e">
        <f ca="1">(LN(Table20[[#This Row],[Current Price]]/Table20[[#This Row],[strike_price]]) + ($B$2 + (Table20[[#This Row],[Vol]]^2)/2)*Table20[[#This Row],[Time to expiration]]) / (Table20[[#This Row],[Vol]] * SQRT(Table20[[#This Row],[Time to expiration]]))</f>
        <v>#NUM!</v>
      </c>
      <c r="Y505" s="30" t="e">
        <f ca="1">IF(Table20[[#This Row],[Direction]]&gt;0, _xlfn.NORM.S.DIST(Table20[[#This Row],[d1]], TRUE), _xlfn.NORM.S.DIST(Table20[[#This Row],[d1]], TRUE) - 1) * Table20[[#This Row],[Buy or Sell]]</f>
        <v>#NUM!</v>
      </c>
      <c r="Z505" s="9">
        <f ca="1">Table20[[#This Row],[Remaining]]*Table20[[#This Row],[Current Price]]*100</f>
        <v>0</v>
      </c>
      <c r="AA505" s="22">
        <f ca="1">IFERROR(Table20[[#This Row],[nominal_exposure]]*Table20[[#This Row],[Delta]],0)</f>
        <v>0</v>
      </c>
      <c r="AB505" s="30" t="b">
        <f>IF(Table20[[#This Row],[date_purchased]]&lt;&gt;Table20[[#This Row],[Expiration Date]],FALSE,TRUE)</f>
        <v>0</v>
      </c>
      <c r="AC505" s="30" t="str">
        <f>VLOOKUP(Table20[[#This Row],[Asset]],Table19[#All],3,FALSE)</f>
        <v>Market</v>
      </c>
      <c r="AD505" s="30">
        <f>IF(Table20[[#This Row],[Remaining]]&lt;&gt;0,Table20[[#This Row],[Invested]]*Table20[[#This Row],[Remaining]]/Table20[[#This Row],[Number of options]],0)</f>
        <v>0</v>
      </c>
      <c r="AE505" s="30">
        <f ca="1">SUMIF(Table20[Ticker],Table20[[#This Row],[Ticker]],Table20[realized_profit])</f>
        <v>-5077</v>
      </c>
      <c r="AF505" s="30" t="str">
        <f>VLOOKUP(Table20[[#This Row],[Strategy]],Table29[#All],7,FALSE)</f>
        <v>Bullish</v>
      </c>
    </row>
    <row r="506" spans="1:32" hidden="1">
      <c r="A506" s="180">
        <v>45737</v>
      </c>
      <c r="B506" s="21" t="e" vm="96">
        <v>#VALUE!</v>
      </c>
      <c r="C506" s="109" t="str" cm="1">
        <f t="array" aca="1" ref="C506" ca="1">_FV(Table20[[#This Row],[Asset]],"Ticker symbol",TRUE)</f>
        <v>SPY</v>
      </c>
      <c r="D506" s="26" cm="1">
        <f t="array" aca="1" ref="D506" ca="1">_FV(Table20[[#This Row],[Asset]],"Price")</f>
        <v>658.59</v>
      </c>
      <c r="E506" s="26">
        <v>575</v>
      </c>
      <c r="F506" s="33">
        <v>1</v>
      </c>
      <c r="G506" s="34">
        <v>1</v>
      </c>
      <c r="H506" s="34" t="s">
        <v>115</v>
      </c>
      <c r="I506" s="31">
        <v>45726</v>
      </c>
      <c r="J506" s="26">
        <v>4.57</v>
      </c>
      <c r="K506" s="24"/>
      <c r="L506" s="33">
        <f>VLOOKUP(Table20[[#This Row],[Strategy]],Table29[#All],6,FALSE)</f>
        <v>1</v>
      </c>
      <c r="M506" s="23">
        <v>1</v>
      </c>
      <c r="N506" s="23">
        <v>0.8</v>
      </c>
      <c r="O506" s="23"/>
      <c r="P506" s="23"/>
      <c r="Q506">
        <f>Table20[[#This Row],[Exit1]]*Table20[[#This Row],[ex1_price]]</f>
        <v>0.8</v>
      </c>
      <c r="R506">
        <f>Table20[[#This Row],[Exit2]]*Table20[[#This Row],[ex2_price]]</f>
        <v>0</v>
      </c>
      <c r="S506">
        <f>IFERROR((Table20[[#This Row],[ex2_amnt]]+Table20[[#This Row],[ex1_amnt]])/(Table20[[#This Row],[Exit2]]+Table20[[#This Row],[Exit1]]),0)</f>
        <v>0.8</v>
      </c>
      <c r="T506" s="5">
        <f>(Table20[[#This Row],[Exit1]]+Table20[[#This Row],[Exit2]])*(Table20[[#This Row],[avg_exit_price]]-Table20[[#This Row],[AvePrice]])*100*Table20[[#This Row],[Buy or Sell]]</f>
        <v>-377.00000000000006</v>
      </c>
      <c r="U506" s="5">
        <f>Table20[[#This Row],[Number of options]]*Table20[[#This Row],[AvePrice]]*100*Table20[[#This Row],[Buy or Sell]]</f>
        <v>457</v>
      </c>
      <c r="V506" s="8">
        <f>Table20[[#This Row],[Number of options]]-Table20[[#This Row],[Exit1]]-Table20[[#This Row],[Exit2]]</f>
        <v>0</v>
      </c>
      <c r="W506" s="30">
        <f ca="1">(Table20[[#This Row],[Expiration Date]]-TODAY())/365</f>
        <v>-1.0136986301369864</v>
      </c>
      <c r="X506" s="30" t="e">
        <f ca="1">(LN(Table20[[#This Row],[Current Price]]/Table20[[#This Row],[strike_price]]) + ($B$2 + (Table20[[#This Row],[Vol]]^2)/2)*Table20[[#This Row],[Time to expiration]]) / (Table20[[#This Row],[Vol]] * SQRT(Table20[[#This Row],[Time to expiration]]))</f>
        <v>#NUM!</v>
      </c>
      <c r="Y506" s="30" t="e">
        <f ca="1">IF(Table20[[#This Row],[Direction]]&gt;0, _xlfn.NORM.S.DIST(Table20[[#This Row],[d1]], TRUE), _xlfn.NORM.S.DIST(Table20[[#This Row],[d1]], TRUE) - 1) * Table20[[#This Row],[Buy or Sell]]</f>
        <v>#NUM!</v>
      </c>
      <c r="Z506" s="9">
        <f ca="1">Table20[[#This Row],[Remaining]]*Table20[[#This Row],[Current Price]]*100</f>
        <v>0</v>
      </c>
      <c r="AA506" s="22">
        <f ca="1">IFERROR(Table20[[#This Row],[nominal_exposure]]*Table20[[#This Row],[Delta]],0)</f>
        <v>0</v>
      </c>
      <c r="AB506" s="30" t="b">
        <f>IF(Table20[[#This Row],[date_purchased]]&lt;&gt;Table20[[#This Row],[Expiration Date]],FALSE,TRUE)</f>
        <v>0</v>
      </c>
      <c r="AC506" s="30" t="str">
        <f>VLOOKUP(Table20[[#This Row],[Asset]],Table19[#All],3,FALSE)</f>
        <v>Market</v>
      </c>
      <c r="AD506" s="30">
        <f>IF(Table20[[#This Row],[Remaining]]&lt;&gt;0,Table20[[#This Row],[Invested]]*Table20[[#This Row],[Remaining]]/Table20[[#This Row],[Number of options]],0)</f>
        <v>0</v>
      </c>
      <c r="AE506" s="30">
        <f ca="1">SUMIF(Table20[Ticker],Table20[[#This Row],[Ticker]],Table20[realized_profit])</f>
        <v>-5077</v>
      </c>
      <c r="AF506" s="30" t="str">
        <f>VLOOKUP(Table20[[#This Row],[Strategy]],Table29[#All],7,FALSE)</f>
        <v>Bullish</v>
      </c>
    </row>
    <row r="507" spans="1:32" hidden="1">
      <c r="A507" s="180">
        <v>45730</v>
      </c>
      <c r="B507" s="21" t="e" vm="63">
        <v>#VALUE!</v>
      </c>
      <c r="C507" s="109" t="str" cm="1">
        <f t="array" aca="1" ref="C507" ca="1">_FV(Table20[[#This Row],[Asset]],"Ticker symbol",TRUE)</f>
        <v>TSLA</v>
      </c>
      <c r="D507" s="26" cm="1">
        <f t="array" aca="1" ref="D507" ca="1">_FV(Table20[[#This Row],[Asset]],"Price")</f>
        <v>394.5401</v>
      </c>
      <c r="E507" s="26">
        <v>250</v>
      </c>
      <c r="F507" s="33">
        <v>1</v>
      </c>
      <c r="G507" s="34">
        <v>1</v>
      </c>
      <c r="H507" s="34" t="s">
        <v>113</v>
      </c>
      <c r="I507" s="31">
        <v>45726</v>
      </c>
      <c r="J507" s="26">
        <v>2.71</v>
      </c>
      <c r="K507" s="24"/>
      <c r="L507" s="33">
        <f>VLOOKUP(Table20[[#This Row],[Strategy]],Table29[#All],6,FALSE)</f>
        <v>1</v>
      </c>
      <c r="M507" s="23">
        <v>1</v>
      </c>
      <c r="N507" s="23">
        <v>2.2400000000000002</v>
      </c>
      <c r="O507" s="23"/>
      <c r="P507" s="23"/>
      <c r="Q507">
        <f>Table20[[#This Row],[Exit1]]*Table20[[#This Row],[ex1_price]]</f>
        <v>2.2400000000000002</v>
      </c>
      <c r="R507">
        <f>Table20[[#This Row],[Exit2]]*Table20[[#This Row],[ex2_price]]</f>
        <v>0</v>
      </c>
      <c r="S507">
        <f>IFERROR((Table20[[#This Row],[ex2_amnt]]+Table20[[#This Row],[ex1_amnt]])/(Table20[[#This Row],[Exit2]]+Table20[[#This Row],[Exit1]]),0)</f>
        <v>2.2400000000000002</v>
      </c>
      <c r="T507" s="5">
        <f>(Table20[[#This Row],[Exit1]]+Table20[[#This Row],[Exit2]])*(Table20[[#This Row],[avg_exit_price]]-Table20[[#This Row],[AvePrice]])*100*Table20[[#This Row],[Buy or Sell]]</f>
        <v>-46.999999999999972</v>
      </c>
      <c r="U507" s="5">
        <f>Table20[[#This Row],[Number of options]]*Table20[[#This Row],[AvePrice]]*100*Table20[[#This Row],[Buy or Sell]]</f>
        <v>271</v>
      </c>
      <c r="V507" s="8">
        <f>Table20[[#This Row],[Number of options]]-Table20[[#This Row],[Exit1]]-Table20[[#This Row],[Exit2]]</f>
        <v>0</v>
      </c>
      <c r="W507" s="30">
        <f ca="1">(Table20[[#This Row],[Expiration Date]]-TODAY())/365</f>
        <v>-1.0328767123287672</v>
      </c>
      <c r="X507" s="30" t="e">
        <f ca="1">(LN(Table20[[#This Row],[Current Price]]/Table20[[#This Row],[strike_price]]) + ($B$2 + (Table20[[#This Row],[Vol]]^2)/2)*Table20[[#This Row],[Time to expiration]]) / (Table20[[#This Row],[Vol]] * SQRT(Table20[[#This Row],[Time to expiration]]))</f>
        <v>#NUM!</v>
      </c>
      <c r="Y507" s="30" t="e">
        <f ca="1">IF(Table20[[#This Row],[Direction]]&gt;0, _xlfn.NORM.S.DIST(Table20[[#This Row],[d1]], TRUE), _xlfn.NORM.S.DIST(Table20[[#This Row],[d1]], TRUE) - 1) * Table20[[#This Row],[Buy or Sell]]</f>
        <v>#NUM!</v>
      </c>
      <c r="Z507" s="9">
        <f ca="1">Table20[[#This Row],[Remaining]]*Table20[[#This Row],[Current Price]]*100</f>
        <v>0</v>
      </c>
      <c r="AA507" s="22">
        <f ca="1">IFERROR(Table20[[#This Row],[nominal_exposure]]*Table20[[#This Row],[Delta]],0)</f>
        <v>0</v>
      </c>
      <c r="AB507" s="30" t="b">
        <f>IF(Table20[[#This Row],[date_purchased]]&lt;&gt;Table20[[#This Row],[Expiration Date]],FALSE,TRUE)</f>
        <v>0</v>
      </c>
      <c r="AC507" s="30" t="str">
        <f>VLOOKUP(Table20[[#This Row],[Asset]],Table19[#All],3,FALSE)</f>
        <v>Auto</v>
      </c>
      <c r="AD507" s="30">
        <f>IF(Table20[[#This Row],[Remaining]]&lt;&gt;0,Table20[[#This Row],[Invested]]*Table20[[#This Row],[Remaining]]/Table20[[#This Row],[Number of options]],0)</f>
        <v>0</v>
      </c>
      <c r="AE507" s="30">
        <f ca="1">SUMIF(Table20[Ticker],Table20[[#This Row],[Ticker]],Table20[realized_profit])</f>
        <v>4153</v>
      </c>
      <c r="AF507" s="30" t="str">
        <f>VLOOKUP(Table20[[#This Row],[Strategy]],Table29[#All],7,FALSE)</f>
        <v>Bullish</v>
      </c>
    </row>
    <row r="508" spans="1:32" hidden="1">
      <c r="A508" s="180">
        <v>45737</v>
      </c>
      <c r="B508" s="21" t="e" vm="144">
        <v>#VALUE!</v>
      </c>
      <c r="C508" s="109" t="str" cm="1">
        <f t="array" aca="1" ref="C508" ca="1">_FV(Table20[[#This Row],[Asset]],"Ticker symbol",TRUE)</f>
        <v>AAPL</v>
      </c>
      <c r="D508" s="26" cm="1">
        <f t="array" aca="1" ref="D508" ca="1">_FV(Table20[[#This Row],[Asset]],"Price")</f>
        <v>253.2</v>
      </c>
      <c r="E508" s="26">
        <v>210</v>
      </c>
      <c r="F508" s="33">
        <v>1</v>
      </c>
      <c r="G508" s="34">
        <v>1</v>
      </c>
      <c r="H508" s="34" t="s">
        <v>65</v>
      </c>
      <c r="I508" s="31">
        <v>45727</v>
      </c>
      <c r="J508" s="26">
        <v>2.14</v>
      </c>
      <c r="K508" s="24"/>
      <c r="L508" s="33">
        <f>VLOOKUP(Table20[[#This Row],[Strategy]],Table29[#All],6,FALSE)</f>
        <v>-1</v>
      </c>
      <c r="M508" s="23">
        <v>1</v>
      </c>
      <c r="N508" s="23">
        <v>2.21</v>
      </c>
      <c r="O508" s="23"/>
      <c r="P508" s="23"/>
      <c r="Q508">
        <f>Table20[[#This Row],[Exit1]]*Table20[[#This Row],[ex1_price]]</f>
        <v>2.21</v>
      </c>
      <c r="R508">
        <f>Table20[[#This Row],[Exit2]]*Table20[[#This Row],[ex2_price]]</f>
        <v>0</v>
      </c>
      <c r="S508">
        <f>IFERROR((Table20[[#This Row],[ex2_amnt]]+Table20[[#This Row],[ex1_amnt]])/(Table20[[#This Row],[Exit2]]+Table20[[#This Row],[Exit1]]),0)</f>
        <v>2.21</v>
      </c>
      <c r="T508" s="5">
        <f>(Table20[[#This Row],[Exit1]]+Table20[[#This Row],[Exit2]])*(Table20[[#This Row],[avg_exit_price]]-Table20[[#This Row],[AvePrice]])*100*Table20[[#This Row],[Buy or Sell]]</f>
        <v>6.999999999999984</v>
      </c>
      <c r="U508" s="5">
        <f>Table20[[#This Row],[Number of options]]*Table20[[#This Row],[AvePrice]]*100*Table20[[#This Row],[Buy or Sell]]</f>
        <v>214</v>
      </c>
      <c r="V508" s="8">
        <f>Table20[[#This Row],[Number of options]]-Table20[[#This Row],[Exit1]]-Table20[[#This Row],[Exit2]]</f>
        <v>0</v>
      </c>
      <c r="W508" s="30">
        <f ca="1">(Table20[[#This Row],[Expiration Date]]-TODAY())/365</f>
        <v>-1.0136986301369864</v>
      </c>
      <c r="X508" s="30" t="e">
        <f ca="1">(LN(Table20[[#This Row],[Current Price]]/Table20[[#This Row],[strike_price]]) + ($B$2 + (Table20[[#This Row],[Vol]]^2)/2)*Table20[[#This Row],[Time to expiration]]) / (Table20[[#This Row],[Vol]] * SQRT(Table20[[#This Row],[Time to expiration]]))</f>
        <v>#NUM!</v>
      </c>
      <c r="Y508" s="30" t="e">
        <f ca="1">IF(Table20[[#This Row],[Direction]]&gt;0, _xlfn.NORM.S.DIST(Table20[[#This Row],[d1]], TRUE), _xlfn.NORM.S.DIST(Table20[[#This Row],[d1]], TRUE) - 1) * Table20[[#This Row],[Buy or Sell]]</f>
        <v>#NUM!</v>
      </c>
      <c r="Z508" s="9">
        <f ca="1">Table20[[#This Row],[Remaining]]*Table20[[#This Row],[Current Price]]*100</f>
        <v>0</v>
      </c>
      <c r="AA508" s="22">
        <f ca="1">IFERROR(Table20[[#This Row],[nominal_exposure]]*Table20[[#This Row],[Delta]],0)</f>
        <v>0</v>
      </c>
      <c r="AB508" s="30" t="b">
        <f>IF(Table20[[#This Row],[date_purchased]]&lt;&gt;Table20[[#This Row],[Expiration Date]],FALSE,TRUE)</f>
        <v>0</v>
      </c>
      <c r="AC508" s="30" t="str">
        <f>VLOOKUP(Table20[[#This Row],[Asset]],Table19[#All],3,FALSE)</f>
        <v>AI</v>
      </c>
      <c r="AD508" s="30">
        <f>IF(Table20[[#This Row],[Remaining]]&lt;&gt;0,Table20[[#This Row],[Invested]]*Table20[[#This Row],[Remaining]]/Table20[[#This Row],[Number of options]],0)</f>
        <v>0</v>
      </c>
      <c r="AE508" s="30">
        <f ca="1">SUMIF(Table20[Ticker],Table20[[#This Row],[Ticker]],Table20[realized_profit])</f>
        <v>-153.9999999999996</v>
      </c>
      <c r="AF508" s="30" t="str">
        <f>VLOOKUP(Table20[[#This Row],[Strategy]],Table29[#All],7,FALSE)</f>
        <v>Bearish</v>
      </c>
    </row>
    <row r="509" spans="1:32" hidden="1">
      <c r="A509" s="180">
        <v>45730</v>
      </c>
      <c r="B509" s="21" t="e" vm="446">
        <v>#VALUE!</v>
      </c>
      <c r="C509" s="109" t="str" cm="1">
        <f t="array" aca="1" ref="C509" ca="1">_FV(Table20[[#This Row],[Asset]],"Ticker symbol",TRUE)</f>
        <v>RDDT</v>
      </c>
      <c r="D509" s="26" cm="1">
        <f t="array" aca="1" ref="D509" ca="1">_FV(Table20[[#This Row],[Asset]],"Price")</f>
        <v>143.06</v>
      </c>
      <c r="E509" s="26">
        <v>100</v>
      </c>
      <c r="F509" s="33">
        <v>2</v>
      </c>
      <c r="G509" s="34">
        <v>1</v>
      </c>
      <c r="H509" s="34" t="s">
        <v>65</v>
      </c>
      <c r="I509" s="31">
        <v>45727</v>
      </c>
      <c r="J509" s="26">
        <v>1.95</v>
      </c>
      <c r="K509" s="24"/>
      <c r="L509" s="33">
        <f>VLOOKUP(Table20[[#This Row],[Strategy]],Table29[#All],6,FALSE)</f>
        <v>-1</v>
      </c>
      <c r="M509" s="23">
        <v>2</v>
      </c>
      <c r="N509" s="23">
        <v>0.78</v>
      </c>
      <c r="O509" s="23"/>
      <c r="P509" s="23"/>
      <c r="Q509">
        <f>Table20[[#This Row],[Exit1]]*Table20[[#This Row],[ex1_price]]</f>
        <v>1.56</v>
      </c>
      <c r="R509">
        <f>Table20[[#This Row],[Exit2]]*Table20[[#This Row],[ex2_price]]</f>
        <v>0</v>
      </c>
      <c r="S509">
        <f>IFERROR((Table20[[#This Row],[ex2_amnt]]+Table20[[#This Row],[ex1_amnt]])/(Table20[[#This Row],[Exit2]]+Table20[[#This Row],[Exit1]]),0)</f>
        <v>0.78</v>
      </c>
      <c r="T509" s="5">
        <f>(Table20[[#This Row],[Exit1]]+Table20[[#This Row],[Exit2]])*(Table20[[#This Row],[avg_exit_price]]-Table20[[#This Row],[AvePrice]])*100*Table20[[#This Row],[Buy or Sell]]</f>
        <v>-234</v>
      </c>
      <c r="U509" s="5">
        <f>Table20[[#This Row],[Number of options]]*Table20[[#This Row],[AvePrice]]*100*Table20[[#This Row],[Buy or Sell]]</f>
        <v>390</v>
      </c>
      <c r="V509" s="8">
        <f>Table20[[#This Row],[Number of options]]-Table20[[#This Row],[Exit1]]-Table20[[#This Row],[Exit2]]</f>
        <v>0</v>
      </c>
      <c r="W509" s="30">
        <f ca="1">(Table20[[#This Row],[Expiration Date]]-TODAY())/365</f>
        <v>-1.0328767123287672</v>
      </c>
      <c r="X509" s="30" t="e">
        <f ca="1">(LN(Table20[[#This Row],[Current Price]]/Table20[[#This Row],[strike_price]]) + ($B$2 + (Table20[[#This Row],[Vol]]^2)/2)*Table20[[#This Row],[Time to expiration]]) / (Table20[[#This Row],[Vol]] * SQRT(Table20[[#This Row],[Time to expiration]]))</f>
        <v>#NUM!</v>
      </c>
      <c r="Y509" s="30" t="e">
        <f ca="1">IF(Table20[[#This Row],[Direction]]&gt;0, _xlfn.NORM.S.DIST(Table20[[#This Row],[d1]], TRUE), _xlfn.NORM.S.DIST(Table20[[#This Row],[d1]], TRUE) - 1) * Table20[[#This Row],[Buy or Sell]]</f>
        <v>#NUM!</v>
      </c>
      <c r="Z509" s="9">
        <f ca="1">Table20[[#This Row],[Remaining]]*Table20[[#This Row],[Current Price]]*100</f>
        <v>0</v>
      </c>
      <c r="AA509" s="22">
        <f ca="1">IFERROR(Table20[[#This Row],[nominal_exposure]]*Table20[[#This Row],[Delta]],0)</f>
        <v>0</v>
      </c>
      <c r="AB509" s="30" t="b">
        <f>IF(Table20[[#This Row],[date_purchased]]&lt;&gt;Table20[[#This Row],[Expiration Date]],FALSE,TRUE)</f>
        <v>0</v>
      </c>
      <c r="AC509" s="30" t="str">
        <f>VLOOKUP(Table20[[#This Row],[Asset]],Table19[#All],3,FALSE)</f>
        <v>Technology</v>
      </c>
      <c r="AD509" s="30">
        <f>IF(Table20[[#This Row],[Remaining]]&lt;&gt;0,Table20[[#This Row],[Invested]]*Table20[[#This Row],[Remaining]]/Table20[[#This Row],[Number of options]],0)</f>
        <v>0</v>
      </c>
      <c r="AE509" s="30">
        <f ca="1">SUMIF(Table20[Ticker],Table20[[#This Row],[Ticker]],Table20[realized_profit])</f>
        <v>1766.0000000000002</v>
      </c>
      <c r="AF509" s="30" t="str">
        <f>VLOOKUP(Table20[[#This Row],[Strategy]],Table29[#All],7,FALSE)</f>
        <v>Bearish</v>
      </c>
    </row>
    <row r="510" spans="1:32" hidden="1">
      <c r="A510" s="180">
        <v>45737</v>
      </c>
      <c r="B510" s="21" t="e" vm="106">
        <v>#VALUE!</v>
      </c>
      <c r="C510" s="109" t="str" cm="1">
        <f t="array" aca="1" ref="C510" ca="1">_FV(Table20[[#This Row],[Asset]],"Ticker symbol",TRUE)</f>
        <v>GLD</v>
      </c>
      <c r="D510" s="26" cm="1">
        <f t="array" aca="1" ref="D510" ca="1">_FV(Table20[[#This Row],[Asset]],"Price")</f>
        <v>419.54</v>
      </c>
      <c r="E510" s="26">
        <v>269</v>
      </c>
      <c r="F510" s="33">
        <v>2</v>
      </c>
      <c r="G510" s="34">
        <v>1</v>
      </c>
      <c r="H510" s="34" t="s">
        <v>65</v>
      </c>
      <c r="I510" s="31">
        <v>45727</v>
      </c>
      <c r="J510" s="26">
        <v>2.9350000000000001</v>
      </c>
      <c r="K510" s="24"/>
      <c r="L510" s="33">
        <f>VLOOKUP(Table20[[#This Row],[Strategy]],Table29[#All],6,FALSE)</f>
        <v>-1</v>
      </c>
      <c r="M510" s="23">
        <v>2</v>
      </c>
      <c r="N510" s="23">
        <v>1.76</v>
      </c>
      <c r="O510" s="23"/>
      <c r="P510" s="23"/>
      <c r="Q510">
        <f>Table20[[#This Row],[Exit1]]*Table20[[#This Row],[ex1_price]]</f>
        <v>3.52</v>
      </c>
      <c r="R510">
        <f>Table20[[#This Row],[Exit2]]*Table20[[#This Row],[ex2_price]]</f>
        <v>0</v>
      </c>
      <c r="S510">
        <f>IFERROR((Table20[[#This Row],[ex2_amnt]]+Table20[[#This Row],[ex1_amnt]])/(Table20[[#This Row],[Exit2]]+Table20[[#This Row],[Exit1]]),0)</f>
        <v>1.76</v>
      </c>
      <c r="T510" s="5">
        <f>(Table20[[#This Row],[Exit1]]+Table20[[#This Row],[Exit2]])*(Table20[[#This Row],[avg_exit_price]]-Table20[[#This Row],[AvePrice]])*100*Table20[[#This Row],[Buy or Sell]]</f>
        <v>-235</v>
      </c>
      <c r="U510" s="5">
        <f>Table20[[#This Row],[Number of options]]*Table20[[#This Row],[AvePrice]]*100*Table20[[#This Row],[Buy or Sell]]</f>
        <v>587</v>
      </c>
      <c r="V510" s="8">
        <f>Table20[[#This Row],[Number of options]]-Table20[[#This Row],[Exit1]]-Table20[[#This Row],[Exit2]]</f>
        <v>0</v>
      </c>
      <c r="W510" s="30">
        <f ca="1">(Table20[[#This Row],[Expiration Date]]-TODAY())/365</f>
        <v>-1.0136986301369864</v>
      </c>
      <c r="X510" s="30" t="e">
        <f ca="1">(LN(Table20[[#This Row],[Current Price]]/Table20[[#This Row],[strike_price]]) + ($B$2 + (Table20[[#This Row],[Vol]]^2)/2)*Table20[[#This Row],[Time to expiration]]) / (Table20[[#This Row],[Vol]] * SQRT(Table20[[#This Row],[Time to expiration]]))</f>
        <v>#NUM!</v>
      </c>
      <c r="Y510" s="30" t="e">
        <f ca="1">IF(Table20[[#This Row],[Direction]]&gt;0, _xlfn.NORM.S.DIST(Table20[[#This Row],[d1]], TRUE), _xlfn.NORM.S.DIST(Table20[[#This Row],[d1]], TRUE) - 1) * Table20[[#This Row],[Buy or Sell]]</f>
        <v>#NUM!</v>
      </c>
      <c r="Z510" s="9">
        <f ca="1">Table20[[#This Row],[Remaining]]*Table20[[#This Row],[Current Price]]*100</f>
        <v>0</v>
      </c>
      <c r="AA510" s="22">
        <f ca="1">IFERROR(Table20[[#This Row],[nominal_exposure]]*Table20[[#This Row],[Delta]],0)</f>
        <v>0</v>
      </c>
      <c r="AB510" s="30" t="b">
        <f>IF(Table20[[#This Row],[date_purchased]]&lt;&gt;Table20[[#This Row],[Expiration Date]],FALSE,TRUE)</f>
        <v>0</v>
      </c>
      <c r="AC510" s="30" t="str">
        <f>VLOOKUP(Table20[[#This Row],[Asset]],Table19[#All],3,FALSE)</f>
        <v>Gold and Silver</v>
      </c>
      <c r="AD510" s="30">
        <f>IF(Table20[[#This Row],[Remaining]]&lt;&gt;0,Table20[[#This Row],[Invested]]*Table20[[#This Row],[Remaining]]/Table20[[#This Row],[Number of options]],0)</f>
        <v>0</v>
      </c>
      <c r="AE510" s="30">
        <f ca="1">SUMIF(Table20[Ticker],Table20[[#This Row],[Ticker]],Table20[realized_profit])</f>
        <v>228</v>
      </c>
      <c r="AF510" s="30" t="str">
        <f>VLOOKUP(Table20[[#This Row],[Strategy]],Table29[#All],7,FALSE)</f>
        <v>Bearish</v>
      </c>
    </row>
    <row r="511" spans="1:32" hidden="1">
      <c r="A511" s="180">
        <v>45744</v>
      </c>
      <c r="B511" s="21" t="e" vm="63">
        <v>#VALUE!</v>
      </c>
      <c r="C511" s="109" t="str" cm="1">
        <f t="array" aca="1" ref="C511" ca="1">_FV(Table20[[#This Row],[Asset]],"Ticker symbol",TRUE)</f>
        <v>TSLA</v>
      </c>
      <c r="D511" s="26" cm="1">
        <f t="array" aca="1" ref="D511" ca="1">_FV(Table20[[#This Row],[Asset]],"Price")</f>
        <v>394.5401</v>
      </c>
      <c r="E511" s="26">
        <v>330</v>
      </c>
      <c r="F511" s="33">
        <v>1</v>
      </c>
      <c r="G511" s="34">
        <v>-1</v>
      </c>
      <c r="H511" s="34" t="s">
        <v>115</v>
      </c>
      <c r="I511" s="31">
        <v>45727</v>
      </c>
      <c r="J511" s="26">
        <v>0.5</v>
      </c>
      <c r="K511" s="24">
        <v>0.72650000000000003</v>
      </c>
      <c r="L511" s="33">
        <f>VLOOKUP(Table20[[#This Row],[Strategy]],Table29[#All],6,FALSE)</f>
        <v>1</v>
      </c>
      <c r="M511" s="23">
        <v>1</v>
      </c>
      <c r="N511" s="23">
        <v>0.09</v>
      </c>
      <c r="O511" s="23"/>
      <c r="P511" s="23"/>
      <c r="Q511">
        <f>Table20[[#This Row],[Exit1]]*Table20[[#This Row],[ex1_price]]</f>
        <v>0.09</v>
      </c>
      <c r="R511">
        <f>Table20[[#This Row],[Exit2]]*Table20[[#This Row],[ex2_price]]</f>
        <v>0</v>
      </c>
      <c r="S511">
        <f>IFERROR((Table20[[#This Row],[ex2_amnt]]+Table20[[#This Row],[ex1_amnt]])/(Table20[[#This Row],[Exit2]]+Table20[[#This Row],[Exit1]]),0)</f>
        <v>0.09</v>
      </c>
      <c r="T511" s="5">
        <f>(Table20[[#This Row],[Exit1]]+Table20[[#This Row],[Exit2]])*(Table20[[#This Row],[avg_exit_price]]-Table20[[#This Row],[AvePrice]])*100*Table20[[#This Row],[Buy or Sell]]</f>
        <v>41</v>
      </c>
      <c r="U511" s="5">
        <f>Table20[[#This Row],[Number of options]]*Table20[[#This Row],[AvePrice]]*100*Table20[[#This Row],[Buy or Sell]]</f>
        <v>-50</v>
      </c>
      <c r="V511" s="8">
        <f>Table20[[#This Row],[Number of options]]-Table20[[#This Row],[Exit1]]-Table20[[#This Row],[Exit2]]</f>
        <v>0</v>
      </c>
      <c r="W511" s="30">
        <f ca="1">(Table20[[#This Row],[Expiration Date]]-TODAY())/365</f>
        <v>-0.9945205479452055</v>
      </c>
      <c r="X511" s="30" t="e">
        <f ca="1">(LN(Table20[[#This Row],[Current Price]]/Table20[[#This Row],[strike_price]]) + ($B$2 + (Table20[[#This Row],[Vol]]^2)/2)*Table20[[#This Row],[Time to expiration]]) / (Table20[[#This Row],[Vol]] * SQRT(Table20[[#This Row],[Time to expiration]]))</f>
        <v>#NUM!</v>
      </c>
      <c r="Y511" s="30" t="e">
        <f ca="1">IF(Table20[[#This Row],[Direction]]&gt;0, _xlfn.NORM.S.DIST(Table20[[#This Row],[d1]], TRUE), _xlfn.NORM.S.DIST(Table20[[#This Row],[d1]], TRUE) - 1) * Table20[[#This Row],[Buy or Sell]]</f>
        <v>#NUM!</v>
      </c>
      <c r="Z511" s="9">
        <f ca="1">Table20[[#This Row],[Remaining]]*Table20[[#This Row],[Current Price]]*100</f>
        <v>0</v>
      </c>
      <c r="AA511" s="22">
        <f ca="1">IFERROR(Table20[[#This Row],[nominal_exposure]]*Table20[[#This Row],[Delta]],0)</f>
        <v>0</v>
      </c>
      <c r="AB511" s="30" t="b">
        <f>IF(Table20[[#This Row],[date_purchased]]&lt;&gt;Table20[[#This Row],[Expiration Date]],FALSE,TRUE)</f>
        <v>0</v>
      </c>
      <c r="AC511" s="30" t="str">
        <f>VLOOKUP(Table20[[#This Row],[Asset]],Table19[#All],3,FALSE)</f>
        <v>Auto</v>
      </c>
      <c r="AD511" s="30">
        <f>IF(Table20[[#This Row],[Remaining]]&lt;&gt;0,Table20[[#This Row],[Invested]]*Table20[[#This Row],[Remaining]]/Table20[[#This Row],[Number of options]],0)</f>
        <v>0</v>
      </c>
      <c r="AE511" s="30">
        <f ca="1">SUMIF(Table20[Ticker],Table20[[#This Row],[Ticker]],Table20[realized_profit])</f>
        <v>4153</v>
      </c>
      <c r="AF511" s="30" t="str">
        <f>VLOOKUP(Table20[[#This Row],[Strategy]],Table29[#All],7,FALSE)</f>
        <v>Bullish</v>
      </c>
    </row>
    <row r="512" spans="1:32" hidden="1">
      <c r="A512" s="180">
        <v>45772</v>
      </c>
      <c r="B512" s="21" t="e" vm="63">
        <v>#VALUE!</v>
      </c>
      <c r="C512" s="109" t="str" cm="1">
        <f t="array" aca="1" ref="C512" ca="1">_FV(Table20[[#This Row],[Asset]],"Ticker symbol",TRUE)</f>
        <v>TSLA</v>
      </c>
      <c r="D512" s="26" cm="1">
        <f t="array" aca="1" ref="D512" ca="1">_FV(Table20[[#This Row],[Asset]],"Price")</f>
        <v>394.5401</v>
      </c>
      <c r="E512" s="26">
        <v>330</v>
      </c>
      <c r="F512" s="33">
        <v>1</v>
      </c>
      <c r="G512" s="34">
        <v>1</v>
      </c>
      <c r="H512" s="34" t="s">
        <v>115</v>
      </c>
      <c r="I512" s="31">
        <v>45727</v>
      </c>
      <c r="J512" s="26">
        <v>2.96</v>
      </c>
      <c r="K512" s="24">
        <v>0.72</v>
      </c>
      <c r="L512" s="33">
        <f>VLOOKUP(Table20[[#This Row],[Strategy]],Table29[#All],6,FALSE)</f>
        <v>1</v>
      </c>
      <c r="M512" s="23">
        <v>1</v>
      </c>
      <c r="N512" s="23">
        <v>7.14</v>
      </c>
      <c r="O512" s="23"/>
      <c r="P512" s="23"/>
      <c r="Q512">
        <f>Table20[[#This Row],[Exit1]]*Table20[[#This Row],[ex1_price]]</f>
        <v>7.14</v>
      </c>
      <c r="R512">
        <f>Table20[[#This Row],[Exit2]]*Table20[[#This Row],[ex2_price]]</f>
        <v>0</v>
      </c>
      <c r="S512">
        <f>IFERROR((Table20[[#This Row],[ex2_amnt]]+Table20[[#This Row],[ex1_amnt]])/(Table20[[#This Row],[Exit2]]+Table20[[#This Row],[Exit1]]),0)</f>
        <v>7.14</v>
      </c>
      <c r="T512" s="5">
        <f>(Table20[[#This Row],[Exit1]]+Table20[[#This Row],[Exit2]])*(Table20[[#This Row],[avg_exit_price]]-Table20[[#This Row],[AvePrice]])*100*Table20[[#This Row],[Buy or Sell]]</f>
        <v>418</v>
      </c>
      <c r="U512" s="5">
        <f>Table20[[#This Row],[Number of options]]*Table20[[#This Row],[AvePrice]]*100*Table20[[#This Row],[Buy or Sell]]</f>
        <v>296</v>
      </c>
      <c r="V512" s="8">
        <f>Table20[[#This Row],[Number of options]]-Table20[[#This Row],[Exit1]]-Table20[[#This Row],[Exit2]]</f>
        <v>0</v>
      </c>
      <c r="W512" s="30">
        <f ca="1">(Table20[[#This Row],[Expiration Date]]-TODAY())/365</f>
        <v>-0.9178082191780822</v>
      </c>
      <c r="X512" s="30" t="e">
        <f ca="1">(LN(Table20[[#This Row],[Current Price]]/Table20[[#This Row],[strike_price]]) + ($B$2 + (Table20[[#This Row],[Vol]]^2)/2)*Table20[[#This Row],[Time to expiration]]) / (Table20[[#This Row],[Vol]] * SQRT(Table20[[#This Row],[Time to expiration]]))</f>
        <v>#NUM!</v>
      </c>
      <c r="Y512" s="30" t="e">
        <f ca="1">IF(Table20[[#This Row],[Direction]]&gt;0, _xlfn.NORM.S.DIST(Table20[[#This Row],[d1]], TRUE), _xlfn.NORM.S.DIST(Table20[[#This Row],[d1]], TRUE) - 1) * Table20[[#This Row],[Buy or Sell]]</f>
        <v>#NUM!</v>
      </c>
      <c r="Z512" s="9">
        <f ca="1">Table20[[#This Row],[Remaining]]*Table20[[#This Row],[Current Price]]*100</f>
        <v>0</v>
      </c>
      <c r="AA512" s="22">
        <f ca="1">IFERROR(Table20[[#This Row],[nominal_exposure]]*Table20[[#This Row],[Delta]],0)</f>
        <v>0</v>
      </c>
      <c r="AB512" s="30" t="b">
        <f>IF(Table20[[#This Row],[date_purchased]]&lt;&gt;Table20[[#This Row],[Expiration Date]],FALSE,TRUE)</f>
        <v>0</v>
      </c>
      <c r="AC512" s="30" t="str">
        <f>VLOOKUP(Table20[[#This Row],[Asset]],Table19[#All],3,FALSE)</f>
        <v>Auto</v>
      </c>
      <c r="AD512" s="30">
        <f>IF(Table20[[#This Row],[Remaining]]&lt;&gt;0,Table20[[#This Row],[Invested]]*Table20[[#This Row],[Remaining]]/Table20[[#This Row],[Number of options]],0)</f>
        <v>0</v>
      </c>
      <c r="AE512" s="30">
        <f ca="1">SUMIF(Table20[Ticker],Table20[[#This Row],[Ticker]],Table20[realized_profit])</f>
        <v>4153</v>
      </c>
      <c r="AF512" s="30" t="str">
        <f>VLOOKUP(Table20[[#This Row],[Strategy]],Table29[#All],7,FALSE)</f>
        <v>Bullish</v>
      </c>
    </row>
    <row r="513" spans="1:32" hidden="1">
      <c r="A513" s="180">
        <v>45730</v>
      </c>
      <c r="B513" s="21" t="e" vm="96">
        <v>#VALUE!</v>
      </c>
      <c r="C513" s="109" t="str" cm="1">
        <f t="array" aca="1" ref="C513" ca="1">_FV(Table20[[#This Row],[Asset]],"Ticker symbol",TRUE)</f>
        <v>SPY</v>
      </c>
      <c r="D513" s="26" cm="1">
        <f t="array" aca="1" ref="D513" ca="1">_FV(Table20[[#This Row],[Asset]],"Price")</f>
        <v>658.59</v>
      </c>
      <c r="E513" s="26">
        <v>575</v>
      </c>
      <c r="F513" s="33">
        <v>2</v>
      </c>
      <c r="G513" s="34">
        <v>-1</v>
      </c>
      <c r="H513" s="34" t="s">
        <v>115</v>
      </c>
      <c r="I513" s="31">
        <v>45727</v>
      </c>
      <c r="J513" s="26">
        <v>1.36</v>
      </c>
      <c r="K513" s="24"/>
      <c r="L513" s="33">
        <f>VLOOKUP(Table20[[#This Row],[Strategy]],Table29[#All],6,FALSE)</f>
        <v>1</v>
      </c>
      <c r="M513" s="23">
        <v>2</v>
      </c>
      <c r="N513" s="23">
        <v>0</v>
      </c>
      <c r="O513" s="23"/>
      <c r="P513" s="23"/>
      <c r="Q513">
        <f>Table20[[#This Row],[Exit1]]*Table20[[#This Row],[ex1_price]]</f>
        <v>0</v>
      </c>
      <c r="R513">
        <f>Table20[[#This Row],[Exit2]]*Table20[[#This Row],[ex2_price]]</f>
        <v>0</v>
      </c>
      <c r="S513">
        <f>IFERROR((Table20[[#This Row],[ex2_amnt]]+Table20[[#This Row],[ex1_amnt]])/(Table20[[#This Row],[Exit2]]+Table20[[#This Row],[Exit1]]),0)</f>
        <v>0</v>
      </c>
      <c r="T513" s="5">
        <f>(Table20[[#This Row],[Exit1]]+Table20[[#This Row],[Exit2]])*(Table20[[#This Row],[avg_exit_price]]-Table20[[#This Row],[AvePrice]])*100*Table20[[#This Row],[Buy or Sell]]</f>
        <v>272</v>
      </c>
      <c r="U513" s="5">
        <f>Table20[[#This Row],[Number of options]]*Table20[[#This Row],[AvePrice]]*100*Table20[[#This Row],[Buy or Sell]]</f>
        <v>-272</v>
      </c>
      <c r="V513" s="8">
        <f>Table20[[#This Row],[Number of options]]-Table20[[#This Row],[Exit1]]-Table20[[#This Row],[Exit2]]</f>
        <v>0</v>
      </c>
      <c r="W513" s="30">
        <f ca="1">(Table20[[#This Row],[Expiration Date]]-TODAY())/365</f>
        <v>-1.0328767123287672</v>
      </c>
      <c r="X513" s="30" t="e">
        <f ca="1">(LN(Table20[[#This Row],[Current Price]]/Table20[[#This Row],[strike_price]]) + ($B$2 + (Table20[[#This Row],[Vol]]^2)/2)*Table20[[#This Row],[Time to expiration]]) / (Table20[[#This Row],[Vol]] * SQRT(Table20[[#This Row],[Time to expiration]]))</f>
        <v>#NUM!</v>
      </c>
      <c r="Y513" s="30" t="e">
        <f ca="1">IF(Table20[[#This Row],[Direction]]&gt;0, _xlfn.NORM.S.DIST(Table20[[#This Row],[d1]], TRUE), _xlfn.NORM.S.DIST(Table20[[#This Row],[d1]], TRUE) - 1) * Table20[[#This Row],[Buy or Sell]]</f>
        <v>#NUM!</v>
      </c>
      <c r="Z513" s="9">
        <f ca="1">Table20[[#This Row],[Remaining]]*Table20[[#This Row],[Current Price]]*100</f>
        <v>0</v>
      </c>
      <c r="AA513" s="22">
        <f ca="1">IFERROR(Table20[[#This Row],[nominal_exposure]]*Table20[[#This Row],[Delta]],0)</f>
        <v>0</v>
      </c>
      <c r="AB513" s="30" t="b">
        <f>IF(Table20[[#This Row],[date_purchased]]&lt;&gt;Table20[[#This Row],[Expiration Date]],FALSE,TRUE)</f>
        <v>0</v>
      </c>
      <c r="AC513" s="30" t="str">
        <f>VLOOKUP(Table20[[#This Row],[Asset]],Table19[#All],3,FALSE)</f>
        <v>Market</v>
      </c>
      <c r="AD513" s="30">
        <f>IF(Table20[[#This Row],[Remaining]]&lt;&gt;0,Table20[[#This Row],[Invested]]*Table20[[#This Row],[Remaining]]/Table20[[#This Row],[Number of options]],0)</f>
        <v>0</v>
      </c>
      <c r="AE513" s="30">
        <f ca="1">SUMIF(Table20[Ticker],Table20[[#This Row],[Ticker]],Table20[realized_profit])</f>
        <v>-5077</v>
      </c>
      <c r="AF513" s="30" t="str">
        <f>VLOOKUP(Table20[[#This Row],[Strategy]],Table29[#All],7,FALSE)</f>
        <v>Bullish</v>
      </c>
    </row>
    <row r="514" spans="1:32" hidden="1">
      <c r="A514" s="180">
        <v>45733</v>
      </c>
      <c r="B514" s="21" t="e" vm="96">
        <v>#VALUE!</v>
      </c>
      <c r="C514" s="109" t="str" cm="1">
        <f t="array" aca="1" ref="C514" ca="1">_FV(Table20[[#This Row],[Asset]],"Ticker symbol",TRUE)</f>
        <v>SPY</v>
      </c>
      <c r="D514" s="26" cm="1">
        <f t="array" aca="1" ref="D514" ca="1">_FV(Table20[[#This Row],[Asset]],"Price")</f>
        <v>658.59</v>
      </c>
      <c r="E514" s="26">
        <v>575</v>
      </c>
      <c r="F514" s="33">
        <v>2</v>
      </c>
      <c r="G514" s="34">
        <v>1</v>
      </c>
      <c r="H514" s="34" t="s">
        <v>115</v>
      </c>
      <c r="I514" s="31">
        <v>45727</v>
      </c>
      <c r="J514" s="26">
        <v>1.87</v>
      </c>
      <c r="K514" s="24"/>
      <c r="L514" s="33">
        <f>VLOOKUP(Table20[[#This Row],[Strategy]],Table29[#All],6,FALSE)</f>
        <v>1</v>
      </c>
      <c r="M514" s="23">
        <v>2</v>
      </c>
      <c r="N514" s="23">
        <v>0</v>
      </c>
      <c r="O514" s="23"/>
      <c r="P514" s="23"/>
      <c r="Q514">
        <f>Table20[[#This Row],[Exit1]]*Table20[[#This Row],[ex1_price]]</f>
        <v>0</v>
      </c>
      <c r="R514">
        <f>Table20[[#This Row],[Exit2]]*Table20[[#This Row],[ex2_price]]</f>
        <v>0</v>
      </c>
      <c r="S514">
        <f>IFERROR((Table20[[#This Row],[ex2_amnt]]+Table20[[#This Row],[ex1_amnt]])/(Table20[[#This Row],[Exit2]]+Table20[[#This Row],[Exit1]]),0)</f>
        <v>0</v>
      </c>
      <c r="T514" s="5">
        <f>(Table20[[#This Row],[Exit1]]+Table20[[#This Row],[Exit2]])*(Table20[[#This Row],[avg_exit_price]]-Table20[[#This Row],[AvePrice]])*100*Table20[[#This Row],[Buy or Sell]]</f>
        <v>-374</v>
      </c>
      <c r="U514" s="5">
        <f>Table20[[#This Row],[Number of options]]*Table20[[#This Row],[AvePrice]]*100*Table20[[#This Row],[Buy or Sell]]</f>
        <v>374</v>
      </c>
      <c r="V514" s="8">
        <f>Table20[[#This Row],[Number of options]]-Table20[[#This Row],[Exit1]]-Table20[[#This Row],[Exit2]]</f>
        <v>0</v>
      </c>
      <c r="W514" s="30">
        <f ca="1">(Table20[[#This Row],[Expiration Date]]-TODAY())/365</f>
        <v>-1.0246575342465754</v>
      </c>
      <c r="X514" s="30" t="e">
        <f ca="1">(LN(Table20[[#This Row],[Current Price]]/Table20[[#This Row],[strike_price]]) + ($B$2 + (Table20[[#This Row],[Vol]]^2)/2)*Table20[[#This Row],[Time to expiration]]) / (Table20[[#This Row],[Vol]] * SQRT(Table20[[#This Row],[Time to expiration]]))</f>
        <v>#NUM!</v>
      </c>
      <c r="Y514" s="30" t="e">
        <f ca="1">IF(Table20[[#This Row],[Direction]]&gt;0, _xlfn.NORM.S.DIST(Table20[[#This Row],[d1]], TRUE), _xlfn.NORM.S.DIST(Table20[[#This Row],[d1]], TRUE) - 1) * Table20[[#This Row],[Buy or Sell]]</f>
        <v>#NUM!</v>
      </c>
      <c r="Z514" s="9">
        <f ca="1">Table20[[#This Row],[Remaining]]*Table20[[#This Row],[Current Price]]*100</f>
        <v>0</v>
      </c>
      <c r="AA514" s="22">
        <f ca="1">IFERROR(Table20[[#This Row],[nominal_exposure]]*Table20[[#This Row],[Delta]],0)</f>
        <v>0</v>
      </c>
      <c r="AB514" s="30" t="b">
        <f>IF(Table20[[#This Row],[date_purchased]]&lt;&gt;Table20[[#This Row],[Expiration Date]],FALSE,TRUE)</f>
        <v>0</v>
      </c>
      <c r="AC514" s="30" t="str">
        <f>VLOOKUP(Table20[[#This Row],[Asset]],Table19[#All],3,FALSE)</f>
        <v>Market</v>
      </c>
      <c r="AD514" s="30">
        <f>IF(Table20[[#This Row],[Remaining]]&lt;&gt;0,Table20[[#This Row],[Invested]]*Table20[[#This Row],[Remaining]]/Table20[[#This Row],[Number of options]],0)</f>
        <v>0</v>
      </c>
      <c r="AE514" s="30">
        <f ca="1">SUMIF(Table20[Ticker],Table20[[#This Row],[Ticker]],Table20[realized_profit])</f>
        <v>-5077</v>
      </c>
      <c r="AF514" s="30" t="str">
        <f>VLOOKUP(Table20[[#This Row],[Strategy]],Table29[#All],7,FALSE)</f>
        <v>Bullish</v>
      </c>
    </row>
    <row r="515" spans="1:32" hidden="1">
      <c r="A515" s="180">
        <v>45828</v>
      </c>
      <c r="B515" s="21" t="e" vm="547">
        <v>#VALUE!</v>
      </c>
      <c r="C515" s="109" t="str" cm="1">
        <f t="array" aca="1" ref="C515" ca="1">_FV(Table20[[#This Row],[Asset]],"Ticker symbol",TRUE)</f>
        <v>HD</v>
      </c>
      <c r="D515" s="26" cm="1">
        <f t="array" aca="1" ref="D515" ca="1">_FV(Table20[[#This Row],[Asset]],"Price")</f>
        <v>330.05</v>
      </c>
      <c r="E515" s="26">
        <v>300</v>
      </c>
      <c r="F515" s="33">
        <v>1</v>
      </c>
      <c r="G515" s="34">
        <v>1</v>
      </c>
      <c r="H515" s="34" t="s">
        <v>65</v>
      </c>
      <c r="I515" s="31">
        <v>45727</v>
      </c>
      <c r="J515" s="26">
        <v>3.95</v>
      </c>
      <c r="K515" s="24"/>
      <c r="L515" s="33">
        <f>VLOOKUP(Table20[[#This Row],[Strategy]],Table29[#All],6,FALSE)</f>
        <v>-1</v>
      </c>
      <c r="M515" s="23">
        <v>1</v>
      </c>
      <c r="N515" s="23">
        <v>4.3</v>
      </c>
      <c r="O515" s="23"/>
      <c r="P515" s="23"/>
      <c r="Q515">
        <f>Table20[[#This Row],[Exit1]]*Table20[[#This Row],[ex1_price]]</f>
        <v>4.3</v>
      </c>
      <c r="R515">
        <f>Table20[[#This Row],[Exit2]]*Table20[[#This Row],[ex2_price]]</f>
        <v>0</v>
      </c>
      <c r="S515">
        <f>IFERROR((Table20[[#This Row],[ex2_amnt]]+Table20[[#This Row],[ex1_amnt]])/(Table20[[#This Row],[Exit2]]+Table20[[#This Row],[Exit1]]),0)</f>
        <v>4.3</v>
      </c>
      <c r="T515" s="5">
        <f>(Table20[[#This Row],[Exit1]]+Table20[[#This Row],[Exit2]])*(Table20[[#This Row],[avg_exit_price]]-Table20[[#This Row],[AvePrice]])*100*Table20[[#This Row],[Buy or Sell]]</f>
        <v>34.999999999999964</v>
      </c>
      <c r="U515" s="5">
        <f>Table20[[#This Row],[Number of options]]*Table20[[#This Row],[AvePrice]]*100*Table20[[#This Row],[Buy or Sell]]</f>
        <v>395</v>
      </c>
      <c r="V515" s="8">
        <f>Table20[[#This Row],[Number of options]]-Table20[[#This Row],[Exit1]]-Table20[[#This Row],[Exit2]]</f>
        <v>0</v>
      </c>
      <c r="W515" s="30">
        <f ca="1">(Table20[[#This Row],[Expiration Date]]-TODAY())/365</f>
        <v>-0.76438356164383559</v>
      </c>
      <c r="X515" s="30" t="e">
        <f ca="1">(LN(Table20[[#This Row],[Current Price]]/Table20[[#This Row],[strike_price]]) + ($B$2 + (Table20[[#This Row],[Vol]]^2)/2)*Table20[[#This Row],[Time to expiration]]) / (Table20[[#This Row],[Vol]] * SQRT(Table20[[#This Row],[Time to expiration]]))</f>
        <v>#NUM!</v>
      </c>
      <c r="Y515" s="30" t="e">
        <f ca="1">IF(Table20[[#This Row],[Direction]]&gt;0, _xlfn.NORM.S.DIST(Table20[[#This Row],[d1]], TRUE), _xlfn.NORM.S.DIST(Table20[[#This Row],[d1]], TRUE) - 1) * Table20[[#This Row],[Buy or Sell]]</f>
        <v>#NUM!</v>
      </c>
      <c r="Z515" s="9">
        <f ca="1">Table20[[#This Row],[Remaining]]*Table20[[#This Row],[Current Price]]*100</f>
        <v>0</v>
      </c>
      <c r="AA515" s="22">
        <f ca="1">IFERROR(Table20[[#This Row],[nominal_exposure]]*Table20[[#This Row],[Delta]],0)</f>
        <v>0</v>
      </c>
      <c r="AB515" s="30" t="b">
        <f>IF(Table20[[#This Row],[date_purchased]]&lt;&gt;Table20[[#This Row],[Expiration Date]],FALSE,TRUE)</f>
        <v>0</v>
      </c>
      <c r="AC515" s="30" t="str">
        <f>VLOOKUP(Table20[[#This Row],[Asset]],Table19[#All],3,FALSE)</f>
        <v>Real estate</v>
      </c>
      <c r="AD515" s="30">
        <f>IF(Table20[[#This Row],[Remaining]]&lt;&gt;0,Table20[[#This Row],[Invested]]*Table20[[#This Row],[Remaining]]/Table20[[#This Row],[Number of options]],0)</f>
        <v>0</v>
      </c>
      <c r="AE515" s="30">
        <f ca="1">SUMIF(Table20[Ticker],Table20[[#This Row],[Ticker]],Table20[realized_profit])</f>
        <v>1151</v>
      </c>
      <c r="AF515" s="30" t="str">
        <f>VLOOKUP(Table20[[#This Row],[Strategy]],Table29[#All],7,FALSE)</f>
        <v>Bearish</v>
      </c>
    </row>
    <row r="516" spans="1:32" hidden="1">
      <c r="A516" s="180">
        <v>45828</v>
      </c>
      <c r="B516" s="21" t="e" vm="63">
        <v>#VALUE!</v>
      </c>
      <c r="C516" s="109" t="str" cm="1">
        <f t="array" aca="1" ref="C516" ca="1">_FV(Table20[[#This Row],[Asset]],"Ticker symbol",TRUE)</f>
        <v>TSLA</v>
      </c>
      <c r="D516" s="26" cm="1">
        <f t="array" aca="1" ref="D516" ca="1">_FV(Table20[[#This Row],[Asset]],"Price")</f>
        <v>394.5401</v>
      </c>
      <c r="E516" s="26">
        <v>360</v>
      </c>
      <c r="F516" s="33">
        <v>1</v>
      </c>
      <c r="G516" s="34">
        <v>1</v>
      </c>
      <c r="H516" s="34" t="s">
        <v>113</v>
      </c>
      <c r="I516" s="31">
        <v>45727</v>
      </c>
      <c r="J516" s="26">
        <v>6.25</v>
      </c>
      <c r="K516" s="24">
        <v>0.63859999999999995</v>
      </c>
      <c r="L516" s="33">
        <f>VLOOKUP(Table20[[#This Row],[Strategy]],Table29[#All],6,FALSE)</f>
        <v>1</v>
      </c>
      <c r="M516" s="23">
        <v>1</v>
      </c>
      <c r="N516" s="23">
        <v>8.3000000000000007</v>
      </c>
      <c r="O516" s="23"/>
      <c r="P516" s="23"/>
      <c r="Q516">
        <f>Table20[[#This Row],[Exit1]]*Table20[[#This Row],[ex1_price]]</f>
        <v>8.3000000000000007</v>
      </c>
      <c r="R516">
        <f>Table20[[#This Row],[Exit2]]*Table20[[#This Row],[ex2_price]]</f>
        <v>0</v>
      </c>
      <c r="S516">
        <f>IFERROR((Table20[[#This Row],[ex2_amnt]]+Table20[[#This Row],[ex1_amnt]])/(Table20[[#This Row],[Exit2]]+Table20[[#This Row],[Exit1]]),0)</f>
        <v>8.3000000000000007</v>
      </c>
      <c r="T516" s="5">
        <f>(Table20[[#This Row],[Exit1]]+Table20[[#This Row],[Exit2]])*(Table20[[#This Row],[avg_exit_price]]-Table20[[#This Row],[AvePrice]])*100*Table20[[#This Row],[Buy or Sell]]</f>
        <v>205.00000000000006</v>
      </c>
      <c r="U516" s="5">
        <f>Table20[[#This Row],[Number of options]]*Table20[[#This Row],[AvePrice]]*100*Table20[[#This Row],[Buy or Sell]]</f>
        <v>625</v>
      </c>
      <c r="V516" s="8">
        <f>Table20[[#This Row],[Number of options]]-Table20[[#This Row],[Exit1]]-Table20[[#This Row],[Exit2]]</f>
        <v>0</v>
      </c>
      <c r="W516" s="30">
        <f ca="1">(Table20[[#This Row],[Expiration Date]]-TODAY())/365</f>
        <v>-0.76438356164383559</v>
      </c>
      <c r="X516" s="30" t="e">
        <f ca="1">(LN(Table20[[#This Row],[Current Price]]/Table20[[#This Row],[strike_price]]) + ($B$2 + (Table20[[#This Row],[Vol]]^2)/2)*Table20[[#This Row],[Time to expiration]]) / (Table20[[#This Row],[Vol]] * SQRT(Table20[[#This Row],[Time to expiration]]))</f>
        <v>#NUM!</v>
      </c>
      <c r="Y516" s="30" t="e">
        <f ca="1">IF(Table20[[#This Row],[Direction]]&gt;0, _xlfn.NORM.S.DIST(Table20[[#This Row],[d1]], TRUE), _xlfn.NORM.S.DIST(Table20[[#This Row],[d1]], TRUE) - 1) * Table20[[#This Row],[Buy or Sell]]</f>
        <v>#NUM!</v>
      </c>
      <c r="Z516" s="9">
        <f ca="1">Table20[[#This Row],[Remaining]]*Table20[[#This Row],[Current Price]]*100</f>
        <v>0</v>
      </c>
      <c r="AA516" s="22">
        <f ca="1">IFERROR(Table20[[#This Row],[nominal_exposure]]*Table20[[#This Row],[Delta]],0)</f>
        <v>0</v>
      </c>
      <c r="AB516" s="30" t="b">
        <f>IF(Table20[[#This Row],[date_purchased]]&lt;&gt;Table20[[#This Row],[Expiration Date]],FALSE,TRUE)</f>
        <v>0</v>
      </c>
      <c r="AC516" s="30" t="str">
        <f>VLOOKUP(Table20[[#This Row],[Asset]],Table19[#All],3,FALSE)</f>
        <v>Auto</v>
      </c>
      <c r="AD516" s="30">
        <f>IF(Table20[[#This Row],[Remaining]]&lt;&gt;0,Table20[[#This Row],[Invested]]*Table20[[#This Row],[Remaining]]/Table20[[#This Row],[Number of options]],0)</f>
        <v>0</v>
      </c>
      <c r="AE516" s="30">
        <f ca="1">SUMIF(Table20[Ticker],Table20[[#This Row],[Ticker]],Table20[realized_profit])</f>
        <v>4153</v>
      </c>
      <c r="AF516" s="30" t="str">
        <f>VLOOKUP(Table20[[#This Row],[Strategy]],Table29[#All],7,FALSE)</f>
        <v>Bullish</v>
      </c>
    </row>
    <row r="517" spans="1:32" hidden="1">
      <c r="A517" s="180">
        <v>45737</v>
      </c>
      <c r="B517" s="21" t="e" vm="144">
        <v>#VALUE!</v>
      </c>
      <c r="C517" s="109" t="str" cm="1">
        <f t="array" aca="1" ref="C517" ca="1">_FV(Table20[[#This Row],[Asset]],"Ticker symbol",TRUE)</f>
        <v>AAPL</v>
      </c>
      <c r="D517" s="26" cm="1">
        <f t="array" aca="1" ref="D517" ca="1">_FV(Table20[[#This Row],[Asset]],"Price")</f>
        <v>253.2</v>
      </c>
      <c r="E517" s="26">
        <v>210</v>
      </c>
      <c r="F517" s="33">
        <v>1</v>
      </c>
      <c r="G517" s="34">
        <v>1</v>
      </c>
      <c r="H517" s="34" t="s">
        <v>65</v>
      </c>
      <c r="I517" s="31">
        <v>45729</v>
      </c>
      <c r="J517" s="26">
        <v>2.84</v>
      </c>
      <c r="K517" s="24"/>
      <c r="L517" s="33">
        <f>VLOOKUP(Table20[[#This Row],[Strategy]],Table29[#All],6,FALSE)</f>
        <v>-1</v>
      </c>
      <c r="M517" s="23">
        <v>1</v>
      </c>
      <c r="N517" s="23">
        <v>3.05</v>
      </c>
      <c r="O517" s="23"/>
      <c r="P517" s="23"/>
      <c r="Q517">
        <f>Table20[[#This Row],[Exit1]]*Table20[[#This Row],[ex1_price]]</f>
        <v>3.05</v>
      </c>
      <c r="R517">
        <f>Table20[[#This Row],[Exit2]]*Table20[[#This Row],[ex2_price]]</f>
        <v>0</v>
      </c>
      <c r="S517">
        <f>IFERROR((Table20[[#This Row],[ex2_amnt]]+Table20[[#This Row],[ex1_amnt]])/(Table20[[#This Row],[Exit2]]+Table20[[#This Row],[Exit1]]),0)</f>
        <v>3.05</v>
      </c>
      <c r="T517" s="5">
        <f>(Table20[[#This Row],[Exit1]]+Table20[[#This Row],[Exit2]])*(Table20[[#This Row],[avg_exit_price]]-Table20[[#This Row],[AvePrice]])*100*Table20[[#This Row],[Buy or Sell]]</f>
        <v>20.999999999999996</v>
      </c>
      <c r="U517" s="5">
        <f>Table20[[#This Row],[Number of options]]*Table20[[#This Row],[AvePrice]]*100*Table20[[#This Row],[Buy or Sell]]</f>
        <v>284</v>
      </c>
      <c r="V517" s="8">
        <f>Table20[[#This Row],[Number of options]]-Table20[[#This Row],[Exit1]]-Table20[[#This Row],[Exit2]]</f>
        <v>0</v>
      </c>
      <c r="W517" s="30">
        <f ca="1">(Table20[[#This Row],[Expiration Date]]-TODAY())/365</f>
        <v>-1.0136986301369864</v>
      </c>
      <c r="X517" s="30" t="e">
        <f ca="1">(LN(Table20[[#This Row],[Current Price]]/Table20[[#This Row],[strike_price]]) + ($B$2 + (Table20[[#This Row],[Vol]]^2)/2)*Table20[[#This Row],[Time to expiration]]) / (Table20[[#This Row],[Vol]] * SQRT(Table20[[#This Row],[Time to expiration]]))</f>
        <v>#NUM!</v>
      </c>
      <c r="Y517" s="30" t="e">
        <f ca="1">IF(Table20[[#This Row],[Direction]]&gt;0, _xlfn.NORM.S.DIST(Table20[[#This Row],[d1]], TRUE), _xlfn.NORM.S.DIST(Table20[[#This Row],[d1]], TRUE) - 1) * Table20[[#This Row],[Buy or Sell]]</f>
        <v>#NUM!</v>
      </c>
      <c r="Z517" s="9">
        <f ca="1">Table20[[#This Row],[Remaining]]*Table20[[#This Row],[Current Price]]*100</f>
        <v>0</v>
      </c>
      <c r="AA517" s="22">
        <f ca="1">IFERROR(Table20[[#This Row],[nominal_exposure]]*Table20[[#This Row],[Delta]],0)</f>
        <v>0</v>
      </c>
      <c r="AB517" s="30" t="b">
        <f>IF(Table20[[#This Row],[date_purchased]]&lt;&gt;Table20[[#This Row],[Expiration Date]],FALSE,TRUE)</f>
        <v>0</v>
      </c>
      <c r="AC517" s="30" t="str">
        <f>VLOOKUP(Table20[[#This Row],[Asset]],Table19[#All],3,FALSE)</f>
        <v>AI</v>
      </c>
      <c r="AD517" s="30">
        <f>IF(Table20[[#This Row],[Remaining]]&lt;&gt;0,Table20[[#This Row],[Invested]]*Table20[[#This Row],[Remaining]]/Table20[[#This Row],[Number of options]],0)</f>
        <v>0</v>
      </c>
      <c r="AE517" s="30">
        <f ca="1">SUMIF(Table20[Ticker],Table20[[#This Row],[Ticker]],Table20[realized_profit])</f>
        <v>-153.9999999999996</v>
      </c>
      <c r="AF517" s="30" t="str">
        <f>VLOOKUP(Table20[[#This Row],[Strategy]],Table29[#All],7,FALSE)</f>
        <v>Bearish</v>
      </c>
    </row>
    <row r="518" spans="1:32" hidden="1">
      <c r="A518" s="180">
        <v>45737</v>
      </c>
      <c r="B518" s="21" t="e" vm="102">
        <v>#VALUE!</v>
      </c>
      <c r="C518" s="109" t="str" cm="1">
        <f t="array" aca="1" ref="C518" ca="1">_FV(Table20[[#This Row],[Asset]],"Ticker symbol",TRUE)</f>
        <v>GM</v>
      </c>
      <c r="D518" s="26" cm="1">
        <f t="array" aca="1" ref="D518" ca="1">_FV(Table20[[#This Row],[Asset]],"Price")</f>
        <v>77.844999999999999</v>
      </c>
      <c r="E518" s="26">
        <v>48.5</v>
      </c>
      <c r="F518" s="33">
        <v>4</v>
      </c>
      <c r="G518" s="34">
        <v>1</v>
      </c>
      <c r="H518" s="34" t="s">
        <v>65</v>
      </c>
      <c r="I518" s="31">
        <v>45729</v>
      </c>
      <c r="J518" s="26">
        <v>1.01</v>
      </c>
      <c r="K518" s="24"/>
      <c r="L518" s="33">
        <f>VLOOKUP(Table20[[#This Row],[Strategy]],Table29[#All],6,FALSE)</f>
        <v>-1</v>
      </c>
      <c r="M518" s="23">
        <v>4</v>
      </c>
      <c r="N518" s="23">
        <v>0.18</v>
      </c>
      <c r="O518" s="23"/>
      <c r="P518" s="23"/>
      <c r="Q518">
        <f>Table20[[#This Row],[Exit1]]*Table20[[#This Row],[ex1_price]]</f>
        <v>0.72</v>
      </c>
      <c r="R518">
        <f>Table20[[#This Row],[Exit2]]*Table20[[#This Row],[ex2_price]]</f>
        <v>0</v>
      </c>
      <c r="S518">
        <f>IFERROR((Table20[[#This Row],[ex2_amnt]]+Table20[[#This Row],[ex1_amnt]])/(Table20[[#This Row],[Exit2]]+Table20[[#This Row],[Exit1]]),0)</f>
        <v>0.18</v>
      </c>
      <c r="T518" s="5">
        <f>(Table20[[#This Row],[Exit1]]+Table20[[#This Row],[Exit2]])*(Table20[[#This Row],[avg_exit_price]]-Table20[[#This Row],[AvePrice]])*100*Table20[[#This Row],[Buy or Sell]]</f>
        <v>-332</v>
      </c>
      <c r="U518" s="5">
        <f>Table20[[#This Row],[Number of options]]*Table20[[#This Row],[AvePrice]]*100*Table20[[#This Row],[Buy or Sell]]</f>
        <v>404</v>
      </c>
      <c r="V518" s="8">
        <f>Table20[[#This Row],[Number of options]]-Table20[[#This Row],[Exit1]]-Table20[[#This Row],[Exit2]]</f>
        <v>0</v>
      </c>
      <c r="W518" s="30">
        <f ca="1">(Table20[[#This Row],[Expiration Date]]-TODAY())/365</f>
        <v>-1.0136986301369864</v>
      </c>
      <c r="X518" s="30" t="e">
        <f ca="1">(LN(Table20[[#This Row],[Current Price]]/Table20[[#This Row],[strike_price]]) + ($B$2 + (Table20[[#This Row],[Vol]]^2)/2)*Table20[[#This Row],[Time to expiration]]) / (Table20[[#This Row],[Vol]] * SQRT(Table20[[#This Row],[Time to expiration]]))</f>
        <v>#NUM!</v>
      </c>
      <c r="Y518" s="30" t="e">
        <f ca="1">IF(Table20[[#This Row],[Direction]]&gt;0, _xlfn.NORM.S.DIST(Table20[[#This Row],[d1]], TRUE), _xlfn.NORM.S.DIST(Table20[[#This Row],[d1]], TRUE) - 1) * Table20[[#This Row],[Buy or Sell]]</f>
        <v>#NUM!</v>
      </c>
      <c r="Z518" s="9">
        <f ca="1">Table20[[#This Row],[Remaining]]*Table20[[#This Row],[Current Price]]*100</f>
        <v>0</v>
      </c>
      <c r="AA518" s="22">
        <f ca="1">IFERROR(Table20[[#This Row],[nominal_exposure]]*Table20[[#This Row],[Delta]],0)</f>
        <v>0</v>
      </c>
      <c r="AB518" s="30" t="b">
        <f>IF(Table20[[#This Row],[date_purchased]]&lt;&gt;Table20[[#This Row],[Expiration Date]],FALSE,TRUE)</f>
        <v>0</v>
      </c>
      <c r="AC518" s="30" t="str">
        <f>VLOOKUP(Table20[[#This Row],[Asset]],Table19[#All],3,FALSE)</f>
        <v>Auto</v>
      </c>
      <c r="AD518" s="30">
        <f>IF(Table20[[#This Row],[Remaining]]&lt;&gt;0,Table20[[#This Row],[Invested]]*Table20[[#This Row],[Remaining]]/Table20[[#This Row],[Number of options]],0)</f>
        <v>0</v>
      </c>
      <c r="AE518" s="30">
        <f ca="1">SUMIF(Table20[Ticker],Table20[[#This Row],[Ticker]],Table20[realized_profit])</f>
        <v>455</v>
      </c>
      <c r="AF518" s="30" t="str">
        <f>VLOOKUP(Table20[[#This Row],[Strategy]],Table29[#All],7,FALSE)</f>
        <v>Bearish</v>
      </c>
    </row>
    <row r="519" spans="1:32" hidden="1">
      <c r="A519" s="180">
        <v>45737</v>
      </c>
      <c r="B519" s="21" t="e" vm="64">
        <v>#VALUE!</v>
      </c>
      <c r="C519" s="109" t="str" cm="1">
        <f t="array" aca="1" ref="C519" ca="1">_FV(Table20[[#This Row],[Asset]],"Ticker symbol",TRUE)</f>
        <v>LULU</v>
      </c>
      <c r="D519" s="26" cm="1">
        <f t="array" aca="1" ref="D519" ca="1">_FV(Table20[[#This Row],[Asset]],"Price")</f>
        <v>159.22</v>
      </c>
      <c r="E519" s="26">
        <v>300</v>
      </c>
      <c r="F519" s="33">
        <v>1</v>
      </c>
      <c r="G519" s="34">
        <v>1</v>
      </c>
      <c r="H519" s="34" t="s">
        <v>65</v>
      </c>
      <c r="I519" s="31">
        <v>45729</v>
      </c>
      <c r="J519" s="26">
        <v>4.9000000000000004</v>
      </c>
      <c r="K519" s="24"/>
      <c r="L519" s="33">
        <f>VLOOKUP(Table20[[#This Row],[Strategy]],Table29[#All],6,FALSE)</f>
        <v>-1</v>
      </c>
      <c r="M519" s="23">
        <v>1</v>
      </c>
      <c r="N519" s="23">
        <v>1.06</v>
      </c>
      <c r="O519" s="23"/>
      <c r="P519" s="23"/>
      <c r="Q519">
        <f>Table20[[#This Row],[Exit1]]*Table20[[#This Row],[ex1_price]]</f>
        <v>1.06</v>
      </c>
      <c r="R519">
        <f>Table20[[#This Row],[Exit2]]*Table20[[#This Row],[ex2_price]]</f>
        <v>0</v>
      </c>
      <c r="S519">
        <f>IFERROR((Table20[[#This Row],[ex2_amnt]]+Table20[[#This Row],[ex1_amnt]])/(Table20[[#This Row],[Exit2]]+Table20[[#This Row],[Exit1]]),0)</f>
        <v>1.06</v>
      </c>
      <c r="T519" s="5">
        <f>(Table20[[#This Row],[Exit1]]+Table20[[#This Row],[Exit2]])*(Table20[[#This Row],[avg_exit_price]]-Table20[[#This Row],[AvePrice]])*100*Table20[[#This Row],[Buy or Sell]]</f>
        <v>-384.00000000000006</v>
      </c>
      <c r="U519" s="5">
        <f>Table20[[#This Row],[Number of options]]*Table20[[#This Row],[AvePrice]]*100*Table20[[#This Row],[Buy or Sell]]</f>
        <v>490.00000000000006</v>
      </c>
      <c r="V519" s="8">
        <f>Table20[[#This Row],[Number of options]]-Table20[[#This Row],[Exit1]]-Table20[[#This Row],[Exit2]]</f>
        <v>0</v>
      </c>
      <c r="W519" s="30">
        <f ca="1">(Table20[[#This Row],[Expiration Date]]-TODAY())/365</f>
        <v>-1.0136986301369864</v>
      </c>
      <c r="X519" s="30" t="e">
        <f ca="1">(LN(Table20[[#This Row],[Current Price]]/Table20[[#This Row],[strike_price]]) + ($B$2 + (Table20[[#This Row],[Vol]]^2)/2)*Table20[[#This Row],[Time to expiration]]) / (Table20[[#This Row],[Vol]] * SQRT(Table20[[#This Row],[Time to expiration]]))</f>
        <v>#NUM!</v>
      </c>
      <c r="Y519" s="30" t="e">
        <f ca="1">IF(Table20[[#This Row],[Direction]]&gt;0, _xlfn.NORM.S.DIST(Table20[[#This Row],[d1]], TRUE), _xlfn.NORM.S.DIST(Table20[[#This Row],[d1]], TRUE) - 1) * Table20[[#This Row],[Buy or Sell]]</f>
        <v>#NUM!</v>
      </c>
      <c r="Z519" s="9">
        <f ca="1">Table20[[#This Row],[Remaining]]*Table20[[#This Row],[Current Price]]*100</f>
        <v>0</v>
      </c>
      <c r="AA519" s="22">
        <f ca="1">IFERROR(Table20[[#This Row],[nominal_exposure]]*Table20[[#This Row],[Delta]],0)</f>
        <v>0</v>
      </c>
      <c r="AB519" s="30" t="b">
        <f>IF(Table20[[#This Row],[date_purchased]]&lt;&gt;Table20[[#This Row],[Expiration Date]],FALSE,TRUE)</f>
        <v>0</v>
      </c>
      <c r="AC519" s="30" t="str">
        <f>VLOOKUP(Table20[[#This Row],[Asset]],Table19[#All],3,FALSE)</f>
        <v>Consumer Discretionary</v>
      </c>
      <c r="AD519" s="30">
        <f>IF(Table20[[#This Row],[Remaining]]&lt;&gt;0,Table20[[#This Row],[Invested]]*Table20[[#This Row],[Remaining]]/Table20[[#This Row],[Number of options]],0)</f>
        <v>0</v>
      </c>
      <c r="AE519" s="30">
        <f ca="1">SUMIF(Table20[Ticker],Table20[[#This Row],[Ticker]],Table20[realized_profit])</f>
        <v>-1317.0000000000002</v>
      </c>
      <c r="AF519" s="30" t="str">
        <f>VLOOKUP(Table20[[#This Row],[Strategy]],Table29[#All],7,FALSE)</f>
        <v>Bearish</v>
      </c>
    </row>
    <row r="520" spans="1:32" hidden="1">
      <c r="A520" s="180">
        <v>45734</v>
      </c>
      <c r="B520" s="21" t="e" vm="96">
        <v>#VALUE!</v>
      </c>
      <c r="C520" s="109" t="str" cm="1">
        <f t="array" aca="1" ref="C520" ca="1">_FV(Table20[[#This Row],[Asset]],"Ticker symbol",TRUE)</f>
        <v>SPY</v>
      </c>
      <c r="D520" s="26" cm="1">
        <f t="array" aca="1" ref="D520" ca="1">_FV(Table20[[#This Row],[Asset]],"Price")</f>
        <v>658.59</v>
      </c>
      <c r="E520" s="26">
        <v>562</v>
      </c>
      <c r="F520" s="33">
        <v>1</v>
      </c>
      <c r="G520" s="34">
        <v>1</v>
      </c>
      <c r="H520" s="34" t="s">
        <v>113</v>
      </c>
      <c r="I520" s="31">
        <v>45734</v>
      </c>
      <c r="J520" s="26">
        <v>1.48</v>
      </c>
      <c r="K520" s="24"/>
      <c r="L520" s="33">
        <f>VLOOKUP(Table20[[#This Row],[Strategy]],Table29[#All],6,FALSE)</f>
        <v>1</v>
      </c>
      <c r="M520" s="23">
        <v>1</v>
      </c>
      <c r="N520" s="23">
        <v>0.49</v>
      </c>
      <c r="O520" s="23"/>
      <c r="P520" s="23"/>
      <c r="Q520">
        <f>Table20[[#This Row],[Exit1]]*Table20[[#This Row],[ex1_price]]</f>
        <v>0.49</v>
      </c>
      <c r="R520">
        <f>Table20[[#This Row],[Exit2]]*Table20[[#This Row],[ex2_price]]</f>
        <v>0</v>
      </c>
      <c r="S520">
        <f>IFERROR((Table20[[#This Row],[ex2_amnt]]+Table20[[#This Row],[ex1_amnt]])/(Table20[[#This Row],[Exit2]]+Table20[[#This Row],[Exit1]]),0)</f>
        <v>0.49</v>
      </c>
      <c r="T520" s="5">
        <f>(Table20[[#This Row],[Exit1]]+Table20[[#This Row],[Exit2]])*(Table20[[#This Row],[avg_exit_price]]-Table20[[#This Row],[AvePrice]])*100*Table20[[#This Row],[Buy or Sell]]</f>
        <v>-99</v>
      </c>
      <c r="U520" s="5">
        <f>Table20[[#This Row],[Number of options]]*Table20[[#This Row],[AvePrice]]*100*Table20[[#This Row],[Buy or Sell]]</f>
        <v>148</v>
      </c>
      <c r="V520" s="8">
        <f>Table20[[#This Row],[Number of options]]-Table20[[#This Row],[Exit1]]-Table20[[#This Row],[Exit2]]</f>
        <v>0</v>
      </c>
      <c r="W520" s="30">
        <f ca="1">(Table20[[#This Row],[Expiration Date]]-TODAY())/365</f>
        <v>-1.021917808219178</v>
      </c>
      <c r="X520" s="30" t="e">
        <f ca="1">(LN(Table20[[#This Row],[Current Price]]/Table20[[#This Row],[strike_price]]) + ($B$2 + (Table20[[#This Row],[Vol]]^2)/2)*Table20[[#This Row],[Time to expiration]]) / (Table20[[#This Row],[Vol]] * SQRT(Table20[[#This Row],[Time to expiration]]))</f>
        <v>#NUM!</v>
      </c>
      <c r="Y520" s="30" t="e">
        <f ca="1">IF(Table20[[#This Row],[Direction]]&gt;0, _xlfn.NORM.S.DIST(Table20[[#This Row],[d1]], TRUE), _xlfn.NORM.S.DIST(Table20[[#This Row],[d1]], TRUE) - 1) * Table20[[#This Row],[Buy or Sell]]</f>
        <v>#NUM!</v>
      </c>
      <c r="Z520" s="9">
        <f ca="1">Table20[[#This Row],[Remaining]]*Table20[[#This Row],[Current Price]]*100</f>
        <v>0</v>
      </c>
      <c r="AA520" s="22">
        <f ca="1">IFERROR(Table20[[#This Row],[nominal_exposure]]*Table20[[#This Row],[Delta]],0)</f>
        <v>0</v>
      </c>
      <c r="AB520" s="30" t="b">
        <f>IF(Table20[[#This Row],[date_purchased]]&lt;&gt;Table20[[#This Row],[Expiration Date]],FALSE,TRUE)</f>
        <v>1</v>
      </c>
      <c r="AC520" s="30" t="str">
        <f>VLOOKUP(Table20[[#This Row],[Asset]],Table19[#All],3,FALSE)</f>
        <v>Market</v>
      </c>
      <c r="AD520" s="30">
        <f>IF(Table20[[#This Row],[Remaining]]&lt;&gt;0,Table20[[#This Row],[Invested]]*Table20[[#This Row],[Remaining]]/Table20[[#This Row],[Number of options]],0)</f>
        <v>0</v>
      </c>
      <c r="AE520" s="30">
        <f ca="1">SUMIF(Table20[Ticker],Table20[[#This Row],[Ticker]],Table20[realized_profit])</f>
        <v>-5077</v>
      </c>
      <c r="AF520" s="30" t="str">
        <f>VLOOKUP(Table20[[#This Row],[Strategy]],Table29[#All],7,FALSE)</f>
        <v>Bullish</v>
      </c>
    </row>
    <row r="521" spans="1:32" hidden="1">
      <c r="A521" s="180">
        <v>45786</v>
      </c>
      <c r="B521" s="21" t="e" vm="96">
        <v>#VALUE!</v>
      </c>
      <c r="C521" s="109" t="str" cm="1">
        <f t="array" aca="1" ref="C521" ca="1">_FV(Table20[[#This Row],[Asset]],"Ticker symbol",TRUE)</f>
        <v>SPY</v>
      </c>
      <c r="D521" s="26" cm="1">
        <f t="array" aca="1" ref="D521" ca="1">_FV(Table20[[#This Row],[Asset]],"Price")</f>
        <v>658.59</v>
      </c>
      <c r="E521" s="26">
        <v>540</v>
      </c>
      <c r="F521" s="33">
        <v>1</v>
      </c>
      <c r="G521" s="34">
        <v>1</v>
      </c>
      <c r="H521" s="34" t="s">
        <v>65</v>
      </c>
      <c r="I521" s="31">
        <v>45776</v>
      </c>
      <c r="J521" s="26">
        <v>3.67</v>
      </c>
      <c r="K521" s="24"/>
      <c r="L521" s="33">
        <f>VLOOKUP(Table20[[#This Row],[Strategy]],Table29[#All],6,FALSE)</f>
        <v>-1</v>
      </c>
      <c r="M521" s="23">
        <v>1</v>
      </c>
      <c r="N521" s="23">
        <v>4.68</v>
      </c>
      <c r="O521" s="23"/>
      <c r="P521" s="23"/>
      <c r="Q521">
        <f>Table20[[#This Row],[Exit1]]*Table20[[#This Row],[ex1_price]]</f>
        <v>4.68</v>
      </c>
      <c r="R521">
        <f>Table20[[#This Row],[Exit2]]*Table20[[#This Row],[ex2_price]]</f>
        <v>0</v>
      </c>
      <c r="S521">
        <f>IFERROR((Table20[[#This Row],[ex2_amnt]]+Table20[[#This Row],[ex1_amnt]])/(Table20[[#This Row],[Exit2]]+Table20[[#This Row],[Exit1]]),0)</f>
        <v>4.68</v>
      </c>
      <c r="T521" s="5">
        <f>(Table20[[#This Row],[Exit1]]+Table20[[#This Row],[Exit2]])*(Table20[[#This Row],[avg_exit_price]]-Table20[[#This Row],[AvePrice]])*100*Table20[[#This Row],[Buy or Sell]]</f>
        <v>100.99999999999997</v>
      </c>
      <c r="U521" s="5">
        <f>Table20[[#This Row],[Number of options]]*Table20[[#This Row],[AvePrice]]*100*Table20[[#This Row],[Buy or Sell]]</f>
        <v>367</v>
      </c>
      <c r="V521" s="8">
        <f>Table20[[#This Row],[Number of options]]-Table20[[#This Row],[Exit1]]-Table20[[#This Row],[Exit2]]</f>
        <v>0</v>
      </c>
      <c r="W521" s="30">
        <f ca="1">(Table20[[#This Row],[Expiration Date]]-TODAY())/365</f>
        <v>-0.8794520547945206</v>
      </c>
      <c r="X521" s="30" t="e">
        <f ca="1">(LN(Table20[[#This Row],[Current Price]]/Table20[[#This Row],[strike_price]]) + ($B$2 + (Table20[[#This Row],[Vol]]^2)/2)*Table20[[#This Row],[Time to expiration]]) / (Table20[[#This Row],[Vol]] * SQRT(Table20[[#This Row],[Time to expiration]]))</f>
        <v>#NUM!</v>
      </c>
      <c r="Y521" s="30" t="e">
        <f ca="1">IF(Table20[[#This Row],[Direction]]&gt;0, _xlfn.NORM.S.DIST(Table20[[#This Row],[d1]], TRUE), _xlfn.NORM.S.DIST(Table20[[#This Row],[d1]], TRUE) - 1) * Table20[[#This Row],[Buy or Sell]]</f>
        <v>#NUM!</v>
      </c>
      <c r="Z521" s="9">
        <f ca="1">Table20[[#This Row],[Remaining]]*Table20[[#This Row],[Current Price]]*100</f>
        <v>0</v>
      </c>
      <c r="AA521" s="22">
        <f ca="1">IFERROR(Table20[[#This Row],[nominal_exposure]]*Table20[[#This Row],[Delta]],0)</f>
        <v>0</v>
      </c>
      <c r="AB521" s="30" t="b">
        <f>IF(Table20[[#This Row],[date_purchased]]&lt;&gt;Table20[[#This Row],[Expiration Date]],FALSE,TRUE)</f>
        <v>0</v>
      </c>
      <c r="AC521" s="30" t="str">
        <f>VLOOKUP(Table20[[#This Row],[Asset]],Table19[#All],3,FALSE)</f>
        <v>Market</v>
      </c>
      <c r="AD521" s="30">
        <f>IF(Table20[[#This Row],[Remaining]]&lt;&gt;0,Table20[[#This Row],[Invested]]*Table20[[#This Row],[Remaining]]/Table20[[#This Row],[Number of options]],0)</f>
        <v>0</v>
      </c>
      <c r="AE521" s="30">
        <f ca="1">SUMIF(Table20[Ticker],Table20[[#This Row],[Ticker]],Table20[realized_profit])</f>
        <v>-5077</v>
      </c>
      <c r="AF521" s="30" t="str">
        <f>VLOOKUP(Table20[[#This Row],[Strategy]],Table29[#All],7,FALSE)</f>
        <v>Bearish</v>
      </c>
    </row>
    <row r="522" spans="1:32" hidden="1">
      <c r="A522" s="180">
        <v>45772</v>
      </c>
      <c r="B522" s="21" t="e" vm="552">
        <v>#VALUE!</v>
      </c>
      <c r="C522" s="109" t="str" cm="1">
        <f t="array" aca="1" ref="C522" ca="1">_FV(Table20[[#This Row],[Asset]],"Ticker symbol",TRUE)</f>
        <v>TJX</v>
      </c>
      <c r="D522" s="26" cm="1">
        <f t="array" aca="1" ref="D522" ca="1">_FV(Table20[[#This Row],[Asset]],"Price")</f>
        <v>158.54499999999999</v>
      </c>
      <c r="E522" s="26">
        <v>115</v>
      </c>
      <c r="F522" s="33">
        <v>1</v>
      </c>
      <c r="G522" s="34">
        <v>1</v>
      </c>
      <c r="H522" s="34" t="s">
        <v>65</v>
      </c>
      <c r="I522" s="31">
        <v>45737</v>
      </c>
      <c r="J522" s="26">
        <v>2.31</v>
      </c>
      <c r="K522" s="24">
        <v>0.19739999999999999</v>
      </c>
      <c r="L522" s="33">
        <f>VLOOKUP(Table20[[#This Row],[Strategy]],Table29[#All],6,FALSE)</f>
        <v>-1</v>
      </c>
      <c r="M522" s="23">
        <v>1</v>
      </c>
      <c r="N522" s="23">
        <v>1.94</v>
      </c>
      <c r="O522" s="23"/>
      <c r="P522" s="23"/>
      <c r="Q522">
        <f>Table20[[#This Row],[Exit1]]*Table20[[#This Row],[ex1_price]]</f>
        <v>1.94</v>
      </c>
      <c r="R522">
        <f>Table20[[#This Row],[Exit2]]*Table20[[#This Row],[ex2_price]]</f>
        <v>0</v>
      </c>
      <c r="S522">
        <f>IFERROR((Table20[[#This Row],[ex2_amnt]]+Table20[[#This Row],[ex1_amnt]])/(Table20[[#This Row],[Exit2]]+Table20[[#This Row],[Exit1]]),0)</f>
        <v>1.94</v>
      </c>
      <c r="T522" s="5">
        <f>(Table20[[#This Row],[Exit1]]+Table20[[#This Row],[Exit2]])*(Table20[[#This Row],[avg_exit_price]]-Table20[[#This Row],[AvePrice]])*100*Table20[[#This Row],[Buy or Sell]]</f>
        <v>-37.000000000000014</v>
      </c>
      <c r="U522" s="5">
        <f>Table20[[#This Row],[Number of options]]*Table20[[#This Row],[AvePrice]]*100*Table20[[#This Row],[Buy or Sell]]</f>
        <v>231</v>
      </c>
      <c r="V522" s="8">
        <f>Table20[[#This Row],[Number of options]]-Table20[[#This Row],[Exit1]]-Table20[[#This Row],[Exit2]]</f>
        <v>0</v>
      </c>
      <c r="W522" s="30">
        <f ca="1">(Table20[[#This Row],[Expiration Date]]-TODAY())/365</f>
        <v>-0.9178082191780822</v>
      </c>
      <c r="X522" s="30" t="e">
        <f ca="1">(LN(Table20[[#This Row],[Current Price]]/Table20[[#This Row],[strike_price]]) + ($B$2 + (Table20[[#This Row],[Vol]]^2)/2)*Table20[[#This Row],[Time to expiration]]) / (Table20[[#This Row],[Vol]] * SQRT(Table20[[#This Row],[Time to expiration]]))</f>
        <v>#NUM!</v>
      </c>
      <c r="Y522" s="30" t="e">
        <f ca="1">IF(Table20[[#This Row],[Direction]]&gt;0, _xlfn.NORM.S.DIST(Table20[[#This Row],[d1]], TRUE), _xlfn.NORM.S.DIST(Table20[[#This Row],[d1]], TRUE) - 1) * Table20[[#This Row],[Buy or Sell]]</f>
        <v>#NUM!</v>
      </c>
      <c r="Z522" s="9">
        <f ca="1">Table20[[#This Row],[Remaining]]*Table20[[#This Row],[Current Price]]*100</f>
        <v>0</v>
      </c>
      <c r="AA522" s="22">
        <f ca="1">IFERROR(Table20[[#This Row],[nominal_exposure]]*Table20[[#This Row],[Delta]],0)</f>
        <v>0</v>
      </c>
      <c r="AB522" s="30" t="b">
        <f>IF(Table20[[#This Row],[date_purchased]]&lt;&gt;Table20[[#This Row],[Expiration Date]],FALSE,TRUE)</f>
        <v>0</v>
      </c>
      <c r="AC522" s="30" t="str">
        <f>VLOOKUP(Table20[[#This Row],[Asset]],Table19[#All],3,FALSE)</f>
        <v>Consumer Discretionary</v>
      </c>
      <c r="AD522" s="30">
        <f>IF(Table20[[#This Row],[Remaining]]&lt;&gt;0,Table20[[#This Row],[Invested]]*Table20[[#This Row],[Remaining]]/Table20[[#This Row],[Number of options]],0)</f>
        <v>0</v>
      </c>
      <c r="AE522" s="30">
        <f ca="1">SUMIF(Table20[Ticker],Table20[[#This Row],[Ticker]],Table20[realized_profit])</f>
        <v>-37.000000000000014</v>
      </c>
      <c r="AF522" s="30" t="str">
        <f>VLOOKUP(Table20[[#This Row],[Strategy]],Table29[#All],7,FALSE)</f>
        <v>Bearish</v>
      </c>
    </row>
    <row r="523" spans="1:32" hidden="1">
      <c r="A523" s="180">
        <v>45793</v>
      </c>
      <c r="B523" s="21" t="e" vm="559">
        <v>#VALUE!</v>
      </c>
      <c r="C523" s="109" t="str" cm="1">
        <f t="array" aca="1" ref="C523" ca="1">_FV(Table20[[#This Row],[Asset]],"Ticker symbol",TRUE)</f>
        <v>XPO</v>
      </c>
      <c r="D523" s="26" cm="1">
        <f t="array" aca="1" ref="D523" ca="1">_FV(Table20[[#This Row],[Asset]],"Price")</f>
        <v>191.04499999999999</v>
      </c>
      <c r="E523" s="26">
        <v>85</v>
      </c>
      <c r="F523" s="33">
        <v>2</v>
      </c>
      <c r="G523" s="34">
        <v>1</v>
      </c>
      <c r="H523" s="34" t="s">
        <v>65</v>
      </c>
      <c r="I523" s="31">
        <v>45772</v>
      </c>
      <c r="J523" s="26">
        <v>2.5499999999999998</v>
      </c>
      <c r="K523" s="24"/>
      <c r="L523" s="33">
        <f>VLOOKUP(Table20[[#This Row],[Strategy]],Table29[#All],6,FALSE)</f>
        <v>-1</v>
      </c>
      <c r="M523" s="23">
        <v>2</v>
      </c>
      <c r="N523" s="23">
        <v>0.23</v>
      </c>
      <c r="O523" s="23"/>
      <c r="P523" s="23"/>
      <c r="Q523">
        <f>Table20[[#This Row],[Exit1]]*Table20[[#This Row],[ex1_price]]</f>
        <v>0.46</v>
      </c>
      <c r="R523">
        <f>Table20[[#This Row],[Exit2]]*Table20[[#This Row],[ex2_price]]</f>
        <v>0</v>
      </c>
      <c r="S523">
        <f>IFERROR((Table20[[#This Row],[ex2_amnt]]+Table20[[#This Row],[ex1_amnt]])/(Table20[[#This Row],[Exit2]]+Table20[[#This Row],[Exit1]]),0)</f>
        <v>0.23</v>
      </c>
      <c r="T523" s="5">
        <f>(Table20[[#This Row],[Exit1]]+Table20[[#This Row],[Exit2]])*(Table20[[#This Row],[avg_exit_price]]-Table20[[#This Row],[AvePrice]])*100*Table20[[#This Row],[Buy or Sell]]</f>
        <v>-463.99999999999994</v>
      </c>
      <c r="U523" s="5">
        <f>Table20[[#This Row],[Number of options]]*Table20[[#This Row],[AvePrice]]*100*Table20[[#This Row],[Buy or Sell]]</f>
        <v>509.99999999999994</v>
      </c>
      <c r="V523" s="8">
        <f>Table20[[#This Row],[Number of options]]-Table20[[#This Row],[Exit1]]-Table20[[#This Row],[Exit2]]</f>
        <v>0</v>
      </c>
      <c r="W523" s="30">
        <f ca="1">(Table20[[#This Row],[Expiration Date]]-TODAY())/365</f>
        <v>-0.86027397260273974</v>
      </c>
      <c r="X523" s="30" t="e">
        <f ca="1">(LN(Table20[[#This Row],[Current Price]]/Table20[[#This Row],[strike_price]]) + ($B$2 + (Table20[[#This Row],[Vol]]^2)/2)*Table20[[#This Row],[Time to expiration]]) / (Table20[[#This Row],[Vol]] * SQRT(Table20[[#This Row],[Time to expiration]]))</f>
        <v>#NUM!</v>
      </c>
      <c r="Y523" s="30" t="e">
        <f ca="1">IF(Table20[[#This Row],[Direction]]&gt;0, _xlfn.NORM.S.DIST(Table20[[#This Row],[d1]], TRUE), _xlfn.NORM.S.DIST(Table20[[#This Row],[d1]], TRUE) - 1) * Table20[[#This Row],[Buy or Sell]]</f>
        <v>#NUM!</v>
      </c>
      <c r="Z523" s="9">
        <f ca="1">Table20[[#This Row],[Remaining]]*Table20[[#This Row],[Current Price]]*100</f>
        <v>0</v>
      </c>
      <c r="AA523" s="22">
        <f ca="1">IFERROR(Table20[[#This Row],[nominal_exposure]]*Table20[[#This Row],[Delta]],0)</f>
        <v>0</v>
      </c>
      <c r="AB523" s="30" t="b">
        <f>IF(Table20[[#This Row],[date_purchased]]&lt;&gt;Table20[[#This Row],[Expiration Date]],FALSE,TRUE)</f>
        <v>0</v>
      </c>
      <c r="AC523" s="30" t="str">
        <f>VLOOKUP(Table20[[#This Row],[Asset]],Table19[#All],3,FALSE)</f>
        <v>Transportation</v>
      </c>
      <c r="AD523" s="30">
        <f>IF(Table20[[#This Row],[Remaining]]&lt;&gt;0,Table20[[#This Row],[Invested]]*Table20[[#This Row],[Remaining]]/Table20[[#This Row],[Number of options]],0)</f>
        <v>0</v>
      </c>
      <c r="AE523" s="30">
        <f ca="1">SUMIF(Table20[Ticker],Table20[[#This Row],[Ticker]],Table20[realized_profit])</f>
        <v>-463.99999999999994</v>
      </c>
      <c r="AF523" s="30" t="str">
        <f>VLOOKUP(Table20[[#This Row],[Strategy]],Table29[#All],7,FALSE)</f>
        <v>Bearish</v>
      </c>
    </row>
    <row r="524" spans="1:32" hidden="1">
      <c r="A524" s="180">
        <v>45751</v>
      </c>
      <c r="B524" s="21" t="e" vm="159">
        <v>#VALUE!</v>
      </c>
      <c r="C524" s="109" t="str" cm="1">
        <f t="array" aca="1" ref="C524" ca="1">_FV(Table20[[#This Row],[Asset]],"Ticker symbol",TRUE)</f>
        <v>BABA</v>
      </c>
      <c r="D524" s="26" cm="1">
        <f t="array" aca="1" ref="D524" ca="1">_FV(Table20[[#This Row],[Asset]],"Price")</f>
        <v>129.63999999999999</v>
      </c>
      <c r="E524" s="26">
        <v>125</v>
      </c>
      <c r="F524" s="33">
        <v>2</v>
      </c>
      <c r="G524" s="34">
        <v>1</v>
      </c>
      <c r="H524" s="34" t="s">
        <v>65</v>
      </c>
      <c r="I524" s="31">
        <v>45750</v>
      </c>
      <c r="J524" s="26">
        <v>0.91</v>
      </c>
      <c r="K524" s="24">
        <v>0.64280000000000004</v>
      </c>
      <c r="L524" s="33">
        <f>VLOOKUP(Table20[[#This Row],[Strategy]],Table29[#All],6,FALSE)</f>
        <v>-1</v>
      </c>
      <c r="M524" s="23">
        <v>2</v>
      </c>
      <c r="N524" s="23">
        <v>7</v>
      </c>
      <c r="O524" s="23"/>
      <c r="P524" s="23"/>
      <c r="Q524">
        <f>Table20[[#This Row],[Exit1]]*Table20[[#This Row],[ex1_price]]</f>
        <v>14</v>
      </c>
      <c r="R524">
        <f>Table20[[#This Row],[Exit2]]*Table20[[#This Row],[ex2_price]]</f>
        <v>0</v>
      </c>
      <c r="S524">
        <f>IFERROR((Table20[[#This Row],[ex2_amnt]]+Table20[[#This Row],[ex1_amnt]])/(Table20[[#This Row],[Exit2]]+Table20[[#This Row],[Exit1]]),0)</f>
        <v>7</v>
      </c>
      <c r="T524" s="5">
        <f>(Table20[[#This Row],[Exit1]]+Table20[[#This Row],[Exit2]])*(Table20[[#This Row],[avg_exit_price]]-Table20[[#This Row],[AvePrice]])*100*Table20[[#This Row],[Buy or Sell]]</f>
        <v>1218</v>
      </c>
      <c r="U524" s="5">
        <f>Table20[[#This Row],[Number of options]]*Table20[[#This Row],[AvePrice]]*100*Table20[[#This Row],[Buy or Sell]]</f>
        <v>182</v>
      </c>
      <c r="V524" s="8">
        <f>Table20[[#This Row],[Number of options]]-Table20[[#This Row],[Exit1]]-Table20[[#This Row],[Exit2]]</f>
        <v>0</v>
      </c>
      <c r="W524" s="30">
        <f ca="1">(Table20[[#This Row],[Expiration Date]]-TODAY())/365</f>
        <v>-0.97534246575342465</v>
      </c>
      <c r="X524" s="30" t="e">
        <f ca="1">(LN(Table20[[#This Row],[Current Price]]/Table20[[#This Row],[strike_price]]) + ($B$2 + (Table20[[#This Row],[Vol]]^2)/2)*Table20[[#This Row],[Time to expiration]]) / (Table20[[#This Row],[Vol]] * SQRT(Table20[[#This Row],[Time to expiration]]))</f>
        <v>#NUM!</v>
      </c>
      <c r="Y524" s="30" t="e">
        <f ca="1">IF(Table20[[#This Row],[Direction]]&gt;0, _xlfn.NORM.S.DIST(Table20[[#This Row],[d1]], TRUE), _xlfn.NORM.S.DIST(Table20[[#This Row],[d1]], TRUE) - 1) * Table20[[#This Row],[Buy or Sell]]</f>
        <v>#NUM!</v>
      </c>
      <c r="Z524" s="9">
        <f ca="1">Table20[[#This Row],[Remaining]]*Table20[[#This Row],[Current Price]]*100</f>
        <v>0</v>
      </c>
      <c r="AA524" s="22">
        <f ca="1">IFERROR(Table20[[#This Row],[nominal_exposure]]*Table20[[#This Row],[Delta]],0)</f>
        <v>0</v>
      </c>
      <c r="AB524" s="30" t="b">
        <f>IF(Table20[[#This Row],[date_purchased]]&lt;&gt;Table20[[#This Row],[Expiration Date]],FALSE,TRUE)</f>
        <v>0</v>
      </c>
      <c r="AC524" s="30" t="str">
        <f>VLOOKUP(Table20[[#This Row],[Asset]],Table19[#All],3,FALSE)</f>
        <v>China</v>
      </c>
      <c r="AD524" s="30">
        <f>IF(Table20[[#This Row],[Remaining]]&lt;&gt;0,Table20[[#This Row],[Invested]]*Table20[[#This Row],[Remaining]]/Table20[[#This Row],[Number of options]],0)</f>
        <v>0</v>
      </c>
      <c r="AE524" s="30">
        <f ca="1">SUMIF(Table20[Ticker],Table20[[#This Row],[Ticker]],Table20[realized_profit])</f>
        <v>5855</v>
      </c>
      <c r="AF524" s="30" t="str">
        <f>VLOOKUP(Table20[[#This Row],[Strategy]],Table29[#All],7,FALSE)</f>
        <v>Bearish</v>
      </c>
    </row>
    <row r="525" spans="1:32" hidden="1">
      <c r="A525" s="180">
        <v>45751</v>
      </c>
      <c r="B525" s="21" t="e" vm="127">
        <v>#VALUE!</v>
      </c>
      <c r="C525" s="109" t="str" cm="1">
        <f t="array" aca="1" ref="C525" ca="1">_FV(Table20[[#This Row],[Asset]],"Ticker symbol",TRUE)</f>
        <v>COST</v>
      </c>
      <c r="D525" s="26" cm="1">
        <f t="array" aca="1" ref="D525" ca="1">_FV(Table20[[#This Row],[Asset]],"Price")</f>
        <v>970.86</v>
      </c>
      <c r="E525" s="26">
        <v>940</v>
      </c>
      <c r="F525" s="33">
        <v>1</v>
      </c>
      <c r="G525" s="34">
        <v>1</v>
      </c>
      <c r="H525" s="34" t="s">
        <v>65</v>
      </c>
      <c r="I525" s="31">
        <v>45750</v>
      </c>
      <c r="J525" s="26">
        <v>3.85</v>
      </c>
      <c r="K525" s="24">
        <v>0.4718</v>
      </c>
      <c r="L525" s="33">
        <f>VLOOKUP(Table20[[#This Row],[Strategy]],Table29[#All],6,FALSE)</f>
        <v>-1</v>
      </c>
      <c r="M525" s="23">
        <v>1</v>
      </c>
      <c r="N525" s="23">
        <v>1.03</v>
      </c>
      <c r="O525" s="23"/>
      <c r="P525" s="23"/>
      <c r="Q525">
        <f>Table20[[#This Row],[Exit1]]*Table20[[#This Row],[ex1_price]]</f>
        <v>1.03</v>
      </c>
      <c r="R525">
        <f>Table20[[#This Row],[Exit2]]*Table20[[#This Row],[ex2_price]]</f>
        <v>0</v>
      </c>
      <c r="S525">
        <f>IFERROR((Table20[[#This Row],[ex2_amnt]]+Table20[[#This Row],[ex1_amnt]])/(Table20[[#This Row],[Exit2]]+Table20[[#This Row],[Exit1]]),0)</f>
        <v>1.03</v>
      </c>
      <c r="T525" s="5">
        <f>(Table20[[#This Row],[Exit1]]+Table20[[#This Row],[Exit2]])*(Table20[[#This Row],[avg_exit_price]]-Table20[[#This Row],[AvePrice]])*100*Table20[[#This Row],[Buy or Sell]]</f>
        <v>-282</v>
      </c>
      <c r="U525" s="5">
        <f>Table20[[#This Row],[Number of options]]*Table20[[#This Row],[AvePrice]]*100*Table20[[#This Row],[Buy or Sell]]</f>
        <v>385</v>
      </c>
      <c r="V525" s="8">
        <f>Table20[[#This Row],[Number of options]]-Table20[[#This Row],[Exit1]]-Table20[[#This Row],[Exit2]]</f>
        <v>0</v>
      </c>
      <c r="W525" s="30">
        <f ca="1">(Table20[[#This Row],[Expiration Date]]-TODAY())/365</f>
        <v>-0.97534246575342465</v>
      </c>
      <c r="X525" s="30" t="e">
        <f ca="1">(LN(Table20[[#This Row],[Current Price]]/Table20[[#This Row],[strike_price]]) + ($B$2 + (Table20[[#This Row],[Vol]]^2)/2)*Table20[[#This Row],[Time to expiration]]) / (Table20[[#This Row],[Vol]] * SQRT(Table20[[#This Row],[Time to expiration]]))</f>
        <v>#NUM!</v>
      </c>
      <c r="Y525" s="30" t="e">
        <f ca="1">IF(Table20[[#This Row],[Direction]]&gt;0, _xlfn.NORM.S.DIST(Table20[[#This Row],[d1]], TRUE), _xlfn.NORM.S.DIST(Table20[[#This Row],[d1]], TRUE) - 1) * Table20[[#This Row],[Buy or Sell]]</f>
        <v>#NUM!</v>
      </c>
      <c r="Z525" s="9">
        <f ca="1">Table20[[#This Row],[Remaining]]*Table20[[#This Row],[Current Price]]*100</f>
        <v>0</v>
      </c>
      <c r="AA525" s="22">
        <f ca="1">IFERROR(Table20[[#This Row],[nominal_exposure]]*Table20[[#This Row],[Delta]],0)</f>
        <v>0</v>
      </c>
      <c r="AB525" s="30" t="b">
        <f>IF(Table20[[#This Row],[date_purchased]]&lt;&gt;Table20[[#This Row],[Expiration Date]],FALSE,TRUE)</f>
        <v>0</v>
      </c>
      <c r="AC525" s="30" t="str">
        <f>VLOOKUP(Table20[[#This Row],[Asset]],Table19[#All],3,FALSE)</f>
        <v>Consumer Staples</v>
      </c>
      <c r="AD525" s="30">
        <f>IF(Table20[[#This Row],[Remaining]]&lt;&gt;0,Table20[[#This Row],[Invested]]*Table20[[#This Row],[Remaining]]/Table20[[#This Row],[Number of options]],0)</f>
        <v>0</v>
      </c>
      <c r="AE525" s="30">
        <f ca="1">SUMIF(Table20[Ticker],Table20[[#This Row],[Ticker]],Table20[realized_profit])</f>
        <v>1200.0000000000005</v>
      </c>
      <c r="AF525" s="30" t="str">
        <f>VLOOKUP(Table20[[#This Row],[Strategy]],Table29[#All],7,FALSE)</f>
        <v>Bearish</v>
      </c>
    </row>
    <row r="526" spans="1:32" hidden="1">
      <c r="A526" s="180">
        <v>45751</v>
      </c>
      <c r="B526" s="21" t="e" vm="139">
        <v>#VALUE!</v>
      </c>
      <c r="C526" s="109" t="str" cm="1">
        <f t="array" aca="1" ref="C526" ca="1">_FV(Table20[[#This Row],[Asset]],"Ticker symbol",TRUE)</f>
        <v>WMT</v>
      </c>
      <c r="D526" s="26" cm="1">
        <f t="array" aca="1" ref="D526" ca="1">_FV(Table20[[#This Row],[Asset]],"Price")</f>
        <v>122.55500000000001</v>
      </c>
      <c r="E526" s="26">
        <v>87</v>
      </c>
      <c r="F526" s="33">
        <v>2</v>
      </c>
      <c r="G526" s="34">
        <v>0.77</v>
      </c>
      <c r="H526" s="34" t="s">
        <v>65</v>
      </c>
      <c r="I526" s="31">
        <v>45750</v>
      </c>
      <c r="J526" s="26">
        <v>0.77</v>
      </c>
      <c r="K526" s="24">
        <v>0.59330000000000005</v>
      </c>
      <c r="L526" s="33">
        <f>VLOOKUP(Table20[[#This Row],[Strategy]],Table29[#All],6,FALSE)</f>
        <v>-1</v>
      </c>
      <c r="M526" s="23">
        <v>2</v>
      </c>
      <c r="N526" s="23">
        <v>1.23</v>
      </c>
      <c r="O526" s="23"/>
      <c r="P526" s="23"/>
      <c r="Q526">
        <f>Table20[[#This Row],[Exit1]]*Table20[[#This Row],[ex1_price]]</f>
        <v>2.46</v>
      </c>
      <c r="R526">
        <f>Table20[[#This Row],[Exit2]]*Table20[[#This Row],[ex2_price]]</f>
        <v>0</v>
      </c>
      <c r="S526">
        <f>IFERROR((Table20[[#This Row],[ex2_amnt]]+Table20[[#This Row],[ex1_amnt]])/(Table20[[#This Row],[Exit2]]+Table20[[#This Row],[Exit1]]),0)</f>
        <v>1.23</v>
      </c>
      <c r="T526" s="5">
        <f>(Table20[[#This Row],[Exit1]]+Table20[[#This Row],[Exit2]])*(Table20[[#This Row],[avg_exit_price]]-Table20[[#This Row],[AvePrice]])*100*Table20[[#This Row],[Buy or Sell]]</f>
        <v>70.84</v>
      </c>
      <c r="U526" s="5">
        <f>Table20[[#This Row],[Number of options]]*Table20[[#This Row],[AvePrice]]*100*Table20[[#This Row],[Buy or Sell]]</f>
        <v>118.58</v>
      </c>
      <c r="V526" s="8">
        <f>Table20[[#This Row],[Number of options]]-Table20[[#This Row],[Exit1]]-Table20[[#This Row],[Exit2]]</f>
        <v>0</v>
      </c>
      <c r="W526" s="30">
        <f ca="1">(Table20[[#This Row],[Expiration Date]]-TODAY())/365</f>
        <v>-0.97534246575342465</v>
      </c>
      <c r="X526" s="30" t="e">
        <f ca="1">(LN(Table20[[#This Row],[Current Price]]/Table20[[#This Row],[strike_price]]) + ($B$2 + (Table20[[#This Row],[Vol]]^2)/2)*Table20[[#This Row],[Time to expiration]]) / (Table20[[#This Row],[Vol]] * SQRT(Table20[[#This Row],[Time to expiration]]))</f>
        <v>#NUM!</v>
      </c>
      <c r="Y526" s="30" t="e">
        <f ca="1">IF(Table20[[#This Row],[Direction]]&gt;0, _xlfn.NORM.S.DIST(Table20[[#This Row],[d1]], TRUE), _xlfn.NORM.S.DIST(Table20[[#This Row],[d1]], TRUE) - 1) * Table20[[#This Row],[Buy or Sell]]</f>
        <v>#NUM!</v>
      </c>
      <c r="Z526" s="9">
        <f ca="1">Table20[[#This Row],[Remaining]]*Table20[[#This Row],[Current Price]]*100</f>
        <v>0</v>
      </c>
      <c r="AA526" s="22">
        <f ca="1">IFERROR(Table20[[#This Row],[nominal_exposure]]*Table20[[#This Row],[Delta]],0)</f>
        <v>0</v>
      </c>
      <c r="AB526" s="30" t="b">
        <f>IF(Table20[[#This Row],[date_purchased]]&lt;&gt;Table20[[#This Row],[Expiration Date]],FALSE,TRUE)</f>
        <v>0</v>
      </c>
      <c r="AC526" s="30" t="str">
        <f>VLOOKUP(Table20[[#This Row],[Asset]],Table19[#All],3,FALSE)</f>
        <v>Consumer Staples</v>
      </c>
      <c r="AD526" s="30">
        <f>IF(Table20[[#This Row],[Remaining]]&lt;&gt;0,Table20[[#This Row],[Invested]]*Table20[[#This Row],[Remaining]]/Table20[[#This Row],[Number of options]],0)</f>
        <v>0</v>
      </c>
      <c r="AE526" s="30">
        <f ca="1">SUMIF(Table20[Ticker],Table20[[#This Row],[Ticker]],Table20[realized_profit])</f>
        <v>-838.16</v>
      </c>
      <c r="AF526" s="30" t="str">
        <f>VLOOKUP(Table20[[#This Row],[Strategy]],Table29[#All],7,FALSE)</f>
        <v>Bearish</v>
      </c>
    </row>
    <row r="527" spans="1:32" hidden="1">
      <c r="A527" s="180">
        <v>45793</v>
      </c>
      <c r="B527" s="21" t="e" vm="139">
        <v>#VALUE!</v>
      </c>
      <c r="C527" s="109" t="str" cm="1">
        <f t="array" aca="1" ref="C527" ca="1">_FV(Table20[[#This Row],[Asset]],"Ticker symbol",TRUE)</f>
        <v>WMT</v>
      </c>
      <c r="D527" s="26" cm="1">
        <f t="array" aca="1" ref="D527" ca="1">_FV(Table20[[#This Row],[Asset]],"Price")</f>
        <v>122.55500000000001</v>
      </c>
      <c r="E527" s="26">
        <v>90</v>
      </c>
      <c r="F527" s="33">
        <v>1</v>
      </c>
      <c r="G527" s="34">
        <v>1</v>
      </c>
      <c r="H527" s="34" t="s">
        <v>65</v>
      </c>
      <c r="I527" s="31">
        <v>45772</v>
      </c>
      <c r="J527" s="26">
        <v>1.64</v>
      </c>
      <c r="K527" s="24"/>
      <c r="L527" s="33">
        <f>VLOOKUP(Table20[[#This Row],[Strategy]],Table29[#All],6,FALSE)</f>
        <v>-1</v>
      </c>
      <c r="M527" s="23">
        <v>1</v>
      </c>
      <c r="N527" s="23">
        <v>1.22</v>
      </c>
      <c r="O527" s="23"/>
      <c r="P527" s="23"/>
      <c r="Q527">
        <f>Table20[[#This Row],[Exit1]]*Table20[[#This Row],[ex1_price]]</f>
        <v>1.22</v>
      </c>
      <c r="R527">
        <f>Table20[[#This Row],[Exit2]]*Table20[[#This Row],[ex2_price]]</f>
        <v>0</v>
      </c>
      <c r="S527">
        <f>IFERROR((Table20[[#This Row],[ex2_amnt]]+Table20[[#This Row],[ex1_amnt]])/(Table20[[#This Row],[Exit2]]+Table20[[#This Row],[Exit1]]),0)</f>
        <v>1.22</v>
      </c>
      <c r="T527" s="5">
        <f>(Table20[[#This Row],[Exit1]]+Table20[[#This Row],[Exit2]])*(Table20[[#This Row],[avg_exit_price]]-Table20[[#This Row],[AvePrice]])*100*Table20[[#This Row],[Buy or Sell]]</f>
        <v>-41.999999999999993</v>
      </c>
      <c r="U527" s="5">
        <f>Table20[[#This Row],[Number of options]]*Table20[[#This Row],[AvePrice]]*100*Table20[[#This Row],[Buy or Sell]]</f>
        <v>164</v>
      </c>
      <c r="V527" s="8">
        <f>Table20[[#This Row],[Number of options]]-Table20[[#This Row],[Exit1]]-Table20[[#This Row],[Exit2]]</f>
        <v>0</v>
      </c>
      <c r="W527" s="30">
        <f ca="1">(Table20[[#This Row],[Expiration Date]]-TODAY())/365</f>
        <v>-0.86027397260273974</v>
      </c>
      <c r="X527" s="30" t="e">
        <f ca="1">(LN(Table20[[#This Row],[Current Price]]/Table20[[#This Row],[strike_price]]) + ($B$2 + (Table20[[#This Row],[Vol]]^2)/2)*Table20[[#This Row],[Time to expiration]]) / (Table20[[#This Row],[Vol]] * SQRT(Table20[[#This Row],[Time to expiration]]))</f>
        <v>#NUM!</v>
      </c>
      <c r="Y527" s="30" t="e">
        <f ca="1">IF(Table20[[#This Row],[Direction]]&gt;0, _xlfn.NORM.S.DIST(Table20[[#This Row],[d1]], TRUE), _xlfn.NORM.S.DIST(Table20[[#This Row],[d1]], TRUE) - 1) * Table20[[#This Row],[Buy or Sell]]</f>
        <v>#NUM!</v>
      </c>
      <c r="Z527" s="9">
        <f ca="1">Table20[[#This Row],[Remaining]]*Table20[[#This Row],[Current Price]]*100</f>
        <v>0</v>
      </c>
      <c r="AA527" s="22">
        <f ca="1">IFERROR(Table20[[#This Row],[nominal_exposure]]*Table20[[#This Row],[Delta]],0)</f>
        <v>0</v>
      </c>
      <c r="AB527" s="30" t="b">
        <f>IF(Table20[[#This Row],[date_purchased]]&lt;&gt;Table20[[#This Row],[Expiration Date]],FALSE,TRUE)</f>
        <v>0</v>
      </c>
      <c r="AC527" s="30" t="str">
        <f>VLOOKUP(Table20[[#This Row],[Asset]],Table19[#All],3,FALSE)</f>
        <v>Consumer Staples</v>
      </c>
      <c r="AD527" s="30">
        <f>IF(Table20[[#This Row],[Remaining]]&lt;&gt;0,Table20[[#This Row],[Invested]]*Table20[[#This Row],[Remaining]]/Table20[[#This Row],[Number of options]],0)</f>
        <v>0</v>
      </c>
      <c r="AE527" s="30">
        <f ca="1">SUMIF(Table20[Ticker],Table20[[#This Row],[Ticker]],Table20[realized_profit])</f>
        <v>-838.16</v>
      </c>
      <c r="AF527" s="30" t="str">
        <f>VLOOKUP(Table20[[#This Row],[Strategy]],Table29[#All],7,FALSE)</f>
        <v>Bearish</v>
      </c>
    </row>
    <row r="528" spans="1:32" hidden="1">
      <c r="A528" s="180">
        <v>45758</v>
      </c>
      <c r="B528" s="21" t="e" vm="159">
        <v>#VALUE!</v>
      </c>
      <c r="C528" s="109" t="str" cm="1">
        <f t="array" aca="1" ref="C528" ca="1">_FV(Table20[[#This Row],[Asset]],"Ticker symbol",TRUE)</f>
        <v>BABA</v>
      </c>
      <c r="D528" s="26" cm="1">
        <f t="array" aca="1" ref="D528" ca="1">_FV(Table20[[#This Row],[Asset]],"Price")</f>
        <v>129.63999999999999</v>
      </c>
      <c r="E528" s="26">
        <v>100</v>
      </c>
      <c r="F528" s="33">
        <v>2</v>
      </c>
      <c r="G528" s="34">
        <v>1</v>
      </c>
      <c r="H528" s="34" t="s">
        <v>65</v>
      </c>
      <c r="I528" s="31">
        <v>45754</v>
      </c>
      <c r="J528" s="26">
        <v>1.75</v>
      </c>
      <c r="K528" s="24">
        <v>1.1467000000000001</v>
      </c>
      <c r="L528" s="33">
        <f>VLOOKUP(Table20[[#This Row],[Strategy]],Table29[#All],6,FALSE)</f>
        <v>-1</v>
      </c>
      <c r="M528" s="23">
        <v>1</v>
      </c>
      <c r="N528" s="23">
        <v>3.4</v>
      </c>
      <c r="O528" s="23">
        <v>1</v>
      </c>
      <c r="P528" s="23">
        <v>2.52</v>
      </c>
      <c r="Q528">
        <f>Table20[[#This Row],[Exit1]]*Table20[[#This Row],[ex1_price]]</f>
        <v>3.4</v>
      </c>
      <c r="R528">
        <f>Table20[[#This Row],[Exit2]]*Table20[[#This Row],[ex2_price]]</f>
        <v>2.52</v>
      </c>
      <c r="S528">
        <f>IFERROR((Table20[[#This Row],[ex2_amnt]]+Table20[[#This Row],[ex1_amnt]])/(Table20[[#This Row],[Exit2]]+Table20[[#This Row],[Exit1]]),0)</f>
        <v>2.96</v>
      </c>
      <c r="T528" s="5">
        <f>(Table20[[#This Row],[Exit1]]+Table20[[#This Row],[Exit2]])*(Table20[[#This Row],[avg_exit_price]]-Table20[[#This Row],[AvePrice]])*100*Table20[[#This Row],[Buy or Sell]]</f>
        <v>242</v>
      </c>
      <c r="U528" s="5">
        <f>Table20[[#This Row],[Number of options]]*Table20[[#This Row],[AvePrice]]*100*Table20[[#This Row],[Buy or Sell]]</f>
        <v>350</v>
      </c>
      <c r="V528" s="8">
        <f>Table20[[#This Row],[Number of options]]-Table20[[#This Row],[Exit1]]-Table20[[#This Row],[Exit2]]</f>
        <v>0</v>
      </c>
      <c r="W528" s="30">
        <f ca="1">(Table20[[#This Row],[Expiration Date]]-TODAY())/365</f>
        <v>-0.95616438356164379</v>
      </c>
      <c r="X528" s="30" t="e">
        <f ca="1">(LN(Table20[[#This Row],[Current Price]]/Table20[[#This Row],[strike_price]]) + ($B$2 + (Table20[[#This Row],[Vol]]^2)/2)*Table20[[#This Row],[Time to expiration]]) / (Table20[[#This Row],[Vol]] * SQRT(Table20[[#This Row],[Time to expiration]]))</f>
        <v>#NUM!</v>
      </c>
      <c r="Y528" s="30" t="e">
        <f ca="1">IF(Table20[[#This Row],[Direction]]&gt;0, _xlfn.NORM.S.DIST(Table20[[#This Row],[d1]], TRUE), _xlfn.NORM.S.DIST(Table20[[#This Row],[d1]], TRUE) - 1) * Table20[[#This Row],[Buy or Sell]]</f>
        <v>#NUM!</v>
      </c>
      <c r="Z528" s="9">
        <f ca="1">Table20[[#This Row],[Remaining]]*Table20[[#This Row],[Current Price]]*100</f>
        <v>0</v>
      </c>
      <c r="AA528" s="22">
        <f ca="1">IFERROR(Table20[[#This Row],[nominal_exposure]]*Table20[[#This Row],[Delta]],0)</f>
        <v>0</v>
      </c>
      <c r="AB528" s="30" t="b">
        <f>IF(Table20[[#This Row],[date_purchased]]&lt;&gt;Table20[[#This Row],[Expiration Date]],FALSE,TRUE)</f>
        <v>0</v>
      </c>
      <c r="AC528" s="30" t="str">
        <f>VLOOKUP(Table20[[#This Row],[Asset]],Table19[#All],3,FALSE)</f>
        <v>China</v>
      </c>
      <c r="AD528" s="30">
        <f>IF(Table20[[#This Row],[Remaining]]&lt;&gt;0,Table20[[#This Row],[Invested]]*Table20[[#This Row],[Remaining]]/Table20[[#This Row],[Number of options]],0)</f>
        <v>0</v>
      </c>
      <c r="AE528" s="30">
        <f ca="1">SUMIF(Table20[Ticker],Table20[[#This Row],[Ticker]],Table20[realized_profit])</f>
        <v>5855</v>
      </c>
      <c r="AF528" s="30" t="str">
        <f>VLOOKUP(Table20[[#This Row],[Strategy]],Table29[#All],7,FALSE)</f>
        <v>Bearish</v>
      </c>
    </row>
    <row r="529" spans="1:32" hidden="1">
      <c r="A529" s="180">
        <v>45758</v>
      </c>
      <c r="B529" s="21" t="e" vm="168">
        <v>#VALUE!</v>
      </c>
      <c r="C529" s="109" t="str" cm="1">
        <f t="array" aca="1" ref="C529" ca="1">_FV(Table20[[#This Row],[Asset]],"Ticker symbol",TRUE)</f>
        <v>PDD</v>
      </c>
      <c r="D529" s="26" cm="1">
        <f t="array" aca="1" ref="D529" ca="1">_FV(Table20[[#This Row],[Asset]],"Price")</f>
        <v>106.22</v>
      </c>
      <c r="E529" s="26">
        <v>90</v>
      </c>
      <c r="F529" s="33">
        <v>2</v>
      </c>
      <c r="G529" s="34">
        <v>1</v>
      </c>
      <c r="H529" s="34" t="s">
        <v>65</v>
      </c>
      <c r="I529" s="31">
        <v>45754</v>
      </c>
      <c r="J529" s="26">
        <v>2.0299999999999998</v>
      </c>
      <c r="K529" s="24">
        <v>1.3240000000000001</v>
      </c>
      <c r="L529" s="33">
        <f>VLOOKUP(Table20[[#This Row],[Strategy]],Table29[#All],6,FALSE)</f>
        <v>-1</v>
      </c>
      <c r="M529" s="23">
        <v>2</v>
      </c>
      <c r="N529" s="23">
        <v>2.3199999999999998</v>
      </c>
      <c r="O529" s="23"/>
      <c r="P529" s="23"/>
      <c r="Q529">
        <f>Table20[[#This Row],[Exit1]]*Table20[[#This Row],[ex1_price]]</f>
        <v>4.6399999999999997</v>
      </c>
      <c r="R529">
        <f>Table20[[#This Row],[Exit2]]*Table20[[#This Row],[ex2_price]]</f>
        <v>0</v>
      </c>
      <c r="S529">
        <f>IFERROR((Table20[[#This Row],[ex2_amnt]]+Table20[[#This Row],[ex1_amnt]])/(Table20[[#This Row],[Exit2]]+Table20[[#This Row],[Exit1]]),0)</f>
        <v>2.3199999999999998</v>
      </c>
      <c r="T529" s="5">
        <f>(Table20[[#This Row],[Exit1]]+Table20[[#This Row],[Exit2]])*(Table20[[#This Row],[avg_exit_price]]-Table20[[#This Row],[AvePrice]])*100*Table20[[#This Row],[Buy or Sell]]</f>
        <v>58.000000000000007</v>
      </c>
      <c r="U529" s="5">
        <f>Table20[[#This Row],[Number of options]]*Table20[[#This Row],[AvePrice]]*100*Table20[[#This Row],[Buy or Sell]]</f>
        <v>405.99999999999994</v>
      </c>
      <c r="V529" s="8">
        <f>Table20[[#This Row],[Number of options]]-Table20[[#This Row],[Exit1]]-Table20[[#This Row],[Exit2]]</f>
        <v>0</v>
      </c>
      <c r="W529" s="30">
        <f ca="1">(Table20[[#This Row],[Expiration Date]]-TODAY())/365</f>
        <v>-0.95616438356164379</v>
      </c>
      <c r="X529" s="30" t="e">
        <f ca="1">(LN(Table20[[#This Row],[Current Price]]/Table20[[#This Row],[strike_price]]) + ($B$2 + (Table20[[#This Row],[Vol]]^2)/2)*Table20[[#This Row],[Time to expiration]]) / (Table20[[#This Row],[Vol]] * SQRT(Table20[[#This Row],[Time to expiration]]))</f>
        <v>#NUM!</v>
      </c>
      <c r="Y529" s="30" t="e">
        <f ca="1">IF(Table20[[#This Row],[Direction]]&gt;0, _xlfn.NORM.S.DIST(Table20[[#This Row],[d1]], TRUE), _xlfn.NORM.S.DIST(Table20[[#This Row],[d1]], TRUE) - 1) * Table20[[#This Row],[Buy or Sell]]</f>
        <v>#NUM!</v>
      </c>
      <c r="Z529" s="9">
        <f ca="1">Table20[[#This Row],[Remaining]]*Table20[[#This Row],[Current Price]]*100</f>
        <v>0</v>
      </c>
      <c r="AA529" s="22">
        <f ca="1">IFERROR(Table20[[#This Row],[nominal_exposure]]*Table20[[#This Row],[Delta]],0)</f>
        <v>0</v>
      </c>
      <c r="AB529" s="30" t="b">
        <f>IF(Table20[[#This Row],[date_purchased]]&lt;&gt;Table20[[#This Row],[Expiration Date]],FALSE,TRUE)</f>
        <v>0</v>
      </c>
      <c r="AC529" s="30" t="str">
        <f>VLOOKUP(Table20[[#This Row],[Asset]],Table19[#All],3,FALSE)</f>
        <v>China</v>
      </c>
      <c r="AD529" s="30">
        <f>IF(Table20[[#This Row],[Remaining]]&lt;&gt;0,Table20[[#This Row],[Invested]]*Table20[[#This Row],[Remaining]]/Table20[[#This Row],[Number of options]],0)</f>
        <v>0</v>
      </c>
      <c r="AE529" s="30">
        <f ca="1">SUMIF(Table20[Ticker],Table20[[#This Row],[Ticker]],Table20[realized_profit])</f>
        <v>1390</v>
      </c>
      <c r="AF529" s="30" t="str">
        <f>VLOOKUP(Table20[[#This Row],[Strategy]],Table29[#All],7,FALSE)</f>
        <v>Bearish</v>
      </c>
    </row>
    <row r="530" spans="1:32" hidden="1">
      <c r="A530" s="180">
        <v>45761</v>
      </c>
      <c r="B530" s="21" t="e" vm="151">
        <v>#VALUE!</v>
      </c>
      <c r="C530" s="109" t="str" cm="1">
        <f t="array" aca="1" ref="C530" ca="1">_FV(Table20[[#This Row],[Asset]],"Ticker symbol",TRUE)</f>
        <v>TLT</v>
      </c>
      <c r="D530" s="26" cm="1">
        <f t="array" aca="1" ref="D530" ca="1">_FV(Table20[[#This Row],[Asset]],"Price")</f>
        <v>86.743499999999997</v>
      </c>
      <c r="E530" s="26">
        <v>91</v>
      </c>
      <c r="F530" s="33">
        <v>2</v>
      </c>
      <c r="G530" s="34">
        <v>1</v>
      </c>
      <c r="H530" s="34" t="s">
        <v>113</v>
      </c>
      <c r="I530" s="31">
        <v>45754</v>
      </c>
      <c r="J530" s="26">
        <v>1.1499999999999999</v>
      </c>
      <c r="K530" s="24">
        <v>0.23549999999999999</v>
      </c>
      <c r="L530" s="33">
        <f>VLOOKUP(Table20[[#This Row],[Strategy]],Table29[#All],6,FALSE)</f>
        <v>1</v>
      </c>
      <c r="M530" s="23">
        <v>2</v>
      </c>
      <c r="N530" s="23">
        <v>0.6</v>
      </c>
      <c r="O530" s="23"/>
      <c r="P530" s="23"/>
      <c r="Q530">
        <f>Table20[[#This Row],[Exit1]]*Table20[[#This Row],[ex1_price]]</f>
        <v>1.2</v>
      </c>
      <c r="R530">
        <f>Table20[[#This Row],[Exit2]]*Table20[[#This Row],[ex2_price]]</f>
        <v>0</v>
      </c>
      <c r="S530">
        <f>IFERROR((Table20[[#This Row],[ex2_amnt]]+Table20[[#This Row],[ex1_amnt]])/(Table20[[#This Row],[Exit2]]+Table20[[#This Row],[Exit1]]),0)</f>
        <v>0.6</v>
      </c>
      <c r="T530" s="5">
        <f>(Table20[[#This Row],[Exit1]]+Table20[[#This Row],[Exit2]])*(Table20[[#This Row],[avg_exit_price]]-Table20[[#This Row],[AvePrice]])*100*Table20[[#This Row],[Buy or Sell]]</f>
        <v>-109.99999999999999</v>
      </c>
      <c r="U530" s="5">
        <f>Table20[[#This Row],[Number of options]]*Table20[[#This Row],[AvePrice]]*100*Table20[[#This Row],[Buy or Sell]]</f>
        <v>229.99999999999997</v>
      </c>
      <c r="V530" s="8">
        <f>Table20[[#This Row],[Number of options]]-Table20[[#This Row],[Exit1]]-Table20[[#This Row],[Exit2]]</f>
        <v>0</v>
      </c>
      <c r="W530" s="30">
        <f ca="1">(Table20[[#This Row],[Expiration Date]]-TODAY())/365</f>
        <v>-0.94794520547945205</v>
      </c>
      <c r="X530" s="30" t="e">
        <f ca="1">(LN(Table20[[#This Row],[Current Price]]/Table20[[#This Row],[strike_price]]) + ($B$2 + (Table20[[#This Row],[Vol]]^2)/2)*Table20[[#This Row],[Time to expiration]]) / (Table20[[#This Row],[Vol]] * SQRT(Table20[[#This Row],[Time to expiration]]))</f>
        <v>#NUM!</v>
      </c>
      <c r="Y530" s="30" t="e">
        <f ca="1">IF(Table20[[#This Row],[Direction]]&gt;0, _xlfn.NORM.S.DIST(Table20[[#This Row],[d1]], TRUE), _xlfn.NORM.S.DIST(Table20[[#This Row],[d1]], TRUE) - 1) * Table20[[#This Row],[Buy or Sell]]</f>
        <v>#NUM!</v>
      </c>
      <c r="Z530" s="9">
        <f ca="1">Table20[[#This Row],[Remaining]]*Table20[[#This Row],[Current Price]]*100</f>
        <v>0</v>
      </c>
      <c r="AA530" s="22">
        <f ca="1">IFERROR(Table20[[#This Row],[nominal_exposure]]*Table20[[#This Row],[Delta]],0)</f>
        <v>0</v>
      </c>
      <c r="AB530" s="30" t="b">
        <f>IF(Table20[[#This Row],[date_purchased]]&lt;&gt;Table20[[#This Row],[Expiration Date]],FALSE,TRUE)</f>
        <v>0</v>
      </c>
      <c r="AC530" s="30" t="str">
        <f>VLOOKUP(Table20[[#This Row],[Asset]],Table19[#All],3,FALSE)</f>
        <v>Market</v>
      </c>
      <c r="AD530" s="30">
        <f>IF(Table20[[#This Row],[Remaining]]&lt;&gt;0,Table20[[#This Row],[Invested]]*Table20[[#This Row],[Remaining]]/Table20[[#This Row],[Number of options]],0)</f>
        <v>0</v>
      </c>
      <c r="AE530" s="30">
        <f ca="1">SUMIF(Table20[Ticker],Table20[[#This Row],[Ticker]],Table20[realized_profit])</f>
        <v>-3328.3599999999997</v>
      </c>
      <c r="AF530" s="30" t="str">
        <f>VLOOKUP(Table20[[#This Row],[Strategy]],Table29[#All],7,FALSE)</f>
        <v>Bullish</v>
      </c>
    </row>
    <row r="531" spans="1:32" hidden="1">
      <c r="A531" s="180">
        <v>45772</v>
      </c>
      <c r="B531" s="21" t="e" vm="169">
        <v>#VALUE!</v>
      </c>
      <c r="C531" s="109" t="str" cm="1">
        <f t="array" aca="1" ref="C531" ca="1">_FV(Table20[[#This Row],[Asset]],"Ticker symbol",TRUE)</f>
        <v>CVS</v>
      </c>
      <c r="D531" s="26" cm="1">
        <f t="array" aca="1" ref="D531" ca="1">_FV(Table20[[#This Row],[Asset]],"Price")</f>
        <v>72.055000000000007</v>
      </c>
      <c r="E531" s="26">
        <v>60</v>
      </c>
      <c r="F531" s="33">
        <v>1</v>
      </c>
      <c r="G531" s="34">
        <v>1</v>
      </c>
      <c r="H531" s="34" t="s">
        <v>65</v>
      </c>
      <c r="I531" s="31">
        <v>45754</v>
      </c>
      <c r="J531" s="26">
        <v>2.5499999999999998</v>
      </c>
      <c r="K531" s="24">
        <v>0.68520000000000003</v>
      </c>
      <c r="L531" s="33">
        <f>VLOOKUP(Table20[[#This Row],[Strategy]],Table29[#All],6,FALSE)</f>
        <v>-1</v>
      </c>
      <c r="M531" s="23">
        <v>1</v>
      </c>
      <c r="N531" s="23">
        <v>0</v>
      </c>
      <c r="O531" s="23"/>
      <c r="P531" s="23"/>
      <c r="Q531">
        <f>Table20[[#This Row],[Exit1]]*Table20[[#This Row],[ex1_price]]</f>
        <v>0</v>
      </c>
      <c r="R531">
        <f>Table20[[#This Row],[Exit2]]*Table20[[#This Row],[ex2_price]]</f>
        <v>0</v>
      </c>
      <c r="S531">
        <f>IFERROR((Table20[[#This Row],[ex2_amnt]]+Table20[[#This Row],[ex1_amnt]])/(Table20[[#This Row],[Exit2]]+Table20[[#This Row],[Exit1]]),0)</f>
        <v>0</v>
      </c>
      <c r="T531" s="5">
        <f>(Table20[[#This Row],[Exit1]]+Table20[[#This Row],[Exit2]])*(Table20[[#This Row],[avg_exit_price]]-Table20[[#This Row],[AvePrice]])*100*Table20[[#This Row],[Buy or Sell]]</f>
        <v>-254.99999999999997</v>
      </c>
      <c r="U531" s="5">
        <f>Table20[[#This Row],[Number of options]]*Table20[[#This Row],[AvePrice]]*100*Table20[[#This Row],[Buy or Sell]]</f>
        <v>254.99999999999997</v>
      </c>
      <c r="V531" s="8">
        <f>Table20[[#This Row],[Number of options]]-Table20[[#This Row],[Exit1]]-Table20[[#This Row],[Exit2]]</f>
        <v>0</v>
      </c>
      <c r="W531" s="30">
        <f ca="1">(Table20[[#This Row],[Expiration Date]]-TODAY())/365</f>
        <v>-0.9178082191780822</v>
      </c>
      <c r="X531" s="30" t="e">
        <f ca="1">(LN(Table20[[#This Row],[Current Price]]/Table20[[#This Row],[strike_price]]) + ($B$2 + (Table20[[#This Row],[Vol]]^2)/2)*Table20[[#This Row],[Time to expiration]]) / (Table20[[#This Row],[Vol]] * SQRT(Table20[[#This Row],[Time to expiration]]))</f>
        <v>#NUM!</v>
      </c>
      <c r="Y531" s="30" t="e">
        <f ca="1">IF(Table20[[#This Row],[Direction]]&gt;0, _xlfn.NORM.S.DIST(Table20[[#This Row],[d1]], TRUE), _xlfn.NORM.S.DIST(Table20[[#This Row],[d1]], TRUE) - 1) * Table20[[#This Row],[Buy or Sell]]</f>
        <v>#NUM!</v>
      </c>
      <c r="Z531" s="9">
        <f ca="1">Table20[[#This Row],[Remaining]]*Table20[[#This Row],[Current Price]]*100</f>
        <v>0</v>
      </c>
      <c r="AA531" s="22">
        <f ca="1">IFERROR(Table20[[#This Row],[nominal_exposure]]*Table20[[#This Row],[Delta]],0)</f>
        <v>0</v>
      </c>
      <c r="AB531" s="30" t="b">
        <f>IF(Table20[[#This Row],[date_purchased]]&lt;&gt;Table20[[#This Row],[Expiration Date]],FALSE,TRUE)</f>
        <v>0</v>
      </c>
      <c r="AC531" s="30" t="str">
        <f>VLOOKUP(Table20[[#This Row],[Asset]],Table19[#All],3,FALSE)</f>
        <v>Health Care</v>
      </c>
      <c r="AD531" s="30">
        <f>IF(Table20[[#This Row],[Remaining]]&lt;&gt;0,Table20[[#This Row],[Invested]]*Table20[[#This Row],[Remaining]]/Table20[[#This Row],[Number of options]],0)</f>
        <v>0</v>
      </c>
      <c r="AE531" s="30">
        <f ca="1">SUMIF(Table20[Ticker],Table20[[#This Row],[Ticker]],Table20[realized_profit])</f>
        <v>-446.00000000000006</v>
      </c>
      <c r="AF531" s="30" t="str">
        <f>VLOOKUP(Table20[[#This Row],[Strategy]],Table29[#All],7,FALSE)</f>
        <v>Bearish</v>
      </c>
    </row>
    <row r="532" spans="1:32" hidden="1">
      <c r="A532" s="180">
        <v>45828</v>
      </c>
      <c r="B532" s="21" t="e" vm="96">
        <v>#VALUE!</v>
      </c>
      <c r="C532" s="109" t="str" cm="1">
        <f t="array" aca="1" ref="C532" ca="1">_FV(Table20[[#This Row],[Asset]],"Ticker symbol",TRUE)</f>
        <v>SPY</v>
      </c>
      <c r="D532" s="26" cm="1">
        <f t="array" aca="1" ref="D532" ca="1">_FV(Table20[[#This Row],[Asset]],"Price")</f>
        <v>658.59</v>
      </c>
      <c r="E532" s="26">
        <v>600</v>
      </c>
      <c r="F532" s="33">
        <v>1</v>
      </c>
      <c r="G532" s="34">
        <v>1</v>
      </c>
      <c r="H532" s="34" t="s">
        <v>113</v>
      </c>
      <c r="I532" s="31">
        <v>45735</v>
      </c>
      <c r="J532" s="26">
        <v>5.91</v>
      </c>
      <c r="K532" s="24">
        <v>0.13600000000000001</v>
      </c>
      <c r="L532" s="33">
        <f>VLOOKUP(Table20[[#This Row],[Strategy]],Table29[#All],6,FALSE)</f>
        <v>1</v>
      </c>
      <c r="M532" s="23">
        <v>1</v>
      </c>
      <c r="N532" s="23">
        <v>2.29</v>
      </c>
      <c r="O532" s="23"/>
      <c r="P532" s="23"/>
      <c r="Q532">
        <f>Table20[[#This Row],[Exit1]]*Table20[[#This Row],[ex1_price]]</f>
        <v>2.29</v>
      </c>
      <c r="R532">
        <f>Table20[[#This Row],[Exit2]]*Table20[[#This Row],[ex2_price]]</f>
        <v>0</v>
      </c>
      <c r="S532">
        <f>IFERROR((Table20[[#This Row],[ex2_amnt]]+Table20[[#This Row],[ex1_amnt]])/(Table20[[#This Row],[Exit2]]+Table20[[#This Row],[Exit1]]),0)</f>
        <v>2.29</v>
      </c>
      <c r="T532" s="5">
        <f>(Table20[[#This Row],[Exit1]]+Table20[[#This Row],[Exit2]])*(Table20[[#This Row],[avg_exit_price]]-Table20[[#This Row],[AvePrice]])*100*Table20[[#This Row],[Buy or Sell]]</f>
        <v>-362</v>
      </c>
      <c r="U532" s="5">
        <f>Table20[[#This Row],[Number of options]]*Table20[[#This Row],[AvePrice]]*100*Table20[[#This Row],[Buy or Sell]]</f>
        <v>591</v>
      </c>
      <c r="V532" s="8">
        <f>Table20[[#This Row],[Number of options]]-Table20[[#This Row],[Exit1]]-Table20[[#This Row],[Exit2]]</f>
        <v>0</v>
      </c>
      <c r="W532" s="30">
        <f ca="1">(Table20[[#This Row],[Expiration Date]]-TODAY())/365</f>
        <v>-0.76438356164383559</v>
      </c>
      <c r="X532" s="30" t="e">
        <f ca="1">(LN(Table20[[#This Row],[Current Price]]/Table20[[#This Row],[strike_price]]) + ($B$2 + (Table20[[#This Row],[Vol]]^2)/2)*Table20[[#This Row],[Time to expiration]]) / (Table20[[#This Row],[Vol]] * SQRT(Table20[[#This Row],[Time to expiration]]))</f>
        <v>#NUM!</v>
      </c>
      <c r="Y532" s="30" t="e">
        <f ca="1">IF(Table20[[#This Row],[Direction]]&gt;0, _xlfn.NORM.S.DIST(Table20[[#This Row],[d1]], TRUE), _xlfn.NORM.S.DIST(Table20[[#This Row],[d1]], TRUE) - 1) * Table20[[#This Row],[Buy or Sell]]</f>
        <v>#NUM!</v>
      </c>
      <c r="Z532" s="9">
        <f ca="1">Table20[[#This Row],[Remaining]]*Table20[[#This Row],[Current Price]]*100</f>
        <v>0</v>
      </c>
      <c r="AA532" s="22">
        <f ca="1">IFERROR(Table20[[#This Row],[nominal_exposure]]*Table20[[#This Row],[Delta]],0)</f>
        <v>0</v>
      </c>
      <c r="AB532" s="30" t="b">
        <f>IF(Table20[[#This Row],[date_purchased]]&lt;&gt;Table20[[#This Row],[Expiration Date]],FALSE,TRUE)</f>
        <v>0</v>
      </c>
      <c r="AC532" s="30" t="str">
        <f>VLOOKUP(Table20[[#This Row],[Asset]],Table19[#All],3,FALSE)</f>
        <v>Market</v>
      </c>
      <c r="AD532" s="30">
        <f>IF(Table20[[#This Row],[Remaining]]&lt;&gt;0,Table20[[#This Row],[Invested]]*Table20[[#This Row],[Remaining]]/Table20[[#This Row],[Number of options]],0)</f>
        <v>0</v>
      </c>
      <c r="AE532" s="30">
        <f ca="1">SUMIF(Table20[Ticker],Table20[[#This Row],[Ticker]],Table20[realized_profit])</f>
        <v>-5077</v>
      </c>
      <c r="AF532" s="30" t="str">
        <f>VLOOKUP(Table20[[#This Row],[Strategy]],Table29[#All],7,FALSE)</f>
        <v>Bullish</v>
      </c>
    </row>
    <row r="533" spans="1:32" hidden="1">
      <c r="A533" s="180">
        <v>45779</v>
      </c>
      <c r="B533" s="21" t="e" vm="37">
        <v>#VALUE!</v>
      </c>
      <c r="C533" s="109" t="str" cm="1">
        <f t="array" aca="1" ref="C533" ca="1">_FV(Table20[[#This Row],[Asset]],"Ticker symbol",TRUE)</f>
        <v>AMD</v>
      </c>
      <c r="D533" s="26" cm="1">
        <f t="array" aca="1" ref="D533" ca="1">_FV(Table20[[#This Row],[Asset]],"Price")</f>
        <v>218.91</v>
      </c>
      <c r="E533" s="26">
        <v>130</v>
      </c>
      <c r="F533" s="33">
        <v>2</v>
      </c>
      <c r="G533" s="34">
        <v>1</v>
      </c>
      <c r="H533" s="34" t="s">
        <v>113</v>
      </c>
      <c r="I533" s="31">
        <v>45741</v>
      </c>
      <c r="J533" s="26">
        <v>1.43</v>
      </c>
      <c r="K533" s="24"/>
      <c r="L533" s="33">
        <f>VLOOKUP(Table20[[#This Row],[Strategy]],Table29[#All],6,FALSE)</f>
        <v>1</v>
      </c>
      <c r="M533" s="23">
        <v>2</v>
      </c>
      <c r="N533" s="23">
        <v>0</v>
      </c>
      <c r="O533" s="23"/>
      <c r="P533" s="23"/>
      <c r="Q533">
        <f>Table20[[#This Row],[Exit1]]*Table20[[#This Row],[ex1_price]]</f>
        <v>0</v>
      </c>
      <c r="R533">
        <f>Table20[[#This Row],[Exit2]]*Table20[[#This Row],[ex2_price]]</f>
        <v>0</v>
      </c>
      <c r="S533">
        <f>IFERROR((Table20[[#This Row],[ex2_amnt]]+Table20[[#This Row],[ex1_amnt]])/(Table20[[#This Row],[Exit2]]+Table20[[#This Row],[Exit1]]),0)</f>
        <v>0</v>
      </c>
      <c r="T533" s="5">
        <f>(Table20[[#This Row],[Exit1]]+Table20[[#This Row],[Exit2]])*(Table20[[#This Row],[avg_exit_price]]-Table20[[#This Row],[AvePrice]])*100*Table20[[#This Row],[Buy or Sell]]</f>
        <v>-286</v>
      </c>
      <c r="U533" s="5">
        <f>Table20[[#This Row],[Number of options]]*Table20[[#This Row],[AvePrice]]*100*Table20[[#This Row],[Buy or Sell]]</f>
        <v>286</v>
      </c>
      <c r="V533" s="8">
        <f>Table20[[#This Row],[Number of options]]-Table20[[#This Row],[Exit1]]-Table20[[#This Row],[Exit2]]</f>
        <v>0</v>
      </c>
      <c r="W533" s="30">
        <f ca="1">(Table20[[#This Row],[Expiration Date]]-TODAY())/365</f>
        <v>-0.89863013698630134</v>
      </c>
      <c r="X533" s="30" t="e">
        <f ca="1">(LN(Table20[[#This Row],[Current Price]]/Table20[[#This Row],[strike_price]]) + ($B$2 + (Table20[[#This Row],[Vol]]^2)/2)*Table20[[#This Row],[Time to expiration]]) / (Table20[[#This Row],[Vol]] * SQRT(Table20[[#This Row],[Time to expiration]]))</f>
        <v>#NUM!</v>
      </c>
      <c r="Y533" s="30" t="e">
        <f ca="1">IF(Table20[[#This Row],[Direction]]&gt;0, _xlfn.NORM.S.DIST(Table20[[#This Row],[d1]], TRUE), _xlfn.NORM.S.DIST(Table20[[#This Row],[d1]], TRUE) - 1) * Table20[[#This Row],[Buy or Sell]]</f>
        <v>#NUM!</v>
      </c>
      <c r="Z533" s="9">
        <f ca="1">Table20[[#This Row],[Remaining]]*Table20[[#This Row],[Current Price]]*100</f>
        <v>0</v>
      </c>
      <c r="AA533" s="22">
        <f ca="1">IFERROR(Table20[[#This Row],[nominal_exposure]]*Table20[[#This Row],[Delta]],0)</f>
        <v>0</v>
      </c>
      <c r="AB533" s="30" t="b">
        <f>IF(Table20[[#This Row],[date_purchased]]&lt;&gt;Table20[[#This Row],[Expiration Date]],FALSE,TRUE)</f>
        <v>0</v>
      </c>
      <c r="AC533" s="30" t="str">
        <f>VLOOKUP(Table20[[#This Row],[Asset]],Table19[#All],3,FALSE)</f>
        <v>AI</v>
      </c>
      <c r="AD533" s="30">
        <f>IF(Table20[[#This Row],[Remaining]]&lt;&gt;0,Table20[[#This Row],[Invested]]*Table20[[#This Row],[Remaining]]/Table20[[#This Row],[Number of options]],0)</f>
        <v>0</v>
      </c>
      <c r="AE533" s="30">
        <f ca="1">SUMIF(Table20[Ticker],Table20[[#This Row],[Ticker]],Table20[realized_profit])</f>
        <v>1567</v>
      </c>
      <c r="AF533" s="30" t="str">
        <f>VLOOKUP(Table20[[#This Row],[Strategy]],Table29[#All],7,FALSE)</f>
        <v>Bullish</v>
      </c>
    </row>
    <row r="534" spans="1:32" hidden="1">
      <c r="A534" s="180">
        <v>45828</v>
      </c>
      <c r="B534" s="21" t="e" vm="34">
        <v>#VALUE!</v>
      </c>
      <c r="C534" s="109" t="str" cm="1">
        <f t="array" aca="1" ref="C534" ca="1">_FV(Table20[[#This Row],[Asset]],"Ticker symbol",TRUE)</f>
        <v>TSM</v>
      </c>
      <c r="D534" s="26" cm="1">
        <f t="array" aca="1" ref="D534" ca="1">_FV(Table20[[#This Row],[Asset]],"Price")</f>
        <v>348.52499999999998</v>
      </c>
      <c r="E534" s="26">
        <v>150</v>
      </c>
      <c r="F534" s="33">
        <v>1</v>
      </c>
      <c r="G534" s="34">
        <v>1</v>
      </c>
      <c r="H534" s="34" t="s">
        <v>65</v>
      </c>
      <c r="I534" s="31">
        <v>45743</v>
      </c>
      <c r="J534" s="26">
        <v>4.6500000000000004</v>
      </c>
      <c r="K534" s="24"/>
      <c r="L534" s="33">
        <f>VLOOKUP(Table20[[#This Row],[Strategy]],Table29[#All],6,FALSE)</f>
        <v>-1</v>
      </c>
      <c r="M534" s="23">
        <v>1</v>
      </c>
      <c r="N534" s="23">
        <v>6.63</v>
      </c>
      <c r="O534" s="23"/>
      <c r="P534" s="23"/>
      <c r="Q534">
        <f>Table20[[#This Row],[Exit1]]*Table20[[#This Row],[ex1_price]]</f>
        <v>6.63</v>
      </c>
      <c r="R534">
        <f>Table20[[#This Row],[Exit2]]*Table20[[#This Row],[ex2_price]]</f>
        <v>0</v>
      </c>
      <c r="S534">
        <f>IFERROR((Table20[[#This Row],[ex2_amnt]]+Table20[[#This Row],[ex1_amnt]])/(Table20[[#This Row],[Exit2]]+Table20[[#This Row],[Exit1]]),0)</f>
        <v>6.63</v>
      </c>
      <c r="T534" s="5">
        <f>(Table20[[#This Row],[Exit1]]+Table20[[#This Row],[Exit2]])*(Table20[[#This Row],[avg_exit_price]]-Table20[[#This Row],[AvePrice]])*100*Table20[[#This Row],[Buy or Sell]]</f>
        <v>197.99999999999994</v>
      </c>
      <c r="U534" s="5">
        <f>Table20[[#This Row],[Number of options]]*Table20[[#This Row],[AvePrice]]*100*Table20[[#This Row],[Buy or Sell]]</f>
        <v>465.00000000000006</v>
      </c>
      <c r="V534" s="8">
        <f>Table20[[#This Row],[Number of options]]-Table20[[#This Row],[Exit1]]-Table20[[#This Row],[Exit2]]</f>
        <v>0</v>
      </c>
      <c r="W534" s="30">
        <f ca="1">(Table20[[#This Row],[Expiration Date]]-TODAY())/365</f>
        <v>-0.76438356164383559</v>
      </c>
      <c r="X534" s="30" t="e">
        <f ca="1">(LN(Table20[[#This Row],[Current Price]]/Table20[[#This Row],[strike_price]]) + ($B$2 + (Table20[[#This Row],[Vol]]^2)/2)*Table20[[#This Row],[Time to expiration]]) / (Table20[[#This Row],[Vol]] * SQRT(Table20[[#This Row],[Time to expiration]]))</f>
        <v>#NUM!</v>
      </c>
      <c r="Y534" s="30" t="e">
        <f ca="1">IF(Table20[[#This Row],[Direction]]&gt;0, _xlfn.NORM.S.DIST(Table20[[#This Row],[d1]], TRUE), _xlfn.NORM.S.DIST(Table20[[#This Row],[d1]], TRUE) - 1) * Table20[[#This Row],[Buy or Sell]]</f>
        <v>#NUM!</v>
      </c>
      <c r="Z534" s="9">
        <f ca="1">Table20[[#This Row],[Remaining]]*Table20[[#This Row],[Current Price]]*100</f>
        <v>0</v>
      </c>
      <c r="AA534" s="22">
        <f ca="1">IFERROR(Table20[[#This Row],[nominal_exposure]]*Table20[[#This Row],[Delta]],0)</f>
        <v>0</v>
      </c>
      <c r="AB534" s="30" t="b">
        <f>IF(Table20[[#This Row],[date_purchased]]&lt;&gt;Table20[[#This Row],[Expiration Date]],FALSE,TRUE)</f>
        <v>0</v>
      </c>
      <c r="AC534" s="30" t="str">
        <f>VLOOKUP(Table20[[#This Row],[Asset]],Table19[#All],3,FALSE)</f>
        <v>AI</v>
      </c>
      <c r="AD534" s="30">
        <f>IF(Table20[[#This Row],[Remaining]]&lt;&gt;0,Table20[[#This Row],[Invested]]*Table20[[#This Row],[Remaining]]/Table20[[#This Row],[Number of options]],0)</f>
        <v>0</v>
      </c>
      <c r="AE534" s="30">
        <f ca="1">SUMIF(Table20[Ticker],Table20[[#This Row],[Ticker]],Table20[realized_profit])</f>
        <v>-444.99999999999977</v>
      </c>
      <c r="AF534" s="30" t="str">
        <f>VLOOKUP(Table20[[#This Row],[Strategy]],Table29[#All],7,FALSE)</f>
        <v>Bearish</v>
      </c>
    </row>
    <row r="535" spans="1:32" hidden="1">
      <c r="A535" s="180">
        <v>45828</v>
      </c>
      <c r="B535" s="21" t="e" vm="34">
        <v>#VALUE!</v>
      </c>
      <c r="C535" s="109" t="str" cm="1">
        <f t="array" aca="1" ref="C535" ca="1">_FV(Table20[[#This Row],[Asset]],"Ticker symbol",TRUE)</f>
        <v>TSM</v>
      </c>
      <c r="D535" s="26" cm="1">
        <f t="array" aca="1" ref="D535" ca="1">_FV(Table20[[#This Row],[Asset]],"Price")</f>
        <v>348.52499999999998</v>
      </c>
      <c r="E535" s="26">
        <v>130</v>
      </c>
      <c r="F535" s="33">
        <v>1</v>
      </c>
      <c r="G535" s="34">
        <v>-1</v>
      </c>
      <c r="H535" s="34" t="s">
        <v>112</v>
      </c>
      <c r="I535" s="31">
        <v>45743</v>
      </c>
      <c r="J535" s="26">
        <v>1.61</v>
      </c>
      <c r="K535" s="24"/>
      <c r="L535" s="33">
        <f>VLOOKUP(Table20[[#This Row],[Strategy]],Table29[#All],6,FALSE)</f>
        <v>-1</v>
      </c>
      <c r="M535" s="23">
        <v>1</v>
      </c>
      <c r="N535" s="23">
        <v>2.2000000000000002</v>
      </c>
      <c r="O535" s="23"/>
      <c r="P535" s="23"/>
      <c r="Q535">
        <f>Table20[[#This Row],[Exit1]]*Table20[[#This Row],[ex1_price]]</f>
        <v>2.2000000000000002</v>
      </c>
      <c r="R535">
        <f>Table20[[#This Row],[Exit2]]*Table20[[#This Row],[ex2_price]]</f>
        <v>0</v>
      </c>
      <c r="S535">
        <f>IFERROR((Table20[[#This Row],[ex2_amnt]]+Table20[[#This Row],[ex1_amnt]])/(Table20[[#This Row],[Exit2]]+Table20[[#This Row],[Exit1]]),0)</f>
        <v>2.2000000000000002</v>
      </c>
      <c r="T535" s="5">
        <f>(Table20[[#This Row],[Exit1]]+Table20[[#This Row],[Exit2]])*(Table20[[#This Row],[avg_exit_price]]-Table20[[#This Row],[AvePrice]])*100*Table20[[#This Row],[Buy or Sell]]</f>
        <v>-59.000000000000007</v>
      </c>
      <c r="U535" s="5">
        <f>Table20[[#This Row],[Number of options]]*Table20[[#This Row],[AvePrice]]*100*Table20[[#This Row],[Buy or Sell]]</f>
        <v>-161</v>
      </c>
      <c r="V535" s="8">
        <f>Table20[[#This Row],[Number of options]]-Table20[[#This Row],[Exit1]]-Table20[[#This Row],[Exit2]]</f>
        <v>0</v>
      </c>
      <c r="W535" s="30">
        <f ca="1">(Table20[[#This Row],[Expiration Date]]-TODAY())/365</f>
        <v>-0.76438356164383559</v>
      </c>
      <c r="X535" s="30" t="e">
        <f ca="1">(LN(Table20[[#This Row],[Current Price]]/Table20[[#This Row],[strike_price]]) + ($B$2 + (Table20[[#This Row],[Vol]]^2)/2)*Table20[[#This Row],[Time to expiration]]) / (Table20[[#This Row],[Vol]] * SQRT(Table20[[#This Row],[Time to expiration]]))</f>
        <v>#NUM!</v>
      </c>
      <c r="Y535" s="30" t="e">
        <f ca="1">IF(Table20[[#This Row],[Direction]]&gt;0, _xlfn.NORM.S.DIST(Table20[[#This Row],[d1]], TRUE), _xlfn.NORM.S.DIST(Table20[[#This Row],[d1]], TRUE) - 1) * Table20[[#This Row],[Buy or Sell]]</f>
        <v>#NUM!</v>
      </c>
      <c r="Z535" s="9">
        <f ca="1">Table20[[#This Row],[Remaining]]*Table20[[#This Row],[Current Price]]*100</f>
        <v>0</v>
      </c>
      <c r="AA535" s="22">
        <f ca="1">IFERROR(Table20[[#This Row],[nominal_exposure]]*Table20[[#This Row],[Delta]],0)</f>
        <v>0</v>
      </c>
      <c r="AB535" s="30" t="b">
        <f>IF(Table20[[#This Row],[date_purchased]]&lt;&gt;Table20[[#This Row],[Expiration Date]],FALSE,TRUE)</f>
        <v>0</v>
      </c>
      <c r="AC535" s="30" t="str">
        <f>VLOOKUP(Table20[[#This Row],[Asset]],Table19[#All],3,FALSE)</f>
        <v>AI</v>
      </c>
      <c r="AD535" s="30">
        <f>IF(Table20[[#This Row],[Remaining]]&lt;&gt;0,Table20[[#This Row],[Invested]]*Table20[[#This Row],[Remaining]]/Table20[[#This Row],[Number of options]],0)</f>
        <v>0</v>
      </c>
      <c r="AE535" s="30">
        <f ca="1">SUMIF(Table20[Ticker],Table20[[#This Row],[Ticker]],Table20[realized_profit])</f>
        <v>-444.99999999999977</v>
      </c>
      <c r="AF535" s="30" t="str">
        <f>VLOOKUP(Table20[[#This Row],[Strategy]],Table29[#All],7,FALSE)</f>
        <v>Bearish</v>
      </c>
    </row>
    <row r="536" spans="1:32" hidden="1">
      <c r="A536" s="180">
        <v>45828</v>
      </c>
      <c r="B536" s="21" t="e" vm="34">
        <v>#VALUE!</v>
      </c>
      <c r="C536" s="109" t="str" cm="1">
        <f t="array" aca="1" ref="C536" ca="1">_FV(Table20[[#This Row],[Asset]],"Ticker symbol",TRUE)</f>
        <v>TSM</v>
      </c>
      <c r="D536" s="26" cm="1">
        <f t="array" aca="1" ref="D536" ca="1">_FV(Table20[[#This Row],[Asset]],"Price")</f>
        <v>348.52499999999998</v>
      </c>
      <c r="E536" s="26">
        <v>150</v>
      </c>
      <c r="F536" s="33">
        <v>1</v>
      </c>
      <c r="G536" s="34">
        <v>1</v>
      </c>
      <c r="H536" s="34" t="s">
        <v>112</v>
      </c>
      <c r="I536" s="31">
        <v>45743</v>
      </c>
      <c r="J536" s="26">
        <v>4.6500000000000004</v>
      </c>
      <c r="K536" s="24"/>
      <c r="L536" s="33">
        <f>VLOOKUP(Table20[[#This Row],[Strategy]],Table29[#All],6,FALSE)</f>
        <v>-1</v>
      </c>
      <c r="M536" s="23">
        <v>1</v>
      </c>
      <c r="N536" s="23">
        <v>6.27</v>
      </c>
      <c r="O536" s="23"/>
      <c r="P536" s="23"/>
      <c r="Q536">
        <f>Table20[[#This Row],[Exit1]]*Table20[[#This Row],[ex1_price]]</f>
        <v>6.27</v>
      </c>
      <c r="R536">
        <f>Table20[[#This Row],[Exit2]]*Table20[[#This Row],[ex2_price]]</f>
        <v>0</v>
      </c>
      <c r="S536">
        <f>IFERROR((Table20[[#This Row],[ex2_amnt]]+Table20[[#This Row],[ex1_amnt]])/(Table20[[#This Row],[Exit2]]+Table20[[#This Row],[Exit1]]),0)</f>
        <v>6.27</v>
      </c>
      <c r="T536" s="5">
        <f>(Table20[[#This Row],[Exit1]]+Table20[[#This Row],[Exit2]])*(Table20[[#This Row],[avg_exit_price]]-Table20[[#This Row],[AvePrice]])*100*Table20[[#This Row],[Buy or Sell]]</f>
        <v>161.99999999999991</v>
      </c>
      <c r="U536" s="5">
        <f>Table20[[#This Row],[Number of options]]*Table20[[#This Row],[AvePrice]]*100*Table20[[#This Row],[Buy or Sell]]</f>
        <v>465.00000000000006</v>
      </c>
      <c r="V536" s="8">
        <f>Table20[[#This Row],[Number of options]]-Table20[[#This Row],[Exit1]]-Table20[[#This Row],[Exit2]]</f>
        <v>0</v>
      </c>
      <c r="W536" s="30">
        <f ca="1">(Table20[[#This Row],[Expiration Date]]-TODAY())/365</f>
        <v>-0.76438356164383559</v>
      </c>
      <c r="X536" s="30" t="e">
        <f ca="1">(LN(Table20[[#This Row],[Current Price]]/Table20[[#This Row],[strike_price]]) + ($B$2 + (Table20[[#This Row],[Vol]]^2)/2)*Table20[[#This Row],[Time to expiration]]) / (Table20[[#This Row],[Vol]] * SQRT(Table20[[#This Row],[Time to expiration]]))</f>
        <v>#NUM!</v>
      </c>
      <c r="Y536" s="30" t="e">
        <f ca="1">IF(Table20[[#This Row],[Direction]]&gt;0, _xlfn.NORM.S.DIST(Table20[[#This Row],[d1]], TRUE), _xlfn.NORM.S.DIST(Table20[[#This Row],[d1]], TRUE) - 1) * Table20[[#This Row],[Buy or Sell]]</f>
        <v>#NUM!</v>
      </c>
      <c r="Z536" s="9">
        <f ca="1">Table20[[#This Row],[Remaining]]*Table20[[#This Row],[Current Price]]*100</f>
        <v>0</v>
      </c>
      <c r="AA536" s="22">
        <f ca="1">IFERROR(Table20[[#This Row],[nominal_exposure]]*Table20[[#This Row],[Delta]],0)</f>
        <v>0</v>
      </c>
      <c r="AB536" s="30" t="b">
        <f>IF(Table20[[#This Row],[date_purchased]]&lt;&gt;Table20[[#This Row],[Expiration Date]],FALSE,TRUE)</f>
        <v>0</v>
      </c>
      <c r="AC536" s="30" t="str">
        <f>VLOOKUP(Table20[[#This Row],[Asset]],Table19[#All],3,FALSE)</f>
        <v>AI</v>
      </c>
      <c r="AD536" s="30">
        <f>IF(Table20[[#This Row],[Remaining]]&lt;&gt;0,Table20[[#This Row],[Invested]]*Table20[[#This Row],[Remaining]]/Table20[[#This Row],[Number of options]],0)</f>
        <v>0</v>
      </c>
      <c r="AE536" s="30">
        <f ca="1">SUMIF(Table20[Ticker],Table20[[#This Row],[Ticker]],Table20[realized_profit])</f>
        <v>-444.99999999999977</v>
      </c>
      <c r="AF536" s="30" t="str">
        <f>VLOOKUP(Table20[[#This Row],[Strategy]],Table29[#All],7,FALSE)</f>
        <v>Bearish</v>
      </c>
    </row>
    <row r="537" spans="1:32" hidden="1">
      <c r="A537" s="180">
        <v>45744</v>
      </c>
      <c r="B537" s="21" t="e" vm="102">
        <v>#VALUE!</v>
      </c>
      <c r="C537" s="109" t="str" cm="1">
        <f t="array" aca="1" ref="C537" ca="1">_FV(Table20[[#This Row],[Asset]],"Ticker symbol",TRUE)</f>
        <v>GM</v>
      </c>
      <c r="D537" s="26" cm="1">
        <f t="array" aca="1" ref="D537" ca="1">_FV(Table20[[#This Row],[Asset]],"Price")</f>
        <v>77.844999999999999</v>
      </c>
      <c r="E537" s="26">
        <v>47.5</v>
      </c>
      <c r="F537" s="33">
        <v>2</v>
      </c>
      <c r="G537" s="34">
        <v>1</v>
      </c>
      <c r="H537" s="34" t="s">
        <v>65</v>
      </c>
      <c r="I537" s="31">
        <v>45744</v>
      </c>
      <c r="J537" s="26">
        <v>0.81</v>
      </c>
      <c r="K537" s="24">
        <v>1</v>
      </c>
      <c r="L537" s="33">
        <f>VLOOKUP(Table20[[#This Row],[Strategy]],Table29[#All],6,FALSE)</f>
        <v>-1</v>
      </c>
      <c r="M537" s="23">
        <v>2</v>
      </c>
      <c r="N537" s="23">
        <v>0.64</v>
      </c>
      <c r="O537" s="23"/>
      <c r="P537" s="23"/>
      <c r="Q537">
        <f>Table20[[#This Row],[Exit1]]*Table20[[#This Row],[ex1_price]]</f>
        <v>1.28</v>
      </c>
      <c r="R537">
        <f>Table20[[#This Row],[Exit2]]*Table20[[#This Row],[ex2_price]]</f>
        <v>0</v>
      </c>
      <c r="S537">
        <f>IFERROR((Table20[[#This Row],[ex2_amnt]]+Table20[[#This Row],[ex1_amnt]])/(Table20[[#This Row],[Exit2]]+Table20[[#This Row],[Exit1]]),0)</f>
        <v>0.64</v>
      </c>
      <c r="T537" s="5">
        <f>(Table20[[#This Row],[Exit1]]+Table20[[#This Row],[Exit2]])*(Table20[[#This Row],[avg_exit_price]]-Table20[[#This Row],[AvePrice]])*100*Table20[[#This Row],[Buy or Sell]]</f>
        <v>-34.000000000000007</v>
      </c>
      <c r="U537" s="5">
        <f>Table20[[#This Row],[Number of options]]*Table20[[#This Row],[AvePrice]]*100*Table20[[#This Row],[Buy or Sell]]</f>
        <v>162</v>
      </c>
      <c r="V537" s="8">
        <f>Table20[[#This Row],[Number of options]]-Table20[[#This Row],[Exit1]]-Table20[[#This Row],[Exit2]]</f>
        <v>0</v>
      </c>
      <c r="W537" s="30">
        <f ca="1">(Table20[[#This Row],[Expiration Date]]-TODAY())/365</f>
        <v>-0.9945205479452055</v>
      </c>
      <c r="X537" s="30" t="e">
        <f ca="1">(LN(Table20[[#This Row],[Current Price]]/Table20[[#This Row],[strike_price]]) + ($B$2 + (Table20[[#This Row],[Vol]]^2)/2)*Table20[[#This Row],[Time to expiration]]) / (Table20[[#This Row],[Vol]] * SQRT(Table20[[#This Row],[Time to expiration]]))</f>
        <v>#NUM!</v>
      </c>
      <c r="Y537" s="30" t="e">
        <f ca="1">IF(Table20[[#This Row],[Direction]]&gt;0, _xlfn.NORM.S.DIST(Table20[[#This Row],[d1]], TRUE), _xlfn.NORM.S.DIST(Table20[[#This Row],[d1]], TRUE) - 1) * Table20[[#This Row],[Buy or Sell]]</f>
        <v>#NUM!</v>
      </c>
      <c r="Z537" s="9">
        <f ca="1">Table20[[#This Row],[Remaining]]*Table20[[#This Row],[Current Price]]*100</f>
        <v>0</v>
      </c>
      <c r="AA537" s="22">
        <f ca="1">IFERROR(Table20[[#This Row],[nominal_exposure]]*Table20[[#This Row],[Delta]],0)</f>
        <v>0</v>
      </c>
      <c r="AB537" s="30" t="b">
        <f>IF(Table20[[#This Row],[date_purchased]]&lt;&gt;Table20[[#This Row],[Expiration Date]],FALSE,TRUE)</f>
        <v>1</v>
      </c>
      <c r="AC537" s="30" t="str">
        <f>VLOOKUP(Table20[[#This Row],[Asset]],Table19[#All],3,FALSE)</f>
        <v>Auto</v>
      </c>
      <c r="AD537" s="30">
        <f>IF(Table20[[#This Row],[Remaining]]&lt;&gt;0,Table20[[#This Row],[Invested]]*Table20[[#This Row],[Remaining]]/Table20[[#This Row],[Number of options]],0)</f>
        <v>0</v>
      </c>
      <c r="AE537" s="30">
        <f ca="1">SUMIF(Table20[Ticker],Table20[[#This Row],[Ticker]],Table20[realized_profit])</f>
        <v>455</v>
      </c>
      <c r="AF537" s="30" t="str">
        <f>VLOOKUP(Table20[[#This Row],[Strategy]],Table29[#All],7,FALSE)</f>
        <v>Bearish</v>
      </c>
    </row>
    <row r="538" spans="1:32" hidden="1">
      <c r="A538" s="180">
        <v>45751</v>
      </c>
      <c r="B538" s="21" t="e" vm="29">
        <v>#VALUE!</v>
      </c>
      <c r="C538" s="109" t="str" cm="1">
        <f t="array" aca="1" ref="C538" ca="1">_FV(Table20[[#This Row],[Asset]],"Ticker symbol",TRUE)</f>
        <v>NVDA</v>
      </c>
      <c r="D538" s="26" cm="1">
        <f t="array" aca="1" ref="D538" ca="1">_FV(Table20[[#This Row],[Asset]],"Price")</f>
        <v>180.405</v>
      </c>
      <c r="E538" s="26">
        <v>105</v>
      </c>
      <c r="F538" s="33">
        <v>2</v>
      </c>
      <c r="G538" s="34">
        <v>1</v>
      </c>
      <c r="H538" s="34" t="s">
        <v>65</v>
      </c>
      <c r="I538" s="31">
        <v>45744</v>
      </c>
      <c r="J538" s="26">
        <v>1.45</v>
      </c>
      <c r="K538" s="24"/>
      <c r="L538" s="33">
        <f>VLOOKUP(Table20[[#This Row],[Strategy]],Table29[#All],6,FALSE)</f>
        <v>-1</v>
      </c>
      <c r="M538" s="23">
        <v>1</v>
      </c>
      <c r="N538" s="23">
        <v>3.45</v>
      </c>
      <c r="O538" s="23">
        <v>1</v>
      </c>
      <c r="P538" s="23">
        <v>2.84</v>
      </c>
      <c r="Q538">
        <f>Table20[[#This Row],[Exit1]]*Table20[[#This Row],[ex1_price]]</f>
        <v>3.45</v>
      </c>
      <c r="R538">
        <f>Table20[[#This Row],[Exit2]]*Table20[[#This Row],[ex2_price]]</f>
        <v>2.84</v>
      </c>
      <c r="S538">
        <f>IFERROR((Table20[[#This Row],[ex2_amnt]]+Table20[[#This Row],[ex1_amnt]])/(Table20[[#This Row],[Exit2]]+Table20[[#This Row],[Exit1]]),0)</f>
        <v>3.145</v>
      </c>
      <c r="T538" s="5">
        <f>(Table20[[#This Row],[Exit1]]+Table20[[#This Row],[Exit2]])*(Table20[[#This Row],[avg_exit_price]]-Table20[[#This Row],[AvePrice]])*100*Table20[[#This Row],[Buy or Sell]]</f>
        <v>339</v>
      </c>
      <c r="U538" s="5">
        <f>Table20[[#This Row],[Number of options]]*Table20[[#This Row],[AvePrice]]*100*Table20[[#This Row],[Buy or Sell]]</f>
        <v>290</v>
      </c>
      <c r="V538" s="8">
        <f>Table20[[#This Row],[Number of options]]-Table20[[#This Row],[Exit1]]-Table20[[#This Row],[Exit2]]</f>
        <v>0</v>
      </c>
      <c r="W538" s="30">
        <f ca="1">(Table20[[#This Row],[Expiration Date]]-TODAY())/365</f>
        <v>-0.97534246575342465</v>
      </c>
      <c r="X538" s="30" t="e">
        <f ca="1">(LN(Table20[[#This Row],[Current Price]]/Table20[[#This Row],[strike_price]]) + ($B$2 + (Table20[[#This Row],[Vol]]^2)/2)*Table20[[#This Row],[Time to expiration]]) / (Table20[[#This Row],[Vol]] * SQRT(Table20[[#This Row],[Time to expiration]]))</f>
        <v>#NUM!</v>
      </c>
      <c r="Y538" s="30" t="e">
        <f ca="1">IF(Table20[[#This Row],[Direction]]&gt;0, _xlfn.NORM.S.DIST(Table20[[#This Row],[d1]], TRUE), _xlfn.NORM.S.DIST(Table20[[#This Row],[d1]], TRUE) - 1) * Table20[[#This Row],[Buy or Sell]]</f>
        <v>#NUM!</v>
      </c>
      <c r="Z538" s="9">
        <f ca="1">Table20[[#This Row],[Remaining]]*Table20[[#This Row],[Current Price]]*100</f>
        <v>0</v>
      </c>
      <c r="AA538" s="22">
        <f ca="1">IFERROR(Table20[[#This Row],[nominal_exposure]]*Table20[[#This Row],[Delta]],0)</f>
        <v>0</v>
      </c>
      <c r="AB538" s="30" t="b">
        <f>IF(Table20[[#This Row],[date_purchased]]&lt;&gt;Table20[[#This Row],[Expiration Date]],FALSE,TRUE)</f>
        <v>0</v>
      </c>
      <c r="AC538" s="30" t="str">
        <f>VLOOKUP(Table20[[#This Row],[Asset]],Table19[#All],3,FALSE)</f>
        <v>AI</v>
      </c>
      <c r="AD538" s="30">
        <f>IF(Table20[[#This Row],[Remaining]]&lt;&gt;0,Table20[[#This Row],[Invested]]*Table20[[#This Row],[Remaining]]/Table20[[#This Row],[Number of options]],0)</f>
        <v>0</v>
      </c>
      <c r="AE538" s="30">
        <f ca="1">SUMIF(Table20[Ticker],Table20[[#This Row],[Ticker]],Table20[realized_profit])</f>
        <v>-637.99999999999955</v>
      </c>
      <c r="AF538" s="30" t="str">
        <f>VLOOKUP(Table20[[#This Row],[Strategy]],Table29[#All],7,FALSE)</f>
        <v>Bearish</v>
      </c>
    </row>
    <row r="539" spans="1:32" hidden="1">
      <c r="A539" s="180">
        <v>45793</v>
      </c>
      <c r="B539" s="21" t="e" vm="556">
        <v>#VALUE!</v>
      </c>
      <c r="C539" s="109" t="str" cm="1">
        <f t="array" aca="1" ref="C539" ca="1">_FV(Table20[[#This Row],[Asset]],"Ticker symbol",TRUE)</f>
        <v>DOCS</v>
      </c>
      <c r="D539" s="26" cm="1">
        <f t="array" aca="1" ref="D539" ca="1">_FV(Table20[[#This Row],[Asset]],"Price")</f>
        <v>24.17</v>
      </c>
      <c r="E539" s="26">
        <v>50</v>
      </c>
      <c r="F539" s="33">
        <v>3</v>
      </c>
      <c r="G539" s="34">
        <v>1</v>
      </c>
      <c r="H539" s="34" t="s">
        <v>65</v>
      </c>
      <c r="I539" s="31">
        <v>45744</v>
      </c>
      <c r="J539" s="26">
        <v>2.97</v>
      </c>
      <c r="K539" s="24"/>
      <c r="L539" s="33">
        <f>VLOOKUP(Table20[[#This Row],[Strategy]],Table29[#All],6,FALSE)</f>
        <v>-1</v>
      </c>
      <c r="M539" s="23">
        <v>1</v>
      </c>
      <c r="N539" s="23">
        <v>5.8</v>
      </c>
      <c r="O539" s="23">
        <v>2</v>
      </c>
      <c r="P539" s="23">
        <v>4.08</v>
      </c>
      <c r="Q539">
        <f>Table20[[#This Row],[Exit1]]*Table20[[#This Row],[ex1_price]]</f>
        <v>5.8</v>
      </c>
      <c r="R539">
        <f>Table20[[#This Row],[Exit2]]*Table20[[#This Row],[ex2_price]]</f>
        <v>8.16</v>
      </c>
      <c r="S539">
        <f>IFERROR((Table20[[#This Row],[ex2_amnt]]+Table20[[#This Row],[ex1_amnt]])/(Table20[[#This Row],[Exit2]]+Table20[[#This Row],[Exit1]]),0)</f>
        <v>4.6533333333333333</v>
      </c>
      <c r="T539" s="5">
        <f>(Table20[[#This Row],[Exit1]]+Table20[[#This Row],[Exit2]])*(Table20[[#This Row],[avg_exit_price]]-Table20[[#This Row],[AvePrice]])*100*Table20[[#This Row],[Buy or Sell]]</f>
        <v>504.99999999999989</v>
      </c>
      <c r="U539" s="5">
        <f>Table20[[#This Row],[Number of options]]*Table20[[#This Row],[AvePrice]]*100*Table20[[#This Row],[Buy or Sell]]</f>
        <v>891</v>
      </c>
      <c r="V539" s="8">
        <f>Table20[[#This Row],[Number of options]]-Table20[[#This Row],[Exit1]]-Table20[[#This Row],[Exit2]]</f>
        <v>0</v>
      </c>
      <c r="W539" s="30">
        <f ca="1">(Table20[[#This Row],[Expiration Date]]-TODAY())/365</f>
        <v>-0.86027397260273974</v>
      </c>
      <c r="X539" s="30" t="e">
        <f ca="1">(LN(Table20[[#This Row],[Current Price]]/Table20[[#This Row],[strike_price]]) + ($B$2 + (Table20[[#This Row],[Vol]]^2)/2)*Table20[[#This Row],[Time to expiration]]) / (Table20[[#This Row],[Vol]] * SQRT(Table20[[#This Row],[Time to expiration]]))</f>
        <v>#NUM!</v>
      </c>
      <c r="Y539" s="30" t="e">
        <f ca="1">IF(Table20[[#This Row],[Direction]]&gt;0, _xlfn.NORM.S.DIST(Table20[[#This Row],[d1]], TRUE), _xlfn.NORM.S.DIST(Table20[[#This Row],[d1]], TRUE) - 1) * Table20[[#This Row],[Buy or Sell]]</f>
        <v>#NUM!</v>
      </c>
      <c r="Z539" s="9">
        <f ca="1">Table20[[#This Row],[Remaining]]*Table20[[#This Row],[Current Price]]*100</f>
        <v>0</v>
      </c>
      <c r="AA539" s="22">
        <f ca="1">IFERROR(Table20[[#This Row],[nominal_exposure]]*Table20[[#This Row],[Delta]],0)</f>
        <v>0</v>
      </c>
      <c r="AB539" s="30" t="b">
        <f>IF(Table20[[#This Row],[date_purchased]]&lt;&gt;Table20[[#This Row],[Expiration Date]],FALSE,TRUE)</f>
        <v>0</v>
      </c>
      <c r="AC539" s="30" t="str">
        <f>VLOOKUP(Table20[[#This Row],[Asset]],Table19[#All],3,FALSE)</f>
        <v>Health Care</v>
      </c>
      <c r="AD539" s="30">
        <f>IF(Table20[[#This Row],[Remaining]]&lt;&gt;0,Table20[[#This Row],[Invested]]*Table20[[#This Row],[Remaining]]/Table20[[#This Row],[Number of options]],0)</f>
        <v>0</v>
      </c>
      <c r="AE539" s="30">
        <f ca="1">SUMIF(Table20[Ticker],Table20[[#This Row],[Ticker]],Table20[realized_profit])</f>
        <v>472.99999999999989</v>
      </c>
      <c r="AF539" s="30" t="str">
        <f>VLOOKUP(Table20[[#This Row],[Strategy]],Table29[#All],7,FALSE)</f>
        <v>Bearish</v>
      </c>
    </row>
    <row r="540" spans="1:32" hidden="1">
      <c r="A540" s="180">
        <v>45828</v>
      </c>
      <c r="B540" s="21" t="e" vm="557">
        <v>#VALUE!</v>
      </c>
      <c r="C540" s="109" t="str" cm="1">
        <f t="array" aca="1" ref="C540" ca="1">_FV(Table20[[#This Row],[Asset]],"Ticker symbol",TRUE)</f>
        <v>HYG</v>
      </c>
      <c r="D540" s="26" cm="1">
        <f t="array" aca="1" ref="D540" ca="1">_FV(Table20[[#This Row],[Asset]],"Price")</f>
        <v>79.525000000000006</v>
      </c>
      <c r="E540" s="26">
        <v>75</v>
      </c>
      <c r="F540" s="33">
        <v>20</v>
      </c>
      <c r="G540" s="34">
        <v>1</v>
      </c>
      <c r="H540" s="34" t="s">
        <v>65</v>
      </c>
      <c r="I540" s="31">
        <v>45744</v>
      </c>
      <c r="J540" s="26">
        <v>0.41</v>
      </c>
      <c r="K540" s="24"/>
      <c r="L540" s="33">
        <f>VLOOKUP(Table20[[#This Row],[Strategy]],Table29[#All],6,FALSE)</f>
        <v>-1</v>
      </c>
      <c r="M540" s="23">
        <v>15</v>
      </c>
      <c r="N540" s="23">
        <v>0.39</v>
      </c>
      <c r="O540" s="23">
        <v>5</v>
      </c>
      <c r="P540" s="23">
        <v>0.94</v>
      </c>
      <c r="Q540">
        <f>Table20[[#This Row],[Exit1]]*Table20[[#This Row],[ex1_price]]</f>
        <v>5.8500000000000005</v>
      </c>
      <c r="R540">
        <f>Table20[[#This Row],[Exit2]]*Table20[[#This Row],[ex2_price]]</f>
        <v>4.6999999999999993</v>
      </c>
      <c r="S540">
        <f>IFERROR((Table20[[#This Row],[ex2_amnt]]+Table20[[#This Row],[ex1_amnt]])/(Table20[[#This Row],[Exit2]]+Table20[[#This Row],[Exit1]]),0)</f>
        <v>0.52750000000000008</v>
      </c>
      <c r="T540" s="5">
        <f>(Table20[[#This Row],[Exit1]]+Table20[[#This Row],[Exit2]])*(Table20[[#This Row],[avg_exit_price]]-Table20[[#This Row],[AvePrice]])*100*Table20[[#This Row],[Buy or Sell]]</f>
        <v>235.00000000000023</v>
      </c>
      <c r="U540" s="5">
        <f>Table20[[#This Row],[Number of options]]*Table20[[#This Row],[AvePrice]]*100*Table20[[#This Row],[Buy or Sell]]</f>
        <v>819.99999999999989</v>
      </c>
      <c r="V540" s="8">
        <f>Table20[[#This Row],[Number of options]]-Table20[[#This Row],[Exit1]]-Table20[[#This Row],[Exit2]]</f>
        <v>0</v>
      </c>
      <c r="W540" s="30">
        <f ca="1">(Table20[[#This Row],[Expiration Date]]-TODAY())/365</f>
        <v>-0.76438356164383559</v>
      </c>
      <c r="X540" s="30" t="e">
        <f ca="1">(LN(Table20[[#This Row],[Current Price]]/Table20[[#This Row],[strike_price]]) + ($B$2 + (Table20[[#This Row],[Vol]]^2)/2)*Table20[[#This Row],[Time to expiration]]) / (Table20[[#This Row],[Vol]] * SQRT(Table20[[#This Row],[Time to expiration]]))</f>
        <v>#NUM!</v>
      </c>
      <c r="Y540" s="30" t="e">
        <f ca="1">IF(Table20[[#This Row],[Direction]]&gt;0, _xlfn.NORM.S.DIST(Table20[[#This Row],[d1]], TRUE), _xlfn.NORM.S.DIST(Table20[[#This Row],[d1]], TRUE) - 1) * Table20[[#This Row],[Buy or Sell]]</f>
        <v>#NUM!</v>
      </c>
      <c r="Z540" s="9">
        <f ca="1">Table20[[#This Row],[Remaining]]*Table20[[#This Row],[Current Price]]*100</f>
        <v>0</v>
      </c>
      <c r="AA540" s="22">
        <f ca="1">IFERROR(Table20[[#This Row],[nominal_exposure]]*Table20[[#This Row],[Delta]],0)</f>
        <v>0</v>
      </c>
      <c r="AB540" s="30" t="b">
        <f>IF(Table20[[#This Row],[date_purchased]]&lt;&gt;Table20[[#This Row],[Expiration Date]],FALSE,TRUE)</f>
        <v>0</v>
      </c>
      <c r="AC540" s="30" t="str">
        <f>VLOOKUP(Table20[[#This Row],[Asset]],Table19[#All],3,FALSE)</f>
        <v>Market</v>
      </c>
      <c r="AD540" s="30">
        <f>IF(Table20[[#This Row],[Remaining]]&lt;&gt;0,Table20[[#This Row],[Invested]]*Table20[[#This Row],[Remaining]]/Table20[[#This Row],[Number of options]],0)</f>
        <v>0</v>
      </c>
      <c r="AE540" s="30">
        <f ca="1">SUMIF(Table20[Ticker],Table20[[#This Row],[Ticker]],Table20[realized_profit])</f>
        <v>37.000000000000227</v>
      </c>
      <c r="AF540" s="30" t="str">
        <f>VLOOKUP(Table20[[#This Row],[Strategy]],Table29[#All],7,FALSE)</f>
        <v>Bearish</v>
      </c>
    </row>
    <row r="541" spans="1:32" hidden="1">
      <c r="A541" s="180">
        <v>45828</v>
      </c>
      <c r="B541" s="21" t="e" vm="159">
        <v>#VALUE!</v>
      </c>
      <c r="C541" s="109" t="str" cm="1">
        <f t="array" aca="1" ref="C541" ca="1">_FV(Table20[[#This Row],[Asset]],"Ticker symbol",TRUE)</f>
        <v>BABA</v>
      </c>
      <c r="D541" s="26" cm="1">
        <f t="array" aca="1" ref="D541" ca="1">_FV(Table20[[#This Row],[Asset]],"Price")</f>
        <v>129.63999999999999</v>
      </c>
      <c r="E541" s="26">
        <v>1.26</v>
      </c>
      <c r="F541" s="33">
        <v>1</v>
      </c>
      <c r="G541" s="34">
        <v>1</v>
      </c>
      <c r="H541" s="34" t="s">
        <v>113</v>
      </c>
      <c r="I541" s="31">
        <v>45747</v>
      </c>
      <c r="J541" s="26">
        <v>1.26</v>
      </c>
      <c r="K541" s="24"/>
      <c r="L541" s="33">
        <f>VLOOKUP(Table20[[#This Row],[Strategy]],Table29[#All],6,FALSE)</f>
        <v>1</v>
      </c>
      <c r="M541" s="23">
        <v>1</v>
      </c>
      <c r="N541" s="23">
        <v>8.3000000000000007</v>
      </c>
      <c r="O541" s="23"/>
      <c r="P541" s="23"/>
      <c r="Q541">
        <f>Table20[[#This Row],[Exit1]]*Table20[[#This Row],[ex1_price]]</f>
        <v>8.3000000000000007</v>
      </c>
      <c r="R541">
        <f>Table20[[#This Row],[Exit2]]*Table20[[#This Row],[ex2_price]]</f>
        <v>0</v>
      </c>
      <c r="S541">
        <f>IFERROR((Table20[[#This Row],[ex2_amnt]]+Table20[[#This Row],[ex1_amnt]])/(Table20[[#This Row],[Exit2]]+Table20[[#This Row],[Exit1]]),0)</f>
        <v>8.3000000000000007</v>
      </c>
      <c r="T541" s="5">
        <f>(Table20[[#This Row],[Exit1]]+Table20[[#This Row],[Exit2]])*(Table20[[#This Row],[avg_exit_price]]-Table20[[#This Row],[AvePrice]])*100*Table20[[#This Row],[Buy or Sell]]</f>
        <v>704.00000000000011</v>
      </c>
      <c r="U541" s="5">
        <f>Table20[[#This Row],[Number of options]]*Table20[[#This Row],[AvePrice]]*100*Table20[[#This Row],[Buy or Sell]]</f>
        <v>126</v>
      </c>
      <c r="V541" s="8">
        <f>Table20[[#This Row],[Number of options]]-Table20[[#This Row],[Exit1]]-Table20[[#This Row],[Exit2]]</f>
        <v>0</v>
      </c>
      <c r="W541" s="30">
        <f ca="1">(Table20[[#This Row],[Expiration Date]]-TODAY())/365</f>
        <v>-0.76438356164383559</v>
      </c>
      <c r="X541" s="30" t="e">
        <f ca="1">(LN(Table20[[#This Row],[Current Price]]/Table20[[#This Row],[strike_price]]) + ($B$2 + (Table20[[#This Row],[Vol]]^2)/2)*Table20[[#This Row],[Time to expiration]]) / (Table20[[#This Row],[Vol]] * SQRT(Table20[[#This Row],[Time to expiration]]))</f>
        <v>#NUM!</v>
      </c>
      <c r="Y541" s="30" t="e">
        <f ca="1">IF(Table20[[#This Row],[Direction]]&gt;0, _xlfn.NORM.S.DIST(Table20[[#This Row],[d1]], TRUE), _xlfn.NORM.S.DIST(Table20[[#This Row],[d1]], TRUE) - 1) * Table20[[#This Row],[Buy or Sell]]</f>
        <v>#NUM!</v>
      </c>
      <c r="Z541" s="9">
        <f ca="1">Table20[[#This Row],[Remaining]]*Table20[[#This Row],[Current Price]]*100</f>
        <v>0</v>
      </c>
      <c r="AA541" s="22">
        <f ca="1">IFERROR(Table20[[#This Row],[nominal_exposure]]*Table20[[#This Row],[Delta]],0)</f>
        <v>0</v>
      </c>
      <c r="AB541" s="30" t="b">
        <f>IF(Table20[[#This Row],[date_purchased]]&lt;&gt;Table20[[#This Row],[Expiration Date]],FALSE,TRUE)</f>
        <v>0</v>
      </c>
      <c r="AC541" s="30" t="str">
        <f>VLOOKUP(Table20[[#This Row],[Asset]],Table19[#All],3,FALSE)</f>
        <v>China</v>
      </c>
      <c r="AD541" s="30">
        <f>IF(Table20[[#This Row],[Remaining]]&lt;&gt;0,Table20[[#This Row],[Invested]]*Table20[[#This Row],[Remaining]]/Table20[[#This Row],[Number of options]],0)</f>
        <v>0</v>
      </c>
      <c r="AE541" s="30">
        <f ca="1">SUMIF(Table20[Ticker],Table20[[#This Row],[Ticker]],Table20[realized_profit])</f>
        <v>5855</v>
      </c>
      <c r="AF541" s="30" t="str">
        <f>VLOOKUP(Table20[[#This Row],[Strategy]],Table29[#All],7,FALSE)</f>
        <v>Bullish</v>
      </c>
    </row>
    <row r="542" spans="1:32" hidden="1">
      <c r="A542" s="180">
        <v>45764</v>
      </c>
      <c r="B542" s="21" t="e" vm="63">
        <v>#VALUE!</v>
      </c>
      <c r="C542" s="109" t="str" cm="1">
        <f t="array" aca="1" ref="C542" ca="1">_FV(Table20[[#This Row],[Asset]],"Ticker symbol",TRUE)</f>
        <v>TSLA</v>
      </c>
      <c r="D542" s="26" cm="1">
        <f t="array" aca="1" ref="D542" ca="1">_FV(Table20[[#This Row],[Asset]],"Price")</f>
        <v>394.5401</v>
      </c>
      <c r="E542" s="26">
        <v>330</v>
      </c>
      <c r="F542" s="33">
        <v>2</v>
      </c>
      <c r="G542" s="34">
        <v>-1</v>
      </c>
      <c r="H542" s="34" t="s">
        <v>115</v>
      </c>
      <c r="I542" s="31">
        <v>45747</v>
      </c>
      <c r="J542" s="26">
        <v>0.82</v>
      </c>
      <c r="K542" s="24">
        <v>0.73</v>
      </c>
      <c r="L542" s="33">
        <f>VLOOKUP(Table20[[#This Row],[Strategy]],Table29[#All],6,FALSE)</f>
        <v>1</v>
      </c>
      <c r="M542" s="23">
        <v>2</v>
      </c>
      <c r="N542" s="23">
        <v>0.25</v>
      </c>
      <c r="O542" s="23"/>
      <c r="P542" s="23"/>
      <c r="Q542">
        <f>Table20[[#This Row],[Exit1]]*Table20[[#This Row],[ex1_price]]</f>
        <v>0.5</v>
      </c>
      <c r="R542">
        <f>Table20[[#This Row],[Exit2]]*Table20[[#This Row],[ex2_price]]</f>
        <v>0</v>
      </c>
      <c r="S542">
        <f>IFERROR((Table20[[#This Row],[ex2_amnt]]+Table20[[#This Row],[ex1_amnt]])/(Table20[[#This Row],[Exit2]]+Table20[[#This Row],[Exit1]]),0)</f>
        <v>0.25</v>
      </c>
      <c r="T542" s="5">
        <f>(Table20[[#This Row],[Exit1]]+Table20[[#This Row],[Exit2]])*(Table20[[#This Row],[avg_exit_price]]-Table20[[#This Row],[AvePrice]])*100*Table20[[#This Row],[Buy or Sell]]</f>
        <v>113.99999999999999</v>
      </c>
      <c r="U542" s="5">
        <f>Table20[[#This Row],[Number of options]]*Table20[[#This Row],[AvePrice]]*100*Table20[[#This Row],[Buy or Sell]]</f>
        <v>-164</v>
      </c>
      <c r="V542" s="8">
        <f>Table20[[#This Row],[Number of options]]-Table20[[#This Row],[Exit1]]-Table20[[#This Row],[Exit2]]</f>
        <v>0</v>
      </c>
      <c r="W542" s="30">
        <f ca="1">(Table20[[#This Row],[Expiration Date]]-TODAY())/365</f>
        <v>-0.9397260273972603</v>
      </c>
      <c r="X542" s="30" t="e">
        <f ca="1">(LN(Table20[[#This Row],[Current Price]]/Table20[[#This Row],[strike_price]]) + ($B$2 + (Table20[[#This Row],[Vol]]^2)/2)*Table20[[#This Row],[Time to expiration]]) / (Table20[[#This Row],[Vol]] * SQRT(Table20[[#This Row],[Time to expiration]]))</f>
        <v>#NUM!</v>
      </c>
      <c r="Y542" s="30" t="e">
        <f ca="1">IF(Table20[[#This Row],[Direction]]&gt;0, _xlfn.NORM.S.DIST(Table20[[#This Row],[d1]], TRUE), _xlfn.NORM.S.DIST(Table20[[#This Row],[d1]], TRUE) - 1) * Table20[[#This Row],[Buy or Sell]]</f>
        <v>#NUM!</v>
      </c>
      <c r="Z542" s="9">
        <f ca="1">Table20[[#This Row],[Remaining]]*Table20[[#This Row],[Current Price]]*100</f>
        <v>0</v>
      </c>
      <c r="AA542" s="22">
        <f ca="1">IFERROR(Table20[[#This Row],[nominal_exposure]]*Table20[[#This Row],[Delta]],0)</f>
        <v>0</v>
      </c>
      <c r="AB542" s="30" t="b">
        <f>IF(Table20[[#This Row],[date_purchased]]&lt;&gt;Table20[[#This Row],[Expiration Date]],FALSE,TRUE)</f>
        <v>0</v>
      </c>
      <c r="AC542" s="30" t="str">
        <f>VLOOKUP(Table20[[#This Row],[Asset]],Table19[#All],3,FALSE)</f>
        <v>Auto</v>
      </c>
      <c r="AD542" s="30">
        <f>IF(Table20[[#This Row],[Remaining]]&lt;&gt;0,Table20[[#This Row],[Invested]]*Table20[[#This Row],[Remaining]]/Table20[[#This Row],[Number of options]],0)</f>
        <v>0</v>
      </c>
      <c r="AE542" s="30">
        <f ca="1">SUMIF(Table20[Ticker],Table20[[#This Row],[Ticker]],Table20[realized_profit])</f>
        <v>4153</v>
      </c>
      <c r="AF542" s="30" t="str">
        <f>VLOOKUP(Table20[[#This Row],[Strategy]],Table29[#All],7,FALSE)</f>
        <v>Bullish</v>
      </c>
    </row>
    <row r="543" spans="1:32" hidden="1">
      <c r="A543" s="180">
        <v>45779</v>
      </c>
      <c r="B543" s="21" t="e" vm="63">
        <v>#VALUE!</v>
      </c>
      <c r="C543" s="109" t="str" cm="1">
        <f t="array" aca="1" ref="C543" ca="1">_FV(Table20[[#This Row],[Asset]],"Ticker symbol",TRUE)</f>
        <v>TSLA</v>
      </c>
      <c r="D543" s="26" cm="1">
        <f t="array" aca="1" ref="D543" ca="1">_FV(Table20[[#This Row],[Asset]],"Price")</f>
        <v>394.5401</v>
      </c>
      <c r="E543" s="26">
        <v>330</v>
      </c>
      <c r="F543" s="33">
        <v>2</v>
      </c>
      <c r="G543" s="34">
        <v>1</v>
      </c>
      <c r="H543" s="34" t="s">
        <v>115</v>
      </c>
      <c r="I543" s="31">
        <v>45747</v>
      </c>
      <c r="J543" s="26">
        <v>3.08</v>
      </c>
      <c r="K543" s="24">
        <v>0.73</v>
      </c>
      <c r="L543" s="33">
        <f>VLOOKUP(Table20[[#This Row],[Strategy]],Table29[#All],6,FALSE)</f>
        <v>1</v>
      </c>
      <c r="M543" s="23">
        <v>2</v>
      </c>
      <c r="N543" s="23">
        <v>4.75</v>
      </c>
      <c r="O543" s="23"/>
      <c r="P543" s="23"/>
      <c r="Q543">
        <f>Table20[[#This Row],[Exit1]]*Table20[[#This Row],[ex1_price]]</f>
        <v>9.5</v>
      </c>
      <c r="R543">
        <f>Table20[[#This Row],[Exit2]]*Table20[[#This Row],[ex2_price]]</f>
        <v>0</v>
      </c>
      <c r="S543">
        <f>IFERROR((Table20[[#This Row],[ex2_amnt]]+Table20[[#This Row],[ex1_amnt]])/(Table20[[#This Row],[Exit2]]+Table20[[#This Row],[Exit1]]),0)</f>
        <v>4.75</v>
      </c>
      <c r="T543" s="5">
        <f>(Table20[[#This Row],[Exit1]]+Table20[[#This Row],[Exit2]])*(Table20[[#This Row],[avg_exit_price]]-Table20[[#This Row],[AvePrice]])*100*Table20[[#This Row],[Buy or Sell]]</f>
        <v>334</v>
      </c>
      <c r="U543" s="5">
        <f>Table20[[#This Row],[Number of options]]*Table20[[#This Row],[AvePrice]]*100*Table20[[#This Row],[Buy or Sell]]</f>
        <v>616</v>
      </c>
      <c r="V543" s="8">
        <f>Table20[[#This Row],[Number of options]]-Table20[[#This Row],[Exit1]]-Table20[[#This Row],[Exit2]]</f>
        <v>0</v>
      </c>
      <c r="W543" s="30">
        <f ca="1">(Table20[[#This Row],[Expiration Date]]-TODAY())/365</f>
        <v>-0.89863013698630134</v>
      </c>
      <c r="X543" s="30" t="e">
        <f ca="1">(LN(Table20[[#This Row],[Current Price]]/Table20[[#This Row],[strike_price]]) + ($B$2 + (Table20[[#This Row],[Vol]]^2)/2)*Table20[[#This Row],[Time to expiration]]) / (Table20[[#This Row],[Vol]] * SQRT(Table20[[#This Row],[Time to expiration]]))</f>
        <v>#NUM!</v>
      </c>
      <c r="Y543" s="30" t="e">
        <f ca="1">IF(Table20[[#This Row],[Direction]]&gt;0, _xlfn.NORM.S.DIST(Table20[[#This Row],[d1]], TRUE), _xlfn.NORM.S.DIST(Table20[[#This Row],[d1]], TRUE) - 1) * Table20[[#This Row],[Buy or Sell]]</f>
        <v>#NUM!</v>
      </c>
      <c r="Z543" s="9">
        <f ca="1">Table20[[#This Row],[Remaining]]*Table20[[#This Row],[Current Price]]*100</f>
        <v>0</v>
      </c>
      <c r="AA543" s="22">
        <f ca="1">IFERROR(Table20[[#This Row],[nominal_exposure]]*Table20[[#This Row],[Delta]],0)</f>
        <v>0</v>
      </c>
      <c r="AB543" s="30" t="b">
        <f>IF(Table20[[#This Row],[date_purchased]]&lt;&gt;Table20[[#This Row],[Expiration Date]],FALSE,TRUE)</f>
        <v>0</v>
      </c>
      <c r="AC543" s="30" t="str">
        <f>VLOOKUP(Table20[[#This Row],[Asset]],Table19[#All],3,FALSE)</f>
        <v>Auto</v>
      </c>
      <c r="AD543" s="30">
        <f>IF(Table20[[#This Row],[Remaining]]&lt;&gt;0,Table20[[#This Row],[Invested]]*Table20[[#This Row],[Remaining]]/Table20[[#This Row],[Number of options]],0)</f>
        <v>0</v>
      </c>
      <c r="AE543" s="30">
        <f ca="1">SUMIF(Table20[Ticker],Table20[[#This Row],[Ticker]],Table20[realized_profit])</f>
        <v>4153</v>
      </c>
      <c r="AF543" s="30" t="str">
        <f>VLOOKUP(Table20[[#This Row],[Strategy]],Table29[#All],7,FALSE)</f>
        <v>Bullish</v>
      </c>
    </row>
    <row r="544" spans="1:32" hidden="1">
      <c r="A544" s="180">
        <v>45828</v>
      </c>
      <c r="B544" s="21" t="e" vm="159">
        <v>#VALUE!</v>
      </c>
      <c r="C544" s="109" t="str" cm="1">
        <f t="array" aca="1" ref="C544" ca="1">_FV(Table20[[#This Row],[Asset]],"Ticker symbol",TRUE)</f>
        <v>BABA</v>
      </c>
      <c r="D544" s="26" cm="1">
        <f t="array" aca="1" ref="D544" ca="1">_FV(Table20[[#This Row],[Asset]],"Price")</f>
        <v>129.63999999999999</v>
      </c>
      <c r="E544" s="26">
        <v>110</v>
      </c>
      <c r="F544" s="33">
        <v>4</v>
      </c>
      <c r="G544" s="34">
        <v>1</v>
      </c>
      <c r="H544" s="34" t="s">
        <v>65</v>
      </c>
      <c r="I544" s="31">
        <v>45747</v>
      </c>
      <c r="J544" s="26">
        <v>2.48</v>
      </c>
      <c r="K544" s="24"/>
      <c r="L544" s="33">
        <f>VLOOKUP(Table20[[#This Row],[Strategy]],Table29[#All],6,FALSE)</f>
        <v>-1</v>
      </c>
      <c r="M544" s="23">
        <v>2</v>
      </c>
      <c r="N544" s="23">
        <v>11.86</v>
      </c>
      <c r="O544" s="23">
        <v>2</v>
      </c>
      <c r="P544" s="23">
        <v>13.99</v>
      </c>
      <c r="Q544">
        <f>Table20[[#This Row],[Exit1]]*Table20[[#This Row],[ex1_price]]</f>
        <v>23.72</v>
      </c>
      <c r="R544">
        <f>Table20[[#This Row],[Exit2]]*Table20[[#This Row],[ex2_price]]</f>
        <v>27.98</v>
      </c>
      <c r="S544">
        <f>IFERROR((Table20[[#This Row],[ex2_amnt]]+Table20[[#This Row],[ex1_amnt]])/(Table20[[#This Row],[Exit2]]+Table20[[#This Row],[Exit1]]),0)</f>
        <v>12.925000000000001</v>
      </c>
      <c r="T544" s="5">
        <f>(Table20[[#This Row],[Exit1]]+Table20[[#This Row],[Exit2]])*(Table20[[#This Row],[avg_exit_price]]-Table20[[#This Row],[AvePrice]])*100*Table20[[#This Row],[Buy or Sell]]</f>
        <v>4178</v>
      </c>
      <c r="U544" s="5">
        <f>Table20[[#This Row],[Number of options]]*Table20[[#This Row],[AvePrice]]*100*Table20[[#This Row],[Buy or Sell]]</f>
        <v>992</v>
      </c>
      <c r="V544" s="8">
        <f>Table20[[#This Row],[Number of options]]-Table20[[#This Row],[Exit1]]-Table20[[#This Row],[Exit2]]</f>
        <v>0</v>
      </c>
      <c r="W544" s="30">
        <f ca="1">(Table20[[#This Row],[Expiration Date]]-TODAY())/365</f>
        <v>-0.76438356164383559</v>
      </c>
      <c r="X544" s="30" t="e">
        <f ca="1">(LN(Table20[[#This Row],[Current Price]]/Table20[[#This Row],[strike_price]]) + ($B$2 + (Table20[[#This Row],[Vol]]^2)/2)*Table20[[#This Row],[Time to expiration]]) / (Table20[[#This Row],[Vol]] * SQRT(Table20[[#This Row],[Time to expiration]]))</f>
        <v>#NUM!</v>
      </c>
      <c r="Y544" s="30" t="e">
        <f ca="1">IF(Table20[[#This Row],[Direction]]&gt;0, _xlfn.NORM.S.DIST(Table20[[#This Row],[d1]], TRUE), _xlfn.NORM.S.DIST(Table20[[#This Row],[d1]], TRUE) - 1) * Table20[[#This Row],[Buy or Sell]]</f>
        <v>#NUM!</v>
      </c>
      <c r="Z544" s="9">
        <f ca="1">Table20[[#This Row],[Remaining]]*Table20[[#This Row],[Current Price]]*100</f>
        <v>0</v>
      </c>
      <c r="AA544" s="22">
        <f ca="1">IFERROR(Table20[[#This Row],[nominal_exposure]]*Table20[[#This Row],[Delta]],0)</f>
        <v>0</v>
      </c>
      <c r="AB544" s="30" t="b">
        <f>IF(Table20[[#This Row],[date_purchased]]&lt;&gt;Table20[[#This Row],[Expiration Date]],FALSE,TRUE)</f>
        <v>0</v>
      </c>
      <c r="AC544" s="30" t="str">
        <f>VLOOKUP(Table20[[#This Row],[Asset]],Table19[#All],3,FALSE)</f>
        <v>China</v>
      </c>
      <c r="AD544" s="30">
        <f>IF(Table20[[#This Row],[Remaining]]&lt;&gt;0,Table20[[#This Row],[Invested]]*Table20[[#This Row],[Remaining]]/Table20[[#This Row],[Number of options]],0)</f>
        <v>0</v>
      </c>
      <c r="AE544" s="30">
        <f ca="1">SUMIF(Table20[Ticker],Table20[[#This Row],[Ticker]],Table20[realized_profit])</f>
        <v>5855</v>
      </c>
      <c r="AF544" s="30" t="str">
        <f>VLOOKUP(Table20[[#This Row],[Strategy]],Table29[#All],7,FALSE)</f>
        <v>Bearish</v>
      </c>
    </row>
    <row r="545" spans="1:32" hidden="1">
      <c r="A545" s="180">
        <v>45828</v>
      </c>
      <c r="B545" s="21" t="e" vm="34">
        <v>#VALUE!</v>
      </c>
      <c r="C545" s="109" t="str" cm="1">
        <f t="array" aca="1" ref="C545" ca="1">_FV(Table20[[#This Row],[Asset]],"Ticker symbol",TRUE)</f>
        <v>TSM</v>
      </c>
      <c r="D545" s="26" cm="1">
        <f t="array" aca="1" ref="D545" ca="1">_FV(Table20[[#This Row],[Asset]],"Price")</f>
        <v>348.52499999999998</v>
      </c>
      <c r="E545" s="26">
        <v>150</v>
      </c>
      <c r="F545" s="33">
        <v>1</v>
      </c>
      <c r="G545" s="34">
        <v>1</v>
      </c>
      <c r="H545" s="34" t="s">
        <v>65</v>
      </c>
      <c r="I545" s="31">
        <v>45748</v>
      </c>
      <c r="J545" s="26">
        <v>5.15</v>
      </c>
      <c r="K545" s="24"/>
      <c r="L545" s="33">
        <f>VLOOKUP(Table20[[#This Row],[Strategy]],Table29[#All],6,FALSE)</f>
        <v>-1</v>
      </c>
      <c r="M545" s="23">
        <v>1</v>
      </c>
      <c r="N545" s="23">
        <v>22</v>
      </c>
      <c r="O545" s="23"/>
      <c r="P545" s="23"/>
      <c r="Q545">
        <f>Table20[[#This Row],[Exit1]]*Table20[[#This Row],[ex1_price]]</f>
        <v>22</v>
      </c>
      <c r="R545">
        <f>Table20[[#This Row],[Exit2]]*Table20[[#This Row],[ex2_price]]</f>
        <v>0</v>
      </c>
      <c r="S545">
        <f>IFERROR((Table20[[#This Row],[ex2_amnt]]+Table20[[#This Row],[ex1_amnt]])/(Table20[[#This Row],[Exit2]]+Table20[[#This Row],[Exit1]]),0)</f>
        <v>22</v>
      </c>
      <c r="T545" s="5">
        <f>(Table20[[#This Row],[Exit1]]+Table20[[#This Row],[Exit2]])*(Table20[[#This Row],[avg_exit_price]]-Table20[[#This Row],[AvePrice]])*100*Table20[[#This Row],[Buy or Sell]]</f>
        <v>1685.0000000000002</v>
      </c>
      <c r="U545" s="5">
        <f>Table20[[#This Row],[Number of options]]*Table20[[#This Row],[AvePrice]]*100*Table20[[#This Row],[Buy or Sell]]</f>
        <v>515</v>
      </c>
      <c r="V545" s="8">
        <f>Table20[[#This Row],[Number of options]]-Table20[[#This Row],[Exit1]]-Table20[[#This Row],[Exit2]]</f>
        <v>0</v>
      </c>
      <c r="W545" s="30">
        <f ca="1">(Table20[[#This Row],[Expiration Date]]-TODAY())/365</f>
        <v>-0.76438356164383559</v>
      </c>
      <c r="X545" s="30" t="e">
        <f ca="1">(LN(Table20[[#This Row],[Current Price]]/Table20[[#This Row],[strike_price]]) + ($B$2 + (Table20[[#This Row],[Vol]]^2)/2)*Table20[[#This Row],[Time to expiration]]) / (Table20[[#This Row],[Vol]] * SQRT(Table20[[#This Row],[Time to expiration]]))</f>
        <v>#NUM!</v>
      </c>
      <c r="Y545" s="30" t="e">
        <f ca="1">IF(Table20[[#This Row],[Direction]]&gt;0, _xlfn.NORM.S.DIST(Table20[[#This Row],[d1]], TRUE), _xlfn.NORM.S.DIST(Table20[[#This Row],[d1]], TRUE) - 1) * Table20[[#This Row],[Buy or Sell]]</f>
        <v>#NUM!</v>
      </c>
      <c r="Z545" s="9">
        <f ca="1">Table20[[#This Row],[Remaining]]*Table20[[#This Row],[Current Price]]*100</f>
        <v>0</v>
      </c>
      <c r="AA545" s="22">
        <f ca="1">IFERROR(Table20[[#This Row],[nominal_exposure]]*Table20[[#This Row],[Delta]],0)</f>
        <v>0</v>
      </c>
      <c r="AB545" s="30" t="b">
        <f>IF(Table20[[#This Row],[date_purchased]]&lt;&gt;Table20[[#This Row],[Expiration Date]],FALSE,TRUE)</f>
        <v>0</v>
      </c>
      <c r="AC545" s="30" t="str">
        <f>VLOOKUP(Table20[[#This Row],[Asset]],Table19[#All],3,FALSE)</f>
        <v>AI</v>
      </c>
      <c r="AD545" s="30">
        <f>IF(Table20[[#This Row],[Remaining]]&lt;&gt;0,Table20[[#This Row],[Invested]]*Table20[[#This Row],[Remaining]]/Table20[[#This Row],[Number of options]],0)</f>
        <v>0</v>
      </c>
      <c r="AE545" s="30">
        <f ca="1">SUMIF(Table20[Ticker],Table20[[#This Row],[Ticker]],Table20[realized_profit])</f>
        <v>-444.99999999999977</v>
      </c>
      <c r="AF545" s="30" t="str">
        <f>VLOOKUP(Table20[[#This Row],[Strategy]],Table29[#All],7,FALSE)</f>
        <v>Bearish</v>
      </c>
    </row>
    <row r="546" spans="1:32" hidden="1">
      <c r="A546" s="180">
        <v>45751</v>
      </c>
      <c r="B546" s="21" t="e" vm="159">
        <v>#VALUE!</v>
      </c>
      <c r="C546" s="109" t="str" cm="1">
        <f t="array" aca="1" ref="C546" ca="1">_FV(Table20[[#This Row],[Asset]],"Ticker symbol",TRUE)</f>
        <v>BABA</v>
      </c>
      <c r="D546" s="26" cm="1">
        <f t="array" aca="1" ref="D546" ca="1">_FV(Table20[[#This Row],[Asset]],"Price")</f>
        <v>129.63999999999999</v>
      </c>
      <c r="E546" s="26">
        <v>130</v>
      </c>
      <c r="F546" s="33">
        <v>2</v>
      </c>
      <c r="G546" s="34">
        <v>1</v>
      </c>
      <c r="H546" s="34" t="s">
        <v>65</v>
      </c>
      <c r="I546" s="31">
        <v>45748</v>
      </c>
      <c r="J546" s="26">
        <v>1.32</v>
      </c>
      <c r="K546" s="24"/>
      <c r="L546" s="33">
        <f>VLOOKUP(Table20[[#This Row],[Strategy]],Table29[#All],6,FALSE)</f>
        <v>-1</v>
      </c>
      <c r="M546" s="23">
        <v>2</v>
      </c>
      <c r="N546" s="23">
        <v>11.8</v>
      </c>
      <c r="O546" s="23"/>
      <c r="P546" s="23"/>
      <c r="Q546">
        <f>Table20[[#This Row],[Exit1]]*Table20[[#This Row],[ex1_price]]</f>
        <v>23.6</v>
      </c>
      <c r="R546">
        <f>Table20[[#This Row],[Exit2]]*Table20[[#This Row],[ex2_price]]</f>
        <v>0</v>
      </c>
      <c r="S546">
        <f>IFERROR((Table20[[#This Row],[ex2_amnt]]+Table20[[#This Row],[ex1_amnt]])/(Table20[[#This Row],[Exit2]]+Table20[[#This Row],[Exit1]]),0)</f>
        <v>11.8</v>
      </c>
      <c r="T546" s="5">
        <f>(Table20[[#This Row],[Exit1]]+Table20[[#This Row],[Exit2]])*(Table20[[#This Row],[avg_exit_price]]-Table20[[#This Row],[AvePrice]])*100*Table20[[#This Row],[Buy or Sell]]</f>
        <v>2096</v>
      </c>
      <c r="U546" s="5">
        <f>Table20[[#This Row],[Number of options]]*Table20[[#This Row],[AvePrice]]*100*Table20[[#This Row],[Buy or Sell]]</f>
        <v>264</v>
      </c>
      <c r="V546" s="8">
        <f>Table20[[#This Row],[Number of options]]-Table20[[#This Row],[Exit1]]-Table20[[#This Row],[Exit2]]</f>
        <v>0</v>
      </c>
      <c r="W546" s="30">
        <f ca="1">(Table20[[#This Row],[Expiration Date]]-TODAY())/365</f>
        <v>-0.97534246575342465</v>
      </c>
      <c r="X546" s="30" t="e">
        <f ca="1">(LN(Table20[[#This Row],[Current Price]]/Table20[[#This Row],[strike_price]]) + ($B$2 + (Table20[[#This Row],[Vol]]^2)/2)*Table20[[#This Row],[Time to expiration]]) / (Table20[[#This Row],[Vol]] * SQRT(Table20[[#This Row],[Time to expiration]]))</f>
        <v>#NUM!</v>
      </c>
      <c r="Y546" s="30" t="e">
        <f ca="1">IF(Table20[[#This Row],[Direction]]&gt;0, _xlfn.NORM.S.DIST(Table20[[#This Row],[d1]], TRUE), _xlfn.NORM.S.DIST(Table20[[#This Row],[d1]], TRUE) - 1) * Table20[[#This Row],[Buy or Sell]]</f>
        <v>#NUM!</v>
      </c>
      <c r="Z546" s="9">
        <f ca="1">Table20[[#This Row],[Remaining]]*Table20[[#This Row],[Current Price]]*100</f>
        <v>0</v>
      </c>
      <c r="AA546" s="22">
        <f ca="1">IFERROR(Table20[[#This Row],[nominal_exposure]]*Table20[[#This Row],[Delta]],0)</f>
        <v>0</v>
      </c>
      <c r="AB546" s="30" t="b">
        <f>IF(Table20[[#This Row],[date_purchased]]&lt;&gt;Table20[[#This Row],[Expiration Date]],FALSE,TRUE)</f>
        <v>0</v>
      </c>
      <c r="AC546" s="30" t="str">
        <f>VLOOKUP(Table20[[#This Row],[Asset]],Table19[#All],3,FALSE)</f>
        <v>China</v>
      </c>
      <c r="AD546" s="30">
        <f>IF(Table20[[#This Row],[Remaining]]&lt;&gt;0,Table20[[#This Row],[Invested]]*Table20[[#This Row],[Remaining]]/Table20[[#This Row],[Number of options]],0)</f>
        <v>0</v>
      </c>
      <c r="AE546" s="30">
        <f ca="1">SUMIF(Table20[Ticker],Table20[[#This Row],[Ticker]],Table20[realized_profit])</f>
        <v>5855</v>
      </c>
      <c r="AF546" s="30" t="str">
        <f>VLOOKUP(Table20[[#This Row],[Strategy]],Table29[#All],7,FALSE)</f>
        <v>Bearish</v>
      </c>
    </row>
    <row r="547" spans="1:32" hidden="1">
      <c r="A547" s="180">
        <v>45828</v>
      </c>
      <c r="B547" s="21" t="e" vm="84">
        <v>#VALUE!</v>
      </c>
      <c r="C547" s="109" t="str" cm="1">
        <f t="array" aca="1" ref="C547" ca="1">_FV(Table20[[#This Row],[Asset]],"Ticker symbol",TRUE)</f>
        <v>COIN</v>
      </c>
      <c r="D547" s="26" cm="1">
        <f t="array" aca="1" ref="D547" ca="1">_FV(Table20[[#This Row],[Asset]],"Price")</f>
        <v>188</v>
      </c>
      <c r="E547" s="26">
        <v>250</v>
      </c>
      <c r="F547" s="33">
        <v>2</v>
      </c>
      <c r="G547" s="34">
        <v>1</v>
      </c>
      <c r="H547" s="34" t="s">
        <v>114</v>
      </c>
      <c r="I547" s="31">
        <v>45749</v>
      </c>
      <c r="J547" s="26">
        <v>5.4</v>
      </c>
      <c r="K547" s="24"/>
      <c r="L547" s="33">
        <f>VLOOKUP(Table20[[#This Row],[Strategy]],Table29[#All],6,FALSE)</f>
        <v>1</v>
      </c>
      <c r="M547" s="23">
        <v>2</v>
      </c>
      <c r="N547" s="23">
        <v>3.08</v>
      </c>
      <c r="O547" s="23"/>
      <c r="P547" s="23"/>
      <c r="Q547">
        <f>Table20[[#This Row],[Exit1]]*Table20[[#This Row],[ex1_price]]</f>
        <v>6.16</v>
      </c>
      <c r="R547">
        <f>Table20[[#This Row],[Exit2]]*Table20[[#This Row],[ex2_price]]</f>
        <v>0</v>
      </c>
      <c r="S547">
        <f>IFERROR((Table20[[#This Row],[ex2_amnt]]+Table20[[#This Row],[ex1_amnt]])/(Table20[[#This Row],[Exit2]]+Table20[[#This Row],[Exit1]]),0)</f>
        <v>3.08</v>
      </c>
      <c r="T547" s="5">
        <f>(Table20[[#This Row],[Exit1]]+Table20[[#This Row],[Exit2]])*(Table20[[#This Row],[avg_exit_price]]-Table20[[#This Row],[AvePrice]])*100*Table20[[#This Row],[Buy or Sell]]</f>
        <v>-464.00000000000006</v>
      </c>
      <c r="U547" s="5">
        <f>Table20[[#This Row],[Number of options]]*Table20[[#This Row],[AvePrice]]*100*Table20[[#This Row],[Buy or Sell]]</f>
        <v>1080</v>
      </c>
      <c r="V547" s="8">
        <f>Table20[[#This Row],[Number of options]]-Table20[[#This Row],[Exit1]]-Table20[[#This Row],[Exit2]]</f>
        <v>0</v>
      </c>
      <c r="W547" s="30">
        <f ca="1">(Table20[[#This Row],[Expiration Date]]-TODAY())/365</f>
        <v>-0.76438356164383559</v>
      </c>
      <c r="X547" s="30" t="e">
        <f ca="1">(LN(Table20[[#This Row],[Current Price]]/Table20[[#This Row],[strike_price]]) + ($B$2 + (Table20[[#This Row],[Vol]]^2)/2)*Table20[[#This Row],[Time to expiration]]) / (Table20[[#This Row],[Vol]] * SQRT(Table20[[#This Row],[Time to expiration]]))</f>
        <v>#NUM!</v>
      </c>
      <c r="Y547" s="30" t="e">
        <f ca="1">IF(Table20[[#This Row],[Direction]]&gt;0, _xlfn.NORM.S.DIST(Table20[[#This Row],[d1]], TRUE), _xlfn.NORM.S.DIST(Table20[[#This Row],[d1]], TRUE) - 1) * Table20[[#This Row],[Buy or Sell]]</f>
        <v>#NUM!</v>
      </c>
      <c r="Z547" s="9">
        <f ca="1">Table20[[#This Row],[Remaining]]*Table20[[#This Row],[Current Price]]*100</f>
        <v>0</v>
      </c>
      <c r="AA547" s="22">
        <f ca="1">IFERROR(Table20[[#This Row],[nominal_exposure]]*Table20[[#This Row],[Delta]],0)</f>
        <v>0</v>
      </c>
      <c r="AB547" s="30" t="b">
        <f>IF(Table20[[#This Row],[date_purchased]]&lt;&gt;Table20[[#This Row],[Expiration Date]],FALSE,TRUE)</f>
        <v>0</v>
      </c>
      <c r="AC547" s="30" t="str">
        <f>VLOOKUP(Table20[[#This Row],[Asset]],Table19[#All],3,FALSE)</f>
        <v>Financials</v>
      </c>
      <c r="AD547" s="30">
        <f>IF(Table20[[#This Row],[Remaining]]&lt;&gt;0,Table20[[#This Row],[Invested]]*Table20[[#This Row],[Remaining]]/Table20[[#This Row],[Number of options]],0)</f>
        <v>0</v>
      </c>
      <c r="AE547" s="30">
        <f ca="1">SUMIF(Table20[Ticker],Table20[[#This Row],[Ticker]],Table20[realized_profit])</f>
        <v>4035</v>
      </c>
      <c r="AF547" s="30" t="str">
        <f>VLOOKUP(Table20[[#This Row],[Strategy]],Table29[#All],7,FALSE)</f>
        <v>Bullish</v>
      </c>
    </row>
    <row r="548" spans="1:32" hidden="1">
      <c r="A548" s="180">
        <v>45828</v>
      </c>
      <c r="B548" s="21" t="e" vm="84">
        <v>#VALUE!</v>
      </c>
      <c r="C548" s="109" t="str" cm="1">
        <f t="array" aca="1" ref="C548" ca="1">_FV(Table20[[#This Row],[Asset]],"Ticker symbol",TRUE)</f>
        <v>COIN</v>
      </c>
      <c r="D548" s="26" cm="1">
        <f t="array" aca="1" ref="D548" ca="1">_FV(Table20[[#This Row],[Asset]],"Price")</f>
        <v>188</v>
      </c>
      <c r="E548" s="26">
        <v>300</v>
      </c>
      <c r="F548" s="33">
        <v>2</v>
      </c>
      <c r="G548" s="34">
        <v>-1</v>
      </c>
      <c r="H548" s="34" t="s">
        <v>114</v>
      </c>
      <c r="I548" s="31">
        <v>45749</v>
      </c>
      <c r="J548" s="26">
        <v>2.04</v>
      </c>
      <c r="K548" s="24"/>
      <c r="L548" s="33">
        <f>VLOOKUP(Table20[[#This Row],[Strategy]],Table29[#All],6,FALSE)</f>
        <v>1</v>
      </c>
      <c r="M548" s="23">
        <v>2</v>
      </c>
      <c r="N548" s="23">
        <v>1.18</v>
      </c>
      <c r="O548" s="23"/>
      <c r="P548" s="23"/>
      <c r="Q548">
        <f>Table20[[#This Row],[Exit1]]*Table20[[#This Row],[ex1_price]]</f>
        <v>2.36</v>
      </c>
      <c r="R548">
        <f>Table20[[#This Row],[Exit2]]*Table20[[#This Row],[ex2_price]]</f>
        <v>0</v>
      </c>
      <c r="S548">
        <f>IFERROR((Table20[[#This Row],[ex2_amnt]]+Table20[[#This Row],[ex1_amnt]])/(Table20[[#This Row],[Exit2]]+Table20[[#This Row],[Exit1]]),0)</f>
        <v>1.18</v>
      </c>
      <c r="T548" s="5">
        <f>(Table20[[#This Row],[Exit1]]+Table20[[#This Row],[Exit2]])*(Table20[[#This Row],[avg_exit_price]]-Table20[[#This Row],[AvePrice]])*100*Table20[[#This Row],[Buy or Sell]]</f>
        <v>172.00000000000003</v>
      </c>
      <c r="U548" s="5">
        <f>Table20[[#This Row],[Number of options]]*Table20[[#This Row],[AvePrice]]*100*Table20[[#This Row],[Buy or Sell]]</f>
        <v>-408</v>
      </c>
      <c r="V548" s="8">
        <f>Table20[[#This Row],[Number of options]]-Table20[[#This Row],[Exit1]]-Table20[[#This Row],[Exit2]]</f>
        <v>0</v>
      </c>
      <c r="W548" s="30">
        <f ca="1">(Table20[[#This Row],[Expiration Date]]-TODAY())/365</f>
        <v>-0.76438356164383559</v>
      </c>
      <c r="X548" s="30" t="e">
        <f ca="1">(LN(Table20[[#This Row],[Current Price]]/Table20[[#This Row],[strike_price]]) + ($B$2 + (Table20[[#This Row],[Vol]]^2)/2)*Table20[[#This Row],[Time to expiration]]) / (Table20[[#This Row],[Vol]] * SQRT(Table20[[#This Row],[Time to expiration]]))</f>
        <v>#NUM!</v>
      </c>
      <c r="Y548" s="30" t="e">
        <f ca="1">IF(Table20[[#This Row],[Direction]]&gt;0, _xlfn.NORM.S.DIST(Table20[[#This Row],[d1]], TRUE), _xlfn.NORM.S.DIST(Table20[[#This Row],[d1]], TRUE) - 1) * Table20[[#This Row],[Buy or Sell]]</f>
        <v>#NUM!</v>
      </c>
      <c r="Z548" s="9">
        <f ca="1">Table20[[#This Row],[Remaining]]*Table20[[#This Row],[Current Price]]*100</f>
        <v>0</v>
      </c>
      <c r="AA548" s="22">
        <f ca="1">IFERROR(Table20[[#This Row],[nominal_exposure]]*Table20[[#This Row],[Delta]],0)</f>
        <v>0</v>
      </c>
      <c r="AB548" s="30" t="b">
        <f>IF(Table20[[#This Row],[date_purchased]]&lt;&gt;Table20[[#This Row],[Expiration Date]],FALSE,TRUE)</f>
        <v>0</v>
      </c>
      <c r="AC548" s="30" t="str">
        <f>VLOOKUP(Table20[[#This Row],[Asset]],Table19[#All],3,FALSE)</f>
        <v>Financials</v>
      </c>
      <c r="AD548" s="30">
        <f>IF(Table20[[#This Row],[Remaining]]&lt;&gt;0,Table20[[#This Row],[Invested]]*Table20[[#This Row],[Remaining]]/Table20[[#This Row],[Number of options]],0)</f>
        <v>0</v>
      </c>
      <c r="AE548" s="30">
        <f ca="1">SUMIF(Table20[Ticker],Table20[[#This Row],[Ticker]],Table20[realized_profit])</f>
        <v>4035</v>
      </c>
      <c r="AF548" s="30" t="str">
        <f>VLOOKUP(Table20[[#This Row],[Strategy]],Table29[#All],7,FALSE)</f>
        <v>Bullish</v>
      </c>
    </row>
    <row r="549" spans="1:32" hidden="1">
      <c r="A549" s="180">
        <v>45751</v>
      </c>
      <c r="B549" s="21" t="e" vm="446">
        <v>#VALUE!</v>
      </c>
      <c r="C549" s="109" t="str" cm="1">
        <f t="array" aca="1" ref="C549" ca="1">_FV(Table20[[#This Row],[Asset]],"Ticker symbol",TRUE)</f>
        <v>RDDT</v>
      </c>
      <c r="D549" s="26" cm="1">
        <f t="array" aca="1" ref="D549" ca="1">_FV(Table20[[#This Row],[Asset]],"Price")</f>
        <v>143.06</v>
      </c>
      <c r="E549" s="26">
        <v>93</v>
      </c>
      <c r="F549" s="33">
        <v>1</v>
      </c>
      <c r="G549" s="34">
        <v>1</v>
      </c>
      <c r="H549" s="34" t="s">
        <v>65</v>
      </c>
      <c r="I549" s="31">
        <v>45750</v>
      </c>
      <c r="J549" s="26">
        <v>1.33</v>
      </c>
      <c r="K549" s="24"/>
      <c r="L549" s="33">
        <f>VLOOKUP(Table20[[#This Row],[Strategy]],Table29[#All],6,FALSE)</f>
        <v>-1</v>
      </c>
      <c r="M549" s="23">
        <v>1</v>
      </c>
      <c r="N549" s="23">
        <v>9</v>
      </c>
      <c r="O549" s="23"/>
      <c r="P549" s="23"/>
      <c r="Q549">
        <f>Table20[[#This Row],[Exit1]]*Table20[[#This Row],[ex1_price]]</f>
        <v>9</v>
      </c>
      <c r="R549">
        <f>Table20[[#This Row],[Exit2]]*Table20[[#This Row],[ex2_price]]</f>
        <v>0</v>
      </c>
      <c r="S549">
        <f>IFERROR((Table20[[#This Row],[ex2_amnt]]+Table20[[#This Row],[ex1_amnt]])/(Table20[[#This Row],[Exit2]]+Table20[[#This Row],[Exit1]]),0)</f>
        <v>9</v>
      </c>
      <c r="T549" s="5">
        <f>(Table20[[#This Row],[Exit1]]+Table20[[#This Row],[Exit2]])*(Table20[[#This Row],[avg_exit_price]]-Table20[[#This Row],[AvePrice]])*100*Table20[[#This Row],[Buy or Sell]]</f>
        <v>767</v>
      </c>
      <c r="U549" s="5">
        <f>Table20[[#This Row],[Number of options]]*Table20[[#This Row],[AvePrice]]*100*Table20[[#This Row],[Buy or Sell]]</f>
        <v>133</v>
      </c>
      <c r="V549" s="8">
        <f>Table20[[#This Row],[Number of options]]-Table20[[#This Row],[Exit1]]-Table20[[#This Row],[Exit2]]</f>
        <v>0</v>
      </c>
      <c r="W549" s="30">
        <f ca="1">(Table20[[#This Row],[Expiration Date]]-TODAY())/365</f>
        <v>-0.97534246575342465</v>
      </c>
      <c r="X549" s="30" t="e">
        <f ca="1">(LN(Table20[[#This Row],[Current Price]]/Table20[[#This Row],[strike_price]]) + ($B$2 + (Table20[[#This Row],[Vol]]^2)/2)*Table20[[#This Row],[Time to expiration]]) / (Table20[[#This Row],[Vol]] * SQRT(Table20[[#This Row],[Time to expiration]]))</f>
        <v>#NUM!</v>
      </c>
      <c r="Y549" s="30" t="e">
        <f ca="1">IF(Table20[[#This Row],[Direction]]&gt;0, _xlfn.NORM.S.DIST(Table20[[#This Row],[d1]], TRUE), _xlfn.NORM.S.DIST(Table20[[#This Row],[d1]], TRUE) - 1) * Table20[[#This Row],[Buy or Sell]]</f>
        <v>#NUM!</v>
      </c>
      <c r="Z549" s="9">
        <f ca="1">Table20[[#This Row],[Remaining]]*Table20[[#This Row],[Current Price]]*100</f>
        <v>0</v>
      </c>
      <c r="AA549" s="22">
        <f ca="1">IFERROR(Table20[[#This Row],[nominal_exposure]]*Table20[[#This Row],[Delta]],0)</f>
        <v>0</v>
      </c>
      <c r="AB549" s="30" t="b">
        <f>IF(Table20[[#This Row],[date_purchased]]&lt;&gt;Table20[[#This Row],[Expiration Date]],FALSE,TRUE)</f>
        <v>0</v>
      </c>
      <c r="AC549" s="30" t="str">
        <f>VLOOKUP(Table20[[#This Row],[Asset]],Table19[#All],3,FALSE)</f>
        <v>Technology</v>
      </c>
      <c r="AD549" s="30">
        <f>IF(Table20[[#This Row],[Remaining]]&lt;&gt;0,Table20[[#This Row],[Invested]]*Table20[[#This Row],[Remaining]]/Table20[[#This Row],[Number of options]],0)</f>
        <v>0</v>
      </c>
      <c r="AE549" s="30">
        <f ca="1">SUMIF(Table20[Ticker],Table20[[#This Row],[Ticker]],Table20[realized_profit])</f>
        <v>1766.0000000000002</v>
      </c>
      <c r="AF549" s="30" t="str">
        <f>VLOOKUP(Table20[[#This Row],[Strategy]],Table29[#All],7,FALSE)</f>
        <v>Bearish</v>
      </c>
    </row>
    <row r="550" spans="1:32" hidden="1">
      <c r="A550" s="180">
        <v>45764</v>
      </c>
      <c r="B550" s="21" t="e" vm="139">
        <v>#VALUE!</v>
      </c>
      <c r="C550" s="109" t="str" cm="1">
        <f t="array" aca="1" ref="C550" ca="1">_FV(Table20[[#This Row],[Asset]],"Ticker symbol",TRUE)</f>
        <v>WMT</v>
      </c>
      <c r="D550" s="26" cm="1">
        <f t="array" aca="1" ref="D550" ca="1">_FV(Table20[[#This Row],[Asset]],"Price")</f>
        <v>122.55500000000001</v>
      </c>
      <c r="E550" s="26">
        <v>85</v>
      </c>
      <c r="F550" s="33">
        <v>1</v>
      </c>
      <c r="G550" s="34">
        <v>1</v>
      </c>
      <c r="H550" s="34" t="s">
        <v>65</v>
      </c>
      <c r="I550" s="31">
        <v>45750</v>
      </c>
      <c r="J550" s="26">
        <v>1.01</v>
      </c>
      <c r="K550" s="24"/>
      <c r="L550" s="33">
        <f>VLOOKUP(Table20[[#This Row],[Strategy]],Table29[#All],6,FALSE)</f>
        <v>-1</v>
      </c>
      <c r="M550" s="23">
        <v>1</v>
      </c>
      <c r="N550" s="23">
        <v>1.82</v>
      </c>
      <c r="O550" s="23"/>
      <c r="P550" s="23"/>
      <c r="Q550">
        <f>Table20[[#This Row],[Exit1]]*Table20[[#This Row],[ex1_price]]</f>
        <v>1.82</v>
      </c>
      <c r="R550">
        <f>Table20[[#This Row],[Exit2]]*Table20[[#This Row],[ex2_price]]</f>
        <v>0</v>
      </c>
      <c r="S550">
        <f>IFERROR((Table20[[#This Row],[ex2_amnt]]+Table20[[#This Row],[ex1_amnt]])/(Table20[[#This Row],[Exit2]]+Table20[[#This Row],[Exit1]]),0)</f>
        <v>1.82</v>
      </c>
      <c r="T550" s="5">
        <f>(Table20[[#This Row],[Exit1]]+Table20[[#This Row],[Exit2]])*(Table20[[#This Row],[avg_exit_price]]-Table20[[#This Row],[AvePrice]])*100*Table20[[#This Row],[Buy or Sell]]</f>
        <v>81</v>
      </c>
      <c r="U550" s="5">
        <f>Table20[[#This Row],[Number of options]]*Table20[[#This Row],[AvePrice]]*100*Table20[[#This Row],[Buy or Sell]]</f>
        <v>101</v>
      </c>
      <c r="V550" s="8">
        <f>Table20[[#This Row],[Number of options]]-Table20[[#This Row],[Exit1]]-Table20[[#This Row],[Exit2]]</f>
        <v>0</v>
      </c>
      <c r="W550" s="30">
        <f ca="1">(Table20[[#This Row],[Expiration Date]]-TODAY())/365</f>
        <v>-0.9397260273972603</v>
      </c>
      <c r="X550" s="30" t="e">
        <f ca="1">(LN(Table20[[#This Row],[Current Price]]/Table20[[#This Row],[strike_price]]) + ($B$2 + (Table20[[#This Row],[Vol]]^2)/2)*Table20[[#This Row],[Time to expiration]]) / (Table20[[#This Row],[Vol]] * SQRT(Table20[[#This Row],[Time to expiration]]))</f>
        <v>#NUM!</v>
      </c>
      <c r="Y550" s="30" t="e">
        <f ca="1">IF(Table20[[#This Row],[Direction]]&gt;0, _xlfn.NORM.S.DIST(Table20[[#This Row],[d1]], TRUE), _xlfn.NORM.S.DIST(Table20[[#This Row],[d1]], TRUE) - 1) * Table20[[#This Row],[Buy or Sell]]</f>
        <v>#NUM!</v>
      </c>
      <c r="Z550" s="9">
        <f ca="1">Table20[[#This Row],[Remaining]]*Table20[[#This Row],[Current Price]]*100</f>
        <v>0</v>
      </c>
      <c r="AA550" s="22">
        <f ca="1">IFERROR(Table20[[#This Row],[nominal_exposure]]*Table20[[#This Row],[Delta]],0)</f>
        <v>0</v>
      </c>
      <c r="AB550" s="30" t="b">
        <f>IF(Table20[[#This Row],[date_purchased]]&lt;&gt;Table20[[#This Row],[Expiration Date]],FALSE,TRUE)</f>
        <v>0</v>
      </c>
      <c r="AC550" s="30" t="str">
        <f>VLOOKUP(Table20[[#This Row],[Asset]],Table19[#All],3,FALSE)</f>
        <v>Consumer Staples</v>
      </c>
      <c r="AD550" s="30">
        <f>IF(Table20[[#This Row],[Remaining]]&lt;&gt;0,Table20[[#This Row],[Invested]]*Table20[[#This Row],[Remaining]]/Table20[[#This Row],[Number of options]],0)</f>
        <v>0</v>
      </c>
      <c r="AE550" s="30">
        <f ca="1">SUMIF(Table20[Ticker],Table20[[#This Row],[Ticker]],Table20[realized_profit])</f>
        <v>-838.16</v>
      </c>
      <c r="AF550" s="30" t="str">
        <f>VLOOKUP(Table20[[#This Row],[Strategy]],Table29[#All],7,FALSE)</f>
        <v>Bearish</v>
      </c>
    </row>
    <row r="551" spans="1:32" hidden="1">
      <c r="A551" s="180">
        <v>45779</v>
      </c>
      <c r="B551" s="21" t="e" vm="168">
        <v>#VALUE!</v>
      </c>
      <c r="C551" s="109" t="str" cm="1">
        <f t="array" aca="1" ref="C551" ca="1">_FV(Table20[[#This Row],[Asset]],"Ticker symbol",TRUE)</f>
        <v>PDD</v>
      </c>
      <c r="D551" s="26" cm="1">
        <f t="array" aca="1" ref="D551" ca="1">_FV(Table20[[#This Row],[Asset]],"Price")</f>
        <v>106.22</v>
      </c>
      <c r="E551" s="26">
        <v>110</v>
      </c>
      <c r="F551" s="33">
        <v>1</v>
      </c>
      <c r="G551" s="34">
        <v>1</v>
      </c>
      <c r="H551" s="34" t="s">
        <v>65</v>
      </c>
      <c r="I551" s="31">
        <v>45750</v>
      </c>
      <c r="J551" s="26">
        <v>3.95</v>
      </c>
      <c r="K551" s="24"/>
      <c r="L551" s="33">
        <f>VLOOKUP(Table20[[#This Row],[Strategy]],Table29[#All],6,FALSE)</f>
        <v>-1</v>
      </c>
      <c r="M551" s="23">
        <v>1</v>
      </c>
      <c r="N551" s="23">
        <v>16.149999999999999</v>
      </c>
      <c r="O551" s="23"/>
      <c r="P551" s="23"/>
      <c r="Q551">
        <f>Table20[[#This Row],[Exit1]]*Table20[[#This Row],[ex1_price]]</f>
        <v>16.149999999999999</v>
      </c>
      <c r="R551">
        <f>Table20[[#This Row],[Exit2]]*Table20[[#This Row],[ex2_price]]</f>
        <v>0</v>
      </c>
      <c r="S551">
        <f>IFERROR((Table20[[#This Row],[ex2_amnt]]+Table20[[#This Row],[ex1_amnt]])/(Table20[[#This Row],[Exit2]]+Table20[[#This Row],[Exit1]]),0)</f>
        <v>16.149999999999999</v>
      </c>
      <c r="T551" s="5">
        <f>(Table20[[#This Row],[Exit1]]+Table20[[#This Row],[Exit2]])*(Table20[[#This Row],[avg_exit_price]]-Table20[[#This Row],[AvePrice]])*100*Table20[[#This Row],[Buy or Sell]]</f>
        <v>1220</v>
      </c>
      <c r="U551" s="5">
        <f>Table20[[#This Row],[Number of options]]*Table20[[#This Row],[AvePrice]]*100*Table20[[#This Row],[Buy or Sell]]</f>
        <v>395</v>
      </c>
      <c r="V551" s="8">
        <f>Table20[[#This Row],[Number of options]]-Table20[[#This Row],[Exit1]]-Table20[[#This Row],[Exit2]]</f>
        <v>0</v>
      </c>
      <c r="W551" s="30">
        <f ca="1">(Table20[[#This Row],[Expiration Date]]-TODAY())/365</f>
        <v>-0.89863013698630134</v>
      </c>
      <c r="X551" s="30" t="e">
        <f ca="1">(LN(Table20[[#This Row],[Current Price]]/Table20[[#This Row],[strike_price]]) + ($B$2 + (Table20[[#This Row],[Vol]]^2)/2)*Table20[[#This Row],[Time to expiration]]) / (Table20[[#This Row],[Vol]] * SQRT(Table20[[#This Row],[Time to expiration]]))</f>
        <v>#NUM!</v>
      </c>
      <c r="Y551" s="30" t="e">
        <f ca="1">IF(Table20[[#This Row],[Direction]]&gt;0, _xlfn.NORM.S.DIST(Table20[[#This Row],[d1]], TRUE), _xlfn.NORM.S.DIST(Table20[[#This Row],[d1]], TRUE) - 1) * Table20[[#This Row],[Buy or Sell]]</f>
        <v>#NUM!</v>
      </c>
      <c r="Z551" s="9">
        <f ca="1">Table20[[#This Row],[Remaining]]*Table20[[#This Row],[Current Price]]*100</f>
        <v>0</v>
      </c>
      <c r="AA551" s="22">
        <f ca="1">IFERROR(Table20[[#This Row],[nominal_exposure]]*Table20[[#This Row],[Delta]],0)</f>
        <v>0</v>
      </c>
      <c r="AB551" s="30" t="b">
        <f>IF(Table20[[#This Row],[date_purchased]]&lt;&gt;Table20[[#This Row],[Expiration Date]],FALSE,TRUE)</f>
        <v>0</v>
      </c>
      <c r="AC551" s="30" t="str">
        <f>VLOOKUP(Table20[[#This Row],[Asset]],Table19[#All],3,FALSE)</f>
        <v>China</v>
      </c>
      <c r="AD551" s="30">
        <f>IF(Table20[[#This Row],[Remaining]]&lt;&gt;0,Table20[[#This Row],[Invested]]*Table20[[#This Row],[Remaining]]/Table20[[#This Row],[Number of options]],0)</f>
        <v>0</v>
      </c>
      <c r="AE551" s="30">
        <f ca="1">SUMIF(Table20[Ticker],Table20[[#This Row],[Ticker]],Table20[realized_profit])</f>
        <v>1390</v>
      </c>
      <c r="AF551" s="30" t="str">
        <f>VLOOKUP(Table20[[#This Row],[Strategy]],Table29[#All],7,FALSE)</f>
        <v>Bearish</v>
      </c>
    </row>
    <row r="552" spans="1:32" hidden="1">
      <c r="A552" s="180">
        <v>45751</v>
      </c>
      <c r="B552" s="21" t="e" vm="168">
        <v>#VALUE!</v>
      </c>
      <c r="C552" s="109" t="str" cm="1">
        <f t="array" aca="1" ref="C552" ca="1">_FV(Table20[[#This Row],[Asset]],"Ticker symbol",TRUE)</f>
        <v>PDD</v>
      </c>
      <c r="D552" s="26" cm="1">
        <f t="array" aca="1" ref="D552" ca="1">_FV(Table20[[#This Row],[Asset]],"Price")</f>
        <v>106.22</v>
      </c>
      <c r="E552" s="26">
        <v>113</v>
      </c>
      <c r="F552" s="33">
        <v>1</v>
      </c>
      <c r="G552" s="34">
        <v>1</v>
      </c>
      <c r="H552" s="34" t="s">
        <v>65</v>
      </c>
      <c r="I552" s="31">
        <v>45750</v>
      </c>
      <c r="J552" s="26">
        <v>1.18</v>
      </c>
      <c r="K552" s="24"/>
      <c r="L552" s="33">
        <f>VLOOKUP(Table20[[#This Row],[Strategy]],Table29[#All],6,FALSE)</f>
        <v>-1</v>
      </c>
      <c r="M552" s="23">
        <v>1</v>
      </c>
      <c r="N552" s="23">
        <v>7.5</v>
      </c>
      <c r="O552" s="23"/>
      <c r="P552" s="23"/>
      <c r="Q552">
        <f>Table20[[#This Row],[Exit1]]*Table20[[#This Row],[ex1_price]]</f>
        <v>7.5</v>
      </c>
      <c r="R552">
        <f>Table20[[#This Row],[Exit2]]*Table20[[#This Row],[ex2_price]]</f>
        <v>0</v>
      </c>
      <c r="S552">
        <f>IFERROR((Table20[[#This Row],[ex2_amnt]]+Table20[[#This Row],[ex1_amnt]])/(Table20[[#This Row],[Exit2]]+Table20[[#This Row],[Exit1]]),0)</f>
        <v>7.5</v>
      </c>
      <c r="T552" s="5">
        <f>(Table20[[#This Row],[Exit1]]+Table20[[#This Row],[Exit2]])*(Table20[[#This Row],[avg_exit_price]]-Table20[[#This Row],[AvePrice]])*100*Table20[[#This Row],[Buy or Sell]]</f>
        <v>632</v>
      </c>
      <c r="U552" s="5">
        <f>Table20[[#This Row],[Number of options]]*Table20[[#This Row],[AvePrice]]*100*Table20[[#This Row],[Buy or Sell]]</f>
        <v>118</v>
      </c>
      <c r="V552" s="8">
        <f>Table20[[#This Row],[Number of options]]-Table20[[#This Row],[Exit1]]-Table20[[#This Row],[Exit2]]</f>
        <v>0</v>
      </c>
      <c r="W552" s="30">
        <f ca="1">(Table20[[#This Row],[Expiration Date]]-TODAY())/365</f>
        <v>-0.97534246575342465</v>
      </c>
      <c r="X552" s="30" t="e">
        <f ca="1">(LN(Table20[[#This Row],[Current Price]]/Table20[[#This Row],[strike_price]]) + ($B$2 + (Table20[[#This Row],[Vol]]^2)/2)*Table20[[#This Row],[Time to expiration]]) / (Table20[[#This Row],[Vol]] * SQRT(Table20[[#This Row],[Time to expiration]]))</f>
        <v>#NUM!</v>
      </c>
      <c r="Y552" s="30" t="e">
        <f ca="1">IF(Table20[[#This Row],[Direction]]&gt;0, _xlfn.NORM.S.DIST(Table20[[#This Row],[d1]], TRUE), _xlfn.NORM.S.DIST(Table20[[#This Row],[d1]], TRUE) - 1) * Table20[[#This Row],[Buy or Sell]]</f>
        <v>#NUM!</v>
      </c>
      <c r="Z552" s="9">
        <f ca="1">Table20[[#This Row],[Remaining]]*Table20[[#This Row],[Current Price]]*100</f>
        <v>0</v>
      </c>
      <c r="AA552" s="22">
        <f ca="1">IFERROR(Table20[[#This Row],[nominal_exposure]]*Table20[[#This Row],[Delta]],0)</f>
        <v>0</v>
      </c>
      <c r="AB552" s="30" t="b">
        <f>IF(Table20[[#This Row],[date_purchased]]&lt;&gt;Table20[[#This Row],[Expiration Date]],FALSE,TRUE)</f>
        <v>0</v>
      </c>
      <c r="AC552" s="30" t="str">
        <f>VLOOKUP(Table20[[#This Row],[Asset]],Table19[#All],3,FALSE)</f>
        <v>China</v>
      </c>
      <c r="AD552" s="30">
        <f>IF(Table20[[#This Row],[Remaining]]&lt;&gt;0,Table20[[#This Row],[Invested]]*Table20[[#This Row],[Remaining]]/Table20[[#This Row],[Number of options]],0)</f>
        <v>0</v>
      </c>
      <c r="AE552" s="30">
        <f ca="1">SUMIF(Table20[Ticker],Table20[[#This Row],[Ticker]],Table20[realized_profit])</f>
        <v>1390</v>
      </c>
      <c r="AF552" s="30" t="str">
        <f>VLOOKUP(Table20[[#This Row],[Strategy]],Table29[#All],7,FALSE)</f>
        <v>Bearish</v>
      </c>
    </row>
    <row r="553" spans="1:32" hidden="1">
      <c r="A553" s="180">
        <v>45768</v>
      </c>
      <c r="B553" s="21" t="e" vm="96">
        <v>#VALUE!</v>
      </c>
      <c r="C553" s="109" t="str" cm="1">
        <f t="array" aca="1" ref="C553" ca="1">_FV(Table20[[#This Row],[Asset]],"Ticker symbol",TRUE)</f>
        <v>SPY</v>
      </c>
      <c r="D553" s="26" cm="1">
        <f t="array" aca="1" ref="D553" ca="1">_FV(Table20[[#This Row],[Asset]],"Price")</f>
        <v>658.59</v>
      </c>
      <c r="E553" s="26">
        <v>518</v>
      </c>
      <c r="F553" s="33">
        <v>1</v>
      </c>
      <c r="G553" s="34">
        <v>1</v>
      </c>
      <c r="H553" s="34" t="s">
        <v>65</v>
      </c>
      <c r="I553" s="31">
        <v>45768</v>
      </c>
      <c r="J553" s="26">
        <v>2.5299999999999998</v>
      </c>
      <c r="K553" s="24">
        <v>0.4975</v>
      </c>
      <c r="L553" s="33">
        <f>VLOOKUP(Table20[[#This Row],[Strategy]],Table29[#All],6,FALSE)</f>
        <v>-1</v>
      </c>
      <c r="M553" s="23">
        <v>1</v>
      </c>
      <c r="N553" s="23">
        <v>6.71</v>
      </c>
      <c r="O553" s="23"/>
      <c r="P553" s="23"/>
      <c r="Q553">
        <f>Table20[[#This Row],[Exit1]]*Table20[[#This Row],[ex1_price]]</f>
        <v>6.71</v>
      </c>
      <c r="R553">
        <f>Table20[[#This Row],[Exit2]]*Table20[[#This Row],[ex2_price]]</f>
        <v>0</v>
      </c>
      <c r="S553">
        <f>IFERROR((Table20[[#This Row],[ex2_amnt]]+Table20[[#This Row],[ex1_amnt]])/(Table20[[#This Row],[Exit2]]+Table20[[#This Row],[Exit1]]),0)</f>
        <v>6.71</v>
      </c>
      <c r="T553" s="5">
        <f>(Table20[[#This Row],[Exit1]]+Table20[[#This Row],[Exit2]])*(Table20[[#This Row],[avg_exit_price]]-Table20[[#This Row],[AvePrice]])*100*Table20[[#This Row],[Buy or Sell]]</f>
        <v>418</v>
      </c>
      <c r="U553" s="5">
        <f>Table20[[#This Row],[Number of options]]*Table20[[#This Row],[AvePrice]]*100*Table20[[#This Row],[Buy or Sell]]</f>
        <v>252.99999999999997</v>
      </c>
      <c r="V553" s="8">
        <f>Table20[[#This Row],[Number of options]]-Table20[[#This Row],[Exit1]]-Table20[[#This Row],[Exit2]]</f>
        <v>0</v>
      </c>
      <c r="W553" s="30">
        <f ca="1">(Table20[[#This Row],[Expiration Date]]-TODAY())/365</f>
        <v>-0.92876712328767119</v>
      </c>
      <c r="X553" s="30" t="e">
        <f ca="1">(LN(Table20[[#This Row],[Current Price]]/Table20[[#This Row],[strike_price]]) + ($B$2 + (Table20[[#This Row],[Vol]]^2)/2)*Table20[[#This Row],[Time to expiration]]) / (Table20[[#This Row],[Vol]] * SQRT(Table20[[#This Row],[Time to expiration]]))</f>
        <v>#NUM!</v>
      </c>
      <c r="Y553" s="30" t="e">
        <f ca="1">IF(Table20[[#This Row],[Direction]]&gt;0, _xlfn.NORM.S.DIST(Table20[[#This Row],[d1]], TRUE), _xlfn.NORM.S.DIST(Table20[[#This Row],[d1]], TRUE) - 1) * Table20[[#This Row],[Buy or Sell]]</f>
        <v>#NUM!</v>
      </c>
      <c r="Z553" s="9">
        <f ca="1">Table20[[#This Row],[Remaining]]*Table20[[#This Row],[Current Price]]*100</f>
        <v>0</v>
      </c>
      <c r="AA553" s="22">
        <f ca="1">IFERROR(Table20[[#This Row],[nominal_exposure]]*Table20[[#This Row],[Delta]],0)</f>
        <v>0</v>
      </c>
      <c r="AB553" s="30" t="b">
        <f>IF(Table20[[#This Row],[date_purchased]]&lt;&gt;Table20[[#This Row],[Expiration Date]],FALSE,TRUE)</f>
        <v>1</v>
      </c>
      <c r="AC553" s="30" t="str">
        <f>VLOOKUP(Table20[[#This Row],[Asset]],Table19[#All],3,FALSE)</f>
        <v>Market</v>
      </c>
      <c r="AD553" s="30">
        <f>IF(Table20[[#This Row],[Remaining]]&lt;&gt;0,Table20[[#This Row],[Invested]]*Table20[[#This Row],[Remaining]]/Table20[[#This Row],[Number of options]],0)</f>
        <v>0</v>
      </c>
      <c r="AE553" s="30">
        <f ca="1">SUMIF(Table20[Ticker],Table20[[#This Row],[Ticker]],Table20[realized_profit])</f>
        <v>-5077</v>
      </c>
      <c r="AF553" s="30" t="str">
        <f>VLOOKUP(Table20[[#This Row],[Strategy]],Table29[#All],7,FALSE)</f>
        <v>Bearish</v>
      </c>
    </row>
    <row r="554" spans="1:32" hidden="1">
      <c r="A554" s="180">
        <v>45770</v>
      </c>
      <c r="B554" s="21" t="e" vm="558">
        <v>#VALUE!</v>
      </c>
      <c r="C554" s="109" t="str" cm="1">
        <f t="array" aca="1" ref="C554" ca="1">_FV(Table20[[#This Row],[Asset]],"Ticker symbol",TRUE)</f>
        <v>VIX</v>
      </c>
      <c r="D554" s="238" cm="1">
        <f t="array" aca="1" ref="D554" ca="1">_FV(Table20[[#This Row],[Asset]],"Price")</f>
        <v>16200</v>
      </c>
      <c r="E554" s="26">
        <v>33</v>
      </c>
      <c r="F554" s="33">
        <v>1</v>
      </c>
      <c r="G554" s="34">
        <v>1</v>
      </c>
      <c r="H554" s="34" t="s">
        <v>113</v>
      </c>
      <c r="I554" s="31">
        <v>45768</v>
      </c>
      <c r="J554" s="26">
        <v>1.75</v>
      </c>
      <c r="K554" s="24"/>
      <c r="L554" s="33">
        <f>VLOOKUP(Table20[[#This Row],[Strategy]],Table29[#All],6,FALSE)</f>
        <v>1</v>
      </c>
      <c r="M554" s="23">
        <v>1</v>
      </c>
      <c r="N554" s="23">
        <v>1.7</v>
      </c>
      <c r="O554" s="23"/>
      <c r="P554" s="23"/>
      <c r="Q554">
        <f>Table20[[#This Row],[Exit1]]*Table20[[#This Row],[ex1_price]]</f>
        <v>1.7</v>
      </c>
      <c r="R554">
        <f>Table20[[#This Row],[Exit2]]*Table20[[#This Row],[ex2_price]]</f>
        <v>0</v>
      </c>
      <c r="S554">
        <f>IFERROR((Table20[[#This Row],[ex2_amnt]]+Table20[[#This Row],[ex1_amnt]])/(Table20[[#This Row],[Exit2]]+Table20[[#This Row],[Exit1]]),0)</f>
        <v>1.7</v>
      </c>
      <c r="T554" s="5">
        <f>(Table20[[#This Row],[Exit1]]+Table20[[#This Row],[Exit2]])*(Table20[[#This Row],[avg_exit_price]]-Table20[[#This Row],[AvePrice]])*100*Table20[[#This Row],[Buy or Sell]]</f>
        <v>-5.0000000000000044</v>
      </c>
      <c r="U554" s="5">
        <f>Table20[[#This Row],[Number of options]]*Table20[[#This Row],[AvePrice]]*100*Table20[[#This Row],[Buy or Sell]]</f>
        <v>175</v>
      </c>
      <c r="V554" s="8">
        <f>Table20[[#This Row],[Number of options]]-Table20[[#This Row],[Exit1]]-Table20[[#This Row],[Exit2]]</f>
        <v>0</v>
      </c>
      <c r="W554" s="30">
        <f ca="1">(Table20[[#This Row],[Expiration Date]]-TODAY())/365</f>
        <v>-0.92328767123287669</v>
      </c>
      <c r="X554" s="30" t="e">
        <f ca="1">(LN(Table20[[#This Row],[Current Price]]/Table20[[#This Row],[strike_price]]) + ($B$2 + (Table20[[#This Row],[Vol]]^2)/2)*Table20[[#This Row],[Time to expiration]]) / (Table20[[#This Row],[Vol]] * SQRT(Table20[[#This Row],[Time to expiration]]))</f>
        <v>#NUM!</v>
      </c>
      <c r="Y554" s="30" t="e">
        <f ca="1">IF(Table20[[#This Row],[Direction]]&gt;0, _xlfn.NORM.S.DIST(Table20[[#This Row],[d1]], TRUE), _xlfn.NORM.S.DIST(Table20[[#This Row],[d1]], TRUE) - 1) * Table20[[#This Row],[Buy or Sell]]</f>
        <v>#NUM!</v>
      </c>
      <c r="Z554" s="9">
        <f ca="1">Table20[[#This Row],[Remaining]]*Table20[[#This Row],[Current Price]]*100</f>
        <v>0</v>
      </c>
      <c r="AA554" s="22">
        <f ca="1">IFERROR(Table20[[#This Row],[nominal_exposure]]*Table20[[#This Row],[Delta]],0)</f>
        <v>0</v>
      </c>
      <c r="AB554" s="30" t="b">
        <f>IF(Table20[[#This Row],[date_purchased]]&lt;&gt;Table20[[#This Row],[Expiration Date]],FALSE,TRUE)</f>
        <v>0</v>
      </c>
      <c r="AC554" s="30" t="str">
        <f>VLOOKUP(Table20[[#This Row],[Asset]],Table19[#All],3,FALSE)</f>
        <v>Market</v>
      </c>
      <c r="AD554" s="30">
        <f>IF(Table20[[#This Row],[Remaining]]&lt;&gt;0,Table20[[#This Row],[Invested]]*Table20[[#This Row],[Remaining]]/Table20[[#This Row],[Number of options]],0)</f>
        <v>0</v>
      </c>
      <c r="AE554" s="30">
        <f ca="1">SUMIF(Table20[Ticker],Table20[[#This Row],[Ticker]],Table20[realized_profit])</f>
        <v>-5.0000000000000044</v>
      </c>
      <c r="AF554" s="30" t="str">
        <f>VLOOKUP(Table20[[#This Row],[Strategy]],Table29[#All],7,FALSE)</f>
        <v>Bullish</v>
      </c>
    </row>
    <row r="555" spans="1:32" hidden="1">
      <c r="A555" s="180">
        <v>45793</v>
      </c>
      <c r="B555" s="21" t="e" vm="35">
        <v>#VALUE!</v>
      </c>
      <c r="C555" s="109" t="str" cm="1">
        <f t="array" aca="1" ref="C555" ca="1">_FV(Table20[[#This Row],[Asset]],"Ticker symbol",TRUE)</f>
        <v>VRT</v>
      </c>
      <c r="D555" s="26" cm="1">
        <f t="array" aca="1" ref="D555" ca="1">_FV(Table20[[#This Row],[Asset]],"Price")</f>
        <v>280.42</v>
      </c>
      <c r="E555" s="26">
        <v>120</v>
      </c>
      <c r="F555" s="33">
        <v>2</v>
      </c>
      <c r="G555" s="34">
        <v>1</v>
      </c>
      <c r="H555" s="34" t="s">
        <v>114</v>
      </c>
      <c r="I555" s="31">
        <v>45737</v>
      </c>
      <c r="J555" s="26">
        <v>1.67</v>
      </c>
      <c r="K555" s="24"/>
      <c r="L555" s="33">
        <f>VLOOKUP(Table20[[#This Row],[Strategy]],Table29[#All],6,FALSE)</f>
        <v>1</v>
      </c>
      <c r="M555" s="23">
        <v>2</v>
      </c>
      <c r="N555" s="23">
        <v>0.78</v>
      </c>
      <c r="O555" s="23"/>
      <c r="P555" s="23"/>
      <c r="Q555">
        <f>Table20[[#This Row],[Exit1]]*Table20[[#This Row],[ex1_price]]</f>
        <v>1.56</v>
      </c>
      <c r="R555">
        <f>Table20[[#This Row],[Exit2]]*Table20[[#This Row],[ex2_price]]</f>
        <v>0</v>
      </c>
      <c r="S555">
        <f>IFERROR((Table20[[#This Row],[ex2_amnt]]+Table20[[#This Row],[ex1_amnt]])/(Table20[[#This Row],[Exit2]]+Table20[[#This Row],[Exit1]]),0)</f>
        <v>0.78</v>
      </c>
      <c r="T555" s="5">
        <f>(Table20[[#This Row],[Exit1]]+Table20[[#This Row],[Exit2]])*(Table20[[#This Row],[avg_exit_price]]-Table20[[#This Row],[AvePrice]])*100*Table20[[#This Row],[Buy or Sell]]</f>
        <v>-177.99999999999997</v>
      </c>
      <c r="U555" s="5">
        <f>Table20[[#This Row],[Number of options]]*Table20[[#This Row],[AvePrice]]*100*Table20[[#This Row],[Buy or Sell]]</f>
        <v>334</v>
      </c>
      <c r="V555" s="8">
        <f>Table20[[#This Row],[Number of options]]-Table20[[#This Row],[Exit1]]-Table20[[#This Row],[Exit2]]</f>
        <v>0</v>
      </c>
      <c r="W555" s="30">
        <f ca="1">(Table20[[#This Row],[Expiration Date]]-TODAY())/365</f>
        <v>-0.86027397260273974</v>
      </c>
      <c r="X555" s="30" t="e">
        <f ca="1">(LN(Table20[[#This Row],[Current Price]]/Table20[[#This Row],[strike_price]]) + ($B$2 + (Table20[[#This Row],[Vol]]^2)/2)*Table20[[#This Row],[Time to expiration]]) / (Table20[[#This Row],[Vol]] * SQRT(Table20[[#This Row],[Time to expiration]]))</f>
        <v>#NUM!</v>
      </c>
      <c r="Y555" s="30" t="e">
        <f ca="1">IF(Table20[[#This Row],[Direction]]&gt;0, _xlfn.NORM.S.DIST(Table20[[#This Row],[d1]], TRUE), _xlfn.NORM.S.DIST(Table20[[#This Row],[d1]], TRUE) - 1) * Table20[[#This Row],[Buy or Sell]]</f>
        <v>#NUM!</v>
      </c>
      <c r="Z555" s="9">
        <f ca="1">Table20[[#This Row],[Remaining]]*Table20[[#This Row],[Current Price]]*100</f>
        <v>0</v>
      </c>
      <c r="AA555" s="22">
        <f ca="1">IFERROR(Table20[[#This Row],[nominal_exposure]]*Table20[[#This Row],[Delta]],0)</f>
        <v>0</v>
      </c>
      <c r="AB555" s="30" t="b">
        <f>IF(Table20[[#This Row],[date_purchased]]&lt;&gt;Table20[[#This Row],[Expiration Date]],FALSE,TRUE)</f>
        <v>0</v>
      </c>
      <c r="AC555" s="30" t="str">
        <f>VLOOKUP(Table20[[#This Row],[Asset]],Table19[#All],3,FALSE)</f>
        <v>Industrials</v>
      </c>
      <c r="AD555" s="30">
        <f>IF(Table20[[#This Row],[Remaining]]&lt;&gt;0,Table20[[#This Row],[Invested]]*Table20[[#This Row],[Remaining]]/Table20[[#This Row],[Number of options]],0)</f>
        <v>0</v>
      </c>
      <c r="AE555" s="30">
        <f ca="1">SUMIF(Table20[Ticker],Table20[[#This Row],[Ticker]],Table20[realized_profit])</f>
        <v>-543.00000000000011</v>
      </c>
      <c r="AF555" s="30" t="str">
        <f>VLOOKUP(Table20[[#This Row],[Strategy]],Table29[#All],7,FALSE)</f>
        <v>Bullish</v>
      </c>
    </row>
    <row r="556" spans="1:32" hidden="1">
      <c r="A556" s="180">
        <v>45793</v>
      </c>
      <c r="B556" s="21" t="e" vm="35">
        <v>#VALUE!</v>
      </c>
      <c r="C556" s="109" t="str" cm="1">
        <f t="array" aca="1" ref="C556" ca="1">_FV(Table20[[#This Row],[Asset]],"Ticker symbol",TRUE)</f>
        <v>VRT</v>
      </c>
      <c r="D556" s="26" cm="1">
        <f t="array" aca="1" ref="D556" ca="1">_FV(Table20[[#This Row],[Asset]],"Price")</f>
        <v>280.42</v>
      </c>
      <c r="E556" s="26">
        <v>140</v>
      </c>
      <c r="F556" s="33">
        <v>2</v>
      </c>
      <c r="G556" s="34">
        <v>-1</v>
      </c>
      <c r="H556" s="34" t="s">
        <v>114</v>
      </c>
      <c r="I556" s="31">
        <v>45737</v>
      </c>
      <c r="J556" s="26">
        <v>0.5</v>
      </c>
      <c r="K556" s="24"/>
      <c r="L556" s="33">
        <f>VLOOKUP(Table20[[#This Row],[Strategy]],Table29[#All],6,FALSE)</f>
        <v>1</v>
      </c>
      <c r="M556" s="23">
        <v>2</v>
      </c>
      <c r="N556" s="23">
        <v>0.39</v>
      </c>
      <c r="O556" s="23"/>
      <c r="P556" s="23"/>
      <c r="Q556">
        <f>Table20[[#This Row],[Exit1]]*Table20[[#This Row],[ex1_price]]</f>
        <v>0.78</v>
      </c>
      <c r="R556">
        <f>Table20[[#This Row],[Exit2]]*Table20[[#This Row],[ex2_price]]</f>
        <v>0</v>
      </c>
      <c r="S556">
        <f>IFERROR((Table20[[#This Row],[ex2_amnt]]+Table20[[#This Row],[ex1_amnt]])/(Table20[[#This Row],[Exit2]]+Table20[[#This Row],[Exit1]]),0)</f>
        <v>0.39</v>
      </c>
      <c r="T556" s="5">
        <f>(Table20[[#This Row],[Exit1]]+Table20[[#This Row],[Exit2]])*(Table20[[#This Row],[avg_exit_price]]-Table20[[#This Row],[AvePrice]])*100*Table20[[#This Row],[Buy or Sell]]</f>
        <v>21.999999999999996</v>
      </c>
      <c r="U556" s="5">
        <f>Table20[[#This Row],[Number of options]]*Table20[[#This Row],[AvePrice]]*100*Table20[[#This Row],[Buy or Sell]]</f>
        <v>-100</v>
      </c>
      <c r="V556" s="8">
        <f>Table20[[#This Row],[Number of options]]-Table20[[#This Row],[Exit1]]-Table20[[#This Row],[Exit2]]</f>
        <v>0</v>
      </c>
      <c r="W556" s="30">
        <f ca="1">(Table20[[#This Row],[Expiration Date]]-TODAY())/365</f>
        <v>-0.86027397260273974</v>
      </c>
      <c r="X556" s="30" t="e">
        <f ca="1">(LN(Table20[[#This Row],[Current Price]]/Table20[[#This Row],[strike_price]]) + ($B$2 + (Table20[[#This Row],[Vol]]^2)/2)*Table20[[#This Row],[Time to expiration]]) / (Table20[[#This Row],[Vol]] * SQRT(Table20[[#This Row],[Time to expiration]]))</f>
        <v>#NUM!</v>
      </c>
      <c r="Y556" s="30" t="e">
        <f ca="1">IF(Table20[[#This Row],[Direction]]&gt;0, _xlfn.NORM.S.DIST(Table20[[#This Row],[d1]], TRUE), _xlfn.NORM.S.DIST(Table20[[#This Row],[d1]], TRUE) - 1) * Table20[[#This Row],[Buy or Sell]]</f>
        <v>#NUM!</v>
      </c>
      <c r="Z556" s="9">
        <f ca="1">Table20[[#This Row],[Remaining]]*Table20[[#This Row],[Current Price]]*100</f>
        <v>0</v>
      </c>
      <c r="AA556" s="22">
        <f ca="1">IFERROR(Table20[[#This Row],[nominal_exposure]]*Table20[[#This Row],[Delta]],0)</f>
        <v>0</v>
      </c>
      <c r="AB556" s="30" t="b">
        <f>IF(Table20[[#This Row],[date_purchased]]&lt;&gt;Table20[[#This Row],[Expiration Date]],FALSE,TRUE)</f>
        <v>0</v>
      </c>
      <c r="AC556" s="30" t="str">
        <f>VLOOKUP(Table20[[#This Row],[Asset]],Table19[#All],3,FALSE)</f>
        <v>Industrials</v>
      </c>
      <c r="AD556" s="30">
        <f>IF(Table20[[#This Row],[Remaining]]&lt;&gt;0,Table20[[#This Row],[Invested]]*Table20[[#This Row],[Remaining]]/Table20[[#This Row],[Number of options]],0)</f>
        <v>0</v>
      </c>
      <c r="AE556" s="30">
        <f ca="1">SUMIF(Table20[Ticker],Table20[[#This Row],[Ticker]],Table20[realized_profit])</f>
        <v>-543.00000000000011</v>
      </c>
      <c r="AF556" s="30" t="str">
        <f>VLOOKUP(Table20[[#This Row],[Strategy]],Table29[#All],7,FALSE)</f>
        <v>Bullish</v>
      </c>
    </row>
    <row r="557" spans="1:32" hidden="1">
      <c r="A557" s="180">
        <v>45764</v>
      </c>
      <c r="B557" s="21" t="e" vm="547">
        <v>#VALUE!</v>
      </c>
      <c r="C557" s="109" t="str" cm="1">
        <f t="array" aca="1" ref="C557" ca="1">_FV(Table20[[#This Row],[Asset]],"Ticker symbol",TRUE)</f>
        <v>HD</v>
      </c>
      <c r="D557" s="26" cm="1">
        <f t="array" aca="1" ref="D557" ca="1">_FV(Table20[[#This Row],[Asset]],"Price")</f>
        <v>330.05</v>
      </c>
      <c r="E557" s="26">
        <v>340</v>
      </c>
      <c r="F557" s="33">
        <v>1</v>
      </c>
      <c r="G557" s="34">
        <v>1</v>
      </c>
      <c r="H557" s="34" t="s">
        <v>112</v>
      </c>
      <c r="I557" s="31">
        <v>45751</v>
      </c>
      <c r="J557" s="26">
        <v>4.99</v>
      </c>
      <c r="K557" s="24"/>
      <c r="L557" s="33">
        <f>VLOOKUP(Table20[[#This Row],[Strategy]],Table29[#All],6,FALSE)</f>
        <v>-1</v>
      </c>
      <c r="M557" s="23">
        <v>1</v>
      </c>
      <c r="N557" s="23">
        <v>10.99</v>
      </c>
      <c r="O557" s="23"/>
      <c r="P557" s="23"/>
      <c r="Q557">
        <f>Table20[[#This Row],[Exit1]]*Table20[[#This Row],[ex1_price]]</f>
        <v>10.99</v>
      </c>
      <c r="R557">
        <f>Table20[[#This Row],[Exit2]]*Table20[[#This Row],[ex2_price]]</f>
        <v>0</v>
      </c>
      <c r="S557">
        <f>IFERROR((Table20[[#This Row],[ex2_amnt]]+Table20[[#This Row],[ex1_amnt]])/(Table20[[#This Row],[Exit2]]+Table20[[#This Row],[Exit1]]),0)</f>
        <v>10.99</v>
      </c>
      <c r="T557" s="5">
        <f>(Table20[[#This Row],[Exit1]]+Table20[[#This Row],[Exit2]])*(Table20[[#This Row],[avg_exit_price]]-Table20[[#This Row],[AvePrice]])*100*Table20[[#This Row],[Buy or Sell]]</f>
        <v>600</v>
      </c>
      <c r="U557" s="5">
        <f>Table20[[#This Row],[Number of options]]*Table20[[#This Row],[AvePrice]]*100*Table20[[#This Row],[Buy or Sell]]</f>
        <v>499</v>
      </c>
      <c r="V557" s="8">
        <f>Table20[[#This Row],[Number of options]]-Table20[[#This Row],[Exit1]]-Table20[[#This Row],[Exit2]]</f>
        <v>0</v>
      </c>
      <c r="W557" s="30">
        <f ca="1">(Table20[[#This Row],[Expiration Date]]-TODAY())/365</f>
        <v>-0.9397260273972603</v>
      </c>
      <c r="X557" s="30" t="e">
        <f ca="1">(LN(Table20[[#This Row],[Current Price]]/Table20[[#This Row],[strike_price]]) + ($B$2 + (Table20[[#This Row],[Vol]]^2)/2)*Table20[[#This Row],[Time to expiration]]) / (Table20[[#This Row],[Vol]] * SQRT(Table20[[#This Row],[Time to expiration]]))</f>
        <v>#NUM!</v>
      </c>
      <c r="Y557" s="30" t="e">
        <f ca="1">IF(Table20[[#This Row],[Direction]]&gt;0, _xlfn.NORM.S.DIST(Table20[[#This Row],[d1]], TRUE), _xlfn.NORM.S.DIST(Table20[[#This Row],[d1]], TRUE) - 1) * Table20[[#This Row],[Buy or Sell]]</f>
        <v>#NUM!</v>
      </c>
      <c r="Z557" s="9">
        <f ca="1">Table20[[#This Row],[Remaining]]*Table20[[#This Row],[Current Price]]*100</f>
        <v>0</v>
      </c>
      <c r="AA557" s="22">
        <f ca="1">IFERROR(Table20[[#This Row],[nominal_exposure]]*Table20[[#This Row],[Delta]],0)</f>
        <v>0</v>
      </c>
      <c r="AB557" s="30" t="b">
        <f>IF(Table20[[#This Row],[date_purchased]]&lt;&gt;Table20[[#This Row],[Expiration Date]],FALSE,TRUE)</f>
        <v>0</v>
      </c>
      <c r="AC557" s="30" t="str">
        <f>VLOOKUP(Table20[[#This Row],[Asset]],Table19[#All],3,FALSE)</f>
        <v>Real estate</v>
      </c>
      <c r="AD557" s="30">
        <f>IF(Table20[[#This Row],[Remaining]]&lt;&gt;0,Table20[[#This Row],[Invested]]*Table20[[#This Row],[Remaining]]/Table20[[#This Row],[Number of options]],0)</f>
        <v>0</v>
      </c>
      <c r="AE557" s="30">
        <f ca="1">SUMIF(Table20[Ticker],Table20[[#This Row],[Ticker]],Table20[realized_profit])</f>
        <v>1151</v>
      </c>
      <c r="AF557" s="30" t="str">
        <f>VLOOKUP(Table20[[#This Row],[Strategy]],Table29[#All],7,FALSE)</f>
        <v>Bearish</v>
      </c>
    </row>
    <row r="558" spans="1:32" hidden="1">
      <c r="A558" s="180">
        <v>45764</v>
      </c>
      <c r="B558" s="21" t="e" vm="547">
        <v>#VALUE!</v>
      </c>
      <c r="C558" s="109" t="str" cm="1">
        <f t="array" aca="1" ref="C558" ca="1">_FV(Table20[[#This Row],[Asset]],"Ticker symbol",TRUE)</f>
        <v>HD</v>
      </c>
      <c r="D558" s="26" cm="1">
        <f t="array" aca="1" ref="D558" ca="1">_FV(Table20[[#This Row],[Asset]],"Price")</f>
        <v>330.05</v>
      </c>
      <c r="E558" s="26">
        <v>320</v>
      </c>
      <c r="F558" s="33">
        <v>1</v>
      </c>
      <c r="G558" s="34">
        <v>-1</v>
      </c>
      <c r="H558" s="34" t="s">
        <v>112</v>
      </c>
      <c r="I558" s="31">
        <v>45751</v>
      </c>
      <c r="J558" s="26">
        <v>2.11</v>
      </c>
      <c r="K558" s="24"/>
      <c r="L558" s="33">
        <f>VLOOKUP(Table20[[#This Row],[Strategy]],Table29[#All],6,FALSE)</f>
        <v>-1</v>
      </c>
      <c r="M558" s="23">
        <v>1</v>
      </c>
      <c r="N558" s="23">
        <v>5.51</v>
      </c>
      <c r="O558" s="23"/>
      <c r="P558" s="23"/>
      <c r="Q558">
        <f>Table20[[#This Row],[Exit1]]*Table20[[#This Row],[ex1_price]]</f>
        <v>5.51</v>
      </c>
      <c r="R558">
        <f>Table20[[#This Row],[Exit2]]*Table20[[#This Row],[ex2_price]]</f>
        <v>0</v>
      </c>
      <c r="S558">
        <f>IFERROR((Table20[[#This Row],[ex2_amnt]]+Table20[[#This Row],[ex1_amnt]])/(Table20[[#This Row],[Exit2]]+Table20[[#This Row],[Exit1]]),0)</f>
        <v>5.51</v>
      </c>
      <c r="T558" s="5">
        <f>(Table20[[#This Row],[Exit1]]+Table20[[#This Row],[Exit2]])*(Table20[[#This Row],[avg_exit_price]]-Table20[[#This Row],[AvePrice]])*100*Table20[[#This Row],[Buy or Sell]]</f>
        <v>-340</v>
      </c>
      <c r="U558" s="5">
        <f>Table20[[#This Row],[Number of options]]*Table20[[#This Row],[AvePrice]]*100*Table20[[#This Row],[Buy or Sell]]</f>
        <v>-211</v>
      </c>
      <c r="V558" s="8">
        <f>Table20[[#This Row],[Number of options]]-Table20[[#This Row],[Exit1]]-Table20[[#This Row],[Exit2]]</f>
        <v>0</v>
      </c>
      <c r="W558" s="30">
        <f ca="1">(Table20[[#This Row],[Expiration Date]]-TODAY())/365</f>
        <v>-0.9397260273972603</v>
      </c>
      <c r="X558" s="30" t="e">
        <f ca="1">(LN(Table20[[#This Row],[Current Price]]/Table20[[#This Row],[strike_price]]) + ($B$2 + (Table20[[#This Row],[Vol]]^2)/2)*Table20[[#This Row],[Time to expiration]]) / (Table20[[#This Row],[Vol]] * SQRT(Table20[[#This Row],[Time to expiration]]))</f>
        <v>#NUM!</v>
      </c>
      <c r="Y558" s="30" t="e">
        <f ca="1">IF(Table20[[#This Row],[Direction]]&gt;0, _xlfn.NORM.S.DIST(Table20[[#This Row],[d1]], TRUE), _xlfn.NORM.S.DIST(Table20[[#This Row],[d1]], TRUE) - 1) * Table20[[#This Row],[Buy or Sell]]</f>
        <v>#NUM!</v>
      </c>
      <c r="Z558" s="9">
        <f ca="1">Table20[[#This Row],[Remaining]]*Table20[[#This Row],[Current Price]]*100</f>
        <v>0</v>
      </c>
      <c r="AA558" s="22">
        <f ca="1">IFERROR(Table20[[#This Row],[nominal_exposure]]*Table20[[#This Row],[Delta]],0)</f>
        <v>0</v>
      </c>
      <c r="AB558" s="30" t="b">
        <f>IF(Table20[[#This Row],[date_purchased]]&lt;&gt;Table20[[#This Row],[Expiration Date]],FALSE,TRUE)</f>
        <v>0</v>
      </c>
      <c r="AC558" s="30" t="str">
        <f>VLOOKUP(Table20[[#This Row],[Asset]],Table19[#All],3,FALSE)</f>
        <v>Real estate</v>
      </c>
      <c r="AD558" s="30">
        <f>IF(Table20[[#This Row],[Remaining]]&lt;&gt;0,Table20[[#This Row],[Invested]]*Table20[[#This Row],[Remaining]]/Table20[[#This Row],[Number of options]],0)</f>
        <v>0</v>
      </c>
      <c r="AE558" s="30">
        <f ca="1">SUMIF(Table20[Ticker],Table20[[#This Row],[Ticker]],Table20[realized_profit])</f>
        <v>1151</v>
      </c>
      <c r="AF558" s="30" t="str">
        <f>VLOOKUP(Table20[[#This Row],[Strategy]],Table29[#All],7,FALSE)</f>
        <v>Bearish</v>
      </c>
    </row>
    <row r="559" spans="1:32" hidden="1">
      <c r="A559" s="180">
        <v>45793</v>
      </c>
      <c r="B559" s="21" t="e" vm="151">
        <v>#VALUE!</v>
      </c>
      <c r="C559" s="109" t="str" cm="1">
        <f t="array" aca="1" ref="C559" ca="1">_FV(Table20[[#This Row],[Asset]],"Ticker symbol",TRUE)</f>
        <v>TLT</v>
      </c>
      <c r="D559" s="26" cm="1">
        <f t="array" aca="1" ref="D559" ca="1">_FV(Table20[[#This Row],[Asset]],"Price")</f>
        <v>86.743499999999997</v>
      </c>
      <c r="E559" s="26">
        <v>87</v>
      </c>
      <c r="F559" s="33">
        <v>6</v>
      </c>
      <c r="G559" s="34">
        <v>0.34</v>
      </c>
      <c r="H559" s="34" t="s">
        <v>113</v>
      </c>
      <c r="I559" s="31">
        <v>45789</v>
      </c>
      <c r="J559" s="26">
        <v>0.34</v>
      </c>
      <c r="K559" s="24"/>
      <c r="L559" s="33">
        <f>VLOOKUP(Table20[[#This Row],[Strategy]],Table29[#All],6,FALSE)</f>
        <v>1</v>
      </c>
      <c r="M559" s="23">
        <v>6</v>
      </c>
      <c r="N559" s="23">
        <v>0</v>
      </c>
      <c r="O559" s="23"/>
      <c r="P559" s="23"/>
      <c r="Q559">
        <f>Table20[[#This Row],[Exit1]]*Table20[[#This Row],[ex1_price]]</f>
        <v>0</v>
      </c>
      <c r="R559">
        <f>Table20[[#This Row],[Exit2]]*Table20[[#This Row],[ex2_price]]</f>
        <v>0</v>
      </c>
      <c r="S559">
        <f>IFERROR((Table20[[#This Row],[ex2_amnt]]+Table20[[#This Row],[ex1_amnt]])/(Table20[[#This Row],[Exit2]]+Table20[[#This Row],[Exit1]]),0)</f>
        <v>0</v>
      </c>
      <c r="T559" s="5">
        <f>(Table20[[#This Row],[Exit1]]+Table20[[#This Row],[Exit2]])*(Table20[[#This Row],[avg_exit_price]]-Table20[[#This Row],[AvePrice]])*100*Table20[[#This Row],[Buy or Sell]]</f>
        <v>-69.36</v>
      </c>
      <c r="U559" s="5">
        <f>Table20[[#This Row],[Number of options]]*Table20[[#This Row],[AvePrice]]*100*Table20[[#This Row],[Buy or Sell]]</f>
        <v>69.36</v>
      </c>
      <c r="V559" s="8">
        <f>Table20[[#This Row],[Number of options]]-Table20[[#This Row],[Exit1]]-Table20[[#This Row],[Exit2]]</f>
        <v>0</v>
      </c>
      <c r="W559" s="30">
        <f ca="1">(Table20[[#This Row],[Expiration Date]]-TODAY())/365</f>
        <v>-0.86027397260273974</v>
      </c>
      <c r="X559" s="30" t="e">
        <f ca="1">(LN(Table20[[#This Row],[Current Price]]/Table20[[#This Row],[strike_price]]) + ($B$2 + (Table20[[#This Row],[Vol]]^2)/2)*Table20[[#This Row],[Time to expiration]]) / (Table20[[#This Row],[Vol]] * SQRT(Table20[[#This Row],[Time to expiration]]))</f>
        <v>#NUM!</v>
      </c>
      <c r="Y559" s="30" t="e">
        <f ca="1">IF(Table20[[#This Row],[Direction]]&gt;0, _xlfn.NORM.S.DIST(Table20[[#This Row],[d1]], TRUE), _xlfn.NORM.S.DIST(Table20[[#This Row],[d1]], TRUE) - 1) * Table20[[#This Row],[Buy or Sell]]</f>
        <v>#NUM!</v>
      </c>
      <c r="Z559" s="9">
        <f ca="1">Table20[[#This Row],[Remaining]]*Table20[[#This Row],[Current Price]]*100</f>
        <v>0</v>
      </c>
      <c r="AA559" s="22">
        <f ca="1">IFERROR(Table20[[#This Row],[nominal_exposure]]*Table20[[#This Row],[Delta]],0)</f>
        <v>0</v>
      </c>
      <c r="AB559" s="30" t="b">
        <f>IF(Table20[[#This Row],[date_purchased]]&lt;&gt;Table20[[#This Row],[Expiration Date]],FALSE,TRUE)</f>
        <v>0</v>
      </c>
      <c r="AC559" s="30" t="str">
        <f>VLOOKUP(Table20[[#This Row],[Asset]],Table19[#All],3,FALSE)</f>
        <v>Market</v>
      </c>
      <c r="AD559" s="30">
        <f>IF(Table20[[#This Row],[Remaining]]&lt;&gt;0,Table20[[#This Row],[Invested]]*Table20[[#This Row],[Remaining]]/Table20[[#This Row],[Number of options]],0)</f>
        <v>0</v>
      </c>
      <c r="AE559" s="30">
        <f ca="1">SUMIF(Table20[Ticker],Table20[[#This Row],[Ticker]],Table20[realized_profit])</f>
        <v>-3328.3599999999997</v>
      </c>
      <c r="AF559" s="30" t="str">
        <f>VLOOKUP(Table20[[#This Row],[Strategy]],Table29[#All],7,FALSE)</f>
        <v>Bullish</v>
      </c>
    </row>
    <row r="560" spans="1:32" hidden="1">
      <c r="A560" s="180">
        <v>45821</v>
      </c>
      <c r="B560" s="21" t="e" vm="63">
        <v>#VALUE!</v>
      </c>
      <c r="C560" s="109" t="str" cm="1">
        <f t="array" aca="1" ref="C560" ca="1">_FV(Table20[[#This Row],[Asset]],"Ticker symbol",TRUE)</f>
        <v>TSLA</v>
      </c>
      <c r="D560" s="26" cm="1">
        <f t="array" aca="1" ref="D560" ca="1">_FV(Table20[[#This Row],[Asset]],"Price")</f>
        <v>394.5401</v>
      </c>
      <c r="E560" s="26">
        <v>300</v>
      </c>
      <c r="F560" s="33">
        <v>1</v>
      </c>
      <c r="G560" s="34">
        <v>1</v>
      </c>
      <c r="H560" s="34" t="s">
        <v>65</v>
      </c>
      <c r="I560" s="31">
        <v>45818</v>
      </c>
      <c r="J560" s="26">
        <v>1.43</v>
      </c>
      <c r="K560" s="24">
        <v>0.83</v>
      </c>
      <c r="L560" s="33">
        <f>VLOOKUP(Table20[[#This Row],[Strategy]],Table29[#All],6,FALSE)</f>
        <v>-1</v>
      </c>
      <c r="M560" s="23">
        <v>1</v>
      </c>
      <c r="N560" s="23">
        <v>0</v>
      </c>
      <c r="O560" s="23"/>
      <c r="P560" s="23"/>
      <c r="Q560">
        <f>Table20[[#This Row],[Exit1]]*Table20[[#This Row],[ex1_price]]</f>
        <v>0</v>
      </c>
      <c r="R560">
        <f>Table20[[#This Row],[Exit2]]*Table20[[#This Row],[ex2_price]]</f>
        <v>0</v>
      </c>
      <c r="S560">
        <f>IFERROR((Table20[[#This Row],[ex2_amnt]]+Table20[[#This Row],[ex1_amnt]])/(Table20[[#This Row],[Exit2]]+Table20[[#This Row],[Exit1]]),0)</f>
        <v>0</v>
      </c>
      <c r="T560" s="5">
        <f>(Table20[[#This Row],[Exit1]]+Table20[[#This Row],[Exit2]])*(Table20[[#This Row],[avg_exit_price]]-Table20[[#This Row],[AvePrice]])*100*Table20[[#This Row],[Buy or Sell]]</f>
        <v>-143</v>
      </c>
      <c r="U560" s="5">
        <f>Table20[[#This Row],[Number of options]]*Table20[[#This Row],[AvePrice]]*100*Table20[[#This Row],[Buy or Sell]]</f>
        <v>143</v>
      </c>
      <c r="V560" s="8">
        <f>Table20[[#This Row],[Number of options]]-Table20[[#This Row],[Exit1]]-Table20[[#This Row],[Exit2]]</f>
        <v>0</v>
      </c>
      <c r="W560" s="30">
        <f ca="1">(Table20[[#This Row],[Expiration Date]]-TODAY())/365</f>
        <v>-0.78356164383561644</v>
      </c>
      <c r="X560" s="30" t="e">
        <f ca="1">(LN(Table20[[#This Row],[Current Price]]/Table20[[#This Row],[strike_price]]) + ($B$2 + (Table20[[#This Row],[Vol]]^2)/2)*Table20[[#This Row],[Time to expiration]]) / (Table20[[#This Row],[Vol]] * SQRT(Table20[[#This Row],[Time to expiration]]))</f>
        <v>#NUM!</v>
      </c>
      <c r="Y560" s="30" t="e">
        <f ca="1">IF(Table20[[#This Row],[Direction]]&gt;0, _xlfn.NORM.S.DIST(Table20[[#This Row],[d1]], TRUE), _xlfn.NORM.S.DIST(Table20[[#This Row],[d1]], TRUE) - 1) * Table20[[#This Row],[Buy or Sell]]</f>
        <v>#NUM!</v>
      </c>
      <c r="Z560" s="9">
        <f ca="1">Table20[[#This Row],[Remaining]]*Table20[[#This Row],[Current Price]]*100</f>
        <v>0</v>
      </c>
      <c r="AA560" s="22">
        <f ca="1">IFERROR(Table20[[#This Row],[nominal_exposure]]*Table20[[#This Row],[Delta]],0)</f>
        <v>0</v>
      </c>
      <c r="AB560" s="30" t="b">
        <f>IF(Table20[[#This Row],[date_purchased]]&lt;&gt;Table20[[#This Row],[Expiration Date]],FALSE,TRUE)</f>
        <v>0</v>
      </c>
      <c r="AC560" s="30" t="str">
        <f>VLOOKUP(Table20[[#This Row],[Asset]],Table19[#All],3,FALSE)</f>
        <v>Auto</v>
      </c>
      <c r="AD560" s="30">
        <f>IF(Table20[[#This Row],[Remaining]]&lt;&gt;0,Table20[[#This Row],[Invested]]*Table20[[#This Row],[Remaining]]/Table20[[#This Row],[Number of options]],0)</f>
        <v>0</v>
      </c>
      <c r="AE560" s="30">
        <f ca="1">SUMIF(Table20[Ticker],Table20[[#This Row],[Ticker]],Table20[realized_profit])</f>
        <v>4153</v>
      </c>
      <c r="AF560" s="30" t="str">
        <f>VLOOKUP(Table20[[#This Row],[Strategy]],Table29[#All],7,FALSE)</f>
        <v>Bearish</v>
      </c>
    </row>
    <row r="561" spans="1:32" hidden="1">
      <c r="A561" s="180">
        <v>45758</v>
      </c>
      <c r="B561" s="21" t="e" vm="96">
        <v>#VALUE!</v>
      </c>
      <c r="C561" s="109" t="str" cm="1">
        <f t="array" aca="1" ref="C561" ca="1">_FV(Table20[[#This Row],[Asset]],"Ticker symbol",TRUE)</f>
        <v>SPY</v>
      </c>
      <c r="D561" s="26" cm="1">
        <f t="array" aca="1" ref="D561" ca="1">_FV(Table20[[#This Row],[Asset]],"Price")</f>
        <v>658.59</v>
      </c>
      <c r="E561" s="26">
        <v>535</v>
      </c>
      <c r="F561" s="33">
        <v>3</v>
      </c>
      <c r="G561" s="34">
        <v>-1</v>
      </c>
      <c r="H561" s="34" t="s">
        <v>115</v>
      </c>
      <c r="I561" s="31">
        <v>45754</v>
      </c>
      <c r="J561" s="26">
        <v>1.74</v>
      </c>
      <c r="K561" s="24"/>
      <c r="L561" s="33">
        <f>VLOOKUP(Table20[[#This Row],[Strategy]],Table29[#All],6,FALSE)</f>
        <v>1</v>
      </c>
      <c r="M561" s="23">
        <v>3</v>
      </c>
      <c r="N561" s="23">
        <v>1.1200000000000001</v>
      </c>
      <c r="O561" s="23"/>
      <c r="P561" s="23"/>
      <c r="Q561">
        <f>Table20[[#This Row],[Exit1]]*Table20[[#This Row],[ex1_price]]</f>
        <v>3.3600000000000003</v>
      </c>
      <c r="R561">
        <f>Table20[[#This Row],[Exit2]]*Table20[[#This Row],[ex2_price]]</f>
        <v>0</v>
      </c>
      <c r="S561">
        <f>IFERROR((Table20[[#This Row],[ex2_amnt]]+Table20[[#This Row],[ex1_amnt]])/(Table20[[#This Row],[Exit2]]+Table20[[#This Row],[Exit1]]),0)</f>
        <v>1.1200000000000001</v>
      </c>
      <c r="T561" s="5">
        <f>(Table20[[#This Row],[Exit1]]+Table20[[#This Row],[Exit2]])*(Table20[[#This Row],[avg_exit_price]]-Table20[[#This Row],[AvePrice]])*100*Table20[[#This Row],[Buy or Sell]]</f>
        <v>185.99999999999997</v>
      </c>
      <c r="U561" s="5">
        <f>Table20[[#This Row],[Number of options]]*Table20[[#This Row],[AvePrice]]*100*Table20[[#This Row],[Buy or Sell]]</f>
        <v>-522</v>
      </c>
      <c r="V561" s="8">
        <f>Table20[[#This Row],[Number of options]]-Table20[[#This Row],[Exit1]]-Table20[[#This Row],[Exit2]]</f>
        <v>0</v>
      </c>
      <c r="W561" s="30">
        <f ca="1">(Table20[[#This Row],[Expiration Date]]-TODAY())/365</f>
        <v>-0.95616438356164379</v>
      </c>
      <c r="X561" s="30" t="e">
        <f ca="1">(LN(Table20[[#This Row],[Current Price]]/Table20[[#This Row],[strike_price]]) + ($B$2 + (Table20[[#This Row],[Vol]]^2)/2)*Table20[[#This Row],[Time to expiration]]) / (Table20[[#This Row],[Vol]] * SQRT(Table20[[#This Row],[Time to expiration]]))</f>
        <v>#NUM!</v>
      </c>
      <c r="Y561" s="30" t="e">
        <f ca="1">IF(Table20[[#This Row],[Direction]]&gt;0, _xlfn.NORM.S.DIST(Table20[[#This Row],[d1]], TRUE), _xlfn.NORM.S.DIST(Table20[[#This Row],[d1]], TRUE) - 1) * Table20[[#This Row],[Buy or Sell]]</f>
        <v>#NUM!</v>
      </c>
      <c r="Z561" s="9">
        <f ca="1">Table20[[#This Row],[Remaining]]*Table20[[#This Row],[Current Price]]*100</f>
        <v>0</v>
      </c>
      <c r="AA561" s="22">
        <f ca="1">IFERROR(Table20[[#This Row],[nominal_exposure]]*Table20[[#This Row],[Delta]],0)</f>
        <v>0</v>
      </c>
      <c r="AB561" s="30" t="b">
        <f>IF(Table20[[#This Row],[date_purchased]]&lt;&gt;Table20[[#This Row],[Expiration Date]],FALSE,TRUE)</f>
        <v>0</v>
      </c>
      <c r="AC561" s="30" t="str">
        <f>VLOOKUP(Table20[[#This Row],[Asset]],Table19[#All],3,FALSE)</f>
        <v>Market</v>
      </c>
      <c r="AD561" s="30">
        <f>IF(Table20[[#This Row],[Remaining]]&lt;&gt;0,Table20[[#This Row],[Invested]]*Table20[[#This Row],[Remaining]]/Table20[[#This Row],[Number of options]],0)</f>
        <v>0</v>
      </c>
      <c r="AE561" s="30">
        <f ca="1">SUMIF(Table20[Ticker],Table20[[#This Row],[Ticker]],Table20[realized_profit])</f>
        <v>-5077</v>
      </c>
      <c r="AF561" s="30" t="str">
        <f>VLOOKUP(Table20[[#This Row],[Strategy]],Table29[#All],7,FALSE)</f>
        <v>Bullish</v>
      </c>
    </row>
    <row r="562" spans="1:32" hidden="1">
      <c r="A562" s="180">
        <v>45768</v>
      </c>
      <c r="B562" s="21" t="e" vm="96">
        <v>#VALUE!</v>
      </c>
      <c r="C562" s="109" t="str" cm="1">
        <f t="array" aca="1" ref="C562" ca="1">_FV(Table20[[#This Row],[Asset]],"Ticker symbol",TRUE)</f>
        <v>SPY</v>
      </c>
      <c r="D562" s="26" cm="1">
        <f t="array" aca="1" ref="D562" ca="1">_FV(Table20[[#This Row],[Asset]],"Price")</f>
        <v>658.59</v>
      </c>
      <c r="E562" s="26">
        <v>535</v>
      </c>
      <c r="F562" s="33">
        <v>3</v>
      </c>
      <c r="G562" s="34">
        <v>1</v>
      </c>
      <c r="H562" s="34" t="s">
        <v>115</v>
      </c>
      <c r="I562" s="31">
        <v>45754</v>
      </c>
      <c r="J562" s="26">
        <v>3.42</v>
      </c>
      <c r="K562" s="24"/>
      <c r="L562" s="33">
        <f>VLOOKUP(Table20[[#This Row],[Strategy]],Table29[#All],6,FALSE)</f>
        <v>1</v>
      </c>
      <c r="M562" s="23">
        <v>3</v>
      </c>
      <c r="N562" s="23">
        <v>3.37</v>
      </c>
      <c r="O562" s="23"/>
      <c r="P562" s="23"/>
      <c r="Q562">
        <f>Table20[[#This Row],[Exit1]]*Table20[[#This Row],[ex1_price]]</f>
        <v>10.11</v>
      </c>
      <c r="R562">
        <f>Table20[[#This Row],[Exit2]]*Table20[[#This Row],[ex2_price]]</f>
        <v>0</v>
      </c>
      <c r="S562">
        <f>IFERROR((Table20[[#This Row],[ex2_amnt]]+Table20[[#This Row],[ex1_amnt]])/(Table20[[#This Row],[Exit2]]+Table20[[#This Row],[Exit1]]),0)</f>
        <v>3.3699999999999997</v>
      </c>
      <c r="T562" s="5">
        <f>(Table20[[#This Row],[Exit1]]+Table20[[#This Row],[Exit2]])*(Table20[[#This Row],[avg_exit_price]]-Table20[[#This Row],[AvePrice]])*100*Table20[[#This Row],[Buy or Sell]]</f>
        <v>-15.00000000000008</v>
      </c>
      <c r="U562" s="5">
        <f>Table20[[#This Row],[Number of options]]*Table20[[#This Row],[AvePrice]]*100*Table20[[#This Row],[Buy or Sell]]</f>
        <v>1026</v>
      </c>
      <c r="V562" s="8">
        <f>Table20[[#This Row],[Number of options]]-Table20[[#This Row],[Exit1]]-Table20[[#This Row],[Exit2]]</f>
        <v>0</v>
      </c>
      <c r="W562" s="30">
        <f ca="1">(Table20[[#This Row],[Expiration Date]]-TODAY())/365</f>
        <v>-0.92876712328767119</v>
      </c>
      <c r="X562" s="30" t="e">
        <f ca="1">(LN(Table20[[#This Row],[Current Price]]/Table20[[#This Row],[strike_price]]) + ($B$2 + (Table20[[#This Row],[Vol]]^2)/2)*Table20[[#This Row],[Time to expiration]]) / (Table20[[#This Row],[Vol]] * SQRT(Table20[[#This Row],[Time to expiration]]))</f>
        <v>#NUM!</v>
      </c>
      <c r="Y562" s="30" t="e">
        <f ca="1">IF(Table20[[#This Row],[Direction]]&gt;0, _xlfn.NORM.S.DIST(Table20[[#This Row],[d1]], TRUE), _xlfn.NORM.S.DIST(Table20[[#This Row],[d1]], TRUE) - 1) * Table20[[#This Row],[Buy or Sell]]</f>
        <v>#NUM!</v>
      </c>
      <c r="Z562" s="9">
        <f ca="1">Table20[[#This Row],[Remaining]]*Table20[[#This Row],[Current Price]]*100</f>
        <v>0</v>
      </c>
      <c r="AA562" s="22">
        <f ca="1">IFERROR(Table20[[#This Row],[nominal_exposure]]*Table20[[#This Row],[Delta]],0)</f>
        <v>0</v>
      </c>
      <c r="AB562" s="30" t="b">
        <f>IF(Table20[[#This Row],[date_purchased]]&lt;&gt;Table20[[#This Row],[Expiration Date]],FALSE,TRUE)</f>
        <v>0</v>
      </c>
      <c r="AC562" s="30" t="str">
        <f>VLOOKUP(Table20[[#This Row],[Asset]],Table19[#All],3,FALSE)</f>
        <v>Market</v>
      </c>
      <c r="AD562" s="30">
        <f>IF(Table20[[#This Row],[Remaining]]&lt;&gt;0,Table20[[#This Row],[Invested]]*Table20[[#This Row],[Remaining]]/Table20[[#This Row],[Number of options]],0)</f>
        <v>0</v>
      </c>
      <c r="AE562" s="30">
        <f ca="1">SUMIF(Table20[Ticker],Table20[[#This Row],[Ticker]],Table20[realized_profit])</f>
        <v>-5077</v>
      </c>
      <c r="AF562" s="30" t="str">
        <f>VLOOKUP(Table20[[#This Row],[Strategy]],Table29[#All],7,FALSE)</f>
        <v>Bullish</v>
      </c>
    </row>
    <row r="563" spans="1:32" hidden="1">
      <c r="A563" s="180">
        <v>45758</v>
      </c>
      <c r="B563" s="21" t="e" vm="446">
        <v>#VALUE!</v>
      </c>
      <c r="C563" s="109" t="str" cm="1">
        <f t="array" aca="1" ref="C563" ca="1">_FV(Table20[[#This Row],[Asset]],"Ticker symbol",TRUE)</f>
        <v>RDDT</v>
      </c>
      <c r="D563" s="26" cm="1">
        <f t="array" aca="1" ref="D563" ca="1">_FV(Table20[[#This Row],[Asset]],"Price")</f>
        <v>143.06</v>
      </c>
      <c r="E563" s="26">
        <v>80</v>
      </c>
      <c r="F563" s="33">
        <v>1</v>
      </c>
      <c r="G563" s="34">
        <v>1</v>
      </c>
      <c r="H563" s="34" t="s">
        <v>65</v>
      </c>
      <c r="I563" s="31">
        <v>45754</v>
      </c>
      <c r="J563" s="26">
        <v>2.8</v>
      </c>
      <c r="K563" s="24"/>
      <c r="L563" s="33">
        <f>VLOOKUP(Table20[[#This Row],[Strategy]],Table29[#All],6,FALSE)</f>
        <v>-1</v>
      </c>
      <c r="M563" s="23">
        <v>1</v>
      </c>
      <c r="N563" s="23">
        <v>1.29</v>
      </c>
      <c r="O563" s="23"/>
      <c r="P563" s="23"/>
      <c r="Q563">
        <f>Table20[[#This Row],[Exit1]]*Table20[[#This Row],[ex1_price]]</f>
        <v>1.29</v>
      </c>
      <c r="R563">
        <f>Table20[[#This Row],[Exit2]]*Table20[[#This Row],[ex2_price]]</f>
        <v>0</v>
      </c>
      <c r="S563">
        <f>IFERROR((Table20[[#This Row],[ex2_amnt]]+Table20[[#This Row],[ex1_amnt]])/(Table20[[#This Row],[Exit2]]+Table20[[#This Row],[Exit1]]),0)</f>
        <v>1.29</v>
      </c>
      <c r="T563" s="5">
        <f>(Table20[[#This Row],[Exit1]]+Table20[[#This Row],[Exit2]])*(Table20[[#This Row],[avg_exit_price]]-Table20[[#This Row],[AvePrice]])*100*Table20[[#This Row],[Buy or Sell]]</f>
        <v>-150.99999999999997</v>
      </c>
      <c r="U563" s="5">
        <f>Table20[[#This Row],[Number of options]]*Table20[[#This Row],[AvePrice]]*100*Table20[[#This Row],[Buy or Sell]]</f>
        <v>280</v>
      </c>
      <c r="V563" s="8">
        <f>Table20[[#This Row],[Number of options]]-Table20[[#This Row],[Exit1]]-Table20[[#This Row],[Exit2]]</f>
        <v>0</v>
      </c>
      <c r="W563" s="30">
        <f ca="1">(Table20[[#This Row],[Expiration Date]]-TODAY())/365</f>
        <v>-0.95616438356164379</v>
      </c>
      <c r="X563" s="30" t="e">
        <f ca="1">(LN(Table20[[#This Row],[Current Price]]/Table20[[#This Row],[strike_price]]) + ($B$2 + (Table20[[#This Row],[Vol]]^2)/2)*Table20[[#This Row],[Time to expiration]]) / (Table20[[#This Row],[Vol]] * SQRT(Table20[[#This Row],[Time to expiration]]))</f>
        <v>#NUM!</v>
      </c>
      <c r="Y563" s="30" t="e">
        <f ca="1">IF(Table20[[#This Row],[Direction]]&gt;0, _xlfn.NORM.S.DIST(Table20[[#This Row],[d1]], TRUE), _xlfn.NORM.S.DIST(Table20[[#This Row],[d1]], TRUE) - 1) * Table20[[#This Row],[Buy or Sell]]</f>
        <v>#NUM!</v>
      </c>
      <c r="Z563" s="9">
        <f ca="1">Table20[[#This Row],[Remaining]]*Table20[[#This Row],[Current Price]]*100</f>
        <v>0</v>
      </c>
      <c r="AA563" s="22">
        <f ca="1">IFERROR(Table20[[#This Row],[nominal_exposure]]*Table20[[#This Row],[Delta]],0)</f>
        <v>0</v>
      </c>
      <c r="AB563" s="30" t="b">
        <f>IF(Table20[[#This Row],[date_purchased]]&lt;&gt;Table20[[#This Row],[Expiration Date]],FALSE,TRUE)</f>
        <v>0</v>
      </c>
      <c r="AC563" s="30" t="str">
        <f>VLOOKUP(Table20[[#This Row],[Asset]],Table19[#All],3,FALSE)</f>
        <v>Technology</v>
      </c>
      <c r="AD563" s="30">
        <f>IF(Table20[[#This Row],[Remaining]]&lt;&gt;0,Table20[[#This Row],[Invested]]*Table20[[#This Row],[Remaining]]/Table20[[#This Row],[Number of options]],0)</f>
        <v>0</v>
      </c>
      <c r="AE563" s="30">
        <f ca="1">SUMIF(Table20[Ticker],Table20[[#This Row],[Ticker]],Table20[realized_profit])</f>
        <v>1766.0000000000002</v>
      </c>
      <c r="AF563" s="30" t="str">
        <f>VLOOKUP(Table20[[#This Row],[Strategy]],Table29[#All],7,FALSE)</f>
        <v>Bearish</v>
      </c>
    </row>
    <row r="564" spans="1:32" hidden="1">
      <c r="A564" s="180">
        <v>45768</v>
      </c>
      <c r="B564" s="21" t="e" vm="96">
        <v>#VALUE!</v>
      </c>
      <c r="C564" s="109" t="str" cm="1">
        <f t="array" aca="1" ref="C564" ca="1">_FV(Table20[[#This Row],[Asset]],"Ticker symbol",TRUE)</f>
        <v>SPY</v>
      </c>
      <c r="D564" s="26" cm="1">
        <f t="array" aca="1" ref="D564" ca="1">_FV(Table20[[#This Row],[Asset]],"Price")</f>
        <v>658.59</v>
      </c>
      <c r="E564" s="26">
        <v>550</v>
      </c>
      <c r="F564" s="33">
        <v>2</v>
      </c>
      <c r="G564" s="34">
        <v>-1</v>
      </c>
      <c r="H564" s="34" t="s">
        <v>115</v>
      </c>
      <c r="I564" s="31">
        <v>45755</v>
      </c>
      <c r="J564" s="26">
        <v>1.2</v>
      </c>
      <c r="K564" s="24"/>
      <c r="L564" s="33">
        <f>VLOOKUP(Table20[[#This Row],[Strategy]],Table29[#All],6,FALSE)</f>
        <v>1</v>
      </c>
      <c r="M564" s="23">
        <v>2</v>
      </c>
      <c r="N564" s="23">
        <v>0.57999999999999996</v>
      </c>
      <c r="O564" s="23"/>
      <c r="P564" s="23"/>
      <c r="Q564">
        <f>Table20[[#This Row],[Exit1]]*Table20[[#This Row],[ex1_price]]</f>
        <v>1.1599999999999999</v>
      </c>
      <c r="R564">
        <f>Table20[[#This Row],[Exit2]]*Table20[[#This Row],[ex2_price]]</f>
        <v>0</v>
      </c>
      <c r="S564">
        <f>IFERROR((Table20[[#This Row],[ex2_amnt]]+Table20[[#This Row],[ex1_amnt]])/(Table20[[#This Row],[Exit2]]+Table20[[#This Row],[Exit1]]),0)</f>
        <v>0.57999999999999996</v>
      </c>
      <c r="T564" s="5">
        <f>(Table20[[#This Row],[Exit1]]+Table20[[#This Row],[Exit2]])*(Table20[[#This Row],[avg_exit_price]]-Table20[[#This Row],[AvePrice]])*100*Table20[[#This Row],[Buy or Sell]]</f>
        <v>124</v>
      </c>
      <c r="U564" s="5">
        <f>Table20[[#This Row],[Number of options]]*Table20[[#This Row],[AvePrice]]*100*Table20[[#This Row],[Buy or Sell]]</f>
        <v>-240</v>
      </c>
      <c r="V564" s="8">
        <f>Table20[[#This Row],[Number of options]]-Table20[[#This Row],[Exit1]]-Table20[[#This Row],[Exit2]]</f>
        <v>0</v>
      </c>
      <c r="W564" s="30">
        <f ca="1">(Table20[[#This Row],[Expiration Date]]-TODAY())/365</f>
        <v>-0.92876712328767119</v>
      </c>
      <c r="X564" s="30" t="e">
        <f ca="1">(LN(Table20[[#This Row],[Current Price]]/Table20[[#This Row],[strike_price]]) + ($B$2 + (Table20[[#This Row],[Vol]]^2)/2)*Table20[[#This Row],[Time to expiration]]) / (Table20[[#This Row],[Vol]] * SQRT(Table20[[#This Row],[Time to expiration]]))</f>
        <v>#NUM!</v>
      </c>
      <c r="Y564" s="30" t="e">
        <f ca="1">IF(Table20[[#This Row],[Direction]]&gt;0, _xlfn.NORM.S.DIST(Table20[[#This Row],[d1]], TRUE), _xlfn.NORM.S.DIST(Table20[[#This Row],[d1]], TRUE) - 1) * Table20[[#This Row],[Buy or Sell]]</f>
        <v>#NUM!</v>
      </c>
      <c r="Z564" s="9">
        <f ca="1">Table20[[#This Row],[Remaining]]*Table20[[#This Row],[Current Price]]*100</f>
        <v>0</v>
      </c>
      <c r="AA564" s="22">
        <f ca="1">IFERROR(Table20[[#This Row],[nominal_exposure]]*Table20[[#This Row],[Delta]],0)</f>
        <v>0</v>
      </c>
      <c r="AB564" s="30" t="b">
        <f>IF(Table20[[#This Row],[date_purchased]]&lt;&gt;Table20[[#This Row],[Expiration Date]],FALSE,TRUE)</f>
        <v>0</v>
      </c>
      <c r="AC564" s="30" t="str">
        <f>VLOOKUP(Table20[[#This Row],[Asset]],Table19[#All],3,FALSE)</f>
        <v>Market</v>
      </c>
      <c r="AD564" s="30">
        <f>IF(Table20[[#This Row],[Remaining]]&lt;&gt;0,Table20[[#This Row],[Invested]]*Table20[[#This Row],[Remaining]]/Table20[[#This Row],[Number of options]],0)</f>
        <v>0</v>
      </c>
      <c r="AE564" s="30">
        <f ca="1">SUMIF(Table20[Ticker],Table20[[#This Row],[Ticker]],Table20[realized_profit])</f>
        <v>-5077</v>
      </c>
      <c r="AF564" s="30" t="str">
        <f>VLOOKUP(Table20[[#This Row],[Strategy]],Table29[#All],7,FALSE)</f>
        <v>Bullish</v>
      </c>
    </row>
    <row r="565" spans="1:32" hidden="1">
      <c r="A565" s="180">
        <v>45779</v>
      </c>
      <c r="B565" s="21" t="e" vm="96">
        <v>#VALUE!</v>
      </c>
      <c r="C565" s="109" t="str" cm="1">
        <f t="array" aca="1" ref="C565" ca="1">_FV(Table20[[#This Row],[Asset]],"Ticker symbol",TRUE)</f>
        <v>SPY</v>
      </c>
      <c r="D565" s="26" cm="1">
        <f t="array" aca="1" ref="D565" ca="1">_FV(Table20[[#This Row],[Asset]],"Price")</f>
        <v>658.59</v>
      </c>
      <c r="E565" s="26">
        <v>550</v>
      </c>
      <c r="F565" s="33">
        <v>2</v>
      </c>
      <c r="G565" s="34">
        <v>1</v>
      </c>
      <c r="H565" s="34" t="s">
        <v>115</v>
      </c>
      <c r="I565" s="31">
        <v>45755</v>
      </c>
      <c r="J565" s="26">
        <v>2.67</v>
      </c>
      <c r="K565" s="24"/>
      <c r="L565" s="33">
        <f>VLOOKUP(Table20[[#This Row],[Strategy]],Table29[#All],6,FALSE)</f>
        <v>1</v>
      </c>
      <c r="M565" s="23">
        <v>2</v>
      </c>
      <c r="N565" s="23">
        <v>4.1399999999999997</v>
      </c>
      <c r="O565" s="23"/>
      <c r="P565" s="23"/>
      <c r="Q565">
        <f>Table20[[#This Row],[Exit1]]*Table20[[#This Row],[ex1_price]]</f>
        <v>8.2799999999999994</v>
      </c>
      <c r="R565">
        <f>Table20[[#This Row],[Exit2]]*Table20[[#This Row],[ex2_price]]</f>
        <v>0</v>
      </c>
      <c r="S565">
        <f>IFERROR((Table20[[#This Row],[ex2_amnt]]+Table20[[#This Row],[ex1_amnt]])/(Table20[[#This Row],[Exit2]]+Table20[[#This Row],[Exit1]]),0)</f>
        <v>4.1399999999999997</v>
      </c>
      <c r="T565" s="5">
        <f>(Table20[[#This Row],[Exit1]]+Table20[[#This Row],[Exit2]])*(Table20[[#This Row],[avg_exit_price]]-Table20[[#This Row],[AvePrice]])*100*Table20[[#This Row],[Buy or Sell]]</f>
        <v>293.99999999999994</v>
      </c>
      <c r="U565" s="5">
        <f>Table20[[#This Row],[Number of options]]*Table20[[#This Row],[AvePrice]]*100*Table20[[#This Row],[Buy or Sell]]</f>
        <v>534</v>
      </c>
      <c r="V565" s="8">
        <f>Table20[[#This Row],[Number of options]]-Table20[[#This Row],[Exit1]]-Table20[[#This Row],[Exit2]]</f>
        <v>0</v>
      </c>
      <c r="W565" s="30">
        <f ca="1">(Table20[[#This Row],[Expiration Date]]-TODAY())/365</f>
        <v>-0.89863013698630134</v>
      </c>
      <c r="X565" s="30" t="e">
        <f ca="1">(LN(Table20[[#This Row],[Current Price]]/Table20[[#This Row],[strike_price]]) + ($B$2 + (Table20[[#This Row],[Vol]]^2)/2)*Table20[[#This Row],[Time to expiration]]) / (Table20[[#This Row],[Vol]] * SQRT(Table20[[#This Row],[Time to expiration]]))</f>
        <v>#NUM!</v>
      </c>
      <c r="Y565" s="30" t="e">
        <f ca="1">IF(Table20[[#This Row],[Direction]]&gt;0, _xlfn.NORM.S.DIST(Table20[[#This Row],[d1]], TRUE), _xlfn.NORM.S.DIST(Table20[[#This Row],[d1]], TRUE) - 1) * Table20[[#This Row],[Buy or Sell]]</f>
        <v>#NUM!</v>
      </c>
      <c r="Z565" s="9">
        <f ca="1">Table20[[#This Row],[Remaining]]*Table20[[#This Row],[Current Price]]*100</f>
        <v>0</v>
      </c>
      <c r="AA565" s="22">
        <f ca="1">IFERROR(Table20[[#This Row],[nominal_exposure]]*Table20[[#This Row],[Delta]],0)</f>
        <v>0</v>
      </c>
      <c r="AB565" s="30" t="b">
        <f>IF(Table20[[#This Row],[date_purchased]]&lt;&gt;Table20[[#This Row],[Expiration Date]],FALSE,TRUE)</f>
        <v>0</v>
      </c>
      <c r="AC565" s="30" t="str">
        <f>VLOOKUP(Table20[[#This Row],[Asset]],Table19[#All],3,FALSE)</f>
        <v>Market</v>
      </c>
      <c r="AD565" s="30">
        <f>IF(Table20[[#This Row],[Remaining]]&lt;&gt;0,Table20[[#This Row],[Invested]]*Table20[[#This Row],[Remaining]]/Table20[[#This Row],[Number of options]],0)</f>
        <v>0</v>
      </c>
      <c r="AE565" s="30">
        <f ca="1">SUMIF(Table20[Ticker],Table20[[#This Row],[Ticker]],Table20[realized_profit])</f>
        <v>-5077</v>
      </c>
      <c r="AF565" s="30" t="str">
        <f>VLOOKUP(Table20[[#This Row],[Strategy]],Table29[#All],7,FALSE)</f>
        <v>Bullish</v>
      </c>
    </row>
    <row r="566" spans="1:32" hidden="1">
      <c r="A566" s="180">
        <v>45807</v>
      </c>
      <c r="B566" s="21" t="e" vm="96">
        <v>#VALUE!</v>
      </c>
      <c r="C566" s="109" t="str" cm="1">
        <f t="array" aca="1" ref="C566" ca="1">_FV(Table20[[#This Row],[Asset]],"Ticker symbol",TRUE)</f>
        <v>SPY</v>
      </c>
      <c r="D566" s="26" cm="1">
        <f t="array" aca="1" ref="D566" ca="1">_FV(Table20[[#This Row],[Asset]],"Price")</f>
        <v>658.59</v>
      </c>
      <c r="E566" s="26">
        <v>600</v>
      </c>
      <c r="F566" s="33">
        <v>2</v>
      </c>
      <c r="G566" s="34">
        <v>-1</v>
      </c>
      <c r="H566" s="34" t="s">
        <v>115</v>
      </c>
      <c r="I566" s="31">
        <v>45756</v>
      </c>
      <c r="J566" s="26">
        <v>0.55000000000000004</v>
      </c>
      <c r="K566" s="24"/>
      <c r="L566" s="33">
        <f>VLOOKUP(Table20[[#This Row],[Strategy]],Table29[#All],6,FALSE)</f>
        <v>1</v>
      </c>
      <c r="M566" s="23">
        <v>2</v>
      </c>
      <c r="N566" s="23">
        <v>0.55000000000000004</v>
      </c>
      <c r="O566" s="23"/>
      <c r="P566" s="23"/>
      <c r="Q566">
        <f>Table20[[#This Row],[Exit1]]*Table20[[#This Row],[ex1_price]]</f>
        <v>1.1000000000000001</v>
      </c>
      <c r="R566">
        <f>Table20[[#This Row],[Exit2]]*Table20[[#This Row],[ex2_price]]</f>
        <v>0</v>
      </c>
      <c r="S566">
        <f>IFERROR((Table20[[#This Row],[ex2_amnt]]+Table20[[#This Row],[ex1_amnt]])/(Table20[[#This Row],[Exit2]]+Table20[[#This Row],[Exit1]]),0)</f>
        <v>0.55000000000000004</v>
      </c>
      <c r="T566" s="5">
        <f>(Table20[[#This Row],[Exit1]]+Table20[[#This Row],[Exit2]])*(Table20[[#This Row],[avg_exit_price]]-Table20[[#This Row],[AvePrice]])*100*Table20[[#This Row],[Buy or Sell]]</f>
        <v>0</v>
      </c>
      <c r="U566" s="5">
        <f>Table20[[#This Row],[Number of options]]*Table20[[#This Row],[AvePrice]]*100*Table20[[#This Row],[Buy or Sell]]</f>
        <v>-110.00000000000001</v>
      </c>
      <c r="V566" s="8">
        <f>Table20[[#This Row],[Number of options]]-Table20[[#This Row],[Exit1]]-Table20[[#This Row],[Exit2]]</f>
        <v>0</v>
      </c>
      <c r="W566" s="30">
        <f ca="1">(Table20[[#This Row],[Expiration Date]]-TODAY())/365</f>
        <v>-0.82191780821917804</v>
      </c>
      <c r="X566" s="30" t="e">
        <f ca="1">(LN(Table20[[#This Row],[Current Price]]/Table20[[#This Row],[strike_price]]) + ($B$2 + (Table20[[#This Row],[Vol]]^2)/2)*Table20[[#This Row],[Time to expiration]]) / (Table20[[#This Row],[Vol]] * SQRT(Table20[[#This Row],[Time to expiration]]))</f>
        <v>#NUM!</v>
      </c>
      <c r="Y566" s="30" t="e">
        <f ca="1">IF(Table20[[#This Row],[Direction]]&gt;0, _xlfn.NORM.S.DIST(Table20[[#This Row],[d1]], TRUE), _xlfn.NORM.S.DIST(Table20[[#This Row],[d1]], TRUE) - 1) * Table20[[#This Row],[Buy or Sell]]</f>
        <v>#NUM!</v>
      </c>
      <c r="Z566" s="9">
        <f ca="1">Table20[[#This Row],[Remaining]]*Table20[[#This Row],[Current Price]]*100</f>
        <v>0</v>
      </c>
      <c r="AA566" s="22">
        <f ca="1">IFERROR(Table20[[#This Row],[nominal_exposure]]*Table20[[#This Row],[Delta]],0)</f>
        <v>0</v>
      </c>
      <c r="AB566" s="30" t="b">
        <f>IF(Table20[[#This Row],[date_purchased]]&lt;&gt;Table20[[#This Row],[Expiration Date]],FALSE,TRUE)</f>
        <v>0</v>
      </c>
      <c r="AC566" s="30" t="str">
        <f>VLOOKUP(Table20[[#This Row],[Asset]],Table19[#All],3,FALSE)</f>
        <v>Market</v>
      </c>
      <c r="AD566" s="30">
        <f>IF(Table20[[#This Row],[Remaining]]&lt;&gt;0,Table20[[#This Row],[Invested]]*Table20[[#This Row],[Remaining]]/Table20[[#This Row],[Number of options]],0)</f>
        <v>0</v>
      </c>
      <c r="AE566" s="30">
        <f ca="1">SUMIF(Table20[Ticker],Table20[[#This Row],[Ticker]],Table20[realized_profit])</f>
        <v>-5077</v>
      </c>
      <c r="AF566" s="30" t="str">
        <f>VLOOKUP(Table20[[#This Row],[Strategy]],Table29[#All],7,FALSE)</f>
        <v>Bullish</v>
      </c>
    </row>
    <row r="567" spans="1:32" hidden="1">
      <c r="A567" s="180">
        <v>45869</v>
      </c>
      <c r="B567" s="21" t="e" vm="96">
        <v>#VALUE!</v>
      </c>
      <c r="C567" s="109" t="str" cm="1">
        <f t="array" aca="1" ref="C567" ca="1">_FV(Table20[[#This Row],[Asset]],"Ticker symbol",TRUE)</f>
        <v>SPY</v>
      </c>
      <c r="D567" s="26" cm="1">
        <f t="array" aca="1" ref="D567" ca="1">_FV(Table20[[#This Row],[Asset]],"Price")</f>
        <v>658.59</v>
      </c>
      <c r="E567" s="26">
        <v>600</v>
      </c>
      <c r="F567" s="33">
        <v>2</v>
      </c>
      <c r="G567" s="34">
        <v>1</v>
      </c>
      <c r="H567" s="34" t="s">
        <v>115</v>
      </c>
      <c r="I567" s="31">
        <v>45756</v>
      </c>
      <c r="J567" s="26">
        <v>2.33</v>
      </c>
      <c r="K567" s="24"/>
      <c r="L567" s="33">
        <f>VLOOKUP(Table20[[#This Row],[Strategy]],Table29[#All],6,FALSE)</f>
        <v>1</v>
      </c>
      <c r="M567" s="23">
        <v>2</v>
      </c>
      <c r="N567" s="23">
        <v>5.13</v>
      </c>
      <c r="O567" s="23"/>
      <c r="P567" s="23"/>
      <c r="Q567">
        <f>Table20[[#This Row],[Exit1]]*Table20[[#This Row],[ex1_price]]</f>
        <v>10.26</v>
      </c>
      <c r="R567">
        <f>Table20[[#This Row],[Exit2]]*Table20[[#This Row],[ex2_price]]</f>
        <v>0</v>
      </c>
      <c r="S567">
        <f>IFERROR((Table20[[#This Row],[ex2_amnt]]+Table20[[#This Row],[ex1_amnt]])/(Table20[[#This Row],[Exit2]]+Table20[[#This Row],[Exit1]]),0)</f>
        <v>5.13</v>
      </c>
      <c r="T567" s="5">
        <f>(Table20[[#This Row],[Exit1]]+Table20[[#This Row],[Exit2]])*(Table20[[#This Row],[avg_exit_price]]-Table20[[#This Row],[AvePrice]])*100*Table20[[#This Row],[Buy or Sell]]</f>
        <v>560</v>
      </c>
      <c r="U567" s="5">
        <f>Table20[[#This Row],[Number of options]]*Table20[[#This Row],[AvePrice]]*100*Table20[[#This Row],[Buy or Sell]]</f>
        <v>466</v>
      </c>
      <c r="V567" s="8">
        <f>Table20[[#This Row],[Number of options]]-Table20[[#This Row],[Exit1]]-Table20[[#This Row],[Exit2]]</f>
        <v>0</v>
      </c>
      <c r="W567" s="30">
        <f ca="1">(Table20[[#This Row],[Expiration Date]]-TODAY())/365</f>
        <v>-0.65205479452054793</v>
      </c>
      <c r="X567" s="30" t="e">
        <f ca="1">(LN(Table20[[#This Row],[Current Price]]/Table20[[#This Row],[strike_price]]) + ($B$2 + (Table20[[#This Row],[Vol]]^2)/2)*Table20[[#This Row],[Time to expiration]]) / (Table20[[#This Row],[Vol]] * SQRT(Table20[[#This Row],[Time to expiration]]))</f>
        <v>#NUM!</v>
      </c>
      <c r="Y567" s="30" t="e">
        <f ca="1">IF(Table20[[#This Row],[Direction]]&gt;0, _xlfn.NORM.S.DIST(Table20[[#This Row],[d1]], TRUE), _xlfn.NORM.S.DIST(Table20[[#This Row],[d1]], TRUE) - 1) * Table20[[#This Row],[Buy or Sell]]</f>
        <v>#NUM!</v>
      </c>
      <c r="Z567" s="9">
        <f ca="1">Table20[[#This Row],[Remaining]]*Table20[[#This Row],[Current Price]]*100</f>
        <v>0</v>
      </c>
      <c r="AA567" s="22">
        <f ca="1">IFERROR(Table20[[#This Row],[nominal_exposure]]*Table20[[#This Row],[Delta]],0)</f>
        <v>0</v>
      </c>
      <c r="AB567" s="30" t="b">
        <f>IF(Table20[[#This Row],[date_purchased]]&lt;&gt;Table20[[#This Row],[Expiration Date]],FALSE,TRUE)</f>
        <v>0</v>
      </c>
      <c r="AC567" s="30" t="str">
        <f>VLOOKUP(Table20[[#This Row],[Asset]],Table19[#All],3,FALSE)</f>
        <v>Market</v>
      </c>
      <c r="AD567" s="30">
        <f>IF(Table20[[#This Row],[Remaining]]&lt;&gt;0,Table20[[#This Row],[Invested]]*Table20[[#This Row],[Remaining]]/Table20[[#This Row],[Number of options]],0)</f>
        <v>0</v>
      </c>
      <c r="AE567" s="30">
        <f ca="1">SUMIF(Table20[Ticker],Table20[[#This Row],[Ticker]],Table20[realized_profit])</f>
        <v>-5077</v>
      </c>
      <c r="AF567" s="30" t="str">
        <f>VLOOKUP(Table20[[#This Row],[Strategy]],Table29[#All],7,FALSE)</f>
        <v>Bullish</v>
      </c>
    </row>
    <row r="568" spans="1:32" hidden="1">
      <c r="A568" s="180">
        <v>45764</v>
      </c>
      <c r="B568" s="21" t="e" vm="139">
        <v>#VALUE!</v>
      </c>
      <c r="C568" s="109" t="str" cm="1">
        <f t="array" aca="1" ref="C568" ca="1">_FV(Table20[[#This Row],[Asset]],"Ticker symbol",TRUE)</f>
        <v>WMT</v>
      </c>
      <c r="D568" s="26" cm="1">
        <f t="array" aca="1" ref="D568" ca="1">_FV(Table20[[#This Row],[Asset]],"Price")</f>
        <v>122.55500000000001</v>
      </c>
      <c r="E568" s="26">
        <v>84</v>
      </c>
      <c r="F568" s="33">
        <v>1</v>
      </c>
      <c r="G568" s="34">
        <v>1</v>
      </c>
      <c r="H568" s="34" t="s">
        <v>65</v>
      </c>
      <c r="I568" s="31">
        <v>45756</v>
      </c>
      <c r="J568" s="26">
        <v>2.94</v>
      </c>
      <c r="K568" s="24"/>
      <c r="L568" s="33">
        <f>VLOOKUP(Table20[[#This Row],[Strategy]],Table29[#All],6,FALSE)</f>
        <v>-1</v>
      </c>
      <c r="M568" s="23">
        <v>1</v>
      </c>
      <c r="N568" s="23">
        <v>0.76</v>
      </c>
      <c r="O568" s="23"/>
      <c r="P568" s="23"/>
      <c r="Q568">
        <f>Table20[[#This Row],[Exit1]]*Table20[[#This Row],[ex1_price]]</f>
        <v>0.76</v>
      </c>
      <c r="R568">
        <f>Table20[[#This Row],[Exit2]]*Table20[[#This Row],[ex2_price]]</f>
        <v>0</v>
      </c>
      <c r="S568">
        <f>IFERROR((Table20[[#This Row],[ex2_amnt]]+Table20[[#This Row],[ex1_amnt]])/(Table20[[#This Row],[Exit2]]+Table20[[#This Row],[Exit1]]),0)</f>
        <v>0.76</v>
      </c>
      <c r="T568" s="5">
        <f>(Table20[[#This Row],[Exit1]]+Table20[[#This Row],[Exit2]])*(Table20[[#This Row],[avg_exit_price]]-Table20[[#This Row],[AvePrice]])*100*Table20[[#This Row],[Buy or Sell]]</f>
        <v>-217.99999999999997</v>
      </c>
      <c r="U568" s="5">
        <f>Table20[[#This Row],[Number of options]]*Table20[[#This Row],[AvePrice]]*100*Table20[[#This Row],[Buy or Sell]]</f>
        <v>294</v>
      </c>
      <c r="V568" s="8">
        <f>Table20[[#This Row],[Number of options]]-Table20[[#This Row],[Exit1]]-Table20[[#This Row],[Exit2]]</f>
        <v>0</v>
      </c>
      <c r="W568" s="30">
        <f ca="1">(Table20[[#This Row],[Expiration Date]]-TODAY())/365</f>
        <v>-0.9397260273972603</v>
      </c>
      <c r="X568" s="30" t="e">
        <f ca="1">(LN(Table20[[#This Row],[Current Price]]/Table20[[#This Row],[strike_price]]) + ($B$2 + (Table20[[#This Row],[Vol]]^2)/2)*Table20[[#This Row],[Time to expiration]]) / (Table20[[#This Row],[Vol]] * SQRT(Table20[[#This Row],[Time to expiration]]))</f>
        <v>#NUM!</v>
      </c>
      <c r="Y568" s="30" t="e">
        <f ca="1">IF(Table20[[#This Row],[Direction]]&gt;0, _xlfn.NORM.S.DIST(Table20[[#This Row],[d1]], TRUE), _xlfn.NORM.S.DIST(Table20[[#This Row],[d1]], TRUE) - 1) * Table20[[#This Row],[Buy or Sell]]</f>
        <v>#NUM!</v>
      </c>
      <c r="Z568" s="9">
        <f ca="1">Table20[[#This Row],[Remaining]]*Table20[[#This Row],[Current Price]]*100</f>
        <v>0</v>
      </c>
      <c r="AA568" s="22">
        <f ca="1">IFERROR(Table20[[#This Row],[nominal_exposure]]*Table20[[#This Row],[Delta]],0)</f>
        <v>0</v>
      </c>
      <c r="AB568" s="30" t="b">
        <f>IF(Table20[[#This Row],[date_purchased]]&lt;&gt;Table20[[#This Row],[Expiration Date]],FALSE,TRUE)</f>
        <v>0</v>
      </c>
      <c r="AC568" s="30" t="str">
        <f>VLOOKUP(Table20[[#This Row],[Asset]],Table19[#All],3,FALSE)</f>
        <v>Consumer Staples</v>
      </c>
      <c r="AD568" s="30">
        <f>IF(Table20[[#This Row],[Remaining]]&lt;&gt;0,Table20[[#This Row],[Invested]]*Table20[[#This Row],[Remaining]]/Table20[[#This Row],[Number of options]],0)</f>
        <v>0</v>
      </c>
      <c r="AE568" s="30">
        <f ca="1">SUMIF(Table20[Ticker],Table20[[#This Row],[Ticker]],Table20[realized_profit])</f>
        <v>-838.16</v>
      </c>
      <c r="AF568" s="30" t="str">
        <f>VLOOKUP(Table20[[#This Row],[Strategy]],Table29[#All],7,FALSE)</f>
        <v>Bearish</v>
      </c>
    </row>
    <row r="569" spans="1:32" hidden="1">
      <c r="A569" s="180">
        <v>45786</v>
      </c>
      <c r="B569" s="21" t="e" vm="159">
        <v>#VALUE!</v>
      </c>
      <c r="C569" s="109" t="str" cm="1">
        <f t="array" aca="1" ref="C569" ca="1">_FV(Table20[[#This Row],[Asset]],"Ticker symbol",TRUE)</f>
        <v>BABA</v>
      </c>
      <c r="D569" s="26" cm="1">
        <f t="array" aca="1" ref="D569" ca="1">_FV(Table20[[#This Row],[Asset]],"Price")</f>
        <v>129.63999999999999</v>
      </c>
      <c r="E569" s="26">
        <v>90</v>
      </c>
      <c r="F569" s="33">
        <v>6</v>
      </c>
      <c r="G569" s="34">
        <v>1</v>
      </c>
      <c r="H569" s="34" t="s">
        <v>65</v>
      </c>
      <c r="I569" s="31">
        <v>45756</v>
      </c>
      <c r="J569" s="26">
        <v>3.75</v>
      </c>
      <c r="K569" s="24"/>
      <c r="L569" s="33">
        <f>VLOOKUP(Table20[[#This Row],[Strategy]],Table29[#All],6,FALSE)</f>
        <v>-1</v>
      </c>
      <c r="M569" s="23">
        <v>6</v>
      </c>
      <c r="N569" s="23">
        <v>2.65</v>
      </c>
      <c r="O569" s="23"/>
      <c r="P569" s="23"/>
      <c r="Q569">
        <f>Table20[[#This Row],[Exit1]]*Table20[[#This Row],[ex1_price]]</f>
        <v>15.899999999999999</v>
      </c>
      <c r="R569">
        <f>Table20[[#This Row],[Exit2]]*Table20[[#This Row],[ex2_price]]</f>
        <v>0</v>
      </c>
      <c r="S569">
        <f>IFERROR((Table20[[#This Row],[ex2_amnt]]+Table20[[#This Row],[ex1_amnt]])/(Table20[[#This Row],[Exit2]]+Table20[[#This Row],[Exit1]]),0)</f>
        <v>2.65</v>
      </c>
      <c r="T569" s="5">
        <f>(Table20[[#This Row],[Exit1]]+Table20[[#This Row],[Exit2]])*(Table20[[#This Row],[avg_exit_price]]-Table20[[#This Row],[AvePrice]])*100*Table20[[#This Row],[Buy or Sell]]</f>
        <v>-660</v>
      </c>
      <c r="U569" s="5">
        <f>Table20[[#This Row],[Number of options]]*Table20[[#This Row],[AvePrice]]*100*Table20[[#This Row],[Buy or Sell]]</f>
        <v>2250</v>
      </c>
      <c r="V569" s="8">
        <f>Table20[[#This Row],[Number of options]]-Table20[[#This Row],[Exit1]]-Table20[[#This Row],[Exit2]]</f>
        <v>0</v>
      </c>
      <c r="W569" s="30">
        <f ca="1">(Table20[[#This Row],[Expiration Date]]-TODAY())/365</f>
        <v>-0.8794520547945206</v>
      </c>
      <c r="X569" s="30" t="e">
        <f ca="1">(LN(Table20[[#This Row],[Current Price]]/Table20[[#This Row],[strike_price]]) + ($B$2 + (Table20[[#This Row],[Vol]]^2)/2)*Table20[[#This Row],[Time to expiration]]) / (Table20[[#This Row],[Vol]] * SQRT(Table20[[#This Row],[Time to expiration]]))</f>
        <v>#NUM!</v>
      </c>
      <c r="Y569" s="30" t="e">
        <f ca="1">IF(Table20[[#This Row],[Direction]]&gt;0, _xlfn.NORM.S.DIST(Table20[[#This Row],[d1]], TRUE), _xlfn.NORM.S.DIST(Table20[[#This Row],[d1]], TRUE) - 1) * Table20[[#This Row],[Buy or Sell]]</f>
        <v>#NUM!</v>
      </c>
      <c r="Z569" s="9">
        <f ca="1">Table20[[#This Row],[Remaining]]*Table20[[#This Row],[Current Price]]*100</f>
        <v>0</v>
      </c>
      <c r="AA569" s="22">
        <f ca="1">IFERROR(Table20[[#This Row],[nominal_exposure]]*Table20[[#This Row],[Delta]],0)</f>
        <v>0</v>
      </c>
      <c r="AB569" s="30" t="b">
        <f>IF(Table20[[#This Row],[date_purchased]]&lt;&gt;Table20[[#This Row],[Expiration Date]],FALSE,TRUE)</f>
        <v>0</v>
      </c>
      <c r="AC569" s="30" t="str">
        <f>VLOOKUP(Table20[[#This Row],[Asset]],Table19[#All],3,FALSE)</f>
        <v>China</v>
      </c>
      <c r="AD569" s="30">
        <f>IF(Table20[[#This Row],[Remaining]]&lt;&gt;0,Table20[[#This Row],[Invested]]*Table20[[#This Row],[Remaining]]/Table20[[#This Row],[Number of options]],0)</f>
        <v>0</v>
      </c>
      <c r="AE569" s="30">
        <f ca="1">SUMIF(Table20[Ticker],Table20[[#This Row],[Ticker]],Table20[realized_profit])</f>
        <v>5855</v>
      </c>
      <c r="AF569" s="30" t="str">
        <f>VLOOKUP(Table20[[#This Row],[Strategy]],Table29[#All],7,FALSE)</f>
        <v>Bearish</v>
      </c>
    </row>
    <row r="570" spans="1:32" hidden="1">
      <c r="A570" s="180">
        <v>45772</v>
      </c>
      <c r="B570" s="21" t="e" vm="159">
        <v>#VALUE!</v>
      </c>
      <c r="C570" s="109" t="str" cm="1">
        <f t="array" aca="1" ref="C570" ca="1">_FV(Table20[[#This Row],[Asset]],"Ticker symbol",TRUE)</f>
        <v>BABA</v>
      </c>
      <c r="D570" s="26" cm="1">
        <f t="array" aca="1" ref="D570" ca="1">_FV(Table20[[#This Row],[Asset]],"Price")</f>
        <v>129.63999999999999</v>
      </c>
      <c r="E570" s="26">
        <v>90</v>
      </c>
      <c r="F570" s="33">
        <v>2</v>
      </c>
      <c r="G570" s="34">
        <v>1</v>
      </c>
      <c r="H570" s="34" t="s">
        <v>65</v>
      </c>
      <c r="I570" s="31">
        <v>45758</v>
      </c>
      <c r="J570" s="26">
        <v>1.95</v>
      </c>
      <c r="K570" s="24"/>
      <c r="L570" s="33">
        <f>VLOOKUP(Table20[[#This Row],[Strategy]],Table29[#All],6,FALSE)</f>
        <v>-1</v>
      </c>
      <c r="M570" s="23">
        <v>2</v>
      </c>
      <c r="N570" s="23">
        <v>0.16</v>
      </c>
      <c r="O570" s="23"/>
      <c r="P570" s="23"/>
      <c r="Q570">
        <f>Table20[[#This Row],[Exit1]]*Table20[[#This Row],[ex1_price]]</f>
        <v>0.32</v>
      </c>
      <c r="R570">
        <f>Table20[[#This Row],[Exit2]]*Table20[[#This Row],[ex2_price]]</f>
        <v>0</v>
      </c>
      <c r="S570">
        <f>IFERROR((Table20[[#This Row],[ex2_amnt]]+Table20[[#This Row],[ex1_amnt]])/(Table20[[#This Row],[Exit2]]+Table20[[#This Row],[Exit1]]),0)</f>
        <v>0.16</v>
      </c>
      <c r="T570" s="5">
        <f>(Table20[[#This Row],[Exit1]]+Table20[[#This Row],[Exit2]])*(Table20[[#This Row],[avg_exit_price]]-Table20[[#This Row],[AvePrice]])*100*Table20[[#This Row],[Buy or Sell]]</f>
        <v>-358</v>
      </c>
      <c r="U570" s="5">
        <f>Table20[[#This Row],[Number of options]]*Table20[[#This Row],[AvePrice]]*100*Table20[[#This Row],[Buy or Sell]]</f>
        <v>390</v>
      </c>
      <c r="V570" s="8">
        <f>Table20[[#This Row],[Number of options]]-Table20[[#This Row],[Exit1]]-Table20[[#This Row],[Exit2]]</f>
        <v>0</v>
      </c>
      <c r="W570" s="30">
        <f ca="1">(Table20[[#This Row],[Expiration Date]]-TODAY())/365</f>
        <v>-0.9178082191780822</v>
      </c>
      <c r="X570" s="30" t="e">
        <f ca="1">(LN(Table20[[#This Row],[Current Price]]/Table20[[#This Row],[strike_price]]) + ($B$2 + (Table20[[#This Row],[Vol]]^2)/2)*Table20[[#This Row],[Time to expiration]]) / (Table20[[#This Row],[Vol]] * SQRT(Table20[[#This Row],[Time to expiration]]))</f>
        <v>#NUM!</v>
      </c>
      <c r="Y570" s="30" t="e">
        <f ca="1">IF(Table20[[#This Row],[Direction]]&gt;0, _xlfn.NORM.S.DIST(Table20[[#This Row],[d1]], TRUE), _xlfn.NORM.S.DIST(Table20[[#This Row],[d1]], TRUE) - 1) * Table20[[#This Row],[Buy or Sell]]</f>
        <v>#NUM!</v>
      </c>
      <c r="Z570" s="9">
        <f ca="1">Table20[[#This Row],[Remaining]]*Table20[[#This Row],[Current Price]]*100</f>
        <v>0</v>
      </c>
      <c r="AA570" s="22">
        <f ca="1">IFERROR(Table20[[#This Row],[nominal_exposure]]*Table20[[#This Row],[Delta]],0)</f>
        <v>0</v>
      </c>
      <c r="AB570" s="30" t="b">
        <f>IF(Table20[[#This Row],[date_purchased]]&lt;&gt;Table20[[#This Row],[Expiration Date]],FALSE,TRUE)</f>
        <v>0</v>
      </c>
      <c r="AC570" s="30" t="str">
        <f>VLOOKUP(Table20[[#This Row],[Asset]],Table19[#All],3,FALSE)</f>
        <v>China</v>
      </c>
      <c r="AD570" s="30">
        <f>IF(Table20[[#This Row],[Remaining]]&lt;&gt;0,Table20[[#This Row],[Invested]]*Table20[[#This Row],[Remaining]]/Table20[[#This Row],[Number of options]],0)</f>
        <v>0</v>
      </c>
      <c r="AE570" s="30">
        <f ca="1">SUMIF(Table20[Ticker],Table20[[#This Row],[Ticker]],Table20[realized_profit])</f>
        <v>5855</v>
      </c>
      <c r="AF570" s="30" t="str">
        <f>VLOOKUP(Table20[[#This Row],[Strategy]],Table29[#All],7,FALSE)</f>
        <v>Bearish</v>
      </c>
    </row>
    <row r="571" spans="1:32" hidden="1">
      <c r="A571" s="180">
        <v>45758</v>
      </c>
      <c r="B571" s="21" t="e" vm="168">
        <v>#VALUE!</v>
      </c>
      <c r="C571" s="109" t="str" cm="1">
        <f t="array" aca="1" ref="C571" ca="1">_FV(Table20[[#This Row],[Asset]],"Ticker symbol",TRUE)</f>
        <v>PDD</v>
      </c>
      <c r="D571" s="26" cm="1">
        <f t="array" aca="1" ref="D571" ca="1">_FV(Table20[[#This Row],[Asset]],"Price")</f>
        <v>106.22</v>
      </c>
      <c r="E571" s="26">
        <v>90</v>
      </c>
      <c r="F571" s="33">
        <v>1</v>
      </c>
      <c r="G571" s="34">
        <v>1</v>
      </c>
      <c r="H571" s="34" t="s">
        <v>65</v>
      </c>
      <c r="I571" s="31">
        <v>45758</v>
      </c>
      <c r="J571" s="26">
        <v>1.26</v>
      </c>
      <c r="K571" s="24">
        <v>7.3000000000000001E-3</v>
      </c>
      <c r="L571" s="33">
        <f>VLOOKUP(Table20[[#This Row],[Strategy]],Table29[#All],6,FALSE)</f>
        <v>-1</v>
      </c>
      <c r="M571" s="23">
        <v>1</v>
      </c>
      <c r="N571" s="23">
        <v>1.21</v>
      </c>
      <c r="O571" s="23"/>
      <c r="P571" s="23"/>
      <c r="Q571">
        <f>Table20[[#This Row],[Exit1]]*Table20[[#This Row],[ex1_price]]</f>
        <v>1.21</v>
      </c>
      <c r="R571">
        <f>Table20[[#This Row],[Exit2]]*Table20[[#This Row],[ex2_price]]</f>
        <v>0</v>
      </c>
      <c r="S571">
        <f>IFERROR((Table20[[#This Row],[ex2_amnt]]+Table20[[#This Row],[ex1_amnt]])/(Table20[[#This Row],[Exit2]]+Table20[[#This Row],[Exit1]]),0)</f>
        <v>1.21</v>
      </c>
      <c r="T571" s="5">
        <f>(Table20[[#This Row],[Exit1]]+Table20[[#This Row],[Exit2]])*(Table20[[#This Row],[avg_exit_price]]-Table20[[#This Row],[AvePrice]])*100*Table20[[#This Row],[Buy or Sell]]</f>
        <v>-5.0000000000000044</v>
      </c>
      <c r="U571" s="5">
        <f>Table20[[#This Row],[Number of options]]*Table20[[#This Row],[AvePrice]]*100*Table20[[#This Row],[Buy or Sell]]</f>
        <v>126</v>
      </c>
      <c r="V571" s="8">
        <f>Table20[[#This Row],[Number of options]]-Table20[[#This Row],[Exit1]]-Table20[[#This Row],[Exit2]]</f>
        <v>0</v>
      </c>
      <c r="W571" s="30">
        <f ca="1">(Table20[[#This Row],[Expiration Date]]-TODAY())/365</f>
        <v>-0.95616438356164379</v>
      </c>
      <c r="X571" s="30" t="e">
        <f ca="1">(LN(Table20[[#This Row],[Current Price]]/Table20[[#This Row],[strike_price]]) + ($B$2 + (Table20[[#This Row],[Vol]]^2)/2)*Table20[[#This Row],[Time to expiration]]) / (Table20[[#This Row],[Vol]] * SQRT(Table20[[#This Row],[Time to expiration]]))</f>
        <v>#NUM!</v>
      </c>
      <c r="Y571" s="30" t="e">
        <f ca="1">IF(Table20[[#This Row],[Direction]]&gt;0, _xlfn.NORM.S.DIST(Table20[[#This Row],[d1]], TRUE), _xlfn.NORM.S.DIST(Table20[[#This Row],[d1]], TRUE) - 1) * Table20[[#This Row],[Buy or Sell]]</f>
        <v>#NUM!</v>
      </c>
      <c r="Z571" s="9">
        <f ca="1">Table20[[#This Row],[Remaining]]*Table20[[#This Row],[Current Price]]*100</f>
        <v>0</v>
      </c>
      <c r="AA571" s="22">
        <f ca="1">IFERROR(Table20[[#This Row],[nominal_exposure]]*Table20[[#This Row],[Delta]],0)</f>
        <v>0</v>
      </c>
      <c r="AB571" s="30" t="b">
        <f>IF(Table20[[#This Row],[date_purchased]]&lt;&gt;Table20[[#This Row],[Expiration Date]],FALSE,TRUE)</f>
        <v>1</v>
      </c>
      <c r="AC571" s="30" t="str">
        <f>VLOOKUP(Table20[[#This Row],[Asset]],Table19[#All],3,FALSE)</f>
        <v>China</v>
      </c>
      <c r="AD571" s="30">
        <f>IF(Table20[[#This Row],[Remaining]]&lt;&gt;0,Table20[[#This Row],[Invested]]*Table20[[#This Row],[Remaining]]/Table20[[#This Row],[Number of options]],0)</f>
        <v>0</v>
      </c>
      <c r="AE571" s="30">
        <f ca="1">SUMIF(Table20[Ticker],Table20[[#This Row],[Ticker]],Table20[realized_profit])</f>
        <v>1390</v>
      </c>
      <c r="AF571" s="30" t="str">
        <f>VLOOKUP(Table20[[#This Row],[Strategy]],Table29[#All],7,FALSE)</f>
        <v>Bearish</v>
      </c>
    </row>
    <row r="572" spans="1:32" hidden="1">
      <c r="A572" s="180">
        <v>45772</v>
      </c>
      <c r="B572" s="21" t="e" vm="139">
        <v>#VALUE!</v>
      </c>
      <c r="C572" s="109" t="str" cm="1">
        <f t="array" aca="1" ref="C572" ca="1">_FV(Table20[[#This Row],[Asset]],"Ticker symbol",TRUE)</f>
        <v>WMT</v>
      </c>
      <c r="D572" s="26" cm="1">
        <f t="array" aca="1" ref="D572" ca="1">_FV(Table20[[#This Row],[Asset]],"Price")</f>
        <v>122.55500000000001</v>
      </c>
      <c r="E572" s="26">
        <v>91</v>
      </c>
      <c r="F572" s="33">
        <v>2</v>
      </c>
      <c r="G572" s="34">
        <v>1</v>
      </c>
      <c r="H572" s="34" t="s">
        <v>65</v>
      </c>
      <c r="I572" s="31">
        <v>45758</v>
      </c>
      <c r="J572" s="26">
        <v>2.5099999999999998</v>
      </c>
      <c r="K572" s="24"/>
      <c r="L572" s="33">
        <f>VLOOKUP(Table20[[#This Row],[Strategy]],Table29[#All],6,FALSE)</f>
        <v>-1</v>
      </c>
      <c r="M572" s="23">
        <v>2</v>
      </c>
      <c r="N572" s="23">
        <v>0.89</v>
      </c>
      <c r="O572" s="23"/>
      <c r="P572" s="23"/>
      <c r="Q572">
        <f>Table20[[#This Row],[Exit1]]*Table20[[#This Row],[ex1_price]]</f>
        <v>1.78</v>
      </c>
      <c r="R572">
        <f>Table20[[#This Row],[Exit2]]*Table20[[#This Row],[ex2_price]]</f>
        <v>0</v>
      </c>
      <c r="S572">
        <f>IFERROR((Table20[[#This Row],[ex2_amnt]]+Table20[[#This Row],[ex1_amnt]])/(Table20[[#This Row],[Exit2]]+Table20[[#This Row],[Exit1]]),0)</f>
        <v>0.89</v>
      </c>
      <c r="T572" s="5">
        <f>(Table20[[#This Row],[Exit1]]+Table20[[#This Row],[Exit2]])*(Table20[[#This Row],[avg_exit_price]]-Table20[[#This Row],[AvePrice]])*100*Table20[[#This Row],[Buy or Sell]]</f>
        <v>-323.99999999999994</v>
      </c>
      <c r="U572" s="5">
        <f>Table20[[#This Row],[Number of options]]*Table20[[#This Row],[AvePrice]]*100*Table20[[#This Row],[Buy or Sell]]</f>
        <v>501.99999999999994</v>
      </c>
      <c r="V572" s="8">
        <f>Table20[[#This Row],[Number of options]]-Table20[[#This Row],[Exit1]]-Table20[[#This Row],[Exit2]]</f>
        <v>0</v>
      </c>
      <c r="W572" s="30">
        <f ca="1">(Table20[[#This Row],[Expiration Date]]-TODAY())/365</f>
        <v>-0.9178082191780822</v>
      </c>
      <c r="X572" s="30" t="e">
        <f ca="1">(LN(Table20[[#This Row],[Current Price]]/Table20[[#This Row],[strike_price]]) + ($B$2 + (Table20[[#This Row],[Vol]]^2)/2)*Table20[[#This Row],[Time to expiration]]) / (Table20[[#This Row],[Vol]] * SQRT(Table20[[#This Row],[Time to expiration]]))</f>
        <v>#NUM!</v>
      </c>
      <c r="Y572" s="30" t="e">
        <f ca="1">IF(Table20[[#This Row],[Direction]]&gt;0, _xlfn.NORM.S.DIST(Table20[[#This Row],[d1]], TRUE), _xlfn.NORM.S.DIST(Table20[[#This Row],[d1]], TRUE) - 1) * Table20[[#This Row],[Buy or Sell]]</f>
        <v>#NUM!</v>
      </c>
      <c r="Z572" s="9">
        <f ca="1">Table20[[#This Row],[Remaining]]*Table20[[#This Row],[Current Price]]*100</f>
        <v>0</v>
      </c>
      <c r="AA572" s="22">
        <f ca="1">IFERROR(Table20[[#This Row],[nominal_exposure]]*Table20[[#This Row],[Delta]],0)</f>
        <v>0</v>
      </c>
      <c r="AB572" s="30" t="b">
        <f>IF(Table20[[#This Row],[date_purchased]]&lt;&gt;Table20[[#This Row],[Expiration Date]],FALSE,TRUE)</f>
        <v>0</v>
      </c>
      <c r="AC572" s="30" t="str">
        <f>VLOOKUP(Table20[[#This Row],[Asset]],Table19[#All],3,FALSE)</f>
        <v>Consumer Staples</v>
      </c>
      <c r="AD572" s="30">
        <f>IF(Table20[[#This Row],[Remaining]]&lt;&gt;0,Table20[[#This Row],[Invested]]*Table20[[#This Row],[Remaining]]/Table20[[#This Row],[Number of options]],0)</f>
        <v>0</v>
      </c>
      <c r="AE572" s="30">
        <f ca="1">SUMIF(Table20[Ticker],Table20[[#This Row],[Ticker]],Table20[realized_profit])</f>
        <v>-838.16</v>
      </c>
      <c r="AF572" s="30" t="str">
        <f>VLOOKUP(Table20[[#This Row],[Strategy]],Table29[#All],7,FALSE)</f>
        <v>Bearish</v>
      </c>
    </row>
    <row r="573" spans="1:32" hidden="1">
      <c r="A573" s="180">
        <v>45761</v>
      </c>
      <c r="B573" s="21" t="e" vm="96">
        <v>#VALUE!</v>
      </c>
      <c r="C573" s="109" t="str" cm="1">
        <f t="array" aca="1" ref="C573" ca="1">_FV(Table20[[#This Row],[Asset]],"Ticker symbol",TRUE)</f>
        <v>SPY</v>
      </c>
      <c r="D573" s="26" cm="1">
        <f t="array" aca="1" ref="D573" ca="1">_FV(Table20[[#This Row],[Asset]],"Price")</f>
        <v>658.59</v>
      </c>
      <c r="E573" s="26"/>
      <c r="F573" s="33">
        <v>1</v>
      </c>
      <c r="G573" s="34">
        <v>1</v>
      </c>
      <c r="H573" s="34" t="s">
        <v>65</v>
      </c>
      <c r="I573" s="31">
        <v>45761</v>
      </c>
      <c r="J573" s="26">
        <v>2.25</v>
      </c>
      <c r="K573" s="24"/>
      <c r="L573" s="33">
        <f>VLOOKUP(Table20[[#This Row],[Strategy]],Table29[#All],6,FALSE)</f>
        <v>-1</v>
      </c>
      <c r="M573" s="23">
        <v>1</v>
      </c>
      <c r="N573" s="23">
        <v>1.89</v>
      </c>
      <c r="O573" s="23"/>
      <c r="P573" s="23"/>
      <c r="Q573">
        <f>Table20[[#This Row],[Exit1]]*Table20[[#This Row],[ex1_price]]</f>
        <v>1.89</v>
      </c>
      <c r="R573">
        <f>Table20[[#This Row],[Exit2]]*Table20[[#This Row],[ex2_price]]</f>
        <v>0</v>
      </c>
      <c r="S573">
        <f>IFERROR((Table20[[#This Row],[ex2_amnt]]+Table20[[#This Row],[ex1_amnt]])/(Table20[[#This Row],[Exit2]]+Table20[[#This Row],[Exit1]]),0)</f>
        <v>1.89</v>
      </c>
      <c r="T573" s="5">
        <f>(Table20[[#This Row],[Exit1]]+Table20[[#This Row],[Exit2]])*(Table20[[#This Row],[avg_exit_price]]-Table20[[#This Row],[AvePrice]])*100*Table20[[#This Row],[Buy or Sell]]</f>
        <v>-36.000000000000007</v>
      </c>
      <c r="U573" s="5">
        <f>Table20[[#This Row],[Number of options]]*Table20[[#This Row],[AvePrice]]*100*Table20[[#This Row],[Buy or Sell]]</f>
        <v>225</v>
      </c>
      <c r="V573" s="8">
        <f>Table20[[#This Row],[Number of options]]-Table20[[#This Row],[Exit1]]-Table20[[#This Row],[Exit2]]</f>
        <v>0</v>
      </c>
      <c r="W573" s="30">
        <f ca="1">(Table20[[#This Row],[Expiration Date]]-TODAY())/365</f>
        <v>-0.94794520547945205</v>
      </c>
      <c r="X573" s="30" t="e">
        <f ca="1">(LN(Table20[[#This Row],[Current Price]]/Table20[[#This Row],[strike_price]]) + ($B$2 + (Table20[[#This Row],[Vol]]^2)/2)*Table20[[#This Row],[Time to expiration]]) / (Table20[[#This Row],[Vol]] * SQRT(Table20[[#This Row],[Time to expiration]]))</f>
        <v>#DIV/0!</v>
      </c>
      <c r="Y573" s="30" t="e">
        <f ca="1">IF(Table20[[#This Row],[Direction]]&gt;0, _xlfn.NORM.S.DIST(Table20[[#This Row],[d1]], TRUE), _xlfn.NORM.S.DIST(Table20[[#This Row],[d1]], TRUE) - 1) * Table20[[#This Row],[Buy or Sell]]</f>
        <v>#DIV/0!</v>
      </c>
      <c r="Z573" s="9">
        <f ca="1">Table20[[#This Row],[Remaining]]*Table20[[#This Row],[Current Price]]*100</f>
        <v>0</v>
      </c>
      <c r="AA573" s="22">
        <f ca="1">IFERROR(Table20[[#This Row],[nominal_exposure]]*Table20[[#This Row],[Delta]],0)</f>
        <v>0</v>
      </c>
      <c r="AB573" s="30" t="b">
        <f>IF(Table20[[#This Row],[date_purchased]]&lt;&gt;Table20[[#This Row],[Expiration Date]],FALSE,TRUE)</f>
        <v>1</v>
      </c>
      <c r="AC573" s="30" t="str">
        <f>VLOOKUP(Table20[[#This Row],[Asset]],Table19[#All],3,FALSE)</f>
        <v>Market</v>
      </c>
      <c r="AD573" s="30">
        <f>IF(Table20[[#This Row],[Remaining]]&lt;&gt;0,Table20[[#This Row],[Invested]]*Table20[[#This Row],[Remaining]]/Table20[[#This Row],[Number of options]],0)</f>
        <v>0</v>
      </c>
      <c r="AE573" s="30">
        <f ca="1">SUMIF(Table20[Ticker],Table20[[#This Row],[Ticker]],Table20[realized_profit])</f>
        <v>-5077</v>
      </c>
      <c r="AF573" s="30" t="str">
        <f>VLOOKUP(Table20[[#This Row],[Strategy]],Table29[#All],7,FALSE)</f>
        <v>Bearish</v>
      </c>
    </row>
    <row r="574" spans="1:32" hidden="1">
      <c r="A574" s="180">
        <v>45828</v>
      </c>
      <c r="B574" s="21" t="e" vm="151">
        <v>#VALUE!</v>
      </c>
      <c r="C574" s="109" t="str" cm="1">
        <f t="array" aca="1" ref="C574" ca="1">_FV(Table20[[#This Row],[Asset]],"Ticker symbol",TRUE)</f>
        <v>TLT</v>
      </c>
      <c r="D574" s="26" cm="1">
        <f t="array" aca="1" ref="D574" ca="1">_FV(Table20[[#This Row],[Asset]],"Price")</f>
        <v>86.743499999999997</v>
      </c>
      <c r="E574" s="26">
        <v>110</v>
      </c>
      <c r="F574" s="33">
        <v>12</v>
      </c>
      <c r="G574" s="34">
        <v>1</v>
      </c>
      <c r="H574" s="34" t="s">
        <v>113</v>
      </c>
      <c r="I574" s="31">
        <v>45546</v>
      </c>
      <c r="J574" s="26">
        <v>0.53</v>
      </c>
      <c r="K574" s="24">
        <v>0.13120000000000001</v>
      </c>
      <c r="L574" s="33">
        <f>VLOOKUP(Table20[[#This Row],[Strategy]],Table29[#All],6,FALSE)</f>
        <v>1</v>
      </c>
      <c r="M574" s="23">
        <v>12</v>
      </c>
      <c r="N574" s="23">
        <v>0</v>
      </c>
      <c r="O574" s="23"/>
      <c r="P574" s="23"/>
      <c r="Q574">
        <f>Table20[[#This Row],[Exit1]]*Table20[[#This Row],[ex1_price]]</f>
        <v>0</v>
      </c>
      <c r="R574">
        <f>Table20[[#This Row],[Exit2]]*Table20[[#This Row],[ex2_price]]</f>
        <v>0</v>
      </c>
      <c r="S574">
        <f>IFERROR((Table20[[#This Row],[ex2_amnt]]+Table20[[#This Row],[ex1_amnt]])/(Table20[[#This Row],[Exit2]]+Table20[[#This Row],[Exit1]]),0)</f>
        <v>0</v>
      </c>
      <c r="T574" s="5">
        <f>(Table20[[#This Row],[Exit1]]+Table20[[#This Row],[Exit2]])*(Table20[[#This Row],[avg_exit_price]]-Table20[[#This Row],[AvePrice]])*100*Table20[[#This Row],[Buy or Sell]]</f>
        <v>-636</v>
      </c>
      <c r="U574" s="5">
        <f>Table20[[#This Row],[Number of options]]*Table20[[#This Row],[AvePrice]]*100*Table20[[#This Row],[Buy or Sell]]</f>
        <v>636</v>
      </c>
      <c r="V574" s="8">
        <f>Table20[[#This Row],[Number of options]]-Table20[[#This Row],[Exit1]]-Table20[[#This Row],[Exit2]]</f>
        <v>0</v>
      </c>
      <c r="W574" s="30">
        <f ca="1">(Table20[[#This Row],[Expiration Date]]-TODAY())/365</f>
        <v>-0.76438356164383559</v>
      </c>
      <c r="X574" s="30" t="e">
        <f ca="1">(LN(Table20[[#This Row],[Current Price]]/Table20[[#This Row],[strike_price]]) + ($B$2 + (Table20[[#This Row],[Vol]]^2)/2)*Table20[[#This Row],[Time to expiration]]) / (Table20[[#This Row],[Vol]] * SQRT(Table20[[#This Row],[Time to expiration]]))</f>
        <v>#NUM!</v>
      </c>
      <c r="Y574" s="30" t="e">
        <f ca="1">IF(Table20[[#This Row],[Direction]]&gt;0, _xlfn.NORM.S.DIST(Table20[[#This Row],[d1]], TRUE), _xlfn.NORM.S.DIST(Table20[[#This Row],[d1]], TRUE) - 1) * Table20[[#This Row],[Buy or Sell]]</f>
        <v>#NUM!</v>
      </c>
      <c r="Z574" s="9">
        <f ca="1">Table20[[#This Row],[Remaining]]*Table20[[#This Row],[Current Price]]*100</f>
        <v>0</v>
      </c>
      <c r="AA574" s="22">
        <f ca="1">IFERROR(Table20[[#This Row],[nominal_exposure]]*Table20[[#This Row],[Delta]],0)</f>
        <v>0</v>
      </c>
      <c r="AB574" s="30" t="b">
        <f>IF(Table20[[#This Row],[date_purchased]]&lt;&gt;Table20[[#This Row],[Expiration Date]],FALSE,TRUE)</f>
        <v>0</v>
      </c>
      <c r="AC574" s="30" t="str">
        <f>VLOOKUP(Table20[[#This Row],[Asset]],Table19[#All],3,FALSE)</f>
        <v>Market</v>
      </c>
      <c r="AD574" s="30">
        <f>IF(Table20[[#This Row],[Remaining]]&lt;&gt;0,Table20[[#This Row],[Invested]]*Table20[[#This Row],[Remaining]]/Table20[[#This Row],[Number of options]],0)</f>
        <v>0</v>
      </c>
      <c r="AE574" s="30">
        <f ca="1">SUMIF(Table20[Ticker],Table20[[#This Row],[Ticker]],Table20[realized_profit])</f>
        <v>-3328.3599999999997</v>
      </c>
      <c r="AF574" s="30" t="str">
        <f>VLOOKUP(Table20[[#This Row],[Strategy]],Table29[#All],7,FALSE)</f>
        <v>Bullish</v>
      </c>
    </row>
    <row r="575" spans="1:32" hidden="1">
      <c r="A575" s="180">
        <v>45828</v>
      </c>
      <c r="B575" s="21" t="e" vm="151">
        <v>#VALUE!</v>
      </c>
      <c r="C575" s="109" t="str" cm="1">
        <f t="array" aca="1" ref="C575" ca="1">_FV(Table20[[#This Row],[Asset]],"Ticker symbol",TRUE)</f>
        <v>TLT</v>
      </c>
      <c r="D575" s="26" cm="1">
        <f t="array" aca="1" ref="D575" ca="1">_FV(Table20[[#This Row],[Asset]],"Price")</f>
        <v>86.743499999999997</v>
      </c>
      <c r="E575" s="26">
        <v>100</v>
      </c>
      <c r="F575" s="33">
        <v>9</v>
      </c>
      <c r="G575" s="34">
        <v>1</v>
      </c>
      <c r="H575" s="34" t="s">
        <v>113</v>
      </c>
      <c r="I575" s="31">
        <v>45602</v>
      </c>
      <c r="J575" s="26">
        <v>2.14</v>
      </c>
      <c r="K575" s="24">
        <v>0.1454</v>
      </c>
      <c r="L575" s="33">
        <f>VLOOKUP(Table20[[#This Row],[Strategy]],Table29[#All],6,FALSE)</f>
        <v>1</v>
      </c>
      <c r="M575" s="23">
        <v>9</v>
      </c>
      <c r="N575" s="23">
        <v>0</v>
      </c>
      <c r="O575" s="23"/>
      <c r="P575" s="23"/>
      <c r="Q575">
        <f>Table20[[#This Row],[Exit1]]*Table20[[#This Row],[ex1_price]]</f>
        <v>0</v>
      </c>
      <c r="R575">
        <f>Table20[[#This Row],[Exit2]]*Table20[[#This Row],[ex2_price]]</f>
        <v>0</v>
      </c>
      <c r="S575">
        <f>IFERROR((Table20[[#This Row],[ex2_amnt]]+Table20[[#This Row],[ex1_amnt]])/(Table20[[#This Row],[Exit2]]+Table20[[#This Row],[Exit1]]),0)</f>
        <v>0</v>
      </c>
      <c r="T575" s="5">
        <f>(Table20[[#This Row],[Exit1]]+Table20[[#This Row],[Exit2]])*(Table20[[#This Row],[avg_exit_price]]-Table20[[#This Row],[AvePrice]])*100*Table20[[#This Row],[Buy or Sell]]</f>
        <v>-1926.0000000000002</v>
      </c>
      <c r="U575" s="5">
        <f>Table20[[#This Row],[Number of options]]*Table20[[#This Row],[AvePrice]]*100*Table20[[#This Row],[Buy or Sell]]</f>
        <v>1926.0000000000002</v>
      </c>
      <c r="V575" s="8">
        <f>Table20[[#This Row],[Number of options]]-Table20[[#This Row],[Exit1]]-Table20[[#This Row],[Exit2]]</f>
        <v>0</v>
      </c>
      <c r="W575" s="30">
        <f ca="1">(Table20[[#This Row],[Expiration Date]]-TODAY())/365</f>
        <v>-0.76438356164383559</v>
      </c>
      <c r="X575" s="30" t="e">
        <f ca="1">(LN(Table20[[#This Row],[Current Price]]/Table20[[#This Row],[strike_price]]) + ($B$2 + (Table20[[#This Row],[Vol]]^2)/2)*Table20[[#This Row],[Time to expiration]]) / (Table20[[#This Row],[Vol]] * SQRT(Table20[[#This Row],[Time to expiration]]))</f>
        <v>#NUM!</v>
      </c>
      <c r="Y575" s="30" t="e">
        <f ca="1">IF(Table20[[#This Row],[Direction]]&gt;0, _xlfn.NORM.S.DIST(Table20[[#This Row],[d1]], TRUE), _xlfn.NORM.S.DIST(Table20[[#This Row],[d1]], TRUE) - 1) * Table20[[#This Row],[Buy or Sell]]</f>
        <v>#NUM!</v>
      </c>
      <c r="Z575" s="9">
        <f ca="1">Table20[[#This Row],[Remaining]]*Table20[[#This Row],[Current Price]]*100</f>
        <v>0</v>
      </c>
      <c r="AA575" s="22">
        <f ca="1">IFERROR(Table20[[#This Row],[nominal_exposure]]*Table20[[#This Row],[Delta]],0)</f>
        <v>0</v>
      </c>
      <c r="AB575" s="30" t="b">
        <f>IF(Table20[[#This Row],[date_purchased]]&lt;&gt;Table20[[#This Row],[Expiration Date]],FALSE,TRUE)</f>
        <v>0</v>
      </c>
      <c r="AC575" s="30" t="str">
        <f>VLOOKUP(Table20[[#This Row],[Asset]],Table19[#All],3,FALSE)</f>
        <v>Market</v>
      </c>
      <c r="AD575" s="30">
        <f>IF(Table20[[#This Row],[Remaining]]&lt;&gt;0,Table20[[#This Row],[Invested]]*Table20[[#This Row],[Remaining]]/Table20[[#This Row],[Number of options]],0)</f>
        <v>0</v>
      </c>
      <c r="AE575" s="30">
        <f ca="1">SUMIF(Table20[Ticker],Table20[[#This Row],[Ticker]],Table20[realized_profit])</f>
        <v>-3328.3599999999997</v>
      </c>
      <c r="AF575" s="30" t="str">
        <f>VLOOKUP(Table20[[#This Row],[Strategy]],Table29[#All],7,FALSE)</f>
        <v>Bullish</v>
      </c>
    </row>
    <row r="576" spans="1:32" hidden="1">
      <c r="A576" s="180">
        <v>45764</v>
      </c>
      <c r="B576" s="21" t="e" vm="159">
        <v>#VALUE!</v>
      </c>
      <c r="C576" s="109" t="str" cm="1">
        <f t="array" aca="1" ref="C576" ca="1">_FV(Table20[[#This Row],[Asset]],"Ticker symbol",TRUE)</f>
        <v>BABA</v>
      </c>
      <c r="D576" s="26" cm="1">
        <f t="array" aca="1" ref="D576" ca="1">_FV(Table20[[#This Row],[Asset]],"Price")</f>
        <v>129.63999999999999</v>
      </c>
      <c r="E576" s="26">
        <v>108</v>
      </c>
      <c r="F576" s="33">
        <v>2</v>
      </c>
      <c r="G576" s="34">
        <v>1</v>
      </c>
      <c r="H576" s="34" t="s">
        <v>65</v>
      </c>
      <c r="I576" s="31">
        <v>45763</v>
      </c>
      <c r="J576" s="26">
        <v>1.47</v>
      </c>
      <c r="K576" s="24"/>
      <c r="L576" s="33">
        <f>VLOOKUP(Table20[[#This Row],[Strategy]],Table29[#All],6,FALSE)</f>
        <v>-1</v>
      </c>
      <c r="M576" s="23">
        <v>2</v>
      </c>
      <c r="N576" s="23">
        <v>0</v>
      </c>
      <c r="O576" s="23"/>
      <c r="P576" s="23"/>
      <c r="Q576">
        <f>Table20[[#This Row],[Exit1]]*Table20[[#This Row],[ex1_price]]</f>
        <v>0</v>
      </c>
      <c r="R576">
        <f>Table20[[#This Row],[Exit2]]*Table20[[#This Row],[ex2_price]]</f>
        <v>0</v>
      </c>
      <c r="S576">
        <f>IFERROR((Table20[[#This Row],[ex2_amnt]]+Table20[[#This Row],[ex1_amnt]])/(Table20[[#This Row],[Exit2]]+Table20[[#This Row],[Exit1]]),0)</f>
        <v>0</v>
      </c>
      <c r="T576" s="5">
        <f>(Table20[[#This Row],[Exit1]]+Table20[[#This Row],[Exit2]])*(Table20[[#This Row],[avg_exit_price]]-Table20[[#This Row],[AvePrice]])*100*Table20[[#This Row],[Buy or Sell]]</f>
        <v>-294</v>
      </c>
      <c r="U576" s="5">
        <f>Table20[[#This Row],[Number of options]]*Table20[[#This Row],[AvePrice]]*100*Table20[[#This Row],[Buy or Sell]]</f>
        <v>294</v>
      </c>
      <c r="V576" s="8">
        <f>Table20[[#This Row],[Number of options]]-Table20[[#This Row],[Exit1]]-Table20[[#This Row],[Exit2]]</f>
        <v>0</v>
      </c>
      <c r="W576" s="30">
        <f ca="1">(Table20[[#This Row],[Expiration Date]]-TODAY())/365</f>
        <v>-0.9397260273972603</v>
      </c>
      <c r="X576" s="30" t="e">
        <f ca="1">(LN(Table20[[#This Row],[Current Price]]/Table20[[#This Row],[strike_price]]) + ($B$2 + (Table20[[#This Row],[Vol]]^2)/2)*Table20[[#This Row],[Time to expiration]]) / (Table20[[#This Row],[Vol]] * SQRT(Table20[[#This Row],[Time to expiration]]))</f>
        <v>#NUM!</v>
      </c>
      <c r="Y576" s="30" t="e">
        <f ca="1">IF(Table20[[#This Row],[Direction]]&gt;0, _xlfn.NORM.S.DIST(Table20[[#This Row],[d1]], TRUE), _xlfn.NORM.S.DIST(Table20[[#This Row],[d1]], TRUE) - 1) * Table20[[#This Row],[Buy or Sell]]</f>
        <v>#NUM!</v>
      </c>
      <c r="Z576" s="9">
        <f ca="1">Table20[[#This Row],[Remaining]]*Table20[[#This Row],[Current Price]]*100</f>
        <v>0</v>
      </c>
      <c r="AA576" s="22">
        <f ca="1">IFERROR(Table20[[#This Row],[nominal_exposure]]*Table20[[#This Row],[Delta]],0)</f>
        <v>0</v>
      </c>
      <c r="AB576" s="30" t="b">
        <f>IF(Table20[[#This Row],[date_purchased]]&lt;&gt;Table20[[#This Row],[Expiration Date]],FALSE,TRUE)</f>
        <v>0</v>
      </c>
      <c r="AC576" s="30" t="str">
        <f>VLOOKUP(Table20[[#This Row],[Asset]],Table19[#All],3,FALSE)</f>
        <v>China</v>
      </c>
      <c r="AD576" s="30">
        <f>IF(Table20[[#This Row],[Remaining]]&lt;&gt;0,Table20[[#This Row],[Invested]]*Table20[[#This Row],[Remaining]]/Table20[[#This Row],[Number of options]],0)</f>
        <v>0</v>
      </c>
      <c r="AE576" s="30">
        <f ca="1">SUMIF(Table20[Ticker],Table20[[#This Row],[Ticker]],Table20[realized_profit])</f>
        <v>5855</v>
      </c>
      <c r="AF576" s="30" t="str">
        <f>VLOOKUP(Table20[[#This Row],[Strategy]],Table29[#All],7,FALSE)</f>
        <v>Bearish</v>
      </c>
    </row>
    <row r="577" spans="1:32" hidden="1">
      <c r="A577" s="180">
        <v>45764</v>
      </c>
      <c r="B577" s="21" t="e" vm="139">
        <v>#VALUE!</v>
      </c>
      <c r="C577" s="109" t="str" cm="1">
        <f t="array" aca="1" ref="C577" ca="1">_FV(Table20[[#This Row],[Asset]],"Ticker symbol",TRUE)</f>
        <v>WMT</v>
      </c>
      <c r="D577" s="26" cm="1">
        <f t="array" aca="1" ref="D577" ca="1">_FV(Table20[[#This Row],[Asset]],"Price")</f>
        <v>122.55500000000001</v>
      </c>
      <c r="E577" s="26">
        <v>93</v>
      </c>
      <c r="F577" s="33">
        <v>1</v>
      </c>
      <c r="G577" s="34">
        <v>1</v>
      </c>
      <c r="H577" s="34" t="s">
        <v>65</v>
      </c>
      <c r="I577" s="31">
        <v>45763</v>
      </c>
      <c r="J577" s="26">
        <v>0.84</v>
      </c>
      <c r="K577" s="24"/>
      <c r="L577" s="33">
        <f>VLOOKUP(Table20[[#This Row],[Strategy]],Table29[#All],6,FALSE)</f>
        <v>-1</v>
      </c>
      <c r="M577" s="23">
        <v>1</v>
      </c>
      <c r="N577" s="23">
        <v>1.17</v>
      </c>
      <c r="O577" s="23"/>
      <c r="P577" s="23"/>
      <c r="Q577">
        <f>Table20[[#This Row],[Exit1]]*Table20[[#This Row],[ex1_price]]</f>
        <v>1.17</v>
      </c>
      <c r="R577">
        <f>Table20[[#This Row],[Exit2]]*Table20[[#This Row],[ex2_price]]</f>
        <v>0</v>
      </c>
      <c r="S577">
        <f>IFERROR((Table20[[#This Row],[ex2_amnt]]+Table20[[#This Row],[ex1_amnt]])/(Table20[[#This Row],[Exit2]]+Table20[[#This Row],[Exit1]]),0)</f>
        <v>1.17</v>
      </c>
      <c r="T577" s="5">
        <f>(Table20[[#This Row],[Exit1]]+Table20[[#This Row],[Exit2]])*(Table20[[#This Row],[avg_exit_price]]-Table20[[#This Row],[AvePrice]])*100*Table20[[#This Row],[Buy or Sell]]</f>
        <v>32.999999999999993</v>
      </c>
      <c r="U577" s="5">
        <f>Table20[[#This Row],[Number of options]]*Table20[[#This Row],[AvePrice]]*100*Table20[[#This Row],[Buy or Sell]]</f>
        <v>84</v>
      </c>
      <c r="V577" s="8">
        <f>Table20[[#This Row],[Number of options]]-Table20[[#This Row],[Exit1]]-Table20[[#This Row],[Exit2]]</f>
        <v>0</v>
      </c>
      <c r="W577" s="30">
        <f ca="1">(Table20[[#This Row],[Expiration Date]]-TODAY())/365</f>
        <v>-0.9397260273972603</v>
      </c>
      <c r="X577" s="30" t="e">
        <f ca="1">(LN(Table20[[#This Row],[Current Price]]/Table20[[#This Row],[strike_price]]) + ($B$2 + (Table20[[#This Row],[Vol]]^2)/2)*Table20[[#This Row],[Time to expiration]]) / (Table20[[#This Row],[Vol]] * SQRT(Table20[[#This Row],[Time to expiration]]))</f>
        <v>#NUM!</v>
      </c>
      <c r="Y577" s="30" t="e">
        <f ca="1">IF(Table20[[#This Row],[Direction]]&gt;0, _xlfn.NORM.S.DIST(Table20[[#This Row],[d1]], TRUE), _xlfn.NORM.S.DIST(Table20[[#This Row],[d1]], TRUE) - 1) * Table20[[#This Row],[Buy or Sell]]</f>
        <v>#NUM!</v>
      </c>
      <c r="Z577" s="9">
        <f ca="1">Table20[[#This Row],[Remaining]]*Table20[[#This Row],[Current Price]]*100</f>
        <v>0</v>
      </c>
      <c r="AA577" s="22">
        <f ca="1">IFERROR(Table20[[#This Row],[nominal_exposure]]*Table20[[#This Row],[Delta]],0)</f>
        <v>0</v>
      </c>
      <c r="AB577" s="30" t="b">
        <f>IF(Table20[[#This Row],[date_purchased]]&lt;&gt;Table20[[#This Row],[Expiration Date]],FALSE,TRUE)</f>
        <v>0</v>
      </c>
      <c r="AC577" s="30" t="str">
        <f>VLOOKUP(Table20[[#This Row],[Asset]],Table19[#All],3,FALSE)</f>
        <v>Consumer Staples</v>
      </c>
      <c r="AD577" s="30">
        <f>IF(Table20[[#This Row],[Remaining]]&lt;&gt;0,Table20[[#This Row],[Invested]]*Table20[[#This Row],[Remaining]]/Table20[[#This Row],[Number of options]],0)</f>
        <v>0</v>
      </c>
      <c r="AE577" s="30">
        <f ca="1">SUMIF(Table20[Ticker],Table20[[#This Row],[Ticker]],Table20[realized_profit])</f>
        <v>-838.16</v>
      </c>
      <c r="AF577" s="30" t="str">
        <f>VLOOKUP(Table20[[#This Row],[Strategy]],Table29[#All],7,FALSE)</f>
        <v>Bearish</v>
      </c>
    </row>
    <row r="578" spans="1:32" hidden="1">
      <c r="A578" s="180">
        <v>45764</v>
      </c>
      <c r="B578" s="21" t="e" vm="144">
        <v>#VALUE!</v>
      </c>
      <c r="C578" s="109" t="str" cm="1">
        <f t="array" aca="1" ref="C578" ca="1">_FV(Table20[[#This Row],[Asset]],"Ticker symbol",TRUE)</f>
        <v>AAPL</v>
      </c>
      <c r="D578" s="26" cm="1">
        <f t="array" aca="1" ref="D578" ca="1">_FV(Table20[[#This Row],[Asset]],"Price")</f>
        <v>253.2</v>
      </c>
      <c r="E578" s="26">
        <v>190</v>
      </c>
      <c r="F578" s="33">
        <v>2</v>
      </c>
      <c r="G578" s="34">
        <v>1</v>
      </c>
      <c r="H578" s="34" t="s">
        <v>65</v>
      </c>
      <c r="I578" s="31">
        <v>45763</v>
      </c>
      <c r="J578" s="26">
        <v>0.76</v>
      </c>
      <c r="K578" s="24"/>
      <c r="L578" s="33">
        <f>VLOOKUP(Table20[[#This Row],[Strategy]],Table29[#All],6,FALSE)</f>
        <v>-1</v>
      </c>
      <c r="M578" s="23">
        <v>2</v>
      </c>
      <c r="N578" s="23">
        <v>1.28</v>
      </c>
      <c r="O578" s="23"/>
      <c r="P578" s="23"/>
      <c r="Q578">
        <f>Table20[[#This Row],[Exit1]]*Table20[[#This Row],[ex1_price]]</f>
        <v>2.56</v>
      </c>
      <c r="R578">
        <f>Table20[[#This Row],[Exit2]]*Table20[[#This Row],[ex2_price]]</f>
        <v>0</v>
      </c>
      <c r="S578">
        <f>IFERROR((Table20[[#This Row],[ex2_amnt]]+Table20[[#This Row],[ex1_amnt]])/(Table20[[#This Row],[Exit2]]+Table20[[#This Row],[Exit1]]),0)</f>
        <v>1.28</v>
      </c>
      <c r="T578" s="5">
        <f>(Table20[[#This Row],[Exit1]]+Table20[[#This Row],[Exit2]])*(Table20[[#This Row],[avg_exit_price]]-Table20[[#This Row],[AvePrice]])*100*Table20[[#This Row],[Buy or Sell]]</f>
        <v>104</v>
      </c>
      <c r="U578" s="5">
        <f>Table20[[#This Row],[Number of options]]*Table20[[#This Row],[AvePrice]]*100*Table20[[#This Row],[Buy or Sell]]</f>
        <v>152</v>
      </c>
      <c r="V578" s="8">
        <f>Table20[[#This Row],[Number of options]]-Table20[[#This Row],[Exit1]]-Table20[[#This Row],[Exit2]]</f>
        <v>0</v>
      </c>
      <c r="W578" s="30">
        <f ca="1">(Table20[[#This Row],[Expiration Date]]-TODAY())/365</f>
        <v>-0.9397260273972603</v>
      </c>
      <c r="X578" s="30" t="e">
        <f ca="1">(LN(Table20[[#This Row],[Current Price]]/Table20[[#This Row],[strike_price]]) + ($B$2 + (Table20[[#This Row],[Vol]]^2)/2)*Table20[[#This Row],[Time to expiration]]) / (Table20[[#This Row],[Vol]] * SQRT(Table20[[#This Row],[Time to expiration]]))</f>
        <v>#NUM!</v>
      </c>
      <c r="Y578" s="30" t="e">
        <f ca="1">IF(Table20[[#This Row],[Direction]]&gt;0, _xlfn.NORM.S.DIST(Table20[[#This Row],[d1]], TRUE), _xlfn.NORM.S.DIST(Table20[[#This Row],[d1]], TRUE) - 1) * Table20[[#This Row],[Buy or Sell]]</f>
        <v>#NUM!</v>
      </c>
      <c r="Z578" s="9">
        <f ca="1">Table20[[#This Row],[Remaining]]*Table20[[#This Row],[Current Price]]*100</f>
        <v>0</v>
      </c>
      <c r="AA578" s="22">
        <f ca="1">IFERROR(Table20[[#This Row],[nominal_exposure]]*Table20[[#This Row],[Delta]],0)</f>
        <v>0</v>
      </c>
      <c r="AB578" s="30" t="b">
        <f>IF(Table20[[#This Row],[date_purchased]]&lt;&gt;Table20[[#This Row],[Expiration Date]],FALSE,TRUE)</f>
        <v>0</v>
      </c>
      <c r="AC578" s="30" t="str">
        <f>VLOOKUP(Table20[[#This Row],[Asset]],Table19[#All],3,FALSE)</f>
        <v>AI</v>
      </c>
      <c r="AD578" s="30">
        <f>IF(Table20[[#This Row],[Remaining]]&lt;&gt;0,Table20[[#This Row],[Invested]]*Table20[[#This Row],[Remaining]]/Table20[[#This Row],[Number of options]],0)</f>
        <v>0</v>
      </c>
      <c r="AE578" s="30">
        <f ca="1">SUMIF(Table20[Ticker],Table20[[#This Row],[Ticker]],Table20[realized_profit])</f>
        <v>-153.9999999999996</v>
      </c>
      <c r="AF578" s="30" t="str">
        <f>VLOOKUP(Table20[[#This Row],[Strategy]],Table29[#All],7,FALSE)</f>
        <v>Bearish</v>
      </c>
    </row>
    <row r="579" spans="1:32" hidden="1">
      <c r="A579" s="180">
        <v>45828</v>
      </c>
      <c r="B579" s="21" t="e" vm="84">
        <v>#VALUE!</v>
      </c>
      <c r="C579" s="109" t="str" cm="1">
        <f t="array" aca="1" ref="C579" ca="1">_FV(Table20[[#This Row],[Asset]],"Ticker symbol",TRUE)</f>
        <v>COIN</v>
      </c>
      <c r="D579" s="26" cm="1">
        <f t="array" aca="1" ref="D579" ca="1">_FV(Table20[[#This Row],[Asset]],"Price")</f>
        <v>188</v>
      </c>
      <c r="E579" s="26">
        <v>300</v>
      </c>
      <c r="F579" s="33">
        <v>1</v>
      </c>
      <c r="G579" s="34">
        <v>-1</v>
      </c>
      <c r="H579" s="34" t="s">
        <v>114</v>
      </c>
      <c r="I579" s="31">
        <v>45769</v>
      </c>
      <c r="J579" s="26">
        <v>2.16</v>
      </c>
      <c r="K579" s="24"/>
      <c r="L579" s="33">
        <f>VLOOKUP(Table20[[#This Row],[Strategy]],Table29[#All],6,FALSE)</f>
        <v>1</v>
      </c>
      <c r="M579" s="23">
        <v>1</v>
      </c>
      <c r="N579" s="23">
        <v>8.5500000000000007</v>
      </c>
      <c r="O579" s="23"/>
      <c r="P579" s="23"/>
      <c r="Q579">
        <f>Table20[[#This Row],[Exit1]]*Table20[[#This Row],[ex1_price]]</f>
        <v>8.5500000000000007</v>
      </c>
      <c r="R579">
        <f>Table20[[#This Row],[Exit2]]*Table20[[#This Row],[ex2_price]]</f>
        <v>0</v>
      </c>
      <c r="S579">
        <f>IFERROR((Table20[[#This Row],[ex2_amnt]]+Table20[[#This Row],[ex1_amnt]])/(Table20[[#This Row],[Exit2]]+Table20[[#This Row],[Exit1]]),0)</f>
        <v>8.5500000000000007</v>
      </c>
      <c r="T579" s="5">
        <f>(Table20[[#This Row],[Exit1]]+Table20[[#This Row],[Exit2]])*(Table20[[#This Row],[avg_exit_price]]-Table20[[#This Row],[AvePrice]])*100*Table20[[#This Row],[Buy or Sell]]</f>
        <v>-639</v>
      </c>
      <c r="U579" s="5">
        <f>Table20[[#This Row],[Number of options]]*Table20[[#This Row],[AvePrice]]*100*Table20[[#This Row],[Buy or Sell]]</f>
        <v>-216</v>
      </c>
      <c r="V579" s="8">
        <f>Table20[[#This Row],[Number of options]]-Table20[[#This Row],[Exit1]]-Table20[[#This Row],[Exit2]]</f>
        <v>0</v>
      </c>
      <c r="W579" s="30">
        <f ca="1">(Table20[[#This Row],[Expiration Date]]-TODAY())/365</f>
        <v>-0.76438356164383559</v>
      </c>
      <c r="X579" s="30" t="e">
        <f ca="1">(LN(Table20[[#This Row],[Current Price]]/Table20[[#This Row],[strike_price]]) + ($B$2 + (Table20[[#This Row],[Vol]]^2)/2)*Table20[[#This Row],[Time to expiration]]) / (Table20[[#This Row],[Vol]] * SQRT(Table20[[#This Row],[Time to expiration]]))</f>
        <v>#NUM!</v>
      </c>
      <c r="Y579" s="30" t="e">
        <f ca="1">IF(Table20[[#This Row],[Direction]]&gt;0, _xlfn.NORM.S.DIST(Table20[[#This Row],[d1]], TRUE), _xlfn.NORM.S.DIST(Table20[[#This Row],[d1]], TRUE) - 1) * Table20[[#This Row],[Buy or Sell]]</f>
        <v>#NUM!</v>
      </c>
      <c r="Z579" s="9">
        <f ca="1">Table20[[#This Row],[Remaining]]*Table20[[#This Row],[Current Price]]*100</f>
        <v>0</v>
      </c>
      <c r="AA579" s="22">
        <f ca="1">IFERROR(Table20[[#This Row],[nominal_exposure]]*Table20[[#This Row],[Delta]],0)</f>
        <v>0</v>
      </c>
      <c r="AB579" s="30" t="b">
        <f>IF(Table20[[#This Row],[date_purchased]]&lt;&gt;Table20[[#This Row],[Expiration Date]],FALSE,TRUE)</f>
        <v>0</v>
      </c>
      <c r="AC579" s="30" t="str">
        <f>VLOOKUP(Table20[[#This Row],[Asset]],Table19[#All],3,FALSE)</f>
        <v>Financials</v>
      </c>
      <c r="AD579" s="30">
        <f>IF(Table20[[#This Row],[Remaining]]&lt;&gt;0,Table20[[#This Row],[Invested]]*Table20[[#This Row],[Remaining]]/Table20[[#This Row],[Number of options]],0)</f>
        <v>0</v>
      </c>
      <c r="AE579" s="30">
        <f ca="1">SUMIF(Table20[Ticker],Table20[[#This Row],[Ticker]],Table20[realized_profit])</f>
        <v>4035</v>
      </c>
      <c r="AF579" s="30" t="str">
        <f>VLOOKUP(Table20[[#This Row],[Strategy]],Table29[#All],7,FALSE)</f>
        <v>Bullish</v>
      </c>
    </row>
    <row r="580" spans="1:32" hidden="1">
      <c r="A580" s="180">
        <v>45772</v>
      </c>
      <c r="B580" s="21" t="e" vm="159">
        <v>#VALUE!</v>
      </c>
      <c r="C580" s="109" t="str" cm="1">
        <f t="array" aca="1" ref="C580" ca="1">_FV(Table20[[#This Row],[Asset]],"Ticker symbol",TRUE)</f>
        <v>BABA</v>
      </c>
      <c r="D580" s="26" cm="1">
        <f t="array" aca="1" ref="D580" ca="1">_FV(Table20[[#This Row],[Asset]],"Price")</f>
        <v>129.63999999999999</v>
      </c>
      <c r="E580" s="26">
        <v>100</v>
      </c>
      <c r="F580" s="33">
        <v>3</v>
      </c>
      <c r="G580" s="34">
        <v>1</v>
      </c>
      <c r="H580" s="34" t="s">
        <v>65</v>
      </c>
      <c r="I580" s="31">
        <v>45763</v>
      </c>
      <c r="J580" s="26">
        <v>1.52</v>
      </c>
      <c r="K580" s="24"/>
      <c r="L580" s="33">
        <f>VLOOKUP(Table20[[#This Row],[Strategy]],Table29[#All],6,FALSE)</f>
        <v>-1</v>
      </c>
      <c r="M580" s="23">
        <v>3</v>
      </c>
      <c r="N580" s="23">
        <v>0.62</v>
      </c>
      <c r="O580" s="23"/>
      <c r="P580" s="23"/>
      <c r="Q580">
        <f>Table20[[#This Row],[Exit1]]*Table20[[#This Row],[ex1_price]]</f>
        <v>1.8599999999999999</v>
      </c>
      <c r="R580">
        <f>Table20[[#This Row],[Exit2]]*Table20[[#This Row],[ex2_price]]</f>
        <v>0</v>
      </c>
      <c r="S580">
        <f>IFERROR((Table20[[#This Row],[ex2_amnt]]+Table20[[#This Row],[ex1_amnt]])/(Table20[[#This Row],[Exit2]]+Table20[[#This Row],[Exit1]]),0)</f>
        <v>0.62</v>
      </c>
      <c r="T580" s="5">
        <f>(Table20[[#This Row],[Exit1]]+Table20[[#This Row],[Exit2]])*(Table20[[#This Row],[avg_exit_price]]-Table20[[#This Row],[AvePrice]])*100*Table20[[#This Row],[Buy or Sell]]</f>
        <v>-270</v>
      </c>
      <c r="U580" s="5">
        <f>Table20[[#This Row],[Number of options]]*Table20[[#This Row],[AvePrice]]*100*Table20[[#This Row],[Buy or Sell]]</f>
        <v>456.00000000000006</v>
      </c>
      <c r="V580" s="8">
        <f>Table20[[#This Row],[Number of options]]-Table20[[#This Row],[Exit1]]-Table20[[#This Row],[Exit2]]</f>
        <v>0</v>
      </c>
      <c r="W580" s="30">
        <f ca="1">(Table20[[#This Row],[Expiration Date]]-TODAY())/365</f>
        <v>-0.9178082191780822</v>
      </c>
      <c r="X580" s="30" t="e">
        <f ca="1">(LN(Table20[[#This Row],[Current Price]]/Table20[[#This Row],[strike_price]]) + ($B$2 + (Table20[[#This Row],[Vol]]^2)/2)*Table20[[#This Row],[Time to expiration]]) / (Table20[[#This Row],[Vol]] * SQRT(Table20[[#This Row],[Time to expiration]]))</f>
        <v>#NUM!</v>
      </c>
      <c r="Y580" s="30" t="e">
        <f ca="1">IF(Table20[[#This Row],[Direction]]&gt;0, _xlfn.NORM.S.DIST(Table20[[#This Row],[d1]], TRUE), _xlfn.NORM.S.DIST(Table20[[#This Row],[d1]], TRUE) - 1) * Table20[[#This Row],[Buy or Sell]]</f>
        <v>#NUM!</v>
      </c>
      <c r="Z580" s="9">
        <f ca="1">Table20[[#This Row],[Remaining]]*Table20[[#This Row],[Current Price]]*100</f>
        <v>0</v>
      </c>
      <c r="AA580" s="22">
        <f ca="1">IFERROR(Table20[[#This Row],[nominal_exposure]]*Table20[[#This Row],[Delta]],0)</f>
        <v>0</v>
      </c>
      <c r="AB580" s="30" t="b">
        <f>IF(Table20[[#This Row],[date_purchased]]&lt;&gt;Table20[[#This Row],[Expiration Date]],FALSE,TRUE)</f>
        <v>0</v>
      </c>
      <c r="AC580" s="30" t="str">
        <f>VLOOKUP(Table20[[#This Row],[Asset]],Table19[#All],3,FALSE)</f>
        <v>China</v>
      </c>
      <c r="AD580" s="30">
        <f>IF(Table20[[#This Row],[Remaining]]&lt;&gt;0,Table20[[#This Row],[Invested]]*Table20[[#This Row],[Remaining]]/Table20[[#This Row],[Number of options]],0)</f>
        <v>0</v>
      </c>
      <c r="AE580" s="30">
        <f ca="1">SUMIF(Table20[Ticker],Table20[[#This Row],[Ticker]],Table20[realized_profit])</f>
        <v>5855</v>
      </c>
      <c r="AF580" s="30" t="str">
        <f>VLOOKUP(Table20[[#This Row],[Strategy]],Table29[#All],7,FALSE)</f>
        <v>Bearish</v>
      </c>
    </row>
    <row r="581" spans="1:32" hidden="1">
      <c r="A581" s="180">
        <v>45764</v>
      </c>
      <c r="B581" s="21" t="e" vm="446">
        <v>#VALUE!</v>
      </c>
      <c r="C581" s="109" t="str" cm="1">
        <f t="array" aca="1" ref="C581" ca="1">_FV(Table20[[#This Row],[Asset]],"Ticker symbol",TRUE)</f>
        <v>RDDT</v>
      </c>
      <c r="D581" s="26" cm="1">
        <f t="array" aca="1" ref="D581" ca="1">_FV(Table20[[#This Row],[Asset]],"Price")</f>
        <v>143.06</v>
      </c>
      <c r="E581" s="26">
        <v>90</v>
      </c>
      <c r="F581" s="33">
        <v>1</v>
      </c>
      <c r="G581" s="34">
        <v>1</v>
      </c>
      <c r="H581" s="34" t="s">
        <v>65</v>
      </c>
      <c r="I581" s="31">
        <v>45763</v>
      </c>
      <c r="J581" s="26">
        <v>1.08</v>
      </c>
      <c r="K581" s="24"/>
      <c r="L581" s="33">
        <f>VLOOKUP(Table20[[#This Row],[Strategy]],Table29[#All],6,FALSE)</f>
        <v>-1</v>
      </c>
      <c r="M581" s="23">
        <v>1</v>
      </c>
      <c r="N581" s="23">
        <v>0.36</v>
      </c>
      <c r="O581" s="23"/>
      <c r="P581" s="23"/>
      <c r="Q581">
        <f>Table20[[#This Row],[Exit1]]*Table20[[#This Row],[ex1_price]]</f>
        <v>0.36</v>
      </c>
      <c r="R581">
        <f>Table20[[#This Row],[Exit2]]*Table20[[#This Row],[ex2_price]]</f>
        <v>0</v>
      </c>
      <c r="S581">
        <f>IFERROR((Table20[[#This Row],[ex2_amnt]]+Table20[[#This Row],[ex1_amnt]])/(Table20[[#This Row],[Exit2]]+Table20[[#This Row],[Exit1]]),0)</f>
        <v>0.36</v>
      </c>
      <c r="T581" s="5">
        <f>(Table20[[#This Row],[Exit1]]+Table20[[#This Row],[Exit2]])*(Table20[[#This Row],[avg_exit_price]]-Table20[[#This Row],[AvePrice]])*100*Table20[[#This Row],[Buy or Sell]]</f>
        <v>-72.000000000000014</v>
      </c>
      <c r="U581" s="5">
        <f>Table20[[#This Row],[Number of options]]*Table20[[#This Row],[AvePrice]]*100*Table20[[#This Row],[Buy or Sell]]</f>
        <v>108</v>
      </c>
      <c r="V581" s="8">
        <f>Table20[[#This Row],[Number of options]]-Table20[[#This Row],[Exit1]]-Table20[[#This Row],[Exit2]]</f>
        <v>0</v>
      </c>
      <c r="W581" s="30">
        <f ca="1">(Table20[[#This Row],[Expiration Date]]-TODAY())/365</f>
        <v>-0.9397260273972603</v>
      </c>
      <c r="X581" s="30" t="e">
        <f ca="1">(LN(Table20[[#This Row],[Current Price]]/Table20[[#This Row],[strike_price]]) + ($B$2 + (Table20[[#This Row],[Vol]]^2)/2)*Table20[[#This Row],[Time to expiration]]) / (Table20[[#This Row],[Vol]] * SQRT(Table20[[#This Row],[Time to expiration]]))</f>
        <v>#NUM!</v>
      </c>
      <c r="Y581" s="30" t="e">
        <f ca="1">IF(Table20[[#This Row],[Direction]]&gt;0, _xlfn.NORM.S.DIST(Table20[[#This Row],[d1]], TRUE), _xlfn.NORM.S.DIST(Table20[[#This Row],[d1]], TRUE) - 1) * Table20[[#This Row],[Buy or Sell]]</f>
        <v>#NUM!</v>
      </c>
      <c r="Z581" s="9">
        <f ca="1">Table20[[#This Row],[Remaining]]*Table20[[#This Row],[Current Price]]*100</f>
        <v>0</v>
      </c>
      <c r="AA581" s="22">
        <f ca="1">IFERROR(Table20[[#This Row],[nominal_exposure]]*Table20[[#This Row],[Delta]],0)</f>
        <v>0</v>
      </c>
      <c r="AB581" s="30" t="b">
        <f>IF(Table20[[#This Row],[date_purchased]]&lt;&gt;Table20[[#This Row],[Expiration Date]],FALSE,TRUE)</f>
        <v>0</v>
      </c>
      <c r="AC581" s="30" t="str">
        <f>VLOOKUP(Table20[[#This Row],[Asset]],Table19[#All],3,FALSE)</f>
        <v>Technology</v>
      </c>
      <c r="AD581" s="30">
        <f>IF(Table20[[#This Row],[Remaining]]&lt;&gt;0,Table20[[#This Row],[Invested]]*Table20[[#This Row],[Remaining]]/Table20[[#This Row],[Number of options]],0)</f>
        <v>0</v>
      </c>
      <c r="AE581" s="30">
        <f ca="1">SUMIF(Table20[Ticker],Table20[[#This Row],[Ticker]],Table20[realized_profit])</f>
        <v>1766.0000000000002</v>
      </c>
      <c r="AF581" s="30" t="str">
        <f>VLOOKUP(Table20[[#This Row],[Strategy]],Table29[#All],7,FALSE)</f>
        <v>Bearish</v>
      </c>
    </row>
    <row r="582" spans="1:32" hidden="1">
      <c r="A582" s="180">
        <v>45772</v>
      </c>
      <c r="B582" s="21" t="e" vm="144">
        <v>#VALUE!</v>
      </c>
      <c r="C582" s="109" t="str" cm="1">
        <f t="array" aca="1" ref="C582" ca="1">_FV(Table20[[#This Row],[Asset]],"Ticker symbol",TRUE)</f>
        <v>AAPL</v>
      </c>
      <c r="D582" s="26" cm="1">
        <f t="array" aca="1" ref="D582" ca="1">_FV(Table20[[#This Row],[Asset]],"Price")</f>
        <v>253.2</v>
      </c>
      <c r="E582" s="26">
        <v>185</v>
      </c>
      <c r="F582" s="33">
        <v>1</v>
      </c>
      <c r="G582" s="34">
        <v>1</v>
      </c>
      <c r="H582" s="34" t="s">
        <v>65</v>
      </c>
      <c r="I582" s="31">
        <v>45763</v>
      </c>
      <c r="J582" s="26">
        <v>2.7</v>
      </c>
      <c r="K582" s="24"/>
      <c r="L582" s="33">
        <f>VLOOKUP(Table20[[#This Row],[Strategy]],Table29[#All],6,FALSE)</f>
        <v>-1</v>
      </c>
      <c r="M582" s="23">
        <v>1</v>
      </c>
      <c r="N582" s="23">
        <v>0.99</v>
      </c>
      <c r="O582" s="23"/>
      <c r="P582" s="23"/>
      <c r="Q582">
        <f>Table20[[#This Row],[Exit1]]*Table20[[#This Row],[ex1_price]]</f>
        <v>0.99</v>
      </c>
      <c r="R582">
        <f>Table20[[#This Row],[Exit2]]*Table20[[#This Row],[ex2_price]]</f>
        <v>0</v>
      </c>
      <c r="S582">
        <f>IFERROR((Table20[[#This Row],[ex2_amnt]]+Table20[[#This Row],[ex1_amnt]])/(Table20[[#This Row],[Exit2]]+Table20[[#This Row],[Exit1]]),0)</f>
        <v>0.99</v>
      </c>
      <c r="T582" s="5">
        <f>(Table20[[#This Row],[Exit1]]+Table20[[#This Row],[Exit2]])*(Table20[[#This Row],[avg_exit_price]]-Table20[[#This Row],[AvePrice]])*100*Table20[[#This Row],[Buy or Sell]]</f>
        <v>-171.00000000000003</v>
      </c>
      <c r="U582" s="5">
        <f>Table20[[#This Row],[Number of options]]*Table20[[#This Row],[AvePrice]]*100*Table20[[#This Row],[Buy or Sell]]</f>
        <v>270</v>
      </c>
      <c r="V582" s="8">
        <f>Table20[[#This Row],[Number of options]]-Table20[[#This Row],[Exit1]]-Table20[[#This Row],[Exit2]]</f>
        <v>0</v>
      </c>
      <c r="W582" s="30">
        <f ca="1">(Table20[[#This Row],[Expiration Date]]-TODAY())/365</f>
        <v>-0.9178082191780822</v>
      </c>
      <c r="X582" s="30" t="e">
        <f ca="1">(LN(Table20[[#This Row],[Current Price]]/Table20[[#This Row],[strike_price]]) + ($B$2 + (Table20[[#This Row],[Vol]]^2)/2)*Table20[[#This Row],[Time to expiration]]) / (Table20[[#This Row],[Vol]] * SQRT(Table20[[#This Row],[Time to expiration]]))</f>
        <v>#NUM!</v>
      </c>
      <c r="Y582" s="30" t="e">
        <f ca="1">IF(Table20[[#This Row],[Direction]]&gt;0, _xlfn.NORM.S.DIST(Table20[[#This Row],[d1]], TRUE), _xlfn.NORM.S.DIST(Table20[[#This Row],[d1]], TRUE) - 1) * Table20[[#This Row],[Buy or Sell]]</f>
        <v>#NUM!</v>
      </c>
      <c r="Z582" s="9">
        <f ca="1">Table20[[#This Row],[Remaining]]*Table20[[#This Row],[Current Price]]*100</f>
        <v>0</v>
      </c>
      <c r="AA582" s="22">
        <f ca="1">IFERROR(Table20[[#This Row],[nominal_exposure]]*Table20[[#This Row],[Delta]],0)</f>
        <v>0</v>
      </c>
      <c r="AB582" s="30" t="b">
        <f>IF(Table20[[#This Row],[date_purchased]]&lt;&gt;Table20[[#This Row],[Expiration Date]],FALSE,TRUE)</f>
        <v>0</v>
      </c>
      <c r="AC582" s="30" t="str">
        <f>VLOOKUP(Table20[[#This Row],[Asset]],Table19[#All],3,FALSE)</f>
        <v>AI</v>
      </c>
      <c r="AD582" s="30">
        <f>IF(Table20[[#This Row],[Remaining]]&lt;&gt;0,Table20[[#This Row],[Invested]]*Table20[[#This Row],[Remaining]]/Table20[[#This Row],[Number of options]],0)</f>
        <v>0</v>
      </c>
      <c r="AE582" s="30">
        <f ca="1">SUMIF(Table20[Ticker],Table20[[#This Row],[Ticker]],Table20[realized_profit])</f>
        <v>-153.9999999999996</v>
      </c>
      <c r="AF582" s="30" t="str">
        <f>VLOOKUP(Table20[[#This Row],[Strategy]],Table29[#All],7,FALSE)</f>
        <v>Bearish</v>
      </c>
    </row>
    <row r="583" spans="1:32" hidden="1">
      <c r="A583" s="180">
        <v>45828</v>
      </c>
      <c r="B583" s="21" t="e" vm="139">
        <v>#VALUE!</v>
      </c>
      <c r="C583" s="109" t="str" cm="1">
        <f t="array" aca="1" ref="C583" ca="1">_FV(Table20[[#This Row],[Asset]],"Ticker symbol",TRUE)</f>
        <v>WMT</v>
      </c>
      <c r="D583" s="26" cm="1">
        <f t="array" aca="1" ref="D583" ca="1">_FV(Table20[[#This Row],[Asset]],"Price")</f>
        <v>122.55500000000001</v>
      </c>
      <c r="E583" s="26">
        <v>85</v>
      </c>
      <c r="F583" s="33">
        <v>1</v>
      </c>
      <c r="G583" s="34">
        <v>1</v>
      </c>
      <c r="H583" s="34" t="s">
        <v>65</v>
      </c>
      <c r="I583" s="31">
        <v>45763</v>
      </c>
      <c r="J583" s="26">
        <v>2.82</v>
      </c>
      <c r="K583" s="24"/>
      <c r="L583" s="33">
        <f>VLOOKUP(Table20[[#This Row],[Strategy]],Table29[#All],6,FALSE)</f>
        <v>-1</v>
      </c>
      <c r="M583" s="23">
        <v>1</v>
      </c>
      <c r="N583" s="23">
        <v>2.12</v>
      </c>
      <c r="O583" s="23"/>
      <c r="P583" s="23"/>
      <c r="Q583">
        <f>Table20[[#This Row],[Exit1]]*Table20[[#This Row],[ex1_price]]</f>
        <v>2.12</v>
      </c>
      <c r="R583">
        <f>Table20[[#This Row],[Exit2]]*Table20[[#This Row],[ex2_price]]</f>
        <v>0</v>
      </c>
      <c r="S583">
        <f>IFERROR((Table20[[#This Row],[ex2_amnt]]+Table20[[#This Row],[ex1_amnt]])/(Table20[[#This Row],[Exit2]]+Table20[[#This Row],[Exit1]]),0)</f>
        <v>2.12</v>
      </c>
      <c r="T583" s="5">
        <f>(Table20[[#This Row],[Exit1]]+Table20[[#This Row],[Exit2]])*(Table20[[#This Row],[avg_exit_price]]-Table20[[#This Row],[AvePrice]])*100*Table20[[#This Row],[Buy or Sell]]</f>
        <v>-69.999999999999972</v>
      </c>
      <c r="U583" s="5">
        <f>Table20[[#This Row],[Number of options]]*Table20[[#This Row],[AvePrice]]*100*Table20[[#This Row],[Buy or Sell]]</f>
        <v>282</v>
      </c>
      <c r="V583" s="8">
        <f>Table20[[#This Row],[Number of options]]-Table20[[#This Row],[Exit1]]-Table20[[#This Row],[Exit2]]</f>
        <v>0</v>
      </c>
      <c r="W583" s="30">
        <f ca="1">(Table20[[#This Row],[Expiration Date]]-TODAY())/365</f>
        <v>-0.76438356164383559</v>
      </c>
      <c r="X583" s="30" t="e">
        <f ca="1">(LN(Table20[[#This Row],[Current Price]]/Table20[[#This Row],[strike_price]]) + ($B$2 + (Table20[[#This Row],[Vol]]^2)/2)*Table20[[#This Row],[Time to expiration]]) / (Table20[[#This Row],[Vol]] * SQRT(Table20[[#This Row],[Time to expiration]]))</f>
        <v>#NUM!</v>
      </c>
      <c r="Y583" s="30" t="e">
        <f ca="1">IF(Table20[[#This Row],[Direction]]&gt;0, _xlfn.NORM.S.DIST(Table20[[#This Row],[d1]], TRUE), _xlfn.NORM.S.DIST(Table20[[#This Row],[d1]], TRUE) - 1) * Table20[[#This Row],[Buy or Sell]]</f>
        <v>#NUM!</v>
      </c>
      <c r="Z583" s="9">
        <f ca="1">Table20[[#This Row],[Remaining]]*Table20[[#This Row],[Current Price]]*100</f>
        <v>0</v>
      </c>
      <c r="AA583" s="22">
        <f ca="1">IFERROR(Table20[[#This Row],[nominal_exposure]]*Table20[[#This Row],[Delta]],0)</f>
        <v>0</v>
      </c>
      <c r="AB583" s="30" t="b">
        <f>IF(Table20[[#This Row],[date_purchased]]&lt;&gt;Table20[[#This Row],[Expiration Date]],FALSE,TRUE)</f>
        <v>0</v>
      </c>
      <c r="AC583" s="30" t="str">
        <f>VLOOKUP(Table20[[#This Row],[Asset]],Table19[#All],3,FALSE)</f>
        <v>Consumer Staples</v>
      </c>
      <c r="AD583" s="30">
        <f>IF(Table20[[#This Row],[Remaining]]&lt;&gt;0,Table20[[#This Row],[Invested]]*Table20[[#This Row],[Remaining]]/Table20[[#This Row],[Number of options]],0)</f>
        <v>0</v>
      </c>
      <c r="AE583" s="30">
        <f ca="1">SUMIF(Table20[Ticker],Table20[[#This Row],[Ticker]],Table20[realized_profit])</f>
        <v>-838.16</v>
      </c>
      <c r="AF583" s="30" t="str">
        <f>VLOOKUP(Table20[[#This Row],[Strategy]],Table29[#All],7,FALSE)</f>
        <v>Bearish</v>
      </c>
    </row>
    <row r="584" spans="1:32" hidden="1">
      <c r="A584" s="180">
        <v>45828</v>
      </c>
      <c r="B584" s="21" t="e" vm="84">
        <v>#VALUE!</v>
      </c>
      <c r="C584" s="109" t="str" cm="1">
        <f t="array" aca="1" ref="C584" ca="1">_FV(Table20[[#This Row],[Asset]],"Ticker symbol",TRUE)</f>
        <v>COIN</v>
      </c>
      <c r="D584" s="26" cm="1">
        <f t="array" aca="1" ref="D584" ca="1">_FV(Table20[[#This Row],[Asset]],"Price")</f>
        <v>188</v>
      </c>
      <c r="E584" s="26">
        <v>250</v>
      </c>
      <c r="F584" s="33">
        <v>1</v>
      </c>
      <c r="G584" s="34">
        <v>1</v>
      </c>
      <c r="H584" s="34" t="s">
        <v>114</v>
      </c>
      <c r="I584" s="31">
        <v>45769</v>
      </c>
      <c r="J584" s="26">
        <v>5.78</v>
      </c>
      <c r="K584" s="24"/>
      <c r="L584" s="33">
        <f>VLOOKUP(Table20[[#This Row],[Strategy]],Table29[#All],6,FALSE)</f>
        <v>1</v>
      </c>
      <c r="M584" s="23">
        <v>1</v>
      </c>
      <c r="N584" s="23">
        <v>23.93</v>
      </c>
      <c r="O584" s="23"/>
      <c r="P584" s="23"/>
      <c r="Q584">
        <f>Table20[[#This Row],[Exit1]]*Table20[[#This Row],[ex1_price]]</f>
        <v>23.93</v>
      </c>
      <c r="R584">
        <f>Table20[[#This Row],[Exit2]]*Table20[[#This Row],[ex2_price]]</f>
        <v>0</v>
      </c>
      <c r="S584">
        <f>IFERROR((Table20[[#This Row],[ex2_amnt]]+Table20[[#This Row],[ex1_amnt]])/(Table20[[#This Row],[Exit2]]+Table20[[#This Row],[Exit1]]),0)</f>
        <v>23.93</v>
      </c>
      <c r="T584" s="5">
        <f>(Table20[[#This Row],[Exit1]]+Table20[[#This Row],[Exit2]])*(Table20[[#This Row],[avg_exit_price]]-Table20[[#This Row],[AvePrice]])*100*Table20[[#This Row],[Buy or Sell]]</f>
        <v>1814.9999999999998</v>
      </c>
      <c r="U584" s="5">
        <f>Table20[[#This Row],[Number of options]]*Table20[[#This Row],[AvePrice]]*100*Table20[[#This Row],[Buy or Sell]]</f>
        <v>578</v>
      </c>
      <c r="V584" s="8">
        <f>Table20[[#This Row],[Number of options]]-Table20[[#This Row],[Exit1]]-Table20[[#This Row],[Exit2]]</f>
        <v>0</v>
      </c>
      <c r="W584" s="30">
        <f ca="1">(Table20[[#This Row],[Expiration Date]]-TODAY())/365</f>
        <v>-0.76438356164383559</v>
      </c>
      <c r="X584" s="30" t="e">
        <f ca="1">(LN(Table20[[#This Row],[Current Price]]/Table20[[#This Row],[strike_price]]) + ($B$2 + (Table20[[#This Row],[Vol]]^2)/2)*Table20[[#This Row],[Time to expiration]]) / (Table20[[#This Row],[Vol]] * SQRT(Table20[[#This Row],[Time to expiration]]))</f>
        <v>#NUM!</v>
      </c>
      <c r="Y584" s="30" t="e">
        <f ca="1">IF(Table20[[#This Row],[Direction]]&gt;0, _xlfn.NORM.S.DIST(Table20[[#This Row],[d1]], TRUE), _xlfn.NORM.S.DIST(Table20[[#This Row],[d1]], TRUE) - 1) * Table20[[#This Row],[Buy or Sell]]</f>
        <v>#NUM!</v>
      </c>
      <c r="Z584" s="9">
        <f ca="1">Table20[[#This Row],[Remaining]]*Table20[[#This Row],[Current Price]]*100</f>
        <v>0</v>
      </c>
      <c r="AA584" s="22">
        <f ca="1">IFERROR(Table20[[#This Row],[nominal_exposure]]*Table20[[#This Row],[Delta]],0)</f>
        <v>0</v>
      </c>
      <c r="AB584" s="30" t="b">
        <f>IF(Table20[[#This Row],[date_purchased]]&lt;&gt;Table20[[#This Row],[Expiration Date]],FALSE,TRUE)</f>
        <v>0</v>
      </c>
      <c r="AC584" s="30" t="str">
        <f>VLOOKUP(Table20[[#This Row],[Asset]],Table19[#All],3,FALSE)</f>
        <v>Financials</v>
      </c>
      <c r="AD584" s="30">
        <f>IF(Table20[[#This Row],[Remaining]]&lt;&gt;0,Table20[[#This Row],[Invested]]*Table20[[#This Row],[Remaining]]/Table20[[#This Row],[Number of options]],0)</f>
        <v>0</v>
      </c>
      <c r="AE584" s="30">
        <f ca="1">SUMIF(Table20[Ticker],Table20[[#This Row],[Ticker]],Table20[realized_profit])</f>
        <v>4035</v>
      </c>
      <c r="AF584" s="30" t="str">
        <f>VLOOKUP(Table20[[#This Row],[Strategy]],Table29[#All],7,FALSE)</f>
        <v>Bullish</v>
      </c>
    </row>
    <row r="585" spans="1:32" hidden="1">
      <c r="A585" s="180">
        <v>45764</v>
      </c>
      <c r="B585" s="21" t="e" vm="159">
        <v>#VALUE!</v>
      </c>
      <c r="C585" s="109" t="str" cm="1">
        <f t="array" aca="1" ref="C585" ca="1">_FV(Table20[[#This Row],[Asset]],"Ticker symbol",TRUE)</f>
        <v>BABA</v>
      </c>
      <c r="D585" s="26" cm="1">
        <f t="array" aca="1" ref="D585" ca="1">_FV(Table20[[#This Row],[Asset]],"Price")</f>
        <v>129.63999999999999</v>
      </c>
      <c r="E585" s="26">
        <v>110</v>
      </c>
      <c r="F585" s="33">
        <v>3</v>
      </c>
      <c r="G585" s="34">
        <v>1</v>
      </c>
      <c r="H585" s="34" t="s">
        <v>65</v>
      </c>
      <c r="I585" s="31">
        <v>45764</v>
      </c>
      <c r="J585" s="26">
        <v>0.61</v>
      </c>
      <c r="K585" s="24"/>
      <c r="L585" s="33">
        <f>VLOOKUP(Table20[[#This Row],[Strategy]],Table29[#All],6,FALSE)</f>
        <v>-1</v>
      </c>
      <c r="M585" s="23">
        <v>2</v>
      </c>
      <c r="N585" s="23">
        <v>1.2</v>
      </c>
      <c r="O585" s="23">
        <v>1</v>
      </c>
      <c r="P585" s="23">
        <v>1.1399999999999999</v>
      </c>
      <c r="Q585">
        <f>Table20[[#This Row],[Exit1]]*Table20[[#This Row],[ex1_price]]</f>
        <v>2.4</v>
      </c>
      <c r="R585">
        <f>Table20[[#This Row],[Exit2]]*Table20[[#This Row],[ex2_price]]</f>
        <v>1.1399999999999999</v>
      </c>
      <c r="S585">
        <f>IFERROR((Table20[[#This Row],[ex2_amnt]]+Table20[[#This Row],[ex1_amnt]])/(Table20[[#This Row],[Exit2]]+Table20[[#This Row],[Exit1]]),0)</f>
        <v>1.18</v>
      </c>
      <c r="T585" s="5">
        <f>(Table20[[#This Row],[Exit1]]+Table20[[#This Row],[Exit2]])*(Table20[[#This Row],[avg_exit_price]]-Table20[[#This Row],[AvePrice]])*100*Table20[[#This Row],[Buy or Sell]]</f>
        <v>171</v>
      </c>
      <c r="U585" s="5">
        <f>Table20[[#This Row],[Number of options]]*Table20[[#This Row],[AvePrice]]*100*Table20[[#This Row],[Buy or Sell]]</f>
        <v>183</v>
      </c>
      <c r="V585" s="8">
        <f>Table20[[#This Row],[Number of options]]-Table20[[#This Row],[Exit1]]-Table20[[#This Row],[Exit2]]</f>
        <v>0</v>
      </c>
      <c r="W585" s="30">
        <f ca="1">(Table20[[#This Row],[Expiration Date]]-TODAY())/365</f>
        <v>-0.9397260273972603</v>
      </c>
      <c r="X585" s="30" t="e">
        <f ca="1">(LN(Table20[[#This Row],[Current Price]]/Table20[[#This Row],[strike_price]]) + ($B$2 + (Table20[[#This Row],[Vol]]^2)/2)*Table20[[#This Row],[Time to expiration]]) / (Table20[[#This Row],[Vol]] * SQRT(Table20[[#This Row],[Time to expiration]]))</f>
        <v>#NUM!</v>
      </c>
      <c r="Y585" s="30" t="e">
        <f ca="1">IF(Table20[[#This Row],[Direction]]&gt;0, _xlfn.NORM.S.DIST(Table20[[#This Row],[d1]], TRUE), _xlfn.NORM.S.DIST(Table20[[#This Row],[d1]], TRUE) - 1) * Table20[[#This Row],[Buy or Sell]]</f>
        <v>#NUM!</v>
      </c>
      <c r="Z585" s="9">
        <f ca="1">Table20[[#This Row],[Remaining]]*Table20[[#This Row],[Current Price]]*100</f>
        <v>0</v>
      </c>
      <c r="AA585" s="22">
        <f ca="1">IFERROR(Table20[[#This Row],[nominal_exposure]]*Table20[[#This Row],[Delta]],0)</f>
        <v>0</v>
      </c>
      <c r="AB585" s="30" t="b">
        <f>IF(Table20[[#This Row],[date_purchased]]&lt;&gt;Table20[[#This Row],[Expiration Date]],FALSE,TRUE)</f>
        <v>1</v>
      </c>
      <c r="AC585" s="30" t="str">
        <f>VLOOKUP(Table20[[#This Row],[Asset]],Table19[#All],3,FALSE)</f>
        <v>China</v>
      </c>
      <c r="AD585" s="30">
        <f>IF(Table20[[#This Row],[Remaining]]&lt;&gt;0,Table20[[#This Row],[Invested]]*Table20[[#This Row],[Remaining]]/Table20[[#This Row],[Number of options]],0)</f>
        <v>0</v>
      </c>
      <c r="AE585" s="30">
        <f ca="1">SUMIF(Table20[Ticker],Table20[[#This Row],[Ticker]],Table20[realized_profit])</f>
        <v>5855</v>
      </c>
      <c r="AF585" s="30" t="str">
        <f>VLOOKUP(Table20[[#This Row],[Strategy]],Table29[#All],7,FALSE)</f>
        <v>Bearish</v>
      </c>
    </row>
    <row r="586" spans="1:32" hidden="1">
      <c r="A586" s="180">
        <v>45793</v>
      </c>
      <c r="B586" s="21" t="e" vm="159">
        <v>#VALUE!</v>
      </c>
      <c r="C586" s="109" t="str" cm="1">
        <f t="array" aca="1" ref="C586" ca="1">_FV(Table20[[#This Row],[Asset]],"Ticker symbol",TRUE)</f>
        <v>BABA</v>
      </c>
      <c r="D586" s="26" cm="1">
        <f t="array" aca="1" ref="D586" ca="1">_FV(Table20[[#This Row],[Asset]],"Price")</f>
        <v>129.63999999999999</v>
      </c>
      <c r="E586" s="26">
        <v>100</v>
      </c>
      <c r="F586" s="33">
        <v>2</v>
      </c>
      <c r="G586" s="34">
        <v>1</v>
      </c>
      <c r="H586" s="34" t="s">
        <v>65</v>
      </c>
      <c r="I586" s="31">
        <v>45764</v>
      </c>
      <c r="J586" s="26">
        <v>2.83</v>
      </c>
      <c r="K586" s="24"/>
      <c r="L586" s="33">
        <f>VLOOKUP(Table20[[#This Row],[Strategy]],Table29[#All],6,FALSE)</f>
        <v>-1</v>
      </c>
      <c r="M586" s="23">
        <v>2</v>
      </c>
      <c r="N586" s="23">
        <v>1.61</v>
      </c>
      <c r="O586" s="23"/>
      <c r="P586" s="23"/>
      <c r="Q586">
        <f>Table20[[#This Row],[Exit1]]*Table20[[#This Row],[ex1_price]]</f>
        <v>3.22</v>
      </c>
      <c r="R586">
        <f>Table20[[#This Row],[Exit2]]*Table20[[#This Row],[ex2_price]]</f>
        <v>0</v>
      </c>
      <c r="S586">
        <f>IFERROR((Table20[[#This Row],[ex2_amnt]]+Table20[[#This Row],[ex1_amnt]])/(Table20[[#This Row],[Exit2]]+Table20[[#This Row],[Exit1]]),0)</f>
        <v>1.61</v>
      </c>
      <c r="T586" s="5">
        <f>(Table20[[#This Row],[Exit1]]+Table20[[#This Row],[Exit2]])*(Table20[[#This Row],[avg_exit_price]]-Table20[[#This Row],[AvePrice]])*100*Table20[[#This Row],[Buy or Sell]]</f>
        <v>-244</v>
      </c>
      <c r="U586" s="5">
        <f>Table20[[#This Row],[Number of options]]*Table20[[#This Row],[AvePrice]]*100*Table20[[#This Row],[Buy or Sell]]</f>
        <v>566</v>
      </c>
      <c r="V586" s="8">
        <f>Table20[[#This Row],[Number of options]]-Table20[[#This Row],[Exit1]]-Table20[[#This Row],[Exit2]]</f>
        <v>0</v>
      </c>
      <c r="W586" s="30">
        <f ca="1">(Table20[[#This Row],[Expiration Date]]-TODAY())/365</f>
        <v>-0.86027397260273974</v>
      </c>
      <c r="X586" s="30" t="e">
        <f ca="1">(LN(Table20[[#This Row],[Current Price]]/Table20[[#This Row],[strike_price]]) + ($B$2 + (Table20[[#This Row],[Vol]]^2)/2)*Table20[[#This Row],[Time to expiration]]) / (Table20[[#This Row],[Vol]] * SQRT(Table20[[#This Row],[Time to expiration]]))</f>
        <v>#NUM!</v>
      </c>
      <c r="Y586" s="30" t="e">
        <f ca="1">IF(Table20[[#This Row],[Direction]]&gt;0, _xlfn.NORM.S.DIST(Table20[[#This Row],[d1]], TRUE), _xlfn.NORM.S.DIST(Table20[[#This Row],[d1]], TRUE) - 1) * Table20[[#This Row],[Buy or Sell]]</f>
        <v>#NUM!</v>
      </c>
      <c r="Z586" s="9">
        <f ca="1">Table20[[#This Row],[Remaining]]*Table20[[#This Row],[Current Price]]*100</f>
        <v>0</v>
      </c>
      <c r="AA586" s="22">
        <f ca="1">IFERROR(Table20[[#This Row],[nominal_exposure]]*Table20[[#This Row],[Delta]],0)</f>
        <v>0</v>
      </c>
      <c r="AB586" s="30" t="b">
        <f>IF(Table20[[#This Row],[date_purchased]]&lt;&gt;Table20[[#This Row],[Expiration Date]],FALSE,TRUE)</f>
        <v>0</v>
      </c>
      <c r="AC586" s="30" t="str">
        <f>VLOOKUP(Table20[[#This Row],[Asset]],Table19[#All],3,FALSE)</f>
        <v>China</v>
      </c>
      <c r="AD586" s="30">
        <f>IF(Table20[[#This Row],[Remaining]]&lt;&gt;0,Table20[[#This Row],[Invested]]*Table20[[#This Row],[Remaining]]/Table20[[#This Row],[Number of options]],0)</f>
        <v>0</v>
      </c>
      <c r="AE586" s="30">
        <f ca="1">SUMIF(Table20[Ticker],Table20[[#This Row],[Ticker]],Table20[realized_profit])</f>
        <v>5855</v>
      </c>
      <c r="AF586" s="30" t="str">
        <f>VLOOKUP(Table20[[#This Row],[Strategy]],Table29[#All],7,FALSE)</f>
        <v>Bearish</v>
      </c>
    </row>
    <row r="587" spans="1:32" hidden="1">
      <c r="A587" s="180">
        <v>45828</v>
      </c>
      <c r="B587" s="21" t="e" vm="139">
        <v>#VALUE!</v>
      </c>
      <c r="C587" s="109" t="str" cm="1">
        <f t="array" aca="1" ref="C587" ca="1">_FV(Table20[[#This Row],[Asset]],"Ticker symbol",TRUE)</f>
        <v>WMT</v>
      </c>
      <c r="D587" s="26" cm="1">
        <f t="array" aca="1" ref="D587" ca="1">_FV(Table20[[#This Row],[Asset]],"Price")</f>
        <v>122.55500000000001</v>
      </c>
      <c r="E587" s="26">
        <v>90</v>
      </c>
      <c r="F587" s="33">
        <v>2</v>
      </c>
      <c r="G587" s="34">
        <v>1</v>
      </c>
      <c r="H587" s="34" t="s">
        <v>65</v>
      </c>
      <c r="I587" s="31">
        <v>45770</v>
      </c>
      <c r="J587" s="26">
        <v>2.81</v>
      </c>
      <c r="K587" s="24"/>
      <c r="L587" s="33">
        <f>VLOOKUP(Table20[[#This Row],[Strategy]],Table29[#All],6,FALSE)</f>
        <v>-1</v>
      </c>
      <c r="M587" s="23">
        <v>2</v>
      </c>
      <c r="N587" s="23">
        <v>2.1</v>
      </c>
      <c r="O587" s="23"/>
      <c r="P587" s="23"/>
      <c r="Q587">
        <f>Table20[[#This Row],[Exit1]]*Table20[[#This Row],[ex1_price]]</f>
        <v>4.2</v>
      </c>
      <c r="R587">
        <f>Table20[[#This Row],[Exit2]]*Table20[[#This Row],[ex2_price]]</f>
        <v>0</v>
      </c>
      <c r="S587">
        <f>IFERROR((Table20[[#This Row],[ex2_amnt]]+Table20[[#This Row],[ex1_amnt]])/(Table20[[#This Row],[Exit2]]+Table20[[#This Row],[Exit1]]),0)</f>
        <v>2.1</v>
      </c>
      <c r="T587" s="5">
        <f>(Table20[[#This Row],[Exit1]]+Table20[[#This Row],[Exit2]])*(Table20[[#This Row],[avg_exit_price]]-Table20[[#This Row],[AvePrice]])*100*Table20[[#This Row],[Buy or Sell]]</f>
        <v>-142</v>
      </c>
      <c r="U587" s="5">
        <f>Table20[[#This Row],[Number of options]]*Table20[[#This Row],[AvePrice]]*100*Table20[[#This Row],[Buy or Sell]]</f>
        <v>562</v>
      </c>
      <c r="V587" s="8">
        <f>Table20[[#This Row],[Number of options]]-Table20[[#This Row],[Exit1]]-Table20[[#This Row],[Exit2]]</f>
        <v>0</v>
      </c>
      <c r="W587" s="30">
        <f ca="1">(Table20[[#This Row],[Expiration Date]]-TODAY())/365</f>
        <v>-0.76438356164383559</v>
      </c>
      <c r="X587" s="30" t="e">
        <f ca="1">(LN(Table20[[#This Row],[Current Price]]/Table20[[#This Row],[strike_price]]) + ($B$2 + (Table20[[#This Row],[Vol]]^2)/2)*Table20[[#This Row],[Time to expiration]]) / (Table20[[#This Row],[Vol]] * SQRT(Table20[[#This Row],[Time to expiration]]))</f>
        <v>#NUM!</v>
      </c>
      <c r="Y587" s="30" t="e">
        <f ca="1">IF(Table20[[#This Row],[Direction]]&gt;0, _xlfn.NORM.S.DIST(Table20[[#This Row],[d1]], TRUE), _xlfn.NORM.S.DIST(Table20[[#This Row],[d1]], TRUE) - 1) * Table20[[#This Row],[Buy or Sell]]</f>
        <v>#NUM!</v>
      </c>
      <c r="Z587" s="9">
        <f ca="1">Table20[[#This Row],[Remaining]]*Table20[[#This Row],[Current Price]]*100</f>
        <v>0</v>
      </c>
      <c r="AA587" s="22">
        <f ca="1">IFERROR(Table20[[#This Row],[nominal_exposure]]*Table20[[#This Row],[Delta]],0)</f>
        <v>0</v>
      </c>
      <c r="AB587" s="30" t="b">
        <f>IF(Table20[[#This Row],[date_purchased]]&lt;&gt;Table20[[#This Row],[Expiration Date]],FALSE,TRUE)</f>
        <v>0</v>
      </c>
      <c r="AC587" s="30" t="str">
        <f>VLOOKUP(Table20[[#This Row],[Asset]],Table19[#All],3,FALSE)</f>
        <v>Consumer Staples</v>
      </c>
      <c r="AD587" s="30">
        <f>IF(Table20[[#This Row],[Remaining]]&lt;&gt;0,Table20[[#This Row],[Invested]]*Table20[[#This Row],[Remaining]]/Table20[[#This Row],[Number of options]],0)</f>
        <v>0</v>
      </c>
      <c r="AE587" s="30">
        <f ca="1">SUMIF(Table20[Ticker],Table20[[#This Row],[Ticker]],Table20[realized_profit])</f>
        <v>-838.16</v>
      </c>
      <c r="AF587" s="30" t="str">
        <f>VLOOKUP(Table20[[#This Row],[Strategy]],Table29[#All],7,FALSE)</f>
        <v>Bearish</v>
      </c>
    </row>
    <row r="588" spans="1:32" hidden="1">
      <c r="A588" s="180">
        <v>45828</v>
      </c>
      <c r="B588" s="21" t="e" vm="148">
        <v>#VALUE!</v>
      </c>
      <c r="C588" s="109" t="str" cm="1">
        <f t="array" aca="1" ref="C588" ca="1">_FV(Table20[[#This Row],[Asset]],"Ticker symbol",TRUE)</f>
        <v>META</v>
      </c>
      <c r="D588" s="26" cm="1">
        <f t="array" aca="1" ref="D588" ca="1">_FV(Table20[[#This Row],[Asset]],"Price")</f>
        <v>599.32000000000005</v>
      </c>
      <c r="E588" s="26">
        <v>750</v>
      </c>
      <c r="F588" s="33">
        <v>2</v>
      </c>
      <c r="G588" s="34">
        <v>-1</v>
      </c>
      <c r="H588" s="34" t="s">
        <v>115</v>
      </c>
      <c r="I588" s="31">
        <v>45771</v>
      </c>
      <c r="J588" s="26">
        <v>0.94</v>
      </c>
      <c r="K588" s="24"/>
      <c r="L588" s="33">
        <f>VLOOKUP(Table20[[#This Row],[Strategy]],Table29[#All],6,FALSE)</f>
        <v>1</v>
      </c>
      <c r="M588" s="23">
        <v>2</v>
      </c>
      <c r="N588" s="23">
        <v>1.1399999999999999</v>
      </c>
      <c r="O588" s="23"/>
      <c r="P588" s="23"/>
      <c r="Q588">
        <f>Table20[[#This Row],[Exit1]]*Table20[[#This Row],[ex1_price]]</f>
        <v>2.2799999999999998</v>
      </c>
      <c r="R588">
        <f>Table20[[#This Row],[Exit2]]*Table20[[#This Row],[ex2_price]]</f>
        <v>0</v>
      </c>
      <c r="S588">
        <f>IFERROR((Table20[[#This Row],[ex2_amnt]]+Table20[[#This Row],[ex1_amnt]])/(Table20[[#This Row],[Exit2]]+Table20[[#This Row],[Exit1]]),0)</f>
        <v>1.1399999999999999</v>
      </c>
      <c r="T588" s="5">
        <f>(Table20[[#This Row],[Exit1]]+Table20[[#This Row],[Exit2]])*(Table20[[#This Row],[avg_exit_price]]-Table20[[#This Row],[AvePrice]])*100*Table20[[#This Row],[Buy or Sell]]</f>
        <v>-39.999999999999993</v>
      </c>
      <c r="U588" s="5">
        <f>Table20[[#This Row],[Number of options]]*Table20[[#This Row],[AvePrice]]*100*Table20[[#This Row],[Buy or Sell]]</f>
        <v>-188</v>
      </c>
      <c r="V588" s="8">
        <f>Table20[[#This Row],[Number of options]]-Table20[[#This Row],[Exit1]]-Table20[[#This Row],[Exit2]]</f>
        <v>0</v>
      </c>
      <c r="W588" s="30">
        <f ca="1">(Table20[[#This Row],[Expiration Date]]-TODAY())/365</f>
        <v>-0.76438356164383559</v>
      </c>
      <c r="X588" s="30" t="e">
        <f ca="1">(LN(Table20[[#This Row],[Current Price]]/Table20[[#This Row],[strike_price]]) + ($B$2 + (Table20[[#This Row],[Vol]]^2)/2)*Table20[[#This Row],[Time to expiration]]) / (Table20[[#This Row],[Vol]] * SQRT(Table20[[#This Row],[Time to expiration]]))</f>
        <v>#NUM!</v>
      </c>
      <c r="Y588" s="30" t="e">
        <f ca="1">IF(Table20[[#This Row],[Direction]]&gt;0, _xlfn.NORM.S.DIST(Table20[[#This Row],[d1]], TRUE), _xlfn.NORM.S.DIST(Table20[[#This Row],[d1]], TRUE) - 1) * Table20[[#This Row],[Buy or Sell]]</f>
        <v>#NUM!</v>
      </c>
      <c r="Z588" s="9">
        <f ca="1">Table20[[#This Row],[Remaining]]*Table20[[#This Row],[Current Price]]*100</f>
        <v>0</v>
      </c>
      <c r="AA588" s="22">
        <f ca="1">IFERROR(Table20[[#This Row],[nominal_exposure]]*Table20[[#This Row],[Delta]],0)</f>
        <v>0</v>
      </c>
      <c r="AB588" s="30" t="b">
        <f>IF(Table20[[#This Row],[date_purchased]]&lt;&gt;Table20[[#This Row],[Expiration Date]],FALSE,TRUE)</f>
        <v>0</v>
      </c>
      <c r="AC588" s="30" t="str">
        <f>VLOOKUP(Table20[[#This Row],[Asset]],Table19[#All],3,FALSE)</f>
        <v>AI</v>
      </c>
      <c r="AD588" s="30">
        <f>IF(Table20[[#This Row],[Remaining]]&lt;&gt;0,Table20[[#This Row],[Invested]]*Table20[[#This Row],[Remaining]]/Table20[[#This Row],[Number of options]],0)</f>
        <v>0</v>
      </c>
      <c r="AE588" s="30">
        <f ca="1">SUMIF(Table20[Ticker],Table20[[#This Row],[Ticker]],Table20[realized_profit])</f>
        <v>2450</v>
      </c>
      <c r="AF588" s="30" t="str">
        <f>VLOOKUP(Table20[[#This Row],[Strategy]],Table29[#All],7,FALSE)</f>
        <v>Bullish</v>
      </c>
    </row>
    <row r="589" spans="1:32" hidden="1">
      <c r="A589" s="180">
        <v>45772</v>
      </c>
      <c r="B589" s="21" t="e" vm="168">
        <v>#VALUE!</v>
      </c>
      <c r="C589" s="109" t="str" cm="1">
        <f t="array" aca="1" ref="C589" ca="1">_FV(Table20[[#This Row],[Asset]],"Ticker symbol",TRUE)</f>
        <v>PDD</v>
      </c>
      <c r="D589" s="26" cm="1">
        <f t="array" aca="1" ref="D589" ca="1">_FV(Table20[[#This Row],[Asset]],"Price")</f>
        <v>106.22</v>
      </c>
      <c r="E589" s="26">
        <v>90</v>
      </c>
      <c r="F589" s="33">
        <v>3</v>
      </c>
      <c r="G589" s="34">
        <v>1</v>
      </c>
      <c r="H589" s="34" t="s">
        <v>65</v>
      </c>
      <c r="I589" s="31">
        <v>45764</v>
      </c>
      <c r="J589" s="26">
        <v>1.1499999999999999</v>
      </c>
      <c r="K589" s="24"/>
      <c r="L589" s="33">
        <f>VLOOKUP(Table20[[#This Row],[Strategy]],Table29[#All],6,FALSE)</f>
        <v>-1</v>
      </c>
      <c r="M589" s="23">
        <v>3</v>
      </c>
      <c r="N589" s="23">
        <v>0.23</v>
      </c>
      <c r="O589" s="23"/>
      <c r="P589" s="23"/>
      <c r="Q589">
        <f>Table20[[#This Row],[Exit1]]*Table20[[#This Row],[ex1_price]]</f>
        <v>0.69000000000000006</v>
      </c>
      <c r="R589">
        <f>Table20[[#This Row],[Exit2]]*Table20[[#This Row],[ex2_price]]</f>
        <v>0</v>
      </c>
      <c r="S589">
        <f>IFERROR((Table20[[#This Row],[ex2_amnt]]+Table20[[#This Row],[ex1_amnt]])/(Table20[[#This Row],[Exit2]]+Table20[[#This Row],[Exit1]]),0)</f>
        <v>0.23</v>
      </c>
      <c r="T589" s="5">
        <f>(Table20[[#This Row],[Exit1]]+Table20[[#This Row],[Exit2]])*(Table20[[#This Row],[avg_exit_price]]-Table20[[#This Row],[AvePrice]])*100*Table20[[#This Row],[Buy or Sell]]</f>
        <v>-276</v>
      </c>
      <c r="U589" s="5">
        <f>Table20[[#This Row],[Number of options]]*Table20[[#This Row],[AvePrice]]*100*Table20[[#This Row],[Buy or Sell]]</f>
        <v>345</v>
      </c>
      <c r="V589" s="8">
        <f>Table20[[#This Row],[Number of options]]-Table20[[#This Row],[Exit1]]-Table20[[#This Row],[Exit2]]</f>
        <v>0</v>
      </c>
      <c r="W589" s="30">
        <f ca="1">(Table20[[#This Row],[Expiration Date]]-TODAY())/365</f>
        <v>-0.9178082191780822</v>
      </c>
      <c r="X589" s="30" t="e">
        <f ca="1">(LN(Table20[[#This Row],[Current Price]]/Table20[[#This Row],[strike_price]]) + ($B$2 + (Table20[[#This Row],[Vol]]^2)/2)*Table20[[#This Row],[Time to expiration]]) / (Table20[[#This Row],[Vol]] * SQRT(Table20[[#This Row],[Time to expiration]]))</f>
        <v>#NUM!</v>
      </c>
      <c r="Y589" s="30" t="e">
        <f ca="1">IF(Table20[[#This Row],[Direction]]&gt;0, _xlfn.NORM.S.DIST(Table20[[#This Row],[d1]], TRUE), _xlfn.NORM.S.DIST(Table20[[#This Row],[d1]], TRUE) - 1) * Table20[[#This Row],[Buy or Sell]]</f>
        <v>#NUM!</v>
      </c>
      <c r="Z589" s="9">
        <f ca="1">Table20[[#This Row],[Remaining]]*Table20[[#This Row],[Current Price]]*100</f>
        <v>0</v>
      </c>
      <c r="AA589" s="22">
        <f ca="1">IFERROR(Table20[[#This Row],[nominal_exposure]]*Table20[[#This Row],[Delta]],0)</f>
        <v>0</v>
      </c>
      <c r="AB589" s="30" t="b">
        <f>IF(Table20[[#This Row],[date_purchased]]&lt;&gt;Table20[[#This Row],[Expiration Date]],FALSE,TRUE)</f>
        <v>0</v>
      </c>
      <c r="AC589" s="30" t="str">
        <f>VLOOKUP(Table20[[#This Row],[Asset]],Table19[#All],3,FALSE)</f>
        <v>China</v>
      </c>
      <c r="AD589" s="30">
        <f>IF(Table20[[#This Row],[Remaining]]&lt;&gt;0,Table20[[#This Row],[Invested]]*Table20[[#This Row],[Remaining]]/Table20[[#This Row],[Number of options]],0)</f>
        <v>0</v>
      </c>
      <c r="AE589" s="30">
        <f ca="1">SUMIF(Table20[Ticker],Table20[[#This Row],[Ticker]],Table20[realized_profit])</f>
        <v>1390</v>
      </c>
      <c r="AF589" s="30" t="str">
        <f>VLOOKUP(Table20[[#This Row],[Strategy]],Table29[#All],7,FALSE)</f>
        <v>Bearish</v>
      </c>
    </row>
    <row r="590" spans="1:32" hidden="1">
      <c r="A590" s="180">
        <v>45828</v>
      </c>
      <c r="B590" s="21" t="e" vm="139">
        <v>#VALUE!</v>
      </c>
      <c r="C590" s="109" t="str" cm="1">
        <f t="array" aca="1" ref="C590" ca="1">_FV(Table20[[#This Row],[Asset]],"Ticker symbol",TRUE)</f>
        <v>WMT</v>
      </c>
      <c r="D590" s="26" cm="1">
        <f t="array" aca="1" ref="D590" ca="1">_FV(Table20[[#This Row],[Asset]],"Price")</f>
        <v>122.55500000000001</v>
      </c>
      <c r="E590" s="26">
        <v>90</v>
      </c>
      <c r="F590" s="33">
        <v>2</v>
      </c>
      <c r="G590" s="34">
        <v>1</v>
      </c>
      <c r="H590" s="34" t="s">
        <v>65</v>
      </c>
      <c r="I590" s="31">
        <v>45768</v>
      </c>
      <c r="J590" s="26">
        <v>3.8</v>
      </c>
      <c r="K590" s="24"/>
      <c r="L590" s="33">
        <f>VLOOKUP(Table20[[#This Row],[Strategy]],Table29[#All],6,FALSE)</f>
        <v>-1</v>
      </c>
      <c r="M590" s="23">
        <v>2</v>
      </c>
      <c r="N590" s="23">
        <v>2.36</v>
      </c>
      <c r="O590" s="23"/>
      <c r="P590" s="23"/>
      <c r="Q590">
        <f>Table20[[#This Row],[Exit1]]*Table20[[#This Row],[ex1_price]]</f>
        <v>4.72</v>
      </c>
      <c r="R590">
        <f>Table20[[#This Row],[Exit2]]*Table20[[#This Row],[ex2_price]]</f>
        <v>0</v>
      </c>
      <c r="S590">
        <f>IFERROR((Table20[[#This Row],[ex2_amnt]]+Table20[[#This Row],[ex1_amnt]])/(Table20[[#This Row],[Exit2]]+Table20[[#This Row],[Exit1]]),0)</f>
        <v>2.36</v>
      </c>
      <c r="T590" s="5">
        <f>(Table20[[#This Row],[Exit1]]+Table20[[#This Row],[Exit2]])*(Table20[[#This Row],[avg_exit_price]]-Table20[[#This Row],[AvePrice]])*100*Table20[[#This Row],[Buy or Sell]]</f>
        <v>-288</v>
      </c>
      <c r="U590" s="5">
        <f>Table20[[#This Row],[Number of options]]*Table20[[#This Row],[AvePrice]]*100*Table20[[#This Row],[Buy or Sell]]</f>
        <v>760</v>
      </c>
      <c r="V590" s="8">
        <f>Table20[[#This Row],[Number of options]]-Table20[[#This Row],[Exit1]]-Table20[[#This Row],[Exit2]]</f>
        <v>0</v>
      </c>
      <c r="W590" s="30">
        <f ca="1">(Table20[[#This Row],[Expiration Date]]-TODAY())/365</f>
        <v>-0.76438356164383559</v>
      </c>
      <c r="X590" s="30" t="e">
        <f ca="1">(LN(Table20[[#This Row],[Current Price]]/Table20[[#This Row],[strike_price]]) + ($B$2 + (Table20[[#This Row],[Vol]]^2)/2)*Table20[[#This Row],[Time to expiration]]) / (Table20[[#This Row],[Vol]] * SQRT(Table20[[#This Row],[Time to expiration]]))</f>
        <v>#NUM!</v>
      </c>
      <c r="Y590" s="30" t="e">
        <f ca="1">IF(Table20[[#This Row],[Direction]]&gt;0, _xlfn.NORM.S.DIST(Table20[[#This Row],[d1]], TRUE), _xlfn.NORM.S.DIST(Table20[[#This Row],[d1]], TRUE) - 1) * Table20[[#This Row],[Buy or Sell]]</f>
        <v>#NUM!</v>
      </c>
      <c r="Z590" s="9">
        <f ca="1">Table20[[#This Row],[Remaining]]*Table20[[#This Row],[Current Price]]*100</f>
        <v>0</v>
      </c>
      <c r="AA590" s="22">
        <f ca="1">IFERROR(Table20[[#This Row],[nominal_exposure]]*Table20[[#This Row],[Delta]],0)</f>
        <v>0</v>
      </c>
      <c r="AB590" s="30" t="b">
        <f>IF(Table20[[#This Row],[date_purchased]]&lt;&gt;Table20[[#This Row],[Expiration Date]],FALSE,TRUE)</f>
        <v>0</v>
      </c>
      <c r="AC590" s="30" t="str">
        <f>VLOOKUP(Table20[[#This Row],[Asset]],Table19[#All],3,FALSE)</f>
        <v>Consumer Staples</v>
      </c>
      <c r="AD590" s="30">
        <f>IF(Table20[[#This Row],[Remaining]]&lt;&gt;0,Table20[[#This Row],[Invested]]*Table20[[#This Row],[Remaining]]/Table20[[#This Row],[Number of options]],0)</f>
        <v>0</v>
      </c>
      <c r="AE590" s="30">
        <f ca="1">SUMIF(Table20[Ticker],Table20[[#This Row],[Ticker]],Table20[realized_profit])</f>
        <v>-838.16</v>
      </c>
      <c r="AF590" s="30" t="str">
        <f>VLOOKUP(Table20[[#This Row],[Strategy]],Table29[#All],7,FALSE)</f>
        <v>Bearish</v>
      </c>
    </row>
    <row r="591" spans="1:32" hidden="1">
      <c r="A591" s="180">
        <v>45779</v>
      </c>
      <c r="B591" s="21" t="e" vm="106">
        <v>#VALUE!</v>
      </c>
      <c r="C591" s="109" t="str" cm="1">
        <f t="array" aca="1" ref="C591" ca="1">_FV(Table20[[#This Row],[Asset]],"Ticker symbol",TRUE)</f>
        <v>GLD</v>
      </c>
      <c r="D591" s="26" cm="1">
        <f t="array" aca="1" ref="D591" ca="1">_FV(Table20[[#This Row],[Asset]],"Price")</f>
        <v>419.54</v>
      </c>
      <c r="E591" s="26">
        <v>306</v>
      </c>
      <c r="F591" s="33">
        <v>1</v>
      </c>
      <c r="G591" s="34">
        <v>1</v>
      </c>
      <c r="H591" s="34" t="s">
        <v>65</v>
      </c>
      <c r="I591" s="31">
        <v>45768</v>
      </c>
      <c r="J591" s="26">
        <v>2.68</v>
      </c>
      <c r="K591" s="24"/>
      <c r="L591" s="33">
        <f>VLOOKUP(Table20[[#This Row],[Strategy]],Table29[#All],6,FALSE)</f>
        <v>-1</v>
      </c>
      <c r="M591" s="23">
        <v>1</v>
      </c>
      <c r="N591" s="23">
        <v>6.7</v>
      </c>
      <c r="O591" s="23"/>
      <c r="P591" s="23"/>
      <c r="Q591">
        <f>Table20[[#This Row],[Exit1]]*Table20[[#This Row],[ex1_price]]</f>
        <v>6.7</v>
      </c>
      <c r="R591">
        <f>Table20[[#This Row],[Exit2]]*Table20[[#This Row],[ex2_price]]</f>
        <v>0</v>
      </c>
      <c r="S591">
        <f>IFERROR((Table20[[#This Row],[ex2_amnt]]+Table20[[#This Row],[ex1_amnt]])/(Table20[[#This Row],[Exit2]]+Table20[[#This Row],[Exit1]]),0)</f>
        <v>6.7</v>
      </c>
      <c r="T591" s="5">
        <f>(Table20[[#This Row],[Exit1]]+Table20[[#This Row],[Exit2]])*(Table20[[#This Row],[avg_exit_price]]-Table20[[#This Row],[AvePrice]])*100*Table20[[#This Row],[Buy or Sell]]</f>
        <v>401.99999999999994</v>
      </c>
      <c r="U591" s="5">
        <f>Table20[[#This Row],[Number of options]]*Table20[[#This Row],[AvePrice]]*100*Table20[[#This Row],[Buy or Sell]]</f>
        <v>268</v>
      </c>
      <c r="V591" s="8">
        <f>Table20[[#This Row],[Number of options]]-Table20[[#This Row],[Exit1]]-Table20[[#This Row],[Exit2]]</f>
        <v>0</v>
      </c>
      <c r="W591" s="30">
        <f ca="1">(Table20[[#This Row],[Expiration Date]]-TODAY())/365</f>
        <v>-0.89863013698630134</v>
      </c>
      <c r="X591" s="30" t="e">
        <f ca="1">(LN(Table20[[#This Row],[Current Price]]/Table20[[#This Row],[strike_price]]) + ($B$2 + (Table20[[#This Row],[Vol]]^2)/2)*Table20[[#This Row],[Time to expiration]]) / (Table20[[#This Row],[Vol]] * SQRT(Table20[[#This Row],[Time to expiration]]))</f>
        <v>#NUM!</v>
      </c>
      <c r="Y591" s="30" t="e">
        <f ca="1">IF(Table20[[#This Row],[Direction]]&gt;0, _xlfn.NORM.S.DIST(Table20[[#This Row],[d1]], TRUE), _xlfn.NORM.S.DIST(Table20[[#This Row],[d1]], TRUE) - 1) * Table20[[#This Row],[Buy or Sell]]</f>
        <v>#NUM!</v>
      </c>
      <c r="Z591" s="9">
        <f ca="1">Table20[[#This Row],[Remaining]]*Table20[[#This Row],[Current Price]]*100</f>
        <v>0</v>
      </c>
      <c r="AA591" s="22">
        <f ca="1">IFERROR(Table20[[#This Row],[nominal_exposure]]*Table20[[#This Row],[Delta]],0)</f>
        <v>0</v>
      </c>
      <c r="AB591" s="30" t="b">
        <f>IF(Table20[[#This Row],[date_purchased]]&lt;&gt;Table20[[#This Row],[Expiration Date]],FALSE,TRUE)</f>
        <v>0</v>
      </c>
      <c r="AC591" s="30" t="str">
        <f>VLOOKUP(Table20[[#This Row],[Asset]],Table19[#All],3,FALSE)</f>
        <v>Gold and Silver</v>
      </c>
      <c r="AD591" s="30">
        <f>IF(Table20[[#This Row],[Remaining]]&lt;&gt;0,Table20[[#This Row],[Invested]]*Table20[[#This Row],[Remaining]]/Table20[[#This Row],[Number of options]],0)</f>
        <v>0</v>
      </c>
      <c r="AE591" s="30">
        <f ca="1">SUMIF(Table20[Ticker],Table20[[#This Row],[Ticker]],Table20[realized_profit])</f>
        <v>228</v>
      </c>
      <c r="AF591" s="30" t="str">
        <f>VLOOKUP(Table20[[#This Row],[Strategy]],Table29[#All],7,FALSE)</f>
        <v>Bearish</v>
      </c>
    </row>
    <row r="592" spans="1:32" hidden="1">
      <c r="A592" s="180">
        <v>45775</v>
      </c>
      <c r="B592" s="21" t="e" vm="106">
        <v>#VALUE!</v>
      </c>
      <c r="C592" s="109" t="str" cm="1">
        <f t="array" aca="1" ref="C592" ca="1">_FV(Table20[[#This Row],[Asset]],"Ticker symbol",TRUE)</f>
        <v>GLD</v>
      </c>
      <c r="D592" s="26" cm="1">
        <f t="array" aca="1" ref="D592" ca="1">_FV(Table20[[#This Row],[Asset]],"Price")</f>
        <v>419.54</v>
      </c>
      <c r="E592" s="26">
        <v>310</v>
      </c>
      <c r="F592" s="33">
        <v>1</v>
      </c>
      <c r="G592" s="34">
        <v>1</v>
      </c>
      <c r="H592" s="34" t="s">
        <v>65</v>
      </c>
      <c r="I592" s="31">
        <v>45768</v>
      </c>
      <c r="J592" s="26">
        <v>2.69</v>
      </c>
      <c r="K592" s="24"/>
      <c r="L592" s="33">
        <f>VLOOKUP(Table20[[#This Row],[Strategy]],Table29[#All],6,FALSE)</f>
        <v>-1</v>
      </c>
      <c r="M592" s="23">
        <v>1</v>
      </c>
      <c r="N592" s="23">
        <v>8.5399999999999991</v>
      </c>
      <c r="O592" s="23"/>
      <c r="P592" s="23"/>
      <c r="Q592">
        <f>Table20[[#This Row],[Exit1]]*Table20[[#This Row],[ex1_price]]</f>
        <v>8.5399999999999991</v>
      </c>
      <c r="R592">
        <f>Table20[[#This Row],[Exit2]]*Table20[[#This Row],[ex2_price]]</f>
        <v>0</v>
      </c>
      <c r="S592">
        <f>IFERROR((Table20[[#This Row],[ex2_amnt]]+Table20[[#This Row],[ex1_amnt]])/(Table20[[#This Row],[Exit2]]+Table20[[#This Row],[Exit1]]),0)</f>
        <v>8.5399999999999991</v>
      </c>
      <c r="T592" s="5">
        <f>(Table20[[#This Row],[Exit1]]+Table20[[#This Row],[Exit2]])*(Table20[[#This Row],[avg_exit_price]]-Table20[[#This Row],[AvePrice]])*100*Table20[[#This Row],[Buy or Sell]]</f>
        <v>585</v>
      </c>
      <c r="U592" s="5">
        <f>Table20[[#This Row],[Number of options]]*Table20[[#This Row],[AvePrice]]*100*Table20[[#This Row],[Buy or Sell]]</f>
        <v>269</v>
      </c>
      <c r="V592" s="8">
        <f>Table20[[#This Row],[Number of options]]-Table20[[#This Row],[Exit1]]-Table20[[#This Row],[Exit2]]</f>
        <v>0</v>
      </c>
      <c r="W592" s="30">
        <f ca="1">(Table20[[#This Row],[Expiration Date]]-TODAY())/365</f>
        <v>-0.90958904109589045</v>
      </c>
      <c r="X592" s="30" t="e">
        <f ca="1">(LN(Table20[[#This Row],[Current Price]]/Table20[[#This Row],[strike_price]]) + ($B$2 + (Table20[[#This Row],[Vol]]^2)/2)*Table20[[#This Row],[Time to expiration]]) / (Table20[[#This Row],[Vol]] * SQRT(Table20[[#This Row],[Time to expiration]]))</f>
        <v>#NUM!</v>
      </c>
      <c r="Y592" s="30" t="e">
        <f ca="1">IF(Table20[[#This Row],[Direction]]&gt;0, _xlfn.NORM.S.DIST(Table20[[#This Row],[d1]], TRUE), _xlfn.NORM.S.DIST(Table20[[#This Row],[d1]], TRUE) - 1) * Table20[[#This Row],[Buy or Sell]]</f>
        <v>#NUM!</v>
      </c>
      <c r="Z592" s="9">
        <f ca="1">Table20[[#This Row],[Remaining]]*Table20[[#This Row],[Current Price]]*100</f>
        <v>0</v>
      </c>
      <c r="AA592" s="22">
        <f ca="1">IFERROR(Table20[[#This Row],[nominal_exposure]]*Table20[[#This Row],[Delta]],0)</f>
        <v>0</v>
      </c>
      <c r="AB592" s="30" t="b">
        <f>IF(Table20[[#This Row],[date_purchased]]&lt;&gt;Table20[[#This Row],[Expiration Date]],FALSE,TRUE)</f>
        <v>0</v>
      </c>
      <c r="AC592" s="30" t="str">
        <f>VLOOKUP(Table20[[#This Row],[Asset]],Table19[#All],3,FALSE)</f>
        <v>Gold and Silver</v>
      </c>
      <c r="AD592" s="30">
        <f>IF(Table20[[#This Row],[Remaining]]&lt;&gt;0,Table20[[#This Row],[Invested]]*Table20[[#This Row],[Remaining]]/Table20[[#This Row],[Number of options]],0)</f>
        <v>0</v>
      </c>
      <c r="AE592" s="30">
        <f ca="1">SUMIF(Table20[Ticker],Table20[[#This Row],[Ticker]],Table20[realized_profit])</f>
        <v>228</v>
      </c>
      <c r="AF592" s="30" t="str">
        <f>VLOOKUP(Table20[[#This Row],[Strategy]],Table29[#All],7,FALSE)</f>
        <v>Bearish</v>
      </c>
    </row>
    <row r="593" spans="1:32" hidden="1">
      <c r="A593" s="180">
        <v>45779</v>
      </c>
      <c r="B593" s="21" t="e" vm="63">
        <v>#VALUE!</v>
      </c>
      <c r="C593" s="109" t="str" cm="1">
        <f t="array" aca="1" ref="C593" ca="1">_FV(Table20[[#This Row],[Asset]],"Ticker symbol",TRUE)</f>
        <v>TSLA</v>
      </c>
      <c r="D593" s="26" cm="1">
        <f t="array" aca="1" ref="D593" ca="1">_FV(Table20[[#This Row],[Asset]],"Price")</f>
        <v>394.5401</v>
      </c>
      <c r="E593" s="26">
        <v>310</v>
      </c>
      <c r="F593" s="33">
        <v>2</v>
      </c>
      <c r="G593" s="34">
        <v>-1</v>
      </c>
      <c r="H593" s="34" t="s">
        <v>115</v>
      </c>
      <c r="I593" s="31">
        <v>45769</v>
      </c>
      <c r="J593" s="26">
        <v>0.69</v>
      </c>
      <c r="K593" s="24"/>
      <c r="L593" s="33">
        <f>VLOOKUP(Table20[[#This Row],[Strategy]],Table29[#All],6,FALSE)</f>
        <v>1</v>
      </c>
      <c r="M593" s="23">
        <v>2</v>
      </c>
      <c r="N593" s="23">
        <v>0.84499999999999997</v>
      </c>
      <c r="O593" s="23"/>
      <c r="P593" s="23"/>
      <c r="Q593">
        <f>Table20[[#This Row],[Exit1]]*Table20[[#This Row],[ex1_price]]</f>
        <v>1.69</v>
      </c>
      <c r="R593">
        <f>Table20[[#This Row],[Exit2]]*Table20[[#This Row],[ex2_price]]</f>
        <v>0</v>
      </c>
      <c r="S593">
        <f>IFERROR((Table20[[#This Row],[ex2_amnt]]+Table20[[#This Row],[ex1_amnt]])/(Table20[[#This Row],[Exit2]]+Table20[[#This Row],[Exit1]]),0)</f>
        <v>0.84499999999999997</v>
      </c>
      <c r="T593" s="5">
        <f>(Table20[[#This Row],[Exit1]]+Table20[[#This Row],[Exit2]])*(Table20[[#This Row],[avg_exit_price]]-Table20[[#This Row],[AvePrice]])*100*Table20[[#This Row],[Buy or Sell]]</f>
        <v>-31.000000000000007</v>
      </c>
      <c r="U593" s="5">
        <f>Table20[[#This Row],[Number of options]]*Table20[[#This Row],[AvePrice]]*100*Table20[[#This Row],[Buy or Sell]]</f>
        <v>-138</v>
      </c>
      <c r="V593" s="8">
        <f>Table20[[#This Row],[Number of options]]-Table20[[#This Row],[Exit1]]-Table20[[#This Row],[Exit2]]</f>
        <v>0</v>
      </c>
      <c r="W593" s="30">
        <f ca="1">(Table20[[#This Row],[Expiration Date]]-TODAY())/365</f>
        <v>-0.89863013698630134</v>
      </c>
      <c r="X593" s="30" t="e">
        <f ca="1">(LN(Table20[[#This Row],[Current Price]]/Table20[[#This Row],[strike_price]]) + ($B$2 + (Table20[[#This Row],[Vol]]^2)/2)*Table20[[#This Row],[Time to expiration]]) / (Table20[[#This Row],[Vol]] * SQRT(Table20[[#This Row],[Time to expiration]]))</f>
        <v>#NUM!</v>
      </c>
      <c r="Y593" s="30" t="e">
        <f ca="1">IF(Table20[[#This Row],[Direction]]&gt;0, _xlfn.NORM.S.DIST(Table20[[#This Row],[d1]], TRUE), _xlfn.NORM.S.DIST(Table20[[#This Row],[d1]], TRUE) - 1) * Table20[[#This Row],[Buy or Sell]]</f>
        <v>#NUM!</v>
      </c>
      <c r="Z593" s="9">
        <f ca="1">Table20[[#This Row],[Remaining]]*Table20[[#This Row],[Current Price]]*100</f>
        <v>0</v>
      </c>
      <c r="AA593" s="22">
        <f ca="1">IFERROR(Table20[[#This Row],[nominal_exposure]]*Table20[[#This Row],[Delta]],0)</f>
        <v>0</v>
      </c>
      <c r="AB593" s="30" t="b">
        <f>IF(Table20[[#This Row],[date_purchased]]&lt;&gt;Table20[[#This Row],[Expiration Date]],FALSE,TRUE)</f>
        <v>0</v>
      </c>
      <c r="AC593" s="30" t="str">
        <f>VLOOKUP(Table20[[#This Row],[Asset]],Table19[#All],3,FALSE)</f>
        <v>Auto</v>
      </c>
      <c r="AD593" s="30">
        <f>IF(Table20[[#This Row],[Remaining]]&lt;&gt;0,Table20[[#This Row],[Invested]]*Table20[[#This Row],[Remaining]]/Table20[[#This Row],[Number of options]],0)</f>
        <v>0</v>
      </c>
      <c r="AE593" s="30">
        <f ca="1">SUMIF(Table20[Ticker],Table20[[#This Row],[Ticker]],Table20[realized_profit])</f>
        <v>4153</v>
      </c>
      <c r="AF593" s="30" t="str">
        <f>VLOOKUP(Table20[[#This Row],[Strategy]],Table29[#All],7,FALSE)</f>
        <v>Bullish</v>
      </c>
    </row>
    <row r="594" spans="1:32" hidden="1">
      <c r="A594" s="180">
        <v>45807</v>
      </c>
      <c r="B594" s="21" t="e" vm="63">
        <v>#VALUE!</v>
      </c>
      <c r="C594" s="109" t="str" cm="1">
        <f t="array" aca="1" ref="C594" ca="1">_FV(Table20[[#This Row],[Asset]],"Ticker symbol",TRUE)</f>
        <v>TSLA</v>
      </c>
      <c r="D594" s="26" cm="1">
        <f t="array" aca="1" ref="D594" ca="1">_FV(Table20[[#This Row],[Asset]],"Price")</f>
        <v>394.5401</v>
      </c>
      <c r="E594" s="26">
        <v>310</v>
      </c>
      <c r="F594" s="33">
        <v>2</v>
      </c>
      <c r="G594" s="34">
        <v>1</v>
      </c>
      <c r="H594" s="34" t="s">
        <v>115</v>
      </c>
      <c r="I594" s="31">
        <v>45769</v>
      </c>
      <c r="J594" s="26">
        <v>2.98</v>
      </c>
      <c r="K594" s="24"/>
      <c r="L594" s="33">
        <f>VLOOKUP(Table20[[#This Row],[Strategy]],Table29[#All],6,FALSE)</f>
        <v>1</v>
      </c>
      <c r="M594" s="23">
        <v>2</v>
      </c>
      <c r="N594" s="23">
        <v>5.42</v>
      </c>
      <c r="O594" s="23"/>
      <c r="P594" s="23"/>
      <c r="Q594">
        <f>Table20[[#This Row],[Exit1]]*Table20[[#This Row],[ex1_price]]</f>
        <v>10.84</v>
      </c>
      <c r="R594">
        <f>Table20[[#This Row],[Exit2]]*Table20[[#This Row],[ex2_price]]</f>
        <v>0</v>
      </c>
      <c r="S594">
        <f>IFERROR((Table20[[#This Row],[ex2_amnt]]+Table20[[#This Row],[ex1_amnt]])/(Table20[[#This Row],[Exit2]]+Table20[[#This Row],[Exit1]]),0)</f>
        <v>5.42</v>
      </c>
      <c r="T594" s="5">
        <f>(Table20[[#This Row],[Exit1]]+Table20[[#This Row],[Exit2]])*(Table20[[#This Row],[avg_exit_price]]-Table20[[#This Row],[AvePrice]])*100*Table20[[#This Row],[Buy or Sell]]</f>
        <v>488</v>
      </c>
      <c r="U594" s="5">
        <f>Table20[[#This Row],[Number of options]]*Table20[[#This Row],[AvePrice]]*100*Table20[[#This Row],[Buy or Sell]]</f>
        <v>596</v>
      </c>
      <c r="V594" s="8">
        <f>Table20[[#This Row],[Number of options]]-Table20[[#This Row],[Exit1]]-Table20[[#This Row],[Exit2]]</f>
        <v>0</v>
      </c>
      <c r="W594" s="30">
        <f ca="1">(Table20[[#This Row],[Expiration Date]]-TODAY())/365</f>
        <v>-0.82191780821917804</v>
      </c>
      <c r="X594" s="30" t="e">
        <f ca="1">(LN(Table20[[#This Row],[Current Price]]/Table20[[#This Row],[strike_price]]) + ($B$2 + (Table20[[#This Row],[Vol]]^2)/2)*Table20[[#This Row],[Time to expiration]]) / (Table20[[#This Row],[Vol]] * SQRT(Table20[[#This Row],[Time to expiration]]))</f>
        <v>#NUM!</v>
      </c>
      <c r="Y594" s="30" t="e">
        <f ca="1">IF(Table20[[#This Row],[Direction]]&gt;0, _xlfn.NORM.S.DIST(Table20[[#This Row],[d1]], TRUE), _xlfn.NORM.S.DIST(Table20[[#This Row],[d1]], TRUE) - 1) * Table20[[#This Row],[Buy or Sell]]</f>
        <v>#NUM!</v>
      </c>
      <c r="Z594" s="9">
        <f ca="1">Table20[[#This Row],[Remaining]]*Table20[[#This Row],[Current Price]]*100</f>
        <v>0</v>
      </c>
      <c r="AA594" s="22">
        <f ca="1">IFERROR(Table20[[#This Row],[nominal_exposure]]*Table20[[#This Row],[Delta]],0)</f>
        <v>0</v>
      </c>
      <c r="AB594" s="30" t="b">
        <f>IF(Table20[[#This Row],[date_purchased]]&lt;&gt;Table20[[#This Row],[Expiration Date]],FALSE,TRUE)</f>
        <v>0</v>
      </c>
      <c r="AC594" s="30" t="str">
        <f>VLOOKUP(Table20[[#This Row],[Asset]],Table19[#All],3,FALSE)</f>
        <v>Auto</v>
      </c>
      <c r="AD594" s="30">
        <f>IF(Table20[[#This Row],[Remaining]]&lt;&gt;0,Table20[[#This Row],[Invested]]*Table20[[#This Row],[Remaining]]/Table20[[#This Row],[Number of options]],0)</f>
        <v>0</v>
      </c>
      <c r="AE594" s="30">
        <f ca="1">SUMIF(Table20[Ticker],Table20[[#This Row],[Ticker]],Table20[realized_profit])</f>
        <v>4153</v>
      </c>
      <c r="AF594" s="30" t="str">
        <f>VLOOKUP(Table20[[#This Row],[Strategy]],Table29[#All],7,FALSE)</f>
        <v>Bullish</v>
      </c>
    </row>
    <row r="595" spans="1:32" hidden="1">
      <c r="A595" s="180">
        <v>45793</v>
      </c>
      <c r="B595" s="21" t="e" vm="96">
        <v>#VALUE!</v>
      </c>
      <c r="C595" s="109" t="str" cm="1">
        <f t="array" aca="1" ref="C595" ca="1">_FV(Table20[[#This Row],[Asset]],"Ticker symbol",TRUE)</f>
        <v>SPY</v>
      </c>
      <c r="D595" s="26" cm="1">
        <f t="array" aca="1" ref="D595" ca="1">_FV(Table20[[#This Row],[Asset]],"Price")</f>
        <v>658.59</v>
      </c>
      <c r="E595" s="26">
        <v>540</v>
      </c>
      <c r="F595" s="33">
        <v>3</v>
      </c>
      <c r="G595" s="34">
        <v>1</v>
      </c>
      <c r="H595" s="34" t="s">
        <v>112</v>
      </c>
      <c r="I595" s="31">
        <v>45778</v>
      </c>
      <c r="J595" s="26">
        <v>4.43</v>
      </c>
      <c r="K595" s="24"/>
      <c r="L595" s="33">
        <f>VLOOKUP(Table20[[#This Row],[Strategy]],Table29[#All],6,FALSE)</f>
        <v>-1</v>
      </c>
      <c r="M595" s="23">
        <v>3</v>
      </c>
      <c r="N595" s="23">
        <v>0.83</v>
      </c>
      <c r="O595" s="23"/>
      <c r="P595" s="23"/>
      <c r="Q595">
        <f>Table20[[#This Row],[Exit1]]*Table20[[#This Row],[ex1_price]]</f>
        <v>2.4899999999999998</v>
      </c>
      <c r="R595">
        <f>Table20[[#This Row],[Exit2]]*Table20[[#This Row],[ex2_price]]</f>
        <v>0</v>
      </c>
      <c r="S595">
        <f>IFERROR((Table20[[#This Row],[ex2_amnt]]+Table20[[#This Row],[ex1_amnt]])/(Table20[[#This Row],[Exit2]]+Table20[[#This Row],[Exit1]]),0)</f>
        <v>0.83</v>
      </c>
      <c r="T595" s="5">
        <f>(Table20[[#This Row],[Exit1]]+Table20[[#This Row],[Exit2]])*(Table20[[#This Row],[avg_exit_price]]-Table20[[#This Row],[AvePrice]])*100*Table20[[#This Row],[Buy or Sell]]</f>
        <v>-1080</v>
      </c>
      <c r="U595" s="5">
        <f>Table20[[#This Row],[Number of options]]*Table20[[#This Row],[AvePrice]]*100*Table20[[#This Row],[Buy or Sell]]</f>
        <v>1329</v>
      </c>
      <c r="V595" s="8">
        <f>Table20[[#This Row],[Number of options]]-Table20[[#This Row],[Exit1]]-Table20[[#This Row],[Exit2]]</f>
        <v>0</v>
      </c>
      <c r="W595" s="30">
        <f ca="1">(Table20[[#This Row],[Expiration Date]]-TODAY())/365</f>
        <v>-0.86027397260273974</v>
      </c>
      <c r="X595" s="30" t="e">
        <f ca="1">(LN(Table20[[#This Row],[Current Price]]/Table20[[#This Row],[strike_price]]) + ($B$2 + (Table20[[#This Row],[Vol]]^2)/2)*Table20[[#This Row],[Time to expiration]]) / (Table20[[#This Row],[Vol]] * SQRT(Table20[[#This Row],[Time to expiration]]))</f>
        <v>#NUM!</v>
      </c>
      <c r="Y595" s="30" t="e">
        <f ca="1">IF(Table20[[#This Row],[Direction]]&gt;0, _xlfn.NORM.S.DIST(Table20[[#This Row],[d1]], TRUE), _xlfn.NORM.S.DIST(Table20[[#This Row],[d1]], TRUE) - 1) * Table20[[#This Row],[Buy or Sell]]</f>
        <v>#NUM!</v>
      </c>
      <c r="Z595" s="9">
        <f ca="1">Table20[[#This Row],[Remaining]]*Table20[[#This Row],[Current Price]]*100</f>
        <v>0</v>
      </c>
      <c r="AA595" s="22">
        <f ca="1">IFERROR(Table20[[#This Row],[nominal_exposure]]*Table20[[#This Row],[Delta]],0)</f>
        <v>0</v>
      </c>
      <c r="AB595" s="30" t="b">
        <f>IF(Table20[[#This Row],[date_purchased]]&lt;&gt;Table20[[#This Row],[Expiration Date]],FALSE,TRUE)</f>
        <v>0</v>
      </c>
      <c r="AC595" s="30" t="str">
        <f>VLOOKUP(Table20[[#This Row],[Asset]],Table19[#All],3,FALSE)</f>
        <v>Market</v>
      </c>
      <c r="AD595" s="30">
        <f>IF(Table20[[#This Row],[Remaining]]&lt;&gt;0,Table20[[#This Row],[Invested]]*Table20[[#This Row],[Remaining]]/Table20[[#This Row],[Number of options]],0)</f>
        <v>0</v>
      </c>
      <c r="AE595" s="30">
        <f ca="1">SUMIF(Table20[Ticker],Table20[[#This Row],[Ticker]],Table20[realized_profit])</f>
        <v>-5077</v>
      </c>
      <c r="AF595" s="30" t="str">
        <f>VLOOKUP(Table20[[#This Row],[Strategy]],Table29[#All],7,FALSE)</f>
        <v>Bearish</v>
      </c>
    </row>
    <row r="596" spans="1:32" hidden="1">
      <c r="A596" s="180">
        <v>45793</v>
      </c>
      <c r="B596" s="21" t="e" vm="96">
        <v>#VALUE!</v>
      </c>
      <c r="C596" s="109" t="str" cm="1">
        <f t="array" aca="1" ref="C596" ca="1">_FV(Table20[[#This Row],[Asset]],"Ticker symbol",TRUE)</f>
        <v>SPY</v>
      </c>
      <c r="D596" s="26" cm="1">
        <f t="array" aca="1" ref="D596" ca="1">_FV(Table20[[#This Row],[Asset]],"Price")</f>
        <v>658.59</v>
      </c>
      <c r="E596" s="26">
        <v>530</v>
      </c>
      <c r="F596" s="33">
        <v>3</v>
      </c>
      <c r="G596" s="34">
        <v>-1</v>
      </c>
      <c r="H596" s="34" t="s">
        <v>112</v>
      </c>
      <c r="I596" s="31">
        <v>45778</v>
      </c>
      <c r="J596" s="26">
        <v>2.91</v>
      </c>
      <c r="K596" s="24"/>
      <c r="L596" s="33">
        <f>VLOOKUP(Table20[[#This Row],[Strategy]],Table29[#All],6,FALSE)</f>
        <v>-1</v>
      </c>
      <c r="M596" s="23">
        <v>3</v>
      </c>
      <c r="N596" s="23">
        <v>0.47</v>
      </c>
      <c r="O596" s="23"/>
      <c r="P596" s="23"/>
      <c r="Q596">
        <f>Table20[[#This Row],[Exit1]]*Table20[[#This Row],[ex1_price]]</f>
        <v>1.41</v>
      </c>
      <c r="R596">
        <f>Table20[[#This Row],[Exit2]]*Table20[[#This Row],[ex2_price]]</f>
        <v>0</v>
      </c>
      <c r="S596">
        <f>IFERROR((Table20[[#This Row],[ex2_amnt]]+Table20[[#This Row],[ex1_amnt]])/(Table20[[#This Row],[Exit2]]+Table20[[#This Row],[Exit1]]),0)</f>
        <v>0.47</v>
      </c>
      <c r="T596" s="5">
        <f>(Table20[[#This Row],[Exit1]]+Table20[[#This Row],[Exit2]])*(Table20[[#This Row],[avg_exit_price]]-Table20[[#This Row],[AvePrice]])*100*Table20[[#This Row],[Buy or Sell]]</f>
        <v>732.00000000000011</v>
      </c>
      <c r="U596" s="5">
        <f>Table20[[#This Row],[Number of options]]*Table20[[#This Row],[AvePrice]]*100*Table20[[#This Row],[Buy or Sell]]</f>
        <v>-873</v>
      </c>
      <c r="V596" s="8">
        <f>Table20[[#This Row],[Number of options]]-Table20[[#This Row],[Exit1]]-Table20[[#This Row],[Exit2]]</f>
        <v>0</v>
      </c>
      <c r="W596" s="30">
        <f ca="1">(Table20[[#This Row],[Expiration Date]]-TODAY())/365</f>
        <v>-0.86027397260273974</v>
      </c>
      <c r="X596" s="30" t="e">
        <f ca="1">(LN(Table20[[#This Row],[Current Price]]/Table20[[#This Row],[strike_price]]) + ($B$2 + (Table20[[#This Row],[Vol]]^2)/2)*Table20[[#This Row],[Time to expiration]]) / (Table20[[#This Row],[Vol]] * SQRT(Table20[[#This Row],[Time to expiration]]))</f>
        <v>#NUM!</v>
      </c>
      <c r="Y596" s="30" t="e">
        <f ca="1">IF(Table20[[#This Row],[Direction]]&gt;0, _xlfn.NORM.S.DIST(Table20[[#This Row],[d1]], TRUE), _xlfn.NORM.S.DIST(Table20[[#This Row],[d1]], TRUE) - 1) * Table20[[#This Row],[Buy or Sell]]</f>
        <v>#NUM!</v>
      </c>
      <c r="Z596" s="9">
        <f ca="1">Table20[[#This Row],[Remaining]]*Table20[[#This Row],[Current Price]]*100</f>
        <v>0</v>
      </c>
      <c r="AA596" s="22">
        <f ca="1">IFERROR(Table20[[#This Row],[nominal_exposure]]*Table20[[#This Row],[Delta]],0)</f>
        <v>0</v>
      </c>
      <c r="AB596" s="30" t="b">
        <f>IF(Table20[[#This Row],[date_purchased]]&lt;&gt;Table20[[#This Row],[Expiration Date]],FALSE,TRUE)</f>
        <v>0</v>
      </c>
      <c r="AC596" s="30" t="str">
        <f>VLOOKUP(Table20[[#This Row],[Asset]],Table19[#All],3,FALSE)</f>
        <v>Market</v>
      </c>
      <c r="AD596" s="30">
        <f>IF(Table20[[#This Row],[Remaining]]&lt;&gt;0,Table20[[#This Row],[Invested]]*Table20[[#This Row],[Remaining]]/Table20[[#This Row],[Number of options]],0)</f>
        <v>0</v>
      </c>
      <c r="AE596" s="30">
        <f ca="1">SUMIF(Table20[Ticker],Table20[[#This Row],[Ticker]],Table20[realized_profit])</f>
        <v>-5077</v>
      </c>
      <c r="AF596" s="30" t="str">
        <f>VLOOKUP(Table20[[#This Row],[Strategy]],Table29[#All],7,FALSE)</f>
        <v>Bearish</v>
      </c>
    </row>
    <row r="597" spans="1:32" hidden="1">
      <c r="A597" s="180">
        <v>45828</v>
      </c>
      <c r="B597" s="21" t="e" vm="557">
        <v>#VALUE!</v>
      </c>
      <c r="C597" s="109" t="str" cm="1">
        <f t="array" aca="1" ref="C597" ca="1">_FV(Table20[[#This Row],[Asset]],"Ticker symbol",TRUE)</f>
        <v>HYG</v>
      </c>
      <c r="D597" s="26" cm="1">
        <f t="array" aca="1" ref="D597" ca="1">_FV(Table20[[#This Row],[Asset]],"Price")</f>
        <v>79.525000000000006</v>
      </c>
      <c r="E597" s="26">
        <v>77</v>
      </c>
      <c r="F597" s="33">
        <v>4</v>
      </c>
      <c r="G597" s="34">
        <v>1</v>
      </c>
      <c r="H597" s="34" t="s">
        <v>65</v>
      </c>
      <c r="I597" s="31">
        <v>45775</v>
      </c>
      <c r="J597" s="26">
        <v>0.66</v>
      </c>
      <c r="K597" s="24"/>
      <c r="L597" s="33">
        <f>VLOOKUP(Table20[[#This Row],[Strategy]],Table29[#All],6,FALSE)</f>
        <v>-1</v>
      </c>
      <c r="M597" s="23">
        <v>4</v>
      </c>
      <c r="N597" s="23">
        <v>0.16</v>
      </c>
      <c r="O597" s="23"/>
      <c r="P597" s="23"/>
      <c r="Q597">
        <f>Table20[[#This Row],[Exit1]]*Table20[[#This Row],[ex1_price]]</f>
        <v>0.64</v>
      </c>
      <c r="R597">
        <f>Table20[[#This Row],[Exit2]]*Table20[[#This Row],[ex2_price]]</f>
        <v>0</v>
      </c>
      <c r="S597">
        <f>IFERROR((Table20[[#This Row],[ex2_amnt]]+Table20[[#This Row],[ex1_amnt]])/(Table20[[#This Row],[Exit2]]+Table20[[#This Row],[Exit1]]),0)</f>
        <v>0.16</v>
      </c>
      <c r="T597" s="5">
        <f>(Table20[[#This Row],[Exit1]]+Table20[[#This Row],[Exit2]])*(Table20[[#This Row],[avg_exit_price]]-Table20[[#This Row],[AvePrice]])*100*Table20[[#This Row],[Buy or Sell]]</f>
        <v>-200</v>
      </c>
      <c r="U597" s="5">
        <f>Table20[[#This Row],[Number of options]]*Table20[[#This Row],[AvePrice]]*100*Table20[[#This Row],[Buy or Sell]]</f>
        <v>264</v>
      </c>
      <c r="V597" s="8">
        <f>Table20[[#This Row],[Number of options]]-Table20[[#This Row],[Exit1]]-Table20[[#This Row],[Exit2]]</f>
        <v>0</v>
      </c>
      <c r="W597" s="30">
        <f ca="1">(Table20[[#This Row],[Expiration Date]]-TODAY())/365</f>
        <v>-0.76438356164383559</v>
      </c>
      <c r="X597" s="30" t="e">
        <f ca="1">(LN(Table20[[#This Row],[Current Price]]/Table20[[#This Row],[strike_price]]) + ($B$2 + (Table20[[#This Row],[Vol]]^2)/2)*Table20[[#This Row],[Time to expiration]]) / (Table20[[#This Row],[Vol]] * SQRT(Table20[[#This Row],[Time to expiration]]))</f>
        <v>#NUM!</v>
      </c>
      <c r="Y597" s="30" t="e">
        <f ca="1">IF(Table20[[#This Row],[Direction]]&gt;0, _xlfn.NORM.S.DIST(Table20[[#This Row],[d1]], TRUE), _xlfn.NORM.S.DIST(Table20[[#This Row],[d1]], TRUE) - 1) * Table20[[#This Row],[Buy or Sell]]</f>
        <v>#NUM!</v>
      </c>
      <c r="Z597" s="9">
        <f ca="1">Table20[[#This Row],[Remaining]]*Table20[[#This Row],[Current Price]]*100</f>
        <v>0</v>
      </c>
      <c r="AA597" s="22">
        <f ca="1">IFERROR(Table20[[#This Row],[nominal_exposure]]*Table20[[#This Row],[Delta]],0)</f>
        <v>0</v>
      </c>
      <c r="AB597" s="30" t="b">
        <f>IF(Table20[[#This Row],[date_purchased]]&lt;&gt;Table20[[#This Row],[Expiration Date]],FALSE,TRUE)</f>
        <v>0</v>
      </c>
      <c r="AC597" s="30" t="str">
        <f>VLOOKUP(Table20[[#This Row],[Asset]],Table19[#All],3,FALSE)</f>
        <v>Market</v>
      </c>
      <c r="AD597" s="30">
        <f>IF(Table20[[#This Row],[Remaining]]&lt;&gt;0,Table20[[#This Row],[Invested]]*Table20[[#This Row],[Remaining]]/Table20[[#This Row],[Number of options]],0)</f>
        <v>0</v>
      </c>
      <c r="AE597" s="30">
        <f ca="1">SUMIF(Table20[Ticker],Table20[[#This Row],[Ticker]],Table20[realized_profit])</f>
        <v>37.000000000000227</v>
      </c>
      <c r="AF597" s="30" t="str">
        <f>VLOOKUP(Table20[[#This Row],[Strategy]],Table29[#All],7,FALSE)</f>
        <v>Bearish</v>
      </c>
    </row>
    <row r="598" spans="1:32" hidden="1">
      <c r="A598" s="180">
        <v>45828</v>
      </c>
      <c r="B598" s="21" t="e" vm="168">
        <v>#VALUE!</v>
      </c>
      <c r="C598" s="109" t="str" cm="1">
        <f t="array" aca="1" ref="C598" ca="1">_FV(Table20[[#This Row],[Asset]],"Ticker symbol",TRUE)</f>
        <v>PDD</v>
      </c>
      <c r="D598" s="26" cm="1">
        <f t="array" aca="1" ref="D598" ca="1">_FV(Table20[[#This Row],[Asset]],"Price")</f>
        <v>106.22</v>
      </c>
      <c r="E598" s="26">
        <v>95</v>
      </c>
      <c r="F598" s="33">
        <v>1</v>
      </c>
      <c r="G598" s="34">
        <v>1</v>
      </c>
      <c r="H598" s="34" t="s">
        <v>65</v>
      </c>
      <c r="I598" s="31">
        <v>45776</v>
      </c>
      <c r="J598" s="26">
        <v>3.55</v>
      </c>
      <c r="K598" s="24"/>
      <c r="L598" s="33">
        <f>VLOOKUP(Table20[[#This Row],[Strategy]],Table29[#All],6,FALSE)</f>
        <v>-1</v>
      </c>
      <c r="M598" s="23">
        <v>1</v>
      </c>
      <c r="N598" s="23">
        <v>2.16</v>
      </c>
      <c r="O598" s="23"/>
      <c r="P598" s="23"/>
      <c r="Q598">
        <f>Table20[[#This Row],[Exit1]]*Table20[[#This Row],[ex1_price]]</f>
        <v>2.16</v>
      </c>
      <c r="R598">
        <f>Table20[[#This Row],[Exit2]]*Table20[[#This Row],[ex2_price]]</f>
        <v>0</v>
      </c>
      <c r="S598">
        <f>IFERROR((Table20[[#This Row],[ex2_amnt]]+Table20[[#This Row],[ex1_amnt]])/(Table20[[#This Row],[Exit2]]+Table20[[#This Row],[Exit1]]),0)</f>
        <v>2.16</v>
      </c>
      <c r="T598" s="5">
        <f>(Table20[[#This Row],[Exit1]]+Table20[[#This Row],[Exit2]])*(Table20[[#This Row],[avg_exit_price]]-Table20[[#This Row],[AvePrice]])*100*Table20[[#This Row],[Buy or Sell]]</f>
        <v>-138.99999999999997</v>
      </c>
      <c r="U598" s="5">
        <f>Table20[[#This Row],[Number of options]]*Table20[[#This Row],[AvePrice]]*100*Table20[[#This Row],[Buy or Sell]]</f>
        <v>355</v>
      </c>
      <c r="V598" s="8">
        <f>Table20[[#This Row],[Number of options]]-Table20[[#This Row],[Exit1]]-Table20[[#This Row],[Exit2]]</f>
        <v>0</v>
      </c>
      <c r="W598" s="30">
        <f ca="1">(Table20[[#This Row],[Expiration Date]]-TODAY())/365</f>
        <v>-0.76438356164383559</v>
      </c>
      <c r="X598" s="30" t="e">
        <f ca="1">(LN(Table20[[#This Row],[Current Price]]/Table20[[#This Row],[strike_price]]) + ($B$2 + (Table20[[#This Row],[Vol]]^2)/2)*Table20[[#This Row],[Time to expiration]]) / (Table20[[#This Row],[Vol]] * SQRT(Table20[[#This Row],[Time to expiration]]))</f>
        <v>#NUM!</v>
      </c>
      <c r="Y598" s="30" t="e">
        <f ca="1">IF(Table20[[#This Row],[Direction]]&gt;0, _xlfn.NORM.S.DIST(Table20[[#This Row],[d1]], TRUE), _xlfn.NORM.S.DIST(Table20[[#This Row],[d1]], TRUE) - 1) * Table20[[#This Row],[Buy or Sell]]</f>
        <v>#NUM!</v>
      </c>
      <c r="Z598" s="9">
        <f ca="1">Table20[[#This Row],[Remaining]]*Table20[[#This Row],[Current Price]]*100</f>
        <v>0</v>
      </c>
      <c r="AA598" s="22">
        <f ca="1">IFERROR(Table20[[#This Row],[nominal_exposure]]*Table20[[#This Row],[Delta]],0)</f>
        <v>0</v>
      </c>
      <c r="AB598" s="30" t="b">
        <f>IF(Table20[[#This Row],[date_purchased]]&lt;&gt;Table20[[#This Row],[Expiration Date]],FALSE,TRUE)</f>
        <v>0</v>
      </c>
      <c r="AC598" s="30" t="str">
        <f>VLOOKUP(Table20[[#This Row],[Asset]],Table19[#All],3,FALSE)</f>
        <v>China</v>
      </c>
      <c r="AD598" s="30">
        <f>IF(Table20[[#This Row],[Remaining]]&lt;&gt;0,Table20[[#This Row],[Invested]]*Table20[[#This Row],[Remaining]]/Table20[[#This Row],[Number of options]],0)</f>
        <v>0</v>
      </c>
      <c r="AE598" s="30">
        <f ca="1">SUMIF(Table20[Ticker],Table20[[#This Row],[Ticker]],Table20[realized_profit])</f>
        <v>1390</v>
      </c>
      <c r="AF598" s="30" t="str">
        <f>VLOOKUP(Table20[[#This Row],[Strategy]],Table29[#All],7,FALSE)</f>
        <v>Bearish</v>
      </c>
    </row>
    <row r="599" spans="1:32" hidden="1">
      <c r="A599" s="180">
        <v>45770</v>
      </c>
      <c r="B599" s="21" t="e" vm="96">
        <v>#VALUE!</v>
      </c>
      <c r="C599" s="109" t="str" cm="1">
        <f t="array" aca="1" ref="C599" ca="1">_FV(Table20[[#This Row],[Asset]],"Ticker symbol",TRUE)</f>
        <v>SPY</v>
      </c>
      <c r="D599" s="26" cm="1">
        <f t="array" aca="1" ref="D599" ca="1">_FV(Table20[[#This Row],[Asset]],"Price")</f>
        <v>658.59</v>
      </c>
      <c r="E599" s="26">
        <v>535</v>
      </c>
      <c r="F599" s="33">
        <v>1</v>
      </c>
      <c r="G599" s="34">
        <v>1</v>
      </c>
      <c r="H599" s="34" t="s">
        <v>65</v>
      </c>
      <c r="I599" s="31">
        <v>45770</v>
      </c>
      <c r="J599" s="26">
        <v>2.02</v>
      </c>
      <c r="K599" s="24"/>
      <c r="L599" s="33">
        <f>VLOOKUP(Table20[[#This Row],[Strategy]],Table29[#All],6,FALSE)</f>
        <v>-1</v>
      </c>
      <c r="M599" s="23">
        <v>1</v>
      </c>
      <c r="N599" s="23">
        <v>1.73</v>
      </c>
      <c r="O599" s="23"/>
      <c r="P599" s="23"/>
      <c r="Q599">
        <f>Table20[[#This Row],[Exit1]]*Table20[[#This Row],[ex1_price]]</f>
        <v>1.73</v>
      </c>
      <c r="R599">
        <f>Table20[[#This Row],[Exit2]]*Table20[[#This Row],[ex2_price]]</f>
        <v>0</v>
      </c>
      <c r="S599">
        <f>IFERROR((Table20[[#This Row],[ex2_amnt]]+Table20[[#This Row],[ex1_amnt]])/(Table20[[#This Row],[Exit2]]+Table20[[#This Row],[Exit1]]),0)</f>
        <v>1.73</v>
      </c>
      <c r="T599" s="5">
        <f>(Table20[[#This Row],[Exit1]]+Table20[[#This Row],[Exit2]])*(Table20[[#This Row],[avg_exit_price]]-Table20[[#This Row],[AvePrice]])*100*Table20[[#This Row],[Buy or Sell]]</f>
        <v>-29.000000000000004</v>
      </c>
      <c r="U599" s="5">
        <f>Table20[[#This Row],[Number of options]]*Table20[[#This Row],[AvePrice]]*100*Table20[[#This Row],[Buy or Sell]]</f>
        <v>202</v>
      </c>
      <c r="V599" s="8">
        <f>Table20[[#This Row],[Number of options]]-Table20[[#This Row],[Exit1]]-Table20[[#This Row],[Exit2]]</f>
        <v>0</v>
      </c>
      <c r="W599" s="30">
        <f ca="1">(Table20[[#This Row],[Expiration Date]]-TODAY())/365</f>
        <v>-0.92328767123287669</v>
      </c>
      <c r="X599" s="30" t="e">
        <f ca="1">(LN(Table20[[#This Row],[Current Price]]/Table20[[#This Row],[strike_price]]) + ($B$2 + (Table20[[#This Row],[Vol]]^2)/2)*Table20[[#This Row],[Time to expiration]]) / (Table20[[#This Row],[Vol]] * SQRT(Table20[[#This Row],[Time to expiration]]))</f>
        <v>#NUM!</v>
      </c>
      <c r="Y599" s="30" t="e">
        <f ca="1">IF(Table20[[#This Row],[Direction]]&gt;0, _xlfn.NORM.S.DIST(Table20[[#This Row],[d1]], TRUE), _xlfn.NORM.S.DIST(Table20[[#This Row],[d1]], TRUE) - 1) * Table20[[#This Row],[Buy or Sell]]</f>
        <v>#NUM!</v>
      </c>
      <c r="Z599" s="9">
        <f ca="1">Table20[[#This Row],[Remaining]]*Table20[[#This Row],[Current Price]]*100</f>
        <v>0</v>
      </c>
      <c r="AA599" s="22">
        <f ca="1">IFERROR(Table20[[#This Row],[nominal_exposure]]*Table20[[#This Row],[Delta]],0)</f>
        <v>0</v>
      </c>
      <c r="AB599" s="30" t="b">
        <f>IF(Table20[[#This Row],[date_purchased]]&lt;&gt;Table20[[#This Row],[Expiration Date]],FALSE,TRUE)</f>
        <v>1</v>
      </c>
      <c r="AC599" s="30" t="str">
        <f>VLOOKUP(Table20[[#This Row],[Asset]],Table19[#All],3,FALSE)</f>
        <v>Market</v>
      </c>
      <c r="AD599" s="30">
        <f>IF(Table20[[#This Row],[Remaining]]&lt;&gt;0,Table20[[#This Row],[Invested]]*Table20[[#This Row],[Remaining]]/Table20[[#This Row],[Number of options]],0)</f>
        <v>0</v>
      </c>
      <c r="AE599" s="30">
        <f ca="1">SUMIF(Table20[Ticker],Table20[[#This Row],[Ticker]],Table20[realized_profit])</f>
        <v>-5077</v>
      </c>
      <c r="AF599" s="30" t="str">
        <f>VLOOKUP(Table20[[#This Row],[Strategy]],Table29[#All],7,FALSE)</f>
        <v>Bearish</v>
      </c>
    </row>
    <row r="600" spans="1:32" hidden="1">
      <c r="A600" s="180">
        <v>45828</v>
      </c>
      <c r="B600" s="21" t="e" vm="144">
        <v>#VALUE!</v>
      </c>
      <c r="C600" s="109" t="str" cm="1">
        <f t="array" aca="1" ref="C600" ca="1">_FV(Table20[[#This Row],[Asset]],"Ticker symbol",TRUE)</f>
        <v>AAPL</v>
      </c>
      <c r="D600" s="26" cm="1">
        <f t="array" aca="1" ref="D600" ca="1">_FV(Table20[[#This Row],[Asset]],"Price")</f>
        <v>253.2</v>
      </c>
      <c r="E600" s="26">
        <v>160</v>
      </c>
      <c r="F600" s="33">
        <v>1</v>
      </c>
      <c r="G600" s="34">
        <v>-1</v>
      </c>
      <c r="H600" s="34" t="s">
        <v>112</v>
      </c>
      <c r="I600" s="31">
        <v>45764</v>
      </c>
      <c r="J600" s="26">
        <v>2.54</v>
      </c>
      <c r="K600" s="24">
        <v>0.47</v>
      </c>
      <c r="L600" s="33">
        <f>VLOOKUP(Table20[[#This Row],[Strategy]],Table29[#All],6,FALSE)</f>
        <v>-1</v>
      </c>
      <c r="M600" s="23">
        <v>1</v>
      </c>
      <c r="N600" s="23">
        <v>0</v>
      </c>
      <c r="O600" s="23"/>
      <c r="P600" s="23"/>
      <c r="Q600">
        <f>Table20[[#This Row],[Exit1]]*Table20[[#This Row],[ex1_price]]</f>
        <v>0</v>
      </c>
      <c r="R600">
        <f>Table20[[#This Row],[Exit2]]*Table20[[#This Row],[ex2_price]]</f>
        <v>0</v>
      </c>
      <c r="S600">
        <f>IFERROR((Table20[[#This Row],[ex2_amnt]]+Table20[[#This Row],[ex1_amnt]])/(Table20[[#This Row],[Exit2]]+Table20[[#This Row],[Exit1]]),0)</f>
        <v>0</v>
      </c>
      <c r="T600" s="5">
        <f>(Table20[[#This Row],[Exit1]]+Table20[[#This Row],[Exit2]])*(Table20[[#This Row],[avg_exit_price]]-Table20[[#This Row],[AvePrice]])*100*Table20[[#This Row],[Buy or Sell]]</f>
        <v>254</v>
      </c>
      <c r="U600" s="5">
        <f>Table20[[#This Row],[Number of options]]*Table20[[#This Row],[AvePrice]]*100*Table20[[#This Row],[Buy or Sell]]</f>
        <v>-254</v>
      </c>
      <c r="V600" s="8">
        <f>Table20[[#This Row],[Number of options]]-Table20[[#This Row],[Exit1]]-Table20[[#This Row],[Exit2]]</f>
        <v>0</v>
      </c>
      <c r="W600" s="30">
        <f ca="1">(Table20[[#This Row],[Expiration Date]]-TODAY())/365</f>
        <v>-0.76438356164383559</v>
      </c>
      <c r="X600" s="30" t="e">
        <f ca="1">(LN(Table20[[#This Row],[Current Price]]/Table20[[#This Row],[strike_price]]) + ($B$2 + (Table20[[#This Row],[Vol]]^2)/2)*Table20[[#This Row],[Time to expiration]]) / (Table20[[#This Row],[Vol]] * SQRT(Table20[[#This Row],[Time to expiration]]))</f>
        <v>#NUM!</v>
      </c>
      <c r="Y600" s="30" t="e">
        <f ca="1">IF(Table20[[#This Row],[Direction]]&gt;0, _xlfn.NORM.S.DIST(Table20[[#This Row],[d1]], TRUE), _xlfn.NORM.S.DIST(Table20[[#This Row],[d1]], TRUE) - 1) * Table20[[#This Row],[Buy or Sell]]</f>
        <v>#NUM!</v>
      </c>
      <c r="Z600" s="9">
        <f ca="1">Table20[[#This Row],[Remaining]]*Table20[[#This Row],[Current Price]]*100</f>
        <v>0</v>
      </c>
      <c r="AA600" s="22">
        <f ca="1">IFERROR(Table20[[#This Row],[nominal_exposure]]*Table20[[#This Row],[Delta]],0)</f>
        <v>0</v>
      </c>
      <c r="AB600" s="30" t="b">
        <f>IF(Table20[[#This Row],[date_purchased]]&lt;&gt;Table20[[#This Row],[Expiration Date]],FALSE,TRUE)</f>
        <v>0</v>
      </c>
      <c r="AC600" s="30" t="str">
        <f>VLOOKUP(Table20[[#This Row],[Asset]],Table19[#All],3,FALSE)</f>
        <v>AI</v>
      </c>
      <c r="AD600" s="30">
        <f>IF(Table20[[#This Row],[Remaining]]&lt;&gt;0,Table20[[#This Row],[Invested]]*Table20[[#This Row],[Remaining]]/Table20[[#This Row],[Number of options]],0)</f>
        <v>0</v>
      </c>
      <c r="AE600" s="30">
        <f ca="1">SUMIF(Table20[Ticker],Table20[[#This Row],[Ticker]],Table20[realized_profit])</f>
        <v>-153.9999999999996</v>
      </c>
      <c r="AF600" s="30" t="str">
        <f>VLOOKUP(Table20[[#This Row],[Strategy]],Table29[#All],7,FALSE)</f>
        <v>Bearish</v>
      </c>
    </row>
    <row r="601" spans="1:32" hidden="1">
      <c r="A601" s="180">
        <v>45772</v>
      </c>
      <c r="B601" s="21" t="e" vm="159">
        <v>#VALUE!</v>
      </c>
      <c r="C601" s="109" t="str" cm="1">
        <f t="array" aca="1" ref="C601" ca="1">_FV(Table20[[#This Row],[Asset]],"Ticker symbol",TRUE)</f>
        <v>BABA</v>
      </c>
      <c r="D601" s="26" cm="1">
        <f t="array" aca="1" ref="D601" ca="1">_FV(Table20[[#This Row],[Asset]],"Price")</f>
        <v>129.63999999999999</v>
      </c>
      <c r="E601" s="26">
        <v>120</v>
      </c>
      <c r="F601" s="33">
        <v>1</v>
      </c>
      <c r="G601" s="34">
        <v>1</v>
      </c>
      <c r="H601" s="34" t="s">
        <v>65</v>
      </c>
      <c r="I601" s="31">
        <v>45770</v>
      </c>
      <c r="J601" s="26">
        <v>2.78</v>
      </c>
      <c r="K601" s="24"/>
      <c r="L601" s="33">
        <f>VLOOKUP(Table20[[#This Row],[Strategy]],Table29[#All],6,FALSE)</f>
        <v>-1</v>
      </c>
      <c r="M601" s="23">
        <v>1</v>
      </c>
      <c r="N601" s="23">
        <v>0.57999999999999996</v>
      </c>
      <c r="O601" s="23"/>
      <c r="P601" s="23"/>
      <c r="Q601">
        <f>Table20[[#This Row],[Exit1]]*Table20[[#This Row],[ex1_price]]</f>
        <v>0.57999999999999996</v>
      </c>
      <c r="R601">
        <f>Table20[[#This Row],[Exit2]]*Table20[[#This Row],[ex2_price]]</f>
        <v>0</v>
      </c>
      <c r="S601">
        <f>IFERROR((Table20[[#This Row],[ex2_amnt]]+Table20[[#This Row],[ex1_amnt]])/(Table20[[#This Row],[Exit2]]+Table20[[#This Row],[Exit1]]),0)</f>
        <v>0.57999999999999996</v>
      </c>
      <c r="T601" s="5">
        <f>(Table20[[#This Row],[Exit1]]+Table20[[#This Row],[Exit2]])*(Table20[[#This Row],[avg_exit_price]]-Table20[[#This Row],[AvePrice]])*100*Table20[[#This Row],[Buy or Sell]]</f>
        <v>-219.99999999999997</v>
      </c>
      <c r="U601" s="5">
        <f>Table20[[#This Row],[Number of options]]*Table20[[#This Row],[AvePrice]]*100*Table20[[#This Row],[Buy or Sell]]</f>
        <v>278</v>
      </c>
      <c r="V601" s="8">
        <f>Table20[[#This Row],[Number of options]]-Table20[[#This Row],[Exit1]]-Table20[[#This Row],[Exit2]]</f>
        <v>0</v>
      </c>
      <c r="W601" s="30">
        <f ca="1">(Table20[[#This Row],[Expiration Date]]-TODAY())/365</f>
        <v>-0.9178082191780822</v>
      </c>
      <c r="X601" s="30" t="e">
        <f ca="1">(LN(Table20[[#This Row],[Current Price]]/Table20[[#This Row],[strike_price]]) + ($B$2 + (Table20[[#This Row],[Vol]]^2)/2)*Table20[[#This Row],[Time to expiration]]) / (Table20[[#This Row],[Vol]] * SQRT(Table20[[#This Row],[Time to expiration]]))</f>
        <v>#NUM!</v>
      </c>
      <c r="Y601" s="30" t="e">
        <f ca="1">IF(Table20[[#This Row],[Direction]]&gt;0, _xlfn.NORM.S.DIST(Table20[[#This Row],[d1]], TRUE), _xlfn.NORM.S.DIST(Table20[[#This Row],[d1]], TRUE) - 1) * Table20[[#This Row],[Buy or Sell]]</f>
        <v>#NUM!</v>
      </c>
      <c r="Z601" s="9">
        <f ca="1">Table20[[#This Row],[Remaining]]*Table20[[#This Row],[Current Price]]*100</f>
        <v>0</v>
      </c>
      <c r="AA601" s="22">
        <f ca="1">IFERROR(Table20[[#This Row],[nominal_exposure]]*Table20[[#This Row],[Delta]],0)</f>
        <v>0</v>
      </c>
      <c r="AB601" s="30" t="b">
        <f>IF(Table20[[#This Row],[date_purchased]]&lt;&gt;Table20[[#This Row],[Expiration Date]],FALSE,TRUE)</f>
        <v>0</v>
      </c>
      <c r="AC601" s="30" t="str">
        <f>VLOOKUP(Table20[[#This Row],[Asset]],Table19[#All],3,FALSE)</f>
        <v>China</v>
      </c>
      <c r="AD601" s="30">
        <f>IF(Table20[[#This Row],[Remaining]]&lt;&gt;0,Table20[[#This Row],[Invested]]*Table20[[#This Row],[Remaining]]/Table20[[#This Row],[Number of options]],0)</f>
        <v>0</v>
      </c>
      <c r="AE601" s="30">
        <f ca="1">SUMIF(Table20[Ticker],Table20[[#This Row],[Ticker]],Table20[realized_profit])</f>
        <v>5855</v>
      </c>
      <c r="AF601" s="30" t="str">
        <f>VLOOKUP(Table20[[#This Row],[Strategy]],Table29[#All],7,FALSE)</f>
        <v>Bearish</v>
      </c>
    </row>
    <row r="602" spans="1:32" hidden="1">
      <c r="A602" s="180">
        <v>45779</v>
      </c>
      <c r="B602" s="21" t="e" vm="106">
        <v>#VALUE!</v>
      </c>
      <c r="C602" s="109" t="str" cm="1">
        <f t="array" aca="1" ref="C602" ca="1">_FV(Table20[[#This Row],[Asset]],"Ticker symbol",TRUE)</f>
        <v>GLD</v>
      </c>
      <c r="D602" s="26" cm="1">
        <f t="array" aca="1" ref="D602" ca="1">_FV(Table20[[#This Row],[Asset]],"Price")</f>
        <v>419.54</v>
      </c>
      <c r="E602" s="26">
        <v>302</v>
      </c>
      <c r="F602" s="33">
        <v>2</v>
      </c>
      <c r="G602" s="34">
        <v>1</v>
      </c>
      <c r="H602" s="34" t="s">
        <v>65</v>
      </c>
      <c r="I602" s="31">
        <v>45771</v>
      </c>
      <c r="J602" s="26">
        <v>2.39</v>
      </c>
      <c r="K602" s="24"/>
      <c r="L602" s="33">
        <f>VLOOKUP(Table20[[#This Row],[Strategy]],Table29[#All],6,FALSE)</f>
        <v>-1</v>
      </c>
      <c r="M602" s="23">
        <v>2</v>
      </c>
      <c r="N602" s="23">
        <v>1.87</v>
      </c>
      <c r="O602" s="23"/>
      <c r="P602" s="23"/>
      <c r="Q602">
        <f>Table20[[#This Row],[Exit1]]*Table20[[#This Row],[ex1_price]]</f>
        <v>3.74</v>
      </c>
      <c r="R602">
        <f>Table20[[#This Row],[Exit2]]*Table20[[#This Row],[ex2_price]]</f>
        <v>0</v>
      </c>
      <c r="S602">
        <f>IFERROR((Table20[[#This Row],[ex2_amnt]]+Table20[[#This Row],[ex1_amnt]])/(Table20[[#This Row],[Exit2]]+Table20[[#This Row],[Exit1]]),0)</f>
        <v>1.87</v>
      </c>
      <c r="T602" s="5">
        <f>(Table20[[#This Row],[Exit1]]+Table20[[#This Row],[Exit2]])*(Table20[[#This Row],[avg_exit_price]]-Table20[[#This Row],[AvePrice]])*100*Table20[[#This Row],[Buy or Sell]]</f>
        <v>-104</v>
      </c>
      <c r="U602" s="5">
        <f>Table20[[#This Row],[Number of options]]*Table20[[#This Row],[AvePrice]]*100*Table20[[#This Row],[Buy or Sell]]</f>
        <v>478</v>
      </c>
      <c r="V602" s="8">
        <f>Table20[[#This Row],[Number of options]]-Table20[[#This Row],[Exit1]]-Table20[[#This Row],[Exit2]]</f>
        <v>0</v>
      </c>
      <c r="W602" s="30">
        <f ca="1">(Table20[[#This Row],[Expiration Date]]-TODAY())/365</f>
        <v>-0.89863013698630134</v>
      </c>
      <c r="X602" s="30" t="e">
        <f ca="1">(LN(Table20[[#This Row],[Current Price]]/Table20[[#This Row],[strike_price]]) + ($B$2 + (Table20[[#This Row],[Vol]]^2)/2)*Table20[[#This Row],[Time to expiration]]) / (Table20[[#This Row],[Vol]] * SQRT(Table20[[#This Row],[Time to expiration]]))</f>
        <v>#NUM!</v>
      </c>
      <c r="Y602" s="30" t="e">
        <f ca="1">IF(Table20[[#This Row],[Direction]]&gt;0, _xlfn.NORM.S.DIST(Table20[[#This Row],[d1]], TRUE), _xlfn.NORM.S.DIST(Table20[[#This Row],[d1]], TRUE) - 1) * Table20[[#This Row],[Buy or Sell]]</f>
        <v>#NUM!</v>
      </c>
      <c r="Z602" s="9">
        <f ca="1">Table20[[#This Row],[Remaining]]*Table20[[#This Row],[Current Price]]*100</f>
        <v>0</v>
      </c>
      <c r="AA602" s="22">
        <f ca="1">IFERROR(Table20[[#This Row],[nominal_exposure]]*Table20[[#This Row],[Delta]],0)</f>
        <v>0</v>
      </c>
      <c r="AB602" s="30" t="b">
        <f>IF(Table20[[#This Row],[date_purchased]]&lt;&gt;Table20[[#This Row],[Expiration Date]],FALSE,TRUE)</f>
        <v>0</v>
      </c>
      <c r="AC602" s="30" t="str">
        <f>VLOOKUP(Table20[[#This Row],[Asset]],Table19[#All],3,FALSE)</f>
        <v>Gold and Silver</v>
      </c>
      <c r="AD602" s="30">
        <f>IF(Table20[[#This Row],[Remaining]]&lt;&gt;0,Table20[[#This Row],[Invested]]*Table20[[#This Row],[Remaining]]/Table20[[#This Row],[Number of options]],0)</f>
        <v>0</v>
      </c>
      <c r="AE602" s="30">
        <f ca="1">SUMIF(Table20[Ticker],Table20[[#This Row],[Ticker]],Table20[realized_profit])</f>
        <v>228</v>
      </c>
      <c r="AF602" s="30" t="str">
        <f>VLOOKUP(Table20[[#This Row],[Strategy]],Table29[#All],7,FALSE)</f>
        <v>Bearish</v>
      </c>
    </row>
    <row r="603" spans="1:32" hidden="1">
      <c r="A603" s="180">
        <v>45884</v>
      </c>
      <c r="B603" s="21" t="e" vm="148">
        <v>#VALUE!</v>
      </c>
      <c r="C603" s="109" t="str" cm="1">
        <f t="array" aca="1" ref="C603" ca="1">_FV(Table20[[#This Row],[Asset]],"Ticker symbol",TRUE)</f>
        <v>META</v>
      </c>
      <c r="D603" s="26" cm="1">
        <f t="array" aca="1" ref="D603" ca="1">_FV(Table20[[#This Row],[Asset]],"Price")</f>
        <v>599.32000000000005</v>
      </c>
      <c r="E603" s="26">
        <v>750</v>
      </c>
      <c r="F603" s="33">
        <v>2</v>
      </c>
      <c r="G603" s="34">
        <v>1</v>
      </c>
      <c r="H603" s="34" t="s">
        <v>115</v>
      </c>
      <c r="I603" s="31">
        <v>45771</v>
      </c>
      <c r="J603" s="26">
        <v>3.83</v>
      </c>
      <c r="K603" s="24"/>
      <c r="L603" s="33">
        <f>VLOOKUP(Table20[[#This Row],[Strategy]],Table29[#All],6,FALSE)</f>
        <v>1</v>
      </c>
      <c r="M603" s="23">
        <v>2</v>
      </c>
      <c r="N603" s="23">
        <v>11.65</v>
      </c>
      <c r="O603" s="23"/>
      <c r="P603" s="23"/>
      <c r="Q603">
        <f>Table20[[#This Row],[Exit1]]*Table20[[#This Row],[ex1_price]]</f>
        <v>23.3</v>
      </c>
      <c r="R603">
        <f>Table20[[#This Row],[Exit2]]*Table20[[#This Row],[ex2_price]]</f>
        <v>0</v>
      </c>
      <c r="S603">
        <f>IFERROR((Table20[[#This Row],[ex2_amnt]]+Table20[[#This Row],[ex1_amnt]])/(Table20[[#This Row],[Exit2]]+Table20[[#This Row],[Exit1]]),0)</f>
        <v>11.65</v>
      </c>
      <c r="T603" s="5">
        <f>(Table20[[#This Row],[Exit1]]+Table20[[#This Row],[Exit2]])*(Table20[[#This Row],[avg_exit_price]]-Table20[[#This Row],[AvePrice]])*100*Table20[[#This Row],[Buy or Sell]]</f>
        <v>1564</v>
      </c>
      <c r="U603" s="5">
        <f>Table20[[#This Row],[Number of options]]*Table20[[#This Row],[AvePrice]]*100*Table20[[#This Row],[Buy or Sell]]</f>
        <v>766</v>
      </c>
      <c r="V603" s="8">
        <f>Table20[[#This Row],[Number of options]]-Table20[[#This Row],[Exit1]]-Table20[[#This Row],[Exit2]]</f>
        <v>0</v>
      </c>
      <c r="W603" s="30">
        <f ca="1">(Table20[[#This Row],[Expiration Date]]-TODAY())/365</f>
        <v>-0.61095890410958908</v>
      </c>
      <c r="X603" s="30" t="e">
        <f ca="1">(LN(Table20[[#This Row],[Current Price]]/Table20[[#This Row],[strike_price]]) + ($B$2 + (Table20[[#This Row],[Vol]]^2)/2)*Table20[[#This Row],[Time to expiration]]) / (Table20[[#This Row],[Vol]] * SQRT(Table20[[#This Row],[Time to expiration]]))</f>
        <v>#NUM!</v>
      </c>
      <c r="Y603" s="30" t="e">
        <f ca="1">IF(Table20[[#This Row],[Direction]]&gt;0, _xlfn.NORM.S.DIST(Table20[[#This Row],[d1]], TRUE), _xlfn.NORM.S.DIST(Table20[[#This Row],[d1]], TRUE) - 1) * Table20[[#This Row],[Buy or Sell]]</f>
        <v>#NUM!</v>
      </c>
      <c r="Z603" s="9">
        <f ca="1">Table20[[#This Row],[Remaining]]*Table20[[#This Row],[Current Price]]*100</f>
        <v>0</v>
      </c>
      <c r="AA603" s="22">
        <f ca="1">IFERROR(Table20[[#This Row],[nominal_exposure]]*Table20[[#This Row],[Delta]],0)</f>
        <v>0</v>
      </c>
      <c r="AB603" s="30" t="b">
        <f>IF(Table20[[#This Row],[date_purchased]]&lt;&gt;Table20[[#This Row],[Expiration Date]],FALSE,TRUE)</f>
        <v>0</v>
      </c>
      <c r="AC603" s="30" t="str">
        <f>VLOOKUP(Table20[[#This Row],[Asset]],Table19[#All],3,FALSE)</f>
        <v>AI</v>
      </c>
      <c r="AD603" s="30">
        <f>IF(Table20[[#This Row],[Remaining]]&lt;&gt;0,Table20[[#This Row],[Invested]]*Table20[[#This Row],[Remaining]]/Table20[[#This Row],[Number of options]],0)</f>
        <v>0</v>
      </c>
      <c r="AE603" s="30">
        <f ca="1">SUMIF(Table20[Ticker],Table20[[#This Row],[Ticker]],Table20[realized_profit])</f>
        <v>2450</v>
      </c>
      <c r="AF603" s="30" t="str">
        <f>VLOOKUP(Table20[[#This Row],[Strategy]],Table29[#All],7,FALSE)</f>
        <v>Bullish</v>
      </c>
    </row>
    <row r="604" spans="1:32" hidden="1">
      <c r="A604" s="180">
        <v>45919</v>
      </c>
      <c r="B604" s="21" t="e" vm="34">
        <v>#VALUE!</v>
      </c>
      <c r="C604" s="109" t="str" cm="1">
        <f t="array" aca="1" ref="C604" ca="1">_FV(Table20[[#This Row],[Asset]],"Ticker symbol",TRUE)</f>
        <v>TSM</v>
      </c>
      <c r="D604" s="26" cm="1">
        <f t="array" aca="1" ref="D604" ca="1">_FV(Table20[[#This Row],[Asset]],"Price")</f>
        <v>348.52499999999998</v>
      </c>
      <c r="E604" s="26">
        <v>100</v>
      </c>
      <c r="F604" s="33">
        <v>1</v>
      </c>
      <c r="G604" s="34">
        <v>1</v>
      </c>
      <c r="H604" s="34" t="s">
        <v>65</v>
      </c>
      <c r="I604" s="31">
        <v>45761</v>
      </c>
      <c r="J604" s="26">
        <v>2.67</v>
      </c>
      <c r="K604" s="24"/>
      <c r="L604" s="33">
        <f>VLOOKUP(Table20[[#This Row],[Strategy]],Table29[#All],6,FALSE)</f>
        <v>-1</v>
      </c>
      <c r="M604" s="23">
        <v>1</v>
      </c>
      <c r="N604" s="23">
        <v>0.46</v>
      </c>
      <c r="O604" s="23"/>
      <c r="P604" s="23"/>
      <c r="Q604">
        <f>Table20[[#This Row],[Exit1]]*Table20[[#This Row],[ex1_price]]</f>
        <v>0.46</v>
      </c>
      <c r="R604">
        <f>Table20[[#This Row],[Exit2]]*Table20[[#This Row],[ex2_price]]</f>
        <v>0</v>
      </c>
      <c r="S604">
        <f>IFERROR((Table20[[#This Row],[ex2_amnt]]+Table20[[#This Row],[ex1_amnt]])/(Table20[[#This Row],[Exit2]]+Table20[[#This Row],[Exit1]]),0)</f>
        <v>0.46</v>
      </c>
      <c r="T604" s="5">
        <f>(Table20[[#This Row],[Exit1]]+Table20[[#This Row],[Exit2]])*(Table20[[#This Row],[avg_exit_price]]-Table20[[#This Row],[AvePrice]])*100*Table20[[#This Row],[Buy or Sell]]</f>
        <v>-221</v>
      </c>
      <c r="U604" s="5">
        <f>Table20[[#This Row],[Number of options]]*Table20[[#This Row],[AvePrice]]*100*Table20[[#This Row],[Buy or Sell]]</f>
        <v>267</v>
      </c>
      <c r="V604" s="8">
        <f>Table20[[#This Row],[Number of options]]-Table20[[#This Row],[Exit1]]-Table20[[#This Row],[Exit2]]</f>
        <v>0</v>
      </c>
      <c r="W604" s="30">
        <f ca="1">(Table20[[#This Row],[Expiration Date]]-TODAY())/365</f>
        <v>-0.51506849315068493</v>
      </c>
      <c r="X604" s="30" t="e">
        <f ca="1">(LN(Table20[[#This Row],[Current Price]]/Table20[[#This Row],[strike_price]]) + ($B$2 + (Table20[[#This Row],[Vol]]^2)/2)*Table20[[#This Row],[Time to expiration]]) / (Table20[[#This Row],[Vol]] * SQRT(Table20[[#This Row],[Time to expiration]]))</f>
        <v>#NUM!</v>
      </c>
      <c r="Y604" s="30" t="e">
        <f ca="1">IF(Table20[[#This Row],[Direction]]&gt;0, _xlfn.NORM.S.DIST(Table20[[#This Row],[d1]], TRUE), _xlfn.NORM.S.DIST(Table20[[#This Row],[d1]], TRUE) - 1) * Table20[[#This Row],[Buy or Sell]]</f>
        <v>#NUM!</v>
      </c>
      <c r="Z604" s="9">
        <f ca="1">Table20[[#This Row],[Remaining]]*Table20[[#This Row],[Current Price]]*100</f>
        <v>0</v>
      </c>
      <c r="AA604" s="22">
        <f ca="1">IFERROR(Table20[[#This Row],[nominal_exposure]]*Table20[[#This Row],[Delta]],0)</f>
        <v>0</v>
      </c>
      <c r="AB604" s="30" t="b">
        <f>IF(Table20[[#This Row],[date_purchased]]&lt;&gt;Table20[[#This Row],[Expiration Date]],FALSE,TRUE)</f>
        <v>0</v>
      </c>
      <c r="AC604" s="30" t="str">
        <f>VLOOKUP(Table20[[#This Row],[Asset]],Table19[#All],3,FALSE)</f>
        <v>AI</v>
      </c>
      <c r="AD604" s="30">
        <f>IF(Table20[[#This Row],[Remaining]]&lt;&gt;0,Table20[[#This Row],[Invested]]*Table20[[#This Row],[Remaining]]/Table20[[#This Row],[Number of options]],0)</f>
        <v>0</v>
      </c>
      <c r="AE604" s="30">
        <f ca="1">SUMIF(Table20[Ticker],Table20[[#This Row],[Ticker]],Table20[realized_profit])</f>
        <v>-444.99999999999977</v>
      </c>
      <c r="AF604" s="30" t="str">
        <f>VLOOKUP(Table20[[#This Row],[Strategy]],Table29[#All],7,FALSE)</f>
        <v>Bearish</v>
      </c>
    </row>
    <row r="605" spans="1:32" hidden="1">
      <c r="A605" s="180">
        <v>45800</v>
      </c>
      <c r="B605" s="21" t="e" vm="96">
        <v>#VALUE!</v>
      </c>
      <c r="C605" s="109" t="str" cm="1">
        <f t="array" aca="1" ref="C605" ca="1">_FV(Table20[[#This Row],[Asset]],"Ticker symbol",TRUE)</f>
        <v>SPY</v>
      </c>
      <c r="D605" s="26" cm="1">
        <f t="array" aca="1" ref="D605" ca="1">_FV(Table20[[#This Row],[Asset]],"Price")</f>
        <v>658.59</v>
      </c>
      <c r="E605" s="26">
        <v>570</v>
      </c>
      <c r="F605" s="33">
        <v>3</v>
      </c>
      <c r="G605" s="34">
        <v>-1</v>
      </c>
      <c r="H605" s="34" t="s">
        <v>112</v>
      </c>
      <c r="I605" s="31">
        <v>45791</v>
      </c>
      <c r="J605" s="26">
        <v>1.26</v>
      </c>
      <c r="K605" s="24"/>
      <c r="L605" s="33">
        <f>VLOOKUP(Table20[[#This Row],[Strategy]],Table29[#All],6,FALSE)</f>
        <v>-1</v>
      </c>
      <c r="M605" s="23">
        <v>3</v>
      </c>
      <c r="N605" s="23">
        <v>0.5</v>
      </c>
      <c r="O605" s="23"/>
      <c r="P605" s="23"/>
      <c r="Q605">
        <f>Table20[[#This Row],[Exit1]]*Table20[[#This Row],[ex1_price]]</f>
        <v>1.5</v>
      </c>
      <c r="R605">
        <f>Table20[[#This Row],[Exit2]]*Table20[[#This Row],[ex2_price]]</f>
        <v>0</v>
      </c>
      <c r="S605">
        <f>IFERROR((Table20[[#This Row],[ex2_amnt]]+Table20[[#This Row],[ex1_amnt]])/(Table20[[#This Row],[Exit2]]+Table20[[#This Row],[Exit1]]),0)</f>
        <v>0.5</v>
      </c>
      <c r="T605" s="5">
        <f>(Table20[[#This Row],[Exit1]]+Table20[[#This Row],[Exit2]])*(Table20[[#This Row],[avg_exit_price]]-Table20[[#This Row],[AvePrice]])*100*Table20[[#This Row],[Buy or Sell]]</f>
        <v>228.00000000000003</v>
      </c>
      <c r="U605" s="5">
        <f>Table20[[#This Row],[Number of options]]*Table20[[#This Row],[AvePrice]]*100*Table20[[#This Row],[Buy or Sell]]</f>
        <v>-378</v>
      </c>
      <c r="V605" s="8">
        <f>Table20[[#This Row],[Number of options]]-Table20[[#This Row],[Exit1]]-Table20[[#This Row],[Exit2]]</f>
        <v>0</v>
      </c>
      <c r="W605" s="30">
        <f ca="1">(Table20[[#This Row],[Expiration Date]]-TODAY())/365</f>
        <v>-0.84109589041095889</v>
      </c>
      <c r="X605" s="30" t="e">
        <f ca="1">(LN(Table20[[#This Row],[Current Price]]/Table20[[#This Row],[strike_price]]) + ($B$2 + (Table20[[#This Row],[Vol]]^2)/2)*Table20[[#This Row],[Time to expiration]]) / (Table20[[#This Row],[Vol]] * SQRT(Table20[[#This Row],[Time to expiration]]))</f>
        <v>#NUM!</v>
      </c>
      <c r="Y605" s="30" t="e">
        <f ca="1">IF(Table20[[#This Row],[Direction]]&gt;0, _xlfn.NORM.S.DIST(Table20[[#This Row],[d1]], TRUE), _xlfn.NORM.S.DIST(Table20[[#This Row],[d1]], TRUE) - 1) * Table20[[#This Row],[Buy or Sell]]</f>
        <v>#NUM!</v>
      </c>
      <c r="Z605" s="9">
        <f ca="1">Table20[[#This Row],[Remaining]]*Table20[[#This Row],[Current Price]]*100</f>
        <v>0</v>
      </c>
      <c r="AA605" s="22">
        <f ca="1">IFERROR(Table20[[#This Row],[nominal_exposure]]*Table20[[#This Row],[Delta]],0)</f>
        <v>0</v>
      </c>
      <c r="AB605" s="30" t="b">
        <f>IF(Table20[[#This Row],[date_purchased]]&lt;&gt;Table20[[#This Row],[Expiration Date]],FALSE,TRUE)</f>
        <v>0</v>
      </c>
      <c r="AC605" s="30" t="str">
        <f>VLOOKUP(Table20[[#This Row],[Asset]],Table19[#All],3,FALSE)</f>
        <v>Market</v>
      </c>
      <c r="AD605" s="30">
        <f>IF(Table20[[#This Row],[Remaining]]&lt;&gt;0,Table20[[#This Row],[Invested]]*Table20[[#This Row],[Remaining]]/Table20[[#This Row],[Number of options]],0)</f>
        <v>0</v>
      </c>
      <c r="AE605" s="30">
        <f ca="1">SUMIF(Table20[Ticker],Table20[[#This Row],[Ticker]],Table20[realized_profit])</f>
        <v>-5077</v>
      </c>
      <c r="AF605" s="30" t="str">
        <f>VLOOKUP(Table20[[#This Row],[Strategy]],Table29[#All],7,FALSE)</f>
        <v>Bearish</v>
      </c>
    </row>
    <row r="606" spans="1:32" hidden="1">
      <c r="A606" s="180">
        <v>45800</v>
      </c>
      <c r="B606" s="21" t="e" vm="96">
        <v>#VALUE!</v>
      </c>
      <c r="C606" s="109" t="str" cm="1">
        <f t="array" aca="1" ref="C606" ca="1">_FV(Table20[[#This Row],[Asset]],"Ticker symbol",TRUE)</f>
        <v>SPY</v>
      </c>
      <c r="D606" s="26" cm="1">
        <f t="array" aca="1" ref="D606" ca="1">_FV(Table20[[#This Row],[Asset]],"Price")</f>
        <v>658.59</v>
      </c>
      <c r="E606" s="26">
        <v>580</v>
      </c>
      <c r="F606" s="33">
        <v>3</v>
      </c>
      <c r="G606" s="34">
        <v>1</v>
      </c>
      <c r="H606" s="34" t="s">
        <v>112</v>
      </c>
      <c r="I606" s="31">
        <v>45791</v>
      </c>
      <c r="J606" s="26">
        <v>2.9</v>
      </c>
      <c r="K606" s="24"/>
      <c r="L606" s="33">
        <f>VLOOKUP(Table20[[#This Row],[Strategy]],Table29[#All],6,FALSE)</f>
        <v>-1</v>
      </c>
      <c r="M606" s="23">
        <v>3</v>
      </c>
      <c r="N606" s="23">
        <v>2.4</v>
      </c>
      <c r="O606" s="23"/>
      <c r="P606" s="23"/>
      <c r="Q606">
        <f>Table20[[#This Row],[Exit1]]*Table20[[#This Row],[ex1_price]]</f>
        <v>7.1999999999999993</v>
      </c>
      <c r="R606">
        <f>Table20[[#This Row],[Exit2]]*Table20[[#This Row],[ex2_price]]</f>
        <v>0</v>
      </c>
      <c r="S606">
        <f>IFERROR((Table20[[#This Row],[ex2_amnt]]+Table20[[#This Row],[ex1_amnt]])/(Table20[[#This Row],[Exit2]]+Table20[[#This Row],[Exit1]]),0)</f>
        <v>2.4</v>
      </c>
      <c r="T606" s="5">
        <f>(Table20[[#This Row],[Exit1]]+Table20[[#This Row],[Exit2]])*(Table20[[#This Row],[avg_exit_price]]-Table20[[#This Row],[AvePrice]])*100*Table20[[#This Row],[Buy or Sell]]</f>
        <v>-150</v>
      </c>
      <c r="U606" s="5">
        <f>Table20[[#This Row],[Number of options]]*Table20[[#This Row],[AvePrice]]*100*Table20[[#This Row],[Buy or Sell]]</f>
        <v>869.99999999999989</v>
      </c>
      <c r="V606" s="8">
        <f>Table20[[#This Row],[Number of options]]-Table20[[#This Row],[Exit1]]-Table20[[#This Row],[Exit2]]</f>
        <v>0</v>
      </c>
      <c r="W606" s="30">
        <f ca="1">(Table20[[#This Row],[Expiration Date]]-TODAY())/365</f>
        <v>-0.84109589041095889</v>
      </c>
      <c r="X606" s="30" t="e">
        <f ca="1">(LN(Table20[[#This Row],[Current Price]]/Table20[[#This Row],[strike_price]]) + ($B$2 + (Table20[[#This Row],[Vol]]^2)/2)*Table20[[#This Row],[Time to expiration]]) / (Table20[[#This Row],[Vol]] * SQRT(Table20[[#This Row],[Time to expiration]]))</f>
        <v>#NUM!</v>
      </c>
      <c r="Y606" s="30" t="e">
        <f ca="1">IF(Table20[[#This Row],[Direction]]&gt;0, _xlfn.NORM.S.DIST(Table20[[#This Row],[d1]], TRUE), _xlfn.NORM.S.DIST(Table20[[#This Row],[d1]], TRUE) - 1) * Table20[[#This Row],[Buy or Sell]]</f>
        <v>#NUM!</v>
      </c>
      <c r="Z606" s="9">
        <f ca="1">Table20[[#This Row],[Remaining]]*Table20[[#This Row],[Current Price]]*100</f>
        <v>0</v>
      </c>
      <c r="AA606" s="22">
        <f ca="1">IFERROR(Table20[[#This Row],[nominal_exposure]]*Table20[[#This Row],[Delta]],0)</f>
        <v>0</v>
      </c>
      <c r="AB606" s="30" t="b">
        <f>IF(Table20[[#This Row],[date_purchased]]&lt;&gt;Table20[[#This Row],[Expiration Date]],FALSE,TRUE)</f>
        <v>0</v>
      </c>
      <c r="AC606" s="30" t="str">
        <f>VLOOKUP(Table20[[#This Row],[Asset]],Table19[#All],3,FALSE)</f>
        <v>Market</v>
      </c>
      <c r="AD606" s="30">
        <f>IF(Table20[[#This Row],[Remaining]]&lt;&gt;0,Table20[[#This Row],[Invested]]*Table20[[#This Row],[Remaining]]/Table20[[#This Row],[Number of options]],0)</f>
        <v>0</v>
      </c>
      <c r="AE606" s="30">
        <f ca="1">SUMIF(Table20[Ticker],Table20[[#This Row],[Ticker]],Table20[realized_profit])</f>
        <v>-5077</v>
      </c>
      <c r="AF606" s="30" t="str">
        <f>VLOOKUP(Table20[[#This Row],[Strategy]],Table29[#All],7,FALSE)</f>
        <v>Bearish</v>
      </c>
    </row>
    <row r="607" spans="1:32" hidden="1">
      <c r="A607" s="180">
        <v>45828</v>
      </c>
      <c r="B607" s="21" t="e" vm="561">
        <v>#VALUE!</v>
      </c>
      <c r="C607" s="109" t="str" cm="1">
        <f t="array" aca="1" ref="C607" ca="1">_FV(Table20[[#This Row],[Asset]],"Ticker symbol",TRUE)</f>
        <v>ABBV</v>
      </c>
      <c r="D607" s="26" cm="1">
        <f t="array" aca="1" ref="D607" ca="1">_FV(Table20[[#This Row],[Asset]],"Price")</f>
        <v>208.065</v>
      </c>
      <c r="E607" s="26">
        <v>180</v>
      </c>
      <c r="F607" s="33">
        <v>2</v>
      </c>
      <c r="G607" s="34">
        <v>1</v>
      </c>
      <c r="H607" s="34" t="s">
        <v>65</v>
      </c>
      <c r="I607" s="31">
        <v>45790</v>
      </c>
      <c r="J607" s="26">
        <v>3.4</v>
      </c>
      <c r="K607" s="24">
        <v>0.29409999999999997</v>
      </c>
      <c r="L607" s="33">
        <f>VLOOKUP(Table20[[#This Row],[Strategy]],Table29[#All],6,FALSE)</f>
        <v>-1</v>
      </c>
      <c r="M607" s="23">
        <v>1</v>
      </c>
      <c r="N607" s="23">
        <v>1.5</v>
      </c>
      <c r="O607" s="23">
        <v>1</v>
      </c>
      <c r="P607" s="23">
        <v>0.91</v>
      </c>
      <c r="Q607">
        <f>Table20[[#This Row],[Exit1]]*Table20[[#This Row],[ex1_price]]</f>
        <v>1.5</v>
      </c>
      <c r="R607">
        <f>Table20[[#This Row],[Exit2]]*Table20[[#This Row],[ex2_price]]</f>
        <v>0.91</v>
      </c>
      <c r="S607">
        <f>IFERROR((Table20[[#This Row],[ex2_amnt]]+Table20[[#This Row],[ex1_amnt]])/(Table20[[#This Row],[Exit2]]+Table20[[#This Row],[Exit1]]),0)</f>
        <v>1.2050000000000001</v>
      </c>
      <c r="T607" s="5">
        <f>(Table20[[#This Row],[Exit1]]+Table20[[#This Row],[Exit2]])*(Table20[[#This Row],[avg_exit_price]]-Table20[[#This Row],[AvePrice]])*100*Table20[[#This Row],[Buy or Sell]]</f>
        <v>-438.99999999999994</v>
      </c>
      <c r="U607" s="5">
        <f>Table20[[#This Row],[Number of options]]*Table20[[#This Row],[AvePrice]]*100*Table20[[#This Row],[Buy or Sell]]</f>
        <v>680</v>
      </c>
      <c r="V607" s="8">
        <f>Table20[[#This Row],[Number of options]]-Table20[[#This Row],[Exit1]]-Table20[[#This Row],[Exit2]]</f>
        <v>0</v>
      </c>
      <c r="W607" s="30">
        <f ca="1">(Table20[[#This Row],[Expiration Date]]-TODAY())/365</f>
        <v>-0.76438356164383559</v>
      </c>
      <c r="X607" s="30" t="e">
        <f ca="1">(LN(Table20[[#This Row],[Current Price]]/Table20[[#This Row],[strike_price]]) + ($B$2 + (Table20[[#This Row],[Vol]]^2)/2)*Table20[[#This Row],[Time to expiration]]) / (Table20[[#This Row],[Vol]] * SQRT(Table20[[#This Row],[Time to expiration]]))</f>
        <v>#NUM!</v>
      </c>
      <c r="Y607" s="30" t="e">
        <f ca="1">IF(Table20[[#This Row],[Direction]]&gt;0, _xlfn.NORM.S.DIST(Table20[[#This Row],[d1]], TRUE), _xlfn.NORM.S.DIST(Table20[[#This Row],[d1]], TRUE) - 1) * Table20[[#This Row],[Buy or Sell]]</f>
        <v>#NUM!</v>
      </c>
      <c r="Z607" s="9">
        <f ca="1">Table20[[#This Row],[Remaining]]*Table20[[#This Row],[Current Price]]*100</f>
        <v>0</v>
      </c>
      <c r="AA607" s="22">
        <f ca="1">IFERROR(Table20[[#This Row],[nominal_exposure]]*Table20[[#This Row],[Delta]],0)</f>
        <v>0</v>
      </c>
      <c r="AB607" s="30" t="b">
        <f>IF(Table20[[#This Row],[date_purchased]]&lt;&gt;Table20[[#This Row],[Expiration Date]],FALSE,TRUE)</f>
        <v>0</v>
      </c>
      <c r="AC607" s="30" t="str">
        <f>VLOOKUP(Table20[[#This Row],[Asset]],Table19[#All],3,FALSE)</f>
        <v>Health Care</v>
      </c>
      <c r="AD607" s="30">
        <f>IF(Table20[[#This Row],[Remaining]]&lt;&gt;0,Table20[[#This Row],[Invested]]*Table20[[#This Row],[Remaining]]/Table20[[#This Row],[Number of options]],0)</f>
        <v>0</v>
      </c>
      <c r="AE607" s="30">
        <f ca="1">SUMIF(Table20[Ticker],Table20[[#This Row],[Ticker]],Table20[realized_profit])</f>
        <v>-240.99999999999994</v>
      </c>
      <c r="AF607" s="30" t="str">
        <f>VLOOKUP(Table20[[#This Row],[Strategy]],Table29[#All],7,FALSE)</f>
        <v>Bearish</v>
      </c>
    </row>
    <row r="608" spans="1:32" hidden="1">
      <c r="A608" s="180">
        <v>45920</v>
      </c>
      <c r="B608" s="21" t="e" vm="557">
        <v>#VALUE!</v>
      </c>
      <c r="C608" s="109" t="str" cm="1">
        <f t="array" aca="1" ref="C608" ca="1">_FV(Table20[[#This Row],[Asset]],"Ticker symbol",TRUE)</f>
        <v>HYG</v>
      </c>
      <c r="D608" s="26" cm="1">
        <f t="array" aca="1" ref="D608" ca="1">_FV(Table20[[#This Row],[Asset]],"Price")</f>
        <v>79.525000000000006</v>
      </c>
      <c r="E608" s="26">
        <v>77</v>
      </c>
      <c r="F608" s="33">
        <v>2</v>
      </c>
      <c r="G608" s="34">
        <v>1</v>
      </c>
      <c r="H608" s="34" t="s">
        <v>65</v>
      </c>
      <c r="I608" s="31">
        <v>45763</v>
      </c>
      <c r="J608" s="26">
        <v>1.41</v>
      </c>
      <c r="K608" s="24"/>
      <c r="L608" s="33">
        <f>VLOOKUP(Table20[[#This Row],[Strategy]],Table29[#All],6,FALSE)</f>
        <v>-1</v>
      </c>
      <c r="M608" s="23">
        <v>2</v>
      </c>
      <c r="N608" s="23">
        <v>1.42</v>
      </c>
      <c r="O608" s="23"/>
      <c r="P608" s="23"/>
      <c r="Q608">
        <f>Table20[[#This Row],[Exit1]]*Table20[[#This Row],[ex1_price]]</f>
        <v>2.84</v>
      </c>
      <c r="R608">
        <f>Table20[[#This Row],[Exit2]]*Table20[[#This Row],[ex2_price]]</f>
        <v>0</v>
      </c>
      <c r="S608">
        <f>IFERROR((Table20[[#This Row],[ex2_amnt]]+Table20[[#This Row],[ex1_amnt]])/(Table20[[#This Row],[Exit2]]+Table20[[#This Row],[Exit1]]),0)</f>
        <v>1.42</v>
      </c>
      <c r="T608" s="5">
        <f>(Table20[[#This Row],[Exit1]]+Table20[[#This Row],[Exit2]])*(Table20[[#This Row],[avg_exit_price]]-Table20[[#This Row],[AvePrice]])*100*Table20[[#This Row],[Buy or Sell]]</f>
        <v>2.0000000000000018</v>
      </c>
      <c r="U608" s="5">
        <f>Table20[[#This Row],[Number of options]]*Table20[[#This Row],[AvePrice]]*100*Table20[[#This Row],[Buy or Sell]]</f>
        <v>282</v>
      </c>
      <c r="V608" s="8">
        <f>Table20[[#This Row],[Number of options]]-Table20[[#This Row],[Exit1]]-Table20[[#This Row],[Exit2]]</f>
        <v>0</v>
      </c>
      <c r="W608" s="30">
        <f ca="1">(Table20[[#This Row],[Expiration Date]]-TODAY())/365</f>
        <v>-0.51232876712328768</v>
      </c>
      <c r="X608" s="30" t="e">
        <f ca="1">(LN(Table20[[#This Row],[Current Price]]/Table20[[#This Row],[strike_price]]) + ($B$2 + (Table20[[#This Row],[Vol]]^2)/2)*Table20[[#This Row],[Time to expiration]]) / (Table20[[#This Row],[Vol]] * SQRT(Table20[[#This Row],[Time to expiration]]))</f>
        <v>#NUM!</v>
      </c>
      <c r="Y608" s="30" t="e">
        <f ca="1">IF(Table20[[#This Row],[Direction]]&gt;0, _xlfn.NORM.S.DIST(Table20[[#This Row],[d1]], TRUE), _xlfn.NORM.S.DIST(Table20[[#This Row],[d1]], TRUE) - 1) * Table20[[#This Row],[Buy or Sell]]</f>
        <v>#NUM!</v>
      </c>
      <c r="Z608" s="9">
        <f ca="1">Table20[[#This Row],[Remaining]]*Table20[[#This Row],[Current Price]]*100</f>
        <v>0</v>
      </c>
      <c r="AA608" s="22">
        <f ca="1">IFERROR(Table20[[#This Row],[nominal_exposure]]*Table20[[#This Row],[Delta]],0)</f>
        <v>0</v>
      </c>
      <c r="AB608" s="30" t="b">
        <f>IF(Table20[[#This Row],[date_purchased]]&lt;&gt;Table20[[#This Row],[Expiration Date]],FALSE,TRUE)</f>
        <v>0</v>
      </c>
      <c r="AC608" s="30" t="str">
        <f>VLOOKUP(Table20[[#This Row],[Asset]],Table19[#All],3,FALSE)</f>
        <v>Market</v>
      </c>
      <c r="AD608" s="30">
        <f>IF(Table20[[#This Row],[Remaining]]&lt;&gt;0,Table20[[#This Row],[Invested]]*Table20[[#This Row],[Remaining]]/Table20[[#This Row],[Number of options]],0)</f>
        <v>0</v>
      </c>
      <c r="AE608" s="30">
        <f ca="1">SUMIF(Table20[Ticker],Table20[[#This Row],[Ticker]],Table20[realized_profit])</f>
        <v>37.000000000000227</v>
      </c>
      <c r="AF608" s="30" t="str">
        <f>VLOOKUP(Table20[[#This Row],[Strategy]],Table29[#All],7,FALSE)</f>
        <v>Bearish</v>
      </c>
    </row>
    <row r="609" spans="1:32" hidden="1">
      <c r="A609" s="180">
        <v>45828</v>
      </c>
      <c r="B609" s="21" t="e" vm="556">
        <v>#VALUE!</v>
      </c>
      <c r="C609" s="109" t="str" cm="1">
        <f t="array" aca="1" ref="C609" ca="1">_FV(Table20[[#This Row],[Asset]],"Ticker symbol",TRUE)</f>
        <v>DOCS</v>
      </c>
      <c r="D609" s="26" cm="1">
        <f t="array" aca="1" ref="D609" ca="1">_FV(Table20[[#This Row],[Asset]],"Price")</f>
        <v>24.17</v>
      </c>
      <c r="E609" s="26">
        <v>50</v>
      </c>
      <c r="F609" s="33">
        <v>1</v>
      </c>
      <c r="G609" s="34">
        <v>1</v>
      </c>
      <c r="H609" s="34" t="s">
        <v>65</v>
      </c>
      <c r="I609" s="31">
        <v>45776</v>
      </c>
      <c r="J609" s="26">
        <v>3.7</v>
      </c>
      <c r="K609" s="24"/>
      <c r="L609" s="33">
        <f>VLOOKUP(Table20[[#This Row],[Strategy]],Table29[#All],6,FALSE)</f>
        <v>-1</v>
      </c>
      <c r="M609" s="23">
        <v>1</v>
      </c>
      <c r="N609" s="23">
        <v>2.74</v>
      </c>
      <c r="O609" s="23"/>
      <c r="P609" s="23"/>
      <c r="Q609">
        <f>Table20[[#This Row],[Exit1]]*Table20[[#This Row],[ex1_price]]</f>
        <v>2.74</v>
      </c>
      <c r="R609">
        <f>Table20[[#This Row],[Exit2]]*Table20[[#This Row],[ex2_price]]</f>
        <v>0</v>
      </c>
      <c r="S609">
        <f>IFERROR((Table20[[#This Row],[ex2_amnt]]+Table20[[#This Row],[ex1_amnt]])/(Table20[[#This Row],[Exit2]]+Table20[[#This Row],[Exit1]]),0)</f>
        <v>2.74</v>
      </c>
      <c r="T609" s="5">
        <f>(Table20[[#This Row],[Exit1]]+Table20[[#This Row],[Exit2]])*(Table20[[#This Row],[avg_exit_price]]-Table20[[#This Row],[AvePrice]])*100*Table20[[#This Row],[Buy or Sell]]</f>
        <v>-96</v>
      </c>
      <c r="U609" s="5">
        <f>Table20[[#This Row],[Number of options]]*Table20[[#This Row],[AvePrice]]*100*Table20[[#This Row],[Buy or Sell]]</f>
        <v>370</v>
      </c>
      <c r="V609" s="8">
        <f>Table20[[#This Row],[Number of options]]-Table20[[#This Row],[Exit1]]-Table20[[#This Row],[Exit2]]</f>
        <v>0</v>
      </c>
      <c r="W609" s="30">
        <f ca="1">(Table20[[#This Row],[Expiration Date]]-TODAY())/365</f>
        <v>-0.76438356164383559</v>
      </c>
      <c r="X609" s="30" t="e">
        <f ca="1">(LN(Table20[[#This Row],[Current Price]]/Table20[[#This Row],[strike_price]]) + ($B$2 + (Table20[[#This Row],[Vol]]^2)/2)*Table20[[#This Row],[Time to expiration]]) / (Table20[[#This Row],[Vol]] * SQRT(Table20[[#This Row],[Time to expiration]]))</f>
        <v>#NUM!</v>
      </c>
      <c r="Y609" s="30" t="e">
        <f ca="1">IF(Table20[[#This Row],[Direction]]&gt;0, _xlfn.NORM.S.DIST(Table20[[#This Row],[d1]], TRUE), _xlfn.NORM.S.DIST(Table20[[#This Row],[d1]], TRUE) - 1) * Table20[[#This Row],[Buy or Sell]]</f>
        <v>#NUM!</v>
      </c>
      <c r="Z609" s="9">
        <f ca="1">Table20[[#This Row],[Remaining]]*Table20[[#This Row],[Current Price]]*100</f>
        <v>0</v>
      </c>
      <c r="AA609" s="22">
        <f ca="1">IFERROR(Table20[[#This Row],[nominal_exposure]]*Table20[[#This Row],[Delta]],0)</f>
        <v>0</v>
      </c>
      <c r="AB609" s="30" t="b">
        <f>IF(Table20[[#This Row],[date_purchased]]&lt;&gt;Table20[[#This Row],[Expiration Date]],FALSE,TRUE)</f>
        <v>0</v>
      </c>
      <c r="AC609" s="30" t="str">
        <f>VLOOKUP(Table20[[#This Row],[Asset]],Table19[#All],3,FALSE)</f>
        <v>Health Care</v>
      </c>
      <c r="AD609" s="30">
        <f>IF(Table20[[#This Row],[Remaining]]&lt;&gt;0,Table20[[#This Row],[Invested]]*Table20[[#This Row],[Remaining]]/Table20[[#This Row],[Number of options]],0)</f>
        <v>0</v>
      </c>
      <c r="AE609" s="30">
        <f ca="1">SUMIF(Table20[Ticker],Table20[[#This Row],[Ticker]],Table20[realized_profit])</f>
        <v>472.99999999999989</v>
      </c>
      <c r="AF609" s="30" t="str">
        <f>VLOOKUP(Table20[[#This Row],[Strategy]],Table29[#All],7,FALSE)</f>
        <v>Bearish</v>
      </c>
    </row>
    <row r="610" spans="1:32" hidden="1">
      <c r="A610" s="180">
        <v>45828</v>
      </c>
      <c r="B610" s="21" t="e" vm="144">
        <v>#VALUE!</v>
      </c>
      <c r="C610" s="109" t="str" cm="1">
        <f t="array" aca="1" ref="C610" ca="1">_FV(Table20[[#This Row],[Asset]],"Ticker symbol",TRUE)</f>
        <v>AAPL</v>
      </c>
      <c r="D610" s="26" cm="1">
        <f t="array" aca="1" ref="D610" ca="1">_FV(Table20[[#This Row],[Asset]],"Price")</f>
        <v>253.2</v>
      </c>
      <c r="E610" s="26">
        <v>180</v>
      </c>
      <c r="F610" s="33">
        <v>1</v>
      </c>
      <c r="G610" s="34">
        <v>1</v>
      </c>
      <c r="H610" s="34" t="s">
        <v>112</v>
      </c>
      <c r="I610" s="31">
        <v>45764</v>
      </c>
      <c r="J610" s="26">
        <v>5.9</v>
      </c>
      <c r="K610" s="24">
        <v>0.37</v>
      </c>
      <c r="L610" s="33">
        <f>VLOOKUP(Table20[[#This Row],[Strategy]],Table29[#All],6,FALSE)</f>
        <v>-1</v>
      </c>
      <c r="M610" s="23">
        <v>1</v>
      </c>
      <c r="N610" s="23">
        <v>0.88</v>
      </c>
      <c r="O610" s="23"/>
      <c r="P610" s="23"/>
      <c r="Q610">
        <f>Table20[[#This Row],[Exit1]]*Table20[[#This Row],[ex1_price]]</f>
        <v>0.88</v>
      </c>
      <c r="R610">
        <f>Table20[[#This Row],[Exit2]]*Table20[[#This Row],[ex2_price]]</f>
        <v>0</v>
      </c>
      <c r="S610">
        <f>IFERROR((Table20[[#This Row],[ex2_amnt]]+Table20[[#This Row],[ex1_amnt]])/(Table20[[#This Row],[Exit2]]+Table20[[#This Row],[Exit1]]),0)</f>
        <v>0.88</v>
      </c>
      <c r="T610" s="5">
        <f>(Table20[[#This Row],[Exit1]]+Table20[[#This Row],[Exit2]])*(Table20[[#This Row],[avg_exit_price]]-Table20[[#This Row],[AvePrice]])*100*Table20[[#This Row],[Buy or Sell]]</f>
        <v>-502.00000000000006</v>
      </c>
      <c r="U610" s="5">
        <f>Table20[[#This Row],[Number of options]]*Table20[[#This Row],[AvePrice]]*100*Table20[[#This Row],[Buy or Sell]]</f>
        <v>590</v>
      </c>
      <c r="V610" s="8">
        <f>Table20[[#This Row],[Number of options]]-Table20[[#This Row],[Exit1]]-Table20[[#This Row],[Exit2]]</f>
        <v>0</v>
      </c>
      <c r="W610" s="30">
        <f ca="1">(Table20[[#This Row],[Expiration Date]]-TODAY())/365</f>
        <v>-0.76438356164383559</v>
      </c>
      <c r="X610" s="30" t="e">
        <f ca="1">(LN(Table20[[#This Row],[Current Price]]/Table20[[#This Row],[strike_price]]) + ($B$2 + (Table20[[#This Row],[Vol]]^2)/2)*Table20[[#This Row],[Time to expiration]]) / (Table20[[#This Row],[Vol]] * SQRT(Table20[[#This Row],[Time to expiration]]))</f>
        <v>#NUM!</v>
      </c>
      <c r="Y610" s="30" t="e">
        <f ca="1">IF(Table20[[#This Row],[Direction]]&gt;0, _xlfn.NORM.S.DIST(Table20[[#This Row],[d1]], TRUE), _xlfn.NORM.S.DIST(Table20[[#This Row],[d1]], TRUE) - 1) * Table20[[#This Row],[Buy or Sell]]</f>
        <v>#NUM!</v>
      </c>
      <c r="Z610" s="9">
        <f ca="1">Table20[[#This Row],[Remaining]]*Table20[[#This Row],[Current Price]]*100</f>
        <v>0</v>
      </c>
      <c r="AA610" s="22">
        <f ca="1">IFERROR(Table20[[#This Row],[nominal_exposure]]*Table20[[#This Row],[Delta]],0)</f>
        <v>0</v>
      </c>
      <c r="AB610" s="30" t="b">
        <f>IF(Table20[[#This Row],[date_purchased]]&lt;&gt;Table20[[#This Row],[Expiration Date]],FALSE,TRUE)</f>
        <v>0</v>
      </c>
      <c r="AC610" s="30" t="str">
        <f>VLOOKUP(Table20[[#This Row],[Asset]],Table19[#All],3,FALSE)</f>
        <v>AI</v>
      </c>
      <c r="AD610" s="30">
        <f>IF(Table20[[#This Row],[Remaining]]&lt;&gt;0,Table20[[#This Row],[Invested]]*Table20[[#This Row],[Remaining]]/Table20[[#This Row],[Number of options]],0)</f>
        <v>0</v>
      </c>
      <c r="AE610" s="30">
        <f ca="1">SUMIF(Table20[Ticker],Table20[[#This Row],[Ticker]],Table20[realized_profit])</f>
        <v>-153.9999999999996</v>
      </c>
      <c r="AF610" s="30" t="str">
        <f>VLOOKUP(Table20[[#This Row],[Strategy]],Table29[#All],7,FALSE)</f>
        <v>Bearish</v>
      </c>
    </row>
    <row r="611" spans="1:32" hidden="1">
      <c r="A611" s="180">
        <v>45828</v>
      </c>
      <c r="B611" s="21" t="e" vm="84">
        <v>#VALUE!</v>
      </c>
      <c r="C611" s="109" t="str" cm="1">
        <f t="array" aca="1" ref="C611" ca="1">_FV(Table20[[#This Row],[Asset]],"Ticker symbol",TRUE)</f>
        <v>COIN</v>
      </c>
      <c r="D611" s="26" cm="1">
        <f t="array" aca="1" ref="D611" ca="1">_FV(Table20[[#This Row],[Asset]],"Price")</f>
        <v>188</v>
      </c>
      <c r="E611" s="26">
        <v>400</v>
      </c>
      <c r="F611" s="33">
        <v>1</v>
      </c>
      <c r="G611" s="34">
        <v>-1</v>
      </c>
      <c r="H611" s="34" t="s">
        <v>115</v>
      </c>
      <c r="I611" s="31">
        <v>45790</v>
      </c>
      <c r="J611" s="26">
        <v>1.64</v>
      </c>
      <c r="K611" s="24">
        <v>0.83</v>
      </c>
      <c r="L611" s="33">
        <f>VLOOKUP(Table20[[#This Row],[Strategy]],Table29[#All],6,FALSE)</f>
        <v>1</v>
      </c>
      <c r="M611" s="23">
        <v>1</v>
      </c>
      <c r="N611" s="23">
        <v>0.04</v>
      </c>
      <c r="O611" s="23"/>
      <c r="P611" s="23"/>
      <c r="Q611">
        <f>Table20[[#This Row],[Exit1]]*Table20[[#This Row],[ex1_price]]</f>
        <v>0.04</v>
      </c>
      <c r="R611">
        <f>Table20[[#This Row],[Exit2]]*Table20[[#This Row],[ex2_price]]</f>
        <v>0</v>
      </c>
      <c r="S611">
        <f>IFERROR((Table20[[#This Row],[ex2_amnt]]+Table20[[#This Row],[ex1_amnt]])/(Table20[[#This Row],[Exit2]]+Table20[[#This Row],[Exit1]]),0)</f>
        <v>0.04</v>
      </c>
      <c r="T611" s="5">
        <f>(Table20[[#This Row],[Exit1]]+Table20[[#This Row],[Exit2]])*(Table20[[#This Row],[avg_exit_price]]-Table20[[#This Row],[AvePrice]])*100*Table20[[#This Row],[Buy or Sell]]</f>
        <v>160</v>
      </c>
      <c r="U611" s="5">
        <f>Table20[[#This Row],[Number of options]]*Table20[[#This Row],[AvePrice]]*100*Table20[[#This Row],[Buy or Sell]]</f>
        <v>-164</v>
      </c>
      <c r="V611" s="8">
        <f>Table20[[#This Row],[Number of options]]-Table20[[#This Row],[Exit1]]-Table20[[#This Row],[Exit2]]</f>
        <v>0</v>
      </c>
      <c r="W611" s="30">
        <f ca="1">(Table20[[#This Row],[Expiration Date]]-TODAY())/365</f>
        <v>-0.76438356164383559</v>
      </c>
      <c r="X611" s="30" t="e">
        <f ca="1">(LN(Table20[[#This Row],[Current Price]]/Table20[[#This Row],[strike_price]]) + ($B$2 + (Table20[[#This Row],[Vol]]^2)/2)*Table20[[#This Row],[Time to expiration]]) / (Table20[[#This Row],[Vol]] * SQRT(Table20[[#This Row],[Time to expiration]]))</f>
        <v>#NUM!</v>
      </c>
      <c r="Y611" s="30" t="e">
        <f ca="1">IF(Table20[[#This Row],[Direction]]&gt;0, _xlfn.NORM.S.DIST(Table20[[#This Row],[d1]], TRUE), _xlfn.NORM.S.DIST(Table20[[#This Row],[d1]], TRUE) - 1) * Table20[[#This Row],[Buy or Sell]]</f>
        <v>#NUM!</v>
      </c>
      <c r="Z611" s="9">
        <f ca="1">Table20[[#This Row],[Remaining]]*Table20[[#This Row],[Current Price]]*100</f>
        <v>0</v>
      </c>
      <c r="AA611" s="22">
        <f ca="1">IFERROR(Table20[[#This Row],[nominal_exposure]]*Table20[[#This Row],[Delta]],0)</f>
        <v>0</v>
      </c>
      <c r="AB611" s="30" t="b">
        <f>IF(Table20[[#This Row],[date_purchased]]&lt;&gt;Table20[[#This Row],[Expiration Date]],FALSE,TRUE)</f>
        <v>0</v>
      </c>
      <c r="AC611" s="30" t="str">
        <f>VLOOKUP(Table20[[#This Row],[Asset]],Table19[#All],3,FALSE)</f>
        <v>Financials</v>
      </c>
      <c r="AD611" s="30">
        <f>IF(Table20[[#This Row],[Remaining]]&lt;&gt;0,Table20[[#This Row],[Invested]]*Table20[[#This Row],[Remaining]]/Table20[[#This Row],[Number of options]],0)</f>
        <v>0</v>
      </c>
      <c r="AE611" s="30">
        <f ca="1">SUMIF(Table20[Ticker],Table20[[#This Row],[Ticker]],Table20[realized_profit])</f>
        <v>4035</v>
      </c>
      <c r="AF611" s="30" t="str">
        <f>VLOOKUP(Table20[[#This Row],[Strategy]],Table29[#All],7,FALSE)</f>
        <v>Bullish</v>
      </c>
    </row>
    <row r="612" spans="1:32" hidden="1">
      <c r="A612" s="180">
        <v>45828</v>
      </c>
      <c r="B612" s="21" t="e" vm="32">
        <v>#VALUE!</v>
      </c>
      <c r="C612" s="109" t="str" cm="1">
        <f t="array" aca="1" ref="C612" ca="1">_FV(Table20[[#This Row],[Asset]],"Ticker symbol",TRUE)</f>
        <v>MU</v>
      </c>
      <c r="D612" s="26" cm="1">
        <f t="array" aca="1" ref="D612" ca="1">_FV(Table20[[#This Row],[Asset]],"Price")</f>
        <v>381.57</v>
      </c>
      <c r="E612" s="26">
        <v>110</v>
      </c>
      <c r="F612" s="33">
        <v>2</v>
      </c>
      <c r="G612" s="34">
        <v>1</v>
      </c>
      <c r="H612" s="34" t="s">
        <v>113</v>
      </c>
      <c r="I612" s="31">
        <v>45796</v>
      </c>
      <c r="J612" s="26">
        <v>1.71</v>
      </c>
      <c r="K612" s="24">
        <v>0.47270000000000001</v>
      </c>
      <c r="L612" s="33">
        <f>VLOOKUP(Table20[[#This Row],[Strategy]],Table29[#All],6,FALSE)</f>
        <v>1</v>
      </c>
      <c r="M612" s="23">
        <v>2</v>
      </c>
      <c r="N612" s="23">
        <v>0.71</v>
      </c>
      <c r="O612" s="23"/>
      <c r="P612" s="23"/>
      <c r="Q612">
        <f>Table20[[#This Row],[Exit1]]*Table20[[#This Row],[ex1_price]]</f>
        <v>1.42</v>
      </c>
      <c r="R612">
        <f>Table20[[#This Row],[Exit2]]*Table20[[#This Row],[ex2_price]]</f>
        <v>0</v>
      </c>
      <c r="S612">
        <f>IFERROR((Table20[[#This Row],[ex2_amnt]]+Table20[[#This Row],[ex1_amnt]])/(Table20[[#This Row],[Exit2]]+Table20[[#This Row],[Exit1]]),0)</f>
        <v>0.71</v>
      </c>
      <c r="T612" s="5">
        <f>(Table20[[#This Row],[Exit1]]+Table20[[#This Row],[Exit2]])*(Table20[[#This Row],[avg_exit_price]]-Table20[[#This Row],[AvePrice]])*100*Table20[[#This Row],[Buy or Sell]]</f>
        <v>-200</v>
      </c>
      <c r="U612" s="5">
        <f>Table20[[#This Row],[Number of options]]*Table20[[#This Row],[AvePrice]]*100*Table20[[#This Row],[Buy or Sell]]</f>
        <v>342</v>
      </c>
      <c r="V612" s="8">
        <f>Table20[[#This Row],[Number of options]]-Table20[[#This Row],[Exit1]]-Table20[[#This Row],[Exit2]]</f>
        <v>0</v>
      </c>
      <c r="W612" s="30">
        <f ca="1">(Table20[[#This Row],[Expiration Date]]-TODAY())/365</f>
        <v>-0.76438356164383559</v>
      </c>
      <c r="X612" s="30" t="e">
        <f ca="1">(LN(Table20[[#This Row],[Current Price]]/Table20[[#This Row],[strike_price]]) + ($B$2 + (Table20[[#This Row],[Vol]]^2)/2)*Table20[[#This Row],[Time to expiration]]) / (Table20[[#This Row],[Vol]] * SQRT(Table20[[#This Row],[Time to expiration]]))</f>
        <v>#NUM!</v>
      </c>
      <c r="Y612" s="30" t="e">
        <f ca="1">IF(Table20[[#This Row],[Direction]]&gt;0, _xlfn.NORM.S.DIST(Table20[[#This Row],[d1]], TRUE), _xlfn.NORM.S.DIST(Table20[[#This Row],[d1]], TRUE) - 1) * Table20[[#This Row],[Buy or Sell]]</f>
        <v>#NUM!</v>
      </c>
      <c r="Z612" s="9">
        <f ca="1">Table20[[#This Row],[Remaining]]*Table20[[#This Row],[Current Price]]*100</f>
        <v>0</v>
      </c>
      <c r="AA612" s="22">
        <f ca="1">IFERROR(Table20[[#This Row],[nominal_exposure]]*Table20[[#This Row],[Delta]],0)</f>
        <v>0</v>
      </c>
      <c r="AB612" s="30" t="b">
        <f>IF(Table20[[#This Row],[date_purchased]]&lt;&gt;Table20[[#This Row],[Expiration Date]],FALSE,TRUE)</f>
        <v>0</v>
      </c>
      <c r="AC612" s="30" t="str">
        <f>VLOOKUP(Table20[[#This Row],[Asset]],Table19[#All],3,FALSE)</f>
        <v>AI</v>
      </c>
      <c r="AD612" s="30">
        <f>IF(Table20[[#This Row],[Remaining]]&lt;&gt;0,Table20[[#This Row],[Invested]]*Table20[[#This Row],[Remaining]]/Table20[[#This Row],[Number of options]],0)</f>
        <v>0</v>
      </c>
      <c r="AE612" s="30">
        <f ca="1">SUMIF(Table20[Ticker],Table20[[#This Row],[Ticker]],Table20[realized_profit])</f>
        <v>-4181</v>
      </c>
      <c r="AF612" s="30" t="str">
        <f>VLOOKUP(Table20[[#This Row],[Strategy]],Table29[#All],7,FALSE)</f>
        <v>Bullish</v>
      </c>
    </row>
    <row r="613" spans="1:32" hidden="1">
      <c r="A613" s="180">
        <v>45828</v>
      </c>
      <c r="B613" s="21" t="e" vm="249">
        <v>#VALUE!</v>
      </c>
      <c r="C613" s="109" t="str" cm="1">
        <f t="array" aca="1" ref="C613" ca="1">_FV(Table20[[#This Row],[Asset]],"Ticker symbol",TRUE)</f>
        <v>OSCR</v>
      </c>
      <c r="D613" s="26" cm="1">
        <f t="array" aca="1" ref="D613" ca="1">_FV(Table20[[#This Row],[Asset]],"Price")</f>
        <v>12.1</v>
      </c>
      <c r="E613" s="26">
        <v>16</v>
      </c>
      <c r="F613" s="33">
        <v>5</v>
      </c>
      <c r="G613" s="34">
        <v>0.5</v>
      </c>
      <c r="H613" s="34" t="s">
        <v>113</v>
      </c>
      <c r="I613" s="31">
        <v>45800</v>
      </c>
      <c r="J613" s="26">
        <v>0.47</v>
      </c>
      <c r="K613" s="24">
        <v>0.7</v>
      </c>
      <c r="L613" s="33">
        <f>VLOOKUP(Table20[[#This Row],[Strategy]],Table29[#All],6,FALSE)</f>
        <v>1</v>
      </c>
      <c r="M613" s="23">
        <v>5</v>
      </c>
      <c r="N613" s="23">
        <v>0.4</v>
      </c>
      <c r="O613" s="23"/>
      <c r="P613" s="23"/>
      <c r="Q613">
        <f>Table20[[#This Row],[Exit1]]*Table20[[#This Row],[ex1_price]]</f>
        <v>2</v>
      </c>
      <c r="R613">
        <f>Table20[[#This Row],[Exit2]]*Table20[[#This Row],[ex2_price]]</f>
        <v>0</v>
      </c>
      <c r="S613">
        <f>IFERROR((Table20[[#This Row],[ex2_amnt]]+Table20[[#This Row],[ex1_amnt]])/(Table20[[#This Row],[Exit2]]+Table20[[#This Row],[Exit1]]),0)</f>
        <v>0.4</v>
      </c>
      <c r="T613" s="5">
        <f>(Table20[[#This Row],[Exit1]]+Table20[[#This Row],[Exit2]])*(Table20[[#This Row],[avg_exit_price]]-Table20[[#This Row],[AvePrice]])*100*Table20[[#This Row],[Buy or Sell]]</f>
        <v>-17.499999999999989</v>
      </c>
      <c r="U613" s="5">
        <f>Table20[[#This Row],[Number of options]]*Table20[[#This Row],[AvePrice]]*100*Table20[[#This Row],[Buy or Sell]]</f>
        <v>117.49999999999999</v>
      </c>
      <c r="V613" s="8">
        <f>Table20[[#This Row],[Number of options]]-Table20[[#This Row],[Exit1]]-Table20[[#This Row],[Exit2]]</f>
        <v>0</v>
      </c>
      <c r="W613" s="30">
        <f ca="1">(Table20[[#This Row],[Expiration Date]]-TODAY())/365</f>
        <v>-0.76438356164383559</v>
      </c>
      <c r="X613" s="30" t="e">
        <f ca="1">(LN(Table20[[#This Row],[Current Price]]/Table20[[#This Row],[strike_price]]) + ($B$2 + (Table20[[#This Row],[Vol]]^2)/2)*Table20[[#This Row],[Time to expiration]]) / (Table20[[#This Row],[Vol]] * SQRT(Table20[[#This Row],[Time to expiration]]))</f>
        <v>#NUM!</v>
      </c>
      <c r="Y613" s="30" t="e">
        <f ca="1">IF(Table20[[#This Row],[Direction]]&gt;0, _xlfn.NORM.S.DIST(Table20[[#This Row],[d1]], TRUE), _xlfn.NORM.S.DIST(Table20[[#This Row],[d1]], TRUE) - 1) * Table20[[#This Row],[Buy or Sell]]</f>
        <v>#NUM!</v>
      </c>
      <c r="Z613" s="9">
        <f ca="1">Table20[[#This Row],[Remaining]]*Table20[[#This Row],[Current Price]]*100</f>
        <v>0</v>
      </c>
      <c r="AA613" s="22">
        <f ca="1">IFERROR(Table20[[#This Row],[nominal_exposure]]*Table20[[#This Row],[Delta]],0)</f>
        <v>0</v>
      </c>
      <c r="AB613" s="30" t="b">
        <f>IF(Table20[[#This Row],[date_purchased]]&lt;&gt;Table20[[#This Row],[Expiration Date]],FALSE,TRUE)</f>
        <v>0</v>
      </c>
      <c r="AC613" s="30" t="str">
        <f>VLOOKUP(Table20[[#This Row],[Asset]],Table19[#All],3,FALSE)</f>
        <v>Health Care</v>
      </c>
      <c r="AD613" s="30">
        <f>IF(Table20[[#This Row],[Remaining]]&lt;&gt;0,Table20[[#This Row],[Invested]]*Table20[[#This Row],[Remaining]]/Table20[[#This Row],[Number of options]],0)</f>
        <v>0</v>
      </c>
      <c r="AE613" s="30">
        <f ca="1">SUMIF(Table20[Ticker],Table20[[#This Row],[Ticker]],Table20[realized_profit])</f>
        <v>-217.5</v>
      </c>
      <c r="AF613" s="30" t="str">
        <f>VLOOKUP(Table20[[#This Row],[Strategy]],Table29[#All],7,FALSE)</f>
        <v>Bullish</v>
      </c>
    </row>
    <row r="614" spans="1:32" hidden="1">
      <c r="A614" s="180">
        <v>45856</v>
      </c>
      <c r="B614" s="21" t="e" vm="63">
        <v>#VALUE!</v>
      </c>
      <c r="C614" s="109" t="str" cm="1">
        <f t="array" aca="1" ref="C614" ca="1">_FV(Table20[[#This Row],[Asset]],"Ticker symbol",TRUE)</f>
        <v>TSLA</v>
      </c>
      <c r="D614" s="26" cm="1">
        <f t="array" aca="1" ref="D614" ca="1">_FV(Table20[[#This Row],[Asset]],"Price")</f>
        <v>394.5401</v>
      </c>
      <c r="E614" s="26">
        <v>510</v>
      </c>
      <c r="F614" s="33">
        <v>1</v>
      </c>
      <c r="G614" s="34">
        <v>-1</v>
      </c>
      <c r="H614" s="34" t="s">
        <v>115</v>
      </c>
      <c r="I614" s="31">
        <v>45771</v>
      </c>
      <c r="J614" s="26">
        <v>0.75</v>
      </c>
      <c r="K614" s="24">
        <v>0.73129999999999995</v>
      </c>
      <c r="L614" s="33">
        <f>VLOOKUP(Table20[[#This Row],[Strategy]],Table29[#All],6,FALSE)</f>
        <v>1</v>
      </c>
      <c r="M614" s="23">
        <v>1</v>
      </c>
      <c r="N614" s="23">
        <v>5.65</v>
      </c>
      <c r="O614" s="23"/>
      <c r="P614" s="23"/>
      <c r="Q614">
        <f>Table20[[#This Row],[Exit1]]*Table20[[#This Row],[ex1_price]]</f>
        <v>5.65</v>
      </c>
      <c r="R614">
        <f>Table20[[#This Row],[Exit2]]*Table20[[#This Row],[ex2_price]]</f>
        <v>0</v>
      </c>
      <c r="S614">
        <f>IFERROR((Table20[[#This Row],[ex2_amnt]]+Table20[[#This Row],[ex1_amnt]])/(Table20[[#This Row],[Exit2]]+Table20[[#This Row],[Exit1]]),0)</f>
        <v>5.65</v>
      </c>
      <c r="T614" s="5">
        <f>(Table20[[#This Row],[Exit1]]+Table20[[#This Row],[Exit2]])*(Table20[[#This Row],[avg_exit_price]]-Table20[[#This Row],[AvePrice]])*100*Table20[[#This Row],[Buy or Sell]]</f>
        <v>-490.00000000000006</v>
      </c>
      <c r="U614" s="5">
        <f>Table20[[#This Row],[Number of options]]*Table20[[#This Row],[AvePrice]]*100*Table20[[#This Row],[Buy or Sell]]</f>
        <v>-75</v>
      </c>
      <c r="V614" s="8">
        <f>Table20[[#This Row],[Number of options]]-Table20[[#This Row],[Exit1]]-Table20[[#This Row],[Exit2]]</f>
        <v>0</v>
      </c>
      <c r="W614" s="30">
        <f ca="1">(Table20[[#This Row],[Expiration Date]]-TODAY())/365</f>
        <v>-0.68767123287671228</v>
      </c>
      <c r="X614" s="30" t="e">
        <f ca="1">(LN(Table20[[#This Row],[Current Price]]/Table20[[#This Row],[strike_price]]) + ($B$2 + (Table20[[#This Row],[Vol]]^2)/2)*Table20[[#This Row],[Time to expiration]]) / (Table20[[#This Row],[Vol]] * SQRT(Table20[[#This Row],[Time to expiration]]))</f>
        <v>#NUM!</v>
      </c>
      <c r="Y614" s="30" t="e">
        <f ca="1">IF(Table20[[#This Row],[Direction]]&gt;0, _xlfn.NORM.S.DIST(Table20[[#This Row],[d1]], TRUE), _xlfn.NORM.S.DIST(Table20[[#This Row],[d1]], TRUE) - 1) * Table20[[#This Row],[Buy or Sell]]</f>
        <v>#NUM!</v>
      </c>
      <c r="Z614" s="9">
        <f ca="1">Table20[[#This Row],[Remaining]]*Table20[[#This Row],[Current Price]]*100</f>
        <v>0</v>
      </c>
      <c r="AA614" s="22">
        <f ca="1">IFERROR(Table20[[#This Row],[nominal_exposure]]*Table20[[#This Row],[Delta]],0)</f>
        <v>0</v>
      </c>
      <c r="AB614" s="30" t="b">
        <f>IF(Table20[[#This Row],[date_purchased]]&lt;&gt;Table20[[#This Row],[Expiration Date]],FALSE,TRUE)</f>
        <v>0</v>
      </c>
      <c r="AC614" s="30" t="str">
        <f>VLOOKUP(Table20[[#This Row],[Asset]],Table19[#All],3,FALSE)</f>
        <v>Auto</v>
      </c>
      <c r="AD614" s="30">
        <f>IF(Table20[[#This Row],[Remaining]]&lt;&gt;0,Table20[[#This Row],[Invested]]*Table20[[#This Row],[Remaining]]/Table20[[#This Row],[Number of options]],0)</f>
        <v>0</v>
      </c>
      <c r="AE614" s="30">
        <f ca="1">SUMIF(Table20[Ticker],Table20[[#This Row],[Ticker]],Table20[realized_profit])</f>
        <v>4153</v>
      </c>
      <c r="AF614" s="30" t="str">
        <f>VLOOKUP(Table20[[#This Row],[Strategy]],Table29[#All],7,FALSE)</f>
        <v>Bullish</v>
      </c>
    </row>
    <row r="615" spans="1:32" hidden="1">
      <c r="A615" s="180">
        <v>45856</v>
      </c>
      <c r="B615" s="21" t="e" vm="13">
        <v>#VALUE!</v>
      </c>
      <c r="C615" s="109" t="str" cm="1">
        <f t="array" aca="1" ref="C615" ca="1">_FV(Table20[[#This Row],[Asset]],"Ticker symbol",TRUE)</f>
        <v>ON</v>
      </c>
      <c r="D615" s="26" cm="1">
        <f t="array" aca="1" ref="D615" ca="1">_FV(Table20[[#This Row],[Asset]],"Price")</f>
        <v>63.68</v>
      </c>
      <c r="E615" s="26">
        <v>50</v>
      </c>
      <c r="F615" s="33">
        <v>4</v>
      </c>
      <c r="G615" s="34">
        <v>1</v>
      </c>
      <c r="H615" s="34" t="s">
        <v>113</v>
      </c>
      <c r="I615" s="31">
        <v>45799</v>
      </c>
      <c r="J615" s="26">
        <v>1.41</v>
      </c>
      <c r="K615" s="24">
        <v>0.48</v>
      </c>
      <c r="L615" s="33">
        <f>VLOOKUP(Table20[[#This Row],[Strategy]],Table29[#All],6,FALSE)</f>
        <v>1</v>
      </c>
      <c r="M615" s="23">
        <v>4</v>
      </c>
      <c r="N615" s="23">
        <v>0.72</v>
      </c>
      <c r="O615" s="23"/>
      <c r="P615" s="23"/>
      <c r="Q615">
        <f>Table20[[#This Row],[Exit1]]*Table20[[#This Row],[ex1_price]]</f>
        <v>2.88</v>
      </c>
      <c r="R615">
        <f>Table20[[#This Row],[Exit2]]*Table20[[#This Row],[ex2_price]]</f>
        <v>0</v>
      </c>
      <c r="S615">
        <f>IFERROR((Table20[[#This Row],[ex2_amnt]]+Table20[[#This Row],[ex1_amnt]])/(Table20[[#This Row],[Exit2]]+Table20[[#This Row],[Exit1]]),0)</f>
        <v>0.72</v>
      </c>
      <c r="T615" s="5">
        <f>(Table20[[#This Row],[Exit1]]+Table20[[#This Row],[Exit2]])*(Table20[[#This Row],[avg_exit_price]]-Table20[[#This Row],[AvePrice]])*100*Table20[[#This Row],[Buy or Sell]]</f>
        <v>-276</v>
      </c>
      <c r="U615" s="5">
        <f>Table20[[#This Row],[Number of options]]*Table20[[#This Row],[AvePrice]]*100*Table20[[#This Row],[Buy or Sell]]</f>
        <v>564</v>
      </c>
      <c r="V615" s="8">
        <f>Table20[[#This Row],[Number of options]]-Table20[[#This Row],[Exit1]]-Table20[[#This Row],[Exit2]]</f>
        <v>0</v>
      </c>
      <c r="W615" s="30">
        <f ca="1">(Table20[[#This Row],[Expiration Date]]-TODAY())/365</f>
        <v>-0.68767123287671228</v>
      </c>
      <c r="X615" s="30" t="e">
        <f ca="1">(LN(Table20[[#This Row],[Current Price]]/Table20[[#This Row],[strike_price]]) + ($B$2 + (Table20[[#This Row],[Vol]]^2)/2)*Table20[[#This Row],[Time to expiration]]) / (Table20[[#This Row],[Vol]] * SQRT(Table20[[#This Row],[Time to expiration]]))</f>
        <v>#NUM!</v>
      </c>
      <c r="Y615" s="30" t="e">
        <f ca="1">IF(Table20[[#This Row],[Direction]]&gt;0, _xlfn.NORM.S.DIST(Table20[[#This Row],[d1]], TRUE), _xlfn.NORM.S.DIST(Table20[[#This Row],[d1]], TRUE) - 1) * Table20[[#This Row],[Buy or Sell]]</f>
        <v>#NUM!</v>
      </c>
      <c r="Z615" s="9">
        <f ca="1">Table20[[#This Row],[Remaining]]*Table20[[#This Row],[Current Price]]*100</f>
        <v>0</v>
      </c>
      <c r="AA615" s="22">
        <f ca="1">IFERROR(Table20[[#This Row],[nominal_exposure]]*Table20[[#This Row],[Delta]],0)</f>
        <v>0</v>
      </c>
      <c r="AB615" s="30" t="b">
        <f>IF(Table20[[#This Row],[date_purchased]]&lt;&gt;Table20[[#This Row],[Expiration Date]],FALSE,TRUE)</f>
        <v>0</v>
      </c>
      <c r="AC615" s="30" t="str">
        <f>VLOOKUP(Table20[[#This Row],[Asset]],Table19[#All],3,FALSE)</f>
        <v>Semiconductor</v>
      </c>
      <c r="AD615" s="30">
        <f>IF(Table20[[#This Row],[Remaining]]&lt;&gt;0,Table20[[#This Row],[Invested]]*Table20[[#This Row],[Remaining]]/Table20[[#This Row],[Number of options]],0)</f>
        <v>0</v>
      </c>
      <c r="AE615" s="30">
        <f ca="1">SUMIF(Table20[Ticker],Table20[[#This Row],[Ticker]],Table20[realized_profit])</f>
        <v>1055.92</v>
      </c>
      <c r="AF615" s="30" t="str">
        <f>VLOOKUP(Table20[[#This Row],[Strategy]],Table29[#All],7,FALSE)</f>
        <v>Bullish</v>
      </c>
    </row>
    <row r="616" spans="1:32" hidden="1">
      <c r="A616" s="180">
        <v>45828</v>
      </c>
      <c r="B616" s="21" t="e" vm="247">
        <v>#VALUE!</v>
      </c>
      <c r="C616" s="109" t="str" cm="1">
        <f t="array" aca="1" ref="C616" ca="1">_FV(Table20[[#This Row],[Asset]],"Ticker symbol",TRUE)</f>
        <v>BA</v>
      </c>
      <c r="D616" s="26" cm="1">
        <f t="array" aca="1" ref="D616" ca="1">_FV(Table20[[#This Row],[Asset]],"Price")</f>
        <v>198.96</v>
      </c>
      <c r="E616" s="26">
        <v>225</v>
      </c>
      <c r="F616" s="33">
        <v>2</v>
      </c>
      <c r="G616" s="34">
        <v>1</v>
      </c>
      <c r="H616" s="34" t="s">
        <v>114</v>
      </c>
      <c r="I616" s="31">
        <v>45791</v>
      </c>
      <c r="J616" s="26">
        <v>2.56</v>
      </c>
      <c r="K616" s="24">
        <v>0.37</v>
      </c>
      <c r="L616" s="33">
        <f>VLOOKUP(Table20[[#This Row],[Strategy]],Table29[#All],6,FALSE)</f>
        <v>1</v>
      </c>
      <c r="M616" s="23">
        <v>2</v>
      </c>
      <c r="N616" s="23">
        <v>0.245</v>
      </c>
      <c r="O616" s="23"/>
      <c r="P616" s="23"/>
      <c r="Q616">
        <f>Table20[[#This Row],[Exit1]]*Table20[[#This Row],[ex1_price]]</f>
        <v>0.49</v>
      </c>
      <c r="R616">
        <f>Table20[[#This Row],[Exit2]]*Table20[[#This Row],[ex2_price]]</f>
        <v>0</v>
      </c>
      <c r="S616">
        <f>IFERROR((Table20[[#This Row],[ex2_amnt]]+Table20[[#This Row],[ex1_amnt]])/(Table20[[#This Row],[Exit2]]+Table20[[#This Row],[Exit1]]),0)</f>
        <v>0.245</v>
      </c>
      <c r="T616" s="5">
        <f>(Table20[[#This Row],[Exit1]]+Table20[[#This Row],[Exit2]])*(Table20[[#This Row],[avg_exit_price]]-Table20[[#This Row],[AvePrice]])*100*Table20[[#This Row],[Buy or Sell]]</f>
        <v>-463</v>
      </c>
      <c r="U616" s="5">
        <f>Table20[[#This Row],[Number of options]]*Table20[[#This Row],[AvePrice]]*100*Table20[[#This Row],[Buy or Sell]]</f>
        <v>512</v>
      </c>
      <c r="V616" s="8">
        <f>Table20[[#This Row],[Number of options]]-Table20[[#This Row],[Exit1]]-Table20[[#This Row],[Exit2]]</f>
        <v>0</v>
      </c>
      <c r="W616" s="30">
        <f ca="1">(Table20[[#This Row],[Expiration Date]]-TODAY())/365</f>
        <v>-0.76438356164383559</v>
      </c>
      <c r="X616" s="30" t="e">
        <f ca="1">(LN(Table20[[#This Row],[Current Price]]/Table20[[#This Row],[strike_price]]) + ($B$2 + (Table20[[#This Row],[Vol]]^2)/2)*Table20[[#This Row],[Time to expiration]]) / (Table20[[#This Row],[Vol]] * SQRT(Table20[[#This Row],[Time to expiration]]))</f>
        <v>#NUM!</v>
      </c>
      <c r="Y616" s="30" t="e">
        <f ca="1">IF(Table20[[#This Row],[Direction]]&gt;0, _xlfn.NORM.S.DIST(Table20[[#This Row],[d1]], TRUE), _xlfn.NORM.S.DIST(Table20[[#This Row],[d1]], TRUE) - 1) * Table20[[#This Row],[Buy or Sell]]</f>
        <v>#NUM!</v>
      </c>
      <c r="Z616" s="9">
        <f ca="1">Table20[[#This Row],[Remaining]]*Table20[[#This Row],[Current Price]]*100</f>
        <v>0</v>
      </c>
      <c r="AA616" s="22">
        <f ca="1">IFERROR(Table20[[#This Row],[nominal_exposure]]*Table20[[#This Row],[Delta]],0)</f>
        <v>0</v>
      </c>
      <c r="AB616" s="30" t="b">
        <f>IF(Table20[[#This Row],[date_purchased]]&lt;&gt;Table20[[#This Row],[Expiration Date]],FALSE,TRUE)</f>
        <v>0</v>
      </c>
      <c r="AC616" s="30" t="str">
        <f>VLOOKUP(Table20[[#This Row],[Asset]],Table19[#All],3,FALSE)</f>
        <v>Defense</v>
      </c>
      <c r="AD616" s="30">
        <f>IF(Table20[[#This Row],[Remaining]]&lt;&gt;0,Table20[[#This Row],[Invested]]*Table20[[#This Row],[Remaining]]/Table20[[#This Row],[Number of options]],0)</f>
        <v>0</v>
      </c>
      <c r="AE616" s="30">
        <f ca="1">SUMIF(Table20[Ticker],Table20[[#This Row],[Ticker]],Table20[realized_profit])</f>
        <v>-342</v>
      </c>
      <c r="AF616" s="30" t="str">
        <f>VLOOKUP(Table20[[#This Row],[Strategy]],Table29[#All],7,FALSE)</f>
        <v>Bullish</v>
      </c>
    </row>
    <row r="617" spans="1:32" hidden="1">
      <c r="A617" s="180">
        <v>45786</v>
      </c>
      <c r="B617" s="21" t="e" vm="159">
        <v>#VALUE!</v>
      </c>
      <c r="C617" s="109" t="str" cm="1">
        <f t="array" aca="1" ref="C617" ca="1">_FV(Table20[[#This Row],[Asset]],"Ticker symbol",TRUE)</f>
        <v>BABA</v>
      </c>
      <c r="D617" s="26" cm="1">
        <f t="array" aca="1" ref="D617" ca="1">_FV(Table20[[#This Row],[Asset]],"Price")</f>
        <v>129.63999999999999</v>
      </c>
      <c r="E617" s="26">
        <v>110</v>
      </c>
      <c r="F617" s="33">
        <v>3</v>
      </c>
      <c r="G617" s="34">
        <v>1</v>
      </c>
      <c r="H617" s="34" t="s">
        <v>65</v>
      </c>
      <c r="I617" s="31">
        <v>45777</v>
      </c>
      <c r="J617" s="26">
        <v>0.68</v>
      </c>
      <c r="K617" s="24"/>
      <c r="L617" s="33">
        <f>VLOOKUP(Table20[[#This Row],[Strategy]],Table29[#All],6,FALSE)</f>
        <v>-1</v>
      </c>
      <c r="M617" s="23">
        <v>3</v>
      </c>
      <c r="N617" s="23">
        <v>0.56999999999999995</v>
      </c>
      <c r="O617" s="23"/>
      <c r="P617" s="23"/>
      <c r="Q617">
        <f>Table20[[#This Row],[Exit1]]*Table20[[#This Row],[ex1_price]]</f>
        <v>1.71</v>
      </c>
      <c r="R617">
        <f>Table20[[#This Row],[Exit2]]*Table20[[#This Row],[ex2_price]]</f>
        <v>0</v>
      </c>
      <c r="S617">
        <f>IFERROR((Table20[[#This Row],[ex2_amnt]]+Table20[[#This Row],[ex1_amnt]])/(Table20[[#This Row],[Exit2]]+Table20[[#This Row],[Exit1]]),0)</f>
        <v>0.56999999999999995</v>
      </c>
      <c r="T617" s="5">
        <f>(Table20[[#This Row],[Exit1]]+Table20[[#This Row],[Exit2]])*(Table20[[#This Row],[avg_exit_price]]-Table20[[#This Row],[AvePrice]])*100*Table20[[#This Row],[Buy or Sell]]</f>
        <v>-33.000000000000028</v>
      </c>
      <c r="U617" s="5">
        <f>Table20[[#This Row],[Number of options]]*Table20[[#This Row],[AvePrice]]*100*Table20[[#This Row],[Buy or Sell]]</f>
        <v>204</v>
      </c>
      <c r="V617" s="8">
        <f>Table20[[#This Row],[Number of options]]-Table20[[#This Row],[Exit1]]-Table20[[#This Row],[Exit2]]</f>
        <v>0</v>
      </c>
      <c r="W617" s="30">
        <f ca="1">(Table20[[#This Row],[Expiration Date]]-TODAY())/365</f>
        <v>-0.8794520547945206</v>
      </c>
      <c r="X617" s="30" t="e">
        <f ca="1">(LN(Table20[[#This Row],[Current Price]]/Table20[[#This Row],[strike_price]]) + ($B$2 + (Table20[[#This Row],[Vol]]^2)/2)*Table20[[#This Row],[Time to expiration]]) / (Table20[[#This Row],[Vol]] * SQRT(Table20[[#This Row],[Time to expiration]]))</f>
        <v>#NUM!</v>
      </c>
      <c r="Y617" s="30" t="e">
        <f ca="1">IF(Table20[[#This Row],[Direction]]&gt;0, _xlfn.NORM.S.DIST(Table20[[#This Row],[d1]], TRUE), _xlfn.NORM.S.DIST(Table20[[#This Row],[d1]], TRUE) - 1) * Table20[[#This Row],[Buy or Sell]]</f>
        <v>#NUM!</v>
      </c>
      <c r="Z617" s="9">
        <f ca="1">Table20[[#This Row],[Remaining]]*Table20[[#This Row],[Current Price]]*100</f>
        <v>0</v>
      </c>
      <c r="AA617" s="22">
        <f ca="1">IFERROR(Table20[[#This Row],[nominal_exposure]]*Table20[[#This Row],[Delta]],0)</f>
        <v>0</v>
      </c>
      <c r="AB617" s="30" t="b">
        <f>IF(Table20[[#This Row],[date_purchased]]&lt;&gt;Table20[[#This Row],[Expiration Date]],FALSE,TRUE)</f>
        <v>0</v>
      </c>
      <c r="AC617" s="30" t="str">
        <f>VLOOKUP(Table20[[#This Row],[Asset]],Table19[#All],3,FALSE)</f>
        <v>China</v>
      </c>
      <c r="AD617" s="30">
        <f>IF(Table20[[#This Row],[Remaining]]&lt;&gt;0,Table20[[#This Row],[Invested]]*Table20[[#This Row],[Remaining]]/Table20[[#This Row],[Number of options]],0)</f>
        <v>0</v>
      </c>
      <c r="AE617" s="30">
        <f ca="1">SUMIF(Table20[Ticker],Table20[[#This Row],[Ticker]],Table20[realized_profit])</f>
        <v>5855</v>
      </c>
      <c r="AF617" s="30" t="str">
        <f>VLOOKUP(Table20[[#This Row],[Strategy]],Table29[#All],7,FALSE)</f>
        <v>Bearish</v>
      </c>
    </row>
    <row r="618" spans="1:32" hidden="1">
      <c r="A618" s="180">
        <v>45828</v>
      </c>
      <c r="B618" s="21" t="e" vm="34">
        <v>#VALUE!</v>
      </c>
      <c r="C618" s="109" t="str" cm="1">
        <f t="array" aca="1" ref="C618" ca="1">_FV(Table20[[#This Row],[Asset]],"Ticker symbol",TRUE)</f>
        <v>TSM</v>
      </c>
      <c r="D618" s="26" cm="1">
        <f t="array" aca="1" ref="D618" ca="1">_FV(Table20[[#This Row],[Asset]],"Price")</f>
        <v>348.52499999999998</v>
      </c>
      <c r="E618" s="26">
        <v>120</v>
      </c>
      <c r="F618" s="33">
        <v>1</v>
      </c>
      <c r="G618" s="34">
        <v>1</v>
      </c>
      <c r="H618" s="34" t="s">
        <v>65</v>
      </c>
      <c r="I618" s="31">
        <v>45777</v>
      </c>
      <c r="J618" s="26">
        <v>0.92</v>
      </c>
      <c r="K618" s="24"/>
      <c r="L618" s="33">
        <f>VLOOKUP(Table20[[#This Row],[Strategy]],Table29[#All],6,FALSE)</f>
        <v>-1</v>
      </c>
      <c r="M618" s="23">
        <v>1</v>
      </c>
      <c r="N618" s="23">
        <v>0.41</v>
      </c>
      <c r="O618" s="23"/>
      <c r="P618" s="23"/>
      <c r="Q618">
        <f>Table20[[#This Row],[Exit1]]*Table20[[#This Row],[ex1_price]]</f>
        <v>0.41</v>
      </c>
      <c r="R618">
        <f>Table20[[#This Row],[Exit2]]*Table20[[#This Row],[ex2_price]]</f>
        <v>0</v>
      </c>
      <c r="S618">
        <f>IFERROR((Table20[[#This Row],[ex2_amnt]]+Table20[[#This Row],[ex1_amnt]])/(Table20[[#This Row],[Exit2]]+Table20[[#This Row],[Exit1]]),0)</f>
        <v>0.41</v>
      </c>
      <c r="T618" s="5">
        <f>(Table20[[#This Row],[Exit1]]+Table20[[#This Row],[Exit2]])*(Table20[[#This Row],[avg_exit_price]]-Table20[[#This Row],[AvePrice]])*100*Table20[[#This Row],[Buy or Sell]]</f>
        <v>-51</v>
      </c>
      <c r="U618" s="5">
        <f>Table20[[#This Row],[Number of options]]*Table20[[#This Row],[AvePrice]]*100*Table20[[#This Row],[Buy or Sell]]</f>
        <v>92</v>
      </c>
      <c r="V618" s="8">
        <f>Table20[[#This Row],[Number of options]]-Table20[[#This Row],[Exit1]]-Table20[[#This Row],[Exit2]]</f>
        <v>0</v>
      </c>
      <c r="W618" s="30">
        <f ca="1">(Table20[[#This Row],[Expiration Date]]-TODAY())/365</f>
        <v>-0.76438356164383559</v>
      </c>
      <c r="X618" s="30" t="e">
        <f ca="1">(LN(Table20[[#This Row],[Current Price]]/Table20[[#This Row],[strike_price]]) + ($B$2 + (Table20[[#This Row],[Vol]]^2)/2)*Table20[[#This Row],[Time to expiration]]) / (Table20[[#This Row],[Vol]] * SQRT(Table20[[#This Row],[Time to expiration]]))</f>
        <v>#NUM!</v>
      </c>
      <c r="Y618" s="30" t="e">
        <f ca="1">IF(Table20[[#This Row],[Direction]]&gt;0, _xlfn.NORM.S.DIST(Table20[[#This Row],[d1]], TRUE), _xlfn.NORM.S.DIST(Table20[[#This Row],[d1]], TRUE) - 1) * Table20[[#This Row],[Buy or Sell]]</f>
        <v>#NUM!</v>
      </c>
      <c r="Z618" s="9">
        <f ca="1">Table20[[#This Row],[Remaining]]*Table20[[#This Row],[Current Price]]*100</f>
        <v>0</v>
      </c>
      <c r="AA618" s="22">
        <f ca="1">IFERROR(Table20[[#This Row],[nominal_exposure]]*Table20[[#This Row],[Delta]],0)</f>
        <v>0</v>
      </c>
      <c r="AB618" s="30" t="b">
        <f>IF(Table20[[#This Row],[date_purchased]]&lt;&gt;Table20[[#This Row],[Expiration Date]],FALSE,TRUE)</f>
        <v>0</v>
      </c>
      <c r="AC618" s="30" t="str">
        <f>VLOOKUP(Table20[[#This Row],[Asset]],Table19[#All],3,FALSE)</f>
        <v>AI</v>
      </c>
      <c r="AD618" s="30">
        <f>IF(Table20[[#This Row],[Remaining]]&lt;&gt;0,Table20[[#This Row],[Invested]]*Table20[[#This Row],[Remaining]]/Table20[[#This Row],[Number of options]],0)</f>
        <v>0</v>
      </c>
      <c r="AE618" s="30">
        <f ca="1">SUMIF(Table20[Ticker],Table20[[#This Row],[Ticker]],Table20[realized_profit])</f>
        <v>-444.99999999999977</v>
      </c>
      <c r="AF618" s="30" t="str">
        <f>VLOOKUP(Table20[[#This Row],[Strategy]],Table29[#All],7,FALSE)</f>
        <v>Bearish</v>
      </c>
    </row>
    <row r="619" spans="1:32" hidden="1">
      <c r="A619" s="180">
        <v>45777</v>
      </c>
      <c r="B619" s="21" t="e" vm="96">
        <v>#VALUE!</v>
      </c>
      <c r="C619" s="109" t="str" cm="1">
        <f t="array" aca="1" ref="C619" ca="1">_FV(Table20[[#This Row],[Asset]],"Ticker symbol",TRUE)</f>
        <v>SPY</v>
      </c>
      <c r="D619" s="26" cm="1">
        <f t="array" aca="1" ref="D619" ca="1">_FV(Table20[[#This Row],[Asset]],"Price")</f>
        <v>658.59</v>
      </c>
      <c r="E619" s="26">
        <v>550</v>
      </c>
      <c r="F619" s="33">
        <v>1</v>
      </c>
      <c r="G619" s="34">
        <v>1</v>
      </c>
      <c r="H619" s="34" t="s">
        <v>65</v>
      </c>
      <c r="I619" s="31">
        <v>45777</v>
      </c>
      <c r="J619" s="26">
        <v>2.35</v>
      </c>
      <c r="K619" s="24"/>
      <c r="L619" s="33">
        <f>VLOOKUP(Table20[[#This Row],[Strategy]],Table29[#All],6,FALSE)</f>
        <v>-1</v>
      </c>
      <c r="M619" s="23">
        <v>1</v>
      </c>
      <c r="N619" s="23">
        <v>1.43</v>
      </c>
      <c r="O619" s="23"/>
      <c r="P619" s="23"/>
      <c r="Q619">
        <f>Table20[[#This Row],[Exit1]]*Table20[[#This Row],[ex1_price]]</f>
        <v>1.43</v>
      </c>
      <c r="R619">
        <f>Table20[[#This Row],[Exit2]]*Table20[[#This Row],[ex2_price]]</f>
        <v>0</v>
      </c>
      <c r="S619">
        <f>IFERROR((Table20[[#This Row],[ex2_amnt]]+Table20[[#This Row],[ex1_amnt]])/(Table20[[#This Row],[Exit2]]+Table20[[#This Row],[Exit1]]),0)</f>
        <v>1.43</v>
      </c>
      <c r="T619" s="5">
        <f>(Table20[[#This Row],[Exit1]]+Table20[[#This Row],[Exit2]])*(Table20[[#This Row],[avg_exit_price]]-Table20[[#This Row],[AvePrice]])*100*Table20[[#This Row],[Buy or Sell]]</f>
        <v>-92.000000000000014</v>
      </c>
      <c r="U619" s="5">
        <f>Table20[[#This Row],[Number of options]]*Table20[[#This Row],[AvePrice]]*100*Table20[[#This Row],[Buy or Sell]]</f>
        <v>235</v>
      </c>
      <c r="V619" s="8">
        <f>Table20[[#This Row],[Number of options]]-Table20[[#This Row],[Exit1]]-Table20[[#This Row],[Exit2]]</f>
        <v>0</v>
      </c>
      <c r="W619" s="30">
        <f ca="1">(Table20[[#This Row],[Expiration Date]]-TODAY())/365</f>
        <v>-0.90410958904109584</v>
      </c>
      <c r="X619" s="30" t="e">
        <f ca="1">(LN(Table20[[#This Row],[Current Price]]/Table20[[#This Row],[strike_price]]) + ($B$2 + (Table20[[#This Row],[Vol]]^2)/2)*Table20[[#This Row],[Time to expiration]]) / (Table20[[#This Row],[Vol]] * SQRT(Table20[[#This Row],[Time to expiration]]))</f>
        <v>#NUM!</v>
      </c>
      <c r="Y619" s="30" t="e">
        <f ca="1">IF(Table20[[#This Row],[Direction]]&gt;0, _xlfn.NORM.S.DIST(Table20[[#This Row],[d1]], TRUE), _xlfn.NORM.S.DIST(Table20[[#This Row],[d1]], TRUE) - 1) * Table20[[#This Row],[Buy or Sell]]</f>
        <v>#NUM!</v>
      </c>
      <c r="Z619" s="9">
        <f ca="1">Table20[[#This Row],[Remaining]]*Table20[[#This Row],[Current Price]]*100</f>
        <v>0</v>
      </c>
      <c r="AA619" s="22">
        <f ca="1">IFERROR(Table20[[#This Row],[nominal_exposure]]*Table20[[#This Row],[Delta]],0)</f>
        <v>0</v>
      </c>
      <c r="AB619" s="30" t="b">
        <f>IF(Table20[[#This Row],[date_purchased]]&lt;&gt;Table20[[#This Row],[Expiration Date]],FALSE,TRUE)</f>
        <v>1</v>
      </c>
      <c r="AC619" s="30" t="str">
        <f>VLOOKUP(Table20[[#This Row],[Asset]],Table19[#All],3,FALSE)</f>
        <v>Market</v>
      </c>
      <c r="AD619" s="30">
        <f>IF(Table20[[#This Row],[Remaining]]&lt;&gt;0,Table20[[#This Row],[Invested]]*Table20[[#This Row],[Remaining]]/Table20[[#This Row],[Number of options]],0)</f>
        <v>0</v>
      </c>
      <c r="AE619" s="30">
        <f ca="1">SUMIF(Table20[Ticker],Table20[[#This Row],[Ticker]],Table20[realized_profit])</f>
        <v>-5077</v>
      </c>
      <c r="AF619" s="30" t="str">
        <f>VLOOKUP(Table20[[#This Row],[Strategy]],Table29[#All],7,FALSE)</f>
        <v>Bearish</v>
      </c>
    </row>
    <row r="620" spans="1:32" hidden="1">
      <c r="A620" s="180">
        <v>45807</v>
      </c>
      <c r="B620" s="21" t="e" vm="96">
        <v>#VALUE!</v>
      </c>
      <c r="C620" s="109" t="str" cm="1">
        <f t="array" aca="1" ref="C620" ca="1">_FV(Table20[[#This Row],[Asset]],"Ticker symbol",TRUE)</f>
        <v>SPY</v>
      </c>
      <c r="D620" s="26" cm="1">
        <f t="array" aca="1" ref="D620" ca="1">_FV(Table20[[#This Row],[Asset]],"Price")</f>
        <v>658.59</v>
      </c>
      <c r="E620" s="26">
        <v>585</v>
      </c>
      <c r="F620" s="33">
        <v>2</v>
      </c>
      <c r="G620" s="34">
        <v>1</v>
      </c>
      <c r="H620" s="34" t="s">
        <v>112</v>
      </c>
      <c r="I620" s="31">
        <v>45797</v>
      </c>
      <c r="J620" s="26">
        <v>3.18</v>
      </c>
      <c r="K620" s="24"/>
      <c r="L620" s="33">
        <f>VLOOKUP(Table20[[#This Row],[Strategy]],Table29[#All],6,FALSE)</f>
        <v>-1</v>
      </c>
      <c r="M620" s="23">
        <v>1</v>
      </c>
      <c r="N620" s="23">
        <v>7.1</v>
      </c>
      <c r="O620" s="23">
        <v>1</v>
      </c>
      <c r="P620" s="23">
        <v>11.31</v>
      </c>
      <c r="Q620">
        <f>Table20[[#This Row],[Exit1]]*Table20[[#This Row],[ex1_price]]</f>
        <v>7.1</v>
      </c>
      <c r="R620">
        <f>Table20[[#This Row],[Exit2]]*Table20[[#This Row],[ex2_price]]</f>
        <v>11.31</v>
      </c>
      <c r="S620">
        <f>IFERROR((Table20[[#This Row],[ex2_amnt]]+Table20[[#This Row],[ex1_amnt]])/(Table20[[#This Row],[Exit2]]+Table20[[#This Row],[Exit1]]),0)</f>
        <v>9.2050000000000001</v>
      </c>
      <c r="T620" s="5">
        <f>(Table20[[#This Row],[Exit1]]+Table20[[#This Row],[Exit2]])*(Table20[[#This Row],[avg_exit_price]]-Table20[[#This Row],[AvePrice]])*100*Table20[[#This Row],[Buy or Sell]]</f>
        <v>1205</v>
      </c>
      <c r="U620" s="5">
        <f>Table20[[#This Row],[Number of options]]*Table20[[#This Row],[AvePrice]]*100*Table20[[#This Row],[Buy or Sell]]</f>
        <v>636</v>
      </c>
      <c r="V620" s="8">
        <f>Table20[[#This Row],[Number of options]]-Table20[[#This Row],[Exit1]]-Table20[[#This Row],[Exit2]]</f>
        <v>0</v>
      </c>
      <c r="W620" s="30">
        <f ca="1">(Table20[[#This Row],[Expiration Date]]-TODAY())/365</f>
        <v>-0.82191780821917804</v>
      </c>
      <c r="X620" s="30" t="e">
        <f ca="1">(LN(Table20[[#This Row],[Current Price]]/Table20[[#This Row],[strike_price]]) + ($B$2 + (Table20[[#This Row],[Vol]]^2)/2)*Table20[[#This Row],[Time to expiration]]) / (Table20[[#This Row],[Vol]] * SQRT(Table20[[#This Row],[Time to expiration]]))</f>
        <v>#NUM!</v>
      </c>
      <c r="Y620" s="30" t="e">
        <f ca="1">IF(Table20[[#This Row],[Direction]]&gt;0, _xlfn.NORM.S.DIST(Table20[[#This Row],[d1]], TRUE), _xlfn.NORM.S.DIST(Table20[[#This Row],[d1]], TRUE) - 1) * Table20[[#This Row],[Buy or Sell]]</f>
        <v>#NUM!</v>
      </c>
      <c r="Z620" s="9">
        <f ca="1">Table20[[#This Row],[Remaining]]*Table20[[#This Row],[Current Price]]*100</f>
        <v>0</v>
      </c>
      <c r="AA620" s="22">
        <f ca="1">IFERROR(Table20[[#This Row],[nominal_exposure]]*Table20[[#This Row],[Delta]],0)</f>
        <v>0</v>
      </c>
      <c r="AB620" s="30" t="b">
        <f>IF(Table20[[#This Row],[date_purchased]]&lt;&gt;Table20[[#This Row],[Expiration Date]],FALSE,TRUE)</f>
        <v>0</v>
      </c>
      <c r="AC620" s="30" t="str">
        <f>VLOOKUP(Table20[[#This Row],[Asset]],Table19[#All],3,FALSE)</f>
        <v>Market</v>
      </c>
      <c r="AD620" s="30">
        <f>IF(Table20[[#This Row],[Remaining]]&lt;&gt;0,Table20[[#This Row],[Invested]]*Table20[[#This Row],[Remaining]]/Table20[[#This Row],[Number of options]],0)</f>
        <v>0</v>
      </c>
      <c r="AE620" s="30">
        <f ca="1">SUMIF(Table20[Ticker],Table20[[#This Row],[Ticker]],Table20[realized_profit])</f>
        <v>-5077</v>
      </c>
      <c r="AF620" s="30" t="str">
        <f>VLOOKUP(Table20[[#This Row],[Strategy]],Table29[#All],7,FALSE)</f>
        <v>Bearish</v>
      </c>
    </row>
    <row r="621" spans="1:32" hidden="1">
      <c r="A621" s="180">
        <v>45807</v>
      </c>
      <c r="B621" s="21" t="e" vm="96">
        <v>#VALUE!</v>
      </c>
      <c r="C621" s="109" t="str" cm="1">
        <f t="array" aca="1" ref="C621" ca="1">_FV(Table20[[#This Row],[Asset]],"Ticker symbol",TRUE)</f>
        <v>SPY</v>
      </c>
      <c r="D621" s="26" cm="1">
        <f t="array" aca="1" ref="D621" ca="1">_FV(Table20[[#This Row],[Asset]],"Price")</f>
        <v>658.59</v>
      </c>
      <c r="E621" s="26">
        <v>570</v>
      </c>
      <c r="F621" s="33">
        <v>2</v>
      </c>
      <c r="G621" s="34">
        <v>-1</v>
      </c>
      <c r="H621" s="34" t="s">
        <v>112</v>
      </c>
      <c r="I621" s="31">
        <v>45797</v>
      </c>
      <c r="J621" s="26">
        <v>1.01</v>
      </c>
      <c r="K621" s="24"/>
      <c r="L621" s="33">
        <f>VLOOKUP(Table20[[#This Row],[Strategy]],Table29[#All],6,FALSE)</f>
        <v>-1</v>
      </c>
      <c r="M621" s="23">
        <v>1</v>
      </c>
      <c r="N621" s="23">
        <v>2.4500000000000002</v>
      </c>
      <c r="O621" s="23">
        <v>1</v>
      </c>
      <c r="P621" s="23">
        <v>4.43</v>
      </c>
      <c r="Q621">
        <f>Table20[[#This Row],[Exit1]]*Table20[[#This Row],[ex1_price]]</f>
        <v>2.4500000000000002</v>
      </c>
      <c r="R621">
        <f>Table20[[#This Row],[Exit2]]*Table20[[#This Row],[ex2_price]]</f>
        <v>4.43</v>
      </c>
      <c r="S621">
        <f>IFERROR((Table20[[#This Row],[ex2_amnt]]+Table20[[#This Row],[ex1_amnt]])/(Table20[[#This Row],[Exit2]]+Table20[[#This Row],[Exit1]]),0)</f>
        <v>3.44</v>
      </c>
      <c r="T621" s="5">
        <f>(Table20[[#This Row],[Exit1]]+Table20[[#This Row],[Exit2]])*(Table20[[#This Row],[avg_exit_price]]-Table20[[#This Row],[AvePrice]])*100*Table20[[#This Row],[Buy or Sell]]</f>
        <v>-485.99999999999994</v>
      </c>
      <c r="U621" s="5">
        <f>Table20[[#This Row],[Number of options]]*Table20[[#This Row],[AvePrice]]*100*Table20[[#This Row],[Buy or Sell]]</f>
        <v>-202</v>
      </c>
      <c r="V621" s="8">
        <f>Table20[[#This Row],[Number of options]]-Table20[[#This Row],[Exit1]]-Table20[[#This Row],[Exit2]]</f>
        <v>0</v>
      </c>
      <c r="W621" s="30">
        <f ca="1">(Table20[[#This Row],[Expiration Date]]-TODAY())/365</f>
        <v>-0.82191780821917804</v>
      </c>
      <c r="X621" s="30" t="e">
        <f ca="1">(LN(Table20[[#This Row],[Current Price]]/Table20[[#This Row],[strike_price]]) + ($B$2 + (Table20[[#This Row],[Vol]]^2)/2)*Table20[[#This Row],[Time to expiration]]) / (Table20[[#This Row],[Vol]] * SQRT(Table20[[#This Row],[Time to expiration]]))</f>
        <v>#NUM!</v>
      </c>
      <c r="Y621" s="30" t="e">
        <f ca="1">IF(Table20[[#This Row],[Direction]]&gt;0, _xlfn.NORM.S.DIST(Table20[[#This Row],[d1]], TRUE), _xlfn.NORM.S.DIST(Table20[[#This Row],[d1]], TRUE) - 1) * Table20[[#This Row],[Buy or Sell]]</f>
        <v>#NUM!</v>
      </c>
      <c r="Z621" s="9">
        <f ca="1">Table20[[#This Row],[Remaining]]*Table20[[#This Row],[Current Price]]*100</f>
        <v>0</v>
      </c>
      <c r="AA621" s="22">
        <f ca="1">IFERROR(Table20[[#This Row],[nominal_exposure]]*Table20[[#This Row],[Delta]],0)</f>
        <v>0</v>
      </c>
      <c r="AB621" s="30" t="b">
        <f>IF(Table20[[#This Row],[date_purchased]]&lt;&gt;Table20[[#This Row],[Expiration Date]],FALSE,TRUE)</f>
        <v>0</v>
      </c>
      <c r="AC621" s="30" t="str">
        <f>VLOOKUP(Table20[[#This Row],[Asset]],Table19[#All],3,FALSE)</f>
        <v>Market</v>
      </c>
      <c r="AD621" s="30">
        <f>IF(Table20[[#This Row],[Remaining]]&lt;&gt;0,Table20[[#This Row],[Invested]]*Table20[[#This Row],[Remaining]]/Table20[[#This Row],[Number of options]],0)</f>
        <v>0</v>
      </c>
      <c r="AE621" s="30">
        <f ca="1">SUMIF(Table20[Ticker],Table20[[#This Row],[Ticker]],Table20[realized_profit])</f>
        <v>-5077</v>
      </c>
      <c r="AF621" s="30" t="str">
        <f>VLOOKUP(Table20[[#This Row],[Strategy]],Table29[#All],7,FALSE)</f>
        <v>Bearish</v>
      </c>
    </row>
    <row r="622" spans="1:32" hidden="1">
      <c r="A622" s="180">
        <v>45869</v>
      </c>
      <c r="B622" s="21" t="e" vm="560">
        <v>#VALUE!</v>
      </c>
      <c r="C622" s="109" t="str" cm="1">
        <f t="array" aca="1" ref="C622" ca="1">_FV(Table20[[#This Row],[Asset]],"Ticker symbol",TRUE)</f>
        <v>IBIT</v>
      </c>
      <c r="D622" s="26" cm="1">
        <f t="array" aca="1" ref="D622" ca="1">_FV(Table20[[#This Row],[Asset]],"Price")</f>
        <v>40.43</v>
      </c>
      <c r="E622" s="26">
        <v>70</v>
      </c>
      <c r="F622" s="33">
        <v>3</v>
      </c>
      <c r="G622" s="34">
        <v>1</v>
      </c>
      <c r="H622" s="34" t="s">
        <v>113</v>
      </c>
      <c r="I622" s="31">
        <v>45778</v>
      </c>
      <c r="J622" s="26">
        <v>1.93</v>
      </c>
      <c r="K622" s="24"/>
      <c r="L622" s="33">
        <f>VLOOKUP(Table20[[#This Row],[Strategy]],Table29[#All],6,FALSE)</f>
        <v>1</v>
      </c>
      <c r="M622" s="23">
        <v>3</v>
      </c>
      <c r="N622" s="23">
        <v>1.79</v>
      </c>
      <c r="O622" s="23"/>
      <c r="P622" s="23"/>
      <c r="Q622">
        <f>Table20[[#This Row],[Exit1]]*Table20[[#This Row],[ex1_price]]</f>
        <v>5.37</v>
      </c>
      <c r="R622">
        <f>Table20[[#This Row],[Exit2]]*Table20[[#This Row],[ex2_price]]</f>
        <v>0</v>
      </c>
      <c r="S622">
        <f>IFERROR((Table20[[#This Row],[ex2_amnt]]+Table20[[#This Row],[ex1_amnt]])/(Table20[[#This Row],[Exit2]]+Table20[[#This Row],[Exit1]]),0)</f>
        <v>1.79</v>
      </c>
      <c r="T622" s="5">
        <f>(Table20[[#This Row],[Exit1]]+Table20[[#This Row],[Exit2]])*(Table20[[#This Row],[avg_exit_price]]-Table20[[#This Row],[AvePrice]])*100*Table20[[#This Row],[Buy or Sell]]</f>
        <v>-41.999999999999972</v>
      </c>
      <c r="U622" s="5">
        <f>Table20[[#This Row],[Number of options]]*Table20[[#This Row],[AvePrice]]*100*Table20[[#This Row],[Buy or Sell]]</f>
        <v>579</v>
      </c>
      <c r="V622" s="8">
        <f>Table20[[#This Row],[Number of options]]-Table20[[#This Row],[Exit1]]-Table20[[#This Row],[Exit2]]</f>
        <v>0</v>
      </c>
      <c r="W622" s="30">
        <f ca="1">(Table20[[#This Row],[Expiration Date]]-TODAY())/365</f>
        <v>-0.65205479452054793</v>
      </c>
      <c r="X622" s="30" t="e">
        <f ca="1">(LN(Table20[[#This Row],[Current Price]]/Table20[[#This Row],[strike_price]]) + ($B$2 + (Table20[[#This Row],[Vol]]^2)/2)*Table20[[#This Row],[Time to expiration]]) / (Table20[[#This Row],[Vol]] * SQRT(Table20[[#This Row],[Time to expiration]]))</f>
        <v>#NUM!</v>
      </c>
      <c r="Y622" s="30" t="e">
        <f ca="1">IF(Table20[[#This Row],[Direction]]&gt;0, _xlfn.NORM.S.DIST(Table20[[#This Row],[d1]], TRUE), _xlfn.NORM.S.DIST(Table20[[#This Row],[d1]], TRUE) - 1) * Table20[[#This Row],[Buy or Sell]]</f>
        <v>#NUM!</v>
      </c>
      <c r="Z622" s="9">
        <f ca="1">Table20[[#This Row],[Remaining]]*Table20[[#This Row],[Current Price]]*100</f>
        <v>0</v>
      </c>
      <c r="AA622" s="22">
        <f ca="1">IFERROR(Table20[[#This Row],[nominal_exposure]]*Table20[[#This Row],[Delta]],0)</f>
        <v>0</v>
      </c>
      <c r="AB622" s="30" t="b">
        <f>IF(Table20[[#This Row],[date_purchased]]&lt;&gt;Table20[[#This Row],[Expiration Date]],FALSE,TRUE)</f>
        <v>0</v>
      </c>
      <c r="AC622" s="30" t="str">
        <f>VLOOKUP(Table20[[#This Row],[Asset]],Table19[#All],3,FALSE)</f>
        <v>Crypto</v>
      </c>
      <c r="AD622" s="30">
        <f>IF(Table20[[#This Row],[Remaining]]&lt;&gt;0,Table20[[#This Row],[Invested]]*Table20[[#This Row],[Remaining]]/Table20[[#This Row],[Number of options]],0)</f>
        <v>0</v>
      </c>
      <c r="AE622" s="30">
        <f ca="1">SUMIF(Table20[Ticker],Table20[[#This Row],[Ticker]],Table20[realized_profit])</f>
        <v>-41.999999999999972</v>
      </c>
      <c r="AF622" s="30" t="str">
        <f>VLOOKUP(Table20[[#This Row],[Strategy]],Table29[#All],7,FALSE)</f>
        <v>Bullish</v>
      </c>
    </row>
    <row r="623" spans="1:32" hidden="1">
      <c r="A623" s="180">
        <v>45828</v>
      </c>
      <c r="B623" s="21" t="e" vm="96">
        <v>#VALUE!</v>
      </c>
      <c r="C623" s="109" t="str" cm="1">
        <f t="array" aca="1" ref="C623" ca="1">_FV(Table20[[#This Row],[Asset]],"Ticker symbol",TRUE)</f>
        <v>SPY</v>
      </c>
      <c r="D623" s="26" cm="1">
        <f t="array" aca="1" ref="D623" ca="1">_FV(Table20[[#This Row],[Asset]],"Price")</f>
        <v>658.59</v>
      </c>
      <c r="E623" s="26">
        <v>510</v>
      </c>
      <c r="F623" s="33">
        <v>2</v>
      </c>
      <c r="G623" s="34">
        <v>1</v>
      </c>
      <c r="H623" s="34" t="s">
        <v>112</v>
      </c>
      <c r="I623" s="31">
        <v>45775</v>
      </c>
      <c r="J623" s="26">
        <v>6.44</v>
      </c>
      <c r="K623" s="24"/>
      <c r="L623" s="33">
        <f>VLOOKUP(Table20[[#This Row],[Strategy]],Table29[#All],6,FALSE)</f>
        <v>-1</v>
      </c>
      <c r="M623" s="23">
        <v>2</v>
      </c>
      <c r="N623" s="23">
        <v>1.21</v>
      </c>
      <c r="O623" s="23"/>
      <c r="P623" s="23"/>
      <c r="Q623">
        <f>Table20[[#This Row],[Exit1]]*Table20[[#This Row],[ex1_price]]</f>
        <v>2.42</v>
      </c>
      <c r="R623">
        <f>Table20[[#This Row],[Exit2]]*Table20[[#This Row],[ex2_price]]</f>
        <v>0</v>
      </c>
      <c r="S623">
        <f>IFERROR((Table20[[#This Row],[ex2_amnt]]+Table20[[#This Row],[ex1_amnt]])/(Table20[[#This Row],[Exit2]]+Table20[[#This Row],[Exit1]]),0)</f>
        <v>1.21</v>
      </c>
      <c r="T623" s="5">
        <f>(Table20[[#This Row],[Exit1]]+Table20[[#This Row],[Exit2]])*(Table20[[#This Row],[avg_exit_price]]-Table20[[#This Row],[AvePrice]])*100*Table20[[#This Row],[Buy or Sell]]</f>
        <v>-1046</v>
      </c>
      <c r="U623" s="5">
        <f>Table20[[#This Row],[Number of options]]*Table20[[#This Row],[AvePrice]]*100*Table20[[#This Row],[Buy or Sell]]</f>
        <v>1288</v>
      </c>
      <c r="V623" s="8">
        <f>Table20[[#This Row],[Number of options]]-Table20[[#This Row],[Exit1]]-Table20[[#This Row],[Exit2]]</f>
        <v>0</v>
      </c>
      <c r="W623" s="30">
        <f ca="1">(Table20[[#This Row],[Expiration Date]]-TODAY())/365</f>
        <v>-0.76438356164383559</v>
      </c>
      <c r="X623" s="30" t="e">
        <f ca="1">(LN(Table20[[#This Row],[Current Price]]/Table20[[#This Row],[strike_price]]) + ($B$2 + (Table20[[#This Row],[Vol]]^2)/2)*Table20[[#This Row],[Time to expiration]]) / (Table20[[#This Row],[Vol]] * SQRT(Table20[[#This Row],[Time to expiration]]))</f>
        <v>#NUM!</v>
      </c>
      <c r="Y623" s="30" t="e">
        <f ca="1">IF(Table20[[#This Row],[Direction]]&gt;0, _xlfn.NORM.S.DIST(Table20[[#This Row],[d1]], TRUE), _xlfn.NORM.S.DIST(Table20[[#This Row],[d1]], TRUE) - 1) * Table20[[#This Row],[Buy or Sell]]</f>
        <v>#NUM!</v>
      </c>
      <c r="Z623" s="9">
        <f ca="1">Table20[[#This Row],[Remaining]]*Table20[[#This Row],[Current Price]]*100</f>
        <v>0</v>
      </c>
      <c r="AA623" s="22">
        <f ca="1">IFERROR(Table20[[#This Row],[nominal_exposure]]*Table20[[#This Row],[Delta]],0)</f>
        <v>0</v>
      </c>
      <c r="AB623" s="30" t="b">
        <f>IF(Table20[[#This Row],[date_purchased]]&lt;&gt;Table20[[#This Row],[Expiration Date]],FALSE,TRUE)</f>
        <v>0</v>
      </c>
      <c r="AC623" s="30" t="str">
        <f>VLOOKUP(Table20[[#This Row],[Asset]],Table19[#All],3,FALSE)</f>
        <v>Market</v>
      </c>
      <c r="AD623" s="30">
        <f>IF(Table20[[#This Row],[Remaining]]&lt;&gt;0,Table20[[#This Row],[Invested]]*Table20[[#This Row],[Remaining]]/Table20[[#This Row],[Number of options]],0)</f>
        <v>0</v>
      </c>
      <c r="AE623" s="30">
        <f ca="1">SUMIF(Table20[Ticker],Table20[[#This Row],[Ticker]],Table20[realized_profit])</f>
        <v>-5077</v>
      </c>
      <c r="AF623" s="30" t="str">
        <f>VLOOKUP(Table20[[#This Row],[Strategy]],Table29[#All],7,FALSE)</f>
        <v>Bearish</v>
      </c>
    </row>
    <row r="624" spans="1:32" hidden="1">
      <c r="A624" s="180">
        <v>45828</v>
      </c>
      <c r="B624" s="21" t="e" vm="96">
        <v>#VALUE!</v>
      </c>
      <c r="C624" s="109" t="str" cm="1">
        <f t="array" aca="1" ref="C624" ca="1">_FV(Table20[[#This Row],[Asset]],"Ticker symbol",TRUE)</f>
        <v>SPY</v>
      </c>
      <c r="D624" s="26" cm="1">
        <f t="array" aca="1" ref="D624" ca="1">_FV(Table20[[#This Row],[Asset]],"Price")</f>
        <v>658.59</v>
      </c>
      <c r="E624" s="26">
        <v>480</v>
      </c>
      <c r="F624" s="33">
        <v>2</v>
      </c>
      <c r="G624" s="34">
        <v>-1</v>
      </c>
      <c r="H624" s="34" t="s">
        <v>112</v>
      </c>
      <c r="I624" s="31">
        <v>45775</v>
      </c>
      <c r="J624" s="26">
        <v>3.03</v>
      </c>
      <c r="K624" s="24"/>
      <c r="L624" s="33">
        <f>VLOOKUP(Table20[[#This Row],[Strategy]],Table29[#All],6,FALSE)</f>
        <v>-1</v>
      </c>
      <c r="M624" s="23">
        <v>2</v>
      </c>
      <c r="N624" s="23">
        <v>0.64</v>
      </c>
      <c r="O624" s="23"/>
      <c r="P624" s="23"/>
      <c r="Q624">
        <f>Table20[[#This Row],[Exit1]]*Table20[[#This Row],[ex1_price]]</f>
        <v>1.28</v>
      </c>
      <c r="R624">
        <f>Table20[[#This Row],[Exit2]]*Table20[[#This Row],[ex2_price]]</f>
        <v>0</v>
      </c>
      <c r="S624">
        <f>IFERROR((Table20[[#This Row],[ex2_amnt]]+Table20[[#This Row],[ex1_amnt]])/(Table20[[#This Row],[Exit2]]+Table20[[#This Row],[Exit1]]),0)</f>
        <v>0.64</v>
      </c>
      <c r="T624" s="5">
        <f>(Table20[[#This Row],[Exit1]]+Table20[[#This Row],[Exit2]])*(Table20[[#This Row],[avg_exit_price]]-Table20[[#This Row],[AvePrice]])*100*Table20[[#This Row],[Buy or Sell]]</f>
        <v>477.99999999999994</v>
      </c>
      <c r="U624" s="5">
        <f>Table20[[#This Row],[Number of options]]*Table20[[#This Row],[AvePrice]]*100*Table20[[#This Row],[Buy or Sell]]</f>
        <v>-606</v>
      </c>
      <c r="V624" s="8">
        <f>Table20[[#This Row],[Number of options]]-Table20[[#This Row],[Exit1]]-Table20[[#This Row],[Exit2]]</f>
        <v>0</v>
      </c>
      <c r="W624" s="30">
        <f ca="1">(Table20[[#This Row],[Expiration Date]]-TODAY())/365</f>
        <v>-0.76438356164383559</v>
      </c>
      <c r="X624" s="30" t="e">
        <f ca="1">(LN(Table20[[#This Row],[Current Price]]/Table20[[#This Row],[strike_price]]) + ($B$2 + (Table20[[#This Row],[Vol]]^2)/2)*Table20[[#This Row],[Time to expiration]]) / (Table20[[#This Row],[Vol]] * SQRT(Table20[[#This Row],[Time to expiration]]))</f>
        <v>#NUM!</v>
      </c>
      <c r="Y624" s="30" t="e">
        <f ca="1">IF(Table20[[#This Row],[Direction]]&gt;0, _xlfn.NORM.S.DIST(Table20[[#This Row],[d1]], TRUE), _xlfn.NORM.S.DIST(Table20[[#This Row],[d1]], TRUE) - 1) * Table20[[#This Row],[Buy or Sell]]</f>
        <v>#NUM!</v>
      </c>
      <c r="Z624" s="9">
        <f ca="1">Table20[[#This Row],[Remaining]]*Table20[[#This Row],[Current Price]]*100</f>
        <v>0</v>
      </c>
      <c r="AA624" s="22">
        <f ca="1">IFERROR(Table20[[#This Row],[nominal_exposure]]*Table20[[#This Row],[Delta]],0)</f>
        <v>0</v>
      </c>
      <c r="AB624" s="30" t="b">
        <f>IF(Table20[[#This Row],[date_purchased]]&lt;&gt;Table20[[#This Row],[Expiration Date]],FALSE,TRUE)</f>
        <v>0</v>
      </c>
      <c r="AC624" s="30" t="str">
        <f>VLOOKUP(Table20[[#This Row],[Asset]],Table19[#All],3,FALSE)</f>
        <v>Market</v>
      </c>
      <c r="AD624" s="30">
        <f>IF(Table20[[#This Row],[Remaining]]&lt;&gt;0,Table20[[#This Row],[Invested]]*Table20[[#This Row],[Remaining]]/Table20[[#This Row],[Number of options]],0)</f>
        <v>0</v>
      </c>
      <c r="AE624" s="30">
        <f ca="1">SUMIF(Table20[Ticker],Table20[[#This Row],[Ticker]],Table20[realized_profit])</f>
        <v>-5077</v>
      </c>
      <c r="AF624" s="30" t="str">
        <f>VLOOKUP(Table20[[#This Row],[Strategy]],Table29[#All],7,FALSE)</f>
        <v>Bearish</v>
      </c>
    </row>
    <row r="625" spans="1:32" hidden="1">
      <c r="A625" s="180">
        <v>45786</v>
      </c>
      <c r="B625" s="21" t="e" vm="96">
        <v>#VALUE!</v>
      </c>
      <c r="C625" s="109" t="str" cm="1">
        <f t="array" aca="1" ref="C625" ca="1">_FV(Table20[[#This Row],[Asset]],"Ticker symbol",TRUE)</f>
        <v>SPY</v>
      </c>
      <c r="D625" s="26" cm="1">
        <f t="array" aca="1" ref="D625" ca="1">_FV(Table20[[#This Row],[Asset]],"Price")</f>
        <v>658.59</v>
      </c>
      <c r="E625" s="26">
        <v>550</v>
      </c>
      <c r="F625" s="33">
        <v>3</v>
      </c>
      <c r="G625" s="34">
        <v>1</v>
      </c>
      <c r="H625" s="34" t="s">
        <v>112</v>
      </c>
      <c r="I625" s="31">
        <v>45779</v>
      </c>
      <c r="J625" s="26">
        <v>1.64</v>
      </c>
      <c r="K625" s="24"/>
      <c r="L625" s="33">
        <f>VLOOKUP(Table20[[#This Row],[Strategy]],Table29[#All],6,FALSE)</f>
        <v>-1</v>
      </c>
      <c r="M625" s="23">
        <v>3</v>
      </c>
      <c r="N625" s="23">
        <v>1.33</v>
      </c>
      <c r="O625" s="23"/>
      <c r="P625" s="23"/>
      <c r="Q625">
        <f>Table20[[#This Row],[Exit1]]*Table20[[#This Row],[ex1_price]]</f>
        <v>3.99</v>
      </c>
      <c r="R625">
        <f>Table20[[#This Row],[Exit2]]*Table20[[#This Row],[ex2_price]]</f>
        <v>0</v>
      </c>
      <c r="S625">
        <f>IFERROR((Table20[[#This Row],[ex2_amnt]]+Table20[[#This Row],[ex1_amnt]])/(Table20[[#This Row],[Exit2]]+Table20[[#This Row],[Exit1]]),0)</f>
        <v>1.33</v>
      </c>
      <c r="T625" s="5">
        <f>(Table20[[#This Row],[Exit1]]+Table20[[#This Row],[Exit2]])*(Table20[[#This Row],[avg_exit_price]]-Table20[[#This Row],[AvePrice]])*100*Table20[[#This Row],[Buy or Sell]]</f>
        <v>-92.999999999999943</v>
      </c>
      <c r="U625" s="5">
        <f>Table20[[#This Row],[Number of options]]*Table20[[#This Row],[AvePrice]]*100*Table20[[#This Row],[Buy or Sell]]</f>
        <v>492</v>
      </c>
      <c r="V625" s="8">
        <f>Table20[[#This Row],[Number of options]]-Table20[[#This Row],[Exit1]]-Table20[[#This Row],[Exit2]]</f>
        <v>0</v>
      </c>
      <c r="W625" s="30">
        <f ca="1">(Table20[[#This Row],[Expiration Date]]-TODAY())/365</f>
        <v>-0.8794520547945206</v>
      </c>
      <c r="X625" s="30" t="e">
        <f ca="1">(LN(Table20[[#This Row],[Current Price]]/Table20[[#This Row],[strike_price]]) + ($B$2 + (Table20[[#This Row],[Vol]]^2)/2)*Table20[[#This Row],[Time to expiration]]) / (Table20[[#This Row],[Vol]] * SQRT(Table20[[#This Row],[Time to expiration]]))</f>
        <v>#NUM!</v>
      </c>
      <c r="Y625" s="30" t="e">
        <f ca="1">IF(Table20[[#This Row],[Direction]]&gt;0, _xlfn.NORM.S.DIST(Table20[[#This Row],[d1]], TRUE), _xlfn.NORM.S.DIST(Table20[[#This Row],[d1]], TRUE) - 1) * Table20[[#This Row],[Buy or Sell]]</f>
        <v>#NUM!</v>
      </c>
      <c r="Z625" s="9">
        <f ca="1">Table20[[#This Row],[Remaining]]*Table20[[#This Row],[Current Price]]*100</f>
        <v>0</v>
      </c>
      <c r="AA625" s="22">
        <f ca="1">IFERROR(Table20[[#This Row],[nominal_exposure]]*Table20[[#This Row],[Delta]],0)</f>
        <v>0</v>
      </c>
      <c r="AB625" s="30" t="b">
        <f>IF(Table20[[#This Row],[date_purchased]]&lt;&gt;Table20[[#This Row],[Expiration Date]],FALSE,TRUE)</f>
        <v>0</v>
      </c>
      <c r="AC625" s="30" t="str">
        <f>VLOOKUP(Table20[[#This Row],[Asset]],Table19[#All],3,FALSE)</f>
        <v>Market</v>
      </c>
      <c r="AD625" s="30">
        <f>IF(Table20[[#This Row],[Remaining]]&lt;&gt;0,Table20[[#This Row],[Invested]]*Table20[[#This Row],[Remaining]]/Table20[[#This Row],[Number of options]],0)</f>
        <v>0</v>
      </c>
      <c r="AE625" s="30">
        <f ca="1">SUMIF(Table20[Ticker],Table20[[#This Row],[Ticker]],Table20[realized_profit])</f>
        <v>-5077</v>
      </c>
      <c r="AF625" s="30" t="str">
        <f>VLOOKUP(Table20[[#This Row],[Strategy]],Table29[#All],7,FALSE)</f>
        <v>Bearish</v>
      </c>
    </row>
    <row r="626" spans="1:32" hidden="1">
      <c r="A626" s="180">
        <v>45786</v>
      </c>
      <c r="B626" s="21" t="e" vm="96">
        <v>#VALUE!</v>
      </c>
      <c r="C626" s="109" t="str" cm="1">
        <f t="array" aca="1" ref="C626" ca="1">_FV(Table20[[#This Row],[Asset]],"Ticker symbol",TRUE)</f>
        <v>SPY</v>
      </c>
      <c r="D626" s="26" cm="1">
        <f t="array" aca="1" ref="D626" ca="1">_FV(Table20[[#This Row],[Asset]],"Price")</f>
        <v>658.59</v>
      </c>
      <c r="E626" s="26">
        <v>540</v>
      </c>
      <c r="F626" s="33">
        <v>3</v>
      </c>
      <c r="G626" s="34">
        <v>-1</v>
      </c>
      <c r="H626" s="34" t="s">
        <v>112</v>
      </c>
      <c r="I626" s="31">
        <v>45779</v>
      </c>
      <c r="J626" s="26">
        <v>0.73</v>
      </c>
      <c r="K626" s="24"/>
      <c r="L626" s="33">
        <f>VLOOKUP(Table20[[#This Row],[Strategy]],Table29[#All],6,FALSE)</f>
        <v>-1</v>
      </c>
      <c r="M626" s="23">
        <v>3</v>
      </c>
      <c r="N626" s="23">
        <v>0.5</v>
      </c>
      <c r="O626" s="23"/>
      <c r="P626" s="23"/>
      <c r="Q626">
        <f>Table20[[#This Row],[Exit1]]*Table20[[#This Row],[ex1_price]]</f>
        <v>1.5</v>
      </c>
      <c r="R626">
        <f>Table20[[#This Row],[Exit2]]*Table20[[#This Row],[ex2_price]]</f>
        <v>0</v>
      </c>
      <c r="S626">
        <f>IFERROR((Table20[[#This Row],[ex2_amnt]]+Table20[[#This Row],[ex1_amnt]])/(Table20[[#This Row],[Exit2]]+Table20[[#This Row],[Exit1]]),0)</f>
        <v>0.5</v>
      </c>
      <c r="T626" s="5">
        <f>(Table20[[#This Row],[Exit1]]+Table20[[#This Row],[Exit2]])*(Table20[[#This Row],[avg_exit_price]]-Table20[[#This Row],[AvePrice]])*100*Table20[[#This Row],[Buy or Sell]]</f>
        <v>69</v>
      </c>
      <c r="U626" s="5">
        <f>Table20[[#This Row],[Number of options]]*Table20[[#This Row],[AvePrice]]*100*Table20[[#This Row],[Buy or Sell]]</f>
        <v>-219</v>
      </c>
      <c r="V626" s="8">
        <f>Table20[[#This Row],[Number of options]]-Table20[[#This Row],[Exit1]]-Table20[[#This Row],[Exit2]]</f>
        <v>0</v>
      </c>
      <c r="W626" s="30">
        <f ca="1">(Table20[[#This Row],[Expiration Date]]-TODAY())/365</f>
        <v>-0.8794520547945206</v>
      </c>
      <c r="X626" s="30" t="e">
        <f ca="1">(LN(Table20[[#This Row],[Current Price]]/Table20[[#This Row],[strike_price]]) + ($B$2 + (Table20[[#This Row],[Vol]]^2)/2)*Table20[[#This Row],[Time to expiration]]) / (Table20[[#This Row],[Vol]] * SQRT(Table20[[#This Row],[Time to expiration]]))</f>
        <v>#NUM!</v>
      </c>
      <c r="Y626" s="30" t="e">
        <f ca="1">IF(Table20[[#This Row],[Direction]]&gt;0, _xlfn.NORM.S.DIST(Table20[[#This Row],[d1]], TRUE), _xlfn.NORM.S.DIST(Table20[[#This Row],[d1]], TRUE) - 1) * Table20[[#This Row],[Buy or Sell]]</f>
        <v>#NUM!</v>
      </c>
      <c r="Z626" s="9">
        <f ca="1">Table20[[#This Row],[Remaining]]*Table20[[#This Row],[Current Price]]*100</f>
        <v>0</v>
      </c>
      <c r="AA626" s="22">
        <f ca="1">IFERROR(Table20[[#This Row],[nominal_exposure]]*Table20[[#This Row],[Delta]],0)</f>
        <v>0</v>
      </c>
      <c r="AB626" s="30" t="b">
        <f>IF(Table20[[#This Row],[date_purchased]]&lt;&gt;Table20[[#This Row],[Expiration Date]],FALSE,TRUE)</f>
        <v>0</v>
      </c>
      <c r="AC626" s="30" t="str">
        <f>VLOOKUP(Table20[[#This Row],[Asset]],Table19[#All],3,FALSE)</f>
        <v>Market</v>
      </c>
      <c r="AD626" s="30">
        <f>IF(Table20[[#This Row],[Remaining]]&lt;&gt;0,Table20[[#This Row],[Invested]]*Table20[[#This Row],[Remaining]]/Table20[[#This Row],[Number of options]],0)</f>
        <v>0</v>
      </c>
      <c r="AE626" s="30">
        <f ca="1">SUMIF(Table20[Ticker],Table20[[#This Row],[Ticker]],Table20[realized_profit])</f>
        <v>-5077</v>
      </c>
      <c r="AF626" s="30" t="str">
        <f>VLOOKUP(Table20[[#This Row],[Strategy]],Table29[#All],7,FALSE)</f>
        <v>Bearish</v>
      </c>
    </row>
    <row r="627" spans="1:32" hidden="1">
      <c r="A627" s="180">
        <v>45920</v>
      </c>
      <c r="B627" s="21" t="e" vm="92">
        <v>#VALUE!</v>
      </c>
      <c r="C627" s="109" t="str" cm="1">
        <f t="array" aca="1" ref="C627" ca="1">_FV(Table20[[#This Row],[Asset]],"Ticker symbol",TRUE)</f>
        <v>NEM</v>
      </c>
      <c r="D627" s="26" cm="1">
        <f t="array" aca="1" ref="D627" ca="1">_FV(Table20[[#This Row],[Asset]],"Price")</f>
        <v>102.705</v>
      </c>
      <c r="E627" s="26">
        <v>55</v>
      </c>
      <c r="F627" s="33">
        <v>3</v>
      </c>
      <c r="G627" s="34">
        <v>1</v>
      </c>
      <c r="H627" s="34" t="s">
        <v>114</v>
      </c>
      <c r="I627" s="31">
        <v>45782</v>
      </c>
      <c r="J627" s="26">
        <v>1.64</v>
      </c>
      <c r="K627" s="24"/>
      <c r="L627" s="33">
        <f>VLOOKUP(Table20[[#This Row],[Strategy]],Table29[#All],6,FALSE)</f>
        <v>1</v>
      </c>
      <c r="M627" s="23">
        <v>3</v>
      </c>
      <c r="N627" s="23">
        <v>0.76</v>
      </c>
      <c r="O627" s="23"/>
      <c r="P627" s="23"/>
      <c r="Q627">
        <f>Table20[[#This Row],[Exit1]]*Table20[[#This Row],[ex1_price]]</f>
        <v>2.2800000000000002</v>
      </c>
      <c r="R627">
        <f>Table20[[#This Row],[Exit2]]*Table20[[#This Row],[ex2_price]]</f>
        <v>0</v>
      </c>
      <c r="S627">
        <f>IFERROR((Table20[[#This Row],[ex2_amnt]]+Table20[[#This Row],[ex1_amnt]])/(Table20[[#This Row],[Exit2]]+Table20[[#This Row],[Exit1]]),0)</f>
        <v>0.76000000000000012</v>
      </c>
      <c r="T627" s="5">
        <f>(Table20[[#This Row],[Exit1]]+Table20[[#This Row],[Exit2]])*(Table20[[#This Row],[avg_exit_price]]-Table20[[#This Row],[AvePrice]])*100*Table20[[#This Row],[Buy or Sell]]</f>
        <v>-263.99999999999994</v>
      </c>
      <c r="U627" s="5">
        <f>Table20[[#This Row],[Number of options]]*Table20[[#This Row],[AvePrice]]*100*Table20[[#This Row],[Buy or Sell]]</f>
        <v>492</v>
      </c>
      <c r="V627" s="8">
        <f>Table20[[#This Row],[Number of options]]-Table20[[#This Row],[Exit1]]-Table20[[#This Row],[Exit2]]</f>
        <v>0</v>
      </c>
      <c r="W627" s="30">
        <f ca="1">(Table20[[#This Row],[Expiration Date]]-TODAY())/365</f>
        <v>-0.51232876712328768</v>
      </c>
      <c r="X627" s="30" t="e">
        <f ca="1">(LN(Table20[[#This Row],[Current Price]]/Table20[[#This Row],[strike_price]]) + ($B$2 + (Table20[[#This Row],[Vol]]^2)/2)*Table20[[#This Row],[Time to expiration]]) / (Table20[[#This Row],[Vol]] * SQRT(Table20[[#This Row],[Time to expiration]]))</f>
        <v>#NUM!</v>
      </c>
      <c r="Y627" s="30" t="e">
        <f ca="1">IF(Table20[[#This Row],[Direction]]&gt;0, _xlfn.NORM.S.DIST(Table20[[#This Row],[d1]], TRUE), _xlfn.NORM.S.DIST(Table20[[#This Row],[d1]], TRUE) - 1) * Table20[[#This Row],[Buy or Sell]]</f>
        <v>#NUM!</v>
      </c>
      <c r="Z627" s="9">
        <f ca="1">Table20[[#This Row],[Remaining]]*Table20[[#This Row],[Current Price]]*100</f>
        <v>0</v>
      </c>
      <c r="AA627" s="22">
        <f ca="1">IFERROR(Table20[[#This Row],[nominal_exposure]]*Table20[[#This Row],[Delta]],0)</f>
        <v>0</v>
      </c>
      <c r="AB627" s="30" t="b">
        <f>IF(Table20[[#This Row],[date_purchased]]&lt;&gt;Table20[[#This Row],[Expiration Date]],FALSE,TRUE)</f>
        <v>0</v>
      </c>
      <c r="AC627" s="30" t="str">
        <f>VLOOKUP(Table20[[#This Row],[Asset]],Table19[#All],3,FALSE)</f>
        <v>Gold and Silver</v>
      </c>
      <c r="AD627" s="30">
        <f>IF(Table20[[#This Row],[Remaining]]&lt;&gt;0,Table20[[#This Row],[Invested]]*Table20[[#This Row],[Remaining]]/Table20[[#This Row],[Number of options]],0)</f>
        <v>0</v>
      </c>
      <c r="AE627" s="30">
        <f ca="1">SUMIF(Table20[Ticker],Table20[[#This Row],[Ticker]],Table20[realized_profit])</f>
        <v>4053</v>
      </c>
      <c r="AF627" s="30" t="str">
        <f>VLOOKUP(Table20[[#This Row],[Strategy]],Table29[#All],7,FALSE)</f>
        <v>Bullish</v>
      </c>
    </row>
    <row r="628" spans="1:32" hidden="1">
      <c r="A628" s="180">
        <v>45920</v>
      </c>
      <c r="B628" s="21" t="e" vm="92">
        <v>#VALUE!</v>
      </c>
      <c r="C628" s="109" t="str" cm="1">
        <f t="array" aca="1" ref="C628" ca="1">_FV(Table20[[#This Row],[Asset]],"Ticker symbol",TRUE)</f>
        <v>NEM</v>
      </c>
      <c r="D628" s="26" cm="1">
        <f t="array" aca="1" ref="D628" ca="1">_FV(Table20[[#This Row],[Asset]],"Price")</f>
        <v>102.705</v>
      </c>
      <c r="E628" s="26">
        <v>65</v>
      </c>
      <c r="F628" s="33">
        <v>3</v>
      </c>
      <c r="G628" s="34">
        <v>-1</v>
      </c>
      <c r="H628" s="34" t="s">
        <v>114</v>
      </c>
      <c r="I628" s="31">
        <v>45782</v>
      </c>
      <c r="J628" s="26">
        <v>0.17</v>
      </c>
      <c r="K628" s="24"/>
      <c r="L628" s="33">
        <f>VLOOKUP(Table20[[#This Row],[Strategy]],Table29[#All],6,FALSE)</f>
        <v>1</v>
      </c>
      <c r="M628" s="23">
        <v>3</v>
      </c>
      <c r="N628" s="23">
        <v>0.12</v>
      </c>
      <c r="O628" s="23"/>
      <c r="P628" s="23"/>
      <c r="Q628">
        <f>Table20[[#This Row],[Exit1]]*Table20[[#This Row],[ex1_price]]</f>
        <v>0.36</v>
      </c>
      <c r="R628">
        <f>Table20[[#This Row],[Exit2]]*Table20[[#This Row],[ex2_price]]</f>
        <v>0</v>
      </c>
      <c r="S628">
        <f>IFERROR((Table20[[#This Row],[ex2_amnt]]+Table20[[#This Row],[ex1_amnt]])/(Table20[[#This Row],[Exit2]]+Table20[[#This Row],[Exit1]]),0)</f>
        <v>0.12</v>
      </c>
      <c r="T628" s="5">
        <f>(Table20[[#This Row],[Exit1]]+Table20[[#This Row],[Exit2]])*(Table20[[#This Row],[avg_exit_price]]-Table20[[#This Row],[AvePrice]])*100*Table20[[#This Row],[Buy or Sell]]</f>
        <v>15.000000000000005</v>
      </c>
      <c r="U628" s="5">
        <f>Table20[[#This Row],[Number of options]]*Table20[[#This Row],[AvePrice]]*100*Table20[[#This Row],[Buy or Sell]]</f>
        <v>-51</v>
      </c>
      <c r="V628" s="8">
        <f>Table20[[#This Row],[Number of options]]-Table20[[#This Row],[Exit1]]-Table20[[#This Row],[Exit2]]</f>
        <v>0</v>
      </c>
      <c r="W628" s="30">
        <f ca="1">(Table20[[#This Row],[Expiration Date]]-TODAY())/365</f>
        <v>-0.51232876712328768</v>
      </c>
      <c r="X628" s="30" t="e">
        <f ca="1">(LN(Table20[[#This Row],[Current Price]]/Table20[[#This Row],[strike_price]]) + ($B$2 + (Table20[[#This Row],[Vol]]^2)/2)*Table20[[#This Row],[Time to expiration]]) / (Table20[[#This Row],[Vol]] * SQRT(Table20[[#This Row],[Time to expiration]]))</f>
        <v>#NUM!</v>
      </c>
      <c r="Y628" s="30" t="e">
        <f ca="1">IF(Table20[[#This Row],[Direction]]&gt;0, _xlfn.NORM.S.DIST(Table20[[#This Row],[d1]], TRUE), _xlfn.NORM.S.DIST(Table20[[#This Row],[d1]], TRUE) - 1) * Table20[[#This Row],[Buy or Sell]]</f>
        <v>#NUM!</v>
      </c>
      <c r="Z628" s="9">
        <f ca="1">Table20[[#This Row],[Remaining]]*Table20[[#This Row],[Current Price]]*100</f>
        <v>0</v>
      </c>
      <c r="AA628" s="22">
        <f ca="1">IFERROR(Table20[[#This Row],[nominal_exposure]]*Table20[[#This Row],[Delta]],0)</f>
        <v>0</v>
      </c>
      <c r="AB628" s="30" t="b">
        <f>IF(Table20[[#This Row],[date_purchased]]&lt;&gt;Table20[[#This Row],[Expiration Date]],FALSE,TRUE)</f>
        <v>0</v>
      </c>
      <c r="AC628" s="30" t="str">
        <f>VLOOKUP(Table20[[#This Row],[Asset]],Table19[#All],3,FALSE)</f>
        <v>Gold and Silver</v>
      </c>
      <c r="AD628" s="30">
        <f>IF(Table20[[#This Row],[Remaining]]&lt;&gt;0,Table20[[#This Row],[Invested]]*Table20[[#This Row],[Remaining]]/Table20[[#This Row],[Number of options]],0)</f>
        <v>0</v>
      </c>
      <c r="AE628" s="30">
        <f ca="1">SUMIF(Table20[Ticker],Table20[[#This Row],[Ticker]],Table20[realized_profit])</f>
        <v>4053</v>
      </c>
      <c r="AF628" s="30" t="str">
        <f>VLOOKUP(Table20[[#This Row],[Strategy]],Table29[#All],7,FALSE)</f>
        <v>Bullish</v>
      </c>
    </row>
    <row r="629" spans="1:32" hidden="1">
      <c r="A629" s="180">
        <v>45793</v>
      </c>
      <c r="B629" s="21" t="e" vm="151">
        <v>#VALUE!</v>
      </c>
      <c r="C629" s="109" t="str" cm="1">
        <f t="array" aca="1" ref="C629" ca="1">_FV(Table20[[#This Row],[Asset]],"Ticker symbol",TRUE)</f>
        <v>TLT</v>
      </c>
      <c r="D629" s="26" cm="1">
        <f t="array" aca="1" ref="D629" ca="1">_FV(Table20[[#This Row],[Asset]],"Price")</f>
        <v>86.743499999999997</v>
      </c>
      <c r="E629" s="26">
        <v>87</v>
      </c>
      <c r="F629" s="33">
        <v>5</v>
      </c>
      <c r="G629" s="34">
        <v>1</v>
      </c>
      <c r="H629" s="34" t="s">
        <v>113</v>
      </c>
      <c r="I629" s="31">
        <v>45783</v>
      </c>
      <c r="J629" s="26">
        <v>1.01</v>
      </c>
      <c r="K629" s="24"/>
      <c r="L629" s="33">
        <f>VLOOKUP(Table20[[#This Row],[Strategy]],Table29[#All],6,FALSE)</f>
        <v>1</v>
      </c>
      <c r="M629" s="23">
        <v>5</v>
      </c>
      <c r="N629" s="23">
        <v>0.94</v>
      </c>
      <c r="O629" s="23"/>
      <c r="P629" s="23"/>
      <c r="Q629">
        <f>Table20[[#This Row],[Exit1]]*Table20[[#This Row],[ex1_price]]</f>
        <v>4.6999999999999993</v>
      </c>
      <c r="R629">
        <f>Table20[[#This Row],[Exit2]]*Table20[[#This Row],[ex2_price]]</f>
        <v>0</v>
      </c>
      <c r="S629">
        <f>IFERROR((Table20[[#This Row],[ex2_amnt]]+Table20[[#This Row],[ex1_amnt]])/(Table20[[#This Row],[Exit2]]+Table20[[#This Row],[Exit1]]),0)</f>
        <v>0.93999999999999984</v>
      </c>
      <c r="T629" s="5">
        <f>(Table20[[#This Row],[Exit1]]+Table20[[#This Row],[Exit2]])*(Table20[[#This Row],[avg_exit_price]]-Table20[[#This Row],[AvePrice]])*100*Table20[[#This Row],[Buy or Sell]]</f>
        <v>-35.000000000000085</v>
      </c>
      <c r="U629" s="5">
        <f>Table20[[#This Row],[Number of options]]*Table20[[#This Row],[AvePrice]]*100*Table20[[#This Row],[Buy or Sell]]</f>
        <v>505</v>
      </c>
      <c r="V629" s="8">
        <f>Table20[[#This Row],[Number of options]]-Table20[[#This Row],[Exit1]]-Table20[[#This Row],[Exit2]]</f>
        <v>0</v>
      </c>
      <c r="W629" s="30">
        <f ca="1">(Table20[[#This Row],[Expiration Date]]-TODAY())/365</f>
        <v>-0.86027397260273974</v>
      </c>
      <c r="X629" s="30" t="e">
        <f ca="1">(LN(Table20[[#This Row],[Current Price]]/Table20[[#This Row],[strike_price]]) + ($B$2 + (Table20[[#This Row],[Vol]]^2)/2)*Table20[[#This Row],[Time to expiration]]) / (Table20[[#This Row],[Vol]] * SQRT(Table20[[#This Row],[Time to expiration]]))</f>
        <v>#NUM!</v>
      </c>
      <c r="Y629" s="30" t="e">
        <f ca="1">IF(Table20[[#This Row],[Direction]]&gt;0, _xlfn.NORM.S.DIST(Table20[[#This Row],[d1]], TRUE), _xlfn.NORM.S.DIST(Table20[[#This Row],[d1]], TRUE) - 1) * Table20[[#This Row],[Buy or Sell]]</f>
        <v>#NUM!</v>
      </c>
      <c r="Z629" s="9">
        <f ca="1">Table20[[#This Row],[Remaining]]*Table20[[#This Row],[Current Price]]*100</f>
        <v>0</v>
      </c>
      <c r="AA629" s="22">
        <f ca="1">IFERROR(Table20[[#This Row],[nominal_exposure]]*Table20[[#This Row],[Delta]],0)</f>
        <v>0</v>
      </c>
      <c r="AB629" s="30" t="b">
        <f>IF(Table20[[#This Row],[date_purchased]]&lt;&gt;Table20[[#This Row],[Expiration Date]],FALSE,TRUE)</f>
        <v>0</v>
      </c>
      <c r="AC629" s="30" t="str">
        <f>VLOOKUP(Table20[[#This Row],[Asset]],Table19[#All],3,FALSE)</f>
        <v>Market</v>
      </c>
      <c r="AD629" s="30">
        <f>IF(Table20[[#This Row],[Remaining]]&lt;&gt;0,Table20[[#This Row],[Invested]]*Table20[[#This Row],[Remaining]]/Table20[[#This Row],[Number of options]],0)</f>
        <v>0</v>
      </c>
      <c r="AE629" s="30">
        <f ca="1">SUMIF(Table20[Ticker],Table20[[#This Row],[Ticker]],Table20[realized_profit])</f>
        <v>-3328.3599999999997</v>
      </c>
      <c r="AF629" s="30" t="str">
        <f>VLOOKUP(Table20[[#This Row],[Strategy]],Table29[#All],7,FALSE)</f>
        <v>Bullish</v>
      </c>
    </row>
    <row r="630" spans="1:32" hidden="1">
      <c r="A630" s="180">
        <v>45807</v>
      </c>
      <c r="B630" s="21" t="e" vm="59">
        <v>#VALUE!</v>
      </c>
      <c r="C630" s="109" t="str" cm="1">
        <f t="array" aca="1" ref="C630" ca="1">_FV(Table20[[#This Row],[Asset]],"Ticker symbol",TRUE)</f>
        <v>EOG</v>
      </c>
      <c r="D630" s="26" cm="1">
        <f t="array" aca="1" ref="D630" ca="1">_FV(Table20[[#This Row],[Asset]],"Price")</f>
        <v>141.63999999999999</v>
      </c>
      <c r="E630" s="26">
        <v>115</v>
      </c>
      <c r="F630" s="33">
        <v>2</v>
      </c>
      <c r="G630" s="34">
        <v>1</v>
      </c>
      <c r="H630" s="34" t="s">
        <v>113</v>
      </c>
      <c r="I630" s="31">
        <v>45783</v>
      </c>
      <c r="J630" s="26">
        <v>1.45</v>
      </c>
      <c r="K630" s="24"/>
      <c r="L630" s="33">
        <f>VLOOKUP(Table20[[#This Row],[Strategy]],Table29[#All],6,FALSE)</f>
        <v>1</v>
      </c>
      <c r="M630" s="23">
        <v>2</v>
      </c>
      <c r="N630" s="23">
        <v>2.79</v>
      </c>
      <c r="O630" s="23"/>
      <c r="P630" s="23"/>
      <c r="Q630">
        <f>Table20[[#This Row],[Exit1]]*Table20[[#This Row],[ex1_price]]</f>
        <v>5.58</v>
      </c>
      <c r="R630">
        <f>Table20[[#This Row],[Exit2]]*Table20[[#This Row],[ex2_price]]</f>
        <v>0</v>
      </c>
      <c r="S630">
        <f>IFERROR((Table20[[#This Row],[ex2_amnt]]+Table20[[#This Row],[ex1_amnt]])/(Table20[[#This Row],[Exit2]]+Table20[[#This Row],[Exit1]]),0)</f>
        <v>2.79</v>
      </c>
      <c r="T630" s="5">
        <f>(Table20[[#This Row],[Exit1]]+Table20[[#This Row],[Exit2]])*(Table20[[#This Row],[avg_exit_price]]-Table20[[#This Row],[AvePrice]])*100*Table20[[#This Row],[Buy or Sell]]</f>
        <v>268</v>
      </c>
      <c r="U630" s="5">
        <f>Table20[[#This Row],[Number of options]]*Table20[[#This Row],[AvePrice]]*100*Table20[[#This Row],[Buy or Sell]]</f>
        <v>290</v>
      </c>
      <c r="V630" s="8">
        <f>Table20[[#This Row],[Number of options]]-Table20[[#This Row],[Exit1]]-Table20[[#This Row],[Exit2]]</f>
        <v>0</v>
      </c>
      <c r="W630" s="30">
        <f ca="1">(Table20[[#This Row],[Expiration Date]]-TODAY())/365</f>
        <v>-0.82191780821917804</v>
      </c>
      <c r="X630" s="30" t="e">
        <f ca="1">(LN(Table20[[#This Row],[Current Price]]/Table20[[#This Row],[strike_price]]) + ($B$2 + (Table20[[#This Row],[Vol]]^2)/2)*Table20[[#This Row],[Time to expiration]]) / (Table20[[#This Row],[Vol]] * SQRT(Table20[[#This Row],[Time to expiration]]))</f>
        <v>#NUM!</v>
      </c>
      <c r="Y630" s="30" t="e">
        <f ca="1">IF(Table20[[#This Row],[Direction]]&gt;0, _xlfn.NORM.S.DIST(Table20[[#This Row],[d1]], TRUE), _xlfn.NORM.S.DIST(Table20[[#This Row],[d1]], TRUE) - 1) * Table20[[#This Row],[Buy or Sell]]</f>
        <v>#NUM!</v>
      </c>
      <c r="Z630" s="9">
        <f ca="1">Table20[[#This Row],[Remaining]]*Table20[[#This Row],[Current Price]]*100</f>
        <v>0</v>
      </c>
      <c r="AA630" s="22">
        <f ca="1">IFERROR(Table20[[#This Row],[nominal_exposure]]*Table20[[#This Row],[Delta]],0)</f>
        <v>0</v>
      </c>
      <c r="AB630" s="30" t="b">
        <f>IF(Table20[[#This Row],[date_purchased]]&lt;&gt;Table20[[#This Row],[Expiration Date]],FALSE,TRUE)</f>
        <v>0</v>
      </c>
      <c r="AC630" s="30" t="str">
        <f>VLOOKUP(Table20[[#This Row],[Asset]],Table19[#All],3,FALSE)</f>
        <v>Energy</v>
      </c>
      <c r="AD630" s="30">
        <f>IF(Table20[[#This Row],[Remaining]]&lt;&gt;0,Table20[[#This Row],[Invested]]*Table20[[#This Row],[Remaining]]/Table20[[#This Row],[Number of options]],0)</f>
        <v>0</v>
      </c>
      <c r="AE630" s="30">
        <f ca="1">SUMIF(Table20[Ticker],Table20[[#This Row],[Ticker]],Table20[realized_profit])</f>
        <v>268</v>
      </c>
      <c r="AF630" s="30" t="str">
        <f>VLOOKUP(Table20[[#This Row],[Strategy]],Table29[#All],7,FALSE)</f>
        <v>Bullish</v>
      </c>
    </row>
    <row r="631" spans="1:32" hidden="1">
      <c r="A631" s="180">
        <v>45919</v>
      </c>
      <c r="B631" s="21" t="e" vm="34">
        <v>#VALUE!</v>
      </c>
      <c r="C631" s="109" t="str" cm="1">
        <f t="array" aca="1" ref="C631" ca="1">_FV(Table20[[#This Row],[Asset]],"Ticker symbol",TRUE)</f>
        <v>TSM</v>
      </c>
      <c r="D631" s="26" cm="1">
        <f t="array" aca="1" ref="D631" ca="1">_FV(Table20[[#This Row],[Asset]],"Price")</f>
        <v>348.52499999999998</v>
      </c>
      <c r="E631" s="26">
        <v>140</v>
      </c>
      <c r="F631" s="33">
        <v>1</v>
      </c>
      <c r="G631" s="34">
        <v>1</v>
      </c>
      <c r="H631" s="34" t="s">
        <v>65</v>
      </c>
      <c r="I631" s="31">
        <v>45783</v>
      </c>
      <c r="J631" s="26">
        <v>4.95</v>
      </c>
      <c r="K631" s="24"/>
      <c r="L631" s="33">
        <f>VLOOKUP(Table20[[#This Row],[Strategy]],Table29[#All],6,FALSE)</f>
        <v>-1</v>
      </c>
      <c r="M631" s="23">
        <v>1</v>
      </c>
      <c r="N631" s="23">
        <v>4</v>
      </c>
      <c r="O631" s="23"/>
      <c r="P631" s="23"/>
      <c r="Q631">
        <f>Table20[[#This Row],[Exit1]]*Table20[[#This Row],[ex1_price]]</f>
        <v>4</v>
      </c>
      <c r="R631">
        <f>Table20[[#This Row],[Exit2]]*Table20[[#This Row],[ex2_price]]</f>
        <v>0</v>
      </c>
      <c r="S631">
        <f>IFERROR((Table20[[#This Row],[ex2_amnt]]+Table20[[#This Row],[ex1_amnt]])/(Table20[[#This Row],[Exit2]]+Table20[[#This Row],[Exit1]]),0)</f>
        <v>4</v>
      </c>
      <c r="T631" s="5">
        <f>(Table20[[#This Row],[Exit1]]+Table20[[#This Row],[Exit2]])*(Table20[[#This Row],[avg_exit_price]]-Table20[[#This Row],[AvePrice]])*100*Table20[[#This Row],[Buy or Sell]]</f>
        <v>-95.000000000000014</v>
      </c>
      <c r="U631" s="5">
        <f>Table20[[#This Row],[Number of options]]*Table20[[#This Row],[AvePrice]]*100*Table20[[#This Row],[Buy or Sell]]</f>
        <v>495</v>
      </c>
      <c r="V631" s="8">
        <f>Table20[[#This Row],[Number of options]]-Table20[[#This Row],[Exit1]]-Table20[[#This Row],[Exit2]]</f>
        <v>0</v>
      </c>
      <c r="W631" s="30">
        <f ca="1">(Table20[[#This Row],[Expiration Date]]-TODAY())/365</f>
        <v>-0.51506849315068493</v>
      </c>
      <c r="X631" s="30" t="e">
        <f ca="1">(LN(Table20[[#This Row],[Current Price]]/Table20[[#This Row],[strike_price]]) + ($B$2 + (Table20[[#This Row],[Vol]]^2)/2)*Table20[[#This Row],[Time to expiration]]) / (Table20[[#This Row],[Vol]] * SQRT(Table20[[#This Row],[Time to expiration]]))</f>
        <v>#NUM!</v>
      </c>
      <c r="Y631" s="30" t="e">
        <f ca="1">IF(Table20[[#This Row],[Direction]]&gt;0, _xlfn.NORM.S.DIST(Table20[[#This Row],[d1]], TRUE), _xlfn.NORM.S.DIST(Table20[[#This Row],[d1]], TRUE) - 1) * Table20[[#This Row],[Buy or Sell]]</f>
        <v>#NUM!</v>
      </c>
      <c r="Z631" s="9">
        <f ca="1">Table20[[#This Row],[Remaining]]*Table20[[#This Row],[Current Price]]*100</f>
        <v>0</v>
      </c>
      <c r="AA631" s="22">
        <f ca="1">IFERROR(Table20[[#This Row],[nominal_exposure]]*Table20[[#This Row],[Delta]],0)</f>
        <v>0</v>
      </c>
      <c r="AB631" s="30" t="b">
        <f>IF(Table20[[#This Row],[date_purchased]]&lt;&gt;Table20[[#This Row],[Expiration Date]],FALSE,TRUE)</f>
        <v>0</v>
      </c>
      <c r="AC631" s="30" t="str">
        <f>VLOOKUP(Table20[[#This Row],[Asset]],Table19[#All],3,FALSE)</f>
        <v>AI</v>
      </c>
      <c r="AD631" s="30">
        <f>IF(Table20[[#This Row],[Remaining]]&lt;&gt;0,Table20[[#This Row],[Invested]]*Table20[[#This Row],[Remaining]]/Table20[[#This Row],[Number of options]],0)</f>
        <v>0</v>
      </c>
      <c r="AE631" s="30">
        <f ca="1">SUMIF(Table20[Ticker],Table20[[#This Row],[Ticker]],Table20[realized_profit])</f>
        <v>-444.99999999999977</v>
      </c>
      <c r="AF631" s="30" t="str">
        <f>VLOOKUP(Table20[[#This Row],[Strategy]],Table29[#All],7,FALSE)</f>
        <v>Bearish</v>
      </c>
    </row>
    <row r="632" spans="1:32" hidden="1">
      <c r="A632" s="180">
        <v>45828</v>
      </c>
      <c r="B632" s="21" t="e" vm="159">
        <v>#VALUE!</v>
      </c>
      <c r="C632" s="109" t="str" cm="1">
        <f t="array" aca="1" ref="C632" ca="1">_FV(Table20[[#This Row],[Asset]],"Ticker symbol",TRUE)</f>
        <v>BABA</v>
      </c>
      <c r="D632" s="26" cm="1">
        <f t="array" aca="1" ref="D632" ca="1">_FV(Table20[[#This Row],[Asset]],"Price")</f>
        <v>129.63999999999999</v>
      </c>
      <c r="E632" s="26">
        <v>110</v>
      </c>
      <c r="F632" s="33">
        <v>2</v>
      </c>
      <c r="G632" s="34">
        <v>1</v>
      </c>
      <c r="H632" s="34" t="s">
        <v>65</v>
      </c>
      <c r="I632" s="31">
        <v>45784</v>
      </c>
      <c r="J632" s="26">
        <v>2.6549999999999998</v>
      </c>
      <c r="K632" s="24"/>
      <c r="L632" s="33">
        <f>VLOOKUP(Table20[[#This Row],[Strategy]],Table29[#All],6,FALSE)</f>
        <v>-1</v>
      </c>
      <c r="M632" s="23">
        <v>2</v>
      </c>
      <c r="N632" s="23">
        <v>1.17</v>
      </c>
      <c r="O632" s="23"/>
      <c r="P632" s="23"/>
      <c r="Q632">
        <f>Table20[[#This Row],[Exit1]]*Table20[[#This Row],[ex1_price]]</f>
        <v>2.34</v>
      </c>
      <c r="R632">
        <f>Table20[[#This Row],[Exit2]]*Table20[[#This Row],[ex2_price]]</f>
        <v>0</v>
      </c>
      <c r="S632">
        <f>IFERROR((Table20[[#This Row],[ex2_amnt]]+Table20[[#This Row],[ex1_amnt]])/(Table20[[#This Row],[Exit2]]+Table20[[#This Row],[Exit1]]),0)</f>
        <v>1.17</v>
      </c>
      <c r="T632" s="5">
        <f>(Table20[[#This Row],[Exit1]]+Table20[[#This Row],[Exit2]])*(Table20[[#This Row],[avg_exit_price]]-Table20[[#This Row],[AvePrice]])*100*Table20[[#This Row],[Buy or Sell]]</f>
        <v>-297</v>
      </c>
      <c r="U632" s="5">
        <f>Table20[[#This Row],[Number of options]]*Table20[[#This Row],[AvePrice]]*100*Table20[[#This Row],[Buy or Sell]]</f>
        <v>531</v>
      </c>
      <c r="V632" s="8">
        <f>Table20[[#This Row],[Number of options]]-Table20[[#This Row],[Exit1]]-Table20[[#This Row],[Exit2]]</f>
        <v>0</v>
      </c>
      <c r="W632" s="30">
        <f ca="1">(Table20[[#This Row],[Expiration Date]]-TODAY())/365</f>
        <v>-0.76438356164383559</v>
      </c>
      <c r="X632" s="30" t="e">
        <f ca="1">(LN(Table20[[#This Row],[Current Price]]/Table20[[#This Row],[strike_price]]) + ($B$2 + (Table20[[#This Row],[Vol]]^2)/2)*Table20[[#This Row],[Time to expiration]]) / (Table20[[#This Row],[Vol]] * SQRT(Table20[[#This Row],[Time to expiration]]))</f>
        <v>#NUM!</v>
      </c>
      <c r="Y632" s="30" t="e">
        <f ca="1">IF(Table20[[#This Row],[Direction]]&gt;0, _xlfn.NORM.S.DIST(Table20[[#This Row],[d1]], TRUE), _xlfn.NORM.S.DIST(Table20[[#This Row],[d1]], TRUE) - 1) * Table20[[#This Row],[Buy or Sell]]</f>
        <v>#NUM!</v>
      </c>
      <c r="Z632" s="9">
        <f ca="1">Table20[[#This Row],[Remaining]]*Table20[[#This Row],[Current Price]]*100</f>
        <v>0</v>
      </c>
      <c r="AA632" s="22">
        <f ca="1">IFERROR(Table20[[#This Row],[nominal_exposure]]*Table20[[#This Row],[Delta]],0)</f>
        <v>0</v>
      </c>
      <c r="AB632" s="30" t="b">
        <f>IF(Table20[[#This Row],[date_purchased]]&lt;&gt;Table20[[#This Row],[Expiration Date]],FALSE,TRUE)</f>
        <v>0</v>
      </c>
      <c r="AC632" s="30" t="str">
        <f>VLOOKUP(Table20[[#This Row],[Asset]],Table19[#All],3,FALSE)</f>
        <v>China</v>
      </c>
      <c r="AD632" s="30">
        <f>IF(Table20[[#This Row],[Remaining]]&lt;&gt;0,Table20[[#This Row],[Invested]]*Table20[[#This Row],[Remaining]]/Table20[[#This Row],[Number of options]],0)</f>
        <v>0</v>
      </c>
      <c r="AE632" s="30">
        <f ca="1">SUMIF(Table20[Ticker],Table20[[#This Row],[Ticker]],Table20[realized_profit])</f>
        <v>5855</v>
      </c>
      <c r="AF632" s="30" t="str">
        <f>VLOOKUP(Table20[[#This Row],[Strategy]],Table29[#All],7,FALSE)</f>
        <v>Bearish</v>
      </c>
    </row>
    <row r="633" spans="1:32" hidden="1">
      <c r="A633" s="180">
        <v>45828</v>
      </c>
      <c r="B633" s="21" t="e" vm="247">
        <v>#VALUE!</v>
      </c>
      <c r="C633" s="109" t="str" cm="1">
        <f t="array" aca="1" ref="C633" ca="1">_FV(Table20[[#This Row],[Asset]],"Ticker symbol",TRUE)</f>
        <v>BA</v>
      </c>
      <c r="D633" s="26" cm="1">
        <f t="array" aca="1" ref="D633" ca="1">_FV(Table20[[#This Row],[Asset]],"Price")</f>
        <v>198.96</v>
      </c>
      <c r="E633" s="26">
        <v>245</v>
      </c>
      <c r="F633" s="33">
        <v>2</v>
      </c>
      <c r="G633" s="34">
        <v>-1</v>
      </c>
      <c r="H633" s="34" t="s">
        <v>114</v>
      </c>
      <c r="I633" s="31">
        <v>45791</v>
      </c>
      <c r="J633" s="26">
        <v>0.65</v>
      </c>
      <c r="K633" s="24">
        <v>0.28000000000000003</v>
      </c>
      <c r="L633" s="33">
        <f>VLOOKUP(Table20[[#This Row],[Strategy]],Table29[#All],6,FALSE)</f>
        <v>1</v>
      </c>
      <c r="M633" s="23">
        <v>2</v>
      </c>
      <c r="N633" s="23">
        <v>4.4999999999999998E-2</v>
      </c>
      <c r="O633" s="23"/>
      <c r="P633" s="23"/>
      <c r="Q633">
        <f>Table20[[#This Row],[Exit1]]*Table20[[#This Row],[ex1_price]]</f>
        <v>0.09</v>
      </c>
      <c r="R633">
        <f>Table20[[#This Row],[Exit2]]*Table20[[#This Row],[ex2_price]]</f>
        <v>0</v>
      </c>
      <c r="S633">
        <f>IFERROR((Table20[[#This Row],[ex2_amnt]]+Table20[[#This Row],[ex1_amnt]])/(Table20[[#This Row],[Exit2]]+Table20[[#This Row],[Exit1]]),0)</f>
        <v>4.4999999999999998E-2</v>
      </c>
      <c r="T633" s="5">
        <f>(Table20[[#This Row],[Exit1]]+Table20[[#This Row],[Exit2]])*(Table20[[#This Row],[avg_exit_price]]-Table20[[#This Row],[AvePrice]])*100*Table20[[#This Row],[Buy or Sell]]</f>
        <v>121</v>
      </c>
      <c r="U633" s="5">
        <f>Table20[[#This Row],[Number of options]]*Table20[[#This Row],[AvePrice]]*100*Table20[[#This Row],[Buy or Sell]]</f>
        <v>-130</v>
      </c>
      <c r="V633" s="8">
        <f>Table20[[#This Row],[Number of options]]-Table20[[#This Row],[Exit1]]-Table20[[#This Row],[Exit2]]</f>
        <v>0</v>
      </c>
      <c r="W633" s="30">
        <f ca="1">(Table20[[#This Row],[Expiration Date]]-TODAY())/365</f>
        <v>-0.76438356164383559</v>
      </c>
      <c r="X633" s="30" t="e">
        <f ca="1">(LN(Table20[[#This Row],[Current Price]]/Table20[[#This Row],[strike_price]]) + ($B$2 + (Table20[[#This Row],[Vol]]^2)/2)*Table20[[#This Row],[Time to expiration]]) / (Table20[[#This Row],[Vol]] * SQRT(Table20[[#This Row],[Time to expiration]]))</f>
        <v>#NUM!</v>
      </c>
      <c r="Y633" s="30" t="e">
        <f ca="1">IF(Table20[[#This Row],[Direction]]&gt;0, _xlfn.NORM.S.DIST(Table20[[#This Row],[d1]], TRUE), _xlfn.NORM.S.DIST(Table20[[#This Row],[d1]], TRUE) - 1) * Table20[[#This Row],[Buy or Sell]]</f>
        <v>#NUM!</v>
      </c>
      <c r="Z633" s="9">
        <f ca="1">Table20[[#This Row],[Remaining]]*Table20[[#This Row],[Current Price]]*100</f>
        <v>0</v>
      </c>
      <c r="AA633" s="22">
        <f ca="1">IFERROR(Table20[[#This Row],[nominal_exposure]]*Table20[[#This Row],[Delta]],0)</f>
        <v>0</v>
      </c>
      <c r="AB633" s="30" t="b">
        <f>IF(Table20[[#This Row],[date_purchased]]&lt;&gt;Table20[[#This Row],[Expiration Date]],FALSE,TRUE)</f>
        <v>0</v>
      </c>
      <c r="AC633" s="30" t="str">
        <f>VLOOKUP(Table20[[#This Row],[Asset]],Table19[#All],3,FALSE)</f>
        <v>Defense</v>
      </c>
      <c r="AD633" s="30">
        <f>IF(Table20[[#This Row],[Remaining]]&lt;&gt;0,Table20[[#This Row],[Invested]]*Table20[[#This Row],[Remaining]]/Table20[[#This Row],[Number of options]],0)</f>
        <v>0</v>
      </c>
      <c r="AE633" s="30">
        <f ca="1">SUMIF(Table20[Ticker],Table20[[#This Row],[Ticker]],Table20[realized_profit])</f>
        <v>-342</v>
      </c>
      <c r="AF633" s="30" t="str">
        <f>VLOOKUP(Table20[[#This Row],[Strategy]],Table29[#All],7,FALSE)</f>
        <v>Bullish</v>
      </c>
    </row>
    <row r="634" spans="1:32" hidden="1">
      <c r="A634" s="180">
        <v>45828</v>
      </c>
      <c r="B634" s="21" t="e" vm="31">
        <v>#VALUE!</v>
      </c>
      <c r="C634" s="109" t="str" cm="1">
        <f t="array" aca="1" ref="C634" ca="1">_FV(Table20[[#This Row],[Asset]],"Ticker symbol",TRUE)</f>
        <v>SMCI</v>
      </c>
      <c r="D634" s="26" cm="1">
        <f t="array" aca="1" ref="D634" ca="1">_FV(Table20[[#This Row],[Asset]],"Price")</f>
        <v>23.869900000000001</v>
      </c>
      <c r="E634" s="26">
        <v>43</v>
      </c>
      <c r="F634" s="33">
        <v>1</v>
      </c>
      <c r="G634" s="34">
        <v>1</v>
      </c>
      <c r="H634" s="34" t="s">
        <v>113</v>
      </c>
      <c r="I634" s="31">
        <v>45811</v>
      </c>
      <c r="J634" s="26">
        <v>1.92</v>
      </c>
      <c r="K634" s="24">
        <v>0.69299999999999995</v>
      </c>
      <c r="L634" s="33">
        <f>VLOOKUP(Table20[[#This Row],[Strategy]],Table29[#All],6,FALSE)</f>
        <v>1</v>
      </c>
      <c r="M634" s="23">
        <v>1</v>
      </c>
      <c r="N634" s="23">
        <v>1.1200000000000001</v>
      </c>
      <c r="O634" s="23"/>
      <c r="P634" s="23"/>
      <c r="Q634">
        <f>Table20[[#This Row],[Exit1]]*Table20[[#This Row],[ex1_price]]</f>
        <v>1.1200000000000001</v>
      </c>
      <c r="R634">
        <f>Table20[[#This Row],[Exit2]]*Table20[[#This Row],[ex2_price]]</f>
        <v>0</v>
      </c>
      <c r="S634">
        <f>IFERROR((Table20[[#This Row],[ex2_amnt]]+Table20[[#This Row],[ex1_amnt]])/(Table20[[#This Row],[Exit2]]+Table20[[#This Row],[Exit1]]),0)</f>
        <v>1.1200000000000001</v>
      </c>
      <c r="T634" s="5">
        <f>(Table20[[#This Row],[Exit1]]+Table20[[#This Row],[Exit2]])*(Table20[[#This Row],[avg_exit_price]]-Table20[[#This Row],[AvePrice]])*100*Table20[[#This Row],[Buy or Sell]]</f>
        <v>-79.999999999999986</v>
      </c>
      <c r="U634" s="5">
        <f>Table20[[#This Row],[Number of options]]*Table20[[#This Row],[AvePrice]]*100*Table20[[#This Row],[Buy or Sell]]</f>
        <v>192</v>
      </c>
      <c r="V634" s="8">
        <f>Table20[[#This Row],[Number of options]]-Table20[[#This Row],[Exit1]]-Table20[[#This Row],[Exit2]]</f>
        <v>0</v>
      </c>
      <c r="W634" s="30">
        <f ca="1">(Table20[[#This Row],[Expiration Date]]-TODAY())/365</f>
        <v>-0.76438356164383559</v>
      </c>
      <c r="X634" s="30" t="e">
        <f ca="1">(LN(Table20[[#This Row],[Current Price]]/Table20[[#This Row],[strike_price]]) + ($B$2 + (Table20[[#This Row],[Vol]]^2)/2)*Table20[[#This Row],[Time to expiration]]) / (Table20[[#This Row],[Vol]] * SQRT(Table20[[#This Row],[Time to expiration]]))</f>
        <v>#NUM!</v>
      </c>
      <c r="Y634" s="30" t="e">
        <f ca="1">IF(Table20[[#This Row],[Direction]]&gt;0, _xlfn.NORM.S.DIST(Table20[[#This Row],[d1]], TRUE), _xlfn.NORM.S.DIST(Table20[[#This Row],[d1]], TRUE) - 1) * Table20[[#This Row],[Buy or Sell]]</f>
        <v>#NUM!</v>
      </c>
      <c r="Z634" s="9">
        <f ca="1">Table20[[#This Row],[Remaining]]*Table20[[#This Row],[Current Price]]*100</f>
        <v>0</v>
      </c>
      <c r="AA634" s="22">
        <f ca="1">IFERROR(Table20[[#This Row],[nominal_exposure]]*Table20[[#This Row],[Delta]],0)</f>
        <v>0</v>
      </c>
      <c r="AB634" s="30" t="b">
        <f>IF(Table20[[#This Row],[date_purchased]]&lt;&gt;Table20[[#This Row],[Expiration Date]],FALSE,TRUE)</f>
        <v>0</v>
      </c>
      <c r="AC634" s="30" t="str">
        <f>VLOOKUP(Table20[[#This Row],[Asset]],Table19[#All],3,FALSE)</f>
        <v>AI</v>
      </c>
      <c r="AD634" s="30">
        <f>IF(Table20[[#This Row],[Remaining]]&lt;&gt;0,Table20[[#This Row],[Invested]]*Table20[[#This Row],[Remaining]]/Table20[[#This Row],[Number of options]],0)</f>
        <v>0</v>
      </c>
      <c r="AE634" s="30">
        <f ca="1">SUMIF(Table20[Ticker],Table20[[#This Row],[Ticker]],Table20[realized_profit])</f>
        <v>-303.99999999999994</v>
      </c>
      <c r="AF634" s="30" t="str">
        <f>VLOOKUP(Table20[[#This Row],[Strategy]],Table29[#All],7,FALSE)</f>
        <v>Bullish</v>
      </c>
    </row>
    <row r="635" spans="1:32" hidden="1">
      <c r="A635" s="180">
        <v>45919</v>
      </c>
      <c r="B635" s="21" t="e" vm="63">
        <v>#VALUE!</v>
      </c>
      <c r="C635" s="109" t="str" cm="1">
        <f t="array" aca="1" ref="C635" ca="1">_FV(Table20[[#This Row],[Asset]],"Ticker symbol",TRUE)</f>
        <v>TSLA</v>
      </c>
      <c r="D635" s="26" cm="1">
        <f t="array" aca="1" ref="D635" ca="1">_FV(Table20[[#This Row],[Asset]],"Price")</f>
        <v>394.5401</v>
      </c>
      <c r="E635" s="26">
        <v>510</v>
      </c>
      <c r="F635" s="33">
        <v>1</v>
      </c>
      <c r="G635" s="34">
        <v>1</v>
      </c>
      <c r="H635" s="34" t="s">
        <v>115</v>
      </c>
      <c r="I635" s="31">
        <v>45771</v>
      </c>
      <c r="J635" s="26">
        <v>2.82</v>
      </c>
      <c r="K635" s="24">
        <v>0.68200000000000005</v>
      </c>
      <c r="L635" s="33">
        <f>VLOOKUP(Table20[[#This Row],[Strategy]],Table29[#All],6,FALSE)</f>
        <v>1</v>
      </c>
      <c r="M635" s="23">
        <v>1</v>
      </c>
      <c r="N635" s="23">
        <v>16.27</v>
      </c>
      <c r="O635" s="23"/>
      <c r="P635" s="23"/>
      <c r="Q635">
        <f>Table20[[#This Row],[Exit1]]*Table20[[#This Row],[ex1_price]]</f>
        <v>16.27</v>
      </c>
      <c r="R635">
        <f>Table20[[#This Row],[Exit2]]*Table20[[#This Row],[ex2_price]]</f>
        <v>0</v>
      </c>
      <c r="S635">
        <f>IFERROR((Table20[[#This Row],[ex2_amnt]]+Table20[[#This Row],[ex1_amnt]])/(Table20[[#This Row],[Exit2]]+Table20[[#This Row],[Exit1]]),0)</f>
        <v>16.27</v>
      </c>
      <c r="T635" s="5">
        <f>(Table20[[#This Row],[Exit1]]+Table20[[#This Row],[Exit2]])*(Table20[[#This Row],[avg_exit_price]]-Table20[[#This Row],[AvePrice]])*100*Table20[[#This Row],[Buy or Sell]]</f>
        <v>1345</v>
      </c>
      <c r="U635" s="5">
        <f>Table20[[#This Row],[Number of options]]*Table20[[#This Row],[AvePrice]]*100*Table20[[#This Row],[Buy or Sell]]</f>
        <v>282</v>
      </c>
      <c r="V635" s="8">
        <f>Table20[[#This Row],[Number of options]]-Table20[[#This Row],[Exit1]]-Table20[[#This Row],[Exit2]]</f>
        <v>0</v>
      </c>
      <c r="W635" s="30">
        <f ca="1">(Table20[[#This Row],[Expiration Date]]-TODAY())/365</f>
        <v>-0.51506849315068493</v>
      </c>
      <c r="X635" s="30" t="e">
        <f ca="1">(LN(Table20[[#This Row],[Current Price]]/Table20[[#This Row],[strike_price]]) + ($B$2 + (Table20[[#This Row],[Vol]]^2)/2)*Table20[[#This Row],[Time to expiration]]) / (Table20[[#This Row],[Vol]] * SQRT(Table20[[#This Row],[Time to expiration]]))</f>
        <v>#NUM!</v>
      </c>
      <c r="Y635" s="30" t="e">
        <f ca="1">IF(Table20[[#This Row],[Direction]]&gt;0, _xlfn.NORM.S.DIST(Table20[[#This Row],[d1]], TRUE), _xlfn.NORM.S.DIST(Table20[[#This Row],[d1]], TRUE) - 1) * Table20[[#This Row],[Buy or Sell]]</f>
        <v>#NUM!</v>
      </c>
      <c r="Z635" s="9">
        <f ca="1">Table20[[#This Row],[Remaining]]*Table20[[#This Row],[Current Price]]*100</f>
        <v>0</v>
      </c>
      <c r="AA635" s="22">
        <f ca="1">IFERROR(Table20[[#This Row],[nominal_exposure]]*Table20[[#This Row],[Delta]],0)</f>
        <v>0</v>
      </c>
      <c r="AB635" s="30" t="b">
        <f>IF(Table20[[#This Row],[date_purchased]]&lt;&gt;Table20[[#This Row],[Expiration Date]],FALSE,TRUE)</f>
        <v>0</v>
      </c>
      <c r="AC635" s="30" t="str">
        <f>VLOOKUP(Table20[[#This Row],[Asset]],Table19[#All],3,FALSE)</f>
        <v>Auto</v>
      </c>
      <c r="AD635" s="30">
        <f>IF(Table20[[#This Row],[Remaining]]&lt;&gt;0,Table20[[#This Row],[Invested]]*Table20[[#This Row],[Remaining]]/Table20[[#This Row],[Number of options]],0)</f>
        <v>0</v>
      </c>
      <c r="AE635" s="30">
        <f ca="1">SUMIF(Table20[Ticker],Table20[[#This Row],[Ticker]],Table20[realized_profit])</f>
        <v>4153</v>
      </c>
      <c r="AF635" s="30" t="str">
        <f>VLOOKUP(Table20[[#This Row],[Strategy]],Table29[#All],7,FALSE)</f>
        <v>Bullish</v>
      </c>
    </row>
    <row r="636" spans="1:32" hidden="1">
      <c r="A636" s="180">
        <v>45828</v>
      </c>
      <c r="B636" s="21" t="e" vm="84">
        <v>#VALUE!</v>
      </c>
      <c r="C636" s="109" t="str" cm="1">
        <f t="array" aca="1" ref="C636" ca="1">_FV(Table20[[#This Row],[Asset]],"Ticker symbol",TRUE)</f>
        <v>COIN</v>
      </c>
      <c r="D636" s="26" cm="1">
        <f t="array" aca="1" ref="D636" ca="1">_FV(Table20[[#This Row],[Asset]],"Price")</f>
        <v>188</v>
      </c>
      <c r="E636" s="26">
        <v>270</v>
      </c>
      <c r="F636" s="33">
        <v>1</v>
      </c>
      <c r="G636" s="34">
        <v>1</v>
      </c>
      <c r="H636" s="34" t="s">
        <v>114</v>
      </c>
      <c r="I636" s="31">
        <v>45817</v>
      </c>
      <c r="J636" s="26">
        <v>3.9</v>
      </c>
      <c r="K636" s="24">
        <v>0.51449999999999996</v>
      </c>
      <c r="L636" s="33">
        <f>VLOOKUP(Table20[[#This Row],[Strategy]],Table29[#All],6,FALSE)</f>
        <v>1</v>
      </c>
      <c r="M636" s="23">
        <v>1</v>
      </c>
      <c r="N636" s="23">
        <v>0.76</v>
      </c>
      <c r="O636" s="23"/>
      <c r="P636" s="23"/>
      <c r="Q636">
        <f>Table20[[#This Row],[Exit1]]*Table20[[#This Row],[ex1_price]]</f>
        <v>0.76</v>
      </c>
      <c r="R636">
        <f>Table20[[#This Row],[Exit2]]*Table20[[#This Row],[ex2_price]]</f>
        <v>0</v>
      </c>
      <c r="S636">
        <f>IFERROR((Table20[[#This Row],[ex2_amnt]]+Table20[[#This Row],[ex1_amnt]])/(Table20[[#This Row],[Exit2]]+Table20[[#This Row],[Exit1]]),0)</f>
        <v>0.76</v>
      </c>
      <c r="T636" s="5">
        <f>(Table20[[#This Row],[Exit1]]+Table20[[#This Row],[Exit2]])*(Table20[[#This Row],[avg_exit_price]]-Table20[[#This Row],[AvePrice]])*100*Table20[[#This Row],[Buy or Sell]]</f>
        <v>-313.99999999999994</v>
      </c>
      <c r="U636" s="5">
        <f>Table20[[#This Row],[Number of options]]*Table20[[#This Row],[AvePrice]]*100*Table20[[#This Row],[Buy or Sell]]</f>
        <v>390</v>
      </c>
      <c r="V636" s="8">
        <f>Table20[[#This Row],[Number of options]]-Table20[[#This Row],[Exit1]]-Table20[[#This Row],[Exit2]]</f>
        <v>0</v>
      </c>
      <c r="W636" s="30">
        <f ca="1">(Table20[[#This Row],[Expiration Date]]-TODAY())/365</f>
        <v>-0.76438356164383559</v>
      </c>
      <c r="X636" s="30" t="e">
        <f ca="1">(LN(Table20[[#This Row],[Current Price]]/Table20[[#This Row],[strike_price]]) + ($B$2 + (Table20[[#This Row],[Vol]]^2)/2)*Table20[[#This Row],[Time to expiration]]) / (Table20[[#This Row],[Vol]] * SQRT(Table20[[#This Row],[Time to expiration]]))</f>
        <v>#NUM!</v>
      </c>
      <c r="Y636" s="30" t="e">
        <f ca="1">IF(Table20[[#This Row],[Direction]]&gt;0, _xlfn.NORM.S.DIST(Table20[[#This Row],[d1]], TRUE), _xlfn.NORM.S.DIST(Table20[[#This Row],[d1]], TRUE) - 1) * Table20[[#This Row],[Buy or Sell]]</f>
        <v>#NUM!</v>
      </c>
      <c r="Z636" s="9">
        <f ca="1">Table20[[#This Row],[Remaining]]*Table20[[#This Row],[Current Price]]*100</f>
        <v>0</v>
      </c>
      <c r="AA636" s="22">
        <f ca="1">IFERROR(Table20[[#This Row],[nominal_exposure]]*Table20[[#This Row],[Delta]],0)</f>
        <v>0</v>
      </c>
      <c r="AB636" s="30" t="b">
        <f>IF(Table20[[#This Row],[date_purchased]]&lt;&gt;Table20[[#This Row],[Expiration Date]],FALSE,TRUE)</f>
        <v>0</v>
      </c>
      <c r="AC636" s="30" t="str">
        <f>VLOOKUP(Table20[[#This Row],[Asset]],Table19[#All],3,FALSE)</f>
        <v>Financials</v>
      </c>
      <c r="AD636" s="30">
        <f>IF(Table20[[#This Row],[Remaining]]&lt;&gt;0,Table20[[#This Row],[Invested]]*Table20[[#This Row],[Remaining]]/Table20[[#This Row],[Number of options]],0)</f>
        <v>0</v>
      </c>
      <c r="AE636" s="30">
        <f ca="1">SUMIF(Table20[Ticker],Table20[[#This Row],[Ticker]],Table20[realized_profit])</f>
        <v>4035</v>
      </c>
      <c r="AF636" s="30" t="str">
        <f>VLOOKUP(Table20[[#This Row],[Strategy]],Table29[#All],7,FALSE)</f>
        <v>Bullish</v>
      </c>
    </row>
    <row r="637" spans="1:32" hidden="1">
      <c r="A637" s="180">
        <v>45828</v>
      </c>
      <c r="B637" s="21" t="e" vm="562">
        <v>#VALUE!</v>
      </c>
      <c r="C637" s="109" t="str" cm="1">
        <f t="array" aca="1" ref="C637" ca="1">_FV(Table20[[#This Row],[Asset]],"Ticker symbol",TRUE)</f>
        <v>GILD</v>
      </c>
      <c r="D637" s="26" cm="1">
        <f t="array" aca="1" ref="D637" ca="1">_FV(Table20[[#This Row],[Asset]],"Price")</f>
        <v>139.63499999999999</v>
      </c>
      <c r="E637" s="26">
        <v>95</v>
      </c>
      <c r="F637" s="33">
        <v>2</v>
      </c>
      <c r="G637" s="34">
        <v>1</v>
      </c>
      <c r="H637" s="34" t="s">
        <v>65</v>
      </c>
      <c r="I637" s="31">
        <v>45790</v>
      </c>
      <c r="J637" s="26">
        <v>2.2200000000000002</v>
      </c>
      <c r="K637" s="24"/>
      <c r="L637" s="33">
        <f>VLOOKUP(Table20[[#This Row],[Strategy]],Table29[#All],6,FALSE)</f>
        <v>-1</v>
      </c>
      <c r="M637" s="23">
        <v>2</v>
      </c>
      <c r="N637" s="23">
        <v>0.89</v>
      </c>
      <c r="O637" s="23"/>
      <c r="P637" s="23"/>
      <c r="Q637">
        <f>Table20[[#This Row],[Exit1]]*Table20[[#This Row],[ex1_price]]</f>
        <v>1.78</v>
      </c>
      <c r="R637">
        <f>Table20[[#This Row],[Exit2]]*Table20[[#This Row],[ex2_price]]</f>
        <v>0</v>
      </c>
      <c r="S637">
        <f>IFERROR((Table20[[#This Row],[ex2_amnt]]+Table20[[#This Row],[ex1_amnt]])/(Table20[[#This Row],[Exit2]]+Table20[[#This Row],[Exit1]]),0)</f>
        <v>0.89</v>
      </c>
      <c r="T637" s="5">
        <f>(Table20[[#This Row],[Exit1]]+Table20[[#This Row],[Exit2]])*(Table20[[#This Row],[avg_exit_price]]-Table20[[#This Row],[AvePrice]])*100*Table20[[#This Row],[Buy or Sell]]</f>
        <v>-266</v>
      </c>
      <c r="U637" s="5">
        <f>Table20[[#This Row],[Number of options]]*Table20[[#This Row],[AvePrice]]*100*Table20[[#This Row],[Buy or Sell]]</f>
        <v>444.00000000000006</v>
      </c>
      <c r="V637" s="8">
        <f>Table20[[#This Row],[Number of options]]-Table20[[#This Row],[Exit1]]-Table20[[#This Row],[Exit2]]</f>
        <v>0</v>
      </c>
      <c r="W637" s="30">
        <f ca="1">(Table20[[#This Row],[Expiration Date]]-TODAY())/365</f>
        <v>-0.76438356164383559</v>
      </c>
      <c r="X637" s="30" t="e">
        <f ca="1">(LN(Table20[[#This Row],[Current Price]]/Table20[[#This Row],[strike_price]]) + ($B$2 + (Table20[[#This Row],[Vol]]^2)/2)*Table20[[#This Row],[Time to expiration]]) / (Table20[[#This Row],[Vol]] * SQRT(Table20[[#This Row],[Time to expiration]]))</f>
        <v>#NUM!</v>
      </c>
      <c r="Y637" s="30" t="e">
        <f ca="1">IF(Table20[[#This Row],[Direction]]&gt;0, _xlfn.NORM.S.DIST(Table20[[#This Row],[d1]], TRUE), _xlfn.NORM.S.DIST(Table20[[#This Row],[d1]], TRUE) - 1) * Table20[[#This Row],[Buy or Sell]]</f>
        <v>#NUM!</v>
      </c>
      <c r="Z637" s="9">
        <f ca="1">Table20[[#This Row],[Remaining]]*Table20[[#This Row],[Current Price]]*100</f>
        <v>0</v>
      </c>
      <c r="AA637" s="22">
        <f ca="1">IFERROR(Table20[[#This Row],[nominal_exposure]]*Table20[[#This Row],[Delta]],0)</f>
        <v>0</v>
      </c>
      <c r="AB637" s="30" t="b">
        <f>IF(Table20[[#This Row],[date_purchased]]&lt;&gt;Table20[[#This Row],[Expiration Date]],FALSE,TRUE)</f>
        <v>0</v>
      </c>
      <c r="AC637" s="30" t="str">
        <f>VLOOKUP(Table20[[#This Row],[Asset]],Table19[#All],3,FALSE)</f>
        <v>Health Care</v>
      </c>
      <c r="AD637" s="30">
        <f>IF(Table20[[#This Row],[Remaining]]&lt;&gt;0,Table20[[#This Row],[Invested]]*Table20[[#This Row],[Remaining]]/Table20[[#This Row],[Number of options]],0)</f>
        <v>0</v>
      </c>
      <c r="AE637" s="30">
        <f ca="1">SUMIF(Table20[Ticker],Table20[[#This Row],[Ticker]],Table20[realized_profit])</f>
        <v>-266</v>
      </c>
      <c r="AF637" s="30" t="str">
        <f>VLOOKUP(Table20[[#This Row],[Strategy]],Table29[#All],7,FALSE)</f>
        <v>Bearish</v>
      </c>
    </row>
    <row r="638" spans="1:32" hidden="1">
      <c r="A638" s="180">
        <v>45828</v>
      </c>
      <c r="B638" s="21" t="e" vm="561">
        <v>#VALUE!</v>
      </c>
      <c r="C638" s="109" t="str" cm="1">
        <f t="array" aca="1" ref="C638" ca="1">_FV(Table20[[#This Row],[Asset]],"Ticker symbol",TRUE)</f>
        <v>ABBV</v>
      </c>
      <c r="D638" s="26" cm="1">
        <f t="array" aca="1" ref="D638" ca="1">_FV(Table20[[#This Row],[Asset]],"Price")</f>
        <v>208.065</v>
      </c>
      <c r="E638" s="26">
        <v>175</v>
      </c>
      <c r="F638" s="33">
        <v>1</v>
      </c>
      <c r="G638" s="34">
        <v>1</v>
      </c>
      <c r="H638" s="34" t="s">
        <v>65</v>
      </c>
      <c r="I638" s="31">
        <v>45790</v>
      </c>
      <c r="J638" s="26">
        <v>1.27</v>
      </c>
      <c r="K638" s="24"/>
      <c r="L638" s="33">
        <f>VLOOKUP(Table20[[#This Row],[Strategy]],Table29[#All],6,FALSE)</f>
        <v>-1</v>
      </c>
      <c r="M638" s="23">
        <v>1</v>
      </c>
      <c r="N638" s="23">
        <v>3.25</v>
      </c>
      <c r="O638" s="23"/>
      <c r="P638" s="23"/>
      <c r="Q638">
        <f>Table20[[#This Row],[Exit1]]*Table20[[#This Row],[ex1_price]]</f>
        <v>3.25</v>
      </c>
      <c r="R638">
        <f>Table20[[#This Row],[Exit2]]*Table20[[#This Row],[ex2_price]]</f>
        <v>0</v>
      </c>
      <c r="S638">
        <f>IFERROR((Table20[[#This Row],[ex2_amnt]]+Table20[[#This Row],[ex1_amnt]])/(Table20[[#This Row],[Exit2]]+Table20[[#This Row],[Exit1]]),0)</f>
        <v>3.25</v>
      </c>
      <c r="T638" s="5">
        <f>(Table20[[#This Row],[Exit1]]+Table20[[#This Row],[Exit2]])*(Table20[[#This Row],[avg_exit_price]]-Table20[[#This Row],[AvePrice]])*100*Table20[[#This Row],[Buy or Sell]]</f>
        <v>198</v>
      </c>
      <c r="U638" s="5">
        <f>Table20[[#This Row],[Number of options]]*Table20[[#This Row],[AvePrice]]*100*Table20[[#This Row],[Buy or Sell]]</f>
        <v>127</v>
      </c>
      <c r="V638" s="8">
        <f>Table20[[#This Row],[Number of options]]-Table20[[#This Row],[Exit1]]-Table20[[#This Row],[Exit2]]</f>
        <v>0</v>
      </c>
      <c r="W638" s="30">
        <f ca="1">(Table20[[#This Row],[Expiration Date]]-TODAY())/365</f>
        <v>-0.76438356164383559</v>
      </c>
      <c r="X638" s="30" t="e">
        <f ca="1">(LN(Table20[[#This Row],[Current Price]]/Table20[[#This Row],[strike_price]]) + ($B$2 + (Table20[[#This Row],[Vol]]^2)/2)*Table20[[#This Row],[Time to expiration]]) / (Table20[[#This Row],[Vol]] * SQRT(Table20[[#This Row],[Time to expiration]]))</f>
        <v>#NUM!</v>
      </c>
      <c r="Y638" s="30" t="e">
        <f ca="1">IF(Table20[[#This Row],[Direction]]&gt;0, _xlfn.NORM.S.DIST(Table20[[#This Row],[d1]], TRUE), _xlfn.NORM.S.DIST(Table20[[#This Row],[d1]], TRUE) - 1) * Table20[[#This Row],[Buy or Sell]]</f>
        <v>#NUM!</v>
      </c>
      <c r="Z638" s="9">
        <f ca="1">Table20[[#This Row],[Remaining]]*Table20[[#This Row],[Current Price]]*100</f>
        <v>0</v>
      </c>
      <c r="AA638" s="22">
        <f ca="1">IFERROR(Table20[[#This Row],[nominal_exposure]]*Table20[[#This Row],[Delta]],0)</f>
        <v>0</v>
      </c>
      <c r="AB638" s="30" t="b">
        <f>IF(Table20[[#This Row],[date_purchased]]&lt;&gt;Table20[[#This Row],[Expiration Date]],FALSE,TRUE)</f>
        <v>0</v>
      </c>
      <c r="AC638" s="30" t="str">
        <f>VLOOKUP(Table20[[#This Row],[Asset]],Table19[#All],3,FALSE)</f>
        <v>Health Care</v>
      </c>
      <c r="AD638" s="30">
        <f>IF(Table20[[#This Row],[Remaining]]&lt;&gt;0,Table20[[#This Row],[Invested]]*Table20[[#This Row],[Remaining]]/Table20[[#This Row],[Number of options]],0)</f>
        <v>0</v>
      </c>
      <c r="AE638" s="30">
        <f ca="1">SUMIF(Table20[Ticker],Table20[[#This Row],[Ticker]],Table20[realized_profit])</f>
        <v>-240.99999999999994</v>
      </c>
      <c r="AF638" s="30" t="str">
        <f>VLOOKUP(Table20[[#This Row],[Strategy]],Table29[#All],7,FALSE)</f>
        <v>Bearish</v>
      </c>
    </row>
    <row r="639" spans="1:32" hidden="1">
      <c r="A639" s="180">
        <v>45828</v>
      </c>
      <c r="B639" s="21" t="e" vm="84">
        <v>#VALUE!</v>
      </c>
      <c r="C639" s="109" t="str" cm="1">
        <f t="array" aca="1" ref="C639" ca="1">_FV(Table20[[#This Row],[Asset]],"Ticker symbol",TRUE)</f>
        <v>COIN</v>
      </c>
      <c r="D639" s="26" cm="1">
        <f t="array" aca="1" ref="D639" ca="1">_FV(Table20[[#This Row],[Asset]],"Price")</f>
        <v>188</v>
      </c>
      <c r="E639" s="26">
        <v>300</v>
      </c>
      <c r="F639" s="33">
        <v>1</v>
      </c>
      <c r="G639" s="34">
        <v>-1</v>
      </c>
      <c r="H639" s="34" t="s">
        <v>114</v>
      </c>
      <c r="I639" s="31">
        <v>45817</v>
      </c>
      <c r="J639" s="26">
        <v>0.89</v>
      </c>
      <c r="K639" s="24">
        <v>0.6179</v>
      </c>
      <c r="L639" s="33">
        <f>VLOOKUP(Table20[[#This Row],[Strategy]],Table29[#All],6,FALSE)</f>
        <v>1</v>
      </c>
      <c r="M639" s="23">
        <v>1</v>
      </c>
      <c r="N639" s="23">
        <v>0.08</v>
      </c>
      <c r="O639" s="23"/>
      <c r="P639" s="23"/>
      <c r="Q639">
        <f>Table20[[#This Row],[Exit1]]*Table20[[#This Row],[ex1_price]]</f>
        <v>0.08</v>
      </c>
      <c r="R639">
        <f>Table20[[#This Row],[Exit2]]*Table20[[#This Row],[ex2_price]]</f>
        <v>0</v>
      </c>
      <c r="S639">
        <f>IFERROR((Table20[[#This Row],[ex2_amnt]]+Table20[[#This Row],[ex1_amnt]])/(Table20[[#This Row],[Exit2]]+Table20[[#This Row],[Exit1]]),0)</f>
        <v>0.08</v>
      </c>
      <c r="T639" s="5">
        <f>(Table20[[#This Row],[Exit1]]+Table20[[#This Row],[Exit2]])*(Table20[[#This Row],[avg_exit_price]]-Table20[[#This Row],[AvePrice]])*100*Table20[[#This Row],[Buy or Sell]]</f>
        <v>81</v>
      </c>
      <c r="U639" s="5">
        <f>Table20[[#This Row],[Number of options]]*Table20[[#This Row],[AvePrice]]*100*Table20[[#This Row],[Buy or Sell]]</f>
        <v>-89</v>
      </c>
      <c r="V639" s="8">
        <f>Table20[[#This Row],[Number of options]]-Table20[[#This Row],[Exit1]]-Table20[[#This Row],[Exit2]]</f>
        <v>0</v>
      </c>
      <c r="W639" s="30">
        <f ca="1">(Table20[[#This Row],[Expiration Date]]-TODAY())/365</f>
        <v>-0.76438356164383559</v>
      </c>
      <c r="X639" s="30" t="e">
        <f ca="1">(LN(Table20[[#This Row],[Current Price]]/Table20[[#This Row],[strike_price]]) + ($B$2 + (Table20[[#This Row],[Vol]]^2)/2)*Table20[[#This Row],[Time to expiration]]) / (Table20[[#This Row],[Vol]] * SQRT(Table20[[#This Row],[Time to expiration]]))</f>
        <v>#NUM!</v>
      </c>
      <c r="Y639" s="30" t="e">
        <f ca="1">IF(Table20[[#This Row],[Direction]]&gt;0, _xlfn.NORM.S.DIST(Table20[[#This Row],[d1]], TRUE), _xlfn.NORM.S.DIST(Table20[[#This Row],[d1]], TRUE) - 1) * Table20[[#This Row],[Buy or Sell]]</f>
        <v>#NUM!</v>
      </c>
      <c r="Z639" s="9">
        <f ca="1">Table20[[#This Row],[Remaining]]*Table20[[#This Row],[Current Price]]*100</f>
        <v>0</v>
      </c>
      <c r="AA639" s="22">
        <f ca="1">IFERROR(Table20[[#This Row],[nominal_exposure]]*Table20[[#This Row],[Delta]],0)</f>
        <v>0</v>
      </c>
      <c r="AB639" s="30" t="b">
        <f>IF(Table20[[#This Row],[date_purchased]]&lt;&gt;Table20[[#This Row],[Expiration Date]],FALSE,TRUE)</f>
        <v>0</v>
      </c>
      <c r="AC639" s="30" t="str">
        <f>VLOOKUP(Table20[[#This Row],[Asset]],Table19[#All],3,FALSE)</f>
        <v>Financials</v>
      </c>
      <c r="AD639" s="30">
        <f>IF(Table20[[#This Row],[Remaining]]&lt;&gt;0,Table20[[#This Row],[Invested]]*Table20[[#This Row],[Remaining]]/Table20[[#This Row],[Number of options]],0)</f>
        <v>0</v>
      </c>
      <c r="AE639" s="30">
        <f ca="1">SUMIF(Table20[Ticker],Table20[[#This Row],[Ticker]],Table20[realized_profit])</f>
        <v>4035</v>
      </c>
      <c r="AF639" s="30" t="str">
        <f>VLOOKUP(Table20[[#This Row],[Strategy]],Table29[#All],7,FALSE)</f>
        <v>Bullish</v>
      </c>
    </row>
    <row r="640" spans="1:32" hidden="1">
      <c r="A640" s="180">
        <v>45919</v>
      </c>
      <c r="B640" s="21" t="e" vm="37">
        <v>#VALUE!</v>
      </c>
      <c r="C640" s="109" t="str" cm="1">
        <f t="array" aca="1" ref="C640" ca="1">_FV(Table20[[#This Row],[Asset]],"Ticker symbol",TRUE)</f>
        <v>AMD</v>
      </c>
      <c r="D640" s="26" cm="1">
        <f t="array" aca="1" ref="D640" ca="1">_FV(Table20[[#This Row],[Asset]],"Price")</f>
        <v>218.91</v>
      </c>
      <c r="E640" s="26">
        <v>140</v>
      </c>
      <c r="F640" s="33">
        <v>1</v>
      </c>
      <c r="G640" s="34">
        <v>1</v>
      </c>
      <c r="H640" s="34" t="s">
        <v>114</v>
      </c>
      <c r="I640" s="31">
        <v>45804</v>
      </c>
      <c r="J640" s="26">
        <v>4.4000000000000004</v>
      </c>
      <c r="K640" s="24">
        <v>0.45290000000000002</v>
      </c>
      <c r="L640" s="33">
        <f>VLOOKUP(Table20[[#This Row],[Strategy]],Table29[#All],6,FALSE)</f>
        <v>1</v>
      </c>
      <c r="M640" s="23">
        <v>1</v>
      </c>
      <c r="N640" s="23">
        <v>2.95</v>
      </c>
      <c r="O640" s="23"/>
      <c r="P640" s="23"/>
      <c r="Q640">
        <f>Table20[[#This Row],[Exit1]]*Table20[[#This Row],[ex1_price]]</f>
        <v>2.95</v>
      </c>
      <c r="R640">
        <f>Table20[[#This Row],[Exit2]]*Table20[[#This Row],[ex2_price]]</f>
        <v>0</v>
      </c>
      <c r="S640">
        <f>IFERROR((Table20[[#This Row],[ex2_amnt]]+Table20[[#This Row],[ex1_amnt]])/(Table20[[#This Row],[Exit2]]+Table20[[#This Row],[Exit1]]),0)</f>
        <v>2.95</v>
      </c>
      <c r="T640" s="5">
        <f>(Table20[[#This Row],[Exit1]]+Table20[[#This Row],[Exit2]])*(Table20[[#This Row],[avg_exit_price]]-Table20[[#This Row],[AvePrice]])*100*Table20[[#This Row],[Buy or Sell]]</f>
        <v>-145.00000000000003</v>
      </c>
      <c r="U640" s="5">
        <f>Table20[[#This Row],[Number of options]]*Table20[[#This Row],[AvePrice]]*100*Table20[[#This Row],[Buy or Sell]]</f>
        <v>440.00000000000006</v>
      </c>
      <c r="V640" s="8">
        <f>Table20[[#This Row],[Number of options]]-Table20[[#This Row],[Exit1]]-Table20[[#This Row],[Exit2]]</f>
        <v>0</v>
      </c>
      <c r="W640" s="30">
        <f ca="1">(Table20[[#This Row],[Expiration Date]]-TODAY())/365</f>
        <v>-0.51506849315068493</v>
      </c>
      <c r="X640" s="30" t="e">
        <f ca="1">(LN(Table20[[#This Row],[Current Price]]/Table20[[#This Row],[strike_price]]) + ($B$2 + (Table20[[#This Row],[Vol]]^2)/2)*Table20[[#This Row],[Time to expiration]]) / (Table20[[#This Row],[Vol]] * SQRT(Table20[[#This Row],[Time to expiration]]))</f>
        <v>#NUM!</v>
      </c>
      <c r="Y640" s="30" t="e">
        <f ca="1">IF(Table20[[#This Row],[Direction]]&gt;0, _xlfn.NORM.S.DIST(Table20[[#This Row],[d1]], TRUE), _xlfn.NORM.S.DIST(Table20[[#This Row],[d1]], TRUE) - 1) * Table20[[#This Row],[Buy or Sell]]</f>
        <v>#NUM!</v>
      </c>
      <c r="Z640" s="9">
        <f ca="1">Table20[[#This Row],[Remaining]]*Table20[[#This Row],[Current Price]]*100</f>
        <v>0</v>
      </c>
      <c r="AA640" s="22">
        <f ca="1">IFERROR(Table20[[#This Row],[nominal_exposure]]*Table20[[#This Row],[Delta]],0)</f>
        <v>0</v>
      </c>
      <c r="AB640" s="30" t="b">
        <f>IF(Table20[[#This Row],[date_purchased]]&lt;&gt;Table20[[#This Row],[Expiration Date]],FALSE,TRUE)</f>
        <v>0</v>
      </c>
      <c r="AC640" s="30" t="str">
        <f>VLOOKUP(Table20[[#This Row],[Asset]],Table19[#All],3,FALSE)</f>
        <v>AI</v>
      </c>
      <c r="AD640" s="30">
        <f>IF(Table20[[#This Row],[Remaining]]&lt;&gt;0,Table20[[#This Row],[Invested]]*Table20[[#This Row],[Remaining]]/Table20[[#This Row],[Number of options]],0)</f>
        <v>0</v>
      </c>
      <c r="AE640" s="30">
        <f ca="1">SUMIF(Table20[Ticker],Table20[[#This Row],[Ticker]],Table20[realized_profit])</f>
        <v>1567</v>
      </c>
      <c r="AF640" s="30" t="str">
        <f>VLOOKUP(Table20[[#This Row],[Strategy]],Table29[#All],7,FALSE)</f>
        <v>Bullish</v>
      </c>
    </row>
    <row r="641" spans="1:32" hidden="1">
      <c r="A641" s="180">
        <v>45828</v>
      </c>
      <c r="B641" s="21" t="e" vm="96">
        <v>#VALUE!</v>
      </c>
      <c r="C641" s="109" t="str" cm="1">
        <f t="array" aca="1" ref="C641" ca="1">_FV(Table20[[#This Row],[Asset]],"Ticker symbol",TRUE)</f>
        <v>SPY</v>
      </c>
      <c r="D641" s="26" cm="1">
        <f t="array" aca="1" ref="D641" ca="1">_FV(Table20[[#This Row],[Asset]],"Price")</f>
        <v>658.59</v>
      </c>
      <c r="E641" s="26">
        <v>510</v>
      </c>
      <c r="F641" s="33">
        <v>2</v>
      </c>
      <c r="G641" s="34">
        <v>1</v>
      </c>
      <c r="H641" s="34" t="s">
        <v>112</v>
      </c>
      <c r="I641" s="31">
        <v>45777</v>
      </c>
      <c r="J641" s="26">
        <v>5.76</v>
      </c>
      <c r="K641" s="24"/>
      <c r="L641" s="33">
        <f>VLOOKUP(Table20[[#This Row],[Strategy]],Table29[#All],6,FALSE)</f>
        <v>-1</v>
      </c>
      <c r="M641" s="23">
        <v>1</v>
      </c>
      <c r="N641" s="23">
        <v>1.21</v>
      </c>
      <c r="O641" s="23">
        <v>1</v>
      </c>
      <c r="P641" s="23">
        <v>1.59</v>
      </c>
      <c r="Q641">
        <f>Table20[[#This Row],[Exit1]]*Table20[[#This Row],[ex1_price]]</f>
        <v>1.21</v>
      </c>
      <c r="R641">
        <f>Table20[[#This Row],[Exit2]]*Table20[[#This Row],[ex2_price]]</f>
        <v>1.59</v>
      </c>
      <c r="S641">
        <f>IFERROR((Table20[[#This Row],[ex2_amnt]]+Table20[[#This Row],[ex1_amnt]])/(Table20[[#This Row],[Exit2]]+Table20[[#This Row],[Exit1]]),0)</f>
        <v>1.4</v>
      </c>
      <c r="T641" s="5">
        <f>(Table20[[#This Row],[Exit1]]+Table20[[#This Row],[Exit2]])*(Table20[[#This Row],[avg_exit_price]]-Table20[[#This Row],[AvePrice]])*100*Table20[[#This Row],[Buy or Sell]]</f>
        <v>-871.99999999999989</v>
      </c>
      <c r="U641" s="5">
        <f>Table20[[#This Row],[Number of options]]*Table20[[#This Row],[AvePrice]]*100*Table20[[#This Row],[Buy or Sell]]</f>
        <v>1152</v>
      </c>
      <c r="V641" s="8">
        <f>Table20[[#This Row],[Number of options]]-Table20[[#This Row],[Exit1]]-Table20[[#This Row],[Exit2]]</f>
        <v>0</v>
      </c>
      <c r="W641" s="30">
        <f ca="1">(Table20[[#This Row],[Expiration Date]]-TODAY())/365</f>
        <v>-0.76438356164383559</v>
      </c>
      <c r="X641" s="30" t="e">
        <f ca="1">(LN(Table20[[#This Row],[Current Price]]/Table20[[#This Row],[strike_price]]) + ($B$2 + (Table20[[#This Row],[Vol]]^2)/2)*Table20[[#This Row],[Time to expiration]]) / (Table20[[#This Row],[Vol]] * SQRT(Table20[[#This Row],[Time to expiration]]))</f>
        <v>#NUM!</v>
      </c>
      <c r="Y641" s="30" t="e">
        <f ca="1">IF(Table20[[#This Row],[Direction]]&gt;0, _xlfn.NORM.S.DIST(Table20[[#This Row],[d1]], TRUE), _xlfn.NORM.S.DIST(Table20[[#This Row],[d1]], TRUE) - 1) * Table20[[#This Row],[Buy or Sell]]</f>
        <v>#NUM!</v>
      </c>
      <c r="Z641" s="9">
        <f ca="1">Table20[[#This Row],[Remaining]]*Table20[[#This Row],[Current Price]]*100</f>
        <v>0</v>
      </c>
      <c r="AA641" s="22">
        <f ca="1">IFERROR(Table20[[#This Row],[nominal_exposure]]*Table20[[#This Row],[Delta]],0)</f>
        <v>0</v>
      </c>
      <c r="AB641" s="30" t="b">
        <f>IF(Table20[[#This Row],[date_purchased]]&lt;&gt;Table20[[#This Row],[Expiration Date]],FALSE,TRUE)</f>
        <v>0</v>
      </c>
      <c r="AC641" s="30" t="str">
        <f>VLOOKUP(Table20[[#This Row],[Asset]],Table19[#All],3,FALSE)</f>
        <v>Market</v>
      </c>
      <c r="AD641" s="30">
        <f>IF(Table20[[#This Row],[Remaining]]&lt;&gt;0,Table20[[#This Row],[Invested]]*Table20[[#This Row],[Remaining]]/Table20[[#This Row],[Number of options]],0)</f>
        <v>0</v>
      </c>
      <c r="AE641" s="30">
        <f ca="1">SUMIF(Table20[Ticker],Table20[[#This Row],[Ticker]],Table20[realized_profit])</f>
        <v>-5077</v>
      </c>
      <c r="AF641" s="30" t="str">
        <f>VLOOKUP(Table20[[#This Row],[Strategy]],Table29[#All],7,FALSE)</f>
        <v>Bearish</v>
      </c>
    </row>
    <row r="642" spans="1:32" hidden="1">
      <c r="A642" s="180">
        <v>45828</v>
      </c>
      <c r="B642" s="21" t="e" vm="96">
        <v>#VALUE!</v>
      </c>
      <c r="C642" s="109" t="str" cm="1">
        <f t="array" aca="1" ref="C642" ca="1">_FV(Table20[[#This Row],[Asset]],"Ticker symbol",TRUE)</f>
        <v>SPY</v>
      </c>
      <c r="D642" s="26" cm="1">
        <f t="array" aca="1" ref="D642" ca="1">_FV(Table20[[#This Row],[Asset]],"Price")</f>
        <v>658.59</v>
      </c>
      <c r="E642" s="26">
        <v>480</v>
      </c>
      <c r="F642" s="33">
        <v>2</v>
      </c>
      <c r="G642" s="34">
        <v>-1</v>
      </c>
      <c r="H642" s="34" t="s">
        <v>112</v>
      </c>
      <c r="I642" s="31">
        <v>45777</v>
      </c>
      <c r="J642" s="26">
        <v>2.7</v>
      </c>
      <c r="K642" s="24"/>
      <c r="L642" s="33">
        <f>VLOOKUP(Table20[[#This Row],[Strategy]],Table29[#All],6,FALSE)</f>
        <v>-1</v>
      </c>
      <c r="M642" s="23">
        <v>1</v>
      </c>
      <c r="N642" s="23">
        <v>0.64</v>
      </c>
      <c r="O642" s="23">
        <v>1</v>
      </c>
      <c r="P642" s="23">
        <v>0.64</v>
      </c>
      <c r="Q642">
        <f>Table20[[#This Row],[Exit1]]*Table20[[#This Row],[ex1_price]]</f>
        <v>0.64</v>
      </c>
      <c r="R642">
        <f>Table20[[#This Row],[Exit2]]*Table20[[#This Row],[ex2_price]]</f>
        <v>0.64</v>
      </c>
      <c r="S642">
        <f>IFERROR((Table20[[#This Row],[ex2_amnt]]+Table20[[#This Row],[ex1_amnt]])/(Table20[[#This Row],[Exit2]]+Table20[[#This Row],[Exit1]]),0)</f>
        <v>0.64</v>
      </c>
      <c r="T642" s="5">
        <f>(Table20[[#This Row],[Exit1]]+Table20[[#This Row],[Exit2]])*(Table20[[#This Row],[avg_exit_price]]-Table20[[#This Row],[AvePrice]])*100*Table20[[#This Row],[Buy or Sell]]</f>
        <v>412</v>
      </c>
      <c r="U642" s="5">
        <f>Table20[[#This Row],[Number of options]]*Table20[[#This Row],[AvePrice]]*100*Table20[[#This Row],[Buy or Sell]]</f>
        <v>-540</v>
      </c>
      <c r="V642" s="8">
        <f>Table20[[#This Row],[Number of options]]-Table20[[#This Row],[Exit1]]-Table20[[#This Row],[Exit2]]</f>
        <v>0</v>
      </c>
      <c r="W642" s="30">
        <f ca="1">(Table20[[#This Row],[Expiration Date]]-TODAY())/365</f>
        <v>-0.76438356164383559</v>
      </c>
      <c r="X642" s="30" t="e">
        <f ca="1">(LN(Table20[[#This Row],[Current Price]]/Table20[[#This Row],[strike_price]]) + ($B$2 + (Table20[[#This Row],[Vol]]^2)/2)*Table20[[#This Row],[Time to expiration]]) / (Table20[[#This Row],[Vol]] * SQRT(Table20[[#This Row],[Time to expiration]]))</f>
        <v>#NUM!</v>
      </c>
      <c r="Y642" s="30" t="e">
        <f ca="1">IF(Table20[[#This Row],[Direction]]&gt;0, _xlfn.NORM.S.DIST(Table20[[#This Row],[d1]], TRUE), _xlfn.NORM.S.DIST(Table20[[#This Row],[d1]], TRUE) - 1) * Table20[[#This Row],[Buy or Sell]]</f>
        <v>#NUM!</v>
      </c>
      <c r="Z642" s="9">
        <f ca="1">Table20[[#This Row],[Remaining]]*Table20[[#This Row],[Current Price]]*100</f>
        <v>0</v>
      </c>
      <c r="AA642" s="22">
        <f ca="1">IFERROR(Table20[[#This Row],[nominal_exposure]]*Table20[[#This Row],[Delta]],0)</f>
        <v>0</v>
      </c>
      <c r="AB642" s="30" t="b">
        <f>IF(Table20[[#This Row],[date_purchased]]&lt;&gt;Table20[[#This Row],[Expiration Date]],FALSE,TRUE)</f>
        <v>0</v>
      </c>
      <c r="AC642" s="30" t="str">
        <f>VLOOKUP(Table20[[#This Row],[Asset]],Table19[#All],3,FALSE)</f>
        <v>Market</v>
      </c>
      <c r="AD642" s="30">
        <f>IF(Table20[[#This Row],[Remaining]]&lt;&gt;0,Table20[[#This Row],[Invested]]*Table20[[#This Row],[Remaining]]/Table20[[#This Row],[Number of options]],0)</f>
        <v>0</v>
      </c>
      <c r="AE642" s="30">
        <f ca="1">SUMIF(Table20[Ticker],Table20[[#This Row],[Ticker]],Table20[realized_profit])</f>
        <v>-5077</v>
      </c>
      <c r="AF642" s="30" t="str">
        <f>VLOOKUP(Table20[[#This Row],[Strategy]],Table29[#All],7,FALSE)</f>
        <v>Bearish</v>
      </c>
    </row>
    <row r="643" spans="1:32" hidden="1">
      <c r="A643" s="180">
        <v>45828</v>
      </c>
      <c r="B643" s="21" t="e" vm="556">
        <v>#VALUE!</v>
      </c>
      <c r="C643" s="109" t="str" cm="1">
        <f t="array" aca="1" ref="C643" ca="1">_FV(Table20[[#This Row],[Asset]],"Ticker symbol",TRUE)</f>
        <v>DOCS</v>
      </c>
      <c r="D643" s="26" cm="1">
        <f t="array" aca="1" ref="D643" ca="1">_FV(Table20[[#This Row],[Asset]],"Price")</f>
        <v>24.17</v>
      </c>
      <c r="E643" s="26">
        <v>50</v>
      </c>
      <c r="F643" s="33">
        <v>2</v>
      </c>
      <c r="G643" s="34">
        <v>1</v>
      </c>
      <c r="H643" s="34" t="s">
        <v>65</v>
      </c>
      <c r="I643" s="31">
        <v>45792</v>
      </c>
      <c r="J643" s="26">
        <v>2.1800000000000002</v>
      </c>
      <c r="K643" s="24"/>
      <c r="L643" s="33">
        <f>VLOOKUP(Table20[[#This Row],[Strategy]],Table29[#All],6,FALSE)</f>
        <v>-1</v>
      </c>
      <c r="M643" s="23">
        <v>2</v>
      </c>
      <c r="N643" s="23">
        <v>2.5</v>
      </c>
      <c r="O643" s="23"/>
      <c r="P643" s="23"/>
      <c r="Q643">
        <f>Table20[[#This Row],[Exit1]]*Table20[[#This Row],[ex1_price]]</f>
        <v>5</v>
      </c>
      <c r="R643">
        <f>Table20[[#This Row],[Exit2]]*Table20[[#This Row],[ex2_price]]</f>
        <v>0</v>
      </c>
      <c r="S643">
        <f>IFERROR((Table20[[#This Row],[ex2_amnt]]+Table20[[#This Row],[ex1_amnt]])/(Table20[[#This Row],[Exit2]]+Table20[[#This Row],[Exit1]]),0)</f>
        <v>2.5</v>
      </c>
      <c r="T643" s="5">
        <f>(Table20[[#This Row],[Exit1]]+Table20[[#This Row],[Exit2]])*(Table20[[#This Row],[avg_exit_price]]-Table20[[#This Row],[AvePrice]])*100*Table20[[#This Row],[Buy or Sell]]</f>
        <v>63.999999999999972</v>
      </c>
      <c r="U643" s="5">
        <f>Table20[[#This Row],[Number of options]]*Table20[[#This Row],[AvePrice]]*100*Table20[[#This Row],[Buy or Sell]]</f>
        <v>436.00000000000006</v>
      </c>
      <c r="V643" s="8">
        <f>Table20[[#This Row],[Number of options]]-Table20[[#This Row],[Exit1]]-Table20[[#This Row],[Exit2]]</f>
        <v>0</v>
      </c>
      <c r="W643" s="30">
        <f ca="1">(Table20[[#This Row],[Expiration Date]]-TODAY())/365</f>
        <v>-0.76438356164383559</v>
      </c>
      <c r="X643" s="30" t="e">
        <f ca="1">(LN(Table20[[#This Row],[Current Price]]/Table20[[#This Row],[strike_price]]) + ($B$2 + (Table20[[#This Row],[Vol]]^2)/2)*Table20[[#This Row],[Time to expiration]]) / (Table20[[#This Row],[Vol]] * SQRT(Table20[[#This Row],[Time to expiration]]))</f>
        <v>#NUM!</v>
      </c>
      <c r="Y643" s="30" t="e">
        <f ca="1">IF(Table20[[#This Row],[Direction]]&gt;0, _xlfn.NORM.S.DIST(Table20[[#This Row],[d1]], TRUE), _xlfn.NORM.S.DIST(Table20[[#This Row],[d1]], TRUE) - 1) * Table20[[#This Row],[Buy or Sell]]</f>
        <v>#NUM!</v>
      </c>
      <c r="Z643" s="9">
        <f ca="1">Table20[[#This Row],[Remaining]]*Table20[[#This Row],[Current Price]]*100</f>
        <v>0</v>
      </c>
      <c r="AA643" s="22">
        <f ca="1">IFERROR(Table20[[#This Row],[nominal_exposure]]*Table20[[#This Row],[Delta]],0)</f>
        <v>0</v>
      </c>
      <c r="AB643" s="30" t="b">
        <f>IF(Table20[[#This Row],[date_purchased]]&lt;&gt;Table20[[#This Row],[Expiration Date]],FALSE,TRUE)</f>
        <v>0</v>
      </c>
      <c r="AC643" s="30" t="str">
        <f>VLOOKUP(Table20[[#This Row],[Asset]],Table19[#All],3,FALSE)</f>
        <v>Health Care</v>
      </c>
      <c r="AD643" s="30">
        <f>IF(Table20[[#This Row],[Remaining]]&lt;&gt;0,Table20[[#This Row],[Invested]]*Table20[[#This Row],[Remaining]]/Table20[[#This Row],[Number of options]],0)</f>
        <v>0</v>
      </c>
      <c r="AE643" s="30">
        <f ca="1">SUMIF(Table20[Ticker],Table20[[#This Row],[Ticker]],Table20[realized_profit])</f>
        <v>472.99999999999989</v>
      </c>
      <c r="AF643" s="30" t="str">
        <f>VLOOKUP(Table20[[#This Row],[Strategy]],Table29[#All],7,FALSE)</f>
        <v>Bearish</v>
      </c>
    </row>
    <row r="644" spans="1:32" hidden="1">
      <c r="A644" s="180">
        <v>45793</v>
      </c>
      <c r="B644" s="21" t="e" vm="151">
        <v>#VALUE!</v>
      </c>
      <c r="C644" s="109" t="str" cm="1">
        <f t="array" aca="1" ref="C644" ca="1">_FV(Table20[[#This Row],[Asset]],"Ticker symbol",TRUE)</f>
        <v>TLT</v>
      </c>
      <c r="D644" s="26" cm="1">
        <f t="array" aca="1" ref="D644" ca="1">_FV(Table20[[#This Row],[Asset]],"Price")</f>
        <v>86.743499999999997</v>
      </c>
      <c r="E644" s="26">
        <v>86</v>
      </c>
      <c r="F644" s="33">
        <v>4</v>
      </c>
      <c r="G644" s="34">
        <v>1</v>
      </c>
      <c r="H644" s="34" t="s">
        <v>113</v>
      </c>
      <c r="I644" s="31">
        <v>45792</v>
      </c>
      <c r="J644" s="26">
        <v>0.24</v>
      </c>
      <c r="K644" s="24"/>
      <c r="L644" s="33">
        <f>VLOOKUP(Table20[[#This Row],[Strategy]],Table29[#All],6,FALSE)</f>
        <v>1</v>
      </c>
      <c r="M644" s="23">
        <v>4</v>
      </c>
      <c r="N644" s="23">
        <v>0.76</v>
      </c>
      <c r="O644" s="23"/>
      <c r="P644" s="23"/>
      <c r="Q644">
        <f>Table20[[#This Row],[Exit1]]*Table20[[#This Row],[ex1_price]]</f>
        <v>3.04</v>
      </c>
      <c r="R644">
        <f>Table20[[#This Row],[Exit2]]*Table20[[#This Row],[ex2_price]]</f>
        <v>0</v>
      </c>
      <c r="S644">
        <f>IFERROR((Table20[[#This Row],[ex2_amnt]]+Table20[[#This Row],[ex1_amnt]])/(Table20[[#This Row],[Exit2]]+Table20[[#This Row],[Exit1]]),0)</f>
        <v>0.76</v>
      </c>
      <c r="T644" s="5">
        <f>(Table20[[#This Row],[Exit1]]+Table20[[#This Row],[Exit2]])*(Table20[[#This Row],[avg_exit_price]]-Table20[[#This Row],[AvePrice]])*100*Table20[[#This Row],[Buy or Sell]]</f>
        <v>208</v>
      </c>
      <c r="U644" s="5">
        <f>Table20[[#This Row],[Number of options]]*Table20[[#This Row],[AvePrice]]*100*Table20[[#This Row],[Buy or Sell]]</f>
        <v>96</v>
      </c>
      <c r="V644" s="8">
        <f>Table20[[#This Row],[Number of options]]-Table20[[#This Row],[Exit1]]-Table20[[#This Row],[Exit2]]</f>
        <v>0</v>
      </c>
      <c r="W644" s="30">
        <f ca="1">(Table20[[#This Row],[Expiration Date]]-TODAY())/365</f>
        <v>-0.86027397260273974</v>
      </c>
      <c r="X644" s="30" t="e">
        <f ca="1">(LN(Table20[[#This Row],[Current Price]]/Table20[[#This Row],[strike_price]]) + ($B$2 + (Table20[[#This Row],[Vol]]^2)/2)*Table20[[#This Row],[Time to expiration]]) / (Table20[[#This Row],[Vol]] * SQRT(Table20[[#This Row],[Time to expiration]]))</f>
        <v>#NUM!</v>
      </c>
      <c r="Y644" s="30" t="e">
        <f ca="1">IF(Table20[[#This Row],[Direction]]&gt;0, _xlfn.NORM.S.DIST(Table20[[#This Row],[d1]], TRUE), _xlfn.NORM.S.DIST(Table20[[#This Row],[d1]], TRUE) - 1) * Table20[[#This Row],[Buy or Sell]]</f>
        <v>#NUM!</v>
      </c>
      <c r="Z644" s="9">
        <f ca="1">Table20[[#This Row],[Remaining]]*Table20[[#This Row],[Current Price]]*100</f>
        <v>0</v>
      </c>
      <c r="AA644" s="22">
        <f ca="1">IFERROR(Table20[[#This Row],[nominal_exposure]]*Table20[[#This Row],[Delta]],0)</f>
        <v>0</v>
      </c>
      <c r="AB644" s="30" t="b">
        <f>IF(Table20[[#This Row],[date_purchased]]&lt;&gt;Table20[[#This Row],[Expiration Date]],FALSE,TRUE)</f>
        <v>0</v>
      </c>
      <c r="AC644" s="30" t="str">
        <f>VLOOKUP(Table20[[#This Row],[Asset]],Table19[#All],3,FALSE)</f>
        <v>Market</v>
      </c>
      <c r="AD644" s="30">
        <f>IF(Table20[[#This Row],[Remaining]]&lt;&gt;0,Table20[[#This Row],[Invested]]*Table20[[#This Row],[Remaining]]/Table20[[#This Row],[Number of options]],0)</f>
        <v>0</v>
      </c>
      <c r="AE644" s="30">
        <f ca="1">SUMIF(Table20[Ticker],Table20[[#This Row],[Ticker]],Table20[realized_profit])</f>
        <v>-3328.3599999999997</v>
      </c>
      <c r="AF644" s="30" t="str">
        <f>VLOOKUP(Table20[[#This Row],[Strategy]],Table29[#All],7,FALSE)</f>
        <v>Bullish</v>
      </c>
    </row>
    <row r="645" spans="1:32" hidden="1">
      <c r="A645" s="180">
        <v>45919</v>
      </c>
      <c r="B645" s="21" t="e" vm="37">
        <v>#VALUE!</v>
      </c>
      <c r="C645" s="109" t="str" cm="1">
        <f t="array" aca="1" ref="C645" ca="1">_FV(Table20[[#This Row],[Asset]],"Ticker symbol",TRUE)</f>
        <v>AMD</v>
      </c>
      <c r="D645" s="26" cm="1">
        <f t="array" aca="1" ref="D645" ca="1">_FV(Table20[[#This Row],[Asset]],"Price")</f>
        <v>218.91</v>
      </c>
      <c r="E645" s="26">
        <v>180</v>
      </c>
      <c r="F645" s="33">
        <v>1</v>
      </c>
      <c r="G645" s="34">
        <v>-1</v>
      </c>
      <c r="H645" s="34" t="s">
        <v>114</v>
      </c>
      <c r="I645" s="31">
        <v>45804</v>
      </c>
      <c r="J645" s="26">
        <v>0.95</v>
      </c>
      <c r="K645" s="24">
        <v>0.49020000000000002</v>
      </c>
      <c r="L645" s="33">
        <f>VLOOKUP(Table20[[#This Row],[Strategy]],Table29[#All],6,FALSE)</f>
        <v>1</v>
      </c>
      <c r="M645" s="23">
        <v>1</v>
      </c>
      <c r="N645" s="23">
        <v>0.61</v>
      </c>
      <c r="O645" s="23"/>
      <c r="P645" s="23"/>
      <c r="Q645">
        <f>Table20[[#This Row],[Exit1]]*Table20[[#This Row],[ex1_price]]</f>
        <v>0.61</v>
      </c>
      <c r="R645">
        <f>Table20[[#This Row],[Exit2]]*Table20[[#This Row],[ex2_price]]</f>
        <v>0</v>
      </c>
      <c r="S645">
        <f>IFERROR((Table20[[#This Row],[ex2_amnt]]+Table20[[#This Row],[ex1_amnt]])/(Table20[[#This Row],[Exit2]]+Table20[[#This Row],[Exit1]]),0)</f>
        <v>0.61</v>
      </c>
      <c r="T645" s="5">
        <f>(Table20[[#This Row],[Exit1]]+Table20[[#This Row],[Exit2]])*(Table20[[#This Row],[avg_exit_price]]-Table20[[#This Row],[AvePrice]])*100*Table20[[#This Row],[Buy or Sell]]</f>
        <v>34</v>
      </c>
      <c r="U645" s="5">
        <f>Table20[[#This Row],[Number of options]]*Table20[[#This Row],[AvePrice]]*100*Table20[[#This Row],[Buy or Sell]]</f>
        <v>-95</v>
      </c>
      <c r="V645" s="8">
        <f>Table20[[#This Row],[Number of options]]-Table20[[#This Row],[Exit1]]-Table20[[#This Row],[Exit2]]</f>
        <v>0</v>
      </c>
      <c r="W645" s="30">
        <f ca="1">(Table20[[#This Row],[Expiration Date]]-TODAY())/365</f>
        <v>-0.51506849315068493</v>
      </c>
      <c r="X645" s="30" t="e">
        <f ca="1">(LN(Table20[[#This Row],[Current Price]]/Table20[[#This Row],[strike_price]]) + ($B$2 + (Table20[[#This Row],[Vol]]^2)/2)*Table20[[#This Row],[Time to expiration]]) / (Table20[[#This Row],[Vol]] * SQRT(Table20[[#This Row],[Time to expiration]]))</f>
        <v>#NUM!</v>
      </c>
      <c r="Y645" s="30" t="e">
        <f ca="1">IF(Table20[[#This Row],[Direction]]&gt;0, _xlfn.NORM.S.DIST(Table20[[#This Row],[d1]], TRUE), _xlfn.NORM.S.DIST(Table20[[#This Row],[d1]], TRUE) - 1) * Table20[[#This Row],[Buy or Sell]]</f>
        <v>#NUM!</v>
      </c>
      <c r="Z645" s="9">
        <f ca="1">Table20[[#This Row],[Remaining]]*Table20[[#This Row],[Current Price]]*100</f>
        <v>0</v>
      </c>
      <c r="AA645" s="22">
        <f ca="1">IFERROR(Table20[[#This Row],[nominal_exposure]]*Table20[[#This Row],[Delta]],0)</f>
        <v>0</v>
      </c>
      <c r="AB645" s="30" t="b">
        <f>IF(Table20[[#This Row],[date_purchased]]&lt;&gt;Table20[[#This Row],[Expiration Date]],FALSE,TRUE)</f>
        <v>0</v>
      </c>
      <c r="AC645" s="30" t="str">
        <f>VLOOKUP(Table20[[#This Row],[Asset]],Table19[#All],3,FALSE)</f>
        <v>AI</v>
      </c>
      <c r="AD645" s="30">
        <f>IF(Table20[[#This Row],[Remaining]]&lt;&gt;0,Table20[[#This Row],[Invested]]*Table20[[#This Row],[Remaining]]/Table20[[#This Row],[Number of options]],0)</f>
        <v>0</v>
      </c>
      <c r="AE645" s="30">
        <f ca="1">SUMIF(Table20[Ticker],Table20[[#This Row],[Ticker]],Table20[realized_profit])</f>
        <v>1567</v>
      </c>
      <c r="AF645" s="30" t="str">
        <f>VLOOKUP(Table20[[#This Row],[Strategy]],Table29[#All],7,FALSE)</f>
        <v>Bullish</v>
      </c>
    </row>
    <row r="646" spans="1:32" hidden="1">
      <c r="A646" s="180">
        <v>45828</v>
      </c>
      <c r="B646" s="21" t="e" vm="63">
        <v>#VALUE!</v>
      </c>
      <c r="C646" s="109" t="str" cm="1">
        <f t="array" aca="1" ref="C646" ca="1">_FV(Table20[[#This Row],[Asset]],"Ticker symbol",TRUE)</f>
        <v>TSLA</v>
      </c>
      <c r="D646" s="26" cm="1">
        <f t="array" aca="1" ref="D646" ca="1">_FV(Table20[[#This Row],[Asset]],"Price")</f>
        <v>394.5401</v>
      </c>
      <c r="E646" s="26">
        <v>290</v>
      </c>
      <c r="F646" s="33">
        <v>1</v>
      </c>
      <c r="G646" s="34">
        <v>1</v>
      </c>
      <c r="H646" s="34" t="s">
        <v>112</v>
      </c>
      <c r="I646" s="31">
        <v>45818</v>
      </c>
      <c r="J646" s="26">
        <v>3.45</v>
      </c>
      <c r="K646" s="24">
        <v>0.68</v>
      </c>
      <c r="L646" s="33">
        <f>VLOOKUP(Table20[[#This Row],[Strategy]],Table29[#All],6,FALSE)</f>
        <v>-1</v>
      </c>
      <c r="M646" s="23">
        <v>1</v>
      </c>
      <c r="N646" s="23">
        <v>0.82</v>
      </c>
      <c r="O646" s="23"/>
      <c r="P646" s="23"/>
      <c r="Q646">
        <f>Table20[[#This Row],[Exit1]]*Table20[[#This Row],[ex1_price]]</f>
        <v>0.82</v>
      </c>
      <c r="R646">
        <f>Table20[[#This Row],[Exit2]]*Table20[[#This Row],[ex2_price]]</f>
        <v>0</v>
      </c>
      <c r="S646">
        <f>IFERROR((Table20[[#This Row],[ex2_amnt]]+Table20[[#This Row],[ex1_amnt]])/(Table20[[#This Row],[Exit2]]+Table20[[#This Row],[Exit1]]),0)</f>
        <v>0.82</v>
      </c>
      <c r="T646" s="5">
        <f>(Table20[[#This Row],[Exit1]]+Table20[[#This Row],[Exit2]])*(Table20[[#This Row],[avg_exit_price]]-Table20[[#This Row],[AvePrice]])*100*Table20[[#This Row],[Buy or Sell]]</f>
        <v>-263.00000000000006</v>
      </c>
      <c r="U646" s="5">
        <f>Table20[[#This Row],[Number of options]]*Table20[[#This Row],[AvePrice]]*100*Table20[[#This Row],[Buy or Sell]]</f>
        <v>345</v>
      </c>
      <c r="V646" s="8">
        <f>Table20[[#This Row],[Number of options]]-Table20[[#This Row],[Exit1]]-Table20[[#This Row],[Exit2]]</f>
        <v>0</v>
      </c>
      <c r="W646" s="30">
        <f ca="1">(Table20[[#This Row],[Expiration Date]]-TODAY())/365</f>
        <v>-0.76438356164383559</v>
      </c>
      <c r="X646" s="30" t="e">
        <f ca="1">(LN(Table20[[#This Row],[Current Price]]/Table20[[#This Row],[strike_price]]) + ($B$2 + (Table20[[#This Row],[Vol]]^2)/2)*Table20[[#This Row],[Time to expiration]]) / (Table20[[#This Row],[Vol]] * SQRT(Table20[[#This Row],[Time to expiration]]))</f>
        <v>#NUM!</v>
      </c>
      <c r="Y646" s="30" t="e">
        <f ca="1">IF(Table20[[#This Row],[Direction]]&gt;0, _xlfn.NORM.S.DIST(Table20[[#This Row],[d1]], TRUE), _xlfn.NORM.S.DIST(Table20[[#This Row],[d1]], TRUE) - 1) * Table20[[#This Row],[Buy or Sell]]</f>
        <v>#NUM!</v>
      </c>
      <c r="Z646" s="9">
        <f ca="1">Table20[[#This Row],[Remaining]]*Table20[[#This Row],[Current Price]]*100</f>
        <v>0</v>
      </c>
      <c r="AA646" s="22">
        <f ca="1">IFERROR(Table20[[#This Row],[nominal_exposure]]*Table20[[#This Row],[Delta]],0)</f>
        <v>0</v>
      </c>
      <c r="AB646" s="30" t="b">
        <f>IF(Table20[[#This Row],[date_purchased]]&lt;&gt;Table20[[#This Row],[Expiration Date]],FALSE,TRUE)</f>
        <v>0</v>
      </c>
      <c r="AC646" s="30" t="str">
        <f>VLOOKUP(Table20[[#This Row],[Asset]],Table19[#All],3,FALSE)</f>
        <v>Auto</v>
      </c>
      <c r="AD646" s="30">
        <f>IF(Table20[[#This Row],[Remaining]]&lt;&gt;0,Table20[[#This Row],[Invested]]*Table20[[#This Row],[Remaining]]/Table20[[#This Row],[Number of options]],0)</f>
        <v>0</v>
      </c>
      <c r="AE646" s="30">
        <f ca="1">SUMIF(Table20[Ticker],Table20[[#This Row],[Ticker]],Table20[realized_profit])</f>
        <v>4153</v>
      </c>
      <c r="AF646" s="30" t="str">
        <f>VLOOKUP(Table20[[#This Row],[Strategy]],Table29[#All],7,FALSE)</f>
        <v>Bearish</v>
      </c>
    </row>
    <row r="647" spans="1:32" hidden="1">
      <c r="A647" s="180">
        <v>45828</v>
      </c>
      <c r="B647" s="21" t="e" vm="63">
        <v>#VALUE!</v>
      </c>
      <c r="C647" s="109" t="str" cm="1">
        <f t="array" aca="1" ref="C647" ca="1">_FV(Table20[[#This Row],[Asset]],"Ticker symbol",TRUE)</f>
        <v>TSLA</v>
      </c>
      <c r="D647" s="26" cm="1">
        <f t="array" aca="1" ref="D647" ca="1">_FV(Table20[[#This Row],[Asset]],"Price")</f>
        <v>394.5401</v>
      </c>
      <c r="E647" s="26">
        <v>260</v>
      </c>
      <c r="F647" s="33">
        <v>1</v>
      </c>
      <c r="G647" s="34">
        <v>-1</v>
      </c>
      <c r="H647" s="34" t="s">
        <v>112</v>
      </c>
      <c r="I647" s="31">
        <v>45818</v>
      </c>
      <c r="J647" s="26">
        <v>0.81</v>
      </c>
      <c r="K647" s="24">
        <v>0.8</v>
      </c>
      <c r="L647" s="33">
        <f>VLOOKUP(Table20[[#This Row],[Strategy]],Table29[#All],6,FALSE)</f>
        <v>-1</v>
      </c>
      <c r="M647" s="23">
        <v>1</v>
      </c>
      <c r="N647" s="23">
        <v>0.11</v>
      </c>
      <c r="O647" s="23"/>
      <c r="P647" s="23"/>
      <c r="Q647">
        <f>Table20[[#This Row],[Exit1]]*Table20[[#This Row],[ex1_price]]</f>
        <v>0.11</v>
      </c>
      <c r="R647">
        <f>Table20[[#This Row],[Exit2]]*Table20[[#This Row],[ex2_price]]</f>
        <v>0</v>
      </c>
      <c r="S647">
        <f>IFERROR((Table20[[#This Row],[ex2_amnt]]+Table20[[#This Row],[ex1_amnt]])/(Table20[[#This Row],[Exit2]]+Table20[[#This Row],[Exit1]]),0)</f>
        <v>0.11</v>
      </c>
      <c r="T647" s="5">
        <f>(Table20[[#This Row],[Exit1]]+Table20[[#This Row],[Exit2]])*(Table20[[#This Row],[avg_exit_price]]-Table20[[#This Row],[AvePrice]])*100*Table20[[#This Row],[Buy or Sell]]</f>
        <v>70</v>
      </c>
      <c r="U647" s="5">
        <f>Table20[[#This Row],[Number of options]]*Table20[[#This Row],[AvePrice]]*100*Table20[[#This Row],[Buy or Sell]]</f>
        <v>-81</v>
      </c>
      <c r="V647" s="8">
        <f>Table20[[#This Row],[Number of options]]-Table20[[#This Row],[Exit1]]-Table20[[#This Row],[Exit2]]</f>
        <v>0</v>
      </c>
      <c r="W647" s="30">
        <f ca="1">(Table20[[#This Row],[Expiration Date]]-TODAY())/365</f>
        <v>-0.76438356164383559</v>
      </c>
      <c r="X647" s="30" t="e">
        <f ca="1">(LN(Table20[[#This Row],[Current Price]]/Table20[[#This Row],[strike_price]]) + ($B$2 + (Table20[[#This Row],[Vol]]^2)/2)*Table20[[#This Row],[Time to expiration]]) / (Table20[[#This Row],[Vol]] * SQRT(Table20[[#This Row],[Time to expiration]]))</f>
        <v>#NUM!</v>
      </c>
      <c r="Y647" s="30" t="e">
        <f ca="1">IF(Table20[[#This Row],[Direction]]&gt;0, _xlfn.NORM.S.DIST(Table20[[#This Row],[d1]], TRUE), _xlfn.NORM.S.DIST(Table20[[#This Row],[d1]], TRUE) - 1) * Table20[[#This Row],[Buy or Sell]]</f>
        <v>#NUM!</v>
      </c>
      <c r="Z647" s="9">
        <f ca="1">Table20[[#This Row],[Remaining]]*Table20[[#This Row],[Current Price]]*100</f>
        <v>0</v>
      </c>
      <c r="AA647" s="22">
        <f ca="1">IFERROR(Table20[[#This Row],[nominal_exposure]]*Table20[[#This Row],[Delta]],0)</f>
        <v>0</v>
      </c>
      <c r="AB647" s="30" t="b">
        <f>IF(Table20[[#This Row],[date_purchased]]&lt;&gt;Table20[[#This Row],[Expiration Date]],FALSE,TRUE)</f>
        <v>0</v>
      </c>
      <c r="AC647" s="30" t="str">
        <f>VLOOKUP(Table20[[#This Row],[Asset]],Table19[#All],3,FALSE)</f>
        <v>Auto</v>
      </c>
      <c r="AD647" s="30">
        <f>IF(Table20[[#This Row],[Remaining]]&lt;&gt;0,Table20[[#This Row],[Invested]]*Table20[[#This Row],[Remaining]]/Table20[[#This Row],[Number of options]],0)</f>
        <v>0</v>
      </c>
      <c r="AE647" s="30">
        <f ca="1">SUMIF(Table20[Ticker],Table20[[#This Row],[Ticker]],Table20[realized_profit])</f>
        <v>4153</v>
      </c>
      <c r="AF647" s="30" t="str">
        <f>VLOOKUP(Table20[[#This Row],[Strategy]],Table29[#All],7,FALSE)</f>
        <v>Bearish</v>
      </c>
    </row>
    <row r="648" spans="1:32" hidden="1">
      <c r="A648" s="180">
        <v>45828</v>
      </c>
      <c r="B648" s="21" t="e" vm="29">
        <v>#VALUE!</v>
      </c>
      <c r="C648" s="109" t="str" cm="1">
        <f t="array" aca="1" ref="C648" ca="1">_FV(Table20[[#This Row],[Asset]],"Ticker symbol",TRUE)</f>
        <v>NVDA</v>
      </c>
      <c r="D648" s="26" cm="1">
        <f t="array" aca="1" ref="D648" ca="1">_FV(Table20[[#This Row],[Asset]],"Price")</f>
        <v>180.405</v>
      </c>
      <c r="E648" s="26">
        <v>150</v>
      </c>
      <c r="F648" s="33">
        <v>2</v>
      </c>
      <c r="G648" s="34">
        <v>1</v>
      </c>
      <c r="H648" s="34" t="s">
        <v>113</v>
      </c>
      <c r="I648" s="31">
        <v>45818</v>
      </c>
      <c r="J648" s="26">
        <v>1.07</v>
      </c>
      <c r="K648" s="24">
        <v>0.34</v>
      </c>
      <c r="L648" s="33">
        <f>VLOOKUP(Table20[[#This Row],[Strategy]],Table29[#All],6,FALSE)</f>
        <v>1</v>
      </c>
      <c r="M648" s="23">
        <v>2</v>
      </c>
      <c r="N648" s="23">
        <v>0.7</v>
      </c>
      <c r="O648" s="23"/>
      <c r="P648" s="23"/>
      <c r="Q648">
        <f>Table20[[#This Row],[Exit1]]*Table20[[#This Row],[ex1_price]]</f>
        <v>1.4</v>
      </c>
      <c r="R648">
        <f>Table20[[#This Row],[Exit2]]*Table20[[#This Row],[ex2_price]]</f>
        <v>0</v>
      </c>
      <c r="S648">
        <f>IFERROR((Table20[[#This Row],[ex2_amnt]]+Table20[[#This Row],[ex1_amnt]])/(Table20[[#This Row],[Exit2]]+Table20[[#This Row],[Exit1]]),0)</f>
        <v>0.7</v>
      </c>
      <c r="T648" s="5">
        <f>(Table20[[#This Row],[Exit1]]+Table20[[#This Row],[Exit2]])*(Table20[[#This Row],[avg_exit_price]]-Table20[[#This Row],[AvePrice]])*100*Table20[[#This Row],[Buy or Sell]]</f>
        <v>-74.000000000000028</v>
      </c>
      <c r="U648" s="5">
        <f>Table20[[#This Row],[Number of options]]*Table20[[#This Row],[AvePrice]]*100*Table20[[#This Row],[Buy or Sell]]</f>
        <v>214</v>
      </c>
      <c r="V648" s="8">
        <f>Table20[[#This Row],[Number of options]]-Table20[[#This Row],[Exit1]]-Table20[[#This Row],[Exit2]]</f>
        <v>0</v>
      </c>
      <c r="W648" s="30">
        <f ca="1">(Table20[[#This Row],[Expiration Date]]-TODAY())/365</f>
        <v>-0.76438356164383559</v>
      </c>
      <c r="X648" s="30" t="e">
        <f ca="1">(LN(Table20[[#This Row],[Current Price]]/Table20[[#This Row],[strike_price]]) + ($B$2 + (Table20[[#This Row],[Vol]]^2)/2)*Table20[[#This Row],[Time to expiration]]) / (Table20[[#This Row],[Vol]] * SQRT(Table20[[#This Row],[Time to expiration]]))</f>
        <v>#NUM!</v>
      </c>
      <c r="Y648" s="30" t="e">
        <f ca="1">IF(Table20[[#This Row],[Direction]]&gt;0, _xlfn.NORM.S.DIST(Table20[[#This Row],[d1]], TRUE), _xlfn.NORM.S.DIST(Table20[[#This Row],[d1]], TRUE) - 1) * Table20[[#This Row],[Buy or Sell]]</f>
        <v>#NUM!</v>
      </c>
      <c r="Z648" s="9">
        <f ca="1">Table20[[#This Row],[Remaining]]*Table20[[#This Row],[Current Price]]*100</f>
        <v>0</v>
      </c>
      <c r="AA648" s="22">
        <f ca="1">IFERROR(Table20[[#This Row],[nominal_exposure]]*Table20[[#This Row],[Delta]],0)</f>
        <v>0</v>
      </c>
      <c r="AB648" s="30" t="b">
        <f>IF(Table20[[#This Row],[date_purchased]]&lt;&gt;Table20[[#This Row],[Expiration Date]],FALSE,TRUE)</f>
        <v>0</v>
      </c>
      <c r="AC648" s="30" t="str">
        <f>VLOOKUP(Table20[[#This Row],[Asset]],Table19[#All],3,FALSE)</f>
        <v>AI</v>
      </c>
      <c r="AD648" s="30">
        <f>IF(Table20[[#This Row],[Remaining]]&lt;&gt;0,Table20[[#This Row],[Invested]]*Table20[[#This Row],[Remaining]]/Table20[[#This Row],[Number of options]],0)</f>
        <v>0</v>
      </c>
      <c r="AE648" s="30">
        <f ca="1">SUMIF(Table20[Ticker],Table20[[#This Row],[Ticker]],Table20[realized_profit])</f>
        <v>-637.99999999999955</v>
      </c>
      <c r="AF648" s="30" t="str">
        <f>VLOOKUP(Table20[[#This Row],[Strategy]],Table29[#All],7,FALSE)</f>
        <v>Bullish</v>
      </c>
    </row>
    <row r="649" spans="1:32" hidden="1">
      <c r="A649" s="180">
        <v>45856</v>
      </c>
      <c r="B649" s="21" t="e" vm="38">
        <v>#VALUE!</v>
      </c>
      <c r="C649" s="109" t="str" cm="1">
        <f t="array" aca="1" ref="C649" ca="1">_FV(Table20[[#This Row],[Asset]],"Ticker symbol",TRUE)</f>
        <v>FSLR</v>
      </c>
      <c r="D649" s="26" cm="1">
        <f t="array" aca="1" ref="D649" ca="1">_FV(Table20[[#This Row],[Asset]],"Price")</f>
        <v>195.77500000000001</v>
      </c>
      <c r="E649" s="26">
        <v>200</v>
      </c>
      <c r="F649" s="33">
        <v>1</v>
      </c>
      <c r="G649" s="34">
        <v>1</v>
      </c>
      <c r="H649" s="34" t="s">
        <v>114</v>
      </c>
      <c r="I649" s="31">
        <v>45813</v>
      </c>
      <c r="J649" s="26">
        <v>3.9</v>
      </c>
      <c r="K649" s="24">
        <v>0.66</v>
      </c>
      <c r="L649" s="33">
        <f>VLOOKUP(Table20[[#This Row],[Strategy]],Table29[#All],6,FALSE)</f>
        <v>1</v>
      </c>
      <c r="M649" s="23">
        <v>1</v>
      </c>
      <c r="N649" s="23">
        <v>3.69</v>
      </c>
      <c r="O649" s="23"/>
      <c r="P649" s="23"/>
      <c r="Q649">
        <f>Table20[[#This Row],[Exit1]]*Table20[[#This Row],[ex1_price]]</f>
        <v>3.69</v>
      </c>
      <c r="R649">
        <f>Table20[[#This Row],[Exit2]]*Table20[[#This Row],[ex2_price]]</f>
        <v>0</v>
      </c>
      <c r="S649">
        <f>IFERROR((Table20[[#This Row],[ex2_amnt]]+Table20[[#This Row],[ex1_amnt]])/(Table20[[#This Row],[Exit2]]+Table20[[#This Row],[Exit1]]),0)</f>
        <v>3.69</v>
      </c>
      <c r="T649" s="5">
        <f>(Table20[[#This Row],[Exit1]]+Table20[[#This Row],[Exit2]])*(Table20[[#This Row],[avg_exit_price]]-Table20[[#This Row],[AvePrice]])*100*Table20[[#This Row],[Buy or Sell]]</f>
        <v>-20.999999999999996</v>
      </c>
      <c r="U649" s="5">
        <f>Table20[[#This Row],[Number of options]]*Table20[[#This Row],[AvePrice]]*100*Table20[[#This Row],[Buy or Sell]]</f>
        <v>390</v>
      </c>
      <c r="V649" s="8">
        <f>Table20[[#This Row],[Number of options]]-Table20[[#This Row],[Exit1]]-Table20[[#This Row],[Exit2]]</f>
        <v>0</v>
      </c>
      <c r="W649" s="30">
        <f ca="1">(Table20[[#This Row],[Expiration Date]]-TODAY())/365</f>
        <v>-0.68767123287671228</v>
      </c>
      <c r="X649" s="30" t="e">
        <f ca="1">(LN(Table20[[#This Row],[Current Price]]/Table20[[#This Row],[strike_price]]) + ($B$2 + (Table20[[#This Row],[Vol]]^2)/2)*Table20[[#This Row],[Time to expiration]]) / (Table20[[#This Row],[Vol]] * SQRT(Table20[[#This Row],[Time to expiration]]))</f>
        <v>#NUM!</v>
      </c>
      <c r="Y649" s="30" t="e">
        <f ca="1">IF(Table20[[#This Row],[Direction]]&gt;0, _xlfn.NORM.S.DIST(Table20[[#This Row],[d1]], TRUE), _xlfn.NORM.S.DIST(Table20[[#This Row],[d1]], TRUE) - 1) * Table20[[#This Row],[Buy or Sell]]</f>
        <v>#NUM!</v>
      </c>
      <c r="Z649" s="9">
        <f ca="1">Table20[[#This Row],[Remaining]]*Table20[[#This Row],[Current Price]]*100</f>
        <v>0</v>
      </c>
      <c r="AA649" s="22">
        <f ca="1">IFERROR(Table20[[#This Row],[nominal_exposure]]*Table20[[#This Row],[Delta]],0)</f>
        <v>0</v>
      </c>
      <c r="AB649" s="30" t="b">
        <f>IF(Table20[[#This Row],[date_purchased]]&lt;&gt;Table20[[#This Row],[Expiration Date]],FALSE,TRUE)</f>
        <v>0</v>
      </c>
      <c r="AC649" s="30" t="str">
        <f>VLOOKUP(Table20[[#This Row],[Asset]],Table19[#All],3,FALSE)</f>
        <v>Industrials</v>
      </c>
      <c r="AD649" s="30">
        <f>IF(Table20[[#This Row],[Remaining]]&lt;&gt;0,Table20[[#This Row],[Invested]]*Table20[[#This Row],[Remaining]]/Table20[[#This Row],[Number of options]],0)</f>
        <v>0</v>
      </c>
      <c r="AE649" s="30">
        <f ca="1">SUMIF(Table20[Ticker],Table20[[#This Row],[Ticker]],Table20[realized_profit])</f>
        <v>94.999999999999986</v>
      </c>
      <c r="AF649" s="30" t="str">
        <f>VLOOKUP(Table20[[#This Row],[Strategy]],Table29[#All],7,FALSE)</f>
        <v>Bullish</v>
      </c>
    </row>
    <row r="650" spans="1:32" hidden="1">
      <c r="A650" s="180">
        <v>45856</v>
      </c>
      <c r="B650" s="21" t="e" vm="38">
        <v>#VALUE!</v>
      </c>
      <c r="C650" s="109" t="str" cm="1">
        <f t="array" aca="1" ref="C650" ca="1">_FV(Table20[[#This Row],[Asset]],"Ticker symbol",TRUE)</f>
        <v>FSLR</v>
      </c>
      <c r="D650" s="26" cm="1">
        <f t="array" aca="1" ref="D650" ca="1">_FV(Table20[[#This Row],[Asset]],"Price")</f>
        <v>195.77500000000001</v>
      </c>
      <c r="E650" s="26">
        <v>240</v>
      </c>
      <c r="F650" s="33">
        <v>1</v>
      </c>
      <c r="G650" s="34">
        <v>-1</v>
      </c>
      <c r="H650" s="34" t="s">
        <v>114</v>
      </c>
      <c r="I650" s="31">
        <v>45813</v>
      </c>
      <c r="J650" s="26">
        <v>0.99</v>
      </c>
      <c r="K650" s="24">
        <v>0.66</v>
      </c>
      <c r="L650" s="33">
        <f>VLOOKUP(Table20[[#This Row],[Strategy]],Table29[#All],6,FALSE)</f>
        <v>1</v>
      </c>
      <c r="M650" s="23">
        <v>1</v>
      </c>
      <c r="N650" s="23">
        <v>0.63</v>
      </c>
      <c r="O650" s="23"/>
      <c r="P650" s="23"/>
      <c r="Q650">
        <f>Table20[[#This Row],[Exit1]]*Table20[[#This Row],[ex1_price]]</f>
        <v>0.63</v>
      </c>
      <c r="R650">
        <f>Table20[[#This Row],[Exit2]]*Table20[[#This Row],[ex2_price]]</f>
        <v>0</v>
      </c>
      <c r="S650">
        <f>IFERROR((Table20[[#This Row],[ex2_amnt]]+Table20[[#This Row],[ex1_amnt]])/(Table20[[#This Row],[Exit2]]+Table20[[#This Row],[Exit1]]),0)</f>
        <v>0.63</v>
      </c>
      <c r="T650" s="5">
        <f>(Table20[[#This Row],[Exit1]]+Table20[[#This Row],[Exit2]])*(Table20[[#This Row],[avg_exit_price]]-Table20[[#This Row],[AvePrice]])*100*Table20[[#This Row],[Buy or Sell]]</f>
        <v>36</v>
      </c>
      <c r="U650" s="5">
        <f>Table20[[#This Row],[Number of options]]*Table20[[#This Row],[AvePrice]]*100*Table20[[#This Row],[Buy or Sell]]</f>
        <v>-99</v>
      </c>
      <c r="V650" s="8">
        <f>Table20[[#This Row],[Number of options]]-Table20[[#This Row],[Exit1]]-Table20[[#This Row],[Exit2]]</f>
        <v>0</v>
      </c>
      <c r="W650" s="30">
        <f ca="1">(Table20[[#This Row],[Expiration Date]]-TODAY())/365</f>
        <v>-0.68767123287671228</v>
      </c>
      <c r="X650" s="30" t="e">
        <f ca="1">(LN(Table20[[#This Row],[Current Price]]/Table20[[#This Row],[strike_price]]) + ($B$2 + (Table20[[#This Row],[Vol]]^2)/2)*Table20[[#This Row],[Time to expiration]]) / (Table20[[#This Row],[Vol]] * SQRT(Table20[[#This Row],[Time to expiration]]))</f>
        <v>#NUM!</v>
      </c>
      <c r="Y650" s="30" t="e">
        <f ca="1">IF(Table20[[#This Row],[Direction]]&gt;0, _xlfn.NORM.S.DIST(Table20[[#This Row],[d1]], TRUE), _xlfn.NORM.S.DIST(Table20[[#This Row],[d1]], TRUE) - 1) * Table20[[#This Row],[Buy or Sell]]</f>
        <v>#NUM!</v>
      </c>
      <c r="Z650" s="9">
        <f ca="1">Table20[[#This Row],[Remaining]]*Table20[[#This Row],[Current Price]]*100</f>
        <v>0</v>
      </c>
      <c r="AA650" s="22">
        <f ca="1">IFERROR(Table20[[#This Row],[nominal_exposure]]*Table20[[#This Row],[Delta]],0)</f>
        <v>0</v>
      </c>
      <c r="AB650" s="30" t="b">
        <f>IF(Table20[[#This Row],[date_purchased]]&lt;&gt;Table20[[#This Row],[Expiration Date]],FALSE,TRUE)</f>
        <v>0</v>
      </c>
      <c r="AC650" s="30" t="str">
        <f>VLOOKUP(Table20[[#This Row],[Asset]],Table19[#All],3,FALSE)</f>
        <v>Industrials</v>
      </c>
      <c r="AD650" s="30">
        <f>IF(Table20[[#This Row],[Remaining]]&lt;&gt;0,Table20[[#This Row],[Invested]]*Table20[[#This Row],[Remaining]]/Table20[[#This Row],[Number of options]],0)</f>
        <v>0</v>
      </c>
      <c r="AE650" s="30">
        <f ca="1">SUMIF(Table20[Ticker],Table20[[#This Row],[Ticker]],Table20[realized_profit])</f>
        <v>94.999999999999986</v>
      </c>
      <c r="AF650" s="30" t="str">
        <f>VLOOKUP(Table20[[#This Row],[Strategy]],Table29[#All],7,FALSE)</f>
        <v>Bullish</v>
      </c>
    </row>
    <row r="651" spans="1:32" hidden="1">
      <c r="A651" s="180">
        <v>45800</v>
      </c>
      <c r="B651" s="21" t="e" vm="139">
        <v>#VALUE!</v>
      </c>
      <c r="C651" s="109" t="str" cm="1">
        <f t="array" aca="1" ref="C651" ca="1">_FV(Table20[[#This Row],[Asset]],"Ticker symbol",TRUE)</f>
        <v>WMT</v>
      </c>
      <c r="D651" s="26" cm="1">
        <f t="array" aca="1" ref="D651" ca="1">_FV(Table20[[#This Row],[Asset]],"Price")</f>
        <v>122.55500000000001</v>
      </c>
      <c r="E651" s="26">
        <v>96</v>
      </c>
      <c r="F651" s="33">
        <v>2</v>
      </c>
      <c r="G651" s="34">
        <v>1</v>
      </c>
      <c r="H651" s="34" t="s">
        <v>65</v>
      </c>
      <c r="I651" s="31">
        <v>45798</v>
      </c>
      <c r="J651" s="26">
        <v>0.56999999999999995</v>
      </c>
      <c r="K651" s="24"/>
      <c r="L651" s="33">
        <f>VLOOKUP(Table20[[#This Row],[Strategy]],Table29[#All],6,FALSE)</f>
        <v>-1</v>
      </c>
      <c r="M651" s="23">
        <v>2</v>
      </c>
      <c r="N651" s="23">
        <v>0.36</v>
      </c>
      <c r="O651" s="23"/>
      <c r="P651" s="23"/>
      <c r="Q651">
        <f>Table20[[#This Row],[Exit1]]*Table20[[#This Row],[ex1_price]]</f>
        <v>0.72</v>
      </c>
      <c r="R651">
        <f>Table20[[#This Row],[Exit2]]*Table20[[#This Row],[ex2_price]]</f>
        <v>0</v>
      </c>
      <c r="S651">
        <f>IFERROR((Table20[[#This Row],[ex2_amnt]]+Table20[[#This Row],[ex1_amnt]])/(Table20[[#This Row],[Exit2]]+Table20[[#This Row],[Exit1]]),0)</f>
        <v>0.36</v>
      </c>
      <c r="T651" s="5">
        <f>(Table20[[#This Row],[Exit1]]+Table20[[#This Row],[Exit2]])*(Table20[[#This Row],[avg_exit_price]]-Table20[[#This Row],[AvePrice]])*100*Table20[[#This Row],[Buy or Sell]]</f>
        <v>-41.999999999999993</v>
      </c>
      <c r="U651" s="5">
        <f>Table20[[#This Row],[Number of options]]*Table20[[#This Row],[AvePrice]]*100*Table20[[#This Row],[Buy or Sell]]</f>
        <v>113.99999999999999</v>
      </c>
      <c r="V651" s="8">
        <f>Table20[[#This Row],[Number of options]]-Table20[[#This Row],[Exit1]]-Table20[[#This Row],[Exit2]]</f>
        <v>0</v>
      </c>
      <c r="W651" s="30">
        <f ca="1">(Table20[[#This Row],[Expiration Date]]-TODAY())/365</f>
        <v>-0.84109589041095889</v>
      </c>
      <c r="X651" s="30" t="e">
        <f ca="1">(LN(Table20[[#This Row],[Current Price]]/Table20[[#This Row],[strike_price]]) + ($B$2 + (Table20[[#This Row],[Vol]]^2)/2)*Table20[[#This Row],[Time to expiration]]) / (Table20[[#This Row],[Vol]] * SQRT(Table20[[#This Row],[Time to expiration]]))</f>
        <v>#NUM!</v>
      </c>
      <c r="Y651" s="30" t="e">
        <f ca="1">IF(Table20[[#This Row],[Direction]]&gt;0, _xlfn.NORM.S.DIST(Table20[[#This Row],[d1]], TRUE), _xlfn.NORM.S.DIST(Table20[[#This Row],[d1]], TRUE) - 1) * Table20[[#This Row],[Buy or Sell]]</f>
        <v>#NUM!</v>
      </c>
      <c r="Z651" s="9">
        <f ca="1">Table20[[#This Row],[Remaining]]*Table20[[#This Row],[Current Price]]*100</f>
        <v>0</v>
      </c>
      <c r="AA651" s="22">
        <f ca="1">IFERROR(Table20[[#This Row],[nominal_exposure]]*Table20[[#This Row],[Delta]],0)</f>
        <v>0</v>
      </c>
      <c r="AB651" s="30" t="b">
        <f>IF(Table20[[#This Row],[date_purchased]]&lt;&gt;Table20[[#This Row],[Expiration Date]],FALSE,TRUE)</f>
        <v>0</v>
      </c>
      <c r="AC651" s="30" t="str">
        <f>VLOOKUP(Table20[[#This Row],[Asset]],Table19[#All],3,FALSE)</f>
        <v>Consumer Staples</v>
      </c>
      <c r="AD651" s="30">
        <f>IF(Table20[[#This Row],[Remaining]]&lt;&gt;0,Table20[[#This Row],[Invested]]*Table20[[#This Row],[Remaining]]/Table20[[#This Row],[Number of options]],0)</f>
        <v>0</v>
      </c>
      <c r="AE651" s="30">
        <f ca="1">SUMIF(Table20[Ticker],Table20[[#This Row],[Ticker]],Table20[realized_profit])</f>
        <v>-838.16</v>
      </c>
      <c r="AF651" s="30" t="str">
        <f>VLOOKUP(Table20[[#This Row],[Strategy]],Table29[#All],7,FALSE)</f>
        <v>Bearish</v>
      </c>
    </row>
    <row r="652" spans="1:32" hidden="1">
      <c r="A652" s="180">
        <v>45856</v>
      </c>
      <c r="B652" s="21" t="e" vm="563">
        <v>#VALUE!</v>
      </c>
      <c r="C652" s="109" t="str" cm="1">
        <f t="array" aca="1" ref="C652" ca="1">_FV(Table20[[#This Row],[Asset]],"Ticker symbol",TRUE)</f>
        <v>PLTR</v>
      </c>
      <c r="D652" s="26" cm="1">
        <f t="array" aca="1" ref="D652" ca="1">_FV(Table20[[#This Row],[Asset]],"Price")</f>
        <v>158.88999999999999</v>
      </c>
      <c r="E652" s="26">
        <v>100</v>
      </c>
      <c r="F652" s="33">
        <v>2</v>
      </c>
      <c r="G652" s="34">
        <v>1</v>
      </c>
      <c r="H652" s="34" t="s">
        <v>65</v>
      </c>
      <c r="I652" s="31">
        <v>45814</v>
      </c>
      <c r="J652" s="26">
        <v>2.16</v>
      </c>
      <c r="K652" s="24">
        <v>0.66420000000000001</v>
      </c>
      <c r="L652" s="33">
        <f>VLOOKUP(Table20[[#This Row],[Strategy]],Table29[#All],6,FALSE)</f>
        <v>-1</v>
      </c>
      <c r="M652" s="23">
        <v>2</v>
      </c>
      <c r="N652" s="23">
        <v>0.3</v>
      </c>
      <c r="O652" s="23"/>
      <c r="P652" s="23"/>
      <c r="Q652">
        <f>Table20[[#This Row],[Exit1]]*Table20[[#This Row],[ex1_price]]</f>
        <v>0.6</v>
      </c>
      <c r="R652">
        <f>Table20[[#This Row],[Exit2]]*Table20[[#This Row],[ex2_price]]</f>
        <v>0</v>
      </c>
      <c r="S652">
        <f>IFERROR((Table20[[#This Row],[ex2_amnt]]+Table20[[#This Row],[ex1_amnt]])/(Table20[[#This Row],[Exit2]]+Table20[[#This Row],[Exit1]]),0)</f>
        <v>0.3</v>
      </c>
      <c r="T652" s="5">
        <f>(Table20[[#This Row],[Exit1]]+Table20[[#This Row],[Exit2]])*(Table20[[#This Row],[avg_exit_price]]-Table20[[#This Row],[AvePrice]])*100*Table20[[#This Row],[Buy or Sell]]</f>
        <v>-372</v>
      </c>
      <c r="U652" s="5">
        <f>Table20[[#This Row],[Number of options]]*Table20[[#This Row],[AvePrice]]*100*Table20[[#This Row],[Buy or Sell]]</f>
        <v>432</v>
      </c>
      <c r="V652" s="8">
        <f>Table20[[#This Row],[Number of options]]-Table20[[#This Row],[Exit1]]-Table20[[#This Row],[Exit2]]</f>
        <v>0</v>
      </c>
      <c r="W652" s="30">
        <f ca="1">(Table20[[#This Row],[Expiration Date]]-TODAY())/365</f>
        <v>-0.68767123287671228</v>
      </c>
      <c r="X652" s="30" t="e">
        <f ca="1">(LN(Table20[[#This Row],[Current Price]]/Table20[[#This Row],[strike_price]]) + ($B$2 + (Table20[[#This Row],[Vol]]^2)/2)*Table20[[#This Row],[Time to expiration]]) / (Table20[[#This Row],[Vol]] * SQRT(Table20[[#This Row],[Time to expiration]]))</f>
        <v>#NUM!</v>
      </c>
      <c r="Y652" s="30" t="e">
        <f ca="1">IF(Table20[[#This Row],[Direction]]&gt;0, _xlfn.NORM.S.DIST(Table20[[#This Row],[d1]], TRUE), _xlfn.NORM.S.DIST(Table20[[#This Row],[d1]], TRUE) - 1) * Table20[[#This Row],[Buy or Sell]]</f>
        <v>#NUM!</v>
      </c>
      <c r="Z652" s="9">
        <f ca="1">Table20[[#This Row],[Remaining]]*Table20[[#This Row],[Current Price]]*100</f>
        <v>0</v>
      </c>
      <c r="AA652" s="22">
        <f ca="1">IFERROR(Table20[[#This Row],[nominal_exposure]]*Table20[[#This Row],[Delta]],0)</f>
        <v>0</v>
      </c>
      <c r="AB652" s="30" t="b">
        <f>IF(Table20[[#This Row],[date_purchased]]&lt;&gt;Table20[[#This Row],[Expiration Date]],FALSE,TRUE)</f>
        <v>0</v>
      </c>
      <c r="AC652" s="30" t="str">
        <f>VLOOKUP(Table20[[#This Row],[Asset]],Table19[#All],3,FALSE)</f>
        <v>AI</v>
      </c>
      <c r="AD652" s="30">
        <f>IF(Table20[[#This Row],[Remaining]]&lt;&gt;0,Table20[[#This Row],[Invested]]*Table20[[#This Row],[Remaining]]/Table20[[#This Row],[Number of options]],0)</f>
        <v>0</v>
      </c>
      <c r="AE652" s="30">
        <f ca="1">SUMIF(Table20[Ticker],Table20[[#This Row],[Ticker]],Table20[realized_profit])</f>
        <v>-492</v>
      </c>
      <c r="AF652" s="30" t="str">
        <f>VLOOKUP(Table20[[#This Row],[Strategy]],Table29[#All],7,FALSE)</f>
        <v>Bearish</v>
      </c>
    </row>
    <row r="653" spans="1:32" hidden="1">
      <c r="A653" s="180">
        <v>45856</v>
      </c>
      <c r="B653" s="21" t="e" vm="84">
        <v>#VALUE!</v>
      </c>
      <c r="C653" s="109" t="str" cm="1">
        <f t="array" aca="1" ref="C653" ca="1">_FV(Table20[[#This Row],[Asset]],"Ticker symbol",TRUE)</f>
        <v>COIN</v>
      </c>
      <c r="D653" s="26" cm="1">
        <f t="array" aca="1" ref="D653" ca="1">_FV(Table20[[#This Row],[Asset]],"Price")</f>
        <v>188</v>
      </c>
      <c r="E653" s="26">
        <v>370</v>
      </c>
      <c r="F653" s="33">
        <v>1</v>
      </c>
      <c r="G653" s="34">
        <v>-1</v>
      </c>
      <c r="H653" s="34" t="s">
        <v>115</v>
      </c>
      <c r="I653" s="31">
        <v>45817</v>
      </c>
      <c r="J653" s="26">
        <v>0.97</v>
      </c>
      <c r="K653" s="24">
        <v>0.66</v>
      </c>
      <c r="L653" s="33">
        <f>VLOOKUP(Table20[[#This Row],[Strategy]],Table29[#All],6,FALSE)</f>
        <v>1</v>
      </c>
      <c r="M653" s="23">
        <v>1</v>
      </c>
      <c r="N653" s="23">
        <v>12.35</v>
      </c>
      <c r="O653" s="23"/>
      <c r="P653" s="23"/>
      <c r="Q653">
        <f>Table20[[#This Row],[Exit1]]*Table20[[#This Row],[ex1_price]]</f>
        <v>12.35</v>
      </c>
      <c r="R653">
        <f>Table20[[#This Row],[Exit2]]*Table20[[#This Row],[ex2_price]]</f>
        <v>0</v>
      </c>
      <c r="S653">
        <f>IFERROR((Table20[[#This Row],[ex2_amnt]]+Table20[[#This Row],[ex1_amnt]])/(Table20[[#This Row],[Exit2]]+Table20[[#This Row],[Exit1]]),0)</f>
        <v>12.35</v>
      </c>
      <c r="T653" s="5">
        <f>(Table20[[#This Row],[Exit1]]+Table20[[#This Row],[Exit2]])*(Table20[[#This Row],[avg_exit_price]]-Table20[[#This Row],[AvePrice]])*100*Table20[[#This Row],[Buy or Sell]]</f>
        <v>-1138</v>
      </c>
      <c r="U653" s="5">
        <f>Table20[[#This Row],[Number of options]]*Table20[[#This Row],[AvePrice]]*100*Table20[[#This Row],[Buy or Sell]]</f>
        <v>-97</v>
      </c>
      <c r="V653" s="8">
        <f>Table20[[#This Row],[Number of options]]-Table20[[#This Row],[Exit1]]-Table20[[#This Row],[Exit2]]</f>
        <v>0</v>
      </c>
      <c r="W653" s="30">
        <f ca="1">(Table20[[#This Row],[Expiration Date]]-TODAY())/365</f>
        <v>-0.68767123287671228</v>
      </c>
      <c r="X653" s="30" t="e">
        <f ca="1">(LN(Table20[[#This Row],[Current Price]]/Table20[[#This Row],[strike_price]]) + ($B$2 + (Table20[[#This Row],[Vol]]^2)/2)*Table20[[#This Row],[Time to expiration]]) / (Table20[[#This Row],[Vol]] * SQRT(Table20[[#This Row],[Time to expiration]]))</f>
        <v>#NUM!</v>
      </c>
      <c r="Y653" s="30" t="e">
        <f ca="1">IF(Table20[[#This Row],[Direction]]&gt;0, _xlfn.NORM.S.DIST(Table20[[#This Row],[d1]], TRUE), _xlfn.NORM.S.DIST(Table20[[#This Row],[d1]], TRUE) - 1) * Table20[[#This Row],[Buy or Sell]]</f>
        <v>#NUM!</v>
      </c>
      <c r="Z653" s="9">
        <f ca="1">Table20[[#This Row],[Remaining]]*Table20[[#This Row],[Current Price]]*100</f>
        <v>0</v>
      </c>
      <c r="AA653" s="22">
        <f ca="1">IFERROR(Table20[[#This Row],[nominal_exposure]]*Table20[[#This Row],[Delta]],0)</f>
        <v>0</v>
      </c>
      <c r="AB653" s="30" t="b">
        <f>IF(Table20[[#This Row],[date_purchased]]&lt;&gt;Table20[[#This Row],[Expiration Date]],FALSE,TRUE)</f>
        <v>0</v>
      </c>
      <c r="AC653" s="30" t="str">
        <f>VLOOKUP(Table20[[#This Row],[Asset]],Table19[#All],3,FALSE)</f>
        <v>Financials</v>
      </c>
      <c r="AD653" s="30">
        <f>IF(Table20[[#This Row],[Remaining]]&lt;&gt;0,Table20[[#This Row],[Invested]]*Table20[[#This Row],[Remaining]]/Table20[[#This Row],[Number of options]],0)</f>
        <v>0</v>
      </c>
      <c r="AE653" s="30">
        <f ca="1">SUMIF(Table20[Ticker],Table20[[#This Row],[Ticker]],Table20[realized_profit])</f>
        <v>4035</v>
      </c>
      <c r="AF653" s="30" t="str">
        <f>VLOOKUP(Table20[[#This Row],[Strategy]],Table29[#All],7,FALSE)</f>
        <v>Bullish</v>
      </c>
    </row>
    <row r="654" spans="1:32" hidden="1">
      <c r="A654" s="180">
        <v>45863</v>
      </c>
      <c r="B654" s="21" t="e" vm="11">
        <v>#VALUE!</v>
      </c>
      <c r="C654" s="109" t="str" cm="1">
        <f t="array" aca="1" ref="C654" ca="1">_FV(Table20[[#This Row],[Asset]],"Ticker symbol",TRUE)</f>
        <v>AMZN</v>
      </c>
      <c r="D654" s="26" cm="1">
        <f t="array" aca="1" ref="D654" ca="1">_FV(Table20[[#This Row],[Asset]],"Price")</f>
        <v>212.15</v>
      </c>
      <c r="E654" s="26">
        <v>240</v>
      </c>
      <c r="F654" s="33">
        <v>2</v>
      </c>
      <c r="G654" s="34">
        <v>1</v>
      </c>
      <c r="H654" s="34" t="s">
        <v>113</v>
      </c>
      <c r="I654" s="31">
        <v>45813</v>
      </c>
      <c r="J654" s="26">
        <v>0.95</v>
      </c>
      <c r="K654" s="24">
        <v>0.25879999999999997</v>
      </c>
      <c r="L654" s="33">
        <f>VLOOKUP(Table20[[#This Row],[Strategy]],Table29[#All],6,FALSE)</f>
        <v>1</v>
      </c>
      <c r="M654" s="23">
        <v>2</v>
      </c>
      <c r="N654" s="23">
        <v>0.86</v>
      </c>
      <c r="O654" s="23"/>
      <c r="P654" s="23"/>
      <c r="Q654">
        <f>Table20[[#This Row],[Exit1]]*Table20[[#This Row],[ex1_price]]</f>
        <v>1.72</v>
      </c>
      <c r="R654">
        <f>Table20[[#This Row],[Exit2]]*Table20[[#This Row],[ex2_price]]</f>
        <v>0</v>
      </c>
      <c r="S654">
        <f>IFERROR((Table20[[#This Row],[ex2_amnt]]+Table20[[#This Row],[ex1_amnt]])/(Table20[[#This Row],[Exit2]]+Table20[[#This Row],[Exit1]]),0)</f>
        <v>0.86</v>
      </c>
      <c r="T654" s="5">
        <f>(Table20[[#This Row],[Exit1]]+Table20[[#This Row],[Exit2]])*(Table20[[#This Row],[avg_exit_price]]-Table20[[#This Row],[AvePrice]])*100*Table20[[#This Row],[Buy or Sell]]</f>
        <v>-17.999999999999993</v>
      </c>
      <c r="U654" s="5">
        <f>Table20[[#This Row],[Number of options]]*Table20[[#This Row],[AvePrice]]*100*Table20[[#This Row],[Buy or Sell]]</f>
        <v>190</v>
      </c>
      <c r="V654" s="8">
        <f>Table20[[#This Row],[Number of options]]-Table20[[#This Row],[Exit1]]-Table20[[#This Row],[Exit2]]</f>
        <v>0</v>
      </c>
      <c r="W654" s="30">
        <f ca="1">(Table20[[#This Row],[Expiration Date]]-TODAY())/365</f>
        <v>-0.66849315068493154</v>
      </c>
      <c r="X654" s="30" t="e">
        <f ca="1">(LN(Table20[[#This Row],[Current Price]]/Table20[[#This Row],[strike_price]]) + ($B$2 + (Table20[[#This Row],[Vol]]^2)/2)*Table20[[#This Row],[Time to expiration]]) / (Table20[[#This Row],[Vol]] * SQRT(Table20[[#This Row],[Time to expiration]]))</f>
        <v>#NUM!</v>
      </c>
      <c r="Y654" s="30" t="e">
        <f ca="1">IF(Table20[[#This Row],[Direction]]&gt;0, _xlfn.NORM.S.DIST(Table20[[#This Row],[d1]], TRUE), _xlfn.NORM.S.DIST(Table20[[#This Row],[d1]], TRUE) - 1) * Table20[[#This Row],[Buy or Sell]]</f>
        <v>#NUM!</v>
      </c>
      <c r="Z654" s="9">
        <f ca="1">Table20[[#This Row],[Remaining]]*Table20[[#This Row],[Current Price]]*100</f>
        <v>0</v>
      </c>
      <c r="AA654" s="22">
        <f ca="1">IFERROR(Table20[[#This Row],[nominal_exposure]]*Table20[[#This Row],[Delta]],0)</f>
        <v>0</v>
      </c>
      <c r="AB654" s="30" t="b">
        <f>IF(Table20[[#This Row],[date_purchased]]&lt;&gt;Table20[[#This Row],[Expiration Date]],FALSE,TRUE)</f>
        <v>0</v>
      </c>
      <c r="AC654" s="30" t="str">
        <f>VLOOKUP(Table20[[#This Row],[Asset]],Table19[#All],3,FALSE)</f>
        <v>Robotics</v>
      </c>
      <c r="AD654" s="30">
        <f>IF(Table20[[#This Row],[Remaining]]&lt;&gt;0,Table20[[#This Row],[Invested]]*Table20[[#This Row],[Remaining]]/Table20[[#This Row],[Number of options]],0)</f>
        <v>0</v>
      </c>
      <c r="AE654" s="30">
        <f ca="1">SUMIF(Table20[Ticker],Table20[[#This Row],[Ticker]],Table20[realized_profit])</f>
        <v>-1350</v>
      </c>
      <c r="AF654" s="30" t="str">
        <f>VLOOKUP(Table20[[#This Row],[Strategy]],Table29[#All],7,FALSE)</f>
        <v>Bullish</v>
      </c>
    </row>
    <row r="655" spans="1:32" hidden="1">
      <c r="A655" s="180">
        <v>45884</v>
      </c>
      <c r="B655" s="21" t="e" vm="84">
        <v>#VALUE!</v>
      </c>
      <c r="C655" s="109" t="str" cm="1">
        <f t="array" aca="1" ref="C655" ca="1">_FV(Table20[[#This Row],[Asset]],"Ticker symbol",TRUE)</f>
        <v>COIN</v>
      </c>
      <c r="D655" s="26" cm="1">
        <f t="array" aca="1" ref="D655" ca="1">_FV(Table20[[#This Row],[Asset]],"Price")</f>
        <v>188</v>
      </c>
      <c r="E655" s="26">
        <v>400</v>
      </c>
      <c r="F655" s="33">
        <v>1</v>
      </c>
      <c r="G655" s="34">
        <v>1</v>
      </c>
      <c r="H655" s="34" t="s">
        <v>115</v>
      </c>
      <c r="I655" s="31">
        <v>45790</v>
      </c>
      <c r="J655" s="26">
        <v>6.25</v>
      </c>
      <c r="K655" s="24">
        <v>0.71</v>
      </c>
      <c r="L655" s="33">
        <f>VLOOKUP(Table20[[#This Row],[Strategy]],Table29[#All],6,FALSE)</f>
        <v>1</v>
      </c>
      <c r="M655" s="23">
        <v>1</v>
      </c>
      <c r="N655" s="23">
        <v>6.37</v>
      </c>
      <c r="O655" s="23"/>
      <c r="P655" s="23"/>
      <c r="Q655">
        <f>Table20[[#This Row],[Exit1]]*Table20[[#This Row],[ex1_price]]</f>
        <v>6.37</v>
      </c>
      <c r="R655">
        <f>Table20[[#This Row],[Exit2]]*Table20[[#This Row],[ex2_price]]</f>
        <v>0</v>
      </c>
      <c r="S655">
        <f>IFERROR((Table20[[#This Row],[ex2_amnt]]+Table20[[#This Row],[ex1_amnt]])/(Table20[[#This Row],[Exit2]]+Table20[[#This Row],[Exit1]]),0)</f>
        <v>6.37</v>
      </c>
      <c r="T655" s="5">
        <f>(Table20[[#This Row],[Exit1]]+Table20[[#This Row],[Exit2]])*(Table20[[#This Row],[avg_exit_price]]-Table20[[#This Row],[AvePrice]])*100*Table20[[#This Row],[Buy or Sell]]</f>
        <v>12.000000000000011</v>
      </c>
      <c r="U655" s="5">
        <f>Table20[[#This Row],[Number of options]]*Table20[[#This Row],[AvePrice]]*100*Table20[[#This Row],[Buy or Sell]]</f>
        <v>625</v>
      </c>
      <c r="V655" s="8">
        <f>Table20[[#This Row],[Number of options]]-Table20[[#This Row],[Exit1]]-Table20[[#This Row],[Exit2]]</f>
        <v>0</v>
      </c>
      <c r="W655" s="30">
        <f ca="1">(Table20[[#This Row],[Expiration Date]]-TODAY())/365</f>
        <v>-0.61095890410958908</v>
      </c>
      <c r="X655" s="30" t="e">
        <f ca="1">(LN(Table20[[#This Row],[Current Price]]/Table20[[#This Row],[strike_price]]) + ($B$2 + (Table20[[#This Row],[Vol]]^2)/2)*Table20[[#This Row],[Time to expiration]]) / (Table20[[#This Row],[Vol]] * SQRT(Table20[[#This Row],[Time to expiration]]))</f>
        <v>#NUM!</v>
      </c>
      <c r="Y655" s="30" t="e">
        <f ca="1">IF(Table20[[#This Row],[Direction]]&gt;0, _xlfn.NORM.S.DIST(Table20[[#This Row],[d1]], TRUE), _xlfn.NORM.S.DIST(Table20[[#This Row],[d1]], TRUE) - 1) * Table20[[#This Row],[Buy or Sell]]</f>
        <v>#NUM!</v>
      </c>
      <c r="Z655" s="9">
        <f ca="1">Table20[[#This Row],[Remaining]]*Table20[[#This Row],[Current Price]]*100</f>
        <v>0</v>
      </c>
      <c r="AA655" s="22">
        <f ca="1">IFERROR(Table20[[#This Row],[nominal_exposure]]*Table20[[#This Row],[Delta]],0)</f>
        <v>0</v>
      </c>
      <c r="AB655" s="30" t="b">
        <f>IF(Table20[[#This Row],[date_purchased]]&lt;&gt;Table20[[#This Row],[Expiration Date]],FALSE,TRUE)</f>
        <v>0</v>
      </c>
      <c r="AC655" s="30" t="str">
        <f>VLOOKUP(Table20[[#This Row],[Asset]],Table19[#All],3,FALSE)</f>
        <v>Financials</v>
      </c>
      <c r="AD655" s="30">
        <f>IF(Table20[[#This Row],[Remaining]]&lt;&gt;0,Table20[[#This Row],[Invested]]*Table20[[#This Row],[Remaining]]/Table20[[#This Row],[Number of options]],0)</f>
        <v>0</v>
      </c>
      <c r="AE655" s="30">
        <f ca="1">SUMIF(Table20[Ticker],Table20[[#This Row],[Ticker]],Table20[realized_profit])</f>
        <v>4035</v>
      </c>
      <c r="AF655" s="30" t="str">
        <f>VLOOKUP(Table20[[#This Row],[Strategy]],Table29[#All],7,FALSE)</f>
        <v>Bullish</v>
      </c>
    </row>
    <row r="656" spans="1:32" hidden="1">
      <c r="A656" s="180">
        <v>45919</v>
      </c>
      <c r="B656" s="21" t="e" vm="37">
        <v>#VALUE!</v>
      </c>
      <c r="C656" s="109" t="str" cm="1">
        <f t="array" aca="1" ref="C656" ca="1">_FV(Table20[[#This Row],[Asset]],"Ticker symbol",TRUE)</f>
        <v>AMD</v>
      </c>
      <c r="D656" s="26" cm="1">
        <f t="array" aca="1" ref="D656" ca="1">_FV(Table20[[#This Row],[Asset]],"Price")</f>
        <v>218.91</v>
      </c>
      <c r="E656" s="26">
        <v>140</v>
      </c>
      <c r="F656" s="33">
        <v>1</v>
      </c>
      <c r="G656" s="34">
        <v>1</v>
      </c>
      <c r="H656" s="34" t="s">
        <v>114</v>
      </c>
      <c r="I656" s="31"/>
      <c r="J656" s="26">
        <v>4.4000000000000004</v>
      </c>
      <c r="K656" s="24"/>
      <c r="L656" s="33">
        <f>VLOOKUP(Table20[[#This Row],[Strategy]],Table29[#All],6,FALSE)</f>
        <v>1</v>
      </c>
      <c r="M656" s="23">
        <v>1</v>
      </c>
      <c r="N656" s="23"/>
      <c r="O656" s="23"/>
      <c r="P656" s="23"/>
      <c r="Q656">
        <f>Table20[[#This Row],[Exit1]]*Table20[[#This Row],[ex1_price]]</f>
        <v>0</v>
      </c>
      <c r="R656">
        <f>Table20[[#This Row],[Exit2]]*Table20[[#This Row],[ex2_price]]</f>
        <v>0</v>
      </c>
      <c r="S656">
        <f>IFERROR((Table20[[#This Row],[ex2_amnt]]+Table20[[#This Row],[ex1_amnt]])/(Table20[[#This Row],[Exit2]]+Table20[[#This Row],[Exit1]]),0)</f>
        <v>0</v>
      </c>
      <c r="T656" s="5">
        <f>(Table20[[#This Row],[Exit1]]+Table20[[#This Row],[Exit2]])*(Table20[[#This Row],[avg_exit_price]]-Table20[[#This Row],[AvePrice]])*100*Table20[[#This Row],[Buy or Sell]]</f>
        <v>-440.00000000000006</v>
      </c>
      <c r="U656" s="5">
        <f>Table20[[#This Row],[Number of options]]*Table20[[#This Row],[AvePrice]]*100*Table20[[#This Row],[Buy or Sell]]</f>
        <v>440.00000000000006</v>
      </c>
      <c r="V656" s="8">
        <f>Table20[[#This Row],[Number of options]]-Table20[[#This Row],[Exit1]]-Table20[[#This Row],[Exit2]]</f>
        <v>0</v>
      </c>
      <c r="W656" s="30">
        <f ca="1">(Table20[[#This Row],[Expiration Date]]-TODAY())/365</f>
        <v>-0.51506849315068493</v>
      </c>
      <c r="X656" s="30" t="e">
        <f ca="1">(LN(Table20[[#This Row],[Current Price]]/Table20[[#This Row],[strike_price]]) + ($B$2 + (Table20[[#This Row],[Vol]]^2)/2)*Table20[[#This Row],[Time to expiration]]) / (Table20[[#This Row],[Vol]] * SQRT(Table20[[#This Row],[Time to expiration]]))</f>
        <v>#NUM!</v>
      </c>
      <c r="Y656" s="30" t="e">
        <f ca="1">IF(Table20[[#This Row],[Direction]]&gt;0, _xlfn.NORM.S.DIST(Table20[[#This Row],[d1]], TRUE), _xlfn.NORM.S.DIST(Table20[[#This Row],[d1]], TRUE) - 1) * Table20[[#This Row],[Buy or Sell]]</f>
        <v>#NUM!</v>
      </c>
      <c r="Z656" s="9">
        <f ca="1">Table20[[#This Row],[Remaining]]*Table20[[#This Row],[Current Price]]*100</f>
        <v>0</v>
      </c>
      <c r="AA656" s="22">
        <f ca="1">IFERROR(Table20[[#This Row],[nominal_exposure]]*Table20[[#This Row],[Delta]],0)</f>
        <v>0</v>
      </c>
      <c r="AB656" s="30" t="b">
        <f>IF(Table20[[#This Row],[date_purchased]]&lt;&gt;Table20[[#This Row],[Expiration Date]],FALSE,TRUE)</f>
        <v>0</v>
      </c>
      <c r="AC656" s="30" t="str">
        <f>VLOOKUP(Table20[[#This Row],[Asset]],Table19[#All],3,FALSE)</f>
        <v>AI</v>
      </c>
      <c r="AD656" s="30">
        <f>IF(Table20[[#This Row],[Remaining]]&lt;&gt;0,Table20[[#This Row],[Invested]]*Table20[[#This Row],[Remaining]]/Table20[[#This Row],[Number of options]],0)</f>
        <v>0</v>
      </c>
      <c r="AE656" s="30">
        <f ca="1">SUMIF(Table20[Ticker],Table20[[#This Row],[Ticker]],Table20[realized_profit])</f>
        <v>1567</v>
      </c>
      <c r="AF656" s="30" t="str">
        <f>VLOOKUP(Table20[[#This Row],[Strategy]],Table29[#All],7,FALSE)</f>
        <v>Bullish</v>
      </c>
    </row>
    <row r="657" spans="1:32" hidden="1">
      <c r="A657" s="180">
        <v>45919</v>
      </c>
      <c r="B657" s="21" t="e" vm="37">
        <v>#VALUE!</v>
      </c>
      <c r="C657" s="109" t="str" cm="1">
        <f t="array" aca="1" ref="C657" ca="1">_FV(Table20[[#This Row],[Asset]],"Ticker symbol",TRUE)</f>
        <v>AMD</v>
      </c>
      <c r="D657" s="26" cm="1">
        <f t="array" aca="1" ref="D657" ca="1">_FV(Table20[[#This Row],[Asset]],"Price")</f>
        <v>218.91</v>
      </c>
      <c r="E657" s="26">
        <v>180</v>
      </c>
      <c r="F657" s="33">
        <v>1</v>
      </c>
      <c r="G657" s="34">
        <v>-1</v>
      </c>
      <c r="H657" s="34" t="s">
        <v>114</v>
      </c>
      <c r="I657" s="31"/>
      <c r="J657" s="26">
        <v>0.95</v>
      </c>
      <c r="K657" s="24"/>
      <c r="L657" s="33">
        <f>VLOOKUP(Table20[[#This Row],[Strategy]],Table29[#All],6,FALSE)</f>
        <v>1</v>
      </c>
      <c r="M657" s="23">
        <v>1</v>
      </c>
      <c r="N657" s="23"/>
      <c r="O657" s="23"/>
      <c r="P657" s="23"/>
      <c r="Q657">
        <f>Table20[[#This Row],[Exit1]]*Table20[[#This Row],[ex1_price]]</f>
        <v>0</v>
      </c>
      <c r="R657">
        <f>Table20[[#This Row],[Exit2]]*Table20[[#This Row],[ex2_price]]</f>
        <v>0</v>
      </c>
      <c r="S657">
        <f>IFERROR((Table20[[#This Row],[ex2_amnt]]+Table20[[#This Row],[ex1_amnt]])/(Table20[[#This Row],[Exit2]]+Table20[[#This Row],[Exit1]]),0)</f>
        <v>0</v>
      </c>
      <c r="T657" s="5">
        <f>(Table20[[#This Row],[Exit1]]+Table20[[#This Row],[Exit2]])*(Table20[[#This Row],[avg_exit_price]]-Table20[[#This Row],[AvePrice]])*100*Table20[[#This Row],[Buy or Sell]]</f>
        <v>95</v>
      </c>
      <c r="U657" s="5">
        <f>Table20[[#This Row],[Number of options]]*Table20[[#This Row],[AvePrice]]*100*Table20[[#This Row],[Buy or Sell]]</f>
        <v>-95</v>
      </c>
      <c r="V657" s="8">
        <f>Table20[[#This Row],[Number of options]]-Table20[[#This Row],[Exit1]]-Table20[[#This Row],[Exit2]]</f>
        <v>0</v>
      </c>
      <c r="W657" s="30">
        <f ca="1">(Table20[[#This Row],[Expiration Date]]-TODAY())/365</f>
        <v>-0.51506849315068493</v>
      </c>
      <c r="X657" s="30" t="e">
        <f ca="1">(LN(Table20[[#This Row],[Current Price]]/Table20[[#This Row],[strike_price]]) + ($B$2 + (Table20[[#This Row],[Vol]]^2)/2)*Table20[[#This Row],[Time to expiration]]) / (Table20[[#This Row],[Vol]] * SQRT(Table20[[#This Row],[Time to expiration]]))</f>
        <v>#NUM!</v>
      </c>
      <c r="Y657" s="30" t="e">
        <f ca="1">IF(Table20[[#This Row],[Direction]]&gt;0, _xlfn.NORM.S.DIST(Table20[[#This Row],[d1]], TRUE), _xlfn.NORM.S.DIST(Table20[[#This Row],[d1]], TRUE) - 1) * Table20[[#This Row],[Buy or Sell]]</f>
        <v>#NUM!</v>
      </c>
      <c r="Z657" s="9">
        <f ca="1">Table20[[#This Row],[Remaining]]*Table20[[#This Row],[Current Price]]*100</f>
        <v>0</v>
      </c>
      <c r="AA657" s="22">
        <f ca="1">IFERROR(Table20[[#This Row],[nominal_exposure]]*Table20[[#This Row],[Delta]],0)</f>
        <v>0</v>
      </c>
      <c r="AB657" s="30" t="b">
        <f>IF(Table20[[#This Row],[date_purchased]]&lt;&gt;Table20[[#This Row],[Expiration Date]],FALSE,TRUE)</f>
        <v>0</v>
      </c>
      <c r="AC657" s="30" t="str">
        <f>VLOOKUP(Table20[[#This Row],[Asset]],Table19[#All],3,FALSE)</f>
        <v>AI</v>
      </c>
      <c r="AD657" s="30">
        <f>IF(Table20[[#This Row],[Remaining]]&lt;&gt;0,Table20[[#This Row],[Invested]]*Table20[[#This Row],[Remaining]]/Table20[[#This Row],[Number of options]],0)</f>
        <v>0</v>
      </c>
      <c r="AE657" s="30">
        <f ca="1">SUMIF(Table20[Ticker],Table20[[#This Row],[Ticker]],Table20[realized_profit])</f>
        <v>1567</v>
      </c>
      <c r="AF657" s="30" t="str">
        <f>VLOOKUP(Table20[[#This Row],[Strategy]],Table29[#All],7,FALSE)</f>
        <v>Bullish</v>
      </c>
    </row>
    <row r="658" spans="1:32" hidden="1">
      <c r="A658" s="180">
        <v>45828</v>
      </c>
      <c r="B658" s="21" t="e" vm="31">
        <v>#VALUE!</v>
      </c>
      <c r="C658" s="109" t="str" cm="1">
        <f t="array" aca="1" ref="C658" ca="1">_FV(Table20[[#This Row],[Asset]],"Ticker symbol",TRUE)</f>
        <v>SMCI</v>
      </c>
      <c r="D658" s="26" cm="1">
        <f t="array" aca="1" ref="D658" ca="1">_FV(Table20[[#This Row],[Asset]],"Price")</f>
        <v>23.869900000000001</v>
      </c>
      <c r="E658" s="26">
        <v>45</v>
      </c>
      <c r="F658" s="33">
        <v>2</v>
      </c>
      <c r="G658" s="34">
        <v>1</v>
      </c>
      <c r="H658" s="34" t="s">
        <v>113</v>
      </c>
      <c r="I658" s="31">
        <v>45805</v>
      </c>
      <c r="J658" s="26">
        <v>2.0499999999999998</v>
      </c>
      <c r="K658" s="24"/>
      <c r="L658" s="33">
        <f>VLOOKUP(Table20[[#This Row],[Strategy]],Table29[#All],6,FALSE)</f>
        <v>1</v>
      </c>
      <c r="M658" s="23">
        <v>2</v>
      </c>
      <c r="N658" s="23">
        <v>1.02</v>
      </c>
      <c r="O658" s="23"/>
      <c r="P658" s="23"/>
      <c r="Q658">
        <f>Table20[[#This Row],[Exit1]]*Table20[[#This Row],[ex1_price]]</f>
        <v>2.04</v>
      </c>
      <c r="R658">
        <f>Table20[[#This Row],[Exit2]]*Table20[[#This Row],[ex2_price]]</f>
        <v>0</v>
      </c>
      <c r="S658">
        <f>IFERROR((Table20[[#This Row],[ex2_amnt]]+Table20[[#This Row],[ex1_amnt]])/(Table20[[#This Row],[Exit2]]+Table20[[#This Row],[Exit1]]),0)</f>
        <v>1.02</v>
      </c>
      <c r="T658" s="5">
        <f>(Table20[[#This Row],[Exit1]]+Table20[[#This Row],[Exit2]])*(Table20[[#This Row],[avg_exit_price]]-Table20[[#This Row],[AvePrice]])*100*Table20[[#This Row],[Buy or Sell]]</f>
        <v>-205.99999999999997</v>
      </c>
      <c r="U658" s="5">
        <f>Table20[[#This Row],[Number of options]]*Table20[[#This Row],[AvePrice]]*100*Table20[[#This Row],[Buy or Sell]]</f>
        <v>409.99999999999994</v>
      </c>
      <c r="V658" s="8">
        <f>Table20[[#This Row],[Number of options]]-Table20[[#This Row],[Exit1]]-Table20[[#This Row],[Exit2]]</f>
        <v>0</v>
      </c>
      <c r="W658" s="30">
        <f ca="1">(Table20[[#This Row],[Expiration Date]]-TODAY())/365</f>
        <v>-0.76438356164383559</v>
      </c>
      <c r="X658" s="30" t="e">
        <f ca="1">(LN(Table20[[#This Row],[Current Price]]/Table20[[#This Row],[strike_price]]) + ($B$2 + (Table20[[#This Row],[Vol]]^2)/2)*Table20[[#This Row],[Time to expiration]]) / (Table20[[#This Row],[Vol]] * SQRT(Table20[[#This Row],[Time to expiration]]))</f>
        <v>#NUM!</v>
      </c>
      <c r="Y658" s="30" t="e">
        <f ca="1">IF(Table20[[#This Row],[Direction]]&gt;0, _xlfn.NORM.S.DIST(Table20[[#This Row],[d1]], TRUE), _xlfn.NORM.S.DIST(Table20[[#This Row],[d1]], TRUE) - 1) * Table20[[#This Row],[Buy or Sell]]</f>
        <v>#NUM!</v>
      </c>
      <c r="Z658" s="9">
        <f ca="1">Table20[[#This Row],[Remaining]]*Table20[[#This Row],[Current Price]]*100</f>
        <v>0</v>
      </c>
      <c r="AA658" s="22">
        <f ca="1">IFERROR(Table20[[#This Row],[nominal_exposure]]*Table20[[#This Row],[Delta]],0)</f>
        <v>0</v>
      </c>
      <c r="AB658" s="30" t="b">
        <f>IF(Table20[[#This Row],[date_purchased]]&lt;&gt;Table20[[#This Row],[Expiration Date]],FALSE,TRUE)</f>
        <v>0</v>
      </c>
      <c r="AC658" s="30" t="str">
        <f>VLOOKUP(Table20[[#This Row],[Asset]],Table19[#All],3,FALSE)</f>
        <v>AI</v>
      </c>
      <c r="AD658" s="30">
        <f>IF(Table20[[#This Row],[Remaining]]&lt;&gt;0,Table20[[#This Row],[Invested]]*Table20[[#This Row],[Remaining]]/Table20[[#This Row],[Number of options]],0)</f>
        <v>0</v>
      </c>
      <c r="AE658" s="30">
        <f ca="1">SUMIF(Table20[Ticker],Table20[[#This Row],[Ticker]],Table20[realized_profit])</f>
        <v>-303.99999999999994</v>
      </c>
      <c r="AF658" s="30" t="str">
        <f>VLOOKUP(Table20[[#This Row],[Strategy]],Table29[#All],7,FALSE)</f>
        <v>Bullish</v>
      </c>
    </row>
    <row r="659" spans="1:32" hidden="1">
      <c r="A659" s="180">
        <v>45884</v>
      </c>
      <c r="B659" s="21" t="e" vm="148">
        <v>#VALUE!</v>
      </c>
      <c r="C659" s="109" t="str" cm="1">
        <f t="array" aca="1" ref="C659" ca="1">_FV(Table20[[#This Row],[Asset]],"Ticker symbol",TRUE)</f>
        <v>META</v>
      </c>
      <c r="D659" s="26" cm="1">
        <f t="array" aca="1" ref="D659" ca="1">_FV(Table20[[#This Row],[Asset]],"Price")</f>
        <v>599.32000000000005</v>
      </c>
      <c r="E659" s="26">
        <v>850</v>
      </c>
      <c r="F659" s="33">
        <v>1</v>
      </c>
      <c r="G659" s="34">
        <v>-1</v>
      </c>
      <c r="H659" s="34" t="s">
        <v>115</v>
      </c>
      <c r="I659" s="31">
        <v>45798</v>
      </c>
      <c r="J659" s="26">
        <v>3</v>
      </c>
      <c r="K659" s="24">
        <v>0.35439999999999999</v>
      </c>
      <c r="L659" s="33">
        <f>VLOOKUP(Table20[[#This Row],[Strategy]],Table29[#All],6,FALSE)</f>
        <v>1</v>
      </c>
      <c r="M659" s="23">
        <v>1</v>
      </c>
      <c r="N659" s="23">
        <v>1.93</v>
      </c>
      <c r="O659" s="23"/>
      <c r="P659" s="23"/>
      <c r="Q659">
        <f>Table20[[#This Row],[Exit1]]*Table20[[#This Row],[ex1_price]]</f>
        <v>1.93</v>
      </c>
      <c r="R659">
        <f>Table20[[#This Row],[Exit2]]*Table20[[#This Row],[ex2_price]]</f>
        <v>0</v>
      </c>
      <c r="S659">
        <f>IFERROR((Table20[[#This Row],[ex2_amnt]]+Table20[[#This Row],[ex1_amnt]])/(Table20[[#This Row],[Exit2]]+Table20[[#This Row],[Exit1]]),0)</f>
        <v>1.93</v>
      </c>
      <c r="T659" s="5">
        <f>(Table20[[#This Row],[Exit1]]+Table20[[#This Row],[Exit2]])*(Table20[[#This Row],[avg_exit_price]]-Table20[[#This Row],[AvePrice]])*100*Table20[[#This Row],[Buy or Sell]]</f>
        <v>107</v>
      </c>
      <c r="U659" s="5">
        <f>Table20[[#This Row],[Number of options]]*Table20[[#This Row],[AvePrice]]*100*Table20[[#This Row],[Buy or Sell]]</f>
        <v>-300</v>
      </c>
      <c r="V659" s="8">
        <f>Table20[[#This Row],[Number of options]]-Table20[[#This Row],[Exit1]]-Table20[[#This Row],[Exit2]]</f>
        <v>0</v>
      </c>
      <c r="W659" s="30">
        <f ca="1">(Table20[[#This Row],[Expiration Date]]-TODAY())/365</f>
        <v>-0.61095890410958908</v>
      </c>
      <c r="X659" s="30" t="e">
        <f ca="1">(LN(Table20[[#This Row],[Current Price]]/Table20[[#This Row],[strike_price]]) + ($B$2 + (Table20[[#This Row],[Vol]]^2)/2)*Table20[[#This Row],[Time to expiration]]) / (Table20[[#This Row],[Vol]] * SQRT(Table20[[#This Row],[Time to expiration]]))</f>
        <v>#NUM!</v>
      </c>
      <c r="Y659" s="30" t="e">
        <f ca="1">IF(Table20[[#This Row],[Direction]]&gt;0, _xlfn.NORM.S.DIST(Table20[[#This Row],[d1]], TRUE), _xlfn.NORM.S.DIST(Table20[[#This Row],[d1]], TRUE) - 1) * Table20[[#This Row],[Buy or Sell]]</f>
        <v>#NUM!</v>
      </c>
      <c r="Z659" s="9">
        <f ca="1">Table20[[#This Row],[Remaining]]*Table20[[#This Row],[Current Price]]*100</f>
        <v>0</v>
      </c>
      <c r="AA659" s="22">
        <f ca="1">IFERROR(Table20[[#This Row],[nominal_exposure]]*Table20[[#This Row],[Delta]],0)</f>
        <v>0</v>
      </c>
      <c r="AB659" s="30" t="b">
        <f>IF(Table20[[#This Row],[date_purchased]]&lt;&gt;Table20[[#This Row],[Expiration Date]],FALSE,TRUE)</f>
        <v>0</v>
      </c>
      <c r="AC659" s="30" t="str">
        <f>VLOOKUP(Table20[[#This Row],[Asset]],Table19[#All],3,FALSE)</f>
        <v>AI</v>
      </c>
      <c r="AD659" s="30">
        <f>IF(Table20[[#This Row],[Remaining]]&lt;&gt;0,Table20[[#This Row],[Invested]]*Table20[[#This Row],[Remaining]]/Table20[[#This Row],[Number of options]],0)</f>
        <v>0</v>
      </c>
      <c r="AE659" s="30">
        <f ca="1">SUMIF(Table20[Ticker],Table20[[#This Row],[Ticker]],Table20[realized_profit])</f>
        <v>2450</v>
      </c>
      <c r="AF659" s="30" t="str">
        <f>VLOOKUP(Table20[[#This Row],[Strategy]],Table29[#All],7,FALSE)</f>
        <v>Bullish</v>
      </c>
    </row>
    <row r="660" spans="1:32" hidden="1">
      <c r="A660" s="180">
        <v>45884</v>
      </c>
      <c r="B660" s="21" t="e" vm="96">
        <v>#VALUE!</v>
      </c>
      <c r="C660" s="109" t="str" cm="1">
        <f t="array" aca="1" ref="C660" ca="1">_FV(Table20[[#This Row],[Asset]],"Ticker symbol",TRUE)</f>
        <v>SPY</v>
      </c>
      <c r="D660" s="26" cm="1">
        <f t="array" aca="1" ref="D660" ca="1">_FV(Table20[[#This Row],[Asset]],"Price")</f>
        <v>658.59</v>
      </c>
      <c r="E660" s="26">
        <v>550</v>
      </c>
      <c r="F660" s="33">
        <v>2</v>
      </c>
      <c r="G660" s="34">
        <v>1</v>
      </c>
      <c r="H660" s="34" t="s">
        <v>112</v>
      </c>
      <c r="I660" s="31">
        <v>45806</v>
      </c>
      <c r="J660" s="26">
        <v>8.85</v>
      </c>
      <c r="K660" s="24">
        <v>0.22</v>
      </c>
      <c r="L660" s="33">
        <f>VLOOKUP(Table20[[#This Row],[Strategy]],Table29[#All],6,FALSE)</f>
        <v>-1</v>
      </c>
      <c r="M660" s="23">
        <v>2</v>
      </c>
      <c r="N660" s="23">
        <v>0.18</v>
      </c>
      <c r="O660" s="23"/>
      <c r="P660" s="23"/>
      <c r="Q660">
        <f>Table20[[#This Row],[Exit1]]*Table20[[#This Row],[ex1_price]]</f>
        <v>0.36</v>
      </c>
      <c r="R660">
        <f>Table20[[#This Row],[Exit2]]*Table20[[#This Row],[ex2_price]]</f>
        <v>0</v>
      </c>
      <c r="S660">
        <f>IFERROR((Table20[[#This Row],[ex2_amnt]]+Table20[[#This Row],[ex1_amnt]])/(Table20[[#This Row],[Exit2]]+Table20[[#This Row],[Exit1]]),0)</f>
        <v>0.18</v>
      </c>
      <c r="T660" s="5">
        <f>(Table20[[#This Row],[Exit1]]+Table20[[#This Row],[Exit2]])*(Table20[[#This Row],[avg_exit_price]]-Table20[[#This Row],[AvePrice]])*100*Table20[[#This Row],[Buy or Sell]]</f>
        <v>-1734</v>
      </c>
      <c r="U660" s="5">
        <f>Table20[[#This Row],[Number of options]]*Table20[[#This Row],[AvePrice]]*100*Table20[[#This Row],[Buy or Sell]]</f>
        <v>1770</v>
      </c>
      <c r="V660" s="8">
        <f>Table20[[#This Row],[Number of options]]-Table20[[#This Row],[Exit1]]-Table20[[#This Row],[Exit2]]</f>
        <v>0</v>
      </c>
      <c r="W660" s="30">
        <f ca="1">(Table20[[#This Row],[Expiration Date]]-TODAY())/365</f>
        <v>-0.61095890410958908</v>
      </c>
      <c r="X660" s="30" t="e">
        <f ca="1">(LN(Table20[[#This Row],[Current Price]]/Table20[[#This Row],[strike_price]]) + ($B$2 + (Table20[[#This Row],[Vol]]^2)/2)*Table20[[#This Row],[Time to expiration]]) / (Table20[[#This Row],[Vol]] * SQRT(Table20[[#This Row],[Time to expiration]]))</f>
        <v>#NUM!</v>
      </c>
      <c r="Y660" s="30" t="e">
        <f ca="1">IF(Table20[[#This Row],[Direction]]&gt;0, _xlfn.NORM.S.DIST(Table20[[#This Row],[d1]], TRUE), _xlfn.NORM.S.DIST(Table20[[#This Row],[d1]], TRUE) - 1) * Table20[[#This Row],[Buy or Sell]]</f>
        <v>#NUM!</v>
      </c>
      <c r="Z660" s="9">
        <f ca="1">Table20[[#This Row],[Remaining]]*Table20[[#This Row],[Current Price]]*100</f>
        <v>0</v>
      </c>
      <c r="AA660" s="22">
        <f ca="1">IFERROR(Table20[[#This Row],[nominal_exposure]]*Table20[[#This Row],[Delta]],0)</f>
        <v>0</v>
      </c>
      <c r="AB660" s="30" t="b">
        <f>IF(Table20[[#This Row],[date_purchased]]&lt;&gt;Table20[[#This Row],[Expiration Date]],FALSE,TRUE)</f>
        <v>0</v>
      </c>
      <c r="AC660" s="30" t="str">
        <f>VLOOKUP(Table20[[#This Row],[Asset]],Table19[#All],3,FALSE)</f>
        <v>Market</v>
      </c>
      <c r="AD660" s="30">
        <f>IF(Table20[[#This Row],[Remaining]]&lt;&gt;0,Table20[[#This Row],[Invested]]*Table20[[#This Row],[Remaining]]/Table20[[#This Row],[Number of options]],0)</f>
        <v>0</v>
      </c>
      <c r="AE660" s="30">
        <f ca="1">SUMIF(Table20[Ticker],Table20[[#This Row],[Ticker]],Table20[realized_profit])</f>
        <v>-5077</v>
      </c>
      <c r="AF660" s="30" t="str">
        <f>VLOOKUP(Table20[[#This Row],[Strategy]],Table29[#All],7,FALSE)</f>
        <v>Bearish</v>
      </c>
    </row>
    <row r="661" spans="1:32" hidden="1">
      <c r="A661" s="180">
        <v>45919</v>
      </c>
      <c r="B661" s="21" t="e" vm="159">
        <v>#VALUE!</v>
      </c>
      <c r="C661" s="109" t="str" cm="1">
        <f t="array" aca="1" ref="C661" ca="1">_FV(Table20[[#This Row],[Asset]],"Ticker symbol",TRUE)</f>
        <v>BABA</v>
      </c>
      <c r="D661" s="26" cm="1">
        <f t="array" aca="1" ref="D661" ca="1">_FV(Table20[[#This Row],[Asset]],"Price")</f>
        <v>129.63999999999999</v>
      </c>
      <c r="E661" s="26">
        <v>100</v>
      </c>
      <c r="F661" s="33">
        <v>1</v>
      </c>
      <c r="G661" s="34">
        <v>1</v>
      </c>
      <c r="H661" s="34" t="s">
        <v>65</v>
      </c>
      <c r="I661" s="31">
        <v>45807</v>
      </c>
      <c r="J661" s="26">
        <v>3.9</v>
      </c>
      <c r="K661" s="24"/>
      <c r="L661" s="33">
        <f>VLOOKUP(Table20[[#This Row],[Strategy]],Table29[#All],6,FALSE)</f>
        <v>-1</v>
      </c>
      <c r="M661" s="23">
        <v>1</v>
      </c>
      <c r="N661" s="23">
        <v>2.46</v>
      </c>
      <c r="O661" s="23"/>
      <c r="P661" s="23"/>
      <c r="Q661">
        <f>Table20[[#This Row],[Exit1]]*Table20[[#This Row],[ex1_price]]</f>
        <v>2.46</v>
      </c>
      <c r="R661">
        <f>Table20[[#This Row],[Exit2]]*Table20[[#This Row],[ex2_price]]</f>
        <v>0</v>
      </c>
      <c r="S661">
        <f>IFERROR((Table20[[#This Row],[ex2_amnt]]+Table20[[#This Row],[ex1_amnt]])/(Table20[[#This Row],[Exit2]]+Table20[[#This Row],[Exit1]]),0)</f>
        <v>2.46</v>
      </c>
      <c r="T661" s="5">
        <f>(Table20[[#This Row],[Exit1]]+Table20[[#This Row],[Exit2]])*(Table20[[#This Row],[avg_exit_price]]-Table20[[#This Row],[AvePrice]])*100*Table20[[#This Row],[Buy or Sell]]</f>
        <v>-144</v>
      </c>
      <c r="U661" s="5">
        <f>Table20[[#This Row],[Number of options]]*Table20[[#This Row],[AvePrice]]*100*Table20[[#This Row],[Buy or Sell]]</f>
        <v>390</v>
      </c>
      <c r="V661" s="8">
        <f>Table20[[#This Row],[Number of options]]-Table20[[#This Row],[Exit1]]-Table20[[#This Row],[Exit2]]</f>
        <v>0</v>
      </c>
      <c r="W661" s="30">
        <f ca="1">(Table20[[#This Row],[Expiration Date]]-TODAY())/365</f>
        <v>-0.51506849315068493</v>
      </c>
      <c r="X661" s="30" t="e">
        <f ca="1">(LN(Table20[[#This Row],[Current Price]]/Table20[[#This Row],[strike_price]]) + ($B$2 + (Table20[[#This Row],[Vol]]^2)/2)*Table20[[#This Row],[Time to expiration]]) / (Table20[[#This Row],[Vol]] * SQRT(Table20[[#This Row],[Time to expiration]]))</f>
        <v>#NUM!</v>
      </c>
      <c r="Y661" s="30" t="e">
        <f ca="1">IF(Table20[[#This Row],[Direction]]&gt;0, _xlfn.NORM.S.DIST(Table20[[#This Row],[d1]], TRUE), _xlfn.NORM.S.DIST(Table20[[#This Row],[d1]], TRUE) - 1) * Table20[[#This Row],[Buy or Sell]]</f>
        <v>#NUM!</v>
      </c>
      <c r="Z661" s="9">
        <f ca="1">Table20[[#This Row],[Remaining]]*Table20[[#This Row],[Current Price]]*100</f>
        <v>0</v>
      </c>
      <c r="AA661" s="22">
        <f ca="1">IFERROR(Table20[[#This Row],[nominal_exposure]]*Table20[[#This Row],[Delta]],0)</f>
        <v>0</v>
      </c>
      <c r="AB661" s="30" t="b">
        <f>IF(Table20[[#This Row],[date_purchased]]&lt;&gt;Table20[[#This Row],[Expiration Date]],FALSE,TRUE)</f>
        <v>0</v>
      </c>
      <c r="AC661" s="30" t="str">
        <f>VLOOKUP(Table20[[#This Row],[Asset]],Table19[#All],3,FALSE)</f>
        <v>China</v>
      </c>
      <c r="AD661" s="30">
        <f>IF(Table20[[#This Row],[Remaining]]&lt;&gt;0,Table20[[#This Row],[Invested]]*Table20[[#This Row],[Remaining]]/Table20[[#This Row],[Number of options]],0)</f>
        <v>0</v>
      </c>
      <c r="AE661" s="30">
        <f ca="1">SUMIF(Table20[Ticker],Table20[[#This Row],[Ticker]],Table20[realized_profit])</f>
        <v>5855</v>
      </c>
      <c r="AF661" s="30" t="str">
        <f>VLOOKUP(Table20[[#This Row],[Strategy]],Table29[#All],7,FALSE)</f>
        <v>Bearish</v>
      </c>
    </row>
    <row r="662" spans="1:32" hidden="1">
      <c r="A662" s="180">
        <v>45884</v>
      </c>
      <c r="B662" s="21" t="e" vm="96">
        <v>#VALUE!</v>
      </c>
      <c r="C662" s="109" t="str" cm="1">
        <f t="array" aca="1" ref="C662" ca="1">_FV(Table20[[#This Row],[Asset]],"Ticker symbol",TRUE)</f>
        <v>SPY</v>
      </c>
      <c r="D662" s="26" cm="1">
        <f t="array" aca="1" ref="D662" ca="1">_FV(Table20[[#This Row],[Asset]],"Price")</f>
        <v>658.59</v>
      </c>
      <c r="E662" s="26">
        <v>500</v>
      </c>
      <c r="F662" s="33">
        <v>2</v>
      </c>
      <c r="G662" s="34">
        <v>-1</v>
      </c>
      <c r="H662" s="34" t="s">
        <v>112</v>
      </c>
      <c r="I662" s="31">
        <v>45806</v>
      </c>
      <c r="J662" s="26">
        <v>3.34</v>
      </c>
      <c r="K662" s="24">
        <v>0.27</v>
      </c>
      <c r="L662" s="33">
        <f>VLOOKUP(Table20[[#This Row],[Strategy]],Table29[#All],6,FALSE)</f>
        <v>-1</v>
      </c>
      <c r="M662" s="23">
        <v>2</v>
      </c>
      <c r="N662" s="23">
        <v>0.09</v>
      </c>
      <c r="O662" s="23"/>
      <c r="P662" s="23"/>
      <c r="Q662">
        <f>Table20[[#This Row],[Exit1]]*Table20[[#This Row],[ex1_price]]</f>
        <v>0.18</v>
      </c>
      <c r="R662">
        <f>Table20[[#This Row],[Exit2]]*Table20[[#This Row],[ex2_price]]</f>
        <v>0</v>
      </c>
      <c r="S662">
        <f>IFERROR((Table20[[#This Row],[ex2_amnt]]+Table20[[#This Row],[ex1_amnt]])/(Table20[[#This Row],[Exit2]]+Table20[[#This Row],[Exit1]]),0)</f>
        <v>0.09</v>
      </c>
      <c r="T662" s="5">
        <f>(Table20[[#This Row],[Exit1]]+Table20[[#This Row],[Exit2]])*(Table20[[#This Row],[avg_exit_price]]-Table20[[#This Row],[AvePrice]])*100*Table20[[#This Row],[Buy or Sell]]</f>
        <v>650</v>
      </c>
      <c r="U662" s="5">
        <f>Table20[[#This Row],[Number of options]]*Table20[[#This Row],[AvePrice]]*100*Table20[[#This Row],[Buy or Sell]]</f>
        <v>-668</v>
      </c>
      <c r="V662" s="8">
        <f>Table20[[#This Row],[Number of options]]-Table20[[#This Row],[Exit1]]-Table20[[#This Row],[Exit2]]</f>
        <v>0</v>
      </c>
      <c r="W662" s="30">
        <f ca="1">(Table20[[#This Row],[Expiration Date]]-TODAY())/365</f>
        <v>-0.61095890410958908</v>
      </c>
      <c r="X662" s="30" t="e">
        <f ca="1">(LN(Table20[[#This Row],[Current Price]]/Table20[[#This Row],[strike_price]]) + ($B$2 + (Table20[[#This Row],[Vol]]^2)/2)*Table20[[#This Row],[Time to expiration]]) / (Table20[[#This Row],[Vol]] * SQRT(Table20[[#This Row],[Time to expiration]]))</f>
        <v>#NUM!</v>
      </c>
      <c r="Y662" s="30" t="e">
        <f ca="1">IF(Table20[[#This Row],[Direction]]&gt;0, _xlfn.NORM.S.DIST(Table20[[#This Row],[d1]], TRUE), _xlfn.NORM.S.DIST(Table20[[#This Row],[d1]], TRUE) - 1) * Table20[[#This Row],[Buy or Sell]]</f>
        <v>#NUM!</v>
      </c>
      <c r="Z662" s="9">
        <f ca="1">Table20[[#This Row],[Remaining]]*Table20[[#This Row],[Current Price]]*100</f>
        <v>0</v>
      </c>
      <c r="AA662" s="22">
        <f ca="1">IFERROR(Table20[[#This Row],[nominal_exposure]]*Table20[[#This Row],[Delta]],0)</f>
        <v>0</v>
      </c>
      <c r="AB662" s="30" t="b">
        <f>IF(Table20[[#This Row],[date_purchased]]&lt;&gt;Table20[[#This Row],[Expiration Date]],FALSE,TRUE)</f>
        <v>0</v>
      </c>
      <c r="AC662" s="30" t="str">
        <f>VLOOKUP(Table20[[#This Row],[Asset]],Table19[#All],3,FALSE)</f>
        <v>Market</v>
      </c>
      <c r="AD662" s="30">
        <f>IF(Table20[[#This Row],[Remaining]]&lt;&gt;0,Table20[[#This Row],[Invested]]*Table20[[#This Row],[Remaining]]/Table20[[#This Row],[Number of options]],0)</f>
        <v>0</v>
      </c>
      <c r="AE662" s="30">
        <f ca="1">SUMIF(Table20[Ticker],Table20[[#This Row],[Ticker]],Table20[realized_profit])</f>
        <v>-5077</v>
      </c>
      <c r="AF662" s="30" t="str">
        <f>VLOOKUP(Table20[[#This Row],[Strategy]],Table29[#All],7,FALSE)</f>
        <v>Bearish</v>
      </c>
    </row>
    <row r="663" spans="1:32" hidden="1">
      <c r="A663" s="180">
        <v>45884</v>
      </c>
      <c r="B663" s="21" t="e" vm="30">
        <v>#VALUE!</v>
      </c>
      <c r="C663" s="109" t="str" cm="1">
        <f t="array" aca="1" ref="C663" ca="1">_FV(Table20[[#This Row],[Asset]],"Ticker symbol",TRUE)</f>
        <v>NBIS</v>
      </c>
      <c r="D663" s="26" cm="1">
        <f t="array" aca="1" ref="D663" ca="1">_FV(Table20[[#This Row],[Asset]],"Price")</f>
        <v>116.395</v>
      </c>
      <c r="E663" s="26">
        <v>50</v>
      </c>
      <c r="F663" s="33">
        <v>2</v>
      </c>
      <c r="G663" s="34">
        <v>1</v>
      </c>
      <c r="H663" s="34" t="s">
        <v>113</v>
      </c>
      <c r="I663" s="31">
        <v>45811</v>
      </c>
      <c r="J663" s="26">
        <v>1.84</v>
      </c>
      <c r="K663" s="24">
        <v>0.84209999999999996</v>
      </c>
      <c r="L663" s="33">
        <f>VLOOKUP(Table20[[#This Row],[Strategy]],Table29[#All],6,FALSE)</f>
        <v>1</v>
      </c>
      <c r="M663" s="23">
        <v>1</v>
      </c>
      <c r="N663" s="23">
        <v>6.6</v>
      </c>
      <c r="O663" s="23">
        <v>1</v>
      </c>
      <c r="P663" s="23">
        <v>11.2</v>
      </c>
      <c r="Q663">
        <f>Table20[[#This Row],[Exit1]]*Table20[[#This Row],[ex1_price]]</f>
        <v>6.6</v>
      </c>
      <c r="R663">
        <f>Table20[[#This Row],[Exit2]]*Table20[[#This Row],[ex2_price]]</f>
        <v>11.2</v>
      </c>
      <c r="S663">
        <f>IFERROR((Table20[[#This Row],[ex2_amnt]]+Table20[[#This Row],[ex1_amnt]])/(Table20[[#This Row],[Exit2]]+Table20[[#This Row],[Exit1]]),0)</f>
        <v>8.8999999999999986</v>
      </c>
      <c r="T663" s="5">
        <f>(Table20[[#This Row],[Exit1]]+Table20[[#This Row],[Exit2]])*(Table20[[#This Row],[avg_exit_price]]-Table20[[#This Row],[AvePrice]])*100*Table20[[#This Row],[Buy or Sell]]</f>
        <v>1411.9999999999998</v>
      </c>
      <c r="U663" s="5">
        <f>Table20[[#This Row],[Number of options]]*Table20[[#This Row],[AvePrice]]*100*Table20[[#This Row],[Buy or Sell]]</f>
        <v>368</v>
      </c>
      <c r="V663" s="8">
        <f>Table20[[#This Row],[Number of options]]-Table20[[#This Row],[Exit1]]-Table20[[#This Row],[Exit2]]</f>
        <v>0</v>
      </c>
      <c r="W663" s="30">
        <f ca="1">(Table20[[#This Row],[Expiration Date]]-TODAY())/365</f>
        <v>-0.61095890410958908</v>
      </c>
      <c r="X663" s="30" t="e">
        <f ca="1">(LN(Table20[[#This Row],[Current Price]]/Table20[[#This Row],[strike_price]]) + ($B$2 + (Table20[[#This Row],[Vol]]^2)/2)*Table20[[#This Row],[Time to expiration]]) / (Table20[[#This Row],[Vol]] * SQRT(Table20[[#This Row],[Time to expiration]]))</f>
        <v>#NUM!</v>
      </c>
      <c r="Y663" s="30" t="e">
        <f ca="1">IF(Table20[[#This Row],[Direction]]&gt;0, _xlfn.NORM.S.DIST(Table20[[#This Row],[d1]], TRUE), _xlfn.NORM.S.DIST(Table20[[#This Row],[d1]], TRUE) - 1) * Table20[[#This Row],[Buy or Sell]]</f>
        <v>#NUM!</v>
      </c>
      <c r="Z663" s="9">
        <f ca="1">Table20[[#This Row],[Remaining]]*Table20[[#This Row],[Current Price]]*100</f>
        <v>0</v>
      </c>
      <c r="AA663" s="22">
        <f ca="1">IFERROR(Table20[[#This Row],[nominal_exposure]]*Table20[[#This Row],[Delta]],0)</f>
        <v>0</v>
      </c>
      <c r="AB663" s="30" t="b">
        <f>IF(Table20[[#This Row],[date_purchased]]&lt;&gt;Table20[[#This Row],[Expiration Date]],FALSE,TRUE)</f>
        <v>0</v>
      </c>
      <c r="AC663" s="30" t="str">
        <f>VLOOKUP(Table20[[#This Row],[Asset]],Table19[#All],3,FALSE)</f>
        <v>AI</v>
      </c>
      <c r="AD663" s="30">
        <f>IF(Table20[[#This Row],[Remaining]]&lt;&gt;0,Table20[[#This Row],[Invested]]*Table20[[#This Row],[Remaining]]/Table20[[#This Row],[Number of options]],0)</f>
        <v>0</v>
      </c>
      <c r="AE663" s="30">
        <f ca="1">SUMIF(Table20[Ticker],Table20[[#This Row],[Ticker]],Table20[realized_profit])</f>
        <v>1008.9999999999998</v>
      </c>
      <c r="AF663" s="30" t="str">
        <f>VLOOKUP(Table20[[#This Row],[Strategy]],Table29[#All],7,FALSE)</f>
        <v>Bullish</v>
      </c>
    </row>
    <row r="664" spans="1:32" hidden="1">
      <c r="A664" s="180">
        <v>45884</v>
      </c>
      <c r="B664" s="21" t="e" vm="84">
        <v>#VALUE!</v>
      </c>
      <c r="C664" s="109" t="str" cm="1">
        <f t="array" aca="1" ref="C664" ca="1">_FV(Table20[[#This Row],[Asset]],"Ticker symbol",TRUE)</f>
        <v>COIN</v>
      </c>
      <c r="D664" s="26" cm="1">
        <f t="array" aca="1" ref="D664" ca="1">_FV(Table20[[#This Row],[Asset]],"Price")</f>
        <v>188</v>
      </c>
      <c r="E664" s="26">
        <v>370</v>
      </c>
      <c r="F664" s="33">
        <v>1</v>
      </c>
      <c r="G664" s="34">
        <v>1</v>
      </c>
      <c r="H664" s="34" t="s">
        <v>115</v>
      </c>
      <c r="I664" s="31">
        <v>45817</v>
      </c>
      <c r="J664" s="26">
        <v>3.4</v>
      </c>
      <c r="K664" s="24">
        <v>0.64</v>
      </c>
      <c r="L664" s="33">
        <f>VLOOKUP(Table20[[#This Row],[Strategy]],Table29[#All],6,FALSE)</f>
        <v>1</v>
      </c>
      <c r="M664" s="23">
        <v>1</v>
      </c>
      <c r="N664" s="23">
        <v>24.05</v>
      </c>
      <c r="O664" s="23"/>
      <c r="P664" s="23"/>
      <c r="Q664">
        <f>Table20[[#This Row],[Exit1]]*Table20[[#This Row],[ex1_price]]</f>
        <v>24.05</v>
      </c>
      <c r="R664">
        <f>Table20[[#This Row],[Exit2]]*Table20[[#This Row],[ex2_price]]</f>
        <v>0</v>
      </c>
      <c r="S664">
        <f>IFERROR((Table20[[#This Row],[ex2_amnt]]+Table20[[#This Row],[ex1_amnt]])/(Table20[[#This Row],[Exit2]]+Table20[[#This Row],[Exit1]]),0)</f>
        <v>24.05</v>
      </c>
      <c r="T664" s="5">
        <f>(Table20[[#This Row],[Exit1]]+Table20[[#This Row],[Exit2]])*(Table20[[#This Row],[avg_exit_price]]-Table20[[#This Row],[AvePrice]])*100*Table20[[#This Row],[Buy or Sell]]</f>
        <v>2065</v>
      </c>
      <c r="U664" s="5">
        <f>Table20[[#This Row],[Number of options]]*Table20[[#This Row],[AvePrice]]*100*Table20[[#This Row],[Buy or Sell]]</f>
        <v>340</v>
      </c>
      <c r="V664" s="8">
        <f>Table20[[#This Row],[Number of options]]-Table20[[#This Row],[Exit1]]-Table20[[#This Row],[Exit2]]</f>
        <v>0</v>
      </c>
      <c r="W664" s="30">
        <f ca="1">(Table20[[#This Row],[Expiration Date]]-TODAY())/365</f>
        <v>-0.61095890410958908</v>
      </c>
      <c r="X664" s="30" t="e">
        <f ca="1">(LN(Table20[[#This Row],[Current Price]]/Table20[[#This Row],[strike_price]]) + ($B$2 + (Table20[[#This Row],[Vol]]^2)/2)*Table20[[#This Row],[Time to expiration]]) / (Table20[[#This Row],[Vol]] * SQRT(Table20[[#This Row],[Time to expiration]]))</f>
        <v>#NUM!</v>
      </c>
      <c r="Y664" s="30" t="e">
        <f ca="1">IF(Table20[[#This Row],[Direction]]&gt;0, _xlfn.NORM.S.DIST(Table20[[#This Row],[d1]], TRUE), _xlfn.NORM.S.DIST(Table20[[#This Row],[d1]], TRUE) - 1) * Table20[[#This Row],[Buy or Sell]]</f>
        <v>#NUM!</v>
      </c>
      <c r="Z664" s="9">
        <f ca="1">Table20[[#This Row],[Remaining]]*Table20[[#This Row],[Current Price]]*100</f>
        <v>0</v>
      </c>
      <c r="AA664" s="22">
        <f ca="1">IFERROR(Table20[[#This Row],[nominal_exposure]]*Table20[[#This Row],[Delta]],0)</f>
        <v>0</v>
      </c>
      <c r="AB664" s="30" t="b">
        <f>IF(Table20[[#This Row],[date_purchased]]&lt;&gt;Table20[[#This Row],[Expiration Date]],FALSE,TRUE)</f>
        <v>0</v>
      </c>
      <c r="AC664" s="30" t="str">
        <f>VLOOKUP(Table20[[#This Row],[Asset]],Table19[#All],3,FALSE)</f>
        <v>Financials</v>
      </c>
      <c r="AD664" s="30">
        <f>IF(Table20[[#This Row],[Remaining]]&lt;&gt;0,Table20[[#This Row],[Invested]]*Table20[[#This Row],[Remaining]]/Table20[[#This Row],[Number of options]],0)</f>
        <v>0</v>
      </c>
      <c r="AE664" s="30">
        <f ca="1">SUMIF(Table20[Ticker],Table20[[#This Row],[Ticker]],Table20[realized_profit])</f>
        <v>4035</v>
      </c>
      <c r="AF664" s="30" t="str">
        <f>VLOOKUP(Table20[[#This Row],[Strategy]],Table29[#All],7,FALSE)</f>
        <v>Bullish</v>
      </c>
    </row>
    <row r="665" spans="1:32" hidden="1">
      <c r="A665" s="180">
        <v>45919</v>
      </c>
      <c r="B665" s="21" t="e" vm="96">
        <v>#VALUE!</v>
      </c>
      <c r="C665" s="109" t="str" cm="1">
        <f t="array" aca="1" ref="C665" ca="1">_FV(Table20[[#This Row],[Asset]],"Ticker symbol",TRUE)</f>
        <v>SPY</v>
      </c>
      <c r="D665" s="26" cm="1">
        <f t="array" aca="1" ref="D665" ca="1">_FV(Table20[[#This Row],[Asset]],"Price")</f>
        <v>658.59</v>
      </c>
      <c r="E665" s="26">
        <v>400</v>
      </c>
      <c r="F665" s="33">
        <v>2</v>
      </c>
      <c r="G665" s="34">
        <v>-1</v>
      </c>
      <c r="H665" s="34" t="s">
        <v>112</v>
      </c>
      <c r="I665" s="31">
        <v>45770</v>
      </c>
      <c r="J665" s="26">
        <v>2.79</v>
      </c>
      <c r="K665" s="24">
        <v>0.38800000000000001</v>
      </c>
      <c r="L665" s="33">
        <f>VLOOKUP(Table20[[#This Row],[Strategy]],Table29[#All],6,FALSE)</f>
        <v>-1</v>
      </c>
      <c r="M665" s="23">
        <v>2</v>
      </c>
      <c r="N665" s="23">
        <v>0.18</v>
      </c>
      <c r="O665" s="23"/>
      <c r="P665" s="23"/>
      <c r="Q665">
        <f>Table20[[#This Row],[Exit1]]*Table20[[#This Row],[ex1_price]]</f>
        <v>0.36</v>
      </c>
      <c r="R665">
        <f>Table20[[#This Row],[Exit2]]*Table20[[#This Row],[ex2_price]]</f>
        <v>0</v>
      </c>
      <c r="S665">
        <f>IFERROR((Table20[[#This Row],[ex2_amnt]]+Table20[[#This Row],[ex1_amnt]])/(Table20[[#This Row],[Exit2]]+Table20[[#This Row],[Exit1]]),0)</f>
        <v>0.18</v>
      </c>
      <c r="T665" s="5">
        <f>(Table20[[#This Row],[Exit1]]+Table20[[#This Row],[Exit2]])*(Table20[[#This Row],[avg_exit_price]]-Table20[[#This Row],[AvePrice]])*100*Table20[[#This Row],[Buy or Sell]]</f>
        <v>522</v>
      </c>
      <c r="U665" s="5">
        <f>Table20[[#This Row],[Number of options]]*Table20[[#This Row],[AvePrice]]*100*Table20[[#This Row],[Buy or Sell]]</f>
        <v>-558</v>
      </c>
      <c r="V665" s="8">
        <f>Table20[[#This Row],[Number of options]]-Table20[[#This Row],[Exit1]]-Table20[[#This Row],[Exit2]]</f>
        <v>0</v>
      </c>
      <c r="W665" s="30">
        <f ca="1">(Table20[[#This Row],[Expiration Date]]-TODAY())/365</f>
        <v>-0.51506849315068493</v>
      </c>
      <c r="X665" s="30" t="e">
        <f ca="1">(LN(Table20[[#This Row],[Current Price]]/Table20[[#This Row],[strike_price]]) + ($B$2 + (Table20[[#This Row],[Vol]]^2)/2)*Table20[[#This Row],[Time to expiration]]) / (Table20[[#This Row],[Vol]] * SQRT(Table20[[#This Row],[Time to expiration]]))</f>
        <v>#NUM!</v>
      </c>
      <c r="Y665" s="30" t="e">
        <f ca="1">IF(Table20[[#This Row],[Direction]]&gt;0, _xlfn.NORM.S.DIST(Table20[[#This Row],[d1]], TRUE), _xlfn.NORM.S.DIST(Table20[[#This Row],[d1]], TRUE) - 1) * Table20[[#This Row],[Buy or Sell]]</f>
        <v>#NUM!</v>
      </c>
      <c r="Z665" s="9">
        <f ca="1">Table20[[#This Row],[Remaining]]*Table20[[#This Row],[Current Price]]*100</f>
        <v>0</v>
      </c>
      <c r="AA665" s="22">
        <f ca="1">IFERROR(Table20[[#This Row],[nominal_exposure]]*Table20[[#This Row],[Delta]],0)</f>
        <v>0</v>
      </c>
      <c r="AB665" s="30" t="b">
        <f>IF(Table20[[#This Row],[date_purchased]]&lt;&gt;Table20[[#This Row],[Expiration Date]],FALSE,TRUE)</f>
        <v>0</v>
      </c>
      <c r="AC665" s="30" t="str">
        <f>VLOOKUP(Table20[[#This Row],[Asset]],Table19[#All],3,FALSE)</f>
        <v>Market</v>
      </c>
      <c r="AD665" s="30">
        <f>IF(Table20[[#This Row],[Remaining]]&lt;&gt;0,Table20[[#This Row],[Invested]]*Table20[[#This Row],[Remaining]]/Table20[[#This Row],[Number of options]],0)</f>
        <v>0</v>
      </c>
      <c r="AE665" s="30">
        <f ca="1">SUMIF(Table20[Ticker],Table20[[#This Row],[Ticker]],Table20[realized_profit])</f>
        <v>-5077</v>
      </c>
      <c r="AF665" s="30" t="str">
        <f>VLOOKUP(Table20[[#This Row],[Strategy]],Table29[#All],7,FALSE)</f>
        <v>Bearish</v>
      </c>
    </row>
    <row r="666" spans="1:32" hidden="1">
      <c r="A666" s="180">
        <v>45919</v>
      </c>
      <c r="B666" s="21" t="e" vm="96">
        <v>#VALUE!</v>
      </c>
      <c r="C666" s="109" t="str" cm="1">
        <f t="array" aca="1" ref="C666" ca="1">_FV(Table20[[#This Row],[Asset]],"Ticker symbol",TRUE)</f>
        <v>SPY</v>
      </c>
      <c r="D666" s="26" cm="1">
        <f t="array" aca="1" ref="D666" ca="1">_FV(Table20[[#This Row],[Asset]],"Price")</f>
        <v>658.59</v>
      </c>
      <c r="E666" s="26">
        <v>470</v>
      </c>
      <c r="F666" s="33">
        <v>2</v>
      </c>
      <c r="G666" s="34">
        <v>1</v>
      </c>
      <c r="H666" s="34" t="s">
        <v>112</v>
      </c>
      <c r="I666" s="31">
        <v>45770</v>
      </c>
      <c r="J666" s="26">
        <v>6.92</v>
      </c>
      <c r="K666" s="24">
        <v>0.29970000000000002</v>
      </c>
      <c r="L666" s="33">
        <f>VLOOKUP(Table20[[#This Row],[Strategy]],Table29[#All],6,FALSE)</f>
        <v>-1</v>
      </c>
      <c r="M666" s="23">
        <v>2</v>
      </c>
      <c r="N666" s="23">
        <v>0.4</v>
      </c>
      <c r="O666" s="23"/>
      <c r="P666" s="23"/>
      <c r="Q666">
        <f>Table20[[#This Row],[Exit1]]*Table20[[#This Row],[ex1_price]]</f>
        <v>0.8</v>
      </c>
      <c r="R666">
        <f>Table20[[#This Row],[Exit2]]*Table20[[#This Row],[ex2_price]]</f>
        <v>0</v>
      </c>
      <c r="S666">
        <f>IFERROR((Table20[[#This Row],[ex2_amnt]]+Table20[[#This Row],[ex1_amnt]])/(Table20[[#This Row],[Exit2]]+Table20[[#This Row],[Exit1]]),0)</f>
        <v>0.4</v>
      </c>
      <c r="T666" s="5">
        <f>(Table20[[#This Row],[Exit1]]+Table20[[#This Row],[Exit2]])*(Table20[[#This Row],[avg_exit_price]]-Table20[[#This Row],[AvePrice]])*100*Table20[[#This Row],[Buy or Sell]]</f>
        <v>-1304</v>
      </c>
      <c r="U666" s="5">
        <f>Table20[[#This Row],[Number of options]]*Table20[[#This Row],[AvePrice]]*100*Table20[[#This Row],[Buy or Sell]]</f>
        <v>1384</v>
      </c>
      <c r="V666" s="8">
        <f>Table20[[#This Row],[Number of options]]-Table20[[#This Row],[Exit1]]-Table20[[#This Row],[Exit2]]</f>
        <v>0</v>
      </c>
      <c r="W666" s="30">
        <f ca="1">(Table20[[#This Row],[Expiration Date]]-TODAY())/365</f>
        <v>-0.51506849315068493</v>
      </c>
      <c r="X666" s="30" t="e">
        <f ca="1">(LN(Table20[[#This Row],[Current Price]]/Table20[[#This Row],[strike_price]]) + ($B$2 + (Table20[[#This Row],[Vol]]^2)/2)*Table20[[#This Row],[Time to expiration]]) / (Table20[[#This Row],[Vol]] * SQRT(Table20[[#This Row],[Time to expiration]]))</f>
        <v>#NUM!</v>
      </c>
      <c r="Y666" s="30" t="e">
        <f ca="1">IF(Table20[[#This Row],[Direction]]&gt;0, _xlfn.NORM.S.DIST(Table20[[#This Row],[d1]], TRUE), _xlfn.NORM.S.DIST(Table20[[#This Row],[d1]], TRUE) - 1) * Table20[[#This Row],[Buy or Sell]]</f>
        <v>#NUM!</v>
      </c>
      <c r="Z666" s="9">
        <f ca="1">Table20[[#This Row],[Remaining]]*Table20[[#This Row],[Current Price]]*100</f>
        <v>0</v>
      </c>
      <c r="AA666" s="22">
        <f ca="1">IFERROR(Table20[[#This Row],[nominal_exposure]]*Table20[[#This Row],[Delta]],0)</f>
        <v>0</v>
      </c>
      <c r="AB666" s="30" t="b">
        <f>IF(Table20[[#This Row],[date_purchased]]&lt;&gt;Table20[[#This Row],[Expiration Date]],FALSE,TRUE)</f>
        <v>0</v>
      </c>
      <c r="AC666" s="30" t="str">
        <f>VLOOKUP(Table20[[#This Row],[Asset]],Table19[#All],3,FALSE)</f>
        <v>Market</v>
      </c>
      <c r="AD666" s="30">
        <f>IF(Table20[[#This Row],[Remaining]]&lt;&gt;0,Table20[[#This Row],[Invested]]*Table20[[#This Row],[Remaining]]/Table20[[#This Row],[Number of options]],0)</f>
        <v>0</v>
      </c>
      <c r="AE666" s="30">
        <f ca="1">SUMIF(Table20[Ticker],Table20[[#This Row],[Ticker]],Table20[realized_profit])</f>
        <v>-5077</v>
      </c>
      <c r="AF666" s="30" t="str">
        <f>VLOOKUP(Table20[[#This Row],[Strategy]],Table29[#All],7,FALSE)</f>
        <v>Bearish</v>
      </c>
    </row>
    <row r="667" spans="1:32" hidden="1">
      <c r="A667" s="180">
        <v>45919</v>
      </c>
      <c r="B667" s="21" t="e" vm="13">
        <v>#VALUE!</v>
      </c>
      <c r="C667" s="109" t="str" cm="1">
        <f t="array" aca="1" ref="C667" ca="1">_FV(Table20[[#This Row],[Asset]],"Ticker symbol",TRUE)</f>
        <v>ON</v>
      </c>
      <c r="D667" s="26" cm="1">
        <f t="array" aca="1" ref="D667" ca="1">_FV(Table20[[#This Row],[Asset]],"Price")</f>
        <v>63.68</v>
      </c>
      <c r="E667" s="26">
        <v>55</v>
      </c>
      <c r="F667" s="33">
        <v>2</v>
      </c>
      <c r="G667" s="34">
        <v>1</v>
      </c>
      <c r="H667" s="34" t="s">
        <v>113</v>
      </c>
      <c r="I667" s="31">
        <v>45810</v>
      </c>
      <c r="J667" s="26">
        <v>1.3</v>
      </c>
      <c r="K667" s="24">
        <v>0.49</v>
      </c>
      <c r="L667" s="33">
        <f>VLOOKUP(Table20[[#This Row],[Strategy]],Table29[#All],6,FALSE)</f>
        <v>1</v>
      </c>
      <c r="M667" s="23">
        <v>2</v>
      </c>
      <c r="N667" s="23">
        <v>5.05</v>
      </c>
      <c r="O667" s="23"/>
      <c r="P667" s="23"/>
      <c r="Q667">
        <f>Table20[[#This Row],[Exit1]]*Table20[[#This Row],[ex1_price]]</f>
        <v>10.1</v>
      </c>
      <c r="R667">
        <f>Table20[[#This Row],[Exit2]]*Table20[[#This Row],[ex2_price]]</f>
        <v>0</v>
      </c>
      <c r="S667">
        <f>IFERROR((Table20[[#This Row],[ex2_amnt]]+Table20[[#This Row],[ex1_amnt]])/(Table20[[#This Row],[Exit2]]+Table20[[#This Row],[Exit1]]),0)</f>
        <v>5.05</v>
      </c>
      <c r="T667" s="5">
        <f>(Table20[[#This Row],[Exit1]]+Table20[[#This Row],[Exit2]])*(Table20[[#This Row],[avg_exit_price]]-Table20[[#This Row],[AvePrice]])*100*Table20[[#This Row],[Buy or Sell]]</f>
        <v>750</v>
      </c>
      <c r="U667" s="5">
        <f>Table20[[#This Row],[Number of options]]*Table20[[#This Row],[AvePrice]]*100*Table20[[#This Row],[Buy or Sell]]</f>
        <v>260</v>
      </c>
      <c r="V667" s="8">
        <f>Table20[[#This Row],[Number of options]]-Table20[[#This Row],[Exit1]]-Table20[[#This Row],[Exit2]]</f>
        <v>0</v>
      </c>
      <c r="W667" s="30">
        <f ca="1">(Table20[[#This Row],[Expiration Date]]-TODAY())/365</f>
        <v>-0.51506849315068493</v>
      </c>
      <c r="X667" s="30" t="e">
        <f ca="1">(LN(Table20[[#This Row],[Current Price]]/Table20[[#This Row],[strike_price]]) + ($B$2 + (Table20[[#This Row],[Vol]]^2)/2)*Table20[[#This Row],[Time to expiration]]) / (Table20[[#This Row],[Vol]] * SQRT(Table20[[#This Row],[Time to expiration]]))</f>
        <v>#NUM!</v>
      </c>
      <c r="Y667" s="30" t="e">
        <f ca="1">IF(Table20[[#This Row],[Direction]]&gt;0, _xlfn.NORM.S.DIST(Table20[[#This Row],[d1]], TRUE), _xlfn.NORM.S.DIST(Table20[[#This Row],[d1]], TRUE) - 1) * Table20[[#This Row],[Buy or Sell]]</f>
        <v>#NUM!</v>
      </c>
      <c r="Z667" s="9">
        <f ca="1">Table20[[#This Row],[Remaining]]*Table20[[#This Row],[Current Price]]*100</f>
        <v>0</v>
      </c>
      <c r="AA667" s="22">
        <f ca="1">IFERROR(Table20[[#This Row],[nominal_exposure]]*Table20[[#This Row],[Delta]],0)</f>
        <v>0</v>
      </c>
      <c r="AB667" s="30" t="b">
        <f>IF(Table20[[#This Row],[date_purchased]]&lt;&gt;Table20[[#This Row],[Expiration Date]],FALSE,TRUE)</f>
        <v>0</v>
      </c>
      <c r="AC667" s="30" t="str">
        <f>VLOOKUP(Table20[[#This Row],[Asset]],Table19[#All],3,FALSE)</f>
        <v>Semiconductor</v>
      </c>
      <c r="AD667" s="30">
        <f>IF(Table20[[#This Row],[Remaining]]&lt;&gt;0,Table20[[#This Row],[Invested]]*Table20[[#This Row],[Remaining]]/Table20[[#This Row],[Number of options]],0)</f>
        <v>0</v>
      </c>
      <c r="AE667" s="30">
        <f ca="1">SUMIF(Table20[Ticker],Table20[[#This Row],[Ticker]],Table20[realized_profit])</f>
        <v>1055.92</v>
      </c>
      <c r="AF667" s="30" t="str">
        <f>VLOOKUP(Table20[[#This Row],[Strategy]],Table29[#All],7,FALSE)</f>
        <v>Bullish</v>
      </c>
    </row>
    <row r="668" spans="1:32" hidden="1">
      <c r="A668" s="180">
        <v>45947</v>
      </c>
      <c r="B668" s="21" t="e" vm="148">
        <v>#VALUE!</v>
      </c>
      <c r="C668" s="109" t="str" cm="1">
        <f t="array" aca="1" ref="C668" ca="1">_FV(Table20[[#This Row],[Asset]],"Ticker symbol",TRUE)</f>
        <v>META</v>
      </c>
      <c r="D668" s="26" cm="1">
        <f t="array" aca="1" ref="D668" ca="1">_FV(Table20[[#This Row],[Asset]],"Price")</f>
        <v>599.32000000000005</v>
      </c>
      <c r="E668" s="26">
        <v>850</v>
      </c>
      <c r="F668" s="33">
        <v>1</v>
      </c>
      <c r="G668" s="34">
        <v>1</v>
      </c>
      <c r="H668" s="34" t="s">
        <v>115</v>
      </c>
      <c r="I668" s="31">
        <v>45798</v>
      </c>
      <c r="J668" s="26">
        <v>7.55</v>
      </c>
      <c r="K668" s="24">
        <v>0.32550000000000001</v>
      </c>
      <c r="L668" s="33">
        <f>VLOOKUP(Table20[[#This Row],[Strategy]],Table29[#All],6,FALSE)</f>
        <v>1</v>
      </c>
      <c r="M668" s="23">
        <v>1</v>
      </c>
      <c r="N668" s="23">
        <v>15.9</v>
      </c>
      <c r="O668" s="23"/>
      <c r="P668" s="23"/>
      <c r="Q668">
        <f>Table20[[#This Row],[Exit1]]*Table20[[#This Row],[ex1_price]]</f>
        <v>15.9</v>
      </c>
      <c r="R668">
        <f>Table20[[#This Row],[Exit2]]*Table20[[#This Row],[ex2_price]]</f>
        <v>0</v>
      </c>
      <c r="S668">
        <f>IFERROR((Table20[[#This Row],[ex2_amnt]]+Table20[[#This Row],[ex1_amnt]])/(Table20[[#This Row],[Exit2]]+Table20[[#This Row],[Exit1]]),0)</f>
        <v>15.9</v>
      </c>
      <c r="T668" s="5">
        <f>(Table20[[#This Row],[Exit1]]+Table20[[#This Row],[Exit2]])*(Table20[[#This Row],[avg_exit_price]]-Table20[[#This Row],[AvePrice]])*100*Table20[[#This Row],[Buy or Sell]]</f>
        <v>835.00000000000011</v>
      </c>
      <c r="U668" s="5">
        <f>Table20[[#This Row],[Number of options]]*Table20[[#This Row],[AvePrice]]*100*Table20[[#This Row],[Buy or Sell]]</f>
        <v>755</v>
      </c>
      <c r="V668" s="8">
        <f>Table20[[#This Row],[Number of options]]-Table20[[#This Row],[Exit1]]-Table20[[#This Row],[Exit2]]</f>
        <v>0</v>
      </c>
      <c r="W668" s="30">
        <f ca="1">(Table20[[#This Row],[Expiration Date]]-TODAY())/365</f>
        <v>-0.43835616438356162</v>
      </c>
      <c r="X668" s="30" t="e">
        <f ca="1">(LN(Table20[[#This Row],[Current Price]]/Table20[[#This Row],[strike_price]]) + ($B$2 + (Table20[[#This Row],[Vol]]^2)/2)*Table20[[#This Row],[Time to expiration]]) / (Table20[[#This Row],[Vol]] * SQRT(Table20[[#This Row],[Time to expiration]]))</f>
        <v>#NUM!</v>
      </c>
      <c r="Y668" s="30" t="e">
        <f ca="1">IF(Table20[[#This Row],[Direction]]&gt;0, _xlfn.NORM.S.DIST(Table20[[#This Row],[d1]], TRUE), _xlfn.NORM.S.DIST(Table20[[#This Row],[d1]], TRUE) - 1) * Table20[[#This Row],[Buy or Sell]]</f>
        <v>#NUM!</v>
      </c>
      <c r="Z668" s="9">
        <f ca="1">Table20[[#This Row],[Remaining]]*Table20[[#This Row],[Current Price]]*100</f>
        <v>0</v>
      </c>
      <c r="AA668" s="22">
        <f ca="1">IFERROR(Table20[[#This Row],[nominal_exposure]]*Table20[[#This Row],[Delta]],0)</f>
        <v>0</v>
      </c>
      <c r="AB668" s="30" t="b">
        <f>IF(Table20[[#This Row],[date_purchased]]&lt;&gt;Table20[[#This Row],[Expiration Date]],FALSE,TRUE)</f>
        <v>0</v>
      </c>
      <c r="AC668" s="30" t="str">
        <f>VLOOKUP(Table20[[#This Row],[Asset]],Table19[#All],3,FALSE)</f>
        <v>AI</v>
      </c>
      <c r="AD668" s="30">
        <f>IF(Table20[[#This Row],[Remaining]]&lt;&gt;0,Table20[[#This Row],[Invested]]*Table20[[#This Row],[Remaining]]/Table20[[#This Row],[Number of options]],0)</f>
        <v>0</v>
      </c>
      <c r="AE668" s="30">
        <f ca="1">SUMIF(Table20[Ticker],Table20[[#This Row],[Ticker]],Table20[realized_profit])</f>
        <v>2450</v>
      </c>
      <c r="AF668" s="30" t="str">
        <f>VLOOKUP(Table20[[#This Row],[Strategy]],Table29[#All],7,FALSE)</f>
        <v>Bullish</v>
      </c>
    </row>
    <row r="669" spans="1:32" hidden="1">
      <c r="A669" s="180">
        <v>45863</v>
      </c>
      <c r="B669" s="21" t="e" vm="30">
        <v>#VALUE!</v>
      </c>
      <c r="C669" s="109" t="str" cm="1">
        <f t="array" aca="1" ref="C669" ca="1">_FV(Table20[[#This Row],[Asset]],"Ticker symbol",TRUE)</f>
        <v>NBIS</v>
      </c>
      <c r="D669" s="26" cm="1">
        <f t="array" aca="1" ref="D669" ca="1">_FV(Table20[[#This Row],[Asset]],"Price")</f>
        <v>116.395</v>
      </c>
      <c r="E669" s="26">
        <v>55</v>
      </c>
      <c r="F669" s="33">
        <v>5</v>
      </c>
      <c r="G669" s="34">
        <v>1</v>
      </c>
      <c r="H669" s="34" t="s">
        <v>113</v>
      </c>
      <c r="I669" s="31">
        <v>45860</v>
      </c>
      <c r="J669" s="26">
        <v>0.35</v>
      </c>
      <c r="K669" s="24"/>
      <c r="L669" s="33">
        <f>VLOOKUP(Table20[[#This Row],[Strategy]],Table29[#All],6,FALSE)</f>
        <v>1</v>
      </c>
      <c r="M669" s="23">
        <v>5</v>
      </c>
      <c r="N669" s="23">
        <v>0</v>
      </c>
      <c r="O669" s="23"/>
      <c r="P669" s="23"/>
      <c r="Q669">
        <f>Table20[[#This Row],[Exit1]]*Table20[[#This Row],[ex1_price]]</f>
        <v>0</v>
      </c>
      <c r="R669">
        <f>Table20[[#This Row],[Exit2]]*Table20[[#This Row],[ex2_price]]</f>
        <v>0</v>
      </c>
      <c r="S669">
        <f>IFERROR((Table20[[#This Row],[ex2_amnt]]+Table20[[#This Row],[ex1_amnt]])/(Table20[[#This Row],[Exit2]]+Table20[[#This Row],[Exit1]]),0)</f>
        <v>0</v>
      </c>
      <c r="T669" s="5">
        <f>(Table20[[#This Row],[Exit1]]+Table20[[#This Row],[Exit2]])*(Table20[[#This Row],[avg_exit_price]]-Table20[[#This Row],[AvePrice]])*100*Table20[[#This Row],[Buy or Sell]]</f>
        <v>-175</v>
      </c>
      <c r="U669" s="5">
        <f>Table20[[#This Row],[Number of options]]*Table20[[#This Row],[AvePrice]]*100*Table20[[#This Row],[Buy or Sell]]</f>
        <v>175</v>
      </c>
      <c r="V669" s="8">
        <f>Table20[[#This Row],[Number of options]]-Table20[[#This Row],[Exit1]]-Table20[[#This Row],[Exit2]]</f>
        <v>0</v>
      </c>
      <c r="W669" s="30">
        <f ca="1">(Table20[[#This Row],[Expiration Date]]-TODAY())/365</f>
        <v>-0.66849315068493154</v>
      </c>
      <c r="X669" s="30" t="e">
        <f ca="1">(LN(Table20[[#This Row],[Current Price]]/Table20[[#This Row],[strike_price]]) + ($B$2 + (Table20[[#This Row],[Vol]]^2)/2)*Table20[[#This Row],[Time to expiration]]) / (Table20[[#This Row],[Vol]] * SQRT(Table20[[#This Row],[Time to expiration]]))</f>
        <v>#NUM!</v>
      </c>
      <c r="Y669" s="30" t="e">
        <f ca="1">IF(Table20[[#This Row],[Direction]]&gt;0, _xlfn.NORM.S.DIST(Table20[[#This Row],[d1]], TRUE), _xlfn.NORM.S.DIST(Table20[[#This Row],[d1]], TRUE) - 1) * Table20[[#This Row],[Buy or Sell]]</f>
        <v>#NUM!</v>
      </c>
      <c r="Z669" s="9">
        <f ca="1">Table20[[#This Row],[Remaining]]*Table20[[#This Row],[Current Price]]*100</f>
        <v>0</v>
      </c>
      <c r="AA669" s="22">
        <f ca="1">IFERROR(Table20[[#This Row],[nominal_exposure]]*Table20[[#This Row],[Delta]],0)</f>
        <v>0</v>
      </c>
      <c r="AB669" s="30" t="b">
        <f>IF(Table20[[#This Row],[date_purchased]]&lt;&gt;Table20[[#This Row],[Expiration Date]],FALSE,TRUE)</f>
        <v>0</v>
      </c>
      <c r="AC669" s="30" t="str">
        <f>VLOOKUP(Table20[[#This Row],[Asset]],Table19[#All],3,FALSE)</f>
        <v>AI</v>
      </c>
      <c r="AD669" s="30">
        <f>IF(Table20[[#This Row],[Remaining]]&lt;&gt;0,Table20[[#This Row],[Invested]]*Table20[[#This Row],[Remaining]]/Table20[[#This Row],[Number of options]],0)</f>
        <v>0</v>
      </c>
      <c r="AE669" s="30">
        <f ca="1">SUMIF(Table20[Ticker],Table20[[#This Row],[Ticker]],Table20[realized_profit])</f>
        <v>1008.9999999999998</v>
      </c>
      <c r="AF669" s="30" t="str">
        <f>VLOOKUP(Table20[[#This Row],[Strategy]],Table29[#All],7,FALSE)</f>
        <v>Bullish</v>
      </c>
    </row>
    <row r="670" spans="1:32" hidden="1">
      <c r="A670" s="180">
        <v>45884</v>
      </c>
      <c r="B670" s="21" t="e" vm="16">
        <v>#VALUE!</v>
      </c>
      <c r="C670" s="109" t="str" cm="1">
        <f t="array" aca="1" ref="C670" ca="1">_FV(Table20[[#This Row],[Asset]],"Ticker symbol",TRUE)</f>
        <v>GOOG</v>
      </c>
      <c r="D670" s="26" cm="1">
        <f t="array" aca="1" ref="D670" ca="1">_FV(Table20[[#This Row],[Asset]],"Price")</f>
        <v>290.39</v>
      </c>
      <c r="E670" s="26">
        <v>220</v>
      </c>
      <c r="F670" s="33">
        <v>4</v>
      </c>
      <c r="G670" s="34">
        <v>-1</v>
      </c>
      <c r="H670" s="34" t="s">
        <v>115</v>
      </c>
      <c r="I670" s="31">
        <v>45834</v>
      </c>
      <c r="J670" s="26">
        <v>0.45</v>
      </c>
      <c r="K670" s="24"/>
      <c r="L670" s="33">
        <f>VLOOKUP(Table20[[#This Row],[Strategy]],Table29[#All],6,FALSE)</f>
        <v>1</v>
      </c>
      <c r="M670" s="23">
        <v>4</v>
      </c>
      <c r="N670" s="23">
        <v>0.03</v>
      </c>
      <c r="O670" s="23"/>
      <c r="P670" s="23"/>
      <c r="Q670">
        <f>Table20[[#This Row],[Exit1]]*Table20[[#This Row],[ex1_price]]</f>
        <v>0.12</v>
      </c>
      <c r="R670">
        <f>Table20[[#This Row],[Exit2]]*Table20[[#This Row],[ex2_price]]</f>
        <v>0</v>
      </c>
      <c r="S670">
        <f>IFERROR((Table20[[#This Row],[ex2_amnt]]+Table20[[#This Row],[ex1_amnt]])/(Table20[[#This Row],[Exit2]]+Table20[[#This Row],[Exit1]]),0)</f>
        <v>0.03</v>
      </c>
      <c r="T670" s="5">
        <f>(Table20[[#This Row],[Exit1]]+Table20[[#This Row],[Exit2]])*(Table20[[#This Row],[avg_exit_price]]-Table20[[#This Row],[AvePrice]])*100*Table20[[#This Row],[Buy or Sell]]</f>
        <v>168.00000000000003</v>
      </c>
      <c r="U670" s="5">
        <f>Table20[[#This Row],[Number of options]]*Table20[[#This Row],[AvePrice]]*100*Table20[[#This Row],[Buy or Sell]]</f>
        <v>-180</v>
      </c>
      <c r="V670" s="8">
        <f>Table20[[#This Row],[Number of options]]-Table20[[#This Row],[Exit1]]-Table20[[#This Row],[Exit2]]</f>
        <v>0</v>
      </c>
      <c r="W670" s="30">
        <f ca="1">(Table20[[#This Row],[Expiration Date]]-TODAY())/365</f>
        <v>-0.61095890410958908</v>
      </c>
      <c r="X670" s="30" t="e">
        <f ca="1">(LN(Table20[[#This Row],[Current Price]]/Table20[[#This Row],[strike_price]]) + ($B$2 + (Table20[[#This Row],[Vol]]^2)/2)*Table20[[#This Row],[Time to expiration]]) / (Table20[[#This Row],[Vol]] * SQRT(Table20[[#This Row],[Time to expiration]]))</f>
        <v>#NUM!</v>
      </c>
      <c r="Y670" s="30" t="e">
        <f ca="1">IF(Table20[[#This Row],[Direction]]&gt;0, _xlfn.NORM.S.DIST(Table20[[#This Row],[d1]], TRUE), _xlfn.NORM.S.DIST(Table20[[#This Row],[d1]], TRUE) - 1) * Table20[[#This Row],[Buy or Sell]]</f>
        <v>#NUM!</v>
      </c>
      <c r="Z670" s="9">
        <f ca="1">Table20[[#This Row],[Remaining]]*Table20[[#This Row],[Current Price]]*100</f>
        <v>0</v>
      </c>
      <c r="AA670" s="22">
        <f ca="1">IFERROR(Table20[[#This Row],[nominal_exposure]]*Table20[[#This Row],[Delta]],0)</f>
        <v>0</v>
      </c>
      <c r="AB670" s="30" t="b">
        <f>IF(Table20[[#This Row],[date_purchased]]&lt;&gt;Table20[[#This Row],[Expiration Date]],FALSE,TRUE)</f>
        <v>0</v>
      </c>
      <c r="AC670" s="30" t="str">
        <f>VLOOKUP(Table20[[#This Row],[Asset]],Table19[#All],3,FALSE)</f>
        <v>AI</v>
      </c>
      <c r="AD670" s="30">
        <f>IF(Table20[[#This Row],[Remaining]]&lt;&gt;0,Table20[[#This Row],[Invested]]*Table20[[#This Row],[Remaining]]/Table20[[#This Row],[Number of options]],0)</f>
        <v>0</v>
      </c>
      <c r="AE670" s="30">
        <f ca="1">SUMIF(Table20[Ticker],Table20[[#This Row],[Ticker]],Table20[realized_profit])</f>
        <v>4148.03</v>
      </c>
      <c r="AF670" s="30" t="str">
        <f>VLOOKUP(Table20[[#This Row],[Strategy]],Table29[#All],7,FALSE)</f>
        <v>Bullish</v>
      </c>
    </row>
    <row r="671" spans="1:32" hidden="1">
      <c r="A671" s="180">
        <v>46038</v>
      </c>
      <c r="B671" s="21" t="e" vm="171">
        <v>#VALUE!</v>
      </c>
      <c r="C671" s="109" t="str" cm="1">
        <f t="array" aca="1" ref="C671" ca="1">_FV(Table20[[#This Row],[Asset]],"Ticker symbol",TRUE)</f>
        <v>BIDU</v>
      </c>
      <c r="D671" s="26" cm="1">
        <f t="array" aca="1" ref="D671" ca="1">_FV(Table20[[#This Row],[Asset]],"Price")</f>
        <v>115.66</v>
      </c>
      <c r="E671" s="26">
        <v>150</v>
      </c>
      <c r="F671" s="33">
        <v>1</v>
      </c>
      <c r="G671" s="34">
        <v>1</v>
      </c>
      <c r="H671" s="34" t="s">
        <v>113</v>
      </c>
      <c r="I671" s="31">
        <v>45702</v>
      </c>
      <c r="J671" s="26">
        <v>6.21</v>
      </c>
      <c r="K671" s="24">
        <v>0.48060000000000003</v>
      </c>
      <c r="L671" s="33">
        <f>VLOOKUP(Table20[[#This Row],[Strategy]],Table29[#All],6,FALSE)</f>
        <v>1</v>
      </c>
      <c r="M671" s="23">
        <v>1</v>
      </c>
      <c r="N671" s="23">
        <v>1.07</v>
      </c>
      <c r="O671" s="23"/>
      <c r="P671" s="23"/>
      <c r="Q671">
        <f>Table20[[#This Row],[Exit1]]*Table20[[#This Row],[ex1_price]]</f>
        <v>1.07</v>
      </c>
      <c r="R671">
        <f>Table20[[#This Row],[Exit2]]*Table20[[#This Row],[ex2_price]]</f>
        <v>0</v>
      </c>
      <c r="S671">
        <f>IFERROR((Table20[[#This Row],[ex2_amnt]]+Table20[[#This Row],[ex1_amnt]])/(Table20[[#This Row],[Exit2]]+Table20[[#This Row],[Exit1]]),0)</f>
        <v>1.07</v>
      </c>
      <c r="T671" s="5">
        <f>(Table20[[#This Row],[Exit1]]+Table20[[#This Row],[Exit2]])*(Table20[[#This Row],[avg_exit_price]]-Table20[[#This Row],[AvePrice]])*100*Table20[[#This Row],[Buy or Sell]]</f>
        <v>-514</v>
      </c>
      <c r="U671" s="5">
        <f>Table20[[#This Row],[Number of options]]*Table20[[#This Row],[AvePrice]]*100*Table20[[#This Row],[Buy or Sell]]</f>
        <v>621</v>
      </c>
      <c r="V671" s="8">
        <f>Table20[[#This Row],[Number of options]]-Table20[[#This Row],[Exit1]]-Table20[[#This Row],[Exit2]]</f>
        <v>0</v>
      </c>
      <c r="W671" s="30">
        <f ca="1">(Table20[[#This Row],[Expiration Date]]-TODAY())/365</f>
        <v>-0.18904109589041096</v>
      </c>
      <c r="X671" s="30" t="e">
        <f ca="1">(LN(Table20[[#This Row],[Current Price]]/Table20[[#This Row],[strike_price]]) + ($B$2 + (Table20[[#This Row],[Vol]]^2)/2)*Table20[[#This Row],[Time to expiration]]) / (Table20[[#This Row],[Vol]] * SQRT(Table20[[#This Row],[Time to expiration]]))</f>
        <v>#NUM!</v>
      </c>
      <c r="Y671" s="30" t="e">
        <f ca="1">IF(Table20[[#This Row],[Direction]]&gt;0, _xlfn.NORM.S.DIST(Table20[[#This Row],[d1]], TRUE), _xlfn.NORM.S.DIST(Table20[[#This Row],[d1]], TRUE) - 1) * Table20[[#This Row],[Buy or Sell]]</f>
        <v>#NUM!</v>
      </c>
      <c r="Z671" s="9">
        <f ca="1">Table20[[#This Row],[Remaining]]*Table20[[#This Row],[Current Price]]*100</f>
        <v>0</v>
      </c>
      <c r="AA671" s="22">
        <f ca="1">IFERROR(Table20[[#This Row],[nominal_exposure]]*Table20[[#This Row],[Delta]],0)</f>
        <v>0</v>
      </c>
      <c r="AB671" s="30" t="b">
        <f>IF(Table20[[#This Row],[date_purchased]]&lt;&gt;Table20[[#This Row],[Expiration Date]],FALSE,TRUE)</f>
        <v>0</v>
      </c>
      <c r="AC671" s="30" t="str">
        <f>VLOOKUP(Table20[[#This Row],[Asset]],Table19[#All],3,FALSE)</f>
        <v>China</v>
      </c>
      <c r="AD671" s="30">
        <f>IF(Table20[[#This Row],[Remaining]]&lt;&gt;0,Table20[[#This Row],[Invested]]*Table20[[#This Row],[Remaining]]/Table20[[#This Row],[Number of options]],0)</f>
        <v>0</v>
      </c>
      <c r="AE671" s="30">
        <f ca="1">SUMIF(Table20[Ticker],Table20[[#This Row],[Ticker]],Table20[realized_profit])</f>
        <v>-514</v>
      </c>
      <c r="AF671" s="30" t="str">
        <f>VLOOKUP(Table20[[#This Row],[Strategy]],Table29[#All],7,FALSE)</f>
        <v>Bullish</v>
      </c>
    </row>
    <row r="672" spans="1:32" hidden="1">
      <c r="A672" s="180">
        <v>45884</v>
      </c>
      <c r="B672" s="21" t="e" vm="139">
        <v>#VALUE!</v>
      </c>
      <c r="C672" s="109" t="str" cm="1">
        <f t="array" aca="1" ref="C672" ca="1">_FV(Table20[[#This Row],[Asset]],"Ticker symbol",TRUE)</f>
        <v>WMT</v>
      </c>
      <c r="D672" s="26" cm="1">
        <f t="array" aca="1" ref="D672" ca="1">_FV(Table20[[#This Row],[Asset]],"Price")</f>
        <v>122.55500000000001</v>
      </c>
      <c r="E672" s="26">
        <v>97.5</v>
      </c>
      <c r="F672" s="33">
        <v>2</v>
      </c>
      <c r="G672" s="34">
        <v>1</v>
      </c>
      <c r="H672" s="34" t="s">
        <v>65</v>
      </c>
      <c r="I672" s="31">
        <v>45845</v>
      </c>
      <c r="J672" s="26">
        <v>1.96</v>
      </c>
      <c r="K672" s="24"/>
      <c r="L672" s="33">
        <f>VLOOKUP(Table20[[#This Row],[Strategy]],Table29[#All],6,FALSE)</f>
        <v>-1</v>
      </c>
      <c r="M672" s="23">
        <v>2</v>
      </c>
      <c r="N672" s="23">
        <v>1.01</v>
      </c>
      <c r="O672" s="23"/>
      <c r="P672" s="23"/>
      <c r="Q672">
        <f>Table20[[#This Row],[Exit1]]*Table20[[#This Row],[ex1_price]]</f>
        <v>2.02</v>
      </c>
      <c r="R672">
        <f>Table20[[#This Row],[Exit2]]*Table20[[#This Row],[ex2_price]]</f>
        <v>0</v>
      </c>
      <c r="S672">
        <f>IFERROR((Table20[[#This Row],[ex2_amnt]]+Table20[[#This Row],[ex1_amnt]])/(Table20[[#This Row],[Exit2]]+Table20[[#This Row],[Exit1]]),0)</f>
        <v>1.01</v>
      </c>
      <c r="T672" s="5">
        <f>(Table20[[#This Row],[Exit1]]+Table20[[#This Row],[Exit2]])*(Table20[[#This Row],[avg_exit_price]]-Table20[[#This Row],[AvePrice]])*100*Table20[[#This Row],[Buy or Sell]]</f>
        <v>-190</v>
      </c>
      <c r="U672" s="5">
        <f>Table20[[#This Row],[Number of options]]*Table20[[#This Row],[AvePrice]]*100*Table20[[#This Row],[Buy or Sell]]</f>
        <v>392</v>
      </c>
      <c r="V672" s="8">
        <f>Table20[[#This Row],[Number of options]]-Table20[[#This Row],[Exit1]]-Table20[[#This Row],[Exit2]]</f>
        <v>0</v>
      </c>
      <c r="W672" s="30">
        <f ca="1">(Table20[[#This Row],[Expiration Date]]-TODAY())/365</f>
        <v>-0.61095890410958908</v>
      </c>
      <c r="X672" s="30" t="e">
        <f ca="1">(LN(Table20[[#This Row],[Current Price]]/Table20[[#This Row],[strike_price]]) + ($B$2 + (Table20[[#This Row],[Vol]]^2)/2)*Table20[[#This Row],[Time to expiration]]) / (Table20[[#This Row],[Vol]] * SQRT(Table20[[#This Row],[Time to expiration]]))</f>
        <v>#NUM!</v>
      </c>
      <c r="Y672" s="30" t="e">
        <f ca="1">IF(Table20[[#This Row],[Direction]]&gt;0, _xlfn.NORM.S.DIST(Table20[[#This Row],[d1]], TRUE), _xlfn.NORM.S.DIST(Table20[[#This Row],[d1]], TRUE) - 1) * Table20[[#This Row],[Buy or Sell]]</f>
        <v>#NUM!</v>
      </c>
      <c r="Z672" s="9">
        <f ca="1">Table20[[#This Row],[Remaining]]*Table20[[#This Row],[Current Price]]*100</f>
        <v>0</v>
      </c>
      <c r="AA672" s="22">
        <f ca="1">IFERROR(Table20[[#This Row],[nominal_exposure]]*Table20[[#This Row],[Delta]],0)</f>
        <v>0</v>
      </c>
      <c r="AB672" s="30" t="b">
        <f>IF(Table20[[#This Row],[date_purchased]]&lt;&gt;Table20[[#This Row],[Expiration Date]],FALSE,TRUE)</f>
        <v>0</v>
      </c>
      <c r="AC672" s="30" t="str">
        <f>VLOOKUP(Table20[[#This Row],[Asset]],Table19[#All],3,FALSE)</f>
        <v>Consumer Staples</v>
      </c>
      <c r="AD672" s="30">
        <f>IF(Table20[[#This Row],[Remaining]]&lt;&gt;0,Table20[[#This Row],[Invested]]*Table20[[#This Row],[Remaining]]/Table20[[#This Row],[Number of options]],0)</f>
        <v>0</v>
      </c>
      <c r="AE672" s="30">
        <f ca="1">SUMIF(Table20[Ticker],Table20[[#This Row],[Ticker]],Table20[realized_profit])</f>
        <v>-838.16</v>
      </c>
      <c r="AF672" s="30" t="str">
        <f>VLOOKUP(Table20[[#This Row],[Strategy]],Table29[#All],7,FALSE)</f>
        <v>Bearish</v>
      </c>
    </row>
    <row r="673" spans="1:32" hidden="1">
      <c r="A673" s="180">
        <v>46038</v>
      </c>
      <c r="B673" s="21" t="e" vm="13">
        <v>#VALUE!</v>
      </c>
      <c r="C673" s="109" t="str" cm="1">
        <f t="array" aca="1" ref="C673" ca="1">_FV(Table20[[#This Row],[Asset]],"Ticker symbol",TRUE)</f>
        <v>ON</v>
      </c>
      <c r="D673" s="26" cm="1">
        <f t="array" aca="1" ref="D673" ca="1">_FV(Table20[[#This Row],[Asset]],"Price")</f>
        <v>63.68</v>
      </c>
      <c r="E673" s="26">
        <v>70</v>
      </c>
      <c r="F673" s="33">
        <v>3</v>
      </c>
      <c r="G673" s="34">
        <v>1</v>
      </c>
      <c r="H673" s="34" t="s">
        <v>113</v>
      </c>
      <c r="I673" s="31">
        <v>45740</v>
      </c>
      <c r="J673" s="26">
        <v>2.15</v>
      </c>
      <c r="K673" s="24">
        <v>0.49</v>
      </c>
      <c r="L673" s="33">
        <f>VLOOKUP(Table20[[#This Row],[Strategy]],Table29[#All],6,FALSE)</f>
        <v>1</v>
      </c>
      <c r="M673" s="23">
        <v>3</v>
      </c>
      <c r="N673" s="23">
        <v>3.28</v>
      </c>
      <c r="O673" s="23"/>
      <c r="P673" s="23"/>
      <c r="Q673">
        <f>Table20[[#This Row],[Exit1]]*Table20[[#This Row],[ex1_price]]</f>
        <v>9.84</v>
      </c>
      <c r="R673">
        <f>Table20[[#This Row],[Exit2]]*Table20[[#This Row],[ex2_price]]</f>
        <v>0</v>
      </c>
      <c r="S673">
        <f>IFERROR((Table20[[#This Row],[ex2_amnt]]+Table20[[#This Row],[ex1_amnt]])/(Table20[[#This Row],[Exit2]]+Table20[[#This Row],[Exit1]]),0)</f>
        <v>3.28</v>
      </c>
      <c r="T673" s="5">
        <f>(Table20[[#This Row],[Exit1]]+Table20[[#This Row],[Exit2]])*(Table20[[#This Row],[avg_exit_price]]-Table20[[#This Row],[AvePrice]])*100*Table20[[#This Row],[Buy or Sell]]</f>
        <v>338.99999999999994</v>
      </c>
      <c r="U673" s="5">
        <f>Table20[[#This Row],[Number of options]]*Table20[[#This Row],[AvePrice]]*100*Table20[[#This Row],[Buy or Sell]]</f>
        <v>644.99999999999989</v>
      </c>
      <c r="V673" s="8">
        <f>Table20[[#This Row],[Number of options]]-Table20[[#This Row],[Exit1]]-Table20[[#This Row],[Exit2]]</f>
        <v>0</v>
      </c>
      <c r="W673" s="30">
        <f ca="1">(Table20[[#This Row],[Expiration Date]]-TODAY())/365</f>
        <v>-0.18904109589041096</v>
      </c>
      <c r="X673" s="30" t="e">
        <f ca="1">(LN(Table20[[#This Row],[Current Price]]/Table20[[#This Row],[strike_price]]) + ($B$2 + (Table20[[#This Row],[Vol]]^2)/2)*Table20[[#This Row],[Time to expiration]]) / (Table20[[#This Row],[Vol]] * SQRT(Table20[[#This Row],[Time to expiration]]))</f>
        <v>#NUM!</v>
      </c>
      <c r="Y673" s="30" t="e">
        <f ca="1">IF(Table20[[#This Row],[Direction]]&gt;0, _xlfn.NORM.S.DIST(Table20[[#This Row],[d1]], TRUE), _xlfn.NORM.S.DIST(Table20[[#This Row],[d1]], TRUE) - 1) * Table20[[#This Row],[Buy or Sell]]</f>
        <v>#NUM!</v>
      </c>
      <c r="Z673" s="9">
        <f ca="1">Table20[[#This Row],[Remaining]]*Table20[[#This Row],[Current Price]]*100</f>
        <v>0</v>
      </c>
      <c r="AA673" s="22">
        <f ca="1">IFERROR(Table20[[#This Row],[nominal_exposure]]*Table20[[#This Row],[Delta]],0)</f>
        <v>0</v>
      </c>
      <c r="AB673" s="30" t="b">
        <f>IF(Table20[[#This Row],[date_purchased]]&lt;&gt;Table20[[#This Row],[Expiration Date]],FALSE,TRUE)</f>
        <v>0</v>
      </c>
      <c r="AC673" s="30" t="str">
        <f>VLOOKUP(Table20[[#This Row],[Asset]],Table19[#All],3,FALSE)</f>
        <v>Semiconductor</v>
      </c>
      <c r="AD673" s="30">
        <f>IF(Table20[[#This Row],[Remaining]]&lt;&gt;0,Table20[[#This Row],[Invested]]*Table20[[#This Row],[Remaining]]/Table20[[#This Row],[Number of options]],0)</f>
        <v>0</v>
      </c>
      <c r="AE673" s="30">
        <f ca="1">SUMIF(Table20[Ticker],Table20[[#This Row],[Ticker]],Table20[realized_profit])</f>
        <v>1055.92</v>
      </c>
      <c r="AF673" s="30" t="str">
        <f>VLOOKUP(Table20[[#This Row],[Strategy]],Table29[#All],7,FALSE)</f>
        <v>Bullish</v>
      </c>
    </row>
    <row r="674" spans="1:32" hidden="1">
      <c r="A674" s="180">
        <v>46038</v>
      </c>
      <c r="B674" s="21" t="e" vm="159">
        <v>#VALUE!</v>
      </c>
      <c r="C674" s="109" t="str" cm="1">
        <f t="array" aca="1" ref="C674" ca="1">_FV(Table20[[#This Row],[Asset]],"Ticker symbol",TRUE)</f>
        <v>BABA</v>
      </c>
      <c r="D674" s="26" cm="1">
        <f t="array" aca="1" ref="D674" ca="1">_FV(Table20[[#This Row],[Asset]],"Price")</f>
        <v>129.63999999999999</v>
      </c>
      <c r="E674" s="26">
        <v>70</v>
      </c>
      <c r="F674" s="33">
        <v>3</v>
      </c>
      <c r="G674" s="34">
        <v>1</v>
      </c>
      <c r="H674" s="34" t="s">
        <v>65</v>
      </c>
      <c r="I674" s="31">
        <v>45761</v>
      </c>
      <c r="J674" s="26">
        <v>2.74</v>
      </c>
      <c r="K674" s="24">
        <v>0.43680000000000002</v>
      </c>
      <c r="L674" s="33">
        <f>VLOOKUP(Table20[[#This Row],[Strategy]],Table29[#All],6,FALSE)</f>
        <v>-1</v>
      </c>
      <c r="M674" s="23">
        <v>3</v>
      </c>
      <c r="N674" s="23">
        <v>0.4</v>
      </c>
      <c r="O674" s="23"/>
      <c r="P674" s="23"/>
      <c r="Q674">
        <f>Table20[[#This Row],[Exit1]]*Table20[[#This Row],[ex1_price]]</f>
        <v>1.2000000000000002</v>
      </c>
      <c r="R674">
        <f>Table20[[#This Row],[Exit2]]*Table20[[#This Row],[ex2_price]]</f>
        <v>0</v>
      </c>
      <c r="S674">
        <f>IFERROR((Table20[[#This Row],[ex2_amnt]]+Table20[[#This Row],[ex1_amnt]])/(Table20[[#This Row],[Exit2]]+Table20[[#This Row],[Exit1]]),0)</f>
        <v>0.40000000000000008</v>
      </c>
      <c r="T674" s="5">
        <f>(Table20[[#This Row],[Exit1]]+Table20[[#This Row],[Exit2]])*(Table20[[#This Row],[avg_exit_price]]-Table20[[#This Row],[AvePrice]])*100*Table20[[#This Row],[Buy or Sell]]</f>
        <v>-702.00000000000011</v>
      </c>
      <c r="U674" s="5">
        <f>Table20[[#This Row],[Number of options]]*Table20[[#This Row],[AvePrice]]*100*Table20[[#This Row],[Buy or Sell]]</f>
        <v>822.00000000000011</v>
      </c>
      <c r="V674" s="8">
        <f>Table20[[#This Row],[Number of options]]-Table20[[#This Row],[Exit1]]-Table20[[#This Row],[Exit2]]</f>
        <v>0</v>
      </c>
      <c r="W674" s="30">
        <f ca="1">(Table20[[#This Row],[Expiration Date]]-TODAY())/365</f>
        <v>-0.18904109589041096</v>
      </c>
      <c r="X674" s="30" t="e">
        <f ca="1">(LN(Table20[[#This Row],[Current Price]]/Table20[[#This Row],[strike_price]]) + ($B$2 + (Table20[[#This Row],[Vol]]^2)/2)*Table20[[#This Row],[Time to expiration]]) / (Table20[[#This Row],[Vol]] * SQRT(Table20[[#This Row],[Time to expiration]]))</f>
        <v>#NUM!</v>
      </c>
      <c r="Y674" s="30" t="e">
        <f ca="1">IF(Table20[[#This Row],[Direction]]&gt;0, _xlfn.NORM.S.DIST(Table20[[#This Row],[d1]], TRUE), _xlfn.NORM.S.DIST(Table20[[#This Row],[d1]], TRUE) - 1) * Table20[[#This Row],[Buy or Sell]]</f>
        <v>#NUM!</v>
      </c>
      <c r="Z674" s="9">
        <f ca="1">Table20[[#This Row],[Remaining]]*Table20[[#This Row],[Current Price]]*100</f>
        <v>0</v>
      </c>
      <c r="AA674" s="22">
        <f ca="1">IFERROR(Table20[[#This Row],[nominal_exposure]]*Table20[[#This Row],[Delta]],0)</f>
        <v>0</v>
      </c>
      <c r="AB674" s="30" t="b">
        <f>IF(Table20[[#This Row],[date_purchased]]&lt;&gt;Table20[[#This Row],[Expiration Date]],FALSE,TRUE)</f>
        <v>0</v>
      </c>
      <c r="AC674" s="30" t="str">
        <f>VLOOKUP(Table20[[#This Row],[Asset]],Table19[#All],3,FALSE)</f>
        <v>China</v>
      </c>
      <c r="AD674" s="30">
        <f>IF(Table20[[#This Row],[Remaining]]&lt;&gt;0,Table20[[#This Row],[Invested]]*Table20[[#This Row],[Remaining]]/Table20[[#This Row],[Number of options]],0)</f>
        <v>0</v>
      </c>
      <c r="AE674" s="30">
        <f ca="1">SUMIF(Table20[Ticker],Table20[[#This Row],[Ticker]],Table20[realized_profit])</f>
        <v>5855</v>
      </c>
      <c r="AF674" s="30" t="str">
        <f>VLOOKUP(Table20[[#This Row],[Strategy]],Table29[#All],7,FALSE)</f>
        <v>Bearish</v>
      </c>
    </row>
    <row r="675" spans="1:32" hidden="1">
      <c r="A675" s="180">
        <v>46038</v>
      </c>
      <c r="B675" s="21" t="e" vm="6">
        <v>#VALUE!</v>
      </c>
      <c r="C675" s="109" t="str" cm="1">
        <f t="array" aca="1" ref="C675" ca="1">_FV(Table20[[#This Row],[Asset]],"Ticker symbol",TRUE)</f>
        <v>KTOS</v>
      </c>
      <c r="D675" s="26" cm="1">
        <f t="array" aca="1" ref="D675" ca="1">_FV(Table20[[#This Row],[Asset]],"Price")</f>
        <v>78.194999999999993</v>
      </c>
      <c r="E675" s="26">
        <v>40</v>
      </c>
      <c r="F675" s="33">
        <v>1</v>
      </c>
      <c r="G675" s="34">
        <v>1</v>
      </c>
      <c r="H675" s="34" t="s">
        <v>113</v>
      </c>
      <c r="I675" s="31">
        <v>45775</v>
      </c>
      <c r="J675" s="26">
        <v>4.2</v>
      </c>
      <c r="K675" s="24">
        <v>0.49</v>
      </c>
      <c r="L675" s="33">
        <f>VLOOKUP(Table20[[#This Row],[Strategy]],Table29[#All],6,FALSE)</f>
        <v>1</v>
      </c>
      <c r="M675" s="23">
        <v>1</v>
      </c>
      <c r="N675" s="23">
        <v>14.6</v>
      </c>
      <c r="O675" s="23"/>
      <c r="P675" s="23"/>
      <c r="Q675">
        <f>Table20[[#This Row],[Exit1]]*Table20[[#This Row],[ex1_price]]</f>
        <v>14.6</v>
      </c>
      <c r="R675">
        <f>Table20[[#This Row],[Exit2]]*Table20[[#This Row],[ex2_price]]</f>
        <v>0</v>
      </c>
      <c r="S675">
        <f>IFERROR((Table20[[#This Row],[ex2_amnt]]+Table20[[#This Row],[ex1_amnt]])/(Table20[[#This Row],[Exit2]]+Table20[[#This Row],[Exit1]]),0)</f>
        <v>14.6</v>
      </c>
      <c r="T675" s="5">
        <f>(Table20[[#This Row],[Exit1]]+Table20[[#This Row],[Exit2]])*(Table20[[#This Row],[avg_exit_price]]-Table20[[#This Row],[AvePrice]])*100*Table20[[#This Row],[Buy or Sell]]</f>
        <v>1039.9999999999998</v>
      </c>
      <c r="U675" s="5">
        <f>Table20[[#This Row],[Number of options]]*Table20[[#This Row],[AvePrice]]*100*Table20[[#This Row],[Buy or Sell]]</f>
        <v>420</v>
      </c>
      <c r="V675" s="8">
        <f>Table20[[#This Row],[Number of options]]-Table20[[#This Row],[Exit1]]-Table20[[#This Row],[Exit2]]</f>
        <v>0</v>
      </c>
      <c r="W675" s="30">
        <f ca="1">(Table20[[#This Row],[Expiration Date]]-TODAY())/365</f>
        <v>-0.18904109589041096</v>
      </c>
      <c r="X675" s="30" t="e">
        <f ca="1">(LN(Table20[[#This Row],[Current Price]]/Table20[[#This Row],[strike_price]]) + ($B$2 + (Table20[[#This Row],[Vol]]^2)/2)*Table20[[#This Row],[Time to expiration]]) / (Table20[[#This Row],[Vol]] * SQRT(Table20[[#This Row],[Time to expiration]]))</f>
        <v>#NUM!</v>
      </c>
      <c r="Y675" s="30" t="e">
        <f ca="1">IF(Table20[[#This Row],[Direction]]&gt;0, _xlfn.NORM.S.DIST(Table20[[#This Row],[d1]], TRUE), _xlfn.NORM.S.DIST(Table20[[#This Row],[d1]], TRUE) - 1) * Table20[[#This Row],[Buy or Sell]]</f>
        <v>#NUM!</v>
      </c>
      <c r="Z675" s="9">
        <f ca="1">Table20[[#This Row],[Remaining]]*Table20[[#This Row],[Current Price]]*100</f>
        <v>0</v>
      </c>
      <c r="AA675" s="22">
        <f ca="1">IFERROR(Table20[[#This Row],[nominal_exposure]]*Table20[[#This Row],[Delta]],0)</f>
        <v>0</v>
      </c>
      <c r="AB675" s="30" t="b">
        <f>IF(Table20[[#This Row],[date_purchased]]&lt;&gt;Table20[[#This Row],[Expiration Date]],FALSE,TRUE)</f>
        <v>0</v>
      </c>
      <c r="AC675" s="30" t="str">
        <f>VLOOKUP(Table20[[#This Row],[Asset]],Table19[#All],3,FALSE)</f>
        <v>Defense</v>
      </c>
      <c r="AD675" s="30">
        <f>IF(Table20[[#This Row],[Remaining]]&lt;&gt;0,Table20[[#This Row],[Invested]]*Table20[[#This Row],[Remaining]]/Table20[[#This Row],[Number of options]],0)</f>
        <v>0</v>
      </c>
      <c r="AE675" s="30">
        <f ca="1">SUMIF(Table20[Ticker],Table20[[#This Row],[Ticker]],Table20[realized_profit])</f>
        <v>1039.9999999999998</v>
      </c>
      <c r="AF675" s="30" t="str">
        <f>VLOOKUP(Table20[[#This Row],[Strategy]],Table29[#All],7,FALSE)</f>
        <v>Bullish</v>
      </c>
    </row>
    <row r="676" spans="1:32" hidden="1">
      <c r="A676" s="180">
        <v>45884</v>
      </c>
      <c r="B676" s="21" t="e" vm="139">
        <v>#VALUE!</v>
      </c>
      <c r="C676" s="109" t="str" cm="1">
        <f t="array" aca="1" ref="C676" ca="1">_FV(Table20[[#This Row],[Asset]],"Ticker symbol",TRUE)</f>
        <v>WMT</v>
      </c>
      <c r="D676" s="26" cm="1">
        <f t="array" aca="1" ref="D676" ca="1">_FV(Table20[[#This Row],[Asset]],"Price")</f>
        <v>122.55500000000001</v>
      </c>
      <c r="E676" s="26">
        <v>95</v>
      </c>
      <c r="F676" s="33">
        <v>1</v>
      </c>
      <c r="G676" s="34">
        <v>1</v>
      </c>
      <c r="H676" s="34" t="s">
        <v>112</v>
      </c>
      <c r="I676" s="31">
        <v>45869</v>
      </c>
      <c r="J676" s="26">
        <v>0.61</v>
      </c>
      <c r="K676" s="24"/>
      <c r="L676" s="33">
        <f>VLOOKUP(Table20[[#This Row],[Strategy]],Table29[#All],6,FALSE)</f>
        <v>-1</v>
      </c>
      <c r="M676" s="23">
        <v>1</v>
      </c>
      <c r="N676" s="23">
        <v>0</v>
      </c>
      <c r="O676" s="23"/>
      <c r="P676" s="23"/>
      <c r="Q676">
        <f>Table20[[#This Row],[Exit1]]*Table20[[#This Row],[ex1_price]]</f>
        <v>0</v>
      </c>
      <c r="R676">
        <f>Table20[[#This Row],[Exit2]]*Table20[[#This Row],[ex2_price]]</f>
        <v>0</v>
      </c>
      <c r="S676">
        <f>IFERROR((Table20[[#This Row],[ex2_amnt]]+Table20[[#This Row],[ex1_amnt]])/(Table20[[#This Row],[Exit2]]+Table20[[#This Row],[Exit1]]),0)</f>
        <v>0</v>
      </c>
      <c r="T676" s="5">
        <f>(Table20[[#This Row],[Exit1]]+Table20[[#This Row],[Exit2]])*(Table20[[#This Row],[avg_exit_price]]-Table20[[#This Row],[AvePrice]])*100*Table20[[#This Row],[Buy or Sell]]</f>
        <v>-61</v>
      </c>
      <c r="U676" s="5">
        <f>Table20[[#This Row],[Number of options]]*Table20[[#This Row],[AvePrice]]*100*Table20[[#This Row],[Buy or Sell]]</f>
        <v>61</v>
      </c>
      <c r="V676" s="8">
        <f>Table20[[#This Row],[Number of options]]-Table20[[#This Row],[Exit1]]-Table20[[#This Row],[Exit2]]</f>
        <v>0</v>
      </c>
      <c r="W676" s="30">
        <f ca="1">(Table20[[#This Row],[Expiration Date]]-TODAY())/365</f>
        <v>-0.61095890410958908</v>
      </c>
      <c r="X676" s="30" t="e">
        <f ca="1">(LN(Table20[[#This Row],[Current Price]]/Table20[[#This Row],[strike_price]]) + ($B$2 + (Table20[[#This Row],[Vol]]^2)/2)*Table20[[#This Row],[Time to expiration]]) / (Table20[[#This Row],[Vol]] * SQRT(Table20[[#This Row],[Time to expiration]]))</f>
        <v>#NUM!</v>
      </c>
      <c r="Y676" s="30" t="e">
        <f ca="1">IF(Table20[[#This Row],[Direction]]&gt;0, _xlfn.NORM.S.DIST(Table20[[#This Row],[d1]], TRUE), _xlfn.NORM.S.DIST(Table20[[#This Row],[d1]], TRUE) - 1) * Table20[[#This Row],[Buy or Sell]]</f>
        <v>#NUM!</v>
      </c>
      <c r="Z676" s="9">
        <f ca="1">Table20[[#This Row],[Remaining]]*Table20[[#This Row],[Current Price]]*100</f>
        <v>0</v>
      </c>
      <c r="AA676" s="22">
        <f ca="1">IFERROR(Table20[[#This Row],[nominal_exposure]]*Table20[[#This Row],[Delta]],0)</f>
        <v>0</v>
      </c>
      <c r="AB676" s="30" t="b">
        <f>IF(Table20[[#This Row],[date_purchased]]&lt;&gt;Table20[[#This Row],[Expiration Date]],FALSE,TRUE)</f>
        <v>0</v>
      </c>
      <c r="AC676" s="30" t="str">
        <f>VLOOKUP(Table20[[#This Row],[Asset]],Table19[#All],3,FALSE)</f>
        <v>Consumer Staples</v>
      </c>
      <c r="AD676" s="30">
        <f>IF(Table20[[#This Row],[Remaining]]&lt;&gt;0,Table20[[#This Row],[Invested]]*Table20[[#This Row],[Remaining]]/Table20[[#This Row],[Number of options]],0)</f>
        <v>0</v>
      </c>
      <c r="AE676" s="30">
        <f ca="1">SUMIF(Table20[Ticker],Table20[[#This Row],[Ticker]],Table20[realized_profit])</f>
        <v>-838.16</v>
      </c>
      <c r="AF676" s="30" t="str">
        <f>VLOOKUP(Table20[[#This Row],[Strategy]],Table29[#All],7,FALSE)</f>
        <v>Bearish</v>
      </c>
    </row>
    <row r="677" spans="1:32" hidden="1">
      <c r="A677" s="180">
        <v>46038</v>
      </c>
      <c r="B677" s="21" t="e" vm="145">
        <v>#VALUE!</v>
      </c>
      <c r="C677" s="109" t="str" cm="1">
        <f t="array" aca="1" ref="C677" ca="1">_FV(Table20[[#This Row],[Asset]],"Ticker symbol",TRUE)</f>
        <v>MDB</v>
      </c>
      <c r="D677" s="26" cm="1">
        <f t="array" aca="1" ref="D677" ca="1">_FV(Table20[[#This Row],[Asset]],"Price")</f>
        <v>249.61</v>
      </c>
      <c r="E677" s="26">
        <v>400</v>
      </c>
      <c r="F677" s="33">
        <v>2</v>
      </c>
      <c r="G677" s="34">
        <v>1</v>
      </c>
      <c r="H677" s="34" t="s">
        <v>114</v>
      </c>
      <c r="I677" s="31">
        <v>45814</v>
      </c>
      <c r="J677" s="26">
        <v>4.38</v>
      </c>
      <c r="K677" s="24">
        <v>0.49</v>
      </c>
      <c r="L677" s="33">
        <f>VLOOKUP(Table20[[#This Row],[Strategy]],Table29[#All],6,FALSE)</f>
        <v>1</v>
      </c>
      <c r="M677" s="23">
        <v>2</v>
      </c>
      <c r="N677" s="23">
        <v>10.1</v>
      </c>
      <c r="O677" s="23"/>
      <c r="P677" s="23"/>
      <c r="Q677">
        <f>Table20[[#This Row],[Exit1]]*Table20[[#This Row],[ex1_price]]</f>
        <v>20.2</v>
      </c>
      <c r="R677">
        <f>Table20[[#This Row],[Exit2]]*Table20[[#This Row],[ex2_price]]</f>
        <v>0</v>
      </c>
      <c r="S677">
        <f>IFERROR((Table20[[#This Row],[ex2_amnt]]+Table20[[#This Row],[ex1_amnt]])/(Table20[[#This Row],[Exit2]]+Table20[[#This Row],[Exit1]]),0)</f>
        <v>10.1</v>
      </c>
      <c r="T677" s="5">
        <f>(Table20[[#This Row],[Exit1]]+Table20[[#This Row],[Exit2]])*(Table20[[#This Row],[avg_exit_price]]-Table20[[#This Row],[AvePrice]])*100*Table20[[#This Row],[Buy or Sell]]</f>
        <v>1144</v>
      </c>
      <c r="U677" s="5">
        <f>Table20[[#This Row],[Number of options]]*Table20[[#This Row],[AvePrice]]*100*Table20[[#This Row],[Buy or Sell]]</f>
        <v>876</v>
      </c>
      <c r="V677" s="8">
        <f>Table20[[#This Row],[Number of options]]-Table20[[#This Row],[Exit1]]-Table20[[#This Row],[Exit2]]</f>
        <v>0</v>
      </c>
      <c r="W677" s="30">
        <f ca="1">(Table20[[#This Row],[Expiration Date]]-TODAY())/365</f>
        <v>-0.18904109589041096</v>
      </c>
      <c r="X677" s="30" t="e">
        <f ca="1">(LN(Table20[[#This Row],[Current Price]]/Table20[[#This Row],[strike_price]]) + ($B$2 + (Table20[[#This Row],[Vol]]^2)/2)*Table20[[#This Row],[Time to expiration]]) / (Table20[[#This Row],[Vol]] * SQRT(Table20[[#This Row],[Time to expiration]]))</f>
        <v>#NUM!</v>
      </c>
      <c r="Y677" s="30" t="e">
        <f ca="1">IF(Table20[[#This Row],[Direction]]&gt;0, _xlfn.NORM.S.DIST(Table20[[#This Row],[d1]], TRUE), _xlfn.NORM.S.DIST(Table20[[#This Row],[d1]], TRUE) - 1) * Table20[[#This Row],[Buy or Sell]]</f>
        <v>#NUM!</v>
      </c>
      <c r="Z677" s="9">
        <f ca="1">Table20[[#This Row],[Remaining]]*Table20[[#This Row],[Current Price]]*100</f>
        <v>0</v>
      </c>
      <c r="AA677" s="22">
        <f ca="1">IFERROR(Table20[[#This Row],[nominal_exposure]]*Table20[[#This Row],[Delta]],0)</f>
        <v>0</v>
      </c>
      <c r="AB677" s="30" t="b">
        <f>IF(Table20[[#This Row],[date_purchased]]&lt;&gt;Table20[[#This Row],[Expiration Date]],FALSE,TRUE)</f>
        <v>0</v>
      </c>
      <c r="AC677" s="30" t="str">
        <f>VLOOKUP(Table20[[#This Row],[Asset]],Table19[#All],3,FALSE)</f>
        <v>Technology</v>
      </c>
      <c r="AD677" s="30">
        <f>IF(Table20[[#This Row],[Remaining]]&lt;&gt;0,Table20[[#This Row],[Invested]]*Table20[[#This Row],[Remaining]]/Table20[[#This Row],[Number of options]],0)</f>
        <v>0</v>
      </c>
      <c r="AE677" s="30">
        <f ca="1">SUMIF(Table20[Ticker],Table20[[#This Row],[Ticker]],Table20[realized_profit])</f>
        <v>505.99999999999989</v>
      </c>
      <c r="AF677" s="30" t="str">
        <f>VLOOKUP(Table20[[#This Row],[Strategy]],Table29[#All],7,FALSE)</f>
        <v>Bullish</v>
      </c>
    </row>
    <row r="678" spans="1:32" hidden="1">
      <c r="A678" s="180">
        <v>46038</v>
      </c>
      <c r="B678" s="21" t="e" vm="145">
        <v>#VALUE!</v>
      </c>
      <c r="C678" s="109" t="str" cm="1">
        <f t="array" aca="1" ref="C678" ca="1">_FV(Table20[[#This Row],[Asset]],"Ticker symbol",TRUE)</f>
        <v>MDB</v>
      </c>
      <c r="D678" s="26" cm="1">
        <f t="array" aca="1" ref="D678" ca="1">_FV(Table20[[#This Row],[Asset]],"Price")</f>
        <v>249.61</v>
      </c>
      <c r="E678" s="26">
        <v>450</v>
      </c>
      <c r="F678" s="33">
        <v>2</v>
      </c>
      <c r="G678" s="34">
        <v>-1</v>
      </c>
      <c r="H678" s="34" t="s">
        <v>114</v>
      </c>
      <c r="I678" s="31">
        <v>45814</v>
      </c>
      <c r="J678" s="26">
        <v>2.42</v>
      </c>
      <c r="K678" s="24">
        <v>0.53</v>
      </c>
      <c r="L678" s="33">
        <f>VLOOKUP(Table20[[#This Row],[Strategy]],Table29[#All],6,FALSE)</f>
        <v>1</v>
      </c>
      <c r="M678" s="23">
        <v>2</v>
      </c>
      <c r="N678" s="23">
        <v>5.15</v>
      </c>
      <c r="O678" s="23"/>
      <c r="P678" s="23"/>
      <c r="Q678">
        <f>Table20[[#This Row],[Exit1]]*Table20[[#This Row],[ex1_price]]</f>
        <v>10.3</v>
      </c>
      <c r="R678">
        <f>Table20[[#This Row],[Exit2]]*Table20[[#This Row],[ex2_price]]</f>
        <v>0</v>
      </c>
      <c r="S678">
        <f>IFERROR((Table20[[#This Row],[ex2_amnt]]+Table20[[#This Row],[ex1_amnt]])/(Table20[[#This Row],[Exit2]]+Table20[[#This Row],[Exit1]]),0)</f>
        <v>5.15</v>
      </c>
      <c r="T678" s="5">
        <f>(Table20[[#This Row],[Exit1]]+Table20[[#This Row],[Exit2]])*(Table20[[#This Row],[avg_exit_price]]-Table20[[#This Row],[AvePrice]])*100*Table20[[#This Row],[Buy or Sell]]</f>
        <v>-546.00000000000011</v>
      </c>
      <c r="U678" s="5">
        <f>Table20[[#This Row],[Number of options]]*Table20[[#This Row],[AvePrice]]*100*Table20[[#This Row],[Buy or Sell]]</f>
        <v>-484</v>
      </c>
      <c r="V678" s="8">
        <f>Table20[[#This Row],[Number of options]]-Table20[[#This Row],[Exit1]]-Table20[[#This Row],[Exit2]]</f>
        <v>0</v>
      </c>
      <c r="W678" s="30">
        <f ca="1">(Table20[[#This Row],[Expiration Date]]-TODAY())/365</f>
        <v>-0.18904109589041096</v>
      </c>
      <c r="X678" s="30" t="e">
        <f ca="1">(LN(Table20[[#This Row],[Current Price]]/Table20[[#This Row],[strike_price]]) + ($B$2 + (Table20[[#This Row],[Vol]]^2)/2)*Table20[[#This Row],[Time to expiration]]) / (Table20[[#This Row],[Vol]] * SQRT(Table20[[#This Row],[Time to expiration]]))</f>
        <v>#NUM!</v>
      </c>
      <c r="Y678" s="30" t="e">
        <f ca="1">IF(Table20[[#This Row],[Direction]]&gt;0, _xlfn.NORM.S.DIST(Table20[[#This Row],[d1]], TRUE), _xlfn.NORM.S.DIST(Table20[[#This Row],[d1]], TRUE) - 1) * Table20[[#This Row],[Buy or Sell]]</f>
        <v>#NUM!</v>
      </c>
      <c r="Z678" s="9">
        <f ca="1">Table20[[#This Row],[Remaining]]*Table20[[#This Row],[Current Price]]*100</f>
        <v>0</v>
      </c>
      <c r="AA678" s="22">
        <f ca="1">IFERROR(Table20[[#This Row],[nominal_exposure]]*Table20[[#This Row],[Delta]],0)</f>
        <v>0</v>
      </c>
      <c r="AB678" s="30" t="b">
        <f>IF(Table20[[#This Row],[date_purchased]]&lt;&gt;Table20[[#This Row],[Expiration Date]],FALSE,TRUE)</f>
        <v>0</v>
      </c>
      <c r="AC678" s="30" t="str">
        <f>VLOOKUP(Table20[[#This Row],[Asset]],Table19[#All],3,FALSE)</f>
        <v>Technology</v>
      </c>
      <c r="AD678" s="30">
        <f>IF(Table20[[#This Row],[Remaining]]&lt;&gt;0,Table20[[#This Row],[Invested]]*Table20[[#This Row],[Remaining]]/Table20[[#This Row],[Number of options]],0)</f>
        <v>0</v>
      </c>
      <c r="AE678" s="30">
        <f ca="1">SUMIF(Table20[Ticker],Table20[[#This Row],[Ticker]],Table20[realized_profit])</f>
        <v>505.99999999999989</v>
      </c>
      <c r="AF678" s="30" t="str">
        <f>VLOOKUP(Table20[[#This Row],[Strategy]],Table29[#All],7,FALSE)</f>
        <v>Bullish</v>
      </c>
    </row>
    <row r="679" spans="1:32" hidden="1">
      <c r="A679" s="180">
        <v>45821</v>
      </c>
      <c r="B679" s="21" t="e" vm="63">
        <v>#VALUE!</v>
      </c>
      <c r="C679" s="109" t="str" cm="1">
        <f t="array" aca="1" ref="C679" ca="1">_FV(Table20[[#This Row],[Asset]],"Ticker symbol",TRUE)</f>
        <v>TSLA</v>
      </c>
      <c r="D679" s="26" cm="1">
        <f t="array" aca="1" ref="D679" ca="1">_FV(Table20[[#This Row],[Asset]],"Price")</f>
        <v>394.5401</v>
      </c>
      <c r="E679" s="26">
        <v>300</v>
      </c>
      <c r="F679" s="33">
        <v>1</v>
      </c>
      <c r="G679" s="34">
        <v>1</v>
      </c>
      <c r="H679" s="34" t="s">
        <v>65</v>
      </c>
      <c r="I679" s="31">
        <v>45818</v>
      </c>
      <c r="J679" s="26">
        <v>1.43</v>
      </c>
      <c r="K679" s="24"/>
      <c r="L679" s="33">
        <f>VLOOKUP(Table20[[#This Row],[Strategy]],Table29[#All],6,FALSE)</f>
        <v>-1</v>
      </c>
      <c r="M679" s="23">
        <v>1</v>
      </c>
      <c r="N679" s="23">
        <v>0.38</v>
      </c>
      <c r="O679" s="23"/>
      <c r="P679" s="23"/>
      <c r="Q679">
        <f>Table20[[#This Row],[Exit1]]*Table20[[#This Row],[ex1_price]]</f>
        <v>0.38</v>
      </c>
      <c r="R679">
        <f>Table20[[#This Row],[Exit2]]*Table20[[#This Row],[ex2_price]]</f>
        <v>0</v>
      </c>
      <c r="S679">
        <f>IFERROR((Table20[[#This Row],[ex2_amnt]]+Table20[[#This Row],[ex1_amnt]])/(Table20[[#This Row],[Exit2]]+Table20[[#This Row],[Exit1]]),0)</f>
        <v>0.38</v>
      </c>
      <c r="T679" s="5">
        <f>(Table20[[#This Row],[Exit1]]+Table20[[#This Row],[Exit2]])*(Table20[[#This Row],[avg_exit_price]]-Table20[[#This Row],[AvePrice]])*100*Table20[[#This Row],[Buy or Sell]]</f>
        <v>-104.99999999999999</v>
      </c>
      <c r="U679" s="5">
        <f>Table20[[#This Row],[Number of options]]*Table20[[#This Row],[AvePrice]]*100*Table20[[#This Row],[Buy or Sell]]</f>
        <v>143</v>
      </c>
      <c r="V679" s="8">
        <f>Table20[[#This Row],[Number of options]]-Table20[[#This Row],[Exit1]]-Table20[[#This Row],[Exit2]]</f>
        <v>0</v>
      </c>
      <c r="W679" s="30">
        <f ca="1">(Table20[[#This Row],[Expiration Date]]-TODAY())/365</f>
        <v>-0.78356164383561644</v>
      </c>
      <c r="X679" s="30" t="e">
        <f ca="1">(LN(Table20[[#This Row],[Current Price]]/Table20[[#This Row],[strike_price]]) + ($B$2 + (Table20[[#This Row],[Vol]]^2)/2)*Table20[[#This Row],[Time to expiration]]) / (Table20[[#This Row],[Vol]] * SQRT(Table20[[#This Row],[Time to expiration]]))</f>
        <v>#NUM!</v>
      </c>
      <c r="Y679" s="30" t="e">
        <f ca="1">IF(Table20[[#This Row],[Direction]]&gt;0, _xlfn.NORM.S.DIST(Table20[[#This Row],[d1]], TRUE), _xlfn.NORM.S.DIST(Table20[[#This Row],[d1]], TRUE) - 1) * Table20[[#This Row],[Buy or Sell]]</f>
        <v>#NUM!</v>
      </c>
      <c r="Z679" s="9">
        <f ca="1">Table20[[#This Row],[Remaining]]*Table20[[#This Row],[Current Price]]*100</f>
        <v>0</v>
      </c>
      <c r="AA679" s="22">
        <f ca="1">IFERROR(Table20[[#This Row],[nominal_exposure]]*Table20[[#This Row],[Delta]],0)</f>
        <v>0</v>
      </c>
      <c r="AB679" s="30" t="b">
        <f>IF(Table20[[#This Row],[date_purchased]]&lt;&gt;Table20[[#This Row],[Expiration Date]],FALSE,TRUE)</f>
        <v>0</v>
      </c>
      <c r="AC679" s="30" t="str">
        <f>VLOOKUP(Table20[[#This Row],[Asset]],Table19[#All],3,FALSE)</f>
        <v>Auto</v>
      </c>
      <c r="AD679" s="30">
        <f>IF(Table20[[#This Row],[Remaining]]&lt;&gt;0,Table20[[#This Row],[Invested]]*Table20[[#This Row],[Remaining]]/Table20[[#This Row],[Number of options]],0)</f>
        <v>0</v>
      </c>
      <c r="AE679" s="30">
        <f ca="1">SUMIF(Table20[Ticker],Table20[[#This Row],[Ticker]],Table20[realized_profit])</f>
        <v>4153</v>
      </c>
      <c r="AF679" s="30" t="str">
        <f>VLOOKUP(Table20[[#This Row],[Strategy]],Table29[#All],7,FALSE)</f>
        <v>Bearish</v>
      </c>
    </row>
    <row r="680" spans="1:32" hidden="1">
      <c r="A680" s="180">
        <v>46038</v>
      </c>
      <c r="B680" s="21" t="e" vm="37">
        <v>#VALUE!</v>
      </c>
      <c r="C680" s="109" t="str" cm="1">
        <f t="array" aca="1" ref="C680" ca="1">_FV(Table20[[#This Row],[Asset]],"Ticker symbol",TRUE)</f>
        <v>AMD</v>
      </c>
      <c r="D680" s="26" cm="1">
        <f t="array" aca="1" ref="D680" ca="1">_FV(Table20[[#This Row],[Asset]],"Price")</f>
        <v>218.91</v>
      </c>
      <c r="E680" s="26">
        <v>190</v>
      </c>
      <c r="F680" s="33">
        <v>1</v>
      </c>
      <c r="G680" s="34">
        <v>1</v>
      </c>
      <c r="H680" s="34" t="s">
        <v>114</v>
      </c>
      <c r="I680" s="31">
        <v>45819</v>
      </c>
      <c r="J680" s="26">
        <v>3.3</v>
      </c>
      <c r="K680" s="24"/>
      <c r="L680" s="33">
        <f>VLOOKUP(Table20[[#This Row],[Strategy]],Table29[#All],6,FALSE)</f>
        <v>1</v>
      </c>
      <c r="M680" s="23">
        <v>1</v>
      </c>
      <c r="N680" s="23">
        <v>20.170000000000002</v>
      </c>
      <c r="O680" s="23"/>
      <c r="P680" s="23"/>
      <c r="Q680">
        <f>Table20[[#This Row],[Exit1]]*Table20[[#This Row],[ex1_price]]</f>
        <v>20.170000000000002</v>
      </c>
      <c r="R680">
        <f>Table20[[#This Row],[Exit2]]*Table20[[#This Row],[ex2_price]]</f>
        <v>0</v>
      </c>
      <c r="S680">
        <f>IFERROR((Table20[[#This Row],[ex2_amnt]]+Table20[[#This Row],[ex1_amnt]])/(Table20[[#This Row],[Exit2]]+Table20[[#This Row],[Exit1]]),0)</f>
        <v>20.170000000000002</v>
      </c>
      <c r="T680" s="5">
        <f>(Table20[[#This Row],[Exit1]]+Table20[[#This Row],[Exit2]])*(Table20[[#This Row],[avg_exit_price]]-Table20[[#This Row],[AvePrice]])*100*Table20[[#This Row],[Buy or Sell]]</f>
        <v>1687</v>
      </c>
      <c r="U680" s="5">
        <f>Table20[[#This Row],[Number of options]]*Table20[[#This Row],[AvePrice]]*100*Table20[[#This Row],[Buy or Sell]]</f>
        <v>330</v>
      </c>
      <c r="V680" s="8">
        <f>Table20[[#This Row],[Number of options]]-Table20[[#This Row],[Exit1]]-Table20[[#This Row],[Exit2]]</f>
        <v>0</v>
      </c>
      <c r="W680" s="30">
        <f ca="1">(Table20[[#This Row],[Expiration Date]]-TODAY())/365</f>
        <v>-0.18904109589041096</v>
      </c>
      <c r="X680" s="30" t="e">
        <f ca="1">(LN(Table20[[#This Row],[Current Price]]/Table20[[#This Row],[strike_price]]) + ($B$2 + (Table20[[#This Row],[Vol]]^2)/2)*Table20[[#This Row],[Time to expiration]]) / (Table20[[#This Row],[Vol]] * SQRT(Table20[[#This Row],[Time to expiration]]))</f>
        <v>#NUM!</v>
      </c>
      <c r="Y680" s="30" t="e">
        <f ca="1">IF(Table20[[#This Row],[Direction]]&gt;0, _xlfn.NORM.S.DIST(Table20[[#This Row],[d1]], TRUE), _xlfn.NORM.S.DIST(Table20[[#This Row],[d1]], TRUE) - 1) * Table20[[#This Row],[Buy or Sell]]</f>
        <v>#NUM!</v>
      </c>
      <c r="Z680" s="9">
        <f ca="1">Table20[[#This Row],[Remaining]]*Table20[[#This Row],[Current Price]]*100</f>
        <v>0</v>
      </c>
      <c r="AA680" s="22">
        <f ca="1">IFERROR(Table20[[#This Row],[nominal_exposure]]*Table20[[#This Row],[Delta]],0)</f>
        <v>0</v>
      </c>
      <c r="AB680" s="30" t="b">
        <f>IF(Table20[[#This Row],[date_purchased]]&lt;&gt;Table20[[#This Row],[Expiration Date]],FALSE,TRUE)</f>
        <v>0</v>
      </c>
      <c r="AC680" s="30" t="str">
        <f>VLOOKUP(Table20[[#This Row],[Asset]],Table19[#All],3,FALSE)</f>
        <v>AI</v>
      </c>
      <c r="AD680" s="30">
        <f>IF(Table20[[#This Row],[Remaining]]&lt;&gt;0,Table20[[#This Row],[Invested]]*Table20[[#This Row],[Remaining]]/Table20[[#This Row],[Number of options]],0)</f>
        <v>0</v>
      </c>
      <c r="AE680" s="30">
        <f ca="1">SUMIF(Table20[Ticker],Table20[[#This Row],[Ticker]],Table20[realized_profit])</f>
        <v>1567</v>
      </c>
      <c r="AF680" s="30" t="str">
        <f>VLOOKUP(Table20[[#This Row],[Strategy]],Table29[#All],7,FALSE)</f>
        <v>Bullish</v>
      </c>
    </row>
    <row r="681" spans="1:32" hidden="1">
      <c r="A681" s="180">
        <v>46038</v>
      </c>
      <c r="B681" s="21" t="e" vm="37">
        <v>#VALUE!</v>
      </c>
      <c r="C681" s="109" t="str" cm="1">
        <f t="array" aca="1" ref="C681" ca="1">_FV(Table20[[#This Row],[Asset]],"Ticker symbol",TRUE)</f>
        <v>AMD</v>
      </c>
      <c r="D681" s="26" cm="1">
        <f t="array" aca="1" ref="D681" ca="1">_FV(Table20[[#This Row],[Asset]],"Price")</f>
        <v>218.91</v>
      </c>
      <c r="E681" s="26">
        <v>250</v>
      </c>
      <c r="F681" s="33">
        <v>1</v>
      </c>
      <c r="G681" s="34">
        <v>-1</v>
      </c>
      <c r="H681" s="34" t="s">
        <v>114</v>
      </c>
      <c r="I681" s="31">
        <v>45819</v>
      </c>
      <c r="J681" s="26">
        <v>1.03</v>
      </c>
      <c r="K681" s="24"/>
      <c r="L681" s="33">
        <f>VLOOKUP(Table20[[#This Row],[Strategy]],Table29[#All],6,FALSE)</f>
        <v>1</v>
      </c>
      <c r="M681" s="23">
        <v>1</v>
      </c>
      <c r="N681" s="23">
        <v>6.42</v>
      </c>
      <c r="O681" s="23"/>
      <c r="P681" s="23"/>
      <c r="Q681">
        <f>Table20[[#This Row],[Exit1]]*Table20[[#This Row],[ex1_price]]</f>
        <v>6.42</v>
      </c>
      <c r="R681">
        <f>Table20[[#This Row],[Exit2]]*Table20[[#This Row],[ex2_price]]</f>
        <v>0</v>
      </c>
      <c r="S681">
        <f>IFERROR((Table20[[#This Row],[ex2_amnt]]+Table20[[#This Row],[ex1_amnt]])/(Table20[[#This Row],[Exit2]]+Table20[[#This Row],[Exit1]]),0)</f>
        <v>6.42</v>
      </c>
      <c r="T681" s="5">
        <f>(Table20[[#This Row],[Exit1]]+Table20[[#This Row],[Exit2]])*(Table20[[#This Row],[avg_exit_price]]-Table20[[#This Row],[AvePrice]])*100*Table20[[#This Row],[Buy or Sell]]</f>
        <v>-539</v>
      </c>
      <c r="U681" s="5">
        <f>Table20[[#This Row],[Number of options]]*Table20[[#This Row],[AvePrice]]*100*Table20[[#This Row],[Buy or Sell]]</f>
        <v>-103</v>
      </c>
      <c r="V681" s="8">
        <f>Table20[[#This Row],[Number of options]]-Table20[[#This Row],[Exit1]]-Table20[[#This Row],[Exit2]]</f>
        <v>0</v>
      </c>
      <c r="W681" s="30">
        <f ca="1">(Table20[[#This Row],[Expiration Date]]-TODAY())/365</f>
        <v>-0.18904109589041096</v>
      </c>
      <c r="X681" s="30" t="e">
        <f ca="1">(LN(Table20[[#This Row],[Current Price]]/Table20[[#This Row],[strike_price]]) + ($B$2 + (Table20[[#This Row],[Vol]]^2)/2)*Table20[[#This Row],[Time to expiration]]) / (Table20[[#This Row],[Vol]] * SQRT(Table20[[#This Row],[Time to expiration]]))</f>
        <v>#NUM!</v>
      </c>
      <c r="Y681" s="30" t="e">
        <f ca="1">IF(Table20[[#This Row],[Direction]]&gt;0, _xlfn.NORM.S.DIST(Table20[[#This Row],[d1]], TRUE), _xlfn.NORM.S.DIST(Table20[[#This Row],[d1]], TRUE) - 1) * Table20[[#This Row],[Buy or Sell]]</f>
        <v>#NUM!</v>
      </c>
      <c r="Z681" s="9">
        <f ca="1">Table20[[#This Row],[Remaining]]*Table20[[#This Row],[Current Price]]*100</f>
        <v>0</v>
      </c>
      <c r="AA681" s="22">
        <f ca="1">IFERROR(Table20[[#This Row],[nominal_exposure]]*Table20[[#This Row],[Delta]],0)</f>
        <v>0</v>
      </c>
      <c r="AB681" s="30" t="b">
        <f>IF(Table20[[#This Row],[date_purchased]]&lt;&gt;Table20[[#This Row],[Expiration Date]],FALSE,TRUE)</f>
        <v>0</v>
      </c>
      <c r="AC681" s="30" t="str">
        <f>VLOOKUP(Table20[[#This Row],[Asset]],Table19[#All],3,FALSE)</f>
        <v>AI</v>
      </c>
      <c r="AD681" s="30">
        <f>IF(Table20[[#This Row],[Remaining]]&lt;&gt;0,Table20[[#This Row],[Invested]]*Table20[[#This Row],[Remaining]]/Table20[[#This Row],[Number of options]],0)</f>
        <v>0</v>
      </c>
      <c r="AE681" s="30">
        <f ca="1">SUMIF(Table20[Ticker],Table20[[#This Row],[Ticker]],Table20[realized_profit])</f>
        <v>1567</v>
      </c>
      <c r="AF681" s="30" t="str">
        <f>VLOOKUP(Table20[[#This Row],[Strategy]],Table29[#All],7,FALSE)</f>
        <v>Bullish</v>
      </c>
    </row>
    <row r="682" spans="1:32" hidden="1">
      <c r="A682" s="180">
        <v>45824</v>
      </c>
      <c r="B682" s="21" t="e" vm="96">
        <v>#VALUE!</v>
      </c>
      <c r="C682" s="109" t="str" cm="1">
        <f t="array" aca="1" ref="C682" ca="1">_FV(Table20[[#This Row],[Asset]],"Ticker symbol",TRUE)</f>
        <v>SPY</v>
      </c>
      <c r="D682" s="26" cm="1">
        <f t="array" aca="1" ref="D682" ca="1">_FV(Table20[[#This Row],[Asset]],"Price")</f>
        <v>658.59</v>
      </c>
      <c r="E682" s="26">
        <v>600</v>
      </c>
      <c r="F682" s="33">
        <v>2</v>
      </c>
      <c r="G682" s="34">
        <v>1</v>
      </c>
      <c r="H682" s="34" t="s">
        <v>65</v>
      </c>
      <c r="I682" s="31">
        <v>45820</v>
      </c>
      <c r="J682" s="26">
        <v>1.69</v>
      </c>
      <c r="K682" s="24">
        <v>0.2</v>
      </c>
      <c r="L682" s="33">
        <f>VLOOKUP(Table20[[#This Row],[Strategy]],Table29[#All],6,FALSE)</f>
        <v>-1</v>
      </c>
      <c r="M682" s="23">
        <v>2</v>
      </c>
      <c r="N682" s="23">
        <v>3.64</v>
      </c>
      <c r="O682" s="23"/>
      <c r="P682" s="23"/>
      <c r="Q682">
        <f>Table20[[#This Row],[Exit1]]*Table20[[#This Row],[ex1_price]]</f>
        <v>7.28</v>
      </c>
      <c r="R682">
        <f>Table20[[#This Row],[Exit2]]*Table20[[#This Row],[ex2_price]]</f>
        <v>0</v>
      </c>
      <c r="S682">
        <f>IFERROR((Table20[[#This Row],[ex2_amnt]]+Table20[[#This Row],[ex1_amnt]])/(Table20[[#This Row],[Exit2]]+Table20[[#This Row],[Exit1]]),0)</f>
        <v>3.64</v>
      </c>
      <c r="T682" s="5">
        <f>(Table20[[#This Row],[Exit1]]+Table20[[#This Row],[Exit2]])*(Table20[[#This Row],[avg_exit_price]]-Table20[[#This Row],[AvePrice]])*100*Table20[[#This Row],[Buy or Sell]]</f>
        <v>390.00000000000006</v>
      </c>
      <c r="U682" s="5">
        <f>Table20[[#This Row],[Number of options]]*Table20[[#This Row],[AvePrice]]*100*Table20[[#This Row],[Buy or Sell]]</f>
        <v>338</v>
      </c>
      <c r="V682" s="8">
        <f>Table20[[#This Row],[Number of options]]-Table20[[#This Row],[Exit1]]-Table20[[#This Row],[Exit2]]</f>
        <v>0</v>
      </c>
      <c r="W682" s="30">
        <f ca="1">(Table20[[#This Row],[Expiration Date]]-TODAY())/365</f>
        <v>-0.77534246575342469</v>
      </c>
      <c r="X682" s="30" t="e">
        <f ca="1">(LN(Table20[[#This Row],[Current Price]]/Table20[[#This Row],[strike_price]]) + ($B$2 + (Table20[[#This Row],[Vol]]^2)/2)*Table20[[#This Row],[Time to expiration]]) / (Table20[[#This Row],[Vol]] * SQRT(Table20[[#This Row],[Time to expiration]]))</f>
        <v>#NUM!</v>
      </c>
      <c r="Y682" s="30" t="e">
        <f ca="1">IF(Table20[[#This Row],[Direction]]&gt;0, _xlfn.NORM.S.DIST(Table20[[#This Row],[d1]], TRUE), _xlfn.NORM.S.DIST(Table20[[#This Row],[d1]], TRUE) - 1) * Table20[[#This Row],[Buy or Sell]]</f>
        <v>#NUM!</v>
      </c>
      <c r="Z682" s="9">
        <f ca="1">Table20[[#This Row],[Remaining]]*Table20[[#This Row],[Current Price]]*100</f>
        <v>0</v>
      </c>
      <c r="AA682" s="22">
        <f ca="1">IFERROR(Table20[[#This Row],[nominal_exposure]]*Table20[[#This Row],[Delta]],0)</f>
        <v>0</v>
      </c>
      <c r="AB682" s="30" t="b">
        <f>IF(Table20[[#This Row],[date_purchased]]&lt;&gt;Table20[[#This Row],[Expiration Date]],FALSE,TRUE)</f>
        <v>0</v>
      </c>
      <c r="AC682" s="30" t="str">
        <f>VLOOKUP(Table20[[#This Row],[Asset]],Table19[#All],3,FALSE)</f>
        <v>Market</v>
      </c>
      <c r="AD682" s="30">
        <f>IF(Table20[[#This Row],[Remaining]]&lt;&gt;0,Table20[[#This Row],[Invested]]*Table20[[#This Row],[Remaining]]/Table20[[#This Row],[Number of options]],0)</f>
        <v>0</v>
      </c>
      <c r="AE682" s="30">
        <f ca="1">SUMIF(Table20[Ticker],Table20[[#This Row],[Ticker]],Table20[realized_profit])</f>
        <v>-5077</v>
      </c>
      <c r="AF682" s="30" t="str">
        <f>VLOOKUP(Table20[[#This Row],[Strategy]],Table29[#All],7,FALSE)</f>
        <v>Bearish</v>
      </c>
    </row>
    <row r="683" spans="1:32" hidden="1">
      <c r="A683" s="180">
        <v>45828</v>
      </c>
      <c r="B683" s="21" t="e" vm="63">
        <v>#VALUE!</v>
      </c>
      <c r="C683" s="109" t="str" cm="1">
        <f t="array" aca="1" ref="C683" ca="1">_FV(Table20[[#This Row],[Asset]],"Ticker symbol",TRUE)</f>
        <v>TSLA</v>
      </c>
      <c r="D683" s="26" cm="1">
        <f t="array" aca="1" ref="D683" ca="1">_FV(Table20[[#This Row],[Asset]],"Price")</f>
        <v>394.5401</v>
      </c>
      <c r="E683" s="26">
        <v>290</v>
      </c>
      <c r="F683" s="33">
        <v>1</v>
      </c>
      <c r="G683" s="34">
        <v>1</v>
      </c>
      <c r="H683" s="34" t="s">
        <v>112</v>
      </c>
      <c r="I683" s="31">
        <v>45820</v>
      </c>
      <c r="J683" s="26">
        <v>2.15</v>
      </c>
      <c r="K683" s="24"/>
      <c r="L683" s="33">
        <f>VLOOKUP(Table20[[#This Row],[Strategy]],Table29[#All],6,FALSE)</f>
        <v>-1</v>
      </c>
      <c r="M683" s="23">
        <v>1</v>
      </c>
      <c r="N683" s="23">
        <v>0.82</v>
      </c>
      <c r="O683" s="23"/>
      <c r="P683" s="23"/>
      <c r="Q683">
        <f>Table20[[#This Row],[Exit1]]*Table20[[#This Row],[ex1_price]]</f>
        <v>0.82</v>
      </c>
      <c r="R683">
        <f>Table20[[#This Row],[Exit2]]*Table20[[#This Row],[ex2_price]]</f>
        <v>0</v>
      </c>
      <c r="S683">
        <f>IFERROR((Table20[[#This Row],[ex2_amnt]]+Table20[[#This Row],[ex1_amnt]])/(Table20[[#This Row],[Exit2]]+Table20[[#This Row],[Exit1]]),0)</f>
        <v>0.82</v>
      </c>
      <c r="T683" s="5">
        <f>(Table20[[#This Row],[Exit1]]+Table20[[#This Row],[Exit2]])*(Table20[[#This Row],[avg_exit_price]]-Table20[[#This Row],[AvePrice]])*100*Table20[[#This Row],[Buy or Sell]]</f>
        <v>-133</v>
      </c>
      <c r="U683" s="5">
        <f>Table20[[#This Row],[Number of options]]*Table20[[#This Row],[AvePrice]]*100*Table20[[#This Row],[Buy or Sell]]</f>
        <v>215</v>
      </c>
      <c r="V683" s="8">
        <f>Table20[[#This Row],[Number of options]]-Table20[[#This Row],[Exit1]]-Table20[[#This Row],[Exit2]]</f>
        <v>0</v>
      </c>
      <c r="W683" s="30">
        <f ca="1">(Table20[[#This Row],[Expiration Date]]-TODAY())/365</f>
        <v>-0.76438356164383559</v>
      </c>
      <c r="X683" s="30" t="e">
        <f ca="1">(LN(Table20[[#This Row],[Current Price]]/Table20[[#This Row],[strike_price]]) + ($B$2 + (Table20[[#This Row],[Vol]]^2)/2)*Table20[[#This Row],[Time to expiration]]) / (Table20[[#This Row],[Vol]] * SQRT(Table20[[#This Row],[Time to expiration]]))</f>
        <v>#NUM!</v>
      </c>
      <c r="Y683" s="30" t="e">
        <f ca="1">IF(Table20[[#This Row],[Direction]]&gt;0, _xlfn.NORM.S.DIST(Table20[[#This Row],[d1]], TRUE), _xlfn.NORM.S.DIST(Table20[[#This Row],[d1]], TRUE) - 1) * Table20[[#This Row],[Buy or Sell]]</f>
        <v>#NUM!</v>
      </c>
      <c r="Z683" s="9">
        <f ca="1">Table20[[#This Row],[Remaining]]*Table20[[#This Row],[Current Price]]*100</f>
        <v>0</v>
      </c>
      <c r="AA683" s="22">
        <f ca="1">IFERROR(Table20[[#This Row],[nominal_exposure]]*Table20[[#This Row],[Delta]],0)</f>
        <v>0</v>
      </c>
      <c r="AB683" s="30" t="b">
        <f>IF(Table20[[#This Row],[date_purchased]]&lt;&gt;Table20[[#This Row],[Expiration Date]],FALSE,TRUE)</f>
        <v>0</v>
      </c>
      <c r="AC683" s="30" t="str">
        <f>VLOOKUP(Table20[[#This Row],[Asset]],Table19[#All],3,FALSE)</f>
        <v>Auto</v>
      </c>
      <c r="AD683" s="30">
        <f>IF(Table20[[#This Row],[Remaining]]&lt;&gt;0,Table20[[#This Row],[Invested]]*Table20[[#This Row],[Remaining]]/Table20[[#This Row],[Number of options]],0)</f>
        <v>0</v>
      </c>
      <c r="AE683" s="30">
        <f ca="1">SUMIF(Table20[Ticker],Table20[[#This Row],[Ticker]],Table20[realized_profit])</f>
        <v>4153</v>
      </c>
      <c r="AF683" s="30" t="str">
        <f>VLOOKUP(Table20[[#This Row],[Strategy]],Table29[#All],7,FALSE)</f>
        <v>Bearish</v>
      </c>
    </row>
    <row r="684" spans="1:32" hidden="1">
      <c r="A684" s="180">
        <v>45828</v>
      </c>
      <c r="B684" s="21" t="e" vm="63">
        <v>#VALUE!</v>
      </c>
      <c r="C684" s="109" t="str" cm="1">
        <f t="array" aca="1" ref="C684" ca="1">_FV(Table20[[#This Row],[Asset]],"Ticker symbol",TRUE)</f>
        <v>TSLA</v>
      </c>
      <c r="D684" s="26" cm="1">
        <f t="array" aca="1" ref="D684" ca="1">_FV(Table20[[#This Row],[Asset]],"Price")</f>
        <v>394.5401</v>
      </c>
      <c r="E684" s="26">
        <v>260</v>
      </c>
      <c r="F684" s="33">
        <v>1</v>
      </c>
      <c r="G684" s="34">
        <v>-1</v>
      </c>
      <c r="H684" s="34" t="s">
        <v>112</v>
      </c>
      <c r="I684" s="31">
        <v>45820</v>
      </c>
      <c r="J684" s="26">
        <v>0.51</v>
      </c>
      <c r="K684" s="24"/>
      <c r="L684" s="33">
        <f>VLOOKUP(Table20[[#This Row],[Strategy]],Table29[#All],6,FALSE)</f>
        <v>-1</v>
      </c>
      <c r="M684" s="23">
        <v>1</v>
      </c>
      <c r="N684" s="23">
        <v>0.11</v>
      </c>
      <c r="O684" s="23"/>
      <c r="P684" s="23"/>
      <c r="Q684">
        <f>Table20[[#This Row],[Exit1]]*Table20[[#This Row],[ex1_price]]</f>
        <v>0.11</v>
      </c>
      <c r="R684">
        <f>Table20[[#This Row],[Exit2]]*Table20[[#This Row],[ex2_price]]</f>
        <v>0</v>
      </c>
      <c r="S684">
        <f>IFERROR((Table20[[#This Row],[ex2_amnt]]+Table20[[#This Row],[ex1_amnt]])/(Table20[[#This Row],[Exit2]]+Table20[[#This Row],[Exit1]]),0)</f>
        <v>0.11</v>
      </c>
      <c r="T684" s="5">
        <f>(Table20[[#This Row],[Exit1]]+Table20[[#This Row],[Exit2]])*(Table20[[#This Row],[avg_exit_price]]-Table20[[#This Row],[AvePrice]])*100*Table20[[#This Row],[Buy or Sell]]</f>
        <v>40</v>
      </c>
      <c r="U684" s="5">
        <f>Table20[[#This Row],[Number of options]]*Table20[[#This Row],[AvePrice]]*100*Table20[[#This Row],[Buy or Sell]]</f>
        <v>-51</v>
      </c>
      <c r="V684" s="8">
        <f>Table20[[#This Row],[Number of options]]-Table20[[#This Row],[Exit1]]-Table20[[#This Row],[Exit2]]</f>
        <v>0</v>
      </c>
      <c r="W684" s="30">
        <f ca="1">(Table20[[#This Row],[Expiration Date]]-TODAY())/365</f>
        <v>-0.76438356164383559</v>
      </c>
      <c r="X684" s="30" t="e">
        <f ca="1">(LN(Table20[[#This Row],[Current Price]]/Table20[[#This Row],[strike_price]]) + ($B$2 + (Table20[[#This Row],[Vol]]^2)/2)*Table20[[#This Row],[Time to expiration]]) / (Table20[[#This Row],[Vol]] * SQRT(Table20[[#This Row],[Time to expiration]]))</f>
        <v>#NUM!</v>
      </c>
      <c r="Y684" s="30" t="e">
        <f ca="1">IF(Table20[[#This Row],[Direction]]&gt;0, _xlfn.NORM.S.DIST(Table20[[#This Row],[d1]], TRUE), _xlfn.NORM.S.DIST(Table20[[#This Row],[d1]], TRUE) - 1) * Table20[[#This Row],[Buy or Sell]]</f>
        <v>#NUM!</v>
      </c>
      <c r="Z684" s="9">
        <f ca="1">Table20[[#This Row],[Remaining]]*Table20[[#This Row],[Current Price]]*100</f>
        <v>0</v>
      </c>
      <c r="AA684" s="22">
        <f ca="1">IFERROR(Table20[[#This Row],[nominal_exposure]]*Table20[[#This Row],[Delta]],0)</f>
        <v>0</v>
      </c>
      <c r="AB684" s="30" t="b">
        <f>IF(Table20[[#This Row],[date_purchased]]&lt;&gt;Table20[[#This Row],[Expiration Date]],FALSE,TRUE)</f>
        <v>0</v>
      </c>
      <c r="AC684" s="30" t="str">
        <f>VLOOKUP(Table20[[#This Row],[Asset]],Table19[#All],3,FALSE)</f>
        <v>Auto</v>
      </c>
      <c r="AD684" s="30">
        <f>IF(Table20[[#This Row],[Remaining]]&lt;&gt;0,Table20[[#This Row],[Invested]]*Table20[[#This Row],[Remaining]]/Table20[[#This Row],[Number of options]],0)</f>
        <v>0</v>
      </c>
      <c r="AE684" s="30">
        <f ca="1">SUMIF(Table20[Ticker],Table20[[#This Row],[Ticker]],Table20[realized_profit])</f>
        <v>4153</v>
      </c>
      <c r="AF684" s="30" t="str">
        <f>VLOOKUP(Table20[[#This Row],[Strategy]],Table29[#All],7,FALSE)</f>
        <v>Bearish</v>
      </c>
    </row>
    <row r="685" spans="1:32" hidden="1">
      <c r="A685" s="180">
        <v>45821</v>
      </c>
      <c r="B685" s="21" t="e" vm="96">
        <v>#VALUE!</v>
      </c>
      <c r="C685" s="109" t="str" cm="1">
        <f t="array" aca="1" ref="C685" ca="1">_FV(Table20[[#This Row],[Asset]],"Ticker symbol",TRUE)</f>
        <v>SPY</v>
      </c>
      <c r="D685" s="26" cm="1">
        <f t="array" aca="1" ref="D685" ca="1">_FV(Table20[[#This Row],[Asset]],"Price")</f>
        <v>658.59</v>
      </c>
      <c r="E685" s="26">
        <v>603</v>
      </c>
      <c r="F685" s="33">
        <v>1</v>
      </c>
      <c r="G685" s="34">
        <v>1</v>
      </c>
      <c r="H685" s="34" t="s">
        <v>65</v>
      </c>
      <c r="I685" s="31">
        <v>45821</v>
      </c>
      <c r="J685" s="26">
        <v>1.47</v>
      </c>
      <c r="K685" s="24"/>
      <c r="L685" s="33">
        <f>VLOOKUP(Table20[[#This Row],[Strategy]],Table29[#All],6,FALSE)</f>
        <v>-1</v>
      </c>
      <c r="M685" s="23">
        <v>1</v>
      </c>
      <c r="N685" s="23">
        <v>4.5999999999999996</v>
      </c>
      <c r="O685" s="23"/>
      <c r="P685" s="23"/>
      <c r="Q685">
        <f>Table20[[#This Row],[Exit1]]*Table20[[#This Row],[ex1_price]]</f>
        <v>4.5999999999999996</v>
      </c>
      <c r="R685">
        <f>Table20[[#This Row],[Exit2]]*Table20[[#This Row],[ex2_price]]</f>
        <v>0</v>
      </c>
      <c r="S685">
        <f>IFERROR((Table20[[#This Row],[ex2_amnt]]+Table20[[#This Row],[ex1_amnt]])/(Table20[[#This Row],[Exit2]]+Table20[[#This Row],[Exit1]]),0)</f>
        <v>4.5999999999999996</v>
      </c>
      <c r="T685" s="5">
        <f>(Table20[[#This Row],[Exit1]]+Table20[[#This Row],[Exit2]])*(Table20[[#This Row],[avg_exit_price]]-Table20[[#This Row],[AvePrice]])*100*Table20[[#This Row],[Buy or Sell]]</f>
        <v>313</v>
      </c>
      <c r="U685" s="5">
        <f>Table20[[#This Row],[Number of options]]*Table20[[#This Row],[AvePrice]]*100*Table20[[#This Row],[Buy or Sell]]</f>
        <v>147</v>
      </c>
      <c r="V685" s="8">
        <f>Table20[[#This Row],[Number of options]]-Table20[[#This Row],[Exit1]]-Table20[[#This Row],[Exit2]]</f>
        <v>0</v>
      </c>
      <c r="W685" s="30">
        <f ca="1">(Table20[[#This Row],[Expiration Date]]-TODAY())/365</f>
        <v>-0.78356164383561644</v>
      </c>
      <c r="X685" s="30" t="e">
        <f ca="1">(LN(Table20[[#This Row],[Current Price]]/Table20[[#This Row],[strike_price]]) + ($B$2 + (Table20[[#This Row],[Vol]]^2)/2)*Table20[[#This Row],[Time to expiration]]) / (Table20[[#This Row],[Vol]] * SQRT(Table20[[#This Row],[Time to expiration]]))</f>
        <v>#NUM!</v>
      </c>
      <c r="Y685" s="30" t="e">
        <f ca="1">IF(Table20[[#This Row],[Direction]]&gt;0, _xlfn.NORM.S.DIST(Table20[[#This Row],[d1]], TRUE), _xlfn.NORM.S.DIST(Table20[[#This Row],[d1]], TRUE) - 1) * Table20[[#This Row],[Buy or Sell]]</f>
        <v>#NUM!</v>
      </c>
      <c r="Z685" s="9">
        <f ca="1">Table20[[#This Row],[Remaining]]*Table20[[#This Row],[Current Price]]*100</f>
        <v>0</v>
      </c>
      <c r="AA685" s="22">
        <f ca="1">IFERROR(Table20[[#This Row],[nominal_exposure]]*Table20[[#This Row],[Delta]],0)</f>
        <v>0</v>
      </c>
      <c r="AB685" s="30" t="b">
        <f>IF(Table20[[#This Row],[date_purchased]]&lt;&gt;Table20[[#This Row],[Expiration Date]],FALSE,TRUE)</f>
        <v>1</v>
      </c>
      <c r="AC685" s="30" t="str">
        <f>VLOOKUP(Table20[[#This Row],[Asset]],Table19[#All],3,FALSE)</f>
        <v>Market</v>
      </c>
      <c r="AD685" s="30">
        <f>IF(Table20[[#This Row],[Remaining]]&lt;&gt;0,Table20[[#This Row],[Invested]]*Table20[[#This Row],[Remaining]]/Table20[[#This Row],[Number of options]],0)</f>
        <v>0</v>
      </c>
      <c r="AE685" s="30">
        <f ca="1">SUMIF(Table20[Ticker],Table20[[#This Row],[Ticker]],Table20[realized_profit])</f>
        <v>-5077</v>
      </c>
      <c r="AF685" s="30" t="str">
        <f>VLOOKUP(Table20[[#This Row],[Strategy]],Table29[#All],7,FALSE)</f>
        <v>Bearish</v>
      </c>
    </row>
    <row r="686" spans="1:32" hidden="1">
      <c r="A686" s="180">
        <v>45828</v>
      </c>
      <c r="B686" s="21" t="e" vm="106">
        <v>#VALUE!</v>
      </c>
      <c r="C686" s="109" t="str" cm="1">
        <f t="array" aca="1" ref="C686" ca="1">_FV(Table20[[#This Row],[Asset]],"Ticker symbol",TRUE)</f>
        <v>GLD</v>
      </c>
      <c r="D686" s="26" cm="1">
        <f t="array" aca="1" ref="D686" ca="1">_FV(Table20[[#This Row],[Asset]],"Price")</f>
        <v>419.54</v>
      </c>
      <c r="E686" s="26">
        <v>315</v>
      </c>
      <c r="F686" s="33">
        <v>1</v>
      </c>
      <c r="G686" s="34">
        <v>1</v>
      </c>
      <c r="H686" s="34" t="s">
        <v>65</v>
      </c>
      <c r="I686" s="31">
        <v>45821</v>
      </c>
      <c r="J686" s="26">
        <v>2.84</v>
      </c>
      <c r="K686" s="24"/>
      <c r="L686" s="33">
        <f>VLOOKUP(Table20[[#This Row],[Strategy]],Table29[#All],6,FALSE)</f>
        <v>-1</v>
      </c>
      <c r="M686" s="23">
        <v>1</v>
      </c>
      <c r="N686" s="23">
        <v>4.21</v>
      </c>
      <c r="O686" s="23"/>
      <c r="P686" s="23"/>
      <c r="Q686">
        <f>Table20[[#This Row],[Exit1]]*Table20[[#This Row],[ex1_price]]</f>
        <v>4.21</v>
      </c>
      <c r="R686">
        <f>Table20[[#This Row],[Exit2]]*Table20[[#This Row],[ex2_price]]</f>
        <v>0</v>
      </c>
      <c r="S686">
        <f>IFERROR((Table20[[#This Row],[ex2_amnt]]+Table20[[#This Row],[ex1_amnt]])/(Table20[[#This Row],[Exit2]]+Table20[[#This Row],[Exit1]]),0)</f>
        <v>4.21</v>
      </c>
      <c r="T686" s="5">
        <f>(Table20[[#This Row],[Exit1]]+Table20[[#This Row],[Exit2]])*(Table20[[#This Row],[avg_exit_price]]-Table20[[#This Row],[AvePrice]])*100*Table20[[#This Row],[Buy or Sell]]</f>
        <v>137</v>
      </c>
      <c r="U686" s="5">
        <f>Table20[[#This Row],[Number of options]]*Table20[[#This Row],[AvePrice]]*100*Table20[[#This Row],[Buy or Sell]]</f>
        <v>284</v>
      </c>
      <c r="V686" s="8">
        <f>Table20[[#This Row],[Number of options]]-Table20[[#This Row],[Exit1]]-Table20[[#This Row],[Exit2]]</f>
        <v>0</v>
      </c>
      <c r="W686" s="30">
        <f ca="1">(Table20[[#This Row],[Expiration Date]]-TODAY())/365</f>
        <v>-0.76438356164383559</v>
      </c>
      <c r="X686" s="30" t="e">
        <f ca="1">(LN(Table20[[#This Row],[Current Price]]/Table20[[#This Row],[strike_price]]) + ($B$2 + (Table20[[#This Row],[Vol]]^2)/2)*Table20[[#This Row],[Time to expiration]]) / (Table20[[#This Row],[Vol]] * SQRT(Table20[[#This Row],[Time to expiration]]))</f>
        <v>#NUM!</v>
      </c>
      <c r="Y686" s="30" t="e">
        <f ca="1">IF(Table20[[#This Row],[Direction]]&gt;0, _xlfn.NORM.S.DIST(Table20[[#This Row],[d1]], TRUE), _xlfn.NORM.S.DIST(Table20[[#This Row],[d1]], TRUE) - 1) * Table20[[#This Row],[Buy or Sell]]</f>
        <v>#NUM!</v>
      </c>
      <c r="Z686" s="9">
        <f ca="1">Table20[[#This Row],[Remaining]]*Table20[[#This Row],[Current Price]]*100</f>
        <v>0</v>
      </c>
      <c r="AA686" s="22">
        <f ca="1">IFERROR(Table20[[#This Row],[nominal_exposure]]*Table20[[#This Row],[Delta]],0)</f>
        <v>0</v>
      </c>
      <c r="AB686" s="30" t="b">
        <f>IF(Table20[[#This Row],[date_purchased]]&lt;&gt;Table20[[#This Row],[Expiration Date]],FALSE,TRUE)</f>
        <v>0</v>
      </c>
      <c r="AC686" s="30" t="str">
        <f>VLOOKUP(Table20[[#This Row],[Asset]],Table19[#All],3,FALSE)</f>
        <v>Gold and Silver</v>
      </c>
      <c r="AD686" s="30">
        <f>IF(Table20[[#This Row],[Remaining]]&lt;&gt;0,Table20[[#This Row],[Invested]]*Table20[[#This Row],[Remaining]]/Table20[[#This Row],[Number of options]],0)</f>
        <v>0</v>
      </c>
      <c r="AE686" s="30">
        <f ca="1">SUMIF(Table20[Ticker],Table20[[#This Row],[Ticker]],Table20[realized_profit])</f>
        <v>228</v>
      </c>
      <c r="AF686" s="30" t="str">
        <f>VLOOKUP(Table20[[#This Row],[Strategy]],Table29[#All],7,FALSE)</f>
        <v>Bearish</v>
      </c>
    </row>
    <row r="687" spans="1:32" hidden="1">
      <c r="A687" s="180">
        <v>45863</v>
      </c>
      <c r="B687" s="21" t="e" vm="231">
        <v>#VALUE!</v>
      </c>
      <c r="C687" s="109" t="str" cm="1">
        <f t="array" aca="1" ref="C687" ca="1">_FV(Table20[[#This Row],[Asset]],"Ticker symbol",TRUE)</f>
        <v>UNH</v>
      </c>
      <c r="D687" s="26" cm="1">
        <f t="array" aca="1" ref="D687" ca="1">_FV(Table20[[#This Row],[Asset]],"Price")</f>
        <v>269.3</v>
      </c>
      <c r="E687" s="26">
        <v>350</v>
      </c>
      <c r="F687" s="33">
        <v>1</v>
      </c>
      <c r="G687" s="34">
        <v>1</v>
      </c>
      <c r="H687" s="34" t="s">
        <v>114</v>
      </c>
      <c r="I687" s="31">
        <v>45821</v>
      </c>
      <c r="J687" s="26">
        <v>4.68</v>
      </c>
      <c r="K687" s="24"/>
      <c r="L687" s="33">
        <f>VLOOKUP(Table20[[#This Row],[Strategy]],Table29[#All],6,FALSE)</f>
        <v>1</v>
      </c>
      <c r="M687" s="23">
        <v>1</v>
      </c>
      <c r="N687" s="23">
        <v>2.13</v>
      </c>
      <c r="O687" s="23"/>
      <c r="P687" s="23"/>
      <c r="Q687">
        <f>Table20[[#This Row],[Exit1]]*Table20[[#This Row],[ex1_price]]</f>
        <v>2.13</v>
      </c>
      <c r="R687">
        <f>Table20[[#This Row],[Exit2]]*Table20[[#This Row],[ex2_price]]</f>
        <v>0</v>
      </c>
      <c r="S687">
        <f>IFERROR((Table20[[#This Row],[ex2_amnt]]+Table20[[#This Row],[ex1_amnt]])/(Table20[[#This Row],[Exit2]]+Table20[[#This Row],[Exit1]]),0)</f>
        <v>2.13</v>
      </c>
      <c r="T687" s="5">
        <f>(Table20[[#This Row],[Exit1]]+Table20[[#This Row],[Exit2]])*(Table20[[#This Row],[avg_exit_price]]-Table20[[#This Row],[AvePrice]])*100*Table20[[#This Row],[Buy or Sell]]</f>
        <v>-254.99999999999997</v>
      </c>
      <c r="U687" s="5">
        <f>Table20[[#This Row],[Number of options]]*Table20[[#This Row],[AvePrice]]*100*Table20[[#This Row],[Buy or Sell]]</f>
        <v>468</v>
      </c>
      <c r="V687" s="8">
        <f>Table20[[#This Row],[Number of options]]-Table20[[#This Row],[Exit1]]-Table20[[#This Row],[Exit2]]</f>
        <v>0</v>
      </c>
      <c r="W687" s="30">
        <f ca="1">(Table20[[#This Row],[Expiration Date]]-TODAY())/365</f>
        <v>-0.66849315068493154</v>
      </c>
      <c r="X687" s="30" t="e">
        <f ca="1">(LN(Table20[[#This Row],[Current Price]]/Table20[[#This Row],[strike_price]]) + ($B$2 + (Table20[[#This Row],[Vol]]^2)/2)*Table20[[#This Row],[Time to expiration]]) / (Table20[[#This Row],[Vol]] * SQRT(Table20[[#This Row],[Time to expiration]]))</f>
        <v>#NUM!</v>
      </c>
      <c r="Y687" s="30" t="e">
        <f ca="1">IF(Table20[[#This Row],[Direction]]&gt;0, _xlfn.NORM.S.DIST(Table20[[#This Row],[d1]], TRUE), _xlfn.NORM.S.DIST(Table20[[#This Row],[d1]], TRUE) - 1) * Table20[[#This Row],[Buy or Sell]]</f>
        <v>#NUM!</v>
      </c>
      <c r="Z687" s="9">
        <f ca="1">Table20[[#This Row],[Remaining]]*Table20[[#This Row],[Current Price]]*100</f>
        <v>0</v>
      </c>
      <c r="AA687" s="22">
        <f ca="1">IFERROR(Table20[[#This Row],[nominal_exposure]]*Table20[[#This Row],[Delta]],0)</f>
        <v>0</v>
      </c>
      <c r="AB687" s="30" t="b">
        <f>IF(Table20[[#This Row],[date_purchased]]&lt;&gt;Table20[[#This Row],[Expiration Date]],FALSE,TRUE)</f>
        <v>0</v>
      </c>
      <c r="AC687" s="30" t="str">
        <f>VLOOKUP(Table20[[#This Row],[Asset]],Table19[#All],3,FALSE)</f>
        <v>Health Care</v>
      </c>
      <c r="AD687" s="30">
        <f>IF(Table20[[#This Row],[Remaining]]&lt;&gt;0,Table20[[#This Row],[Invested]]*Table20[[#This Row],[Remaining]]/Table20[[#This Row],[Number of options]],0)</f>
        <v>0</v>
      </c>
      <c r="AE687" s="30">
        <f ca="1">SUMIF(Table20[Ticker],Table20[[#This Row],[Ticker]],Table20[realized_profit])</f>
        <v>4342</v>
      </c>
      <c r="AF687" s="30" t="str">
        <f>VLOOKUP(Table20[[#This Row],[Strategy]],Table29[#All],7,FALSE)</f>
        <v>Bullish</v>
      </c>
    </row>
    <row r="688" spans="1:32" hidden="1">
      <c r="A688" s="180">
        <v>45863</v>
      </c>
      <c r="B688" s="21" t="e" vm="231">
        <v>#VALUE!</v>
      </c>
      <c r="C688" s="109" t="str" cm="1">
        <f t="array" aca="1" ref="C688" ca="1">_FV(Table20[[#This Row],[Asset]],"Ticker symbol",TRUE)</f>
        <v>UNH</v>
      </c>
      <c r="D688" s="26" cm="1">
        <f t="array" aca="1" ref="D688" ca="1">_FV(Table20[[#This Row],[Asset]],"Price")</f>
        <v>269.3</v>
      </c>
      <c r="E688" s="26">
        <v>450</v>
      </c>
      <c r="F688" s="33">
        <v>1</v>
      </c>
      <c r="G688" s="34">
        <v>-1</v>
      </c>
      <c r="H688" s="34" t="s">
        <v>114</v>
      </c>
      <c r="I688" s="31">
        <v>45821</v>
      </c>
      <c r="J688" s="26">
        <v>0.45</v>
      </c>
      <c r="K688" s="24"/>
      <c r="L688" s="33">
        <f>VLOOKUP(Table20[[#This Row],[Strategy]],Table29[#All],6,FALSE)</f>
        <v>1</v>
      </c>
      <c r="M688" s="23">
        <v>1</v>
      </c>
      <c r="N688" s="23">
        <v>0.23</v>
      </c>
      <c r="O688" s="23"/>
      <c r="P688" s="23"/>
      <c r="Q688">
        <f>Table20[[#This Row],[Exit1]]*Table20[[#This Row],[ex1_price]]</f>
        <v>0.23</v>
      </c>
      <c r="R688">
        <f>Table20[[#This Row],[Exit2]]*Table20[[#This Row],[ex2_price]]</f>
        <v>0</v>
      </c>
      <c r="S688">
        <f>IFERROR((Table20[[#This Row],[ex2_amnt]]+Table20[[#This Row],[ex1_amnt]])/(Table20[[#This Row],[Exit2]]+Table20[[#This Row],[Exit1]]),0)</f>
        <v>0.23</v>
      </c>
      <c r="T688" s="5">
        <f>(Table20[[#This Row],[Exit1]]+Table20[[#This Row],[Exit2]])*(Table20[[#This Row],[avg_exit_price]]-Table20[[#This Row],[AvePrice]])*100*Table20[[#This Row],[Buy or Sell]]</f>
        <v>22</v>
      </c>
      <c r="U688" s="5">
        <f>Table20[[#This Row],[Number of options]]*Table20[[#This Row],[AvePrice]]*100*Table20[[#This Row],[Buy or Sell]]</f>
        <v>-45</v>
      </c>
      <c r="V688" s="8">
        <f>Table20[[#This Row],[Number of options]]-Table20[[#This Row],[Exit1]]-Table20[[#This Row],[Exit2]]</f>
        <v>0</v>
      </c>
      <c r="W688" s="30">
        <f ca="1">(Table20[[#This Row],[Expiration Date]]-TODAY())/365</f>
        <v>-0.66849315068493154</v>
      </c>
      <c r="X688" s="30" t="e">
        <f ca="1">(LN(Table20[[#This Row],[Current Price]]/Table20[[#This Row],[strike_price]]) + ($B$2 + (Table20[[#This Row],[Vol]]^2)/2)*Table20[[#This Row],[Time to expiration]]) / (Table20[[#This Row],[Vol]] * SQRT(Table20[[#This Row],[Time to expiration]]))</f>
        <v>#NUM!</v>
      </c>
      <c r="Y688" s="30" t="e">
        <f ca="1">IF(Table20[[#This Row],[Direction]]&gt;0, _xlfn.NORM.S.DIST(Table20[[#This Row],[d1]], TRUE), _xlfn.NORM.S.DIST(Table20[[#This Row],[d1]], TRUE) - 1) * Table20[[#This Row],[Buy or Sell]]</f>
        <v>#NUM!</v>
      </c>
      <c r="Z688" s="9">
        <f ca="1">Table20[[#This Row],[Remaining]]*Table20[[#This Row],[Current Price]]*100</f>
        <v>0</v>
      </c>
      <c r="AA688" s="22">
        <f ca="1">IFERROR(Table20[[#This Row],[nominal_exposure]]*Table20[[#This Row],[Delta]],0)</f>
        <v>0</v>
      </c>
      <c r="AB688" s="30" t="b">
        <f>IF(Table20[[#This Row],[date_purchased]]&lt;&gt;Table20[[#This Row],[Expiration Date]],FALSE,TRUE)</f>
        <v>0</v>
      </c>
      <c r="AC688" s="30" t="str">
        <f>VLOOKUP(Table20[[#This Row],[Asset]],Table19[#All],3,FALSE)</f>
        <v>Health Care</v>
      </c>
      <c r="AD688" s="30">
        <f>IF(Table20[[#This Row],[Remaining]]&lt;&gt;0,Table20[[#This Row],[Invested]]*Table20[[#This Row],[Remaining]]/Table20[[#This Row],[Number of options]],0)</f>
        <v>0</v>
      </c>
      <c r="AE688" s="30">
        <f ca="1">SUMIF(Table20[Ticker],Table20[[#This Row],[Ticker]],Table20[realized_profit])</f>
        <v>4342</v>
      </c>
      <c r="AF688" s="30" t="str">
        <f>VLOOKUP(Table20[[#This Row],[Strategy]],Table29[#All],7,FALSE)</f>
        <v>Bullish</v>
      </c>
    </row>
    <row r="689" spans="1:32" hidden="1">
      <c r="A689" s="180">
        <v>45821</v>
      </c>
      <c r="B689" s="21" t="e" vm="96">
        <v>#VALUE!</v>
      </c>
      <c r="C689" s="109" t="str" cm="1">
        <f t="array" aca="1" ref="C689" ca="1">_FV(Table20[[#This Row],[Asset]],"Ticker symbol",TRUE)</f>
        <v>SPY</v>
      </c>
      <c r="D689" s="26" cm="1">
        <f t="array" aca="1" ref="D689" ca="1">_FV(Table20[[#This Row],[Asset]],"Price")</f>
        <v>658.59</v>
      </c>
      <c r="E689" s="26">
        <v>600</v>
      </c>
      <c r="F689" s="33">
        <v>1</v>
      </c>
      <c r="G689" s="34">
        <v>1</v>
      </c>
      <c r="H689" s="34" t="s">
        <v>65</v>
      </c>
      <c r="I689" s="31">
        <v>45821</v>
      </c>
      <c r="J689" s="26">
        <v>1.94</v>
      </c>
      <c r="K689" s="24"/>
      <c r="L689" s="33">
        <f>VLOOKUP(Table20[[#This Row],[Strategy]],Table29[#All],6,FALSE)</f>
        <v>-1</v>
      </c>
      <c r="M689" s="23">
        <v>1</v>
      </c>
      <c r="N689" s="23">
        <v>2.15</v>
      </c>
      <c r="O689" s="23"/>
      <c r="P689" s="23"/>
      <c r="Q689">
        <f>Table20[[#This Row],[Exit1]]*Table20[[#This Row],[ex1_price]]</f>
        <v>2.15</v>
      </c>
      <c r="R689">
        <f>Table20[[#This Row],[Exit2]]*Table20[[#This Row],[ex2_price]]</f>
        <v>0</v>
      </c>
      <c r="S689">
        <f>IFERROR((Table20[[#This Row],[ex2_amnt]]+Table20[[#This Row],[ex1_amnt]])/(Table20[[#This Row],[Exit2]]+Table20[[#This Row],[Exit1]]),0)</f>
        <v>2.15</v>
      </c>
      <c r="T689" s="5">
        <f>(Table20[[#This Row],[Exit1]]+Table20[[#This Row],[Exit2]])*(Table20[[#This Row],[avg_exit_price]]-Table20[[#This Row],[AvePrice]])*100*Table20[[#This Row],[Buy or Sell]]</f>
        <v>20.999999999999996</v>
      </c>
      <c r="U689" s="5">
        <f>Table20[[#This Row],[Number of options]]*Table20[[#This Row],[AvePrice]]*100*Table20[[#This Row],[Buy or Sell]]</f>
        <v>194</v>
      </c>
      <c r="V689" s="8">
        <f>Table20[[#This Row],[Number of options]]-Table20[[#This Row],[Exit1]]-Table20[[#This Row],[Exit2]]</f>
        <v>0</v>
      </c>
      <c r="W689" s="30">
        <f ca="1">(Table20[[#This Row],[Expiration Date]]-TODAY())/365</f>
        <v>-0.78356164383561644</v>
      </c>
      <c r="X689" s="30" t="e">
        <f ca="1">(LN(Table20[[#This Row],[Current Price]]/Table20[[#This Row],[strike_price]]) + ($B$2 + (Table20[[#This Row],[Vol]]^2)/2)*Table20[[#This Row],[Time to expiration]]) / (Table20[[#This Row],[Vol]] * SQRT(Table20[[#This Row],[Time to expiration]]))</f>
        <v>#NUM!</v>
      </c>
      <c r="Y689" s="30" t="e">
        <f ca="1">IF(Table20[[#This Row],[Direction]]&gt;0, _xlfn.NORM.S.DIST(Table20[[#This Row],[d1]], TRUE), _xlfn.NORM.S.DIST(Table20[[#This Row],[d1]], TRUE) - 1) * Table20[[#This Row],[Buy or Sell]]</f>
        <v>#NUM!</v>
      </c>
      <c r="Z689" s="9">
        <f ca="1">Table20[[#This Row],[Remaining]]*Table20[[#This Row],[Current Price]]*100</f>
        <v>0</v>
      </c>
      <c r="AA689" s="22">
        <f ca="1">IFERROR(Table20[[#This Row],[nominal_exposure]]*Table20[[#This Row],[Delta]],0)</f>
        <v>0</v>
      </c>
      <c r="AB689" s="30" t="b">
        <f>IF(Table20[[#This Row],[date_purchased]]&lt;&gt;Table20[[#This Row],[Expiration Date]],FALSE,TRUE)</f>
        <v>1</v>
      </c>
      <c r="AC689" s="30" t="str">
        <f>VLOOKUP(Table20[[#This Row],[Asset]],Table19[#All],3,FALSE)</f>
        <v>Market</v>
      </c>
      <c r="AD689" s="30">
        <f>IF(Table20[[#This Row],[Remaining]]&lt;&gt;0,Table20[[#This Row],[Invested]]*Table20[[#This Row],[Remaining]]/Table20[[#This Row],[Number of options]],0)</f>
        <v>0</v>
      </c>
      <c r="AE689" s="30">
        <f ca="1">SUMIF(Table20[Ticker],Table20[[#This Row],[Ticker]],Table20[realized_profit])</f>
        <v>-5077</v>
      </c>
      <c r="AF689" s="30" t="str">
        <f>VLOOKUP(Table20[[#This Row],[Strategy]],Table29[#All],7,FALSE)</f>
        <v>Bearish</v>
      </c>
    </row>
    <row r="690" spans="1:32" hidden="1">
      <c r="A690" s="180">
        <v>45884</v>
      </c>
      <c r="B690" s="21" t="e" vm="139">
        <v>#VALUE!</v>
      </c>
      <c r="C690" s="109" t="str" cm="1">
        <f t="array" aca="1" ref="C690" ca="1">_FV(Table20[[#This Row],[Asset]],"Ticker symbol",TRUE)</f>
        <v>WMT</v>
      </c>
      <c r="D690" s="26" cm="1">
        <f t="array" aca="1" ref="D690" ca="1">_FV(Table20[[#This Row],[Asset]],"Price")</f>
        <v>122.55500000000001</v>
      </c>
      <c r="E690" s="26">
        <v>89</v>
      </c>
      <c r="F690" s="33">
        <v>1</v>
      </c>
      <c r="G690" s="34">
        <v>-1</v>
      </c>
      <c r="H690" s="34" t="s">
        <v>112</v>
      </c>
      <c r="I690" s="31">
        <v>45869</v>
      </c>
      <c r="J690" s="26">
        <v>0.11</v>
      </c>
      <c r="K690" s="24"/>
      <c r="L690" s="33">
        <f>VLOOKUP(Table20[[#This Row],[Strategy]],Table29[#All],6,FALSE)</f>
        <v>-1</v>
      </c>
      <c r="M690" s="23">
        <v>1</v>
      </c>
      <c r="N690" s="23">
        <v>0</v>
      </c>
      <c r="O690" s="23"/>
      <c r="P690" s="23"/>
      <c r="Q690">
        <f>Table20[[#This Row],[Exit1]]*Table20[[#This Row],[ex1_price]]</f>
        <v>0</v>
      </c>
      <c r="R690">
        <f>Table20[[#This Row],[Exit2]]*Table20[[#This Row],[ex2_price]]</f>
        <v>0</v>
      </c>
      <c r="S690">
        <f>IFERROR((Table20[[#This Row],[ex2_amnt]]+Table20[[#This Row],[ex1_amnt]])/(Table20[[#This Row],[Exit2]]+Table20[[#This Row],[Exit1]]),0)</f>
        <v>0</v>
      </c>
      <c r="T690" s="5">
        <f>(Table20[[#This Row],[Exit1]]+Table20[[#This Row],[Exit2]])*(Table20[[#This Row],[avg_exit_price]]-Table20[[#This Row],[AvePrice]])*100*Table20[[#This Row],[Buy or Sell]]</f>
        <v>11</v>
      </c>
      <c r="U690" s="5">
        <f>Table20[[#This Row],[Number of options]]*Table20[[#This Row],[AvePrice]]*100*Table20[[#This Row],[Buy or Sell]]</f>
        <v>-11</v>
      </c>
      <c r="V690" s="8">
        <f>Table20[[#This Row],[Number of options]]-Table20[[#This Row],[Exit1]]-Table20[[#This Row],[Exit2]]</f>
        <v>0</v>
      </c>
      <c r="W690" s="30">
        <f ca="1">(Table20[[#This Row],[Expiration Date]]-TODAY())/365</f>
        <v>-0.61095890410958908</v>
      </c>
      <c r="X690" s="30" t="e">
        <f ca="1">(LN(Table20[[#This Row],[Current Price]]/Table20[[#This Row],[strike_price]]) + ($B$2 + (Table20[[#This Row],[Vol]]^2)/2)*Table20[[#This Row],[Time to expiration]]) / (Table20[[#This Row],[Vol]] * SQRT(Table20[[#This Row],[Time to expiration]]))</f>
        <v>#NUM!</v>
      </c>
      <c r="Y690" s="30" t="e">
        <f ca="1">IF(Table20[[#This Row],[Direction]]&gt;0, _xlfn.NORM.S.DIST(Table20[[#This Row],[d1]], TRUE), _xlfn.NORM.S.DIST(Table20[[#This Row],[d1]], TRUE) - 1) * Table20[[#This Row],[Buy or Sell]]</f>
        <v>#NUM!</v>
      </c>
      <c r="Z690" s="9">
        <f ca="1">Table20[[#This Row],[Remaining]]*Table20[[#This Row],[Current Price]]*100</f>
        <v>0</v>
      </c>
      <c r="AA690" s="22">
        <f ca="1">IFERROR(Table20[[#This Row],[nominal_exposure]]*Table20[[#This Row],[Delta]],0)</f>
        <v>0</v>
      </c>
      <c r="AB690" s="30" t="b">
        <f>IF(Table20[[#This Row],[date_purchased]]&lt;&gt;Table20[[#This Row],[Expiration Date]],FALSE,TRUE)</f>
        <v>0</v>
      </c>
      <c r="AC690" s="30" t="str">
        <f>VLOOKUP(Table20[[#This Row],[Asset]],Table19[#All],3,FALSE)</f>
        <v>Consumer Staples</v>
      </c>
      <c r="AD690" s="30">
        <f>IF(Table20[[#This Row],[Remaining]]&lt;&gt;0,Table20[[#This Row],[Invested]]*Table20[[#This Row],[Remaining]]/Table20[[#This Row],[Number of options]],0)</f>
        <v>0</v>
      </c>
      <c r="AE690" s="30">
        <f ca="1">SUMIF(Table20[Ticker],Table20[[#This Row],[Ticker]],Table20[realized_profit])</f>
        <v>-838.16</v>
      </c>
      <c r="AF690" s="30" t="str">
        <f>VLOOKUP(Table20[[#This Row],[Strategy]],Table29[#All],7,FALSE)</f>
        <v>Bearish</v>
      </c>
    </row>
    <row r="691" spans="1:32" hidden="1">
      <c r="A691" s="180">
        <v>45905</v>
      </c>
      <c r="B691" s="21" t="e" vm="63">
        <v>#VALUE!</v>
      </c>
      <c r="C691" s="109" t="str" cm="1">
        <f t="array" aca="1" ref="C691" ca="1">_FV(Table20[[#This Row],[Asset]],"Ticker symbol",TRUE)</f>
        <v>TSLA</v>
      </c>
      <c r="D691" s="26" cm="1">
        <f t="array" aca="1" ref="D691" ca="1">_FV(Table20[[#This Row],[Asset]],"Price")</f>
        <v>394.5401</v>
      </c>
      <c r="E691" s="26">
        <v>370</v>
      </c>
      <c r="F691" s="33">
        <v>1</v>
      </c>
      <c r="G691" s="34">
        <v>1</v>
      </c>
      <c r="H691" s="34" t="s">
        <v>114</v>
      </c>
      <c r="I691" s="31">
        <v>45894</v>
      </c>
      <c r="J691" s="26">
        <v>3.27</v>
      </c>
      <c r="K691" s="24">
        <v>0.52410000000000001</v>
      </c>
      <c r="L691" s="33">
        <f>VLOOKUP(Table20[[#This Row],[Strategy]],Table29[#All],6,FALSE)</f>
        <v>1</v>
      </c>
      <c r="M691" s="23">
        <v>1</v>
      </c>
      <c r="N691" s="23">
        <v>0</v>
      </c>
      <c r="O691" s="23"/>
      <c r="P691" s="23"/>
      <c r="Q691">
        <f>Table20[[#This Row],[Exit1]]*Table20[[#This Row],[ex1_price]]</f>
        <v>0</v>
      </c>
      <c r="R691">
        <f>Table20[[#This Row],[Exit2]]*Table20[[#This Row],[ex2_price]]</f>
        <v>0</v>
      </c>
      <c r="S691">
        <f>IFERROR((Table20[[#This Row],[ex2_amnt]]+Table20[[#This Row],[ex1_amnt]])/(Table20[[#This Row],[Exit2]]+Table20[[#This Row],[Exit1]]),0)</f>
        <v>0</v>
      </c>
      <c r="T691" s="5">
        <f>(Table20[[#This Row],[Exit1]]+Table20[[#This Row],[Exit2]])*(Table20[[#This Row],[avg_exit_price]]-Table20[[#This Row],[AvePrice]])*100*Table20[[#This Row],[Buy or Sell]]</f>
        <v>-327</v>
      </c>
      <c r="U691" s="5">
        <f>Table20[[#This Row],[Number of options]]*Table20[[#This Row],[AvePrice]]*100*Table20[[#This Row],[Buy or Sell]]</f>
        <v>327</v>
      </c>
      <c r="V691" s="8">
        <f>Table20[[#This Row],[Number of options]]-Table20[[#This Row],[Exit1]]-Table20[[#This Row],[Exit2]]</f>
        <v>0</v>
      </c>
      <c r="W691" s="30">
        <f ca="1">(Table20[[#This Row],[Expiration Date]]-TODAY())/365</f>
        <v>-0.55342465753424652</v>
      </c>
      <c r="X691" s="30" t="e">
        <f ca="1">(LN(Table20[[#This Row],[Current Price]]/Table20[[#This Row],[strike_price]]) + ($B$2 + (Table20[[#This Row],[Vol]]^2)/2)*Table20[[#This Row],[Time to expiration]]) / (Table20[[#This Row],[Vol]] * SQRT(Table20[[#This Row],[Time to expiration]]))</f>
        <v>#NUM!</v>
      </c>
      <c r="Y691" s="30" t="e">
        <f ca="1">IF(Table20[[#This Row],[Direction]]&gt;0, _xlfn.NORM.S.DIST(Table20[[#This Row],[d1]], TRUE), _xlfn.NORM.S.DIST(Table20[[#This Row],[d1]], TRUE) - 1) * Table20[[#This Row],[Buy or Sell]]</f>
        <v>#NUM!</v>
      </c>
      <c r="Z691" s="9">
        <f ca="1">Table20[[#This Row],[Remaining]]*Table20[[#This Row],[Current Price]]*100</f>
        <v>0</v>
      </c>
      <c r="AA691" s="22">
        <f ca="1">IFERROR(Table20[[#This Row],[nominal_exposure]]*Table20[[#This Row],[Delta]],0)</f>
        <v>0</v>
      </c>
      <c r="AB691" s="30" t="b">
        <f>IF(Table20[[#This Row],[date_purchased]]&lt;&gt;Table20[[#This Row],[Expiration Date]],FALSE,TRUE)</f>
        <v>0</v>
      </c>
      <c r="AC691" s="30" t="str">
        <f>VLOOKUP(Table20[[#This Row],[Asset]],Table19[#All],3,FALSE)</f>
        <v>Auto</v>
      </c>
      <c r="AD691" s="30">
        <f>IF(Table20[[#This Row],[Remaining]]&lt;&gt;0,Table20[[#This Row],[Invested]]*Table20[[#This Row],[Remaining]]/Table20[[#This Row],[Number of options]],0)</f>
        <v>0</v>
      </c>
      <c r="AE691" s="30">
        <f ca="1">SUMIF(Table20[Ticker],Table20[[#This Row],[Ticker]],Table20[realized_profit])</f>
        <v>4153</v>
      </c>
      <c r="AF691" s="30" t="str">
        <f>VLOOKUP(Table20[[#This Row],[Strategy]],Table29[#All],7,FALSE)</f>
        <v>Bullish</v>
      </c>
    </row>
    <row r="692" spans="1:32" hidden="1">
      <c r="A692" s="180">
        <v>45863</v>
      </c>
      <c r="B692" s="21" t="e" vm="63">
        <v>#VALUE!</v>
      </c>
      <c r="C692" s="109" t="str" cm="1">
        <f t="array" aca="1" ref="C692" ca="1">_FV(Table20[[#This Row],[Asset]],"Ticker symbol",TRUE)</f>
        <v>TSLA</v>
      </c>
      <c r="D692" s="26" cm="1">
        <f t="array" aca="1" ref="D692" ca="1">_FV(Table20[[#This Row],[Asset]],"Price")</f>
        <v>394.5401</v>
      </c>
      <c r="E692" s="26">
        <v>200</v>
      </c>
      <c r="F692" s="33">
        <v>1</v>
      </c>
      <c r="G692" s="34">
        <v>-1</v>
      </c>
      <c r="H692" s="34" t="s">
        <v>112</v>
      </c>
      <c r="I692" s="31">
        <v>45825</v>
      </c>
      <c r="J692" s="26">
        <v>1.1299999999999999</v>
      </c>
      <c r="K692" s="24"/>
      <c r="L692" s="33">
        <f>VLOOKUP(Table20[[#This Row],[Strategy]],Table29[#All],6,FALSE)</f>
        <v>-1</v>
      </c>
      <c r="M692" s="23">
        <v>1</v>
      </c>
      <c r="N692" s="23">
        <v>0.11</v>
      </c>
      <c r="O692" s="23"/>
      <c r="P692" s="23"/>
      <c r="Q692">
        <f>Table20[[#This Row],[Exit1]]*Table20[[#This Row],[ex1_price]]</f>
        <v>0.11</v>
      </c>
      <c r="R692">
        <f>Table20[[#This Row],[Exit2]]*Table20[[#This Row],[ex2_price]]</f>
        <v>0</v>
      </c>
      <c r="S692">
        <f>IFERROR((Table20[[#This Row],[ex2_amnt]]+Table20[[#This Row],[ex1_amnt]])/(Table20[[#This Row],[Exit2]]+Table20[[#This Row],[Exit1]]),0)</f>
        <v>0.11</v>
      </c>
      <c r="T692" s="5">
        <f>(Table20[[#This Row],[Exit1]]+Table20[[#This Row],[Exit2]])*(Table20[[#This Row],[avg_exit_price]]-Table20[[#This Row],[AvePrice]])*100*Table20[[#This Row],[Buy or Sell]]</f>
        <v>101.99999999999999</v>
      </c>
      <c r="U692" s="5">
        <f>Table20[[#This Row],[Number of options]]*Table20[[#This Row],[AvePrice]]*100*Table20[[#This Row],[Buy or Sell]]</f>
        <v>-112.99999999999999</v>
      </c>
      <c r="V692" s="8">
        <f>Table20[[#This Row],[Number of options]]-Table20[[#This Row],[Exit1]]-Table20[[#This Row],[Exit2]]</f>
        <v>0</v>
      </c>
      <c r="W692" s="30">
        <f ca="1">(Table20[[#This Row],[Expiration Date]]-TODAY())/365</f>
        <v>-0.66849315068493154</v>
      </c>
      <c r="X692" s="30" t="e">
        <f ca="1">(LN(Table20[[#This Row],[Current Price]]/Table20[[#This Row],[strike_price]]) + ($B$2 + (Table20[[#This Row],[Vol]]^2)/2)*Table20[[#This Row],[Time to expiration]]) / (Table20[[#This Row],[Vol]] * SQRT(Table20[[#This Row],[Time to expiration]]))</f>
        <v>#NUM!</v>
      </c>
      <c r="Y692" s="30" t="e">
        <f ca="1">IF(Table20[[#This Row],[Direction]]&gt;0, _xlfn.NORM.S.DIST(Table20[[#This Row],[d1]], TRUE), _xlfn.NORM.S.DIST(Table20[[#This Row],[d1]], TRUE) - 1) * Table20[[#This Row],[Buy or Sell]]</f>
        <v>#NUM!</v>
      </c>
      <c r="Z692" s="9">
        <f ca="1">Table20[[#This Row],[Remaining]]*Table20[[#This Row],[Current Price]]*100</f>
        <v>0</v>
      </c>
      <c r="AA692" s="22">
        <f ca="1">IFERROR(Table20[[#This Row],[nominal_exposure]]*Table20[[#This Row],[Delta]],0)</f>
        <v>0</v>
      </c>
      <c r="AB692" s="30" t="b">
        <f>IF(Table20[[#This Row],[date_purchased]]&lt;&gt;Table20[[#This Row],[Expiration Date]],FALSE,TRUE)</f>
        <v>0</v>
      </c>
      <c r="AC692" s="30" t="str">
        <f>VLOOKUP(Table20[[#This Row],[Asset]],Table19[#All],3,FALSE)</f>
        <v>Auto</v>
      </c>
      <c r="AD692" s="30">
        <f>IF(Table20[[#This Row],[Remaining]]&lt;&gt;0,Table20[[#This Row],[Invested]]*Table20[[#This Row],[Remaining]]/Table20[[#This Row],[Number of options]],0)</f>
        <v>0</v>
      </c>
      <c r="AE692" s="30">
        <f ca="1">SUMIF(Table20[Ticker],Table20[[#This Row],[Ticker]],Table20[realized_profit])</f>
        <v>4153</v>
      </c>
      <c r="AF692" s="30" t="str">
        <f>VLOOKUP(Table20[[#This Row],[Strategy]],Table29[#All],7,FALSE)</f>
        <v>Bearish</v>
      </c>
    </row>
    <row r="693" spans="1:32" hidden="1">
      <c r="A693" s="180">
        <v>45863</v>
      </c>
      <c r="B693" s="21" t="e" vm="63">
        <v>#VALUE!</v>
      </c>
      <c r="C693" s="109" t="str" cm="1">
        <f t="array" aca="1" ref="C693" ca="1">_FV(Table20[[#This Row],[Asset]],"Ticker symbol",TRUE)</f>
        <v>TSLA</v>
      </c>
      <c r="D693" s="26" cm="1">
        <f t="array" aca="1" ref="D693" ca="1">_FV(Table20[[#This Row],[Asset]],"Price")</f>
        <v>394.5401</v>
      </c>
      <c r="E693" s="26">
        <v>250</v>
      </c>
      <c r="F693" s="33">
        <v>1</v>
      </c>
      <c r="G693" s="34">
        <v>1</v>
      </c>
      <c r="H693" s="34" t="s">
        <v>112</v>
      </c>
      <c r="I693" s="31">
        <v>45825</v>
      </c>
      <c r="J693" s="26">
        <v>4.4000000000000004</v>
      </c>
      <c r="K693" s="24"/>
      <c r="L693" s="33">
        <f>VLOOKUP(Table20[[#This Row],[Strategy]],Table29[#All],6,FALSE)</f>
        <v>-1</v>
      </c>
      <c r="M693" s="23">
        <v>1</v>
      </c>
      <c r="N693" s="23">
        <v>0.25</v>
      </c>
      <c r="O693" s="23"/>
      <c r="P693" s="23"/>
      <c r="Q693">
        <f>Table20[[#This Row],[Exit1]]*Table20[[#This Row],[ex1_price]]</f>
        <v>0.25</v>
      </c>
      <c r="R693">
        <f>Table20[[#This Row],[Exit2]]*Table20[[#This Row],[ex2_price]]</f>
        <v>0</v>
      </c>
      <c r="S693">
        <f>IFERROR((Table20[[#This Row],[ex2_amnt]]+Table20[[#This Row],[ex1_amnt]])/(Table20[[#This Row],[Exit2]]+Table20[[#This Row],[Exit1]]),0)</f>
        <v>0.25</v>
      </c>
      <c r="T693" s="5">
        <f>(Table20[[#This Row],[Exit1]]+Table20[[#This Row],[Exit2]])*(Table20[[#This Row],[avg_exit_price]]-Table20[[#This Row],[AvePrice]])*100*Table20[[#This Row],[Buy or Sell]]</f>
        <v>-415.00000000000006</v>
      </c>
      <c r="U693" s="5">
        <f>Table20[[#This Row],[Number of options]]*Table20[[#This Row],[AvePrice]]*100*Table20[[#This Row],[Buy or Sell]]</f>
        <v>440.00000000000006</v>
      </c>
      <c r="V693" s="8">
        <f>Table20[[#This Row],[Number of options]]-Table20[[#This Row],[Exit1]]-Table20[[#This Row],[Exit2]]</f>
        <v>0</v>
      </c>
      <c r="W693" s="30">
        <f ca="1">(Table20[[#This Row],[Expiration Date]]-TODAY())/365</f>
        <v>-0.66849315068493154</v>
      </c>
      <c r="X693" s="30" t="e">
        <f ca="1">(LN(Table20[[#This Row],[Current Price]]/Table20[[#This Row],[strike_price]]) + ($B$2 + (Table20[[#This Row],[Vol]]^2)/2)*Table20[[#This Row],[Time to expiration]]) / (Table20[[#This Row],[Vol]] * SQRT(Table20[[#This Row],[Time to expiration]]))</f>
        <v>#NUM!</v>
      </c>
      <c r="Y693" s="30" t="e">
        <f ca="1">IF(Table20[[#This Row],[Direction]]&gt;0, _xlfn.NORM.S.DIST(Table20[[#This Row],[d1]], TRUE), _xlfn.NORM.S.DIST(Table20[[#This Row],[d1]], TRUE) - 1) * Table20[[#This Row],[Buy or Sell]]</f>
        <v>#NUM!</v>
      </c>
      <c r="Z693" s="9">
        <f ca="1">Table20[[#This Row],[Remaining]]*Table20[[#This Row],[Current Price]]*100</f>
        <v>0</v>
      </c>
      <c r="AA693" s="22">
        <f ca="1">IFERROR(Table20[[#This Row],[nominal_exposure]]*Table20[[#This Row],[Delta]],0)</f>
        <v>0</v>
      </c>
      <c r="AB693" s="30" t="b">
        <f>IF(Table20[[#This Row],[date_purchased]]&lt;&gt;Table20[[#This Row],[Expiration Date]],FALSE,TRUE)</f>
        <v>0</v>
      </c>
      <c r="AC693" s="30" t="str">
        <f>VLOOKUP(Table20[[#This Row],[Asset]],Table19[#All],3,FALSE)</f>
        <v>Auto</v>
      </c>
      <c r="AD693" s="30">
        <f>IF(Table20[[#This Row],[Remaining]]&lt;&gt;0,Table20[[#This Row],[Invested]]*Table20[[#This Row],[Remaining]]/Table20[[#This Row],[Number of options]],0)</f>
        <v>0</v>
      </c>
      <c r="AE693" s="30">
        <f ca="1">SUMIF(Table20[Ticker],Table20[[#This Row],[Ticker]],Table20[realized_profit])</f>
        <v>4153</v>
      </c>
      <c r="AF693" s="30" t="str">
        <f>VLOOKUP(Table20[[#This Row],[Strategy]],Table29[#All],7,FALSE)</f>
        <v>Bearish</v>
      </c>
    </row>
    <row r="694" spans="1:32" hidden="1">
      <c r="A694" s="180">
        <v>45835</v>
      </c>
      <c r="B694" s="21" t="e" vm="563">
        <v>#VALUE!</v>
      </c>
      <c r="C694" s="109" t="str" cm="1">
        <f t="array" aca="1" ref="C694" ca="1">_FV(Table20[[#This Row],[Asset]],"Ticker symbol",TRUE)</f>
        <v>PLTR</v>
      </c>
      <c r="D694" s="26" cm="1">
        <f t="array" aca="1" ref="D694" ca="1">_FV(Table20[[#This Row],[Asset]],"Price")</f>
        <v>158.88999999999999</v>
      </c>
      <c r="E694" s="26">
        <v>133</v>
      </c>
      <c r="F694" s="33">
        <v>1</v>
      </c>
      <c r="G694" s="34">
        <v>1</v>
      </c>
      <c r="H694" s="34" t="s">
        <v>65</v>
      </c>
      <c r="I694" s="31">
        <v>45825</v>
      </c>
      <c r="J694" s="26">
        <v>2</v>
      </c>
      <c r="K694" s="24"/>
      <c r="L694" s="33">
        <f>VLOOKUP(Table20[[#This Row],[Strategy]],Table29[#All],6,FALSE)</f>
        <v>-1</v>
      </c>
      <c r="M694" s="23">
        <v>1</v>
      </c>
      <c r="N694" s="23">
        <v>0.8</v>
      </c>
      <c r="O694" s="23"/>
      <c r="P694" s="23"/>
      <c r="Q694">
        <f>Table20[[#This Row],[Exit1]]*Table20[[#This Row],[ex1_price]]</f>
        <v>0.8</v>
      </c>
      <c r="R694">
        <f>Table20[[#This Row],[Exit2]]*Table20[[#This Row],[ex2_price]]</f>
        <v>0</v>
      </c>
      <c r="S694">
        <f>IFERROR((Table20[[#This Row],[ex2_amnt]]+Table20[[#This Row],[ex1_amnt]])/(Table20[[#This Row],[Exit2]]+Table20[[#This Row],[Exit1]]),0)</f>
        <v>0.8</v>
      </c>
      <c r="T694" s="5">
        <f>(Table20[[#This Row],[Exit1]]+Table20[[#This Row],[Exit2]])*(Table20[[#This Row],[avg_exit_price]]-Table20[[#This Row],[AvePrice]])*100*Table20[[#This Row],[Buy or Sell]]</f>
        <v>-120</v>
      </c>
      <c r="U694" s="5">
        <f>Table20[[#This Row],[Number of options]]*Table20[[#This Row],[AvePrice]]*100*Table20[[#This Row],[Buy or Sell]]</f>
        <v>200</v>
      </c>
      <c r="V694" s="8">
        <f>Table20[[#This Row],[Number of options]]-Table20[[#This Row],[Exit1]]-Table20[[#This Row],[Exit2]]</f>
        <v>0</v>
      </c>
      <c r="W694" s="30">
        <f ca="1">(Table20[[#This Row],[Expiration Date]]-TODAY())/365</f>
        <v>-0.74520547945205484</v>
      </c>
      <c r="X694" s="30" t="e">
        <f ca="1">(LN(Table20[[#This Row],[Current Price]]/Table20[[#This Row],[strike_price]]) + ($B$2 + (Table20[[#This Row],[Vol]]^2)/2)*Table20[[#This Row],[Time to expiration]]) / (Table20[[#This Row],[Vol]] * SQRT(Table20[[#This Row],[Time to expiration]]))</f>
        <v>#NUM!</v>
      </c>
      <c r="Y694" s="30" t="e">
        <f ca="1">IF(Table20[[#This Row],[Direction]]&gt;0, _xlfn.NORM.S.DIST(Table20[[#This Row],[d1]], TRUE), _xlfn.NORM.S.DIST(Table20[[#This Row],[d1]], TRUE) - 1) * Table20[[#This Row],[Buy or Sell]]</f>
        <v>#NUM!</v>
      </c>
      <c r="Z694" s="9">
        <f ca="1">Table20[[#This Row],[Remaining]]*Table20[[#This Row],[Current Price]]*100</f>
        <v>0</v>
      </c>
      <c r="AA694" s="22">
        <f ca="1">IFERROR(Table20[[#This Row],[nominal_exposure]]*Table20[[#This Row],[Delta]],0)</f>
        <v>0</v>
      </c>
      <c r="AB694" s="30" t="b">
        <f>IF(Table20[[#This Row],[date_purchased]]&lt;&gt;Table20[[#This Row],[Expiration Date]],FALSE,TRUE)</f>
        <v>0</v>
      </c>
      <c r="AC694" s="30" t="str">
        <f>VLOOKUP(Table20[[#This Row],[Asset]],Table19[#All],3,FALSE)</f>
        <v>AI</v>
      </c>
      <c r="AD694" s="30">
        <f>IF(Table20[[#This Row],[Remaining]]&lt;&gt;0,Table20[[#This Row],[Invested]]*Table20[[#This Row],[Remaining]]/Table20[[#This Row],[Number of options]],0)</f>
        <v>0</v>
      </c>
      <c r="AE694" s="30">
        <f ca="1">SUMIF(Table20[Ticker],Table20[[#This Row],[Ticker]],Table20[realized_profit])</f>
        <v>-492</v>
      </c>
      <c r="AF694" s="30" t="str">
        <f>VLOOKUP(Table20[[#This Row],[Strategy]],Table29[#All],7,FALSE)</f>
        <v>Bearish</v>
      </c>
    </row>
    <row r="695" spans="1:32" hidden="1">
      <c r="A695" s="180">
        <v>45863</v>
      </c>
      <c r="B695" s="21" t="e" vm="31">
        <v>#VALUE!</v>
      </c>
      <c r="C695" s="109" t="str" cm="1">
        <f t="array" aca="1" ref="C695" ca="1">_FV(Table20[[#This Row],[Asset]],"Ticker symbol",TRUE)</f>
        <v>SMCI</v>
      </c>
      <c r="D695" s="26" cm="1">
        <f t="array" aca="1" ref="D695" ca="1">_FV(Table20[[#This Row],[Asset]],"Price")</f>
        <v>23.869900000000001</v>
      </c>
      <c r="E695" s="26">
        <v>50</v>
      </c>
      <c r="F695" s="33">
        <v>1</v>
      </c>
      <c r="G695" s="34">
        <v>1</v>
      </c>
      <c r="H695" s="34" t="s">
        <v>113</v>
      </c>
      <c r="I695" s="31">
        <v>45825</v>
      </c>
      <c r="J695" s="26">
        <v>1.74</v>
      </c>
      <c r="K695" s="24">
        <v>0.69299999999999995</v>
      </c>
      <c r="L695" s="33">
        <f>VLOOKUP(Table20[[#This Row],[Strategy]],Table29[#All],6,FALSE)</f>
        <v>1</v>
      </c>
      <c r="M695" s="23">
        <v>1</v>
      </c>
      <c r="N695" s="23">
        <v>1.56</v>
      </c>
      <c r="O695" s="23"/>
      <c r="P695" s="23"/>
      <c r="Q695">
        <f>Table20[[#This Row],[Exit1]]*Table20[[#This Row],[ex1_price]]</f>
        <v>1.56</v>
      </c>
      <c r="R695">
        <f>Table20[[#This Row],[Exit2]]*Table20[[#This Row],[ex2_price]]</f>
        <v>0</v>
      </c>
      <c r="S695">
        <f>IFERROR((Table20[[#This Row],[ex2_amnt]]+Table20[[#This Row],[ex1_amnt]])/(Table20[[#This Row],[Exit2]]+Table20[[#This Row],[Exit1]]),0)</f>
        <v>1.56</v>
      </c>
      <c r="T695" s="5">
        <f>(Table20[[#This Row],[Exit1]]+Table20[[#This Row],[Exit2]])*(Table20[[#This Row],[avg_exit_price]]-Table20[[#This Row],[AvePrice]])*100*Table20[[#This Row],[Buy or Sell]]</f>
        <v>-17.999999999999993</v>
      </c>
      <c r="U695" s="5">
        <f>Table20[[#This Row],[Number of options]]*Table20[[#This Row],[AvePrice]]*100*Table20[[#This Row],[Buy or Sell]]</f>
        <v>174</v>
      </c>
      <c r="V695" s="8">
        <f>Table20[[#This Row],[Number of options]]-Table20[[#This Row],[Exit1]]-Table20[[#This Row],[Exit2]]</f>
        <v>0</v>
      </c>
      <c r="W695" s="30">
        <f ca="1">(Table20[[#This Row],[Expiration Date]]-TODAY())/365</f>
        <v>-0.66849315068493154</v>
      </c>
      <c r="X695" s="30" t="e">
        <f ca="1">(LN(Table20[[#This Row],[Current Price]]/Table20[[#This Row],[strike_price]]) + ($B$2 + (Table20[[#This Row],[Vol]]^2)/2)*Table20[[#This Row],[Time to expiration]]) / (Table20[[#This Row],[Vol]] * SQRT(Table20[[#This Row],[Time to expiration]]))</f>
        <v>#NUM!</v>
      </c>
      <c r="Y695" s="30" t="e">
        <f ca="1">IF(Table20[[#This Row],[Direction]]&gt;0, _xlfn.NORM.S.DIST(Table20[[#This Row],[d1]], TRUE), _xlfn.NORM.S.DIST(Table20[[#This Row],[d1]], TRUE) - 1) * Table20[[#This Row],[Buy or Sell]]</f>
        <v>#NUM!</v>
      </c>
      <c r="Z695" s="9">
        <f ca="1">Table20[[#This Row],[Remaining]]*Table20[[#This Row],[Current Price]]*100</f>
        <v>0</v>
      </c>
      <c r="AA695" s="22">
        <f ca="1">IFERROR(Table20[[#This Row],[nominal_exposure]]*Table20[[#This Row],[Delta]],0)</f>
        <v>0</v>
      </c>
      <c r="AB695" s="30" t="b">
        <f>IF(Table20[[#This Row],[date_purchased]]&lt;&gt;Table20[[#This Row],[Expiration Date]],FALSE,TRUE)</f>
        <v>0</v>
      </c>
      <c r="AC695" s="30" t="str">
        <f>VLOOKUP(Table20[[#This Row],[Asset]],Table19[#All],3,FALSE)</f>
        <v>AI</v>
      </c>
      <c r="AD695" s="30">
        <f>IF(Table20[[#This Row],[Remaining]]&lt;&gt;0,Table20[[#This Row],[Invested]]*Table20[[#This Row],[Remaining]]/Table20[[#This Row],[Number of options]],0)</f>
        <v>0</v>
      </c>
      <c r="AE695" s="30">
        <f ca="1">SUMIF(Table20[Ticker],Table20[[#This Row],[Ticker]],Table20[realized_profit])</f>
        <v>-303.99999999999994</v>
      </c>
      <c r="AF695" s="30" t="str">
        <f>VLOOKUP(Table20[[#This Row],[Strategy]],Table29[#All],7,FALSE)</f>
        <v>Bullish</v>
      </c>
    </row>
    <row r="696" spans="1:32" hidden="1">
      <c r="A696" s="180">
        <v>45919</v>
      </c>
      <c r="B696" s="21" t="e" vm="84">
        <v>#VALUE!</v>
      </c>
      <c r="C696" s="109" t="str" cm="1">
        <f t="array" aca="1" ref="C696" ca="1">_FV(Table20[[#This Row],[Asset]],"Ticker symbol",TRUE)</f>
        <v>COIN</v>
      </c>
      <c r="D696" s="26" cm="1">
        <f t="array" aca="1" ref="D696" ca="1">_FV(Table20[[#This Row],[Asset]],"Price")</f>
        <v>188</v>
      </c>
      <c r="E696" s="26">
        <v>350</v>
      </c>
      <c r="F696" s="33">
        <v>1</v>
      </c>
      <c r="G696" s="34">
        <v>1</v>
      </c>
      <c r="H696" s="34" t="s">
        <v>114</v>
      </c>
      <c r="I696" s="31">
        <v>45825</v>
      </c>
      <c r="J696" s="26">
        <v>6.65</v>
      </c>
      <c r="K696" s="24"/>
      <c r="L696" s="33">
        <f>VLOOKUP(Table20[[#This Row],[Strategy]],Table29[#All],6,FALSE)</f>
        <v>1</v>
      </c>
      <c r="M696" s="23">
        <v>1</v>
      </c>
      <c r="N696" s="23">
        <v>47.17</v>
      </c>
      <c r="O696" s="23"/>
      <c r="P696" s="23"/>
      <c r="Q696">
        <f>Table20[[#This Row],[Exit1]]*Table20[[#This Row],[ex1_price]]</f>
        <v>47.17</v>
      </c>
      <c r="R696">
        <f>Table20[[#This Row],[Exit2]]*Table20[[#This Row],[ex2_price]]</f>
        <v>0</v>
      </c>
      <c r="S696">
        <f>IFERROR((Table20[[#This Row],[ex2_amnt]]+Table20[[#This Row],[ex1_amnt]])/(Table20[[#This Row],[Exit2]]+Table20[[#This Row],[Exit1]]),0)</f>
        <v>47.17</v>
      </c>
      <c r="T696" s="5">
        <f>(Table20[[#This Row],[Exit1]]+Table20[[#This Row],[Exit2]])*(Table20[[#This Row],[avg_exit_price]]-Table20[[#This Row],[AvePrice]])*100*Table20[[#This Row],[Buy or Sell]]</f>
        <v>4052.0000000000005</v>
      </c>
      <c r="U696" s="5">
        <f>Table20[[#This Row],[Number of options]]*Table20[[#This Row],[AvePrice]]*100*Table20[[#This Row],[Buy or Sell]]</f>
        <v>665</v>
      </c>
      <c r="V696" s="8">
        <f>Table20[[#This Row],[Number of options]]-Table20[[#This Row],[Exit1]]-Table20[[#This Row],[Exit2]]</f>
        <v>0</v>
      </c>
      <c r="W696" s="30">
        <f ca="1">(Table20[[#This Row],[Expiration Date]]-TODAY())/365</f>
        <v>-0.51506849315068493</v>
      </c>
      <c r="X696" s="30" t="e">
        <f ca="1">(LN(Table20[[#This Row],[Current Price]]/Table20[[#This Row],[strike_price]]) + ($B$2 + (Table20[[#This Row],[Vol]]^2)/2)*Table20[[#This Row],[Time to expiration]]) / (Table20[[#This Row],[Vol]] * SQRT(Table20[[#This Row],[Time to expiration]]))</f>
        <v>#NUM!</v>
      </c>
      <c r="Y696" s="30" t="e">
        <f ca="1">IF(Table20[[#This Row],[Direction]]&gt;0, _xlfn.NORM.S.DIST(Table20[[#This Row],[d1]], TRUE), _xlfn.NORM.S.DIST(Table20[[#This Row],[d1]], TRUE) - 1) * Table20[[#This Row],[Buy or Sell]]</f>
        <v>#NUM!</v>
      </c>
      <c r="Z696" s="9">
        <f ca="1">Table20[[#This Row],[Remaining]]*Table20[[#This Row],[Current Price]]*100</f>
        <v>0</v>
      </c>
      <c r="AA696" s="22">
        <f ca="1">IFERROR(Table20[[#This Row],[nominal_exposure]]*Table20[[#This Row],[Delta]],0)</f>
        <v>0</v>
      </c>
      <c r="AB696" s="30" t="b">
        <f>IF(Table20[[#This Row],[date_purchased]]&lt;&gt;Table20[[#This Row],[Expiration Date]],FALSE,TRUE)</f>
        <v>0</v>
      </c>
      <c r="AC696" s="30" t="str">
        <f>VLOOKUP(Table20[[#This Row],[Asset]],Table19[#All],3,FALSE)</f>
        <v>Financials</v>
      </c>
      <c r="AD696" s="30">
        <f>IF(Table20[[#This Row],[Remaining]]&lt;&gt;0,Table20[[#This Row],[Invested]]*Table20[[#This Row],[Remaining]]/Table20[[#This Row],[Number of options]],0)</f>
        <v>0</v>
      </c>
      <c r="AE696" s="30">
        <f ca="1">SUMIF(Table20[Ticker],Table20[[#This Row],[Ticker]],Table20[realized_profit])</f>
        <v>4035</v>
      </c>
      <c r="AF696" s="30" t="str">
        <f>VLOOKUP(Table20[[#This Row],[Strategy]],Table29[#All],7,FALSE)</f>
        <v>Bullish</v>
      </c>
    </row>
    <row r="697" spans="1:32" hidden="1">
      <c r="A697" s="180">
        <v>45919</v>
      </c>
      <c r="B697" s="21" t="e" vm="84">
        <v>#VALUE!</v>
      </c>
      <c r="C697" s="109" t="str" cm="1">
        <f t="array" aca="1" ref="C697" ca="1">_FV(Table20[[#This Row],[Asset]],"Ticker symbol",TRUE)</f>
        <v>COIN</v>
      </c>
      <c r="D697" s="26" cm="1">
        <f t="array" aca="1" ref="D697" ca="1">_FV(Table20[[#This Row],[Asset]],"Price")</f>
        <v>188</v>
      </c>
      <c r="E697" s="26">
        <v>450</v>
      </c>
      <c r="F697" s="33">
        <v>1</v>
      </c>
      <c r="G697" s="34">
        <v>-1</v>
      </c>
      <c r="H697" s="34" t="s">
        <v>114</v>
      </c>
      <c r="I697" s="31">
        <v>45825</v>
      </c>
      <c r="J697" s="26">
        <v>1.68</v>
      </c>
      <c r="K697" s="24"/>
      <c r="L697" s="33">
        <f>VLOOKUP(Table20[[#This Row],[Strategy]],Table29[#All],6,FALSE)</f>
        <v>1</v>
      </c>
      <c r="M697" s="23">
        <v>1</v>
      </c>
      <c r="N697" s="23">
        <v>16.87</v>
      </c>
      <c r="O697" s="23"/>
      <c r="P697" s="23"/>
      <c r="Q697">
        <f>Table20[[#This Row],[Exit1]]*Table20[[#This Row],[ex1_price]]</f>
        <v>16.87</v>
      </c>
      <c r="R697">
        <f>Table20[[#This Row],[Exit2]]*Table20[[#This Row],[ex2_price]]</f>
        <v>0</v>
      </c>
      <c r="S697">
        <f>IFERROR((Table20[[#This Row],[ex2_amnt]]+Table20[[#This Row],[ex1_amnt]])/(Table20[[#This Row],[Exit2]]+Table20[[#This Row],[Exit1]]),0)</f>
        <v>16.87</v>
      </c>
      <c r="T697" s="5">
        <f>(Table20[[#This Row],[Exit1]]+Table20[[#This Row],[Exit2]])*(Table20[[#This Row],[avg_exit_price]]-Table20[[#This Row],[AvePrice]])*100*Table20[[#This Row],[Buy or Sell]]</f>
        <v>-1519.0000000000002</v>
      </c>
      <c r="U697" s="5">
        <f>Table20[[#This Row],[Number of options]]*Table20[[#This Row],[AvePrice]]*100*Table20[[#This Row],[Buy or Sell]]</f>
        <v>-168</v>
      </c>
      <c r="V697" s="8">
        <f>Table20[[#This Row],[Number of options]]-Table20[[#This Row],[Exit1]]-Table20[[#This Row],[Exit2]]</f>
        <v>0</v>
      </c>
      <c r="W697" s="30">
        <f ca="1">(Table20[[#This Row],[Expiration Date]]-TODAY())/365</f>
        <v>-0.51506849315068493</v>
      </c>
      <c r="X697" s="30" t="e">
        <f ca="1">(LN(Table20[[#This Row],[Current Price]]/Table20[[#This Row],[strike_price]]) + ($B$2 + (Table20[[#This Row],[Vol]]^2)/2)*Table20[[#This Row],[Time to expiration]]) / (Table20[[#This Row],[Vol]] * SQRT(Table20[[#This Row],[Time to expiration]]))</f>
        <v>#NUM!</v>
      </c>
      <c r="Y697" s="30" t="e">
        <f ca="1">IF(Table20[[#This Row],[Direction]]&gt;0, _xlfn.NORM.S.DIST(Table20[[#This Row],[d1]], TRUE), _xlfn.NORM.S.DIST(Table20[[#This Row],[d1]], TRUE) - 1) * Table20[[#This Row],[Buy or Sell]]</f>
        <v>#NUM!</v>
      </c>
      <c r="Z697" s="9">
        <f ca="1">Table20[[#This Row],[Remaining]]*Table20[[#This Row],[Current Price]]*100</f>
        <v>0</v>
      </c>
      <c r="AA697" s="22">
        <f ca="1">IFERROR(Table20[[#This Row],[nominal_exposure]]*Table20[[#This Row],[Delta]],0)</f>
        <v>0</v>
      </c>
      <c r="AB697" s="30" t="b">
        <f>IF(Table20[[#This Row],[date_purchased]]&lt;&gt;Table20[[#This Row],[Expiration Date]],FALSE,TRUE)</f>
        <v>0</v>
      </c>
      <c r="AC697" s="30" t="str">
        <f>VLOOKUP(Table20[[#This Row],[Asset]],Table19[#All],3,FALSE)</f>
        <v>Financials</v>
      </c>
      <c r="AD697" s="30">
        <f>IF(Table20[[#This Row],[Remaining]]&lt;&gt;0,Table20[[#This Row],[Invested]]*Table20[[#This Row],[Remaining]]/Table20[[#This Row],[Number of options]],0)</f>
        <v>0</v>
      </c>
      <c r="AE697" s="30">
        <f ca="1">SUMIF(Table20[Ticker],Table20[[#This Row],[Ticker]],Table20[realized_profit])</f>
        <v>4035</v>
      </c>
      <c r="AF697" s="30" t="str">
        <f>VLOOKUP(Table20[[#This Row],[Strategy]],Table29[#All],7,FALSE)</f>
        <v>Bullish</v>
      </c>
    </row>
    <row r="698" spans="1:32" hidden="1">
      <c r="A698" s="180">
        <v>45863</v>
      </c>
      <c r="B698" s="21" t="e" vm="38">
        <v>#VALUE!</v>
      </c>
      <c r="C698" s="109" t="str" cm="1">
        <f t="array" aca="1" ref="C698" ca="1">_FV(Table20[[#This Row],[Asset]],"Ticker symbol",TRUE)</f>
        <v>FSLR</v>
      </c>
      <c r="D698" s="26" cm="1">
        <f t="array" aca="1" ref="D698" ca="1">_FV(Table20[[#This Row],[Asset]],"Price")</f>
        <v>195.77500000000001</v>
      </c>
      <c r="E698" s="26">
        <v>180</v>
      </c>
      <c r="F698" s="33">
        <v>2</v>
      </c>
      <c r="G698" s="34">
        <v>1</v>
      </c>
      <c r="H698" s="34" t="s">
        <v>113</v>
      </c>
      <c r="I698" s="31">
        <v>45825</v>
      </c>
      <c r="J698" s="26">
        <v>2.65</v>
      </c>
      <c r="K698" s="24"/>
      <c r="L698" s="33">
        <f>VLOOKUP(Table20[[#This Row],[Strategy]],Table29[#All],6,FALSE)</f>
        <v>1</v>
      </c>
      <c r="M698" s="23">
        <v>2</v>
      </c>
      <c r="N698" s="23">
        <v>3.05</v>
      </c>
      <c r="O698" s="23"/>
      <c r="P698" s="23"/>
      <c r="Q698">
        <f>Table20[[#This Row],[Exit1]]*Table20[[#This Row],[ex1_price]]</f>
        <v>6.1</v>
      </c>
      <c r="R698">
        <f>Table20[[#This Row],[Exit2]]*Table20[[#This Row],[ex2_price]]</f>
        <v>0</v>
      </c>
      <c r="S698">
        <f>IFERROR((Table20[[#This Row],[ex2_amnt]]+Table20[[#This Row],[ex1_amnt]])/(Table20[[#This Row],[Exit2]]+Table20[[#This Row],[Exit1]]),0)</f>
        <v>3.05</v>
      </c>
      <c r="T698" s="5">
        <f>(Table20[[#This Row],[Exit1]]+Table20[[#This Row],[Exit2]])*(Table20[[#This Row],[avg_exit_price]]-Table20[[#This Row],[AvePrice]])*100*Table20[[#This Row],[Buy or Sell]]</f>
        <v>79.999999999999986</v>
      </c>
      <c r="U698" s="5">
        <f>Table20[[#This Row],[Number of options]]*Table20[[#This Row],[AvePrice]]*100*Table20[[#This Row],[Buy or Sell]]</f>
        <v>530</v>
      </c>
      <c r="V698" s="8">
        <f>Table20[[#This Row],[Number of options]]-Table20[[#This Row],[Exit1]]-Table20[[#This Row],[Exit2]]</f>
        <v>0</v>
      </c>
      <c r="W698" s="30">
        <f ca="1">(Table20[[#This Row],[Expiration Date]]-TODAY())/365</f>
        <v>-0.66849315068493154</v>
      </c>
      <c r="X698" s="30" t="e">
        <f ca="1">(LN(Table20[[#This Row],[Current Price]]/Table20[[#This Row],[strike_price]]) + ($B$2 + (Table20[[#This Row],[Vol]]^2)/2)*Table20[[#This Row],[Time to expiration]]) / (Table20[[#This Row],[Vol]] * SQRT(Table20[[#This Row],[Time to expiration]]))</f>
        <v>#NUM!</v>
      </c>
      <c r="Y698" s="30" t="e">
        <f ca="1">IF(Table20[[#This Row],[Direction]]&gt;0, _xlfn.NORM.S.DIST(Table20[[#This Row],[d1]], TRUE), _xlfn.NORM.S.DIST(Table20[[#This Row],[d1]], TRUE) - 1) * Table20[[#This Row],[Buy or Sell]]</f>
        <v>#NUM!</v>
      </c>
      <c r="Z698" s="9">
        <f ca="1">Table20[[#This Row],[Remaining]]*Table20[[#This Row],[Current Price]]*100</f>
        <v>0</v>
      </c>
      <c r="AA698" s="22">
        <f ca="1">IFERROR(Table20[[#This Row],[nominal_exposure]]*Table20[[#This Row],[Delta]],0)</f>
        <v>0</v>
      </c>
      <c r="AB698" s="30" t="b">
        <f>IF(Table20[[#This Row],[date_purchased]]&lt;&gt;Table20[[#This Row],[Expiration Date]],FALSE,TRUE)</f>
        <v>0</v>
      </c>
      <c r="AC698" s="30" t="str">
        <f>VLOOKUP(Table20[[#This Row],[Asset]],Table19[#All],3,FALSE)</f>
        <v>Industrials</v>
      </c>
      <c r="AD698" s="30">
        <f>IF(Table20[[#This Row],[Remaining]]&lt;&gt;0,Table20[[#This Row],[Invested]]*Table20[[#This Row],[Remaining]]/Table20[[#This Row],[Number of options]],0)</f>
        <v>0</v>
      </c>
      <c r="AE698" s="30">
        <f ca="1">SUMIF(Table20[Ticker],Table20[[#This Row],[Ticker]],Table20[realized_profit])</f>
        <v>94.999999999999986</v>
      </c>
      <c r="AF698" s="30" t="str">
        <f>VLOOKUP(Table20[[#This Row],[Strategy]],Table29[#All],7,FALSE)</f>
        <v>Bullish</v>
      </c>
    </row>
    <row r="699" spans="1:32" hidden="1">
      <c r="A699" s="180">
        <v>45863</v>
      </c>
      <c r="B699" s="21" t="e" vm="80">
        <v>#VALUE!</v>
      </c>
      <c r="C699" s="109" t="str" cm="1">
        <f t="array" aca="1" ref="C699" ca="1">_FV(Table20[[#This Row],[Asset]],"Ticker symbol",TRUE)</f>
        <v>PYPL</v>
      </c>
      <c r="D699" s="26" cm="1">
        <f t="array" aca="1" ref="D699" ca="1">_FV(Table20[[#This Row],[Asset]],"Price")</f>
        <v>45.11</v>
      </c>
      <c r="E699" s="26">
        <v>75</v>
      </c>
      <c r="F699" s="33">
        <v>3</v>
      </c>
      <c r="G699" s="34">
        <v>1</v>
      </c>
      <c r="H699" s="34" t="s">
        <v>113</v>
      </c>
      <c r="I699" s="31">
        <v>45826</v>
      </c>
      <c r="J699" s="26">
        <v>0.83</v>
      </c>
      <c r="K699" s="24"/>
      <c r="L699" s="33">
        <f>VLOOKUP(Table20[[#This Row],[Strategy]],Table29[#All],6,FALSE)</f>
        <v>1</v>
      </c>
      <c r="M699" s="23">
        <v>3</v>
      </c>
      <c r="N699" s="23">
        <v>0.95</v>
      </c>
      <c r="O699" s="23"/>
      <c r="P699" s="23"/>
      <c r="Q699">
        <f>Table20[[#This Row],[Exit1]]*Table20[[#This Row],[ex1_price]]</f>
        <v>2.8499999999999996</v>
      </c>
      <c r="R699">
        <f>Table20[[#This Row],[Exit2]]*Table20[[#This Row],[ex2_price]]</f>
        <v>0</v>
      </c>
      <c r="S699">
        <f>IFERROR((Table20[[#This Row],[ex2_amnt]]+Table20[[#This Row],[ex1_amnt]])/(Table20[[#This Row],[Exit2]]+Table20[[#This Row],[Exit1]]),0)</f>
        <v>0.94999999999999984</v>
      </c>
      <c r="T699" s="5">
        <f>(Table20[[#This Row],[Exit1]]+Table20[[#This Row],[Exit2]])*(Table20[[#This Row],[avg_exit_price]]-Table20[[#This Row],[AvePrice]])*100*Table20[[#This Row],[Buy or Sell]]</f>
        <v>35.999999999999964</v>
      </c>
      <c r="U699" s="5">
        <f>Table20[[#This Row],[Number of options]]*Table20[[#This Row],[AvePrice]]*100*Table20[[#This Row],[Buy or Sell]]</f>
        <v>248.99999999999997</v>
      </c>
      <c r="V699" s="8">
        <f>Table20[[#This Row],[Number of options]]-Table20[[#This Row],[Exit1]]-Table20[[#This Row],[Exit2]]</f>
        <v>0</v>
      </c>
      <c r="W699" s="30">
        <f ca="1">(Table20[[#This Row],[Expiration Date]]-TODAY())/365</f>
        <v>-0.66849315068493154</v>
      </c>
      <c r="X699" s="30" t="e">
        <f ca="1">(LN(Table20[[#This Row],[Current Price]]/Table20[[#This Row],[strike_price]]) + ($B$2 + (Table20[[#This Row],[Vol]]^2)/2)*Table20[[#This Row],[Time to expiration]]) / (Table20[[#This Row],[Vol]] * SQRT(Table20[[#This Row],[Time to expiration]]))</f>
        <v>#NUM!</v>
      </c>
      <c r="Y699" s="30" t="e">
        <f ca="1">IF(Table20[[#This Row],[Direction]]&gt;0, _xlfn.NORM.S.DIST(Table20[[#This Row],[d1]], TRUE), _xlfn.NORM.S.DIST(Table20[[#This Row],[d1]], TRUE) - 1) * Table20[[#This Row],[Buy or Sell]]</f>
        <v>#NUM!</v>
      </c>
      <c r="Z699" s="9">
        <f ca="1">Table20[[#This Row],[Remaining]]*Table20[[#This Row],[Current Price]]*100</f>
        <v>0</v>
      </c>
      <c r="AA699" s="22">
        <f ca="1">IFERROR(Table20[[#This Row],[nominal_exposure]]*Table20[[#This Row],[Delta]],0)</f>
        <v>0</v>
      </c>
      <c r="AB699" s="30" t="b">
        <f>IF(Table20[[#This Row],[date_purchased]]&lt;&gt;Table20[[#This Row],[Expiration Date]],FALSE,TRUE)</f>
        <v>0</v>
      </c>
      <c r="AC699" s="30" t="str">
        <f>VLOOKUP(Table20[[#This Row],[Asset]],Table19[#All],3,FALSE)</f>
        <v>Financials</v>
      </c>
      <c r="AD699" s="30">
        <f>IF(Table20[[#This Row],[Remaining]]&lt;&gt;0,Table20[[#This Row],[Invested]]*Table20[[#This Row],[Remaining]]/Table20[[#This Row],[Number of options]],0)</f>
        <v>0</v>
      </c>
      <c r="AE699" s="30">
        <f ca="1">SUMIF(Table20[Ticker],Table20[[#This Row],[Ticker]],Table20[realized_profit])</f>
        <v>208.99999999999997</v>
      </c>
      <c r="AF699" s="30" t="str">
        <f>VLOOKUP(Table20[[#This Row],[Strategy]],Table29[#All],7,FALSE)</f>
        <v>Bullish</v>
      </c>
    </row>
    <row r="700" spans="1:32" hidden="1">
      <c r="A700" s="180">
        <v>45863</v>
      </c>
      <c r="B700" s="21" t="e" vm="144">
        <v>#VALUE!</v>
      </c>
      <c r="C700" s="109" t="str" cm="1">
        <f t="array" aca="1" ref="C700" ca="1">_FV(Table20[[#This Row],[Asset]],"Ticker symbol",TRUE)</f>
        <v>AAPL</v>
      </c>
      <c r="D700" s="26" cm="1">
        <f t="array" aca="1" ref="D700" ca="1">_FV(Table20[[#This Row],[Asset]],"Price")</f>
        <v>253.2</v>
      </c>
      <c r="E700" s="26">
        <v>180</v>
      </c>
      <c r="F700" s="33">
        <v>2</v>
      </c>
      <c r="G700" s="34">
        <v>1</v>
      </c>
      <c r="H700" s="34" t="s">
        <v>65</v>
      </c>
      <c r="I700" s="31">
        <v>45826</v>
      </c>
      <c r="J700" s="26">
        <v>1.69</v>
      </c>
      <c r="K700" s="24"/>
      <c r="L700" s="33">
        <f>VLOOKUP(Table20[[#This Row],[Strategy]],Table29[#All],6,FALSE)</f>
        <v>-1</v>
      </c>
      <c r="M700" s="23">
        <v>2</v>
      </c>
      <c r="N700" s="23">
        <v>0.88</v>
      </c>
      <c r="O700" s="23"/>
      <c r="P700" s="23"/>
      <c r="Q700">
        <f>Table20[[#This Row],[Exit1]]*Table20[[#This Row],[ex1_price]]</f>
        <v>1.76</v>
      </c>
      <c r="R700">
        <f>Table20[[#This Row],[Exit2]]*Table20[[#This Row],[ex2_price]]</f>
        <v>0</v>
      </c>
      <c r="S700">
        <f>IFERROR((Table20[[#This Row],[ex2_amnt]]+Table20[[#This Row],[ex1_amnt]])/(Table20[[#This Row],[Exit2]]+Table20[[#This Row],[Exit1]]),0)</f>
        <v>0.88</v>
      </c>
      <c r="T700" s="5">
        <f>(Table20[[#This Row],[Exit1]]+Table20[[#This Row],[Exit2]])*(Table20[[#This Row],[avg_exit_price]]-Table20[[#This Row],[AvePrice]])*100*Table20[[#This Row],[Buy or Sell]]</f>
        <v>-162</v>
      </c>
      <c r="U700" s="5">
        <f>Table20[[#This Row],[Number of options]]*Table20[[#This Row],[AvePrice]]*100*Table20[[#This Row],[Buy or Sell]]</f>
        <v>338</v>
      </c>
      <c r="V700" s="8">
        <f>Table20[[#This Row],[Number of options]]-Table20[[#This Row],[Exit1]]-Table20[[#This Row],[Exit2]]</f>
        <v>0</v>
      </c>
      <c r="W700" s="30">
        <f ca="1">(Table20[[#This Row],[Expiration Date]]-TODAY())/365</f>
        <v>-0.66849315068493154</v>
      </c>
      <c r="X700" s="30" t="e">
        <f ca="1">(LN(Table20[[#This Row],[Current Price]]/Table20[[#This Row],[strike_price]]) + ($B$2 + (Table20[[#This Row],[Vol]]^2)/2)*Table20[[#This Row],[Time to expiration]]) / (Table20[[#This Row],[Vol]] * SQRT(Table20[[#This Row],[Time to expiration]]))</f>
        <v>#NUM!</v>
      </c>
      <c r="Y700" s="30" t="e">
        <f ca="1">IF(Table20[[#This Row],[Direction]]&gt;0, _xlfn.NORM.S.DIST(Table20[[#This Row],[d1]], TRUE), _xlfn.NORM.S.DIST(Table20[[#This Row],[d1]], TRUE) - 1) * Table20[[#This Row],[Buy or Sell]]</f>
        <v>#NUM!</v>
      </c>
      <c r="Z700" s="9">
        <f ca="1">Table20[[#This Row],[Remaining]]*Table20[[#This Row],[Current Price]]*100</f>
        <v>0</v>
      </c>
      <c r="AA700" s="22">
        <f ca="1">IFERROR(Table20[[#This Row],[nominal_exposure]]*Table20[[#This Row],[Delta]],0)</f>
        <v>0</v>
      </c>
      <c r="AB700" s="30" t="b">
        <f>IF(Table20[[#This Row],[date_purchased]]&lt;&gt;Table20[[#This Row],[Expiration Date]],FALSE,TRUE)</f>
        <v>0</v>
      </c>
      <c r="AC700" s="30" t="str">
        <f>VLOOKUP(Table20[[#This Row],[Asset]],Table19[#All],3,FALSE)</f>
        <v>AI</v>
      </c>
      <c r="AD700" s="30">
        <f>IF(Table20[[#This Row],[Remaining]]&lt;&gt;0,Table20[[#This Row],[Invested]]*Table20[[#This Row],[Remaining]]/Table20[[#This Row],[Number of options]],0)</f>
        <v>0</v>
      </c>
      <c r="AE700" s="30">
        <f ca="1">SUMIF(Table20[Ticker],Table20[[#This Row],[Ticker]],Table20[realized_profit])</f>
        <v>-153.9999999999996</v>
      </c>
      <c r="AF700" s="30" t="str">
        <f>VLOOKUP(Table20[[#This Row],[Strategy]],Table29[#All],7,FALSE)</f>
        <v>Bearish</v>
      </c>
    </row>
    <row r="701" spans="1:32" hidden="1">
      <c r="A701" s="180">
        <v>45863</v>
      </c>
      <c r="B701" s="21" t="e" vm="96">
        <v>#VALUE!</v>
      </c>
      <c r="C701" s="109" t="str" cm="1">
        <f t="array" aca="1" ref="C701" ca="1">_FV(Table20[[#This Row],[Asset]],"Ticker symbol",TRUE)</f>
        <v>SPY</v>
      </c>
      <c r="D701" s="26" cm="1">
        <f t="array" aca="1" ref="D701" ca="1">_FV(Table20[[#This Row],[Asset]],"Price")</f>
        <v>658.59</v>
      </c>
      <c r="E701" s="26">
        <v>550</v>
      </c>
      <c r="F701" s="33">
        <v>2</v>
      </c>
      <c r="G701" s="34">
        <v>-1</v>
      </c>
      <c r="H701" s="34" t="s">
        <v>112</v>
      </c>
      <c r="I701" s="31">
        <v>45831</v>
      </c>
      <c r="J701" s="26">
        <v>2.72</v>
      </c>
      <c r="K701" s="24"/>
      <c r="L701" s="33">
        <f>VLOOKUP(Table20[[#This Row],[Strategy]],Table29[#All],6,FALSE)</f>
        <v>-1</v>
      </c>
      <c r="M701" s="23">
        <v>1</v>
      </c>
      <c r="N701" s="23">
        <v>2.3199999999999998</v>
      </c>
      <c r="O701" s="23">
        <v>1</v>
      </c>
      <c r="P701" s="23">
        <v>0.04</v>
      </c>
      <c r="Q701">
        <f>Table20[[#This Row],[Exit1]]*Table20[[#This Row],[ex1_price]]</f>
        <v>2.3199999999999998</v>
      </c>
      <c r="R701">
        <f>Table20[[#This Row],[Exit2]]*Table20[[#This Row],[ex2_price]]</f>
        <v>0.04</v>
      </c>
      <c r="S701">
        <f>IFERROR((Table20[[#This Row],[ex2_amnt]]+Table20[[#This Row],[ex1_amnt]])/(Table20[[#This Row],[Exit2]]+Table20[[#This Row],[Exit1]]),0)</f>
        <v>1.18</v>
      </c>
      <c r="T701" s="5">
        <f>(Table20[[#This Row],[Exit1]]+Table20[[#This Row],[Exit2]])*(Table20[[#This Row],[avg_exit_price]]-Table20[[#This Row],[AvePrice]])*100*Table20[[#This Row],[Buy or Sell]]</f>
        <v>308.00000000000006</v>
      </c>
      <c r="U701" s="5">
        <f>Table20[[#This Row],[Number of options]]*Table20[[#This Row],[AvePrice]]*100*Table20[[#This Row],[Buy or Sell]]</f>
        <v>-544</v>
      </c>
      <c r="V701" s="8">
        <f>Table20[[#This Row],[Number of options]]-Table20[[#This Row],[Exit1]]-Table20[[#This Row],[Exit2]]</f>
        <v>0</v>
      </c>
      <c r="W701" s="30">
        <f ca="1">(Table20[[#This Row],[Expiration Date]]-TODAY())/365</f>
        <v>-0.66849315068493154</v>
      </c>
      <c r="X701" s="30" t="e">
        <f ca="1">(LN(Table20[[#This Row],[Current Price]]/Table20[[#This Row],[strike_price]]) + ($B$2 + (Table20[[#This Row],[Vol]]^2)/2)*Table20[[#This Row],[Time to expiration]]) / (Table20[[#This Row],[Vol]] * SQRT(Table20[[#This Row],[Time to expiration]]))</f>
        <v>#NUM!</v>
      </c>
      <c r="Y701" s="30" t="e">
        <f ca="1">IF(Table20[[#This Row],[Direction]]&gt;0, _xlfn.NORM.S.DIST(Table20[[#This Row],[d1]], TRUE), _xlfn.NORM.S.DIST(Table20[[#This Row],[d1]], TRUE) - 1) * Table20[[#This Row],[Buy or Sell]]</f>
        <v>#NUM!</v>
      </c>
      <c r="Z701" s="9">
        <f ca="1">Table20[[#This Row],[Remaining]]*Table20[[#This Row],[Current Price]]*100</f>
        <v>0</v>
      </c>
      <c r="AA701" s="22">
        <f ca="1">IFERROR(Table20[[#This Row],[nominal_exposure]]*Table20[[#This Row],[Delta]],0)</f>
        <v>0</v>
      </c>
      <c r="AB701" s="30" t="b">
        <f>IF(Table20[[#This Row],[date_purchased]]&lt;&gt;Table20[[#This Row],[Expiration Date]],FALSE,TRUE)</f>
        <v>0</v>
      </c>
      <c r="AC701" s="30" t="str">
        <f>VLOOKUP(Table20[[#This Row],[Asset]],Table19[#All],3,FALSE)</f>
        <v>Market</v>
      </c>
      <c r="AD701" s="30">
        <f>IF(Table20[[#This Row],[Remaining]]&lt;&gt;0,Table20[[#This Row],[Invested]]*Table20[[#This Row],[Remaining]]/Table20[[#This Row],[Number of options]],0)</f>
        <v>0</v>
      </c>
      <c r="AE701" s="30">
        <f ca="1">SUMIF(Table20[Ticker],Table20[[#This Row],[Ticker]],Table20[realized_profit])</f>
        <v>-5077</v>
      </c>
      <c r="AF701" s="30" t="str">
        <f>VLOOKUP(Table20[[#This Row],[Strategy]],Table29[#All],7,FALSE)</f>
        <v>Bearish</v>
      </c>
    </row>
    <row r="702" spans="1:32" hidden="1">
      <c r="A702" s="180">
        <v>45863</v>
      </c>
      <c r="B702" s="21" t="e" vm="96">
        <v>#VALUE!</v>
      </c>
      <c r="C702" s="109" t="str" cm="1">
        <f t="array" aca="1" ref="C702" ca="1">_FV(Table20[[#This Row],[Asset]],"Ticker symbol",TRUE)</f>
        <v>SPY</v>
      </c>
      <c r="D702" s="26" cm="1">
        <f t="array" aca="1" ref="D702" ca="1">_FV(Table20[[#This Row],[Asset]],"Price")</f>
        <v>658.59</v>
      </c>
      <c r="E702" s="26">
        <v>580</v>
      </c>
      <c r="F702" s="33">
        <v>2</v>
      </c>
      <c r="G702" s="34">
        <v>1</v>
      </c>
      <c r="H702" s="34" t="s">
        <v>112</v>
      </c>
      <c r="I702" s="31">
        <v>45831</v>
      </c>
      <c r="J702" s="26">
        <v>6.52</v>
      </c>
      <c r="K702" s="24"/>
      <c r="L702" s="33">
        <f>VLOOKUP(Table20[[#This Row],[Strategy]],Table29[#All],6,FALSE)</f>
        <v>-1</v>
      </c>
      <c r="M702" s="23">
        <v>1</v>
      </c>
      <c r="N702" s="23">
        <v>5.46</v>
      </c>
      <c r="O702" s="23">
        <v>1</v>
      </c>
      <c r="P702" s="23">
        <v>7.0000000000000007E-2</v>
      </c>
      <c r="Q702">
        <f>Table20[[#This Row],[Exit1]]*Table20[[#This Row],[ex1_price]]</f>
        <v>5.46</v>
      </c>
      <c r="R702">
        <f>Table20[[#This Row],[Exit2]]*Table20[[#This Row],[ex2_price]]</f>
        <v>7.0000000000000007E-2</v>
      </c>
      <c r="S702">
        <f>IFERROR((Table20[[#This Row],[ex2_amnt]]+Table20[[#This Row],[ex1_amnt]])/(Table20[[#This Row],[Exit2]]+Table20[[#This Row],[Exit1]]),0)</f>
        <v>2.7650000000000001</v>
      </c>
      <c r="T702" s="5">
        <f>(Table20[[#This Row],[Exit1]]+Table20[[#This Row],[Exit2]])*(Table20[[#This Row],[avg_exit_price]]-Table20[[#This Row],[AvePrice]])*100*Table20[[#This Row],[Buy or Sell]]</f>
        <v>-750.99999999999989</v>
      </c>
      <c r="U702" s="5">
        <f>Table20[[#This Row],[Number of options]]*Table20[[#This Row],[AvePrice]]*100*Table20[[#This Row],[Buy or Sell]]</f>
        <v>1304</v>
      </c>
      <c r="V702" s="8">
        <f>Table20[[#This Row],[Number of options]]-Table20[[#This Row],[Exit1]]-Table20[[#This Row],[Exit2]]</f>
        <v>0</v>
      </c>
      <c r="W702" s="30">
        <f ca="1">(Table20[[#This Row],[Expiration Date]]-TODAY())/365</f>
        <v>-0.66849315068493154</v>
      </c>
      <c r="X702" s="30" t="e">
        <f ca="1">(LN(Table20[[#This Row],[Current Price]]/Table20[[#This Row],[strike_price]]) + ($B$2 + (Table20[[#This Row],[Vol]]^2)/2)*Table20[[#This Row],[Time to expiration]]) / (Table20[[#This Row],[Vol]] * SQRT(Table20[[#This Row],[Time to expiration]]))</f>
        <v>#NUM!</v>
      </c>
      <c r="Y702" s="30" t="e">
        <f ca="1">IF(Table20[[#This Row],[Direction]]&gt;0, _xlfn.NORM.S.DIST(Table20[[#This Row],[d1]], TRUE), _xlfn.NORM.S.DIST(Table20[[#This Row],[d1]], TRUE) - 1) * Table20[[#This Row],[Buy or Sell]]</f>
        <v>#NUM!</v>
      </c>
      <c r="Z702" s="9">
        <f ca="1">Table20[[#This Row],[Remaining]]*Table20[[#This Row],[Current Price]]*100</f>
        <v>0</v>
      </c>
      <c r="AA702" s="22">
        <f ca="1">IFERROR(Table20[[#This Row],[nominal_exposure]]*Table20[[#This Row],[Delta]],0)</f>
        <v>0</v>
      </c>
      <c r="AB702" s="30" t="b">
        <f>IF(Table20[[#This Row],[date_purchased]]&lt;&gt;Table20[[#This Row],[Expiration Date]],FALSE,TRUE)</f>
        <v>0</v>
      </c>
      <c r="AC702" s="30" t="str">
        <f>VLOOKUP(Table20[[#This Row],[Asset]],Table19[#All],3,FALSE)</f>
        <v>Market</v>
      </c>
      <c r="AD702" s="30">
        <f>IF(Table20[[#This Row],[Remaining]]&lt;&gt;0,Table20[[#This Row],[Invested]]*Table20[[#This Row],[Remaining]]/Table20[[#This Row],[Number of options]],0)</f>
        <v>0</v>
      </c>
      <c r="AE702" s="30">
        <f ca="1">SUMIF(Table20[Ticker],Table20[[#This Row],[Ticker]],Table20[realized_profit])</f>
        <v>-5077</v>
      </c>
      <c r="AF702" s="30" t="str">
        <f>VLOOKUP(Table20[[#This Row],[Strategy]],Table29[#All],7,FALSE)</f>
        <v>Bearish</v>
      </c>
    </row>
    <row r="703" spans="1:32" hidden="1">
      <c r="A703" s="180">
        <v>45835</v>
      </c>
      <c r="B703" s="21" t="e" vm="63">
        <v>#VALUE!</v>
      </c>
      <c r="C703" s="109" t="str" cm="1">
        <f t="array" aca="1" ref="C703" ca="1">_FV(Table20[[#This Row],[Asset]],"Ticker symbol",TRUE)</f>
        <v>TSLA</v>
      </c>
      <c r="D703" s="26" cm="1">
        <f t="array" aca="1" ref="D703" ca="1">_FV(Table20[[#This Row],[Asset]],"Price")</f>
        <v>394.5401</v>
      </c>
      <c r="E703" s="26">
        <v>320</v>
      </c>
      <c r="F703" s="33">
        <v>2</v>
      </c>
      <c r="G703" s="34">
        <v>1</v>
      </c>
      <c r="H703" s="34" t="s">
        <v>65</v>
      </c>
      <c r="I703" s="31">
        <v>45831</v>
      </c>
      <c r="J703" s="26">
        <v>1.17</v>
      </c>
      <c r="K703" s="24"/>
      <c r="L703" s="33">
        <f>VLOOKUP(Table20[[#This Row],[Strategy]],Table29[#All],6,FALSE)</f>
        <v>-1</v>
      </c>
      <c r="M703" s="23">
        <v>2</v>
      </c>
      <c r="N703" s="23">
        <v>1.05</v>
      </c>
      <c r="O703" s="23"/>
      <c r="P703" s="23"/>
      <c r="Q703">
        <f>Table20[[#This Row],[Exit1]]*Table20[[#This Row],[ex1_price]]</f>
        <v>2.1</v>
      </c>
      <c r="R703">
        <f>Table20[[#This Row],[Exit2]]*Table20[[#This Row],[ex2_price]]</f>
        <v>0</v>
      </c>
      <c r="S703">
        <f>IFERROR((Table20[[#This Row],[ex2_amnt]]+Table20[[#This Row],[ex1_amnt]])/(Table20[[#This Row],[Exit2]]+Table20[[#This Row],[Exit1]]),0)</f>
        <v>1.05</v>
      </c>
      <c r="T703" s="5">
        <f>(Table20[[#This Row],[Exit1]]+Table20[[#This Row],[Exit2]])*(Table20[[#This Row],[avg_exit_price]]-Table20[[#This Row],[AvePrice]])*100*Table20[[#This Row],[Buy or Sell]]</f>
        <v>-23.999999999999979</v>
      </c>
      <c r="U703" s="5">
        <f>Table20[[#This Row],[Number of options]]*Table20[[#This Row],[AvePrice]]*100*Table20[[#This Row],[Buy or Sell]]</f>
        <v>234</v>
      </c>
      <c r="V703" s="8">
        <f>Table20[[#This Row],[Number of options]]-Table20[[#This Row],[Exit1]]-Table20[[#This Row],[Exit2]]</f>
        <v>0</v>
      </c>
      <c r="W703" s="30">
        <f ca="1">(Table20[[#This Row],[Expiration Date]]-TODAY())/365</f>
        <v>-0.74520547945205484</v>
      </c>
      <c r="X703" s="30" t="e">
        <f ca="1">(LN(Table20[[#This Row],[Current Price]]/Table20[[#This Row],[strike_price]]) + ($B$2 + (Table20[[#This Row],[Vol]]^2)/2)*Table20[[#This Row],[Time to expiration]]) / (Table20[[#This Row],[Vol]] * SQRT(Table20[[#This Row],[Time to expiration]]))</f>
        <v>#NUM!</v>
      </c>
      <c r="Y703" s="30" t="e">
        <f ca="1">IF(Table20[[#This Row],[Direction]]&gt;0, _xlfn.NORM.S.DIST(Table20[[#This Row],[d1]], TRUE), _xlfn.NORM.S.DIST(Table20[[#This Row],[d1]], TRUE) - 1) * Table20[[#This Row],[Buy or Sell]]</f>
        <v>#NUM!</v>
      </c>
      <c r="Z703" s="9">
        <f ca="1">Table20[[#This Row],[Remaining]]*Table20[[#This Row],[Current Price]]*100</f>
        <v>0</v>
      </c>
      <c r="AA703" s="22">
        <f ca="1">IFERROR(Table20[[#This Row],[nominal_exposure]]*Table20[[#This Row],[Delta]],0)</f>
        <v>0</v>
      </c>
      <c r="AB703" s="30" t="b">
        <f>IF(Table20[[#This Row],[date_purchased]]&lt;&gt;Table20[[#This Row],[Expiration Date]],FALSE,TRUE)</f>
        <v>0</v>
      </c>
      <c r="AC703" s="30" t="str">
        <f>VLOOKUP(Table20[[#This Row],[Asset]],Table19[#All],3,FALSE)</f>
        <v>Auto</v>
      </c>
      <c r="AD703" s="30">
        <f>IF(Table20[[#This Row],[Remaining]]&lt;&gt;0,Table20[[#This Row],[Invested]]*Table20[[#This Row],[Remaining]]/Table20[[#This Row],[Number of options]],0)</f>
        <v>0</v>
      </c>
      <c r="AE703" s="30">
        <f ca="1">SUMIF(Table20[Ticker],Table20[[#This Row],[Ticker]],Table20[realized_profit])</f>
        <v>4153</v>
      </c>
      <c r="AF703" s="30" t="str">
        <f>VLOOKUP(Table20[[#This Row],[Strategy]],Table29[#All],7,FALSE)</f>
        <v>Bearish</v>
      </c>
    </row>
    <row r="704" spans="1:32" hidden="1">
      <c r="A704" s="180">
        <v>45863</v>
      </c>
      <c r="B704" s="21" t="e" vm="37">
        <v>#VALUE!</v>
      </c>
      <c r="C704" s="109" t="str" cm="1">
        <f t="array" aca="1" ref="C704" ca="1">_FV(Table20[[#This Row],[Asset]],"Ticker symbol",TRUE)</f>
        <v>AMD</v>
      </c>
      <c r="D704" s="26" cm="1">
        <f t="array" aca="1" ref="D704" ca="1">_FV(Table20[[#This Row],[Asset]],"Price")</f>
        <v>218.91</v>
      </c>
      <c r="E704" s="26">
        <v>140</v>
      </c>
      <c r="F704" s="33">
        <v>1</v>
      </c>
      <c r="G704" s="34">
        <v>1</v>
      </c>
      <c r="H704" s="34" t="s">
        <v>113</v>
      </c>
      <c r="I704" s="31">
        <v>45831</v>
      </c>
      <c r="J704" s="26">
        <v>2.62</v>
      </c>
      <c r="K704" s="24"/>
      <c r="L704" s="33">
        <f>VLOOKUP(Table20[[#This Row],[Strategy]],Table29[#All],6,FALSE)</f>
        <v>1</v>
      </c>
      <c r="M704" s="23">
        <v>1</v>
      </c>
      <c r="N704" s="23">
        <v>15.16</v>
      </c>
      <c r="O704" s="23"/>
      <c r="P704" s="23"/>
      <c r="Q704">
        <f>Table20[[#This Row],[Exit1]]*Table20[[#This Row],[ex1_price]]</f>
        <v>15.16</v>
      </c>
      <c r="R704">
        <f>Table20[[#This Row],[Exit2]]*Table20[[#This Row],[ex2_price]]</f>
        <v>0</v>
      </c>
      <c r="S704">
        <f>IFERROR((Table20[[#This Row],[ex2_amnt]]+Table20[[#This Row],[ex1_amnt]])/(Table20[[#This Row],[Exit2]]+Table20[[#This Row],[Exit1]]),0)</f>
        <v>15.16</v>
      </c>
      <c r="T704" s="5">
        <f>(Table20[[#This Row],[Exit1]]+Table20[[#This Row],[Exit2]])*(Table20[[#This Row],[avg_exit_price]]-Table20[[#This Row],[AvePrice]])*100*Table20[[#This Row],[Buy or Sell]]</f>
        <v>1254</v>
      </c>
      <c r="U704" s="5">
        <f>Table20[[#This Row],[Number of options]]*Table20[[#This Row],[AvePrice]]*100*Table20[[#This Row],[Buy or Sell]]</f>
        <v>262</v>
      </c>
      <c r="V704" s="8">
        <f>Table20[[#This Row],[Number of options]]-Table20[[#This Row],[Exit1]]-Table20[[#This Row],[Exit2]]</f>
        <v>0</v>
      </c>
      <c r="W704" s="30">
        <f ca="1">(Table20[[#This Row],[Expiration Date]]-TODAY())/365</f>
        <v>-0.66849315068493154</v>
      </c>
      <c r="X704" s="30" t="e">
        <f ca="1">(LN(Table20[[#This Row],[Current Price]]/Table20[[#This Row],[strike_price]]) + ($B$2 + (Table20[[#This Row],[Vol]]^2)/2)*Table20[[#This Row],[Time to expiration]]) / (Table20[[#This Row],[Vol]] * SQRT(Table20[[#This Row],[Time to expiration]]))</f>
        <v>#NUM!</v>
      </c>
      <c r="Y704" s="30" t="e">
        <f ca="1">IF(Table20[[#This Row],[Direction]]&gt;0, _xlfn.NORM.S.DIST(Table20[[#This Row],[d1]], TRUE), _xlfn.NORM.S.DIST(Table20[[#This Row],[d1]], TRUE) - 1) * Table20[[#This Row],[Buy or Sell]]</f>
        <v>#NUM!</v>
      </c>
      <c r="Z704" s="9">
        <f ca="1">Table20[[#This Row],[Remaining]]*Table20[[#This Row],[Current Price]]*100</f>
        <v>0</v>
      </c>
      <c r="AA704" s="22">
        <f ca="1">IFERROR(Table20[[#This Row],[nominal_exposure]]*Table20[[#This Row],[Delta]],0)</f>
        <v>0</v>
      </c>
      <c r="AB704" s="30" t="b">
        <f>IF(Table20[[#This Row],[date_purchased]]&lt;&gt;Table20[[#This Row],[Expiration Date]],FALSE,TRUE)</f>
        <v>0</v>
      </c>
      <c r="AC704" s="30" t="str">
        <f>VLOOKUP(Table20[[#This Row],[Asset]],Table19[#All],3,FALSE)</f>
        <v>AI</v>
      </c>
      <c r="AD704" s="30">
        <f>IF(Table20[[#This Row],[Remaining]]&lt;&gt;0,Table20[[#This Row],[Invested]]*Table20[[#This Row],[Remaining]]/Table20[[#This Row],[Number of options]],0)</f>
        <v>0</v>
      </c>
      <c r="AE704" s="30">
        <f ca="1">SUMIF(Table20[Ticker],Table20[[#This Row],[Ticker]],Table20[realized_profit])</f>
        <v>1567</v>
      </c>
      <c r="AF704" s="30" t="str">
        <f>VLOOKUP(Table20[[#This Row],[Strategy]],Table29[#All],7,FALSE)</f>
        <v>Bullish</v>
      </c>
    </row>
    <row r="705" spans="1:32" hidden="1">
      <c r="A705" s="180">
        <v>45835</v>
      </c>
      <c r="B705" s="21" t="e" vm="63">
        <v>#VALUE!</v>
      </c>
      <c r="C705" s="109" t="str" cm="1">
        <f t="array" aca="1" ref="C705" ca="1">_FV(Table20[[#This Row],[Asset]],"Ticker symbol",TRUE)</f>
        <v>TSLA</v>
      </c>
      <c r="D705" s="26" cm="1">
        <f t="array" aca="1" ref="D705" ca="1">_FV(Table20[[#This Row],[Asset]],"Price")</f>
        <v>394.5401</v>
      </c>
      <c r="E705" s="26">
        <v>310</v>
      </c>
      <c r="F705" s="33">
        <v>1</v>
      </c>
      <c r="G705" s="34">
        <v>1</v>
      </c>
      <c r="H705" s="34" t="s">
        <v>65</v>
      </c>
      <c r="I705" s="31">
        <v>45833</v>
      </c>
      <c r="J705" s="26">
        <v>1.65</v>
      </c>
      <c r="K705" s="24"/>
      <c r="L705" s="33">
        <f>VLOOKUP(Table20[[#This Row],[Strategy]],Table29[#All],6,FALSE)</f>
        <v>-1</v>
      </c>
      <c r="M705" s="23">
        <v>1</v>
      </c>
      <c r="N705" s="23">
        <v>1.65</v>
      </c>
      <c r="O705" s="23"/>
      <c r="P705" s="23"/>
      <c r="Q705">
        <f>Table20[[#This Row],[Exit1]]*Table20[[#This Row],[ex1_price]]</f>
        <v>1.65</v>
      </c>
      <c r="R705">
        <f>Table20[[#This Row],[Exit2]]*Table20[[#This Row],[ex2_price]]</f>
        <v>0</v>
      </c>
      <c r="S705">
        <f>IFERROR((Table20[[#This Row],[ex2_amnt]]+Table20[[#This Row],[ex1_amnt]])/(Table20[[#This Row],[Exit2]]+Table20[[#This Row],[Exit1]]),0)</f>
        <v>1.65</v>
      </c>
      <c r="T705" s="5">
        <f>(Table20[[#This Row],[Exit1]]+Table20[[#This Row],[Exit2]])*(Table20[[#This Row],[avg_exit_price]]-Table20[[#This Row],[AvePrice]])*100*Table20[[#This Row],[Buy or Sell]]</f>
        <v>0</v>
      </c>
      <c r="U705" s="5">
        <f>Table20[[#This Row],[Number of options]]*Table20[[#This Row],[AvePrice]]*100*Table20[[#This Row],[Buy or Sell]]</f>
        <v>165</v>
      </c>
      <c r="V705" s="8">
        <f>Table20[[#This Row],[Number of options]]-Table20[[#This Row],[Exit1]]-Table20[[#This Row],[Exit2]]</f>
        <v>0</v>
      </c>
      <c r="W705" s="30">
        <f ca="1">(Table20[[#This Row],[Expiration Date]]-TODAY())/365</f>
        <v>-0.74520547945205484</v>
      </c>
      <c r="X705" s="30" t="e">
        <f ca="1">(LN(Table20[[#This Row],[Current Price]]/Table20[[#This Row],[strike_price]]) + ($B$2 + (Table20[[#This Row],[Vol]]^2)/2)*Table20[[#This Row],[Time to expiration]]) / (Table20[[#This Row],[Vol]] * SQRT(Table20[[#This Row],[Time to expiration]]))</f>
        <v>#NUM!</v>
      </c>
      <c r="Y705" s="30" t="e">
        <f ca="1">IF(Table20[[#This Row],[Direction]]&gt;0, _xlfn.NORM.S.DIST(Table20[[#This Row],[d1]], TRUE), _xlfn.NORM.S.DIST(Table20[[#This Row],[d1]], TRUE) - 1) * Table20[[#This Row],[Buy or Sell]]</f>
        <v>#NUM!</v>
      </c>
      <c r="Z705" s="9">
        <f ca="1">Table20[[#This Row],[Remaining]]*Table20[[#This Row],[Current Price]]*100</f>
        <v>0</v>
      </c>
      <c r="AA705" s="22">
        <f ca="1">IFERROR(Table20[[#This Row],[nominal_exposure]]*Table20[[#This Row],[Delta]],0)</f>
        <v>0</v>
      </c>
      <c r="AB705" s="30" t="b">
        <f>IF(Table20[[#This Row],[date_purchased]]&lt;&gt;Table20[[#This Row],[Expiration Date]],FALSE,TRUE)</f>
        <v>0</v>
      </c>
      <c r="AC705" s="30" t="str">
        <f>VLOOKUP(Table20[[#This Row],[Asset]],Table19[#All],3,FALSE)</f>
        <v>Auto</v>
      </c>
      <c r="AD705" s="30">
        <f>IF(Table20[[#This Row],[Remaining]]&lt;&gt;0,Table20[[#This Row],[Invested]]*Table20[[#This Row],[Remaining]]/Table20[[#This Row],[Number of options]],0)</f>
        <v>0</v>
      </c>
      <c r="AE705" s="30">
        <f ca="1">SUMIF(Table20[Ticker],Table20[[#This Row],[Ticker]],Table20[realized_profit])</f>
        <v>4153</v>
      </c>
      <c r="AF705" s="30" t="str">
        <f>VLOOKUP(Table20[[#This Row],[Strategy]],Table29[#All],7,FALSE)</f>
        <v>Bearish</v>
      </c>
    </row>
    <row r="706" spans="1:32" hidden="1">
      <c r="A706" s="180">
        <v>45863</v>
      </c>
      <c r="B706" s="21" t="e" vm="63">
        <v>#VALUE!</v>
      </c>
      <c r="C706" s="109" t="str" cm="1">
        <f t="array" aca="1" ref="C706" ca="1">_FV(Table20[[#This Row],[Asset]],"Ticker symbol",TRUE)</f>
        <v>TSLA</v>
      </c>
      <c r="D706" s="26" cm="1">
        <f t="array" aca="1" ref="D706" ca="1">_FV(Table20[[#This Row],[Asset]],"Price")</f>
        <v>394.5401</v>
      </c>
      <c r="E706" s="26">
        <v>270</v>
      </c>
      <c r="F706" s="33">
        <v>1</v>
      </c>
      <c r="G706" s="34">
        <v>1</v>
      </c>
      <c r="H706" s="34" t="s">
        <v>112</v>
      </c>
      <c r="I706" s="31">
        <v>45833</v>
      </c>
      <c r="J706" s="26">
        <v>4.58</v>
      </c>
      <c r="K706" s="24"/>
      <c r="L706" s="33">
        <f>VLOOKUP(Table20[[#This Row],[Strategy]],Table29[#All],6,FALSE)</f>
        <v>-1</v>
      </c>
      <c r="M706" s="23">
        <v>1</v>
      </c>
      <c r="N706" s="23">
        <v>8.02</v>
      </c>
      <c r="O706" s="23"/>
      <c r="P706" s="23"/>
      <c r="Q706">
        <f>Table20[[#This Row],[Exit1]]*Table20[[#This Row],[ex1_price]]</f>
        <v>8.02</v>
      </c>
      <c r="R706">
        <f>Table20[[#This Row],[Exit2]]*Table20[[#This Row],[ex2_price]]</f>
        <v>0</v>
      </c>
      <c r="S706">
        <f>IFERROR((Table20[[#This Row],[ex2_amnt]]+Table20[[#This Row],[ex1_amnt]])/(Table20[[#This Row],[Exit2]]+Table20[[#This Row],[Exit1]]),0)</f>
        <v>8.02</v>
      </c>
      <c r="T706" s="5">
        <f>(Table20[[#This Row],[Exit1]]+Table20[[#This Row],[Exit2]])*(Table20[[#This Row],[avg_exit_price]]-Table20[[#This Row],[AvePrice]])*100*Table20[[#This Row],[Buy or Sell]]</f>
        <v>343.99999999999994</v>
      </c>
      <c r="U706" s="5">
        <f>Table20[[#This Row],[Number of options]]*Table20[[#This Row],[AvePrice]]*100*Table20[[#This Row],[Buy or Sell]]</f>
        <v>458</v>
      </c>
      <c r="V706" s="8">
        <f>Table20[[#This Row],[Number of options]]-Table20[[#This Row],[Exit1]]-Table20[[#This Row],[Exit2]]</f>
        <v>0</v>
      </c>
      <c r="W706" s="30">
        <f ca="1">(Table20[[#This Row],[Expiration Date]]-TODAY())/365</f>
        <v>-0.66849315068493154</v>
      </c>
      <c r="X706" s="30" t="e">
        <f ca="1">(LN(Table20[[#This Row],[Current Price]]/Table20[[#This Row],[strike_price]]) + ($B$2 + (Table20[[#This Row],[Vol]]^2)/2)*Table20[[#This Row],[Time to expiration]]) / (Table20[[#This Row],[Vol]] * SQRT(Table20[[#This Row],[Time to expiration]]))</f>
        <v>#NUM!</v>
      </c>
      <c r="Y706" s="30" t="e">
        <f ca="1">IF(Table20[[#This Row],[Direction]]&gt;0, _xlfn.NORM.S.DIST(Table20[[#This Row],[d1]], TRUE), _xlfn.NORM.S.DIST(Table20[[#This Row],[d1]], TRUE) - 1) * Table20[[#This Row],[Buy or Sell]]</f>
        <v>#NUM!</v>
      </c>
      <c r="Z706" s="9">
        <f ca="1">Table20[[#This Row],[Remaining]]*Table20[[#This Row],[Current Price]]*100</f>
        <v>0</v>
      </c>
      <c r="AA706" s="22">
        <f ca="1">IFERROR(Table20[[#This Row],[nominal_exposure]]*Table20[[#This Row],[Delta]],0)</f>
        <v>0</v>
      </c>
      <c r="AB706" s="30" t="b">
        <f>IF(Table20[[#This Row],[date_purchased]]&lt;&gt;Table20[[#This Row],[Expiration Date]],FALSE,TRUE)</f>
        <v>0</v>
      </c>
      <c r="AC706" s="30" t="str">
        <f>VLOOKUP(Table20[[#This Row],[Asset]],Table19[#All],3,FALSE)</f>
        <v>Auto</v>
      </c>
      <c r="AD706" s="30">
        <f>IF(Table20[[#This Row],[Remaining]]&lt;&gt;0,Table20[[#This Row],[Invested]]*Table20[[#This Row],[Remaining]]/Table20[[#This Row],[Number of options]],0)</f>
        <v>0</v>
      </c>
      <c r="AE706" s="30">
        <f ca="1">SUMIF(Table20[Ticker],Table20[[#This Row],[Ticker]],Table20[realized_profit])</f>
        <v>4153</v>
      </c>
      <c r="AF706" s="30" t="str">
        <f>VLOOKUP(Table20[[#This Row],[Strategy]],Table29[#All],7,FALSE)</f>
        <v>Bearish</v>
      </c>
    </row>
    <row r="707" spans="1:32" hidden="1">
      <c r="A707" s="180">
        <v>45863</v>
      </c>
      <c r="B707" s="21" t="e" vm="63">
        <v>#VALUE!</v>
      </c>
      <c r="C707" s="109" t="str" cm="1">
        <f t="array" aca="1" ref="C707" ca="1">_FV(Table20[[#This Row],[Asset]],"Ticker symbol",TRUE)</f>
        <v>TSLA</v>
      </c>
      <c r="D707" s="26" cm="1">
        <f t="array" aca="1" ref="D707" ca="1">_FV(Table20[[#This Row],[Asset]],"Price")</f>
        <v>394.5401</v>
      </c>
      <c r="E707" s="26">
        <v>200</v>
      </c>
      <c r="F707" s="33">
        <v>1</v>
      </c>
      <c r="G707" s="34">
        <v>-1</v>
      </c>
      <c r="H707" s="34" t="s">
        <v>112</v>
      </c>
      <c r="I707" s="31">
        <v>45833</v>
      </c>
      <c r="J707" s="26">
        <v>0.76</v>
      </c>
      <c r="K707" s="24"/>
      <c r="L707" s="33">
        <f>VLOOKUP(Table20[[#This Row],[Strategy]],Table29[#All],6,FALSE)</f>
        <v>-1</v>
      </c>
      <c r="M707" s="23">
        <v>1</v>
      </c>
      <c r="N707" s="23">
        <v>1.05</v>
      </c>
      <c r="O707" s="23"/>
      <c r="P707" s="23"/>
      <c r="Q707">
        <f>Table20[[#This Row],[Exit1]]*Table20[[#This Row],[ex1_price]]</f>
        <v>1.05</v>
      </c>
      <c r="R707">
        <f>Table20[[#This Row],[Exit2]]*Table20[[#This Row],[ex2_price]]</f>
        <v>0</v>
      </c>
      <c r="S707">
        <f>IFERROR((Table20[[#This Row],[ex2_amnt]]+Table20[[#This Row],[ex1_amnt]])/(Table20[[#This Row],[Exit2]]+Table20[[#This Row],[Exit1]]),0)</f>
        <v>1.05</v>
      </c>
      <c r="T707" s="5">
        <f>(Table20[[#This Row],[Exit1]]+Table20[[#This Row],[Exit2]])*(Table20[[#This Row],[avg_exit_price]]-Table20[[#This Row],[AvePrice]])*100*Table20[[#This Row],[Buy or Sell]]</f>
        <v>-29.000000000000004</v>
      </c>
      <c r="U707" s="5">
        <f>Table20[[#This Row],[Number of options]]*Table20[[#This Row],[AvePrice]]*100*Table20[[#This Row],[Buy or Sell]]</f>
        <v>-76</v>
      </c>
      <c r="V707" s="8">
        <f>Table20[[#This Row],[Number of options]]-Table20[[#This Row],[Exit1]]-Table20[[#This Row],[Exit2]]</f>
        <v>0</v>
      </c>
      <c r="W707" s="30">
        <f ca="1">(Table20[[#This Row],[Expiration Date]]-TODAY())/365</f>
        <v>-0.66849315068493154</v>
      </c>
      <c r="X707" s="30" t="e">
        <f ca="1">(LN(Table20[[#This Row],[Current Price]]/Table20[[#This Row],[strike_price]]) + ($B$2 + (Table20[[#This Row],[Vol]]^2)/2)*Table20[[#This Row],[Time to expiration]]) / (Table20[[#This Row],[Vol]] * SQRT(Table20[[#This Row],[Time to expiration]]))</f>
        <v>#NUM!</v>
      </c>
      <c r="Y707" s="30" t="e">
        <f ca="1">IF(Table20[[#This Row],[Direction]]&gt;0, _xlfn.NORM.S.DIST(Table20[[#This Row],[d1]], TRUE), _xlfn.NORM.S.DIST(Table20[[#This Row],[d1]], TRUE) - 1) * Table20[[#This Row],[Buy or Sell]]</f>
        <v>#NUM!</v>
      </c>
      <c r="Z707" s="9">
        <f ca="1">Table20[[#This Row],[Remaining]]*Table20[[#This Row],[Current Price]]*100</f>
        <v>0</v>
      </c>
      <c r="AA707" s="22">
        <f ca="1">IFERROR(Table20[[#This Row],[nominal_exposure]]*Table20[[#This Row],[Delta]],0)</f>
        <v>0</v>
      </c>
      <c r="AB707" s="30" t="b">
        <f>IF(Table20[[#This Row],[date_purchased]]&lt;&gt;Table20[[#This Row],[Expiration Date]],FALSE,TRUE)</f>
        <v>0</v>
      </c>
      <c r="AC707" s="30" t="str">
        <f>VLOOKUP(Table20[[#This Row],[Asset]],Table19[#All],3,FALSE)</f>
        <v>Auto</v>
      </c>
      <c r="AD707" s="30">
        <f>IF(Table20[[#This Row],[Remaining]]&lt;&gt;0,Table20[[#This Row],[Invested]]*Table20[[#This Row],[Remaining]]/Table20[[#This Row],[Number of options]],0)</f>
        <v>0</v>
      </c>
      <c r="AE707" s="30">
        <f ca="1">SUMIF(Table20[Ticker],Table20[[#This Row],[Ticker]],Table20[realized_profit])</f>
        <v>4153</v>
      </c>
      <c r="AF707" s="30" t="str">
        <f>VLOOKUP(Table20[[#This Row],[Strategy]],Table29[#All],7,FALSE)</f>
        <v>Bearish</v>
      </c>
    </row>
    <row r="708" spans="1:32" hidden="1">
      <c r="A708" s="180">
        <v>45905</v>
      </c>
      <c r="B708" s="21" t="e" vm="63">
        <v>#VALUE!</v>
      </c>
      <c r="C708" s="109" t="str" cm="1">
        <f t="array" aca="1" ref="C708" ca="1">_FV(Table20[[#This Row],[Asset]],"Ticker symbol",TRUE)</f>
        <v>TSLA</v>
      </c>
      <c r="D708" s="26" cm="1">
        <f t="array" aca="1" ref="D708" ca="1">_FV(Table20[[#This Row],[Asset]],"Price")</f>
        <v>394.5401</v>
      </c>
      <c r="E708" s="26">
        <v>400</v>
      </c>
      <c r="F708" s="33">
        <v>1</v>
      </c>
      <c r="G708" s="34">
        <v>-1</v>
      </c>
      <c r="H708" s="34" t="s">
        <v>114</v>
      </c>
      <c r="I708" s="31">
        <v>45894</v>
      </c>
      <c r="J708" s="26">
        <v>0.75</v>
      </c>
      <c r="K708" s="24">
        <v>0.47110000000000002</v>
      </c>
      <c r="L708" s="33">
        <f>VLOOKUP(Table20[[#This Row],[Strategy]],Table29[#All],6,FALSE)</f>
        <v>1</v>
      </c>
      <c r="M708" s="23">
        <v>1</v>
      </c>
      <c r="N708" s="23">
        <v>0</v>
      </c>
      <c r="O708" s="23"/>
      <c r="P708" s="23"/>
      <c r="Q708">
        <f>Table20[[#This Row],[Exit1]]*Table20[[#This Row],[ex1_price]]</f>
        <v>0</v>
      </c>
      <c r="R708">
        <f>Table20[[#This Row],[Exit2]]*Table20[[#This Row],[ex2_price]]</f>
        <v>0</v>
      </c>
      <c r="S708">
        <f>IFERROR((Table20[[#This Row],[ex2_amnt]]+Table20[[#This Row],[ex1_amnt]])/(Table20[[#This Row],[Exit2]]+Table20[[#This Row],[Exit1]]),0)</f>
        <v>0</v>
      </c>
      <c r="T708" s="5">
        <f>(Table20[[#This Row],[Exit1]]+Table20[[#This Row],[Exit2]])*(Table20[[#This Row],[avg_exit_price]]-Table20[[#This Row],[AvePrice]])*100*Table20[[#This Row],[Buy or Sell]]</f>
        <v>75</v>
      </c>
      <c r="U708" s="5">
        <f>Table20[[#This Row],[Number of options]]*Table20[[#This Row],[AvePrice]]*100*Table20[[#This Row],[Buy or Sell]]</f>
        <v>-75</v>
      </c>
      <c r="V708" s="8">
        <f>Table20[[#This Row],[Number of options]]-Table20[[#This Row],[Exit1]]-Table20[[#This Row],[Exit2]]</f>
        <v>0</v>
      </c>
      <c r="W708" s="30">
        <f ca="1">(Table20[[#This Row],[Expiration Date]]-TODAY())/365</f>
        <v>-0.55342465753424652</v>
      </c>
      <c r="X708" s="30" t="e">
        <f ca="1">(LN(Table20[[#This Row],[Current Price]]/Table20[[#This Row],[strike_price]]) + ($B$2 + (Table20[[#This Row],[Vol]]^2)/2)*Table20[[#This Row],[Time to expiration]]) / (Table20[[#This Row],[Vol]] * SQRT(Table20[[#This Row],[Time to expiration]]))</f>
        <v>#NUM!</v>
      </c>
      <c r="Y708" s="30" t="e">
        <f ca="1">IF(Table20[[#This Row],[Direction]]&gt;0, _xlfn.NORM.S.DIST(Table20[[#This Row],[d1]], TRUE), _xlfn.NORM.S.DIST(Table20[[#This Row],[d1]], TRUE) - 1) * Table20[[#This Row],[Buy or Sell]]</f>
        <v>#NUM!</v>
      </c>
      <c r="Z708" s="9">
        <f ca="1">Table20[[#This Row],[Remaining]]*Table20[[#This Row],[Current Price]]*100</f>
        <v>0</v>
      </c>
      <c r="AA708" s="22">
        <f ca="1">IFERROR(Table20[[#This Row],[nominal_exposure]]*Table20[[#This Row],[Delta]],0)</f>
        <v>0</v>
      </c>
      <c r="AB708" s="30" t="b">
        <f>IF(Table20[[#This Row],[date_purchased]]&lt;&gt;Table20[[#This Row],[Expiration Date]],FALSE,TRUE)</f>
        <v>0</v>
      </c>
      <c r="AC708" s="30" t="str">
        <f>VLOOKUP(Table20[[#This Row],[Asset]],Table19[#All],3,FALSE)</f>
        <v>Auto</v>
      </c>
      <c r="AD708" s="30">
        <f>IF(Table20[[#This Row],[Remaining]]&lt;&gt;0,Table20[[#This Row],[Invested]]*Table20[[#This Row],[Remaining]]/Table20[[#This Row],[Number of options]],0)</f>
        <v>0</v>
      </c>
      <c r="AE708" s="30">
        <f ca="1">SUMIF(Table20[Ticker],Table20[[#This Row],[Ticker]],Table20[realized_profit])</f>
        <v>4153</v>
      </c>
      <c r="AF708" s="30" t="str">
        <f>VLOOKUP(Table20[[#This Row],[Strategy]],Table29[#All],7,FALSE)</f>
        <v>Bullish</v>
      </c>
    </row>
    <row r="709" spans="1:32" hidden="1">
      <c r="A709" s="180">
        <v>45905</v>
      </c>
      <c r="B709" s="21" t="e" vm="211">
        <v>#VALUE!</v>
      </c>
      <c r="C709" s="109" t="str" cm="1">
        <f t="array" aca="1" ref="C709" ca="1">_FV(Table20[[#This Row],[Asset]],"Ticker symbol",TRUE)</f>
        <v>GME</v>
      </c>
      <c r="D709" s="26" cm="1">
        <f t="array" aca="1" ref="D709" ca="1">_FV(Table20[[#This Row],[Asset]],"Price")</f>
        <v>22.81</v>
      </c>
      <c r="E709" s="26">
        <v>24</v>
      </c>
      <c r="F709" s="33">
        <v>3</v>
      </c>
      <c r="G709" s="34">
        <v>0.42</v>
      </c>
      <c r="H709" s="34" t="s">
        <v>113</v>
      </c>
      <c r="I709" s="31">
        <v>45891</v>
      </c>
      <c r="J709" s="26">
        <v>0.42</v>
      </c>
      <c r="K709" s="24">
        <v>0.56020000000000003</v>
      </c>
      <c r="L709" s="33">
        <f>VLOOKUP(Table20[[#This Row],[Strategy]],Table29[#All],6,FALSE)</f>
        <v>1</v>
      </c>
      <c r="M709" s="23">
        <v>3</v>
      </c>
      <c r="N709" s="23">
        <v>0</v>
      </c>
      <c r="O709" s="23"/>
      <c r="P709" s="23"/>
      <c r="Q709">
        <f>Table20[[#This Row],[Exit1]]*Table20[[#This Row],[ex1_price]]</f>
        <v>0</v>
      </c>
      <c r="R709">
        <f>Table20[[#This Row],[Exit2]]*Table20[[#This Row],[ex2_price]]</f>
        <v>0</v>
      </c>
      <c r="S709">
        <f>IFERROR((Table20[[#This Row],[ex2_amnt]]+Table20[[#This Row],[ex1_amnt]])/(Table20[[#This Row],[Exit2]]+Table20[[#This Row],[Exit1]]),0)</f>
        <v>0</v>
      </c>
      <c r="T709" s="5">
        <f>(Table20[[#This Row],[Exit1]]+Table20[[#This Row],[Exit2]])*(Table20[[#This Row],[avg_exit_price]]-Table20[[#This Row],[AvePrice]])*100*Table20[[#This Row],[Buy or Sell]]</f>
        <v>-52.919999999999995</v>
      </c>
      <c r="U709" s="5">
        <f>Table20[[#This Row],[Number of options]]*Table20[[#This Row],[AvePrice]]*100*Table20[[#This Row],[Buy or Sell]]</f>
        <v>52.919999999999995</v>
      </c>
      <c r="V709" s="8">
        <f>Table20[[#This Row],[Number of options]]-Table20[[#This Row],[Exit1]]-Table20[[#This Row],[Exit2]]</f>
        <v>0</v>
      </c>
      <c r="W709" s="30">
        <f ca="1">(Table20[[#This Row],[Expiration Date]]-TODAY())/365</f>
        <v>-0.55342465753424652</v>
      </c>
      <c r="X709" s="30" t="e">
        <f ca="1">(LN(Table20[[#This Row],[Current Price]]/Table20[[#This Row],[strike_price]]) + ($B$2 + (Table20[[#This Row],[Vol]]^2)/2)*Table20[[#This Row],[Time to expiration]]) / (Table20[[#This Row],[Vol]] * SQRT(Table20[[#This Row],[Time to expiration]]))</f>
        <v>#NUM!</v>
      </c>
      <c r="Y709" s="30" t="e">
        <f ca="1">IF(Table20[[#This Row],[Direction]]&gt;0, _xlfn.NORM.S.DIST(Table20[[#This Row],[d1]], TRUE), _xlfn.NORM.S.DIST(Table20[[#This Row],[d1]], TRUE) - 1) * Table20[[#This Row],[Buy or Sell]]</f>
        <v>#NUM!</v>
      </c>
      <c r="Z709" s="9">
        <f ca="1">Table20[[#This Row],[Remaining]]*Table20[[#This Row],[Current Price]]*100</f>
        <v>0</v>
      </c>
      <c r="AA709" s="22">
        <f ca="1">IFERROR(Table20[[#This Row],[nominal_exposure]]*Table20[[#This Row],[Delta]],0)</f>
        <v>0</v>
      </c>
      <c r="AB709" s="30" t="b">
        <f>IF(Table20[[#This Row],[date_purchased]]&lt;&gt;Table20[[#This Row],[Expiration Date]],FALSE,TRUE)</f>
        <v>0</v>
      </c>
      <c r="AC709" s="30" t="str">
        <f>VLOOKUP(Table20[[#This Row],[Asset]],Table19[#All],3,FALSE)</f>
        <v>Meme</v>
      </c>
      <c r="AD709" s="30">
        <f>IF(Table20[[#This Row],[Remaining]]&lt;&gt;0,Table20[[#This Row],[Invested]]*Table20[[#This Row],[Remaining]]/Table20[[#This Row],[Number of options]],0)</f>
        <v>0</v>
      </c>
      <c r="AE709" s="30">
        <f ca="1">SUMIF(Table20[Ticker],Table20[[#This Row],[Ticker]],Table20[realized_profit])</f>
        <v>-326.92</v>
      </c>
      <c r="AF709" s="30" t="str">
        <f>VLOOKUP(Table20[[#This Row],[Strategy]],Table29[#All],7,FALSE)</f>
        <v>Bullish</v>
      </c>
    </row>
    <row r="710" spans="1:32" hidden="1">
      <c r="A710" s="180">
        <v>45863</v>
      </c>
      <c r="B710" s="21" t="e" vm="16">
        <v>#VALUE!</v>
      </c>
      <c r="C710" s="109" t="str" cm="1">
        <f t="array" aca="1" ref="C710" ca="1">_FV(Table20[[#This Row],[Asset]],"Ticker symbol",TRUE)</f>
        <v>GOOG</v>
      </c>
      <c r="D710" s="26" cm="1">
        <f t="array" aca="1" ref="D710" ca="1">_FV(Table20[[#This Row],[Asset]],"Price")</f>
        <v>290.39</v>
      </c>
      <c r="E710" s="26">
        <v>190</v>
      </c>
      <c r="F710" s="33">
        <v>1</v>
      </c>
      <c r="G710" s="34">
        <v>1</v>
      </c>
      <c r="H710" s="34" t="s">
        <v>113</v>
      </c>
      <c r="I710" s="31">
        <v>45838</v>
      </c>
      <c r="J710" s="26">
        <v>2.96</v>
      </c>
      <c r="K710" s="24"/>
      <c r="L710" s="33">
        <f>VLOOKUP(Table20[[#This Row],[Strategy]],Table29[#All],6,FALSE)</f>
        <v>1</v>
      </c>
      <c r="M710" s="23">
        <v>1</v>
      </c>
      <c r="N710" s="23">
        <v>6</v>
      </c>
      <c r="O710" s="23"/>
      <c r="P710" s="23"/>
      <c r="Q710">
        <f>Table20[[#This Row],[Exit1]]*Table20[[#This Row],[ex1_price]]</f>
        <v>6</v>
      </c>
      <c r="R710">
        <f>Table20[[#This Row],[Exit2]]*Table20[[#This Row],[ex2_price]]</f>
        <v>0</v>
      </c>
      <c r="S710">
        <f>IFERROR((Table20[[#This Row],[ex2_amnt]]+Table20[[#This Row],[ex1_amnt]])/(Table20[[#This Row],[Exit2]]+Table20[[#This Row],[Exit1]]),0)</f>
        <v>6</v>
      </c>
      <c r="T710" s="5">
        <f>(Table20[[#This Row],[Exit1]]+Table20[[#This Row],[Exit2]])*(Table20[[#This Row],[avg_exit_price]]-Table20[[#This Row],[AvePrice]])*100*Table20[[#This Row],[Buy or Sell]]</f>
        <v>304</v>
      </c>
      <c r="U710" s="5">
        <f>Table20[[#This Row],[Number of options]]*Table20[[#This Row],[AvePrice]]*100*Table20[[#This Row],[Buy or Sell]]</f>
        <v>296</v>
      </c>
      <c r="V710" s="8">
        <f>Table20[[#This Row],[Number of options]]-Table20[[#This Row],[Exit1]]-Table20[[#This Row],[Exit2]]</f>
        <v>0</v>
      </c>
      <c r="W710" s="30">
        <f ca="1">(Table20[[#This Row],[Expiration Date]]-TODAY())/365</f>
        <v>-0.66849315068493154</v>
      </c>
      <c r="X710" s="30" t="e">
        <f ca="1">(LN(Table20[[#This Row],[Current Price]]/Table20[[#This Row],[strike_price]]) + ($B$2 + (Table20[[#This Row],[Vol]]^2)/2)*Table20[[#This Row],[Time to expiration]]) / (Table20[[#This Row],[Vol]] * SQRT(Table20[[#This Row],[Time to expiration]]))</f>
        <v>#NUM!</v>
      </c>
      <c r="Y710" s="30" t="e">
        <f ca="1">IF(Table20[[#This Row],[Direction]]&gt;0, _xlfn.NORM.S.DIST(Table20[[#This Row],[d1]], TRUE), _xlfn.NORM.S.DIST(Table20[[#This Row],[d1]], TRUE) - 1) * Table20[[#This Row],[Buy or Sell]]</f>
        <v>#NUM!</v>
      </c>
      <c r="Z710" s="9">
        <f ca="1">Table20[[#This Row],[Remaining]]*Table20[[#This Row],[Current Price]]*100</f>
        <v>0</v>
      </c>
      <c r="AA710" s="22">
        <f ca="1">IFERROR(Table20[[#This Row],[nominal_exposure]]*Table20[[#This Row],[Delta]],0)</f>
        <v>0</v>
      </c>
      <c r="AB710" s="30" t="b">
        <f>IF(Table20[[#This Row],[date_purchased]]&lt;&gt;Table20[[#This Row],[Expiration Date]],FALSE,TRUE)</f>
        <v>0</v>
      </c>
      <c r="AC710" s="30" t="str">
        <f>VLOOKUP(Table20[[#This Row],[Asset]],Table19[#All],3,FALSE)</f>
        <v>AI</v>
      </c>
      <c r="AD710" s="30">
        <f>IF(Table20[[#This Row],[Remaining]]&lt;&gt;0,Table20[[#This Row],[Invested]]*Table20[[#This Row],[Remaining]]/Table20[[#This Row],[Number of options]],0)</f>
        <v>0</v>
      </c>
      <c r="AE710" s="30">
        <f ca="1">SUMIF(Table20[Ticker],Table20[[#This Row],[Ticker]],Table20[realized_profit])</f>
        <v>4148.03</v>
      </c>
      <c r="AF710" s="30" t="str">
        <f>VLOOKUP(Table20[[#This Row],[Strategy]],Table29[#All],7,FALSE)</f>
        <v>Bullish</v>
      </c>
    </row>
    <row r="711" spans="1:32" hidden="1">
      <c r="A711" s="180">
        <v>45919</v>
      </c>
      <c r="B711" s="21" t="e" vm="16">
        <v>#VALUE!</v>
      </c>
      <c r="C711" s="109" t="str" cm="1">
        <f t="array" aca="1" ref="C711" ca="1">_FV(Table20[[#This Row],[Asset]],"Ticker symbol",TRUE)</f>
        <v>GOOG</v>
      </c>
      <c r="D711" s="26" cm="1">
        <f t="array" aca="1" ref="D711" ca="1">_FV(Table20[[#This Row],[Asset]],"Price")</f>
        <v>290.39</v>
      </c>
      <c r="E711" s="26">
        <v>210</v>
      </c>
      <c r="F711" s="33">
        <v>1</v>
      </c>
      <c r="G711" s="34">
        <v>1</v>
      </c>
      <c r="H711" s="34" t="s">
        <v>114</v>
      </c>
      <c r="I711" s="31">
        <v>45838</v>
      </c>
      <c r="J711" s="26">
        <v>2.2200000000000002</v>
      </c>
      <c r="K711" s="24"/>
      <c r="L711" s="33">
        <f>VLOOKUP(Table20[[#This Row],[Strategy]],Table29[#All],6,FALSE)</f>
        <v>1</v>
      </c>
      <c r="M711" s="23">
        <v>1</v>
      </c>
      <c r="N711" s="23">
        <v>3.65</v>
      </c>
      <c r="O711" s="23"/>
      <c r="P711" s="23"/>
      <c r="Q711">
        <f>Table20[[#This Row],[Exit1]]*Table20[[#This Row],[ex1_price]]</f>
        <v>3.65</v>
      </c>
      <c r="R711">
        <f>Table20[[#This Row],[Exit2]]*Table20[[#This Row],[ex2_price]]</f>
        <v>0</v>
      </c>
      <c r="S711">
        <f>IFERROR((Table20[[#This Row],[ex2_amnt]]+Table20[[#This Row],[ex1_amnt]])/(Table20[[#This Row],[Exit2]]+Table20[[#This Row],[Exit1]]),0)</f>
        <v>3.65</v>
      </c>
      <c r="T711" s="5">
        <f>(Table20[[#This Row],[Exit1]]+Table20[[#This Row],[Exit2]])*(Table20[[#This Row],[avg_exit_price]]-Table20[[#This Row],[AvePrice]])*100*Table20[[#This Row],[Buy or Sell]]</f>
        <v>142.99999999999997</v>
      </c>
      <c r="U711" s="5">
        <f>Table20[[#This Row],[Number of options]]*Table20[[#This Row],[AvePrice]]*100*Table20[[#This Row],[Buy or Sell]]</f>
        <v>222.00000000000003</v>
      </c>
      <c r="V711" s="8">
        <f>Table20[[#This Row],[Number of options]]-Table20[[#This Row],[Exit1]]-Table20[[#This Row],[Exit2]]</f>
        <v>0</v>
      </c>
      <c r="W711" s="30">
        <f ca="1">(Table20[[#This Row],[Expiration Date]]-TODAY())/365</f>
        <v>-0.51506849315068493</v>
      </c>
      <c r="X711" s="30" t="e">
        <f ca="1">(LN(Table20[[#This Row],[Current Price]]/Table20[[#This Row],[strike_price]]) + ($B$2 + (Table20[[#This Row],[Vol]]^2)/2)*Table20[[#This Row],[Time to expiration]]) / (Table20[[#This Row],[Vol]] * SQRT(Table20[[#This Row],[Time to expiration]]))</f>
        <v>#NUM!</v>
      </c>
      <c r="Y711" s="30" t="e">
        <f ca="1">IF(Table20[[#This Row],[Direction]]&gt;0, _xlfn.NORM.S.DIST(Table20[[#This Row],[d1]], TRUE), _xlfn.NORM.S.DIST(Table20[[#This Row],[d1]], TRUE) - 1) * Table20[[#This Row],[Buy or Sell]]</f>
        <v>#NUM!</v>
      </c>
      <c r="Z711" s="9">
        <f ca="1">Table20[[#This Row],[Remaining]]*Table20[[#This Row],[Current Price]]*100</f>
        <v>0</v>
      </c>
      <c r="AA711" s="22">
        <f ca="1">IFERROR(Table20[[#This Row],[nominal_exposure]]*Table20[[#This Row],[Delta]],0)</f>
        <v>0</v>
      </c>
      <c r="AB711" s="30" t="b">
        <f>IF(Table20[[#This Row],[date_purchased]]&lt;&gt;Table20[[#This Row],[Expiration Date]],FALSE,TRUE)</f>
        <v>0</v>
      </c>
      <c r="AC711" s="30" t="str">
        <f>VLOOKUP(Table20[[#This Row],[Asset]],Table19[#All],3,FALSE)</f>
        <v>AI</v>
      </c>
      <c r="AD711" s="30">
        <f>IF(Table20[[#This Row],[Remaining]]&lt;&gt;0,Table20[[#This Row],[Invested]]*Table20[[#This Row],[Remaining]]/Table20[[#This Row],[Number of options]],0)</f>
        <v>0</v>
      </c>
      <c r="AE711" s="30">
        <f ca="1">SUMIF(Table20[Ticker],Table20[[#This Row],[Ticker]],Table20[realized_profit])</f>
        <v>4148.03</v>
      </c>
      <c r="AF711" s="30" t="str">
        <f>VLOOKUP(Table20[[#This Row],[Strategy]],Table29[#All],7,FALSE)</f>
        <v>Bullish</v>
      </c>
    </row>
    <row r="712" spans="1:32" hidden="1">
      <c r="A712" s="180">
        <v>45919</v>
      </c>
      <c r="B712" s="21" t="e" vm="16">
        <v>#VALUE!</v>
      </c>
      <c r="C712" s="109" t="str" cm="1">
        <f t="array" aca="1" ref="C712" ca="1">_FV(Table20[[#This Row],[Asset]],"Ticker symbol",TRUE)</f>
        <v>GOOG</v>
      </c>
      <c r="D712" s="26" cm="1">
        <f t="array" aca="1" ref="D712" ca="1">_FV(Table20[[#This Row],[Asset]],"Price")</f>
        <v>290.39</v>
      </c>
      <c r="E712" s="26">
        <v>250</v>
      </c>
      <c r="F712" s="33">
        <v>1</v>
      </c>
      <c r="G712" s="34">
        <v>-1</v>
      </c>
      <c r="H712" s="34" t="s">
        <v>114</v>
      </c>
      <c r="I712" s="31">
        <v>45838</v>
      </c>
      <c r="J712" s="26">
        <v>0.4</v>
      </c>
      <c r="K712" s="24"/>
      <c r="L712" s="33">
        <f>VLOOKUP(Table20[[#This Row],[Strategy]],Table29[#All],6,FALSE)</f>
        <v>1</v>
      </c>
      <c r="M712" s="23">
        <v>1</v>
      </c>
      <c r="N712" s="23">
        <v>0.11</v>
      </c>
      <c r="O712" s="23"/>
      <c r="P712" s="23"/>
      <c r="Q712">
        <f>Table20[[#This Row],[Exit1]]*Table20[[#This Row],[ex1_price]]</f>
        <v>0.11</v>
      </c>
      <c r="R712">
        <f>Table20[[#This Row],[Exit2]]*Table20[[#This Row],[ex2_price]]</f>
        <v>0</v>
      </c>
      <c r="S712">
        <f>IFERROR((Table20[[#This Row],[ex2_amnt]]+Table20[[#This Row],[ex1_amnt]])/(Table20[[#This Row],[Exit2]]+Table20[[#This Row],[Exit1]]),0)</f>
        <v>0.11</v>
      </c>
      <c r="T712" s="5">
        <f>(Table20[[#This Row],[Exit1]]+Table20[[#This Row],[Exit2]])*(Table20[[#This Row],[avg_exit_price]]-Table20[[#This Row],[AvePrice]])*100*Table20[[#This Row],[Buy or Sell]]</f>
        <v>29.000000000000004</v>
      </c>
      <c r="U712" s="5">
        <f>Table20[[#This Row],[Number of options]]*Table20[[#This Row],[AvePrice]]*100*Table20[[#This Row],[Buy or Sell]]</f>
        <v>-40</v>
      </c>
      <c r="V712" s="8">
        <f>Table20[[#This Row],[Number of options]]-Table20[[#This Row],[Exit1]]-Table20[[#This Row],[Exit2]]</f>
        <v>0</v>
      </c>
      <c r="W712" s="30">
        <f ca="1">(Table20[[#This Row],[Expiration Date]]-TODAY())/365</f>
        <v>-0.51506849315068493</v>
      </c>
      <c r="X712" s="30" t="e">
        <f ca="1">(LN(Table20[[#This Row],[Current Price]]/Table20[[#This Row],[strike_price]]) + ($B$2 + (Table20[[#This Row],[Vol]]^2)/2)*Table20[[#This Row],[Time to expiration]]) / (Table20[[#This Row],[Vol]] * SQRT(Table20[[#This Row],[Time to expiration]]))</f>
        <v>#NUM!</v>
      </c>
      <c r="Y712" s="30" t="e">
        <f ca="1">IF(Table20[[#This Row],[Direction]]&gt;0, _xlfn.NORM.S.DIST(Table20[[#This Row],[d1]], TRUE), _xlfn.NORM.S.DIST(Table20[[#This Row],[d1]], TRUE) - 1) * Table20[[#This Row],[Buy or Sell]]</f>
        <v>#NUM!</v>
      </c>
      <c r="Z712" s="9">
        <f ca="1">Table20[[#This Row],[Remaining]]*Table20[[#This Row],[Current Price]]*100</f>
        <v>0</v>
      </c>
      <c r="AA712" s="22">
        <f ca="1">IFERROR(Table20[[#This Row],[nominal_exposure]]*Table20[[#This Row],[Delta]],0)</f>
        <v>0</v>
      </c>
      <c r="AB712" s="30" t="b">
        <f>IF(Table20[[#This Row],[date_purchased]]&lt;&gt;Table20[[#This Row],[Expiration Date]],FALSE,TRUE)</f>
        <v>0</v>
      </c>
      <c r="AC712" s="30" t="str">
        <f>VLOOKUP(Table20[[#This Row],[Asset]],Table19[#All],3,FALSE)</f>
        <v>AI</v>
      </c>
      <c r="AD712" s="30">
        <f>IF(Table20[[#This Row],[Remaining]]&lt;&gt;0,Table20[[#This Row],[Invested]]*Table20[[#This Row],[Remaining]]/Table20[[#This Row],[Number of options]],0)</f>
        <v>0</v>
      </c>
      <c r="AE712" s="30">
        <f ca="1">SUMIF(Table20[Ticker],Table20[[#This Row],[Ticker]],Table20[realized_profit])</f>
        <v>4148.03</v>
      </c>
      <c r="AF712" s="30" t="str">
        <f>VLOOKUP(Table20[[#This Row],[Strategy]],Table29[#All],7,FALSE)</f>
        <v>Bullish</v>
      </c>
    </row>
    <row r="713" spans="1:32" hidden="1">
      <c r="A713" s="180">
        <v>45863</v>
      </c>
      <c r="B713" s="21" t="e" vm="249">
        <v>#VALUE!</v>
      </c>
      <c r="C713" s="109" t="str" cm="1">
        <f t="array" aca="1" ref="C713" ca="1">_FV(Table20[[#This Row],[Asset]],"Ticker symbol",TRUE)</f>
        <v>OSCR</v>
      </c>
      <c r="D713" s="26" cm="1">
        <f t="array" aca="1" ref="D713" ca="1">_FV(Table20[[#This Row],[Asset]],"Price")</f>
        <v>12.1</v>
      </c>
      <c r="E713" s="26">
        <v>20</v>
      </c>
      <c r="F713" s="33">
        <v>1</v>
      </c>
      <c r="G713" s="34">
        <v>1</v>
      </c>
      <c r="H713" s="34" t="s">
        <v>113</v>
      </c>
      <c r="I713" s="31">
        <v>45838</v>
      </c>
      <c r="J713" s="26">
        <v>2.75</v>
      </c>
      <c r="K713" s="24">
        <v>0.8</v>
      </c>
      <c r="L713" s="33">
        <f>VLOOKUP(Table20[[#This Row],[Strategy]],Table29[#All],6,FALSE)</f>
        <v>1</v>
      </c>
      <c r="M713" s="23">
        <v>1</v>
      </c>
      <c r="N713" s="23">
        <v>0.75</v>
      </c>
      <c r="O713" s="23"/>
      <c r="P713" s="23"/>
      <c r="Q713">
        <f>Table20[[#This Row],[Exit1]]*Table20[[#This Row],[ex1_price]]</f>
        <v>0.75</v>
      </c>
      <c r="R713">
        <f>Table20[[#This Row],[Exit2]]*Table20[[#This Row],[ex2_price]]</f>
        <v>0</v>
      </c>
      <c r="S713">
        <f>IFERROR((Table20[[#This Row],[ex2_amnt]]+Table20[[#This Row],[ex1_amnt]])/(Table20[[#This Row],[Exit2]]+Table20[[#This Row],[Exit1]]),0)</f>
        <v>0.75</v>
      </c>
      <c r="T713" s="5">
        <f>(Table20[[#This Row],[Exit1]]+Table20[[#This Row],[Exit2]])*(Table20[[#This Row],[avg_exit_price]]-Table20[[#This Row],[AvePrice]])*100*Table20[[#This Row],[Buy or Sell]]</f>
        <v>-200</v>
      </c>
      <c r="U713" s="5">
        <f>Table20[[#This Row],[Number of options]]*Table20[[#This Row],[AvePrice]]*100*Table20[[#This Row],[Buy or Sell]]</f>
        <v>275</v>
      </c>
      <c r="V713" s="8">
        <f>Table20[[#This Row],[Number of options]]-Table20[[#This Row],[Exit1]]-Table20[[#This Row],[Exit2]]</f>
        <v>0</v>
      </c>
      <c r="W713" s="30">
        <f ca="1">(Table20[[#This Row],[Expiration Date]]-TODAY())/365</f>
        <v>-0.66849315068493154</v>
      </c>
      <c r="X713" s="30" t="e">
        <f ca="1">(LN(Table20[[#This Row],[Current Price]]/Table20[[#This Row],[strike_price]]) + ($B$2 + (Table20[[#This Row],[Vol]]^2)/2)*Table20[[#This Row],[Time to expiration]]) / (Table20[[#This Row],[Vol]] * SQRT(Table20[[#This Row],[Time to expiration]]))</f>
        <v>#NUM!</v>
      </c>
      <c r="Y713" s="30" t="e">
        <f ca="1">IF(Table20[[#This Row],[Direction]]&gt;0, _xlfn.NORM.S.DIST(Table20[[#This Row],[d1]], TRUE), _xlfn.NORM.S.DIST(Table20[[#This Row],[d1]], TRUE) - 1) * Table20[[#This Row],[Buy or Sell]]</f>
        <v>#NUM!</v>
      </c>
      <c r="Z713" s="9">
        <f ca="1">Table20[[#This Row],[Remaining]]*Table20[[#This Row],[Current Price]]*100</f>
        <v>0</v>
      </c>
      <c r="AA713" s="22">
        <f ca="1">IFERROR(Table20[[#This Row],[nominal_exposure]]*Table20[[#This Row],[Delta]],0)</f>
        <v>0</v>
      </c>
      <c r="AB713" s="30" t="b">
        <f>IF(Table20[[#This Row],[date_purchased]]&lt;&gt;Table20[[#This Row],[Expiration Date]],FALSE,TRUE)</f>
        <v>0</v>
      </c>
      <c r="AC713" s="30" t="str">
        <f>VLOOKUP(Table20[[#This Row],[Asset]],Table19[#All],3,FALSE)</f>
        <v>Health Care</v>
      </c>
      <c r="AD713" s="30">
        <f>IF(Table20[[#This Row],[Remaining]]&lt;&gt;0,Table20[[#This Row],[Invested]]*Table20[[#This Row],[Remaining]]/Table20[[#This Row],[Number of options]],0)</f>
        <v>0</v>
      </c>
      <c r="AE713" s="30">
        <f ca="1">SUMIF(Table20[Ticker],Table20[[#This Row],[Ticker]],Table20[realized_profit])</f>
        <v>-217.5</v>
      </c>
      <c r="AF713" s="30" t="str">
        <f>VLOOKUP(Table20[[#This Row],[Strategy]],Table29[#All],7,FALSE)</f>
        <v>Bullish</v>
      </c>
    </row>
    <row r="714" spans="1:32" hidden="1">
      <c r="A714" s="180">
        <v>45863</v>
      </c>
      <c r="B714" s="21" t="e" vm="63">
        <v>#VALUE!</v>
      </c>
      <c r="C714" s="109" t="str" cm="1">
        <f t="array" aca="1" ref="C714" ca="1">_FV(Table20[[#This Row],[Asset]],"Ticker symbol",TRUE)</f>
        <v>TSLA</v>
      </c>
      <c r="D714" s="26" cm="1">
        <f t="array" aca="1" ref="D714" ca="1">_FV(Table20[[#This Row],[Asset]],"Price")</f>
        <v>394.5401</v>
      </c>
      <c r="E714" s="26">
        <v>200</v>
      </c>
      <c r="F714" s="33">
        <v>3</v>
      </c>
      <c r="G714" s="34">
        <v>-1</v>
      </c>
      <c r="H714" s="34" t="s">
        <v>161</v>
      </c>
      <c r="I714" s="31">
        <v>45839</v>
      </c>
      <c r="J714" s="26">
        <v>1.17</v>
      </c>
      <c r="K714" s="24"/>
      <c r="L714" s="33">
        <f>VLOOKUP(Table20[[#This Row],[Strategy]],Table29[#All],6,FALSE)</f>
        <v>-1</v>
      </c>
      <c r="M714" s="23">
        <v>3</v>
      </c>
      <c r="N714" s="23">
        <v>0.1</v>
      </c>
      <c r="O714" s="23"/>
      <c r="P714" s="23"/>
      <c r="Q714">
        <f>Table20[[#This Row],[Exit1]]*Table20[[#This Row],[ex1_price]]</f>
        <v>0.30000000000000004</v>
      </c>
      <c r="R714">
        <f>Table20[[#This Row],[Exit2]]*Table20[[#This Row],[ex2_price]]</f>
        <v>0</v>
      </c>
      <c r="S714">
        <f>IFERROR((Table20[[#This Row],[ex2_amnt]]+Table20[[#This Row],[ex1_amnt]])/(Table20[[#This Row],[Exit2]]+Table20[[#This Row],[Exit1]]),0)</f>
        <v>0.10000000000000002</v>
      </c>
      <c r="T714" s="5">
        <f>(Table20[[#This Row],[Exit1]]+Table20[[#This Row],[Exit2]])*(Table20[[#This Row],[avg_exit_price]]-Table20[[#This Row],[AvePrice]])*100*Table20[[#This Row],[Buy or Sell]]</f>
        <v>320.99999999999994</v>
      </c>
      <c r="U714" s="5">
        <f>Table20[[#This Row],[Number of options]]*Table20[[#This Row],[AvePrice]]*100*Table20[[#This Row],[Buy or Sell]]</f>
        <v>-351</v>
      </c>
      <c r="V714" s="8">
        <f>Table20[[#This Row],[Number of options]]-Table20[[#This Row],[Exit1]]-Table20[[#This Row],[Exit2]]</f>
        <v>0</v>
      </c>
      <c r="W714" s="30">
        <f ca="1">(Table20[[#This Row],[Expiration Date]]-TODAY())/365</f>
        <v>-0.66849315068493154</v>
      </c>
      <c r="X714" s="30" t="e">
        <f ca="1">(LN(Table20[[#This Row],[Current Price]]/Table20[[#This Row],[strike_price]]) + ($B$2 + (Table20[[#This Row],[Vol]]^2)/2)*Table20[[#This Row],[Time to expiration]]) / (Table20[[#This Row],[Vol]] * SQRT(Table20[[#This Row],[Time to expiration]]))</f>
        <v>#NUM!</v>
      </c>
      <c r="Y714" s="30" t="e">
        <f ca="1">IF(Table20[[#This Row],[Direction]]&gt;0, _xlfn.NORM.S.DIST(Table20[[#This Row],[d1]], TRUE), _xlfn.NORM.S.DIST(Table20[[#This Row],[d1]], TRUE) - 1) * Table20[[#This Row],[Buy or Sell]]</f>
        <v>#NUM!</v>
      </c>
      <c r="Z714" s="9">
        <f ca="1">Table20[[#This Row],[Remaining]]*Table20[[#This Row],[Current Price]]*100</f>
        <v>0</v>
      </c>
      <c r="AA714" s="22">
        <f ca="1">IFERROR(Table20[[#This Row],[nominal_exposure]]*Table20[[#This Row],[Delta]],0)</f>
        <v>0</v>
      </c>
      <c r="AB714" s="30" t="b">
        <f>IF(Table20[[#This Row],[date_purchased]]&lt;&gt;Table20[[#This Row],[Expiration Date]],FALSE,TRUE)</f>
        <v>0</v>
      </c>
      <c r="AC714" s="30" t="str">
        <f>VLOOKUP(Table20[[#This Row],[Asset]],Table19[#All],3,FALSE)</f>
        <v>Auto</v>
      </c>
      <c r="AD714" s="30">
        <f>IF(Table20[[#This Row],[Remaining]]&lt;&gt;0,Table20[[#This Row],[Invested]]*Table20[[#This Row],[Remaining]]/Table20[[#This Row],[Number of options]],0)</f>
        <v>0</v>
      </c>
      <c r="AE714" s="30">
        <f ca="1">SUMIF(Table20[Ticker],Table20[[#This Row],[Ticker]],Table20[realized_profit])</f>
        <v>4153</v>
      </c>
      <c r="AF714" s="30" t="str">
        <f>VLOOKUP(Table20[[#This Row],[Strategy]],Table29[#All],7,FALSE)</f>
        <v>Bearish</v>
      </c>
    </row>
    <row r="715" spans="1:32" hidden="1">
      <c r="A715" s="180">
        <v>45884</v>
      </c>
      <c r="B715" s="21" t="e" vm="63">
        <v>#VALUE!</v>
      </c>
      <c r="C715" s="109" t="str" cm="1">
        <f t="array" aca="1" ref="C715" ca="1">_FV(Table20[[#This Row],[Asset]],"Ticker symbol",TRUE)</f>
        <v>TSLA</v>
      </c>
      <c r="D715" s="26" cm="1">
        <f t="array" aca="1" ref="D715" ca="1">_FV(Table20[[#This Row],[Asset]],"Price")</f>
        <v>394.5401</v>
      </c>
      <c r="E715" s="26">
        <v>200</v>
      </c>
      <c r="F715" s="33">
        <v>3</v>
      </c>
      <c r="G715" s="34">
        <v>1</v>
      </c>
      <c r="H715" s="34" t="s">
        <v>161</v>
      </c>
      <c r="I715" s="31">
        <v>45839</v>
      </c>
      <c r="J715" s="26">
        <v>2.14</v>
      </c>
      <c r="K715" s="24"/>
      <c r="L715" s="33">
        <f>VLOOKUP(Table20[[#This Row],[Strategy]],Table29[#All],6,FALSE)</f>
        <v>-1</v>
      </c>
      <c r="M715" s="23">
        <v>3</v>
      </c>
      <c r="N715" s="23">
        <v>0.5</v>
      </c>
      <c r="O715" s="23"/>
      <c r="P715" s="23"/>
      <c r="Q715">
        <f>Table20[[#This Row],[Exit1]]*Table20[[#This Row],[ex1_price]]</f>
        <v>1.5</v>
      </c>
      <c r="R715">
        <f>Table20[[#This Row],[Exit2]]*Table20[[#This Row],[ex2_price]]</f>
        <v>0</v>
      </c>
      <c r="S715">
        <f>IFERROR((Table20[[#This Row],[ex2_amnt]]+Table20[[#This Row],[ex1_amnt]])/(Table20[[#This Row],[Exit2]]+Table20[[#This Row],[Exit1]]),0)</f>
        <v>0.5</v>
      </c>
      <c r="T715" s="5">
        <f>(Table20[[#This Row],[Exit1]]+Table20[[#This Row],[Exit2]])*(Table20[[#This Row],[avg_exit_price]]-Table20[[#This Row],[AvePrice]])*100*Table20[[#This Row],[Buy or Sell]]</f>
        <v>-492</v>
      </c>
      <c r="U715" s="5">
        <f>Table20[[#This Row],[Number of options]]*Table20[[#This Row],[AvePrice]]*100*Table20[[#This Row],[Buy or Sell]]</f>
        <v>642</v>
      </c>
      <c r="V715" s="8">
        <f>Table20[[#This Row],[Number of options]]-Table20[[#This Row],[Exit1]]-Table20[[#This Row],[Exit2]]</f>
        <v>0</v>
      </c>
      <c r="W715" s="30">
        <f ca="1">(Table20[[#This Row],[Expiration Date]]-TODAY())/365</f>
        <v>-0.61095890410958908</v>
      </c>
      <c r="X715" s="30" t="e">
        <f ca="1">(LN(Table20[[#This Row],[Current Price]]/Table20[[#This Row],[strike_price]]) + ($B$2 + (Table20[[#This Row],[Vol]]^2)/2)*Table20[[#This Row],[Time to expiration]]) / (Table20[[#This Row],[Vol]] * SQRT(Table20[[#This Row],[Time to expiration]]))</f>
        <v>#NUM!</v>
      </c>
      <c r="Y715" s="30" t="e">
        <f ca="1">IF(Table20[[#This Row],[Direction]]&gt;0, _xlfn.NORM.S.DIST(Table20[[#This Row],[d1]], TRUE), _xlfn.NORM.S.DIST(Table20[[#This Row],[d1]], TRUE) - 1) * Table20[[#This Row],[Buy or Sell]]</f>
        <v>#NUM!</v>
      </c>
      <c r="Z715" s="9">
        <f ca="1">Table20[[#This Row],[Remaining]]*Table20[[#This Row],[Current Price]]*100</f>
        <v>0</v>
      </c>
      <c r="AA715" s="22">
        <f ca="1">IFERROR(Table20[[#This Row],[nominal_exposure]]*Table20[[#This Row],[Delta]],0)</f>
        <v>0</v>
      </c>
      <c r="AB715" s="30" t="b">
        <f>IF(Table20[[#This Row],[date_purchased]]&lt;&gt;Table20[[#This Row],[Expiration Date]],FALSE,TRUE)</f>
        <v>0</v>
      </c>
      <c r="AC715" s="30" t="str">
        <f>VLOOKUP(Table20[[#This Row],[Asset]],Table19[#All],3,FALSE)</f>
        <v>Auto</v>
      </c>
      <c r="AD715" s="30">
        <f>IF(Table20[[#This Row],[Remaining]]&lt;&gt;0,Table20[[#This Row],[Invested]]*Table20[[#This Row],[Remaining]]/Table20[[#This Row],[Number of options]],0)</f>
        <v>0</v>
      </c>
      <c r="AE715" s="30">
        <f ca="1">SUMIF(Table20[Ticker],Table20[[#This Row],[Ticker]],Table20[realized_profit])</f>
        <v>4153</v>
      </c>
      <c r="AF715" s="30" t="str">
        <f>VLOOKUP(Table20[[#This Row],[Strategy]],Table29[#All],7,FALSE)</f>
        <v>Bearish</v>
      </c>
    </row>
    <row r="716" spans="1:32" hidden="1">
      <c r="A716" s="180">
        <v>45841</v>
      </c>
      <c r="B716" s="21" t="e" vm="37">
        <v>#VALUE!</v>
      </c>
      <c r="C716" s="109" t="str" cm="1">
        <f t="array" aca="1" ref="C716" ca="1">_FV(Table20[[#This Row],[Asset]],"Ticker symbol",TRUE)</f>
        <v>AMD</v>
      </c>
      <c r="D716" s="26" cm="1">
        <f t="array" aca="1" ref="D716" ca="1">_FV(Table20[[#This Row],[Asset]],"Price")</f>
        <v>218.91</v>
      </c>
      <c r="E716" s="26">
        <v>136</v>
      </c>
      <c r="F716" s="33">
        <v>2</v>
      </c>
      <c r="G716" s="34">
        <v>1</v>
      </c>
      <c r="H716" s="34" t="s">
        <v>65</v>
      </c>
      <c r="I716" s="31">
        <v>45839</v>
      </c>
      <c r="J716" s="26">
        <v>2.04</v>
      </c>
      <c r="K716" s="24"/>
      <c r="L716" s="33">
        <f>VLOOKUP(Table20[[#This Row],[Strategy]],Table29[#All],6,FALSE)</f>
        <v>-1</v>
      </c>
      <c r="M716" s="23">
        <v>2</v>
      </c>
      <c r="N716" s="23">
        <v>2.97</v>
      </c>
      <c r="O716" s="23"/>
      <c r="P716" s="23"/>
      <c r="Q716">
        <f>Table20[[#This Row],[Exit1]]*Table20[[#This Row],[ex1_price]]</f>
        <v>5.94</v>
      </c>
      <c r="R716">
        <f>Table20[[#This Row],[Exit2]]*Table20[[#This Row],[ex2_price]]</f>
        <v>0</v>
      </c>
      <c r="S716">
        <f>IFERROR((Table20[[#This Row],[ex2_amnt]]+Table20[[#This Row],[ex1_amnt]])/(Table20[[#This Row],[Exit2]]+Table20[[#This Row],[Exit1]]),0)</f>
        <v>2.97</v>
      </c>
      <c r="T716" s="5">
        <f>(Table20[[#This Row],[Exit1]]+Table20[[#This Row],[Exit2]])*(Table20[[#This Row],[avg_exit_price]]-Table20[[#This Row],[AvePrice]])*100*Table20[[#This Row],[Buy or Sell]]</f>
        <v>186.00000000000003</v>
      </c>
      <c r="U716" s="5">
        <f>Table20[[#This Row],[Number of options]]*Table20[[#This Row],[AvePrice]]*100*Table20[[#This Row],[Buy or Sell]]</f>
        <v>408</v>
      </c>
      <c r="V716" s="8">
        <f>Table20[[#This Row],[Number of options]]-Table20[[#This Row],[Exit1]]-Table20[[#This Row],[Exit2]]</f>
        <v>0</v>
      </c>
      <c r="W716" s="30">
        <f ca="1">(Table20[[#This Row],[Expiration Date]]-TODAY())/365</f>
        <v>-0.72876712328767124</v>
      </c>
      <c r="X716" s="30" t="e">
        <f ca="1">(LN(Table20[[#This Row],[Current Price]]/Table20[[#This Row],[strike_price]]) + ($B$2 + (Table20[[#This Row],[Vol]]^2)/2)*Table20[[#This Row],[Time to expiration]]) / (Table20[[#This Row],[Vol]] * SQRT(Table20[[#This Row],[Time to expiration]]))</f>
        <v>#NUM!</v>
      </c>
      <c r="Y716" s="30" t="e">
        <f ca="1">IF(Table20[[#This Row],[Direction]]&gt;0, _xlfn.NORM.S.DIST(Table20[[#This Row],[d1]], TRUE), _xlfn.NORM.S.DIST(Table20[[#This Row],[d1]], TRUE) - 1) * Table20[[#This Row],[Buy or Sell]]</f>
        <v>#NUM!</v>
      </c>
      <c r="Z716" s="9">
        <f ca="1">Table20[[#This Row],[Remaining]]*Table20[[#This Row],[Current Price]]*100</f>
        <v>0</v>
      </c>
      <c r="AA716" s="22">
        <f ca="1">IFERROR(Table20[[#This Row],[nominal_exposure]]*Table20[[#This Row],[Delta]],0)</f>
        <v>0</v>
      </c>
      <c r="AB716" s="30" t="b">
        <f>IF(Table20[[#This Row],[date_purchased]]&lt;&gt;Table20[[#This Row],[Expiration Date]],FALSE,TRUE)</f>
        <v>0</v>
      </c>
      <c r="AC716" s="30" t="str">
        <f>VLOOKUP(Table20[[#This Row],[Asset]],Table19[#All],3,FALSE)</f>
        <v>AI</v>
      </c>
      <c r="AD716" s="30">
        <f>IF(Table20[[#This Row],[Remaining]]&lt;&gt;0,Table20[[#This Row],[Invested]]*Table20[[#This Row],[Remaining]]/Table20[[#This Row],[Number of options]],0)</f>
        <v>0</v>
      </c>
      <c r="AE716" s="30">
        <f ca="1">SUMIF(Table20[Ticker],Table20[[#This Row],[Ticker]],Table20[realized_profit])</f>
        <v>1567</v>
      </c>
      <c r="AF716" s="30" t="str">
        <f>VLOOKUP(Table20[[#This Row],[Strategy]],Table29[#All],7,FALSE)</f>
        <v>Bearish</v>
      </c>
    </row>
    <row r="717" spans="1:32" hidden="1">
      <c r="A717" s="180">
        <v>45905</v>
      </c>
      <c r="B717" s="21" t="e" vm="135">
        <v>#VALUE!</v>
      </c>
      <c r="C717" s="109" t="str" cm="1">
        <f t="array" aca="1" ref="C717" ca="1">_FV(Table20[[#This Row],[Asset]],"Ticker symbol",TRUE)</f>
        <v>CRM</v>
      </c>
      <c r="D717" s="26" cm="1">
        <f t="array" aca="1" ref="D717" ca="1">_FV(Table20[[#This Row],[Asset]],"Price")</f>
        <v>183.79</v>
      </c>
      <c r="E717" s="26">
        <v>300</v>
      </c>
      <c r="F717" s="33">
        <v>3</v>
      </c>
      <c r="G717" s="34">
        <v>-1</v>
      </c>
      <c r="H717" s="34" t="s">
        <v>115</v>
      </c>
      <c r="I717" s="31">
        <v>45898</v>
      </c>
      <c r="J717" s="26">
        <v>0.83</v>
      </c>
      <c r="K717" s="24">
        <v>1.0968</v>
      </c>
      <c r="L717" s="33">
        <f>VLOOKUP(Table20[[#This Row],[Strategy]],Table29[#All],6,FALSE)</f>
        <v>1</v>
      </c>
      <c r="M717" s="23">
        <v>3</v>
      </c>
      <c r="N717" s="23">
        <v>0</v>
      </c>
      <c r="O717" s="23"/>
      <c r="P717" s="23"/>
      <c r="Q717">
        <f>Table20[[#This Row],[Exit1]]*Table20[[#This Row],[ex1_price]]</f>
        <v>0</v>
      </c>
      <c r="R717">
        <f>Table20[[#This Row],[Exit2]]*Table20[[#This Row],[ex2_price]]</f>
        <v>0</v>
      </c>
      <c r="S717">
        <f>IFERROR((Table20[[#This Row],[ex2_amnt]]+Table20[[#This Row],[ex1_amnt]])/(Table20[[#This Row],[Exit2]]+Table20[[#This Row],[Exit1]]),0)</f>
        <v>0</v>
      </c>
      <c r="T717" s="5">
        <f>(Table20[[#This Row],[Exit1]]+Table20[[#This Row],[Exit2]])*(Table20[[#This Row],[avg_exit_price]]-Table20[[#This Row],[AvePrice]])*100*Table20[[#This Row],[Buy or Sell]]</f>
        <v>248.99999999999997</v>
      </c>
      <c r="U717" s="5">
        <f>Table20[[#This Row],[Number of options]]*Table20[[#This Row],[AvePrice]]*100*Table20[[#This Row],[Buy or Sell]]</f>
        <v>-248.99999999999997</v>
      </c>
      <c r="V717" s="8">
        <f>Table20[[#This Row],[Number of options]]-Table20[[#This Row],[Exit1]]-Table20[[#This Row],[Exit2]]</f>
        <v>0</v>
      </c>
      <c r="W717" s="30">
        <f ca="1">(Table20[[#This Row],[Expiration Date]]-TODAY())/365</f>
        <v>-0.55342465753424652</v>
      </c>
      <c r="X717" s="30" t="e">
        <f ca="1">(LN(Table20[[#This Row],[Current Price]]/Table20[[#This Row],[strike_price]]) + ($B$2 + (Table20[[#This Row],[Vol]]^2)/2)*Table20[[#This Row],[Time to expiration]]) / (Table20[[#This Row],[Vol]] * SQRT(Table20[[#This Row],[Time to expiration]]))</f>
        <v>#NUM!</v>
      </c>
      <c r="Y717" s="30" t="e">
        <f ca="1">IF(Table20[[#This Row],[Direction]]&gt;0, _xlfn.NORM.S.DIST(Table20[[#This Row],[d1]], TRUE), _xlfn.NORM.S.DIST(Table20[[#This Row],[d1]], TRUE) - 1) * Table20[[#This Row],[Buy or Sell]]</f>
        <v>#NUM!</v>
      </c>
      <c r="Z717" s="9">
        <f ca="1">Table20[[#This Row],[Remaining]]*Table20[[#This Row],[Current Price]]*100</f>
        <v>0</v>
      </c>
      <c r="AA717" s="22">
        <f ca="1">IFERROR(Table20[[#This Row],[nominal_exposure]]*Table20[[#This Row],[Delta]],0)</f>
        <v>0</v>
      </c>
      <c r="AB717" s="30" t="b">
        <f>IF(Table20[[#This Row],[date_purchased]]&lt;&gt;Table20[[#This Row],[Expiration Date]],FALSE,TRUE)</f>
        <v>0</v>
      </c>
      <c r="AC717" s="30" t="str">
        <f>VLOOKUP(Table20[[#This Row],[Asset]],Table19[#All],3,FALSE)</f>
        <v>Technology</v>
      </c>
      <c r="AD717" s="30">
        <f>IF(Table20[[#This Row],[Remaining]]&lt;&gt;0,Table20[[#This Row],[Invested]]*Table20[[#This Row],[Remaining]]/Table20[[#This Row],[Number of options]],0)</f>
        <v>0</v>
      </c>
      <c r="AE717" s="30">
        <f ca="1">SUMIF(Table20[Ticker],Table20[[#This Row],[Ticker]],Table20[realized_profit])</f>
        <v>-606</v>
      </c>
      <c r="AF717" s="30" t="str">
        <f>VLOOKUP(Table20[[#This Row],[Strategy]],Table29[#All],7,FALSE)</f>
        <v>Bullish</v>
      </c>
    </row>
    <row r="718" spans="1:32" hidden="1">
      <c r="A718" s="180">
        <v>45919</v>
      </c>
      <c r="B718" s="21" t="e" vm="84">
        <v>#VALUE!</v>
      </c>
      <c r="C718" s="109" t="str" cm="1">
        <f t="array" aca="1" ref="C718" ca="1">_FV(Table20[[#This Row],[Asset]],"Ticker symbol",TRUE)</f>
        <v>COIN</v>
      </c>
      <c r="D718" s="26" cm="1">
        <f t="array" aca="1" ref="D718" ca="1">_FV(Table20[[#This Row],[Asset]],"Price")</f>
        <v>188</v>
      </c>
      <c r="E718" s="26">
        <v>620</v>
      </c>
      <c r="F718" s="33">
        <v>1</v>
      </c>
      <c r="G718" s="34">
        <v>-1</v>
      </c>
      <c r="H718" s="34" t="s">
        <v>115</v>
      </c>
      <c r="I718" s="31">
        <v>45845</v>
      </c>
      <c r="J718" s="26">
        <v>3.26</v>
      </c>
      <c r="K718" s="24">
        <v>0.81369999999999998</v>
      </c>
      <c r="L718" s="33">
        <f>VLOOKUP(Table20[[#This Row],[Strategy]],Table29[#All],6,FALSE)</f>
        <v>1</v>
      </c>
      <c r="M718" s="23">
        <v>1</v>
      </c>
      <c r="N718" s="23">
        <v>0</v>
      </c>
      <c r="O718" s="23"/>
      <c r="P718" s="23"/>
      <c r="Q718">
        <f>Table20[[#This Row],[Exit1]]*Table20[[#This Row],[ex1_price]]</f>
        <v>0</v>
      </c>
      <c r="R718">
        <f>Table20[[#This Row],[Exit2]]*Table20[[#This Row],[ex2_price]]</f>
        <v>0</v>
      </c>
      <c r="S718">
        <f>IFERROR((Table20[[#This Row],[ex2_amnt]]+Table20[[#This Row],[ex1_amnt]])/(Table20[[#This Row],[Exit2]]+Table20[[#This Row],[Exit1]]),0)</f>
        <v>0</v>
      </c>
      <c r="T718" s="5">
        <f>(Table20[[#This Row],[Exit1]]+Table20[[#This Row],[Exit2]])*(Table20[[#This Row],[avg_exit_price]]-Table20[[#This Row],[AvePrice]])*100*Table20[[#This Row],[Buy or Sell]]</f>
        <v>326</v>
      </c>
      <c r="U718" s="5">
        <f>Table20[[#This Row],[Number of options]]*Table20[[#This Row],[AvePrice]]*100*Table20[[#This Row],[Buy or Sell]]</f>
        <v>-326</v>
      </c>
      <c r="V718" s="8">
        <f>Table20[[#This Row],[Number of options]]-Table20[[#This Row],[Exit1]]-Table20[[#This Row],[Exit2]]</f>
        <v>0</v>
      </c>
      <c r="W718" s="30">
        <f ca="1">(Table20[[#This Row],[Expiration Date]]-TODAY())/365</f>
        <v>-0.51506849315068493</v>
      </c>
      <c r="X718" s="30" t="e">
        <f ca="1">(LN(Table20[[#This Row],[Current Price]]/Table20[[#This Row],[strike_price]]) + ($B$2 + (Table20[[#This Row],[Vol]]^2)/2)*Table20[[#This Row],[Time to expiration]]) / (Table20[[#This Row],[Vol]] * SQRT(Table20[[#This Row],[Time to expiration]]))</f>
        <v>#NUM!</v>
      </c>
      <c r="Y718" s="30" t="e">
        <f ca="1">IF(Table20[[#This Row],[Direction]]&gt;0, _xlfn.NORM.S.DIST(Table20[[#This Row],[d1]], TRUE), _xlfn.NORM.S.DIST(Table20[[#This Row],[d1]], TRUE) - 1) * Table20[[#This Row],[Buy or Sell]]</f>
        <v>#NUM!</v>
      </c>
      <c r="Z718" s="9">
        <f ca="1">Table20[[#This Row],[Remaining]]*Table20[[#This Row],[Current Price]]*100</f>
        <v>0</v>
      </c>
      <c r="AA718" s="22">
        <f ca="1">IFERROR(Table20[[#This Row],[nominal_exposure]]*Table20[[#This Row],[Delta]],0)</f>
        <v>0</v>
      </c>
      <c r="AB718" s="30" t="b">
        <f>IF(Table20[[#This Row],[date_purchased]]&lt;&gt;Table20[[#This Row],[Expiration Date]],FALSE,TRUE)</f>
        <v>0</v>
      </c>
      <c r="AC718" s="30" t="str">
        <f>VLOOKUP(Table20[[#This Row],[Asset]],Table19[#All],3,FALSE)</f>
        <v>Financials</v>
      </c>
      <c r="AD718" s="30">
        <f>IF(Table20[[#This Row],[Remaining]]&lt;&gt;0,Table20[[#This Row],[Invested]]*Table20[[#This Row],[Remaining]]/Table20[[#This Row],[Number of options]],0)</f>
        <v>0</v>
      </c>
      <c r="AE718" s="30">
        <f ca="1">SUMIF(Table20[Ticker],Table20[[#This Row],[Ticker]],Table20[realized_profit])</f>
        <v>4035</v>
      </c>
      <c r="AF718" s="30" t="str">
        <f>VLOOKUP(Table20[[#This Row],[Strategy]],Table29[#All],7,FALSE)</f>
        <v>Bullish</v>
      </c>
    </row>
    <row r="719" spans="1:32" hidden="1">
      <c r="A719" s="180">
        <v>45919</v>
      </c>
      <c r="B719" s="21" t="e" vm="163">
        <v>#VALUE!</v>
      </c>
      <c r="C719" s="109" t="str" cm="1">
        <f t="array" aca="1" ref="C719" ca="1">_FV(Table20[[#This Row],[Asset]],"Ticker symbol",TRUE)</f>
        <v>LLY</v>
      </c>
      <c r="D719" s="26" cm="1">
        <f t="array" aca="1" ref="D719" ca="1">_FV(Table20[[#This Row],[Asset]],"Price")</f>
        <v>910.82500000000005</v>
      </c>
      <c r="E719" s="26">
        <v>960</v>
      </c>
      <c r="F719" s="33">
        <v>1</v>
      </c>
      <c r="G719" s="34">
        <v>1</v>
      </c>
      <c r="H719" s="34" t="s">
        <v>115</v>
      </c>
      <c r="I719" s="31">
        <v>45863</v>
      </c>
      <c r="J719" s="26">
        <v>9.6300000000000008</v>
      </c>
      <c r="K719" s="24">
        <v>0.29399999999999998</v>
      </c>
      <c r="L719" s="33">
        <f>VLOOKUP(Table20[[#This Row],[Strategy]],Table29[#All],6,FALSE)</f>
        <v>1</v>
      </c>
      <c r="M719" s="23">
        <v>1</v>
      </c>
      <c r="N719" s="23">
        <v>0</v>
      </c>
      <c r="O719" s="23"/>
      <c r="P719" s="23"/>
      <c r="Q719">
        <f>Table20[[#This Row],[Exit1]]*Table20[[#This Row],[ex1_price]]</f>
        <v>0</v>
      </c>
      <c r="R719">
        <f>Table20[[#This Row],[Exit2]]*Table20[[#This Row],[ex2_price]]</f>
        <v>0</v>
      </c>
      <c r="S719">
        <f>IFERROR((Table20[[#This Row],[ex2_amnt]]+Table20[[#This Row],[ex1_amnt]])/(Table20[[#This Row],[Exit2]]+Table20[[#This Row],[Exit1]]),0)</f>
        <v>0</v>
      </c>
      <c r="T719" s="5">
        <f>(Table20[[#This Row],[Exit1]]+Table20[[#This Row],[Exit2]])*(Table20[[#This Row],[avg_exit_price]]-Table20[[#This Row],[AvePrice]])*100*Table20[[#This Row],[Buy or Sell]]</f>
        <v>-963.00000000000011</v>
      </c>
      <c r="U719" s="5">
        <f>Table20[[#This Row],[Number of options]]*Table20[[#This Row],[AvePrice]]*100*Table20[[#This Row],[Buy or Sell]]</f>
        <v>963.00000000000011</v>
      </c>
      <c r="V719" s="8">
        <f>Table20[[#This Row],[Number of options]]-Table20[[#This Row],[Exit1]]-Table20[[#This Row],[Exit2]]</f>
        <v>0</v>
      </c>
      <c r="W719" s="30">
        <f ca="1">(Table20[[#This Row],[Expiration Date]]-TODAY())/365</f>
        <v>-0.51506849315068493</v>
      </c>
      <c r="X719" s="30" t="e">
        <f ca="1">(LN(Table20[[#This Row],[Current Price]]/Table20[[#This Row],[strike_price]]) + ($B$2 + (Table20[[#This Row],[Vol]]^2)/2)*Table20[[#This Row],[Time to expiration]]) / (Table20[[#This Row],[Vol]] * SQRT(Table20[[#This Row],[Time to expiration]]))</f>
        <v>#NUM!</v>
      </c>
      <c r="Y719" s="30" t="e">
        <f ca="1">IF(Table20[[#This Row],[Direction]]&gt;0, _xlfn.NORM.S.DIST(Table20[[#This Row],[d1]], TRUE), _xlfn.NORM.S.DIST(Table20[[#This Row],[d1]], TRUE) - 1) * Table20[[#This Row],[Buy or Sell]]</f>
        <v>#NUM!</v>
      </c>
      <c r="Z719" s="9">
        <f ca="1">Table20[[#This Row],[Remaining]]*Table20[[#This Row],[Current Price]]*100</f>
        <v>0</v>
      </c>
      <c r="AA719" s="22">
        <f ca="1">IFERROR(Table20[[#This Row],[nominal_exposure]]*Table20[[#This Row],[Delta]],0)</f>
        <v>0</v>
      </c>
      <c r="AB719" s="30" t="b">
        <f>IF(Table20[[#This Row],[date_purchased]]&lt;&gt;Table20[[#This Row],[Expiration Date]],FALSE,TRUE)</f>
        <v>0</v>
      </c>
      <c r="AC719" s="30" t="str">
        <f>VLOOKUP(Table20[[#This Row],[Asset]],Table19[#All],3,FALSE)</f>
        <v>Health Care</v>
      </c>
      <c r="AD719" s="30">
        <f>IF(Table20[[#This Row],[Remaining]]&lt;&gt;0,Table20[[#This Row],[Invested]]*Table20[[#This Row],[Remaining]]/Table20[[#This Row],[Number of options]],0)</f>
        <v>0</v>
      </c>
      <c r="AE719" s="30">
        <f ca="1">SUMIF(Table20[Ticker],Table20[[#This Row],[Ticker]],Table20[realized_profit])</f>
        <v>8506.9999999999982</v>
      </c>
      <c r="AF719" s="30" t="str">
        <f>VLOOKUP(Table20[[#This Row],[Strategy]],Table29[#All],7,FALSE)</f>
        <v>Bullish</v>
      </c>
    </row>
    <row r="720" spans="1:32" hidden="1">
      <c r="A720" s="180">
        <v>45919</v>
      </c>
      <c r="B720" s="21" t="e" vm="84">
        <v>#VALUE!</v>
      </c>
      <c r="C720" s="109" t="str" cm="1">
        <f t="array" aca="1" ref="C720" ca="1">_FV(Table20[[#This Row],[Asset]],"Ticker symbol",TRUE)</f>
        <v>COIN</v>
      </c>
      <c r="D720" s="26" cm="1">
        <f t="array" aca="1" ref="D720" ca="1">_FV(Table20[[#This Row],[Asset]],"Price")</f>
        <v>188</v>
      </c>
      <c r="E720" s="26">
        <v>400</v>
      </c>
      <c r="F720" s="33">
        <v>1</v>
      </c>
      <c r="G720" s="34">
        <v>1</v>
      </c>
      <c r="H720" s="34" t="s">
        <v>114</v>
      </c>
      <c r="I720" s="31">
        <v>45870</v>
      </c>
      <c r="J720" s="26">
        <v>7.27</v>
      </c>
      <c r="K720" s="24">
        <v>0.82</v>
      </c>
      <c r="L720" s="33">
        <f>VLOOKUP(Table20[[#This Row],[Strategy]],Table29[#All],6,FALSE)</f>
        <v>1</v>
      </c>
      <c r="M720" s="23">
        <v>1</v>
      </c>
      <c r="N720" s="23">
        <v>0</v>
      </c>
      <c r="O720" s="23"/>
      <c r="P720" s="23"/>
      <c r="Q720">
        <f>Table20[[#This Row],[Exit1]]*Table20[[#This Row],[ex1_price]]</f>
        <v>0</v>
      </c>
      <c r="R720">
        <f>Table20[[#This Row],[Exit2]]*Table20[[#This Row],[ex2_price]]</f>
        <v>0</v>
      </c>
      <c r="S720">
        <f>IFERROR((Table20[[#This Row],[ex2_amnt]]+Table20[[#This Row],[ex1_amnt]])/(Table20[[#This Row],[Exit2]]+Table20[[#This Row],[Exit1]]),0)</f>
        <v>0</v>
      </c>
      <c r="T720" s="5">
        <f>(Table20[[#This Row],[Exit1]]+Table20[[#This Row],[Exit2]])*(Table20[[#This Row],[avg_exit_price]]-Table20[[#This Row],[AvePrice]])*100*Table20[[#This Row],[Buy or Sell]]</f>
        <v>-727</v>
      </c>
      <c r="U720" s="5">
        <f>Table20[[#This Row],[Number of options]]*Table20[[#This Row],[AvePrice]]*100*Table20[[#This Row],[Buy or Sell]]</f>
        <v>727</v>
      </c>
      <c r="V720" s="8">
        <f>Table20[[#This Row],[Number of options]]-Table20[[#This Row],[Exit1]]-Table20[[#This Row],[Exit2]]</f>
        <v>0</v>
      </c>
      <c r="W720" s="30">
        <f ca="1">(Table20[[#This Row],[Expiration Date]]-TODAY())/365</f>
        <v>-0.51506849315068493</v>
      </c>
      <c r="X720" s="30" t="e">
        <f ca="1">(LN(Table20[[#This Row],[Current Price]]/Table20[[#This Row],[strike_price]]) + ($B$2 + (Table20[[#This Row],[Vol]]^2)/2)*Table20[[#This Row],[Time to expiration]]) / (Table20[[#This Row],[Vol]] * SQRT(Table20[[#This Row],[Time to expiration]]))</f>
        <v>#NUM!</v>
      </c>
      <c r="Y720" s="30" t="e">
        <f ca="1">IF(Table20[[#This Row],[Direction]]&gt;0, _xlfn.NORM.S.DIST(Table20[[#This Row],[d1]], TRUE), _xlfn.NORM.S.DIST(Table20[[#This Row],[d1]], TRUE) - 1) * Table20[[#This Row],[Buy or Sell]]</f>
        <v>#NUM!</v>
      </c>
      <c r="Z720" s="9">
        <f ca="1">Table20[[#This Row],[Remaining]]*Table20[[#This Row],[Current Price]]*100</f>
        <v>0</v>
      </c>
      <c r="AA720" s="22">
        <f ca="1">IFERROR(Table20[[#This Row],[nominal_exposure]]*Table20[[#This Row],[Delta]],0)</f>
        <v>0</v>
      </c>
      <c r="AB720" s="30" t="b">
        <f>IF(Table20[[#This Row],[date_purchased]]&lt;&gt;Table20[[#This Row],[Expiration Date]],FALSE,TRUE)</f>
        <v>0</v>
      </c>
      <c r="AC720" s="30" t="str">
        <f>VLOOKUP(Table20[[#This Row],[Asset]],Table19[#All],3,FALSE)</f>
        <v>Financials</v>
      </c>
      <c r="AD720" s="30">
        <f>IF(Table20[[#This Row],[Remaining]]&lt;&gt;0,Table20[[#This Row],[Invested]]*Table20[[#This Row],[Remaining]]/Table20[[#This Row],[Number of options]],0)</f>
        <v>0</v>
      </c>
      <c r="AE720" s="30">
        <f ca="1">SUMIF(Table20[Ticker],Table20[[#This Row],[Ticker]],Table20[realized_profit])</f>
        <v>4035</v>
      </c>
      <c r="AF720" s="30" t="str">
        <f>VLOOKUP(Table20[[#This Row],[Strategy]],Table29[#All],7,FALSE)</f>
        <v>Bullish</v>
      </c>
    </row>
    <row r="721" spans="1:32" hidden="1">
      <c r="A721" s="180">
        <v>45919</v>
      </c>
      <c r="B721" s="21" t="e" vm="16">
        <v>#VALUE!</v>
      </c>
      <c r="C721" s="109" t="str" cm="1">
        <f t="array" aca="1" ref="C721" ca="1">_FV(Table20[[#This Row],[Asset]],"Ticker symbol",TRUE)</f>
        <v>GOOG</v>
      </c>
      <c r="D721" s="26" cm="1">
        <f t="array" aca="1" ref="D721" ca="1">_FV(Table20[[#This Row],[Asset]],"Price")</f>
        <v>290.39</v>
      </c>
      <c r="E721" s="26">
        <v>210</v>
      </c>
      <c r="F721" s="33">
        <v>3</v>
      </c>
      <c r="G721" s="34">
        <v>1</v>
      </c>
      <c r="H721" s="34" t="s">
        <v>114</v>
      </c>
      <c r="I721" s="31">
        <v>45847</v>
      </c>
      <c r="J721" s="26">
        <v>1.71</v>
      </c>
      <c r="K721" s="24"/>
      <c r="L721" s="33">
        <f>VLOOKUP(Table20[[#This Row],[Strategy]],Table29[#All],6,FALSE)</f>
        <v>1</v>
      </c>
      <c r="M721" s="23">
        <v>3</v>
      </c>
      <c r="N721" s="23">
        <v>3.65</v>
      </c>
      <c r="O721" s="23"/>
      <c r="P721" s="23"/>
      <c r="Q721">
        <f>Table20[[#This Row],[Exit1]]*Table20[[#This Row],[ex1_price]]</f>
        <v>10.95</v>
      </c>
      <c r="R721">
        <f>Table20[[#This Row],[Exit2]]*Table20[[#This Row],[ex2_price]]</f>
        <v>0</v>
      </c>
      <c r="S721">
        <f>IFERROR((Table20[[#This Row],[ex2_amnt]]+Table20[[#This Row],[ex1_amnt]])/(Table20[[#This Row],[Exit2]]+Table20[[#This Row],[Exit1]]),0)</f>
        <v>3.65</v>
      </c>
      <c r="T721" s="5">
        <f>(Table20[[#This Row],[Exit1]]+Table20[[#This Row],[Exit2]])*(Table20[[#This Row],[avg_exit_price]]-Table20[[#This Row],[AvePrice]])*100*Table20[[#This Row],[Buy or Sell]]</f>
        <v>582</v>
      </c>
      <c r="U721" s="5">
        <f>Table20[[#This Row],[Number of options]]*Table20[[#This Row],[AvePrice]]*100*Table20[[#This Row],[Buy or Sell]]</f>
        <v>513</v>
      </c>
      <c r="V721" s="8">
        <f>Table20[[#This Row],[Number of options]]-Table20[[#This Row],[Exit1]]-Table20[[#This Row],[Exit2]]</f>
        <v>0</v>
      </c>
      <c r="W721" s="30">
        <f ca="1">(Table20[[#This Row],[Expiration Date]]-TODAY())/365</f>
        <v>-0.51506849315068493</v>
      </c>
      <c r="X721" s="30" t="e">
        <f ca="1">(LN(Table20[[#This Row],[Current Price]]/Table20[[#This Row],[strike_price]]) + ($B$2 + (Table20[[#This Row],[Vol]]^2)/2)*Table20[[#This Row],[Time to expiration]]) / (Table20[[#This Row],[Vol]] * SQRT(Table20[[#This Row],[Time to expiration]]))</f>
        <v>#NUM!</v>
      </c>
      <c r="Y721" s="30" t="e">
        <f ca="1">IF(Table20[[#This Row],[Direction]]&gt;0, _xlfn.NORM.S.DIST(Table20[[#This Row],[d1]], TRUE), _xlfn.NORM.S.DIST(Table20[[#This Row],[d1]], TRUE) - 1) * Table20[[#This Row],[Buy or Sell]]</f>
        <v>#NUM!</v>
      </c>
      <c r="Z721" s="9">
        <f ca="1">Table20[[#This Row],[Remaining]]*Table20[[#This Row],[Current Price]]*100</f>
        <v>0</v>
      </c>
      <c r="AA721" s="22">
        <f ca="1">IFERROR(Table20[[#This Row],[nominal_exposure]]*Table20[[#This Row],[Delta]],0)</f>
        <v>0</v>
      </c>
      <c r="AB721" s="30" t="b">
        <f>IF(Table20[[#This Row],[date_purchased]]&lt;&gt;Table20[[#This Row],[Expiration Date]],FALSE,TRUE)</f>
        <v>0</v>
      </c>
      <c r="AC721" s="30" t="str">
        <f>VLOOKUP(Table20[[#This Row],[Asset]],Table19[#All],3,FALSE)</f>
        <v>AI</v>
      </c>
      <c r="AD721" s="30">
        <f>IF(Table20[[#This Row],[Remaining]]&lt;&gt;0,Table20[[#This Row],[Invested]]*Table20[[#This Row],[Remaining]]/Table20[[#This Row],[Number of options]],0)</f>
        <v>0</v>
      </c>
      <c r="AE721" s="30">
        <f ca="1">SUMIF(Table20[Ticker],Table20[[#This Row],[Ticker]],Table20[realized_profit])</f>
        <v>4148.03</v>
      </c>
      <c r="AF721" s="30" t="str">
        <f>VLOOKUP(Table20[[#This Row],[Strategy]],Table29[#All],7,FALSE)</f>
        <v>Bullish</v>
      </c>
    </row>
    <row r="722" spans="1:32" hidden="1">
      <c r="A722" s="180">
        <v>45919</v>
      </c>
      <c r="B722" s="21" t="e" vm="16">
        <v>#VALUE!</v>
      </c>
      <c r="C722" s="109" t="str" cm="1">
        <f t="array" aca="1" ref="C722" ca="1">_FV(Table20[[#This Row],[Asset]],"Ticker symbol",TRUE)</f>
        <v>GOOG</v>
      </c>
      <c r="D722" s="26" cm="1">
        <f t="array" aca="1" ref="D722" ca="1">_FV(Table20[[#This Row],[Asset]],"Price")</f>
        <v>290.39</v>
      </c>
      <c r="E722" s="26">
        <v>250</v>
      </c>
      <c r="F722" s="33">
        <v>3</v>
      </c>
      <c r="G722" s="34">
        <v>-1</v>
      </c>
      <c r="H722" s="34" t="s">
        <v>114</v>
      </c>
      <c r="I722" s="31">
        <v>45847</v>
      </c>
      <c r="J722" s="26">
        <v>0.27</v>
      </c>
      <c r="K722" s="24"/>
      <c r="L722" s="33">
        <f>VLOOKUP(Table20[[#This Row],[Strategy]],Table29[#All],6,FALSE)</f>
        <v>1</v>
      </c>
      <c r="M722" s="23">
        <v>3</v>
      </c>
      <c r="N722" s="23">
        <v>0.11</v>
      </c>
      <c r="O722" s="23"/>
      <c r="P722" s="23"/>
      <c r="Q722">
        <f>Table20[[#This Row],[Exit1]]*Table20[[#This Row],[ex1_price]]</f>
        <v>0.33</v>
      </c>
      <c r="R722">
        <f>Table20[[#This Row],[Exit2]]*Table20[[#This Row],[ex2_price]]</f>
        <v>0</v>
      </c>
      <c r="S722">
        <f>IFERROR((Table20[[#This Row],[ex2_amnt]]+Table20[[#This Row],[ex1_amnt]])/(Table20[[#This Row],[Exit2]]+Table20[[#This Row],[Exit1]]),0)</f>
        <v>0.11</v>
      </c>
      <c r="T722" s="5">
        <f>(Table20[[#This Row],[Exit1]]+Table20[[#This Row],[Exit2]])*(Table20[[#This Row],[avg_exit_price]]-Table20[[#This Row],[AvePrice]])*100*Table20[[#This Row],[Buy or Sell]]</f>
        <v>48.000000000000007</v>
      </c>
      <c r="U722" s="5">
        <f>Table20[[#This Row],[Number of options]]*Table20[[#This Row],[AvePrice]]*100*Table20[[#This Row],[Buy or Sell]]</f>
        <v>-81</v>
      </c>
      <c r="V722" s="8">
        <f>Table20[[#This Row],[Number of options]]-Table20[[#This Row],[Exit1]]-Table20[[#This Row],[Exit2]]</f>
        <v>0</v>
      </c>
      <c r="W722" s="30">
        <f ca="1">(Table20[[#This Row],[Expiration Date]]-TODAY())/365</f>
        <v>-0.51506849315068493</v>
      </c>
      <c r="X722" s="30" t="e">
        <f ca="1">(LN(Table20[[#This Row],[Current Price]]/Table20[[#This Row],[strike_price]]) + ($B$2 + (Table20[[#This Row],[Vol]]^2)/2)*Table20[[#This Row],[Time to expiration]]) / (Table20[[#This Row],[Vol]] * SQRT(Table20[[#This Row],[Time to expiration]]))</f>
        <v>#NUM!</v>
      </c>
      <c r="Y722" s="30" t="e">
        <f ca="1">IF(Table20[[#This Row],[Direction]]&gt;0, _xlfn.NORM.S.DIST(Table20[[#This Row],[d1]], TRUE), _xlfn.NORM.S.DIST(Table20[[#This Row],[d1]], TRUE) - 1) * Table20[[#This Row],[Buy or Sell]]</f>
        <v>#NUM!</v>
      </c>
      <c r="Z722" s="9">
        <f ca="1">Table20[[#This Row],[Remaining]]*Table20[[#This Row],[Current Price]]*100</f>
        <v>0</v>
      </c>
      <c r="AA722" s="22">
        <f ca="1">IFERROR(Table20[[#This Row],[nominal_exposure]]*Table20[[#This Row],[Delta]],0)</f>
        <v>0</v>
      </c>
      <c r="AB722" s="30" t="b">
        <f>IF(Table20[[#This Row],[date_purchased]]&lt;&gt;Table20[[#This Row],[Expiration Date]],FALSE,TRUE)</f>
        <v>0</v>
      </c>
      <c r="AC722" s="30" t="str">
        <f>VLOOKUP(Table20[[#This Row],[Asset]],Table19[#All],3,FALSE)</f>
        <v>AI</v>
      </c>
      <c r="AD722" s="30">
        <f>IF(Table20[[#This Row],[Remaining]]&lt;&gt;0,Table20[[#This Row],[Invested]]*Table20[[#This Row],[Remaining]]/Table20[[#This Row],[Number of options]],0)</f>
        <v>0</v>
      </c>
      <c r="AE722" s="30">
        <f ca="1">SUMIF(Table20[Ticker],Table20[[#This Row],[Ticker]],Table20[realized_profit])</f>
        <v>4148.03</v>
      </c>
      <c r="AF722" s="30" t="str">
        <f>VLOOKUP(Table20[[#This Row],[Strategy]],Table29[#All],7,FALSE)</f>
        <v>Bullish</v>
      </c>
    </row>
    <row r="723" spans="1:32" hidden="1">
      <c r="A723" s="180">
        <v>46037</v>
      </c>
      <c r="B723" s="21" t="e" vm="566">
        <v>#VALUE!</v>
      </c>
      <c r="C723" s="109" t="str" cm="1">
        <f t="array" aca="1" ref="C723" ca="1">_FV(Table20[[#This Row],[Asset]],"Ticker symbol",TRUE)</f>
        <v>ICLN</v>
      </c>
      <c r="D723" s="26" cm="1">
        <f t="array" aca="1" ref="D723" ca="1">_FV(Table20[[#This Row],[Asset]],"Price")</f>
        <v>18.72</v>
      </c>
      <c r="E723" s="26">
        <v>15</v>
      </c>
      <c r="F723" s="33">
        <v>3</v>
      </c>
      <c r="G723" s="34">
        <v>1</v>
      </c>
      <c r="H723" s="34" t="s">
        <v>113</v>
      </c>
      <c r="I723" s="31">
        <v>45847</v>
      </c>
      <c r="J723" s="26">
        <v>1.1499999999999999</v>
      </c>
      <c r="K723" s="24"/>
      <c r="L723" s="33">
        <f>VLOOKUP(Table20[[#This Row],[Strategy]],Table29[#All],6,FALSE)</f>
        <v>1</v>
      </c>
      <c r="M723" s="23">
        <v>3</v>
      </c>
      <c r="N723" s="23">
        <v>1.3</v>
      </c>
      <c r="O723" s="23"/>
      <c r="P723" s="23"/>
      <c r="Q723">
        <f>Table20[[#This Row],[Exit1]]*Table20[[#This Row],[ex1_price]]</f>
        <v>3.9000000000000004</v>
      </c>
      <c r="R723">
        <f>Table20[[#This Row],[Exit2]]*Table20[[#This Row],[ex2_price]]</f>
        <v>0</v>
      </c>
      <c r="S723">
        <f>IFERROR((Table20[[#This Row],[ex2_amnt]]+Table20[[#This Row],[ex1_amnt]])/(Table20[[#This Row],[Exit2]]+Table20[[#This Row],[Exit1]]),0)</f>
        <v>1.3</v>
      </c>
      <c r="T723" s="5">
        <f>(Table20[[#This Row],[Exit1]]+Table20[[#This Row],[Exit2]])*(Table20[[#This Row],[avg_exit_price]]-Table20[[#This Row],[AvePrice]])*100*Table20[[#This Row],[Buy or Sell]]</f>
        <v>45.000000000000043</v>
      </c>
      <c r="U723" s="5">
        <f>Table20[[#This Row],[Number of options]]*Table20[[#This Row],[AvePrice]]*100*Table20[[#This Row],[Buy or Sell]]</f>
        <v>345</v>
      </c>
      <c r="V723" s="8">
        <f>Table20[[#This Row],[Number of options]]-Table20[[#This Row],[Exit1]]-Table20[[#This Row],[Exit2]]</f>
        <v>0</v>
      </c>
      <c r="W723" s="30">
        <f ca="1">(Table20[[#This Row],[Expiration Date]]-TODAY())/365</f>
        <v>-0.19178082191780821</v>
      </c>
      <c r="X723" s="30" t="e">
        <f ca="1">(LN(Table20[[#This Row],[Current Price]]/Table20[[#This Row],[strike_price]]) + ($B$2 + (Table20[[#This Row],[Vol]]^2)/2)*Table20[[#This Row],[Time to expiration]]) / (Table20[[#This Row],[Vol]] * SQRT(Table20[[#This Row],[Time to expiration]]))</f>
        <v>#NUM!</v>
      </c>
      <c r="Y723" s="30" t="e">
        <f ca="1">IF(Table20[[#This Row],[Direction]]&gt;0, _xlfn.NORM.S.DIST(Table20[[#This Row],[d1]], TRUE), _xlfn.NORM.S.DIST(Table20[[#This Row],[d1]], TRUE) - 1) * Table20[[#This Row],[Buy or Sell]]</f>
        <v>#NUM!</v>
      </c>
      <c r="Z723" s="9">
        <f ca="1">Table20[[#This Row],[Remaining]]*Table20[[#This Row],[Current Price]]*100</f>
        <v>0</v>
      </c>
      <c r="AA723" s="22">
        <f ca="1">IFERROR(Table20[[#This Row],[nominal_exposure]]*Table20[[#This Row],[Delta]],0)</f>
        <v>0</v>
      </c>
      <c r="AB723" s="30" t="b">
        <f>IF(Table20[[#This Row],[date_purchased]]&lt;&gt;Table20[[#This Row],[Expiration Date]],FALSE,TRUE)</f>
        <v>0</v>
      </c>
      <c r="AC723" s="30" t="str">
        <f>VLOOKUP(Table20[[#This Row],[Asset]],Table19[#All],3,FALSE)</f>
        <v>Energy</v>
      </c>
      <c r="AD723" s="30">
        <f>IF(Table20[[#This Row],[Remaining]]&lt;&gt;0,Table20[[#This Row],[Invested]]*Table20[[#This Row],[Remaining]]/Table20[[#This Row],[Number of options]],0)</f>
        <v>0</v>
      </c>
      <c r="AE723" s="30">
        <f ca="1">SUMIF(Table20[Ticker],Table20[[#This Row],[Ticker]],Table20[realized_profit])</f>
        <v>45.000000000000043</v>
      </c>
      <c r="AF723" s="30" t="str">
        <f>VLOOKUP(Table20[[#This Row],[Strategy]],Table29[#All],7,FALSE)</f>
        <v>Bullish</v>
      </c>
    </row>
    <row r="724" spans="1:32" hidden="1">
      <c r="A724" s="180">
        <v>45884</v>
      </c>
      <c r="B724" s="21" t="e" vm="12">
        <v>#VALUE!</v>
      </c>
      <c r="C724" s="109" t="str" cm="1">
        <f t="array" aca="1" ref="C724" ca="1">_FV(Table20[[#This Row],[Asset]],"Ticker symbol",TRUE)</f>
        <v>TER</v>
      </c>
      <c r="D724" s="26" cm="1">
        <f t="array" aca="1" ref="D724" ca="1">_FV(Table20[[#This Row],[Asset]],"Price")</f>
        <v>323.45999999999998</v>
      </c>
      <c r="E724" s="26">
        <v>110</v>
      </c>
      <c r="F724" s="33">
        <v>1</v>
      </c>
      <c r="G724" s="34">
        <v>1</v>
      </c>
      <c r="H724" s="34" t="s">
        <v>113</v>
      </c>
      <c r="I724" s="31">
        <v>45848</v>
      </c>
      <c r="J724" s="26">
        <v>2.76</v>
      </c>
      <c r="K724" s="24"/>
      <c r="L724" s="33">
        <f>VLOOKUP(Table20[[#This Row],[Strategy]],Table29[#All],6,FALSE)</f>
        <v>1</v>
      </c>
      <c r="M724" s="23">
        <v>1</v>
      </c>
      <c r="N724" s="23">
        <v>0.7</v>
      </c>
      <c r="O724" s="23"/>
      <c r="P724" s="23"/>
      <c r="Q724">
        <f>Table20[[#This Row],[Exit1]]*Table20[[#This Row],[ex1_price]]</f>
        <v>0.7</v>
      </c>
      <c r="R724">
        <f>Table20[[#This Row],[Exit2]]*Table20[[#This Row],[ex2_price]]</f>
        <v>0</v>
      </c>
      <c r="S724">
        <f>IFERROR((Table20[[#This Row],[ex2_amnt]]+Table20[[#This Row],[ex1_amnt]])/(Table20[[#This Row],[Exit2]]+Table20[[#This Row],[Exit1]]),0)</f>
        <v>0.7</v>
      </c>
      <c r="T724" s="5">
        <f>(Table20[[#This Row],[Exit1]]+Table20[[#This Row],[Exit2]])*(Table20[[#This Row],[avg_exit_price]]-Table20[[#This Row],[AvePrice]])*100*Table20[[#This Row],[Buy or Sell]]</f>
        <v>-205.99999999999997</v>
      </c>
      <c r="U724" s="5">
        <f>Table20[[#This Row],[Number of options]]*Table20[[#This Row],[AvePrice]]*100*Table20[[#This Row],[Buy or Sell]]</f>
        <v>276</v>
      </c>
      <c r="V724" s="8">
        <f>Table20[[#This Row],[Number of options]]-Table20[[#This Row],[Exit1]]-Table20[[#This Row],[Exit2]]</f>
        <v>0</v>
      </c>
      <c r="W724" s="30">
        <f ca="1">(Table20[[#This Row],[Expiration Date]]-TODAY())/365</f>
        <v>-0.61095890410958908</v>
      </c>
      <c r="X724" s="30" t="e">
        <f ca="1">(LN(Table20[[#This Row],[Current Price]]/Table20[[#This Row],[strike_price]]) + ($B$2 + (Table20[[#This Row],[Vol]]^2)/2)*Table20[[#This Row],[Time to expiration]]) / (Table20[[#This Row],[Vol]] * SQRT(Table20[[#This Row],[Time to expiration]]))</f>
        <v>#NUM!</v>
      </c>
      <c r="Y724" s="30" t="e">
        <f ca="1">IF(Table20[[#This Row],[Direction]]&gt;0, _xlfn.NORM.S.DIST(Table20[[#This Row],[d1]], TRUE), _xlfn.NORM.S.DIST(Table20[[#This Row],[d1]], TRUE) - 1) * Table20[[#This Row],[Buy or Sell]]</f>
        <v>#NUM!</v>
      </c>
      <c r="Z724" s="9">
        <f ca="1">Table20[[#This Row],[Remaining]]*Table20[[#This Row],[Current Price]]*100</f>
        <v>0</v>
      </c>
      <c r="AA724" s="22">
        <f ca="1">IFERROR(Table20[[#This Row],[nominal_exposure]]*Table20[[#This Row],[Delta]],0)</f>
        <v>0</v>
      </c>
      <c r="AB724" s="30" t="b">
        <f>IF(Table20[[#This Row],[date_purchased]]&lt;&gt;Table20[[#This Row],[Expiration Date]],FALSE,TRUE)</f>
        <v>0</v>
      </c>
      <c r="AC724" s="30" t="str">
        <f>VLOOKUP(Table20[[#This Row],[Asset]],Table19[#All],3,FALSE)</f>
        <v>Robotics</v>
      </c>
      <c r="AD724" s="30">
        <f>IF(Table20[[#This Row],[Remaining]]&lt;&gt;0,Table20[[#This Row],[Invested]]*Table20[[#This Row],[Remaining]]/Table20[[#This Row],[Number of options]],0)</f>
        <v>0</v>
      </c>
      <c r="AE724" s="30">
        <f ca="1">SUMIF(Table20[Ticker],Table20[[#This Row],[Ticker]],Table20[realized_profit])</f>
        <v>3364.0000000000005</v>
      </c>
      <c r="AF724" s="30" t="str">
        <f>VLOOKUP(Table20[[#This Row],[Strategy]],Table29[#All],7,FALSE)</f>
        <v>Bullish</v>
      </c>
    </row>
    <row r="725" spans="1:32" hidden="1">
      <c r="A725" s="180">
        <v>45919</v>
      </c>
      <c r="B725" s="21" t="e" vm="84">
        <v>#VALUE!</v>
      </c>
      <c r="C725" s="109" t="str" cm="1">
        <f t="array" aca="1" ref="C725" ca="1">_FV(Table20[[#This Row],[Asset]],"Ticker symbol",TRUE)</f>
        <v>COIN</v>
      </c>
      <c r="D725" s="26" cm="1">
        <f t="array" aca="1" ref="D725" ca="1">_FV(Table20[[#This Row],[Asset]],"Price")</f>
        <v>188</v>
      </c>
      <c r="E725" s="26">
        <v>450</v>
      </c>
      <c r="F725" s="33">
        <v>1</v>
      </c>
      <c r="G725" s="34">
        <v>-1</v>
      </c>
      <c r="H725" s="34" t="s">
        <v>114</v>
      </c>
      <c r="I725" s="31">
        <v>45870</v>
      </c>
      <c r="J725" s="26">
        <v>2.95</v>
      </c>
      <c r="K725" s="24">
        <v>0.82</v>
      </c>
      <c r="L725" s="33">
        <f>VLOOKUP(Table20[[#This Row],[Strategy]],Table29[#All],6,FALSE)</f>
        <v>1</v>
      </c>
      <c r="M725" s="23">
        <v>1</v>
      </c>
      <c r="N725" s="23">
        <v>0</v>
      </c>
      <c r="O725" s="23"/>
      <c r="P725" s="23"/>
      <c r="Q725">
        <f>Table20[[#This Row],[Exit1]]*Table20[[#This Row],[ex1_price]]</f>
        <v>0</v>
      </c>
      <c r="R725">
        <f>Table20[[#This Row],[Exit2]]*Table20[[#This Row],[ex2_price]]</f>
        <v>0</v>
      </c>
      <c r="S725">
        <f>IFERROR((Table20[[#This Row],[ex2_amnt]]+Table20[[#This Row],[ex1_amnt]])/(Table20[[#This Row],[Exit2]]+Table20[[#This Row],[Exit1]]),0)</f>
        <v>0</v>
      </c>
      <c r="T725" s="5">
        <f>(Table20[[#This Row],[Exit1]]+Table20[[#This Row],[Exit2]])*(Table20[[#This Row],[avg_exit_price]]-Table20[[#This Row],[AvePrice]])*100*Table20[[#This Row],[Buy or Sell]]</f>
        <v>295</v>
      </c>
      <c r="U725" s="5">
        <f>Table20[[#This Row],[Number of options]]*Table20[[#This Row],[AvePrice]]*100*Table20[[#This Row],[Buy or Sell]]</f>
        <v>-295</v>
      </c>
      <c r="V725" s="8">
        <f>Table20[[#This Row],[Number of options]]-Table20[[#This Row],[Exit1]]-Table20[[#This Row],[Exit2]]</f>
        <v>0</v>
      </c>
      <c r="W725" s="30">
        <f ca="1">(Table20[[#This Row],[Expiration Date]]-TODAY())/365</f>
        <v>-0.51506849315068493</v>
      </c>
      <c r="X725" s="30" t="e">
        <f ca="1">(LN(Table20[[#This Row],[Current Price]]/Table20[[#This Row],[strike_price]]) + ($B$2 + (Table20[[#This Row],[Vol]]^2)/2)*Table20[[#This Row],[Time to expiration]]) / (Table20[[#This Row],[Vol]] * SQRT(Table20[[#This Row],[Time to expiration]]))</f>
        <v>#NUM!</v>
      </c>
      <c r="Y725" s="30" t="e">
        <f ca="1">IF(Table20[[#This Row],[Direction]]&gt;0, _xlfn.NORM.S.DIST(Table20[[#This Row],[d1]], TRUE), _xlfn.NORM.S.DIST(Table20[[#This Row],[d1]], TRUE) - 1) * Table20[[#This Row],[Buy or Sell]]</f>
        <v>#NUM!</v>
      </c>
      <c r="Z725" s="9">
        <f ca="1">Table20[[#This Row],[Remaining]]*Table20[[#This Row],[Current Price]]*100</f>
        <v>0</v>
      </c>
      <c r="AA725" s="22">
        <f ca="1">IFERROR(Table20[[#This Row],[nominal_exposure]]*Table20[[#This Row],[Delta]],0)</f>
        <v>0</v>
      </c>
      <c r="AB725" s="30" t="b">
        <f>IF(Table20[[#This Row],[date_purchased]]&lt;&gt;Table20[[#This Row],[Expiration Date]],FALSE,TRUE)</f>
        <v>0</v>
      </c>
      <c r="AC725" s="30" t="str">
        <f>VLOOKUP(Table20[[#This Row],[Asset]],Table19[#All],3,FALSE)</f>
        <v>Financials</v>
      </c>
      <c r="AD725" s="30">
        <f>IF(Table20[[#This Row],[Remaining]]&lt;&gt;0,Table20[[#This Row],[Invested]]*Table20[[#This Row],[Remaining]]/Table20[[#This Row],[Number of options]],0)</f>
        <v>0</v>
      </c>
      <c r="AE725" s="30">
        <f ca="1">SUMIF(Table20[Ticker],Table20[[#This Row],[Ticker]],Table20[realized_profit])</f>
        <v>4035</v>
      </c>
      <c r="AF725" s="30" t="str">
        <f>VLOOKUP(Table20[[#This Row],[Strategy]],Table29[#All],7,FALSE)</f>
        <v>Bullish</v>
      </c>
    </row>
    <row r="726" spans="1:32" hidden="1">
      <c r="A726" s="180">
        <v>45863</v>
      </c>
      <c r="B726" s="21" t="e" vm="96">
        <v>#VALUE!</v>
      </c>
      <c r="C726" s="109" t="str" cm="1">
        <f t="array" aca="1" ref="C726" ca="1">_FV(Table20[[#This Row],[Asset]],"Ticker symbol",TRUE)</f>
        <v>SPY</v>
      </c>
      <c r="D726" s="26" cm="1">
        <f t="array" aca="1" ref="D726" ca="1">_FV(Table20[[#This Row],[Asset]],"Price")</f>
        <v>658.59</v>
      </c>
      <c r="E726" s="26">
        <v>610</v>
      </c>
      <c r="F726" s="33">
        <v>2</v>
      </c>
      <c r="G726" s="34">
        <v>1</v>
      </c>
      <c r="H726" s="34" t="s">
        <v>112</v>
      </c>
      <c r="I726" s="31">
        <v>45852</v>
      </c>
      <c r="J726" s="26">
        <v>3.55</v>
      </c>
      <c r="K726" s="24"/>
      <c r="L726" s="33">
        <f>VLOOKUP(Table20[[#This Row],[Strategy]],Table29[#All],6,FALSE)</f>
        <v>-1</v>
      </c>
      <c r="M726" s="23">
        <v>2</v>
      </c>
      <c r="N726" s="23">
        <v>0.15</v>
      </c>
      <c r="O726" s="23"/>
      <c r="P726" s="23"/>
      <c r="Q726">
        <f>Table20[[#This Row],[Exit1]]*Table20[[#This Row],[ex1_price]]</f>
        <v>0.3</v>
      </c>
      <c r="R726">
        <f>Table20[[#This Row],[Exit2]]*Table20[[#This Row],[ex2_price]]</f>
        <v>0</v>
      </c>
      <c r="S726">
        <f>IFERROR((Table20[[#This Row],[ex2_amnt]]+Table20[[#This Row],[ex1_amnt]])/(Table20[[#This Row],[Exit2]]+Table20[[#This Row],[Exit1]]),0)</f>
        <v>0.15</v>
      </c>
      <c r="T726" s="5">
        <f>(Table20[[#This Row],[Exit1]]+Table20[[#This Row],[Exit2]])*(Table20[[#This Row],[avg_exit_price]]-Table20[[#This Row],[AvePrice]])*100*Table20[[#This Row],[Buy or Sell]]</f>
        <v>-680</v>
      </c>
      <c r="U726" s="5">
        <f>Table20[[#This Row],[Number of options]]*Table20[[#This Row],[AvePrice]]*100*Table20[[#This Row],[Buy or Sell]]</f>
        <v>710</v>
      </c>
      <c r="V726" s="8">
        <f>Table20[[#This Row],[Number of options]]-Table20[[#This Row],[Exit1]]-Table20[[#This Row],[Exit2]]</f>
        <v>0</v>
      </c>
      <c r="W726" s="30">
        <f ca="1">(Table20[[#This Row],[Expiration Date]]-TODAY())/365</f>
        <v>-0.66849315068493154</v>
      </c>
      <c r="X726" s="30" t="e">
        <f ca="1">(LN(Table20[[#This Row],[Current Price]]/Table20[[#This Row],[strike_price]]) + ($B$2 + (Table20[[#This Row],[Vol]]^2)/2)*Table20[[#This Row],[Time to expiration]]) / (Table20[[#This Row],[Vol]] * SQRT(Table20[[#This Row],[Time to expiration]]))</f>
        <v>#NUM!</v>
      </c>
      <c r="Y726" s="30" t="e">
        <f ca="1">IF(Table20[[#This Row],[Direction]]&gt;0, _xlfn.NORM.S.DIST(Table20[[#This Row],[d1]], TRUE), _xlfn.NORM.S.DIST(Table20[[#This Row],[d1]], TRUE) - 1) * Table20[[#This Row],[Buy or Sell]]</f>
        <v>#NUM!</v>
      </c>
      <c r="Z726" s="9">
        <f ca="1">Table20[[#This Row],[Remaining]]*Table20[[#This Row],[Current Price]]*100</f>
        <v>0</v>
      </c>
      <c r="AA726" s="22">
        <f ca="1">IFERROR(Table20[[#This Row],[nominal_exposure]]*Table20[[#This Row],[Delta]],0)</f>
        <v>0</v>
      </c>
      <c r="AB726" s="30" t="b">
        <f>IF(Table20[[#This Row],[date_purchased]]&lt;&gt;Table20[[#This Row],[Expiration Date]],FALSE,TRUE)</f>
        <v>0</v>
      </c>
      <c r="AC726" s="30" t="str">
        <f>VLOOKUP(Table20[[#This Row],[Asset]],Table19[#All],3,FALSE)</f>
        <v>Market</v>
      </c>
      <c r="AD726" s="30">
        <f>IF(Table20[[#This Row],[Remaining]]&lt;&gt;0,Table20[[#This Row],[Invested]]*Table20[[#This Row],[Remaining]]/Table20[[#This Row],[Number of options]],0)</f>
        <v>0</v>
      </c>
      <c r="AE726" s="30">
        <f ca="1">SUMIF(Table20[Ticker],Table20[[#This Row],[Ticker]],Table20[realized_profit])</f>
        <v>-5077</v>
      </c>
      <c r="AF726" s="30" t="str">
        <f>VLOOKUP(Table20[[#This Row],[Strategy]],Table29[#All],7,FALSE)</f>
        <v>Bearish</v>
      </c>
    </row>
    <row r="727" spans="1:32" hidden="1">
      <c r="A727" s="180">
        <v>45863</v>
      </c>
      <c r="B727" s="21" t="e" vm="96">
        <v>#VALUE!</v>
      </c>
      <c r="C727" s="109" t="str" cm="1">
        <f t="array" aca="1" ref="C727" ca="1">_FV(Table20[[#This Row],[Asset]],"Ticker symbol",TRUE)</f>
        <v>SPY</v>
      </c>
      <c r="D727" s="26" cm="1">
        <f t="array" aca="1" ref="D727" ca="1">_FV(Table20[[#This Row],[Asset]],"Price")</f>
        <v>658.59</v>
      </c>
      <c r="E727" s="26">
        <v>620</v>
      </c>
      <c r="F727" s="33">
        <v>2</v>
      </c>
      <c r="G727" s="34">
        <v>-1</v>
      </c>
      <c r="H727" s="34" t="s">
        <v>112</v>
      </c>
      <c r="I727" s="31">
        <v>45852</v>
      </c>
      <c r="J727" s="26">
        <v>1.58</v>
      </c>
      <c r="K727" s="24"/>
      <c r="L727" s="33">
        <f>VLOOKUP(Table20[[#This Row],[Strategy]],Table29[#All],6,FALSE)</f>
        <v>-1</v>
      </c>
      <c r="M727" s="23">
        <v>2</v>
      </c>
      <c r="N727" s="23">
        <v>0.5</v>
      </c>
      <c r="O727" s="23"/>
      <c r="P727" s="23"/>
      <c r="Q727">
        <f>Table20[[#This Row],[Exit1]]*Table20[[#This Row],[ex1_price]]</f>
        <v>1</v>
      </c>
      <c r="R727">
        <f>Table20[[#This Row],[Exit2]]*Table20[[#This Row],[ex2_price]]</f>
        <v>0</v>
      </c>
      <c r="S727">
        <f>IFERROR((Table20[[#This Row],[ex2_amnt]]+Table20[[#This Row],[ex1_amnt]])/(Table20[[#This Row],[Exit2]]+Table20[[#This Row],[Exit1]]),0)</f>
        <v>0.5</v>
      </c>
      <c r="T727" s="5">
        <f>(Table20[[#This Row],[Exit1]]+Table20[[#This Row],[Exit2]])*(Table20[[#This Row],[avg_exit_price]]-Table20[[#This Row],[AvePrice]])*100*Table20[[#This Row],[Buy or Sell]]</f>
        <v>216</v>
      </c>
      <c r="U727" s="5">
        <f>Table20[[#This Row],[Number of options]]*Table20[[#This Row],[AvePrice]]*100*Table20[[#This Row],[Buy or Sell]]</f>
        <v>-316</v>
      </c>
      <c r="V727" s="8">
        <f>Table20[[#This Row],[Number of options]]-Table20[[#This Row],[Exit1]]-Table20[[#This Row],[Exit2]]</f>
        <v>0</v>
      </c>
      <c r="W727" s="30">
        <f ca="1">(Table20[[#This Row],[Expiration Date]]-TODAY())/365</f>
        <v>-0.66849315068493154</v>
      </c>
      <c r="X727" s="30" t="e">
        <f ca="1">(LN(Table20[[#This Row],[Current Price]]/Table20[[#This Row],[strike_price]]) + ($B$2 + (Table20[[#This Row],[Vol]]^2)/2)*Table20[[#This Row],[Time to expiration]]) / (Table20[[#This Row],[Vol]] * SQRT(Table20[[#This Row],[Time to expiration]]))</f>
        <v>#NUM!</v>
      </c>
      <c r="Y727" s="30" t="e">
        <f ca="1">IF(Table20[[#This Row],[Direction]]&gt;0, _xlfn.NORM.S.DIST(Table20[[#This Row],[d1]], TRUE), _xlfn.NORM.S.DIST(Table20[[#This Row],[d1]], TRUE) - 1) * Table20[[#This Row],[Buy or Sell]]</f>
        <v>#NUM!</v>
      </c>
      <c r="Z727" s="9">
        <f ca="1">Table20[[#This Row],[Remaining]]*Table20[[#This Row],[Current Price]]*100</f>
        <v>0</v>
      </c>
      <c r="AA727" s="22">
        <f ca="1">IFERROR(Table20[[#This Row],[nominal_exposure]]*Table20[[#This Row],[Delta]],0)</f>
        <v>0</v>
      </c>
      <c r="AB727" s="30" t="b">
        <f>IF(Table20[[#This Row],[date_purchased]]&lt;&gt;Table20[[#This Row],[Expiration Date]],FALSE,TRUE)</f>
        <v>0</v>
      </c>
      <c r="AC727" s="30" t="str">
        <f>VLOOKUP(Table20[[#This Row],[Asset]],Table19[#All],3,FALSE)</f>
        <v>Market</v>
      </c>
      <c r="AD727" s="30">
        <f>IF(Table20[[#This Row],[Remaining]]&lt;&gt;0,Table20[[#This Row],[Invested]]*Table20[[#This Row],[Remaining]]/Table20[[#This Row],[Number of options]],0)</f>
        <v>0</v>
      </c>
      <c r="AE727" s="30">
        <f ca="1">SUMIF(Table20[Ticker],Table20[[#This Row],[Ticker]],Table20[realized_profit])</f>
        <v>-5077</v>
      </c>
      <c r="AF727" s="30" t="str">
        <f>VLOOKUP(Table20[[#This Row],[Strategy]],Table29[#All],7,FALSE)</f>
        <v>Bearish</v>
      </c>
    </row>
    <row r="728" spans="1:32" hidden="1">
      <c r="A728" s="180">
        <v>45856</v>
      </c>
      <c r="B728" s="21" t="e" vm="96">
        <v>#VALUE!</v>
      </c>
      <c r="C728" s="109" t="str" cm="1">
        <f t="array" aca="1" ref="C728" ca="1">_FV(Table20[[#This Row],[Asset]],"Ticker symbol",TRUE)</f>
        <v>SPY</v>
      </c>
      <c r="D728" s="26" cm="1">
        <f t="array" aca="1" ref="D728" ca="1">_FV(Table20[[#This Row],[Asset]],"Price")</f>
        <v>658.59</v>
      </c>
      <c r="E728" s="26">
        <v>620</v>
      </c>
      <c r="F728" s="33">
        <v>1</v>
      </c>
      <c r="G728" s="34">
        <v>1</v>
      </c>
      <c r="H728" s="34" t="s">
        <v>65</v>
      </c>
      <c r="I728" s="31">
        <v>45852</v>
      </c>
      <c r="J728" s="26">
        <v>1.81</v>
      </c>
      <c r="K728" s="24"/>
      <c r="L728" s="33">
        <f>VLOOKUP(Table20[[#This Row],[Strategy]],Table29[#All],6,FALSE)</f>
        <v>-1</v>
      </c>
      <c r="M728" s="23">
        <v>1</v>
      </c>
      <c r="N728" s="23">
        <v>1.47</v>
      </c>
      <c r="O728" s="23"/>
      <c r="P728" s="23"/>
      <c r="Q728">
        <f>Table20[[#This Row],[Exit1]]*Table20[[#This Row],[ex1_price]]</f>
        <v>1.47</v>
      </c>
      <c r="R728">
        <f>Table20[[#This Row],[Exit2]]*Table20[[#This Row],[ex2_price]]</f>
        <v>0</v>
      </c>
      <c r="S728">
        <f>IFERROR((Table20[[#This Row],[ex2_amnt]]+Table20[[#This Row],[ex1_amnt]])/(Table20[[#This Row],[Exit2]]+Table20[[#This Row],[Exit1]]),0)</f>
        <v>1.47</v>
      </c>
      <c r="T728" s="5">
        <f>(Table20[[#This Row],[Exit1]]+Table20[[#This Row],[Exit2]])*(Table20[[#This Row],[avg_exit_price]]-Table20[[#This Row],[AvePrice]])*100*Table20[[#This Row],[Buy or Sell]]</f>
        <v>-34.000000000000007</v>
      </c>
      <c r="U728" s="5">
        <f>Table20[[#This Row],[Number of options]]*Table20[[#This Row],[AvePrice]]*100*Table20[[#This Row],[Buy or Sell]]</f>
        <v>181</v>
      </c>
      <c r="V728" s="8">
        <f>Table20[[#This Row],[Number of options]]-Table20[[#This Row],[Exit1]]-Table20[[#This Row],[Exit2]]</f>
        <v>0</v>
      </c>
      <c r="W728" s="30">
        <f ca="1">(Table20[[#This Row],[Expiration Date]]-TODAY())/365</f>
        <v>-0.68767123287671228</v>
      </c>
      <c r="X728" s="30" t="e">
        <f ca="1">(LN(Table20[[#This Row],[Current Price]]/Table20[[#This Row],[strike_price]]) + ($B$2 + (Table20[[#This Row],[Vol]]^2)/2)*Table20[[#This Row],[Time to expiration]]) / (Table20[[#This Row],[Vol]] * SQRT(Table20[[#This Row],[Time to expiration]]))</f>
        <v>#NUM!</v>
      </c>
      <c r="Y728" s="30" t="e">
        <f ca="1">IF(Table20[[#This Row],[Direction]]&gt;0, _xlfn.NORM.S.DIST(Table20[[#This Row],[d1]], TRUE), _xlfn.NORM.S.DIST(Table20[[#This Row],[d1]], TRUE) - 1) * Table20[[#This Row],[Buy or Sell]]</f>
        <v>#NUM!</v>
      </c>
      <c r="Z728" s="9">
        <f ca="1">Table20[[#This Row],[Remaining]]*Table20[[#This Row],[Current Price]]*100</f>
        <v>0</v>
      </c>
      <c r="AA728" s="22">
        <f ca="1">IFERROR(Table20[[#This Row],[nominal_exposure]]*Table20[[#This Row],[Delta]],0)</f>
        <v>0</v>
      </c>
      <c r="AB728" s="30" t="b">
        <f>IF(Table20[[#This Row],[date_purchased]]&lt;&gt;Table20[[#This Row],[Expiration Date]],FALSE,TRUE)</f>
        <v>0</v>
      </c>
      <c r="AC728" s="30" t="str">
        <f>VLOOKUP(Table20[[#This Row],[Asset]],Table19[#All],3,FALSE)</f>
        <v>Market</v>
      </c>
      <c r="AD728" s="30">
        <f>IF(Table20[[#This Row],[Remaining]]&lt;&gt;0,Table20[[#This Row],[Invested]]*Table20[[#This Row],[Remaining]]/Table20[[#This Row],[Number of options]],0)</f>
        <v>0</v>
      </c>
      <c r="AE728" s="30">
        <f ca="1">SUMIF(Table20[Ticker],Table20[[#This Row],[Ticker]],Table20[realized_profit])</f>
        <v>-5077</v>
      </c>
      <c r="AF728" s="30" t="str">
        <f>VLOOKUP(Table20[[#This Row],[Strategy]],Table29[#All],7,FALSE)</f>
        <v>Bearish</v>
      </c>
    </row>
    <row r="729" spans="1:32" hidden="1">
      <c r="A729" s="180">
        <v>45856</v>
      </c>
      <c r="B729" s="21" t="e" vm="63">
        <v>#VALUE!</v>
      </c>
      <c r="C729" s="109" t="str" cm="1">
        <f t="array" aca="1" ref="C729" ca="1">_FV(Table20[[#This Row],[Asset]],"Ticker symbol",TRUE)</f>
        <v>TSLA</v>
      </c>
      <c r="D729" s="26" cm="1">
        <f t="array" aca="1" ref="D729" ca="1">_FV(Table20[[#This Row],[Asset]],"Price")</f>
        <v>394.5401</v>
      </c>
      <c r="E729" s="26">
        <v>300</v>
      </c>
      <c r="F729" s="33">
        <v>1</v>
      </c>
      <c r="G729" s="34">
        <v>1</v>
      </c>
      <c r="H729" s="34" t="s">
        <v>65</v>
      </c>
      <c r="I729" s="31">
        <v>45853</v>
      </c>
      <c r="J729" s="26">
        <v>0.81</v>
      </c>
      <c r="K729" s="24"/>
      <c r="L729" s="33">
        <f>VLOOKUP(Table20[[#This Row],[Strategy]],Table29[#All],6,FALSE)</f>
        <v>-1</v>
      </c>
      <c r="M729" s="23">
        <v>1</v>
      </c>
      <c r="N729" s="23">
        <v>0.61</v>
      </c>
      <c r="O729" s="23"/>
      <c r="P729" s="23"/>
      <c r="Q729">
        <f>Table20[[#This Row],[Exit1]]*Table20[[#This Row],[ex1_price]]</f>
        <v>0.61</v>
      </c>
      <c r="R729">
        <f>Table20[[#This Row],[Exit2]]*Table20[[#This Row],[ex2_price]]</f>
        <v>0</v>
      </c>
      <c r="S729">
        <f>IFERROR((Table20[[#This Row],[ex2_amnt]]+Table20[[#This Row],[ex1_amnt]])/(Table20[[#This Row],[Exit2]]+Table20[[#This Row],[Exit1]]),0)</f>
        <v>0.61</v>
      </c>
      <c r="T729" s="5">
        <f>(Table20[[#This Row],[Exit1]]+Table20[[#This Row],[Exit2]])*(Table20[[#This Row],[avg_exit_price]]-Table20[[#This Row],[AvePrice]])*100*Table20[[#This Row],[Buy or Sell]]</f>
        <v>-20.000000000000007</v>
      </c>
      <c r="U729" s="5">
        <f>Table20[[#This Row],[Number of options]]*Table20[[#This Row],[AvePrice]]*100*Table20[[#This Row],[Buy or Sell]]</f>
        <v>81</v>
      </c>
      <c r="V729" s="8">
        <f>Table20[[#This Row],[Number of options]]-Table20[[#This Row],[Exit1]]-Table20[[#This Row],[Exit2]]</f>
        <v>0</v>
      </c>
      <c r="W729" s="30">
        <f ca="1">(Table20[[#This Row],[Expiration Date]]-TODAY())/365</f>
        <v>-0.68767123287671228</v>
      </c>
      <c r="X729" s="30" t="e">
        <f ca="1">(LN(Table20[[#This Row],[Current Price]]/Table20[[#This Row],[strike_price]]) + ($B$2 + (Table20[[#This Row],[Vol]]^2)/2)*Table20[[#This Row],[Time to expiration]]) / (Table20[[#This Row],[Vol]] * SQRT(Table20[[#This Row],[Time to expiration]]))</f>
        <v>#NUM!</v>
      </c>
      <c r="Y729" s="30" t="e">
        <f ca="1">IF(Table20[[#This Row],[Direction]]&gt;0, _xlfn.NORM.S.DIST(Table20[[#This Row],[d1]], TRUE), _xlfn.NORM.S.DIST(Table20[[#This Row],[d1]], TRUE) - 1) * Table20[[#This Row],[Buy or Sell]]</f>
        <v>#NUM!</v>
      </c>
      <c r="Z729" s="9">
        <f ca="1">Table20[[#This Row],[Remaining]]*Table20[[#This Row],[Current Price]]*100</f>
        <v>0</v>
      </c>
      <c r="AA729" s="22">
        <f ca="1">IFERROR(Table20[[#This Row],[nominal_exposure]]*Table20[[#This Row],[Delta]],0)</f>
        <v>0</v>
      </c>
      <c r="AB729" s="30" t="b">
        <f>IF(Table20[[#This Row],[date_purchased]]&lt;&gt;Table20[[#This Row],[Expiration Date]],FALSE,TRUE)</f>
        <v>0</v>
      </c>
      <c r="AC729" s="30" t="str">
        <f>VLOOKUP(Table20[[#This Row],[Asset]],Table19[#All],3,FALSE)</f>
        <v>Auto</v>
      </c>
      <c r="AD729" s="30">
        <f>IF(Table20[[#This Row],[Remaining]]&lt;&gt;0,Table20[[#This Row],[Invested]]*Table20[[#This Row],[Remaining]]/Table20[[#This Row],[Number of options]],0)</f>
        <v>0</v>
      </c>
      <c r="AE729" s="30">
        <f ca="1">SUMIF(Table20[Ticker],Table20[[#This Row],[Ticker]],Table20[realized_profit])</f>
        <v>4153</v>
      </c>
      <c r="AF729" s="30" t="str">
        <f>VLOOKUP(Table20[[#This Row],[Strategy]],Table29[#All],7,FALSE)</f>
        <v>Bearish</v>
      </c>
    </row>
    <row r="730" spans="1:32" hidden="1">
      <c r="A730" s="180">
        <v>45863</v>
      </c>
      <c r="B730" s="21" t="e" vm="30">
        <v>#VALUE!</v>
      </c>
      <c r="C730" s="109" t="str" cm="1">
        <f t="array" aca="1" ref="C730" ca="1">_FV(Table20[[#This Row],[Asset]],"Ticker symbol",TRUE)</f>
        <v>NBIS</v>
      </c>
      <c r="D730" s="26" cm="1">
        <f t="array" aca="1" ref="D730" ca="1">_FV(Table20[[#This Row],[Asset]],"Price")</f>
        <v>116.395</v>
      </c>
      <c r="E730" s="26">
        <v>60</v>
      </c>
      <c r="F730" s="33">
        <v>2</v>
      </c>
      <c r="G730" s="34">
        <v>1</v>
      </c>
      <c r="H730" s="34" t="s">
        <v>113</v>
      </c>
      <c r="I730" s="31">
        <v>45853</v>
      </c>
      <c r="J730" s="26">
        <v>1.1499999999999999</v>
      </c>
      <c r="K730" s="24"/>
      <c r="L730" s="33">
        <f>VLOOKUP(Table20[[#This Row],[Strategy]],Table29[#All],6,FALSE)</f>
        <v>1</v>
      </c>
      <c r="M730" s="23">
        <v>2</v>
      </c>
      <c r="N730" s="23">
        <v>0.01</v>
      </c>
      <c r="O730" s="23"/>
      <c r="P730" s="23"/>
      <c r="Q730">
        <f>Table20[[#This Row],[Exit1]]*Table20[[#This Row],[ex1_price]]</f>
        <v>0.02</v>
      </c>
      <c r="R730">
        <f>Table20[[#This Row],[Exit2]]*Table20[[#This Row],[ex2_price]]</f>
        <v>0</v>
      </c>
      <c r="S730">
        <f>IFERROR((Table20[[#This Row],[ex2_amnt]]+Table20[[#This Row],[ex1_amnt]])/(Table20[[#This Row],[Exit2]]+Table20[[#This Row],[Exit1]]),0)</f>
        <v>0.01</v>
      </c>
      <c r="T730" s="5">
        <f>(Table20[[#This Row],[Exit1]]+Table20[[#This Row],[Exit2]])*(Table20[[#This Row],[avg_exit_price]]-Table20[[#This Row],[AvePrice]])*100*Table20[[#This Row],[Buy or Sell]]</f>
        <v>-227.99999999999997</v>
      </c>
      <c r="U730" s="5">
        <f>Table20[[#This Row],[Number of options]]*Table20[[#This Row],[AvePrice]]*100*Table20[[#This Row],[Buy or Sell]]</f>
        <v>229.99999999999997</v>
      </c>
      <c r="V730" s="8">
        <f>Table20[[#This Row],[Number of options]]-Table20[[#This Row],[Exit1]]-Table20[[#This Row],[Exit2]]</f>
        <v>0</v>
      </c>
      <c r="W730" s="30">
        <f ca="1">(Table20[[#This Row],[Expiration Date]]-TODAY())/365</f>
        <v>-0.66849315068493154</v>
      </c>
      <c r="X730" s="30" t="e">
        <f ca="1">(LN(Table20[[#This Row],[Current Price]]/Table20[[#This Row],[strike_price]]) + ($B$2 + (Table20[[#This Row],[Vol]]^2)/2)*Table20[[#This Row],[Time to expiration]]) / (Table20[[#This Row],[Vol]] * SQRT(Table20[[#This Row],[Time to expiration]]))</f>
        <v>#NUM!</v>
      </c>
      <c r="Y730" s="30" t="e">
        <f ca="1">IF(Table20[[#This Row],[Direction]]&gt;0, _xlfn.NORM.S.DIST(Table20[[#This Row],[d1]], TRUE), _xlfn.NORM.S.DIST(Table20[[#This Row],[d1]], TRUE) - 1) * Table20[[#This Row],[Buy or Sell]]</f>
        <v>#NUM!</v>
      </c>
      <c r="Z730" s="9">
        <f ca="1">Table20[[#This Row],[Remaining]]*Table20[[#This Row],[Current Price]]*100</f>
        <v>0</v>
      </c>
      <c r="AA730" s="22">
        <f ca="1">IFERROR(Table20[[#This Row],[nominal_exposure]]*Table20[[#This Row],[Delta]],0)</f>
        <v>0</v>
      </c>
      <c r="AB730" s="30" t="b">
        <f>IF(Table20[[#This Row],[date_purchased]]&lt;&gt;Table20[[#This Row],[Expiration Date]],FALSE,TRUE)</f>
        <v>0</v>
      </c>
      <c r="AC730" s="30" t="str">
        <f>VLOOKUP(Table20[[#This Row],[Asset]],Table19[#All],3,FALSE)</f>
        <v>AI</v>
      </c>
      <c r="AD730" s="30">
        <f>IF(Table20[[#This Row],[Remaining]]&lt;&gt;0,Table20[[#This Row],[Invested]]*Table20[[#This Row],[Remaining]]/Table20[[#This Row],[Number of options]],0)</f>
        <v>0</v>
      </c>
      <c r="AE730" s="30">
        <f ca="1">SUMIF(Table20[Ticker],Table20[[#This Row],[Ticker]],Table20[realized_profit])</f>
        <v>1008.9999999999998</v>
      </c>
      <c r="AF730" s="30" t="str">
        <f>VLOOKUP(Table20[[#This Row],[Strategy]],Table29[#All],7,FALSE)</f>
        <v>Bullish</v>
      </c>
    </row>
    <row r="731" spans="1:32" hidden="1">
      <c r="A731" s="180">
        <v>45884</v>
      </c>
      <c r="B731" s="21" t="e" vm="12">
        <v>#VALUE!</v>
      </c>
      <c r="C731" s="109" t="str" cm="1">
        <f t="array" aca="1" ref="C731" ca="1">_FV(Table20[[#This Row],[Asset]],"Ticker symbol",TRUE)</f>
        <v>TER</v>
      </c>
      <c r="D731" s="26" cm="1">
        <f t="array" aca="1" ref="D731" ca="1">_FV(Table20[[#This Row],[Asset]],"Price")</f>
        <v>323.45999999999998</v>
      </c>
      <c r="E731" s="26">
        <v>100</v>
      </c>
      <c r="F731" s="33">
        <v>1</v>
      </c>
      <c r="G731" s="34">
        <v>1</v>
      </c>
      <c r="H731" s="34" t="s">
        <v>113</v>
      </c>
      <c r="I731" s="31">
        <v>45854</v>
      </c>
      <c r="J731" s="26">
        <v>2.33</v>
      </c>
      <c r="K731" s="24"/>
      <c r="L731" s="33">
        <f>VLOOKUP(Table20[[#This Row],[Strategy]],Table29[#All],6,FALSE)</f>
        <v>1</v>
      </c>
      <c r="M731" s="23">
        <v>1</v>
      </c>
      <c r="N731" s="23">
        <v>9.65</v>
      </c>
      <c r="O731" s="23"/>
      <c r="P731" s="23"/>
      <c r="Q731">
        <f>Table20[[#This Row],[Exit1]]*Table20[[#This Row],[ex1_price]]</f>
        <v>9.65</v>
      </c>
      <c r="R731">
        <f>Table20[[#This Row],[Exit2]]*Table20[[#This Row],[ex2_price]]</f>
        <v>0</v>
      </c>
      <c r="S731">
        <f>IFERROR((Table20[[#This Row],[ex2_amnt]]+Table20[[#This Row],[ex1_amnt]])/(Table20[[#This Row],[Exit2]]+Table20[[#This Row],[Exit1]]),0)</f>
        <v>9.65</v>
      </c>
      <c r="T731" s="5">
        <f>(Table20[[#This Row],[Exit1]]+Table20[[#This Row],[Exit2]])*(Table20[[#This Row],[avg_exit_price]]-Table20[[#This Row],[AvePrice]])*100*Table20[[#This Row],[Buy or Sell]]</f>
        <v>732</v>
      </c>
      <c r="U731" s="5">
        <f>Table20[[#This Row],[Number of options]]*Table20[[#This Row],[AvePrice]]*100*Table20[[#This Row],[Buy or Sell]]</f>
        <v>233</v>
      </c>
      <c r="V731" s="8">
        <f>Table20[[#This Row],[Number of options]]-Table20[[#This Row],[Exit1]]-Table20[[#This Row],[Exit2]]</f>
        <v>0</v>
      </c>
      <c r="W731" s="30">
        <f ca="1">(Table20[[#This Row],[Expiration Date]]-TODAY())/365</f>
        <v>-0.61095890410958908</v>
      </c>
      <c r="X731" s="30" t="e">
        <f ca="1">(LN(Table20[[#This Row],[Current Price]]/Table20[[#This Row],[strike_price]]) + ($B$2 + (Table20[[#This Row],[Vol]]^2)/2)*Table20[[#This Row],[Time to expiration]]) / (Table20[[#This Row],[Vol]] * SQRT(Table20[[#This Row],[Time to expiration]]))</f>
        <v>#NUM!</v>
      </c>
      <c r="Y731" s="30" t="e">
        <f ca="1">IF(Table20[[#This Row],[Direction]]&gt;0, _xlfn.NORM.S.DIST(Table20[[#This Row],[d1]], TRUE), _xlfn.NORM.S.DIST(Table20[[#This Row],[d1]], TRUE) - 1) * Table20[[#This Row],[Buy or Sell]]</f>
        <v>#NUM!</v>
      </c>
      <c r="Z731" s="9">
        <f ca="1">Table20[[#This Row],[Remaining]]*Table20[[#This Row],[Current Price]]*100</f>
        <v>0</v>
      </c>
      <c r="AA731" s="22">
        <f ca="1">IFERROR(Table20[[#This Row],[nominal_exposure]]*Table20[[#This Row],[Delta]],0)</f>
        <v>0</v>
      </c>
      <c r="AB731" s="30" t="b">
        <f>IF(Table20[[#This Row],[date_purchased]]&lt;&gt;Table20[[#This Row],[Expiration Date]],FALSE,TRUE)</f>
        <v>0</v>
      </c>
      <c r="AC731" s="30" t="str">
        <f>VLOOKUP(Table20[[#This Row],[Asset]],Table19[#All],3,FALSE)</f>
        <v>Robotics</v>
      </c>
      <c r="AD731" s="30">
        <f>IF(Table20[[#This Row],[Remaining]]&lt;&gt;0,Table20[[#This Row],[Invested]]*Table20[[#This Row],[Remaining]]/Table20[[#This Row],[Number of options]],0)</f>
        <v>0</v>
      </c>
      <c r="AE731" s="30">
        <f ca="1">SUMIF(Table20[Ticker],Table20[[#This Row],[Ticker]],Table20[realized_profit])</f>
        <v>3364.0000000000005</v>
      </c>
      <c r="AF731" s="30" t="str">
        <f>VLOOKUP(Table20[[#This Row],[Strategy]],Table29[#All],7,FALSE)</f>
        <v>Bullish</v>
      </c>
    </row>
    <row r="732" spans="1:32" hidden="1">
      <c r="A732" s="180">
        <v>45884</v>
      </c>
      <c r="B732" s="21" t="e" vm="16">
        <v>#VALUE!</v>
      </c>
      <c r="C732" s="109" t="str" cm="1">
        <f t="array" aca="1" ref="C732" ca="1">_FV(Table20[[#This Row],[Asset]],"Ticker symbol",TRUE)</f>
        <v>GOOG</v>
      </c>
      <c r="D732" s="26" cm="1">
        <f t="array" aca="1" ref="D732" ca="1">_FV(Table20[[#This Row],[Asset]],"Price")</f>
        <v>290.39</v>
      </c>
      <c r="E732" s="26">
        <v>200</v>
      </c>
      <c r="F732" s="33">
        <v>1</v>
      </c>
      <c r="G732" s="34">
        <v>1</v>
      </c>
      <c r="H732" s="34" t="s">
        <v>113</v>
      </c>
      <c r="I732" s="31">
        <v>45856</v>
      </c>
      <c r="J732" s="26">
        <v>2.92</v>
      </c>
      <c r="K732" s="24"/>
      <c r="L732" s="33">
        <f>VLOOKUP(Table20[[#This Row],[Strategy]],Table29[#All],6,FALSE)</f>
        <v>1</v>
      </c>
      <c r="M732" s="23">
        <v>1</v>
      </c>
      <c r="N732" s="23">
        <v>5.28</v>
      </c>
      <c r="O732" s="23"/>
      <c r="P732" s="23"/>
      <c r="Q732">
        <f>Table20[[#This Row],[Exit1]]*Table20[[#This Row],[ex1_price]]</f>
        <v>5.28</v>
      </c>
      <c r="R732">
        <f>Table20[[#This Row],[Exit2]]*Table20[[#This Row],[ex2_price]]</f>
        <v>0</v>
      </c>
      <c r="S732">
        <f>IFERROR((Table20[[#This Row],[ex2_amnt]]+Table20[[#This Row],[ex1_amnt]])/(Table20[[#This Row],[Exit2]]+Table20[[#This Row],[Exit1]]),0)</f>
        <v>5.28</v>
      </c>
      <c r="T732" s="5">
        <f>(Table20[[#This Row],[Exit1]]+Table20[[#This Row],[Exit2]])*(Table20[[#This Row],[avg_exit_price]]-Table20[[#This Row],[AvePrice]])*100*Table20[[#This Row],[Buy or Sell]]</f>
        <v>236.00000000000003</v>
      </c>
      <c r="U732" s="5">
        <f>Table20[[#This Row],[Number of options]]*Table20[[#This Row],[AvePrice]]*100*Table20[[#This Row],[Buy or Sell]]</f>
        <v>292</v>
      </c>
      <c r="V732" s="8">
        <f>Table20[[#This Row],[Number of options]]-Table20[[#This Row],[Exit1]]-Table20[[#This Row],[Exit2]]</f>
        <v>0</v>
      </c>
      <c r="W732" s="30">
        <f ca="1">(Table20[[#This Row],[Expiration Date]]-TODAY())/365</f>
        <v>-0.61095890410958908</v>
      </c>
      <c r="X732" s="30" t="e">
        <f ca="1">(LN(Table20[[#This Row],[Current Price]]/Table20[[#This Row],[strike_price]]) + ($B$2 + (Table20[[#This Row],[Vol]]^2)/2)*Table20[[#This Row],[Time to expiration]]) / (Table20[[#This Row],[Vol]] * SQRT(Table20[[#This Row],[Time to expiration]]))</f>
        <v>#NUM!</v>
      </c>
      <c r="Y732" s="30" t="e">
        <f ca="1">IF(Table20[[#This Row],[Direction]]&gt;0, _xlfn.NORM.S.DIST(Table20[[#This Row],[d1]], TRUE), _xlfn.NORM.S.DIST(Table20[[#This Row],[d1]], TRUE) - 1) * Table20[[#This Row],[Buy or Sell]]</f>
        <v>#NUM!</v>
      </c>
      <c r="Z732" s="9">
        <f ca="1">Table20[[#This Row],[Remaining]]*Table20[[#This Row],[Current Price]]*100</f>
        <v>0</v>
      </c>
      <c r="AA732" s="22">
        <f ca="1">IFERROR(Table20[[#This Row],[nominal_exposure]]*Table20[[#This Row],[Delta]],0)</f>
        <v>0</v>
      </c>
      <c r="AB732" s="30" t="b">
        <f>IF(Table20[[#This Row],[date_purchased]]&lt;&gt;Table20[[#This Row],[Expiration Date]],FALSE,TRUE)</f>
        <v>0</v>
      </c>
      <c r="AC732" s="30" t="str">
        <f>VLOOKUP(Table20[[#This Row],[Asset]],Table19[#All],3,FALSE)</f>
        <v>AI</v>
      </c>
      <c r="AD732" s="30">
        <f>IF(Table20[[#This Row],[Remaining]]&lt;&gt;0,Table20[[#This Row],[Invested]]*Table20[[#This Row],[Remaining]]/Table20[[#This Row],[Number of options]],0)</f>
        <v>0</v>
      </c>
      <c r="AE732" s="30">
        <f ca="1">SUMIF(Table20[Ticker],Table20[[#This Row],[Ticker]],Table20[realized_profit])</f>
        <v>4148.03</v>
      </c>
      <c r="AF732" s="30" t="str">
        <f>VLOOKUP(Table20[[#This Row],[Strategy]],Table29[#All],7,FALSE)</f>
        <v>Bullish</v>
      </c>
    </row>
    <row r="733" spans="1:32" hidden="1">
      <c r="A733" s="180">
        <v>45870</v>
      </c>
      <c r="B733" s="21" t="e" vm="148">
        <v>#VALUE!</v>
      </c>
      <c r="C733" s="109" t="str" cm="1">
        <f t="array" aca="1" ref="C733" ca="1">_FV(Table20[[#This Row],[Asset]],"Ticker symbol",TRUE)</f>
        <v>META</v>
      </c>
      <c r="D733" s="26" cm="1">
        <f t="array" aca="1" ref="D733" ca="1">_FV(Table20[[#This Row],[Asset]],"Price")</f>
        <v>599.32000000000005</v>
      </c>
      <c r="E733" s="26">
        <v>750</v>
      </c>
      <c r="F733" s="33">
        <v>1</v>
      </c>
      <c r="G733" s="34">
        <v>-1</v>
      </c>
      <c r="H733" s="34" t="s">
        <v>115</v>
      </c>
      <c r="I733" s="31">
        <v>45856</v>
      </c>
      <c r="J733" s="26">
        <v>9.93</v>
      </c>
      <c r="K733" s="24"/>
      <c r="L733" s="33">
        <f>VLOOKUP(Table20[[#This Row],[Strategy]],Table29[#All],6,FALSE)</f>
        <v>1</v>
      </c>
      <c r="M733" s="23">
        <v>1</v>
      </c>
      <c r="N733" s="23">
        <v>34.76</v>
      </c>
      <c r="O733" s="23"/>
      <c r="P733" s="23"/>
      <c r="Q733">
        <f>Table20[[#This Row],[Exit1]]*Table20[[#This Row],[ex1_price]]</f>
        <v>34.76</v>
      </c>
      <c r="R733">
        <f>Table20[[#This Row],[Exit2]]*Table20[[#This Row],[ex2_price]]</f>
        <v>0</v>
      </c>
      <c r="S733">
        <f>IFERROR((Table20[[#This Row],[ex2_amnt]]+Table20[[#This Row],[ex1_amnt]])/(Table20[[#This Row],[Exit2]]+Table20[[#This Row],[Exit1]]),0)</f>
        <v>34.76</v>
      </c>
      <c r="T733" s="5">
        <f>(Table20[[#This Row],[Exit1]]+Table20[[#This Row],[Exit2]])*(Table20[[#This Row],[avg_exit_price]]-Table20[[#This Row],[AvePrice]])*100*Table20[[#This Row],[Buy or Sell]]</f>
        <v>-2483</v>
      </c>
      <c r="U733" s="5">
        <f>Table20[[#This Row],[Number of options]]*Table20[[#This Row],[AvePrice]]*100*Table20[[#This Row],[Buy or Sell]]</f>
        <v>-993</v>
      </c>
      <c r="V733" s="8">
        <f>Table20[[#This Row],[Number of options]]-Table20[[#This Row],[Exit1]]-Table20[[#This Row],[Exit2]]</f>
        <v>0</v>
      </c>
      <c r="W733" s="30">
        <f ca="1">(Table20[[#This Row],[Expiration Date]]-TODAY())/365</f>
        <v>-0.64931506849315068</v>
      </c>
      <c r="X733" s="30" t="e">
        <f ca="1">(LN(Table20[[#This Row],[Current Price]]/Table20[[#This Row],[strike_price]]) + ($B$2 + (Table20[[#This Row],[Vol]]^2)/2)*Table20[[#This Row],[Time to expiration]]) / (Table20[[#This Row],[Vol]] * SQRT(Table20[[#This Row],[Time to expiration]]))</f>
        <v>#NUM!</v>
      </c>
      <c r="Y733" s="30" t="e">
        <f ca="1">IF(Table20[[#This Row],[Direction]]&gt;0, _xlfn.NORM.S.DIST(Table20[[#This Row],[d1]], TRUE), _xlfn.NORM.S.DIST(Table20[[#This Row],[d1]], TRUE) - 1) * Table20[[#This Row],[Buy or Sell]]</f>
        <v>#NUM!</v>
      </c>
      <c r="Z733" s="9">
        <f ca="1">Table20[[#This Row],[Remaining]]*Table20[[#This Row],[Current Price]]*100</f>
        <v>0</v>
      </c>
      <c r="AA733" s="22">
        <f ca="1">IFERROR(Table20[[#This Row],[nominal_exposure]]*Table20[[#This Row],[Delta]],0)</f>
        <v>0</v>
      </c>
      <c r="AB733" s="30" t="b">
        <f>IF(Table20[[#This Row],[date_purchased]]&lt;&gt;Table20[[#This Row],[Expiration Date]],FALSE,TRUE)</f>
        <v>0</v>
      </c>
      <c r="AC733" s="30" t="str">
        <f>VLOOKUP(Table20[[#This Row],[Asset]],Table19[#All],3,FALSE)</f>
        <v>AI</v>
      </c>
      <c r="AD733" s="30">
        <f>IF(Table20[[#This Row],[Remaining]]&lt;&gt;0,Table20[[#This Row],[Invested]]*Table20[[#This Row],[Remaining]]/Table20[[#This Row],[Number of options]],0)</f>
        <v>0</v>
      </c>
      <c r="AE733" s="30">
        <f ca="1">SUMIF(Table20[Ticker],Table20[[#This Row],[Ticker]],Table20[realized_profit])</f>
        <v>2450</v>
      </c>
      <c r="AF733" s="30" t="str">
        <f>VLOOKUP(Table20[[#This Row],[Strategy]],Table29[#All],7,FALSE)</f>
        <v>Bullish</v>
      </c>
    </row>
    <row r="734" spans="1:32" hidden="1">
      <c r="A734" s="180">
        <v>45884</v>
      </c>
      <c r="B734" s="21" t="e" vm="148">
        <v>#VALUE!</v>
      </c>
      <c r="C734" s="109" t="str" cm="1">
        <f t="array" aca="1" ref="C734" ca="1">_FV(Table20[[#This Row],[Asset]],"Ticker symbol",TRUE)</f>
        <v>META</v>
      </c>
      <c r="D734" s="26" cm="1">
        <f t="array" aca="1" ref="D734" ca="1">_FV(Table20[[#This Row],[Asset]],"Price")</f>
        <v>599.32000000000005</v>
      </c>
      <c r="E734" s="26">
        <v>750</v>
      </c>
      <c r="F734" s="33">
        <v>1</v>
      </c>
      <c r="G734" s="34">
        <v>1</v>
      </c>
      <c r="H734" s="34" t="s">
        <v>115</v>
      </c>
      <c r="I734" s="31">
        <v>45856</v>
      </c>
      <c r="J734" s="26">
        <v>13.56</v>
      </c>
      <c r="K734" s="24"/>
      <c r="L734" s="33">
        <f>VLOOKUP(Table20[[#This Row],[Strategy]],Table29[#All],6,FALSE)</f>
        <v>1</v>
      </c>
      <c r="M734" s="23">
        <v>1</v>
      </c>
      <c r="N734" s="23">
        <v>41.34</v>
      </c>
      <c r="O734" s="23"/>
      <c r="P734" s="23"/>
      <c r="Q734">
        <f>Table20[[#This Row],[Exit1]]*Table20[[#This Row],[ex1_price]]</f>
        <v>41.34</v>
      </c>
      <c r="R734">
        <f>Table20[[#This Row],[Exit2]]*Table20[[#This Row],[ex2_price]]</f>
        <v>0</v>
      </c>
      <c r="S734">
        <f>IFERROR((Table20[[#This Row],[ex2_amnt]]+Table20[[#This Row],[ex1_amnt]])/(Table20[[#This Row],[Exit2]]+Table20[[#This Row],[Exit1]]),0)</f>
        <v>41.34</v>
      </c>
      <c r="T734" s="5">
        <f>(Table20[[#This Row],[Exit1]]+Table20[[#This Row],[Exit2]])*(Table20[[#This Row],[avg_exit_price]]-Table20[[#This Row],[AvePrice]])*100*Table20[[#This Row],[Buy or Sell]]</f>
        <v>2778</v>
      </c>
      <c r="U734" s="5">
        <f>Table20[[#This Row],[Number of options]]*Table20[[#This Row],[AvePrice]]*100*Table20[[#This Row],[Buy or Sell]]</f>
        <v>1356</v>
      </c>
      <c r="V734" s="8">
        <f>Table20[[#This Row],[Number of options]]-Table20[[#This Row],[Exit1]]-Table20[[#This Row],[Exit2]]</f>
        <v>0</v>
      </c>
      <c r="W734" s="30">
        <f ca="1">(Table20[[#This Row],[Expiration Date]]-TODAY())/365</f>
        <v>-0.61095890410958908</v>
      </c>
      <c r="X734" s="30" t="e">
        <f ca="1">(LN(Table20[[#This Row],[Current Price]]/Table20[[#This Row],[strike_price]]) + ($B$2 + (Table20[[#This Row],[Vol]]^2)/2)*Table20[[#This Row],[Time to expiration]]) / (Table20[[#This Row],[Vol]] * SQRT(Table20[[#This Row],[Time to expiration]]))</f>
        <v>#NUM!</v>
      </c>
      <c r="Y734" s="30" t="e">
        <f ca="1">IF(Table20[[#This Row],[Direction]]&gt;0, _xlfn.NORM.S.DIST(Table20[[#This Row],[d1]], TRUE), _xlfn.NORM.S.DIST(Table20[[#This Row],[d1]], TRUE) - 1) * Table20[[#This Row],[Buy or Sell]]</f>
        <v>#NUM!</v>
      </c>
      <c r="Z734" s="9">
        <f ca="1">Table20[[#This Row],[Remaining]]*Table20[[#This Row],[Current Price]]*100</f>
        <v>0</v>
      </c>
      <c r="AA734" s="22">
        <f ca="1">IFERROR(Table20[[#This Row],[nominal_exposure]]*Table20[[#This Row],[Delta]],0)</f>
        <v>0</v>
      </c>
      <c r="AB734" s="30" t="b">
        <f>IF(Table20[[#This Row],[date_purchased]]&lt;&gt;Table20[[#This Row],[Expiration Date]],FALSE,TRUE)</f>
        <v>0</v>
      </c>
      <c r="AC734" s="30" t="str">
        <f>VLOOKUP(Table20[[#This Row],[Asset]],Table19[#All],3,FALSE)</f>
        <v>AI</v>
      </c>
      <c r="AD734" s="30">
        <f>IF(Table20[[#This Row],[Remaining]]&lt;&gt;0,Table20[[#This Row],[Invested]]*Table20[[#This Row],[Remaining]]/Table20[[#This Row],[Number of options]],0)</f>
        <v>0</v>
      </c>
      <c r="AE734" s="30">
        <f ca="1">SUMIF(Table20[Ticker],Table20[[#This Row],[Ticker]],Table20[realized_profit])</f>
        <v>2450</v>
      </c>
      <c r="AF734" s="30" t="str">
        <f>VLOOKUP(Table20[[#This Row],[Strategy]],Table29[#All],7,FALSE)</f>
        <v>Bullish</v>
      </c>
    </row>
    <row r="735" spans="1:32" hidden="1">
      <c r="A735" s="180">
        <v>45919</v>
      </c>
      <c r="B735" s="21" t="e" vm="204">
        <v>#VALUE!</v>
      </c>
      <c r="C735" s="109" t="str" cm="1">
        <f t="array" aca="1" ref="C735" ca="1">_FV(Table20[[#This Row],[Asset]],"Ticker symbol",TRUE)</f>
        <v>CRWV</v>
      </c>
      <c r="D735" s="26" cm="1">
        <f t="array" aca="1" ref="D735" ca="1">_FV(Table20[[#This Row],[Asset]],"Price")</f>
        <v>87.924999999999997</v>
      </c>
      <c r="E735" s="26">
        <v>200</v>
      </c>
      <c r="F735" s="33">
        <v>1</v>
      </c>
      <c r="G735" s="34">
        <v>-1</v>
      </c>
      <c r="H735" s="34" t="s">
        <v>115</v>
      </c>
      <c r="I735" s="31">
        <v>45876</v>
      </c>
      <c r="J735" s="26">
        <v>1.71</v>
      </c>
      <c r="K735" s="24">
        <v>0.97</v>
      </c>
      <c r="L735" s="33">
        <f>VLOOKUP(Table20[[#This Row],[Strategy]],Table29[#All],6,FALSE)</f>
        <v>1</v>
      </c>
      <c r="M735" s="23">
        <v>1</v>
      </c>
      <c r="N735" s="23">
        <v>0.04</v>
      </c>
      <c r="O735" s="23"/>
      <c r="P735" s="23"/>
      <c r="Q735">
        <f>Table20[[#This Row],[Exit1]]*Table20[[#This Row],[ex1_price]]</f>
        <v>0.04</v>
      </c>
      <c r="R735">
        <f>Table20[[#This Row],[Exit2]]*Table20[[#This Row],[ex2_price]]</f>
        <v>0</v>
      </c>
      <c r="S735">
        <f>IFERROR((Table20[[#This Row],[ex2_amnt]]+Table20[[#This Row],[ex1_amnt]])/(Table20[[#This Row],[Exit2]]+Table20[[#This Row],[Exit1]]),0)</f>
        <v>0.04</v>
      </c>
      <c r="T735" s="5">
        <f>(Table20[[#This Row],[Exit1]]+Table20[[#This Row],[Exit2]])*(Table20[[#This Row],[avg_exit_price]]-Table20[[#This Row],[AvePrice]])*100*Table20[[#This Row],[Buy or Sell]]</f>
        <v>167</v>
      </c>
      <c r="U735" s="5">
        <f>Table20[[#This Row],[Number of options]]*Table20[[#This Row],[AvePrice]]*100*Table20[[#This Row],[Buy or Sell]]</f>
        <v>-171</v>
      </c>
      <c r="V735" s="8">
        <f>Table20[[#This Row],[Number of options]]-Table20[[#This Row],[Exit1]]-Table20[[#This Row],[Exit2]]</f>
        <v>0</v>
      </c>
      <c r="W735" s="30">
        <f ca="1">(Table20[[#This Row],[Expiration Date]]-TODAY())/365</f>
        <v>-0.51506849315068493</v>
      </c>
      <c r="X735" s="30" t="e">
        <f ca="1">(LN(Table20[[#This Row],[Current Price]]/Table20[[#This Row],[strike_price]]) + ($B$2 + (Table20[[#This Row],[Vol]]^2)/2)*Table20[[#This Row],[Time to expiration]]) / (Table20[[#This Row],[Vol]] * SQRT(Table20[[#This Row],[Time to expiration]]))</f>
        <v>#NUM!</v>
      </c>
      <c r="Y735" s="30" t="e">
        <f ca="1">IF(Table20[[#This Row],[Direction]]&gt;0, _xlfn.NORM.S.DIST(Table20[[#This Row],[d1]], TRUE), _xlfn.NORM.S.DIST(Table20[[#This Row],[d1]], TRUE) - 1) * Table20[[#This Row],[Buy or Sell]]</f>
        <v>#NUM!</v>
      </c>
      <c r="Z735" s="9">
        <f ca="1">Table20[[#This Row],[Remaining]]*Table20[[#This Row],[Current Price]]*100</f>
        <v>0</v>
      </c>
      <c r="AA735" s="22">
        <f ca="1">IFERROR(Table20[[#This Row],[nominal_exposure]]*Table20[[#This Row],[Delta]],0)</f>
        <v>0</v>
      </c>
      <c r="AB735" s="30" t="b">
        <f>IF(Table20[[#This Row],[date_purchased]]&lt;&gt;Table20[[#This Row],[Expiration Date]],FALSE,TRUE)</f>
        <v>0</v>
      </c>
      <c r="AC735" s="30" t="str">
        <f>VLOOKUP(Table20[[#This Row],[Asset]],Table19[#All],3,FALSE)</f>
        <v>AI</v>
      </c>
      <c r="AD735" s="30">
        <f>IF(Table20[[#This Row],[Remaining]]&lt;&gt;0,Table20[[#This Row],[Invested]]*Table20[[#This Row],[Remaining]]/Table20[[#This Row],[Number of options]],0)</f>
        <v>0</v>
      </c>
      <c r="AE735" s="30">
        <f ca="1">SUMIF(Table20[Ticker],Table20[[#This Row],[Ticker]],Table20[realized_profit])</f>
        <v>652.99999999999989</v>
      </c>
      <c r="AF735" s="30" t="str">
        <f>VLOOKUP(Table20[[#This Row],[Strategy]],Table29[#All],7,FALSE)</f>
        <v>Bullish</v>
      </c>
    </row>
    <row r="736" spans="1:32" hidden="1">
      <c r="A736" s="180">
        <v>45884</v>
      </c>
      <c r="B736" s="21" t="e" vm="163">
        <v>#VALUE!</v>
      </c>
      <c r="C736" s="109" t="str" cm="1">
        <f t="array" aca="1" ref="C736" ca="1">_FV(Table20[[#This Row],[Asset]],"Ticker symbol",TRUE)</f>
        <v>LLY</v>
      </c>
      <c r="D736" s="26" cm="1">
        <f t="array" aca="1" ref="D736" ca="1">_FV(Table20[[#This Row],[Asset]],"Price")</f>
        <v>910.82500000000005</v>
      </c>
      <c r="E736" s="26">
        <v>960</v>
      </c>
      <c r="F736" s="33">
        <v>1</v>
      </c>
      <c r="G736" s="34">
        <v>-1</v>
      </c>
      <c r="H736" s="34" t="s">
        <v>115</v>
      </c>
      <c r="I736" s="31">
        <v>45863</v>
      </c>
      <c r="J736" s="26">
        <v>3.35</v>
      </c>
      <c r="K736" s="24"/>
      <c r="L736" s="33">
        <f>VLOOKUP(Table20[[#This Row],[Strategy]],Table29[#All],6,FALSE)</f>
        <v>1</v>
      </c>
      <c r="M736" s="23">
        <v>1</v>
      </c>
      <c r="N736" s="23">
        <v>0</v>
      </c>
      <c r="O736" s="23"/>
      <c r="P736" s="23"/>
      <c r="Q736">
        <f>Table20[[#This Row],[Exit1]]*Table20[[#This Row],[ex1_price]]</f>
        <v>0</v>
      </c>
      <c r="R736">
        <f>Table20[[#This Row],[Exit2]]*Table20[[#This Row],[ex2_price]]</f>
        <v>0</v>
      </c>
      <c r="S736">
        <f>IFERROR((Table20[[#This Row],[ex2_amnt]]+Table20[[#This Row],[ex1_amnt]])/(Table20[[#This Row],[Exit2]]+Table20[[#This Row],[Exit1]]),0)</f>
        <v>0</v>
      </c>
      <c r="T736" s="5">
        <f>(Table20[[#This Row],[Exit1]]+Table20[[#This Row],[Exit2]])*(Table20[[#This Row],[avg_exit_price]]-Table20[[#This Row],[AvePrice]])*100*Table20[[#This Row],[Buy or Sell]]</f>
        <v>335</v>
      </c>
      <c r="U736" s="5">
        <f>Table20[[#This Row],[Number of options]]*Table20[[#This Row],[AvePrice]]*100*Table20[[#This Row],[Buy or Sell]]</f>
        <v>-335</v>
      </c>
      <c r="V736" s="8">
        <f>Table20[[#This Row],[Number of options]]-Table20[[#This Row],[Exit1]]-Table20[[#This Row],[Exit2]]</f>
        <v>0</v>
      </c>
      <c r="W736" s="30">
        <f ca="1">(Table20[[#This Row],[Expiration Date]]-TODAY())/365</f>
        <v>-0.61095890410958908</v>
      </c>
      <c r="X736" s="30" t="e">
        <f ca="1">(LN(Table20[[#This Row],[Current Price]]/Table20[[#This Row],[strike_price]]) + ($B$2 + (Table20[[#This Row],[Vol]]^2)/2)*Table20[[#This Row],[Time to expiration]]) / (Table20[[#This Row],[Vol]] * SQRT(Table20[[#This Row],[Time to expiration]]))</f>
        <v>#NUM!</v>
      </c>
      <c r="Y736" s="30" t="e">
        <f ca="1">IF(Table20[[#This Row],[Direction]]&gt;0, _xlfn.NORM.S.DIST(Table20[[#This Row],[d1]], TRUE), _xlfn.NORM.S.DIST(Table20[[#This Row],[d1]], TRUE) - 1) * Table20[[#This Row],[Buy or Sell]]</f>
        <v>#NUM!</v>
      </c>
      <c r="Z736" s="9">
        <f ca="1">Table20[[#This Row],[Remaining]]*Table20[[#This Row],[Current Price]]*100</f>
        <v>0</v>
      </c>
      <c r="AA736" s="22">
        <f ca="1">IFERROR(Table20[[#This Row],[nominal_exposure]]*Table20[[#This Row],[Delta]],0)</f>
        <v>0</v>
      </c>
      <c r="AB736" s="30" t="b">
        <f>IF(Table20[[#This Row],[date_purchased]]&lt;&gt;Table20[[#This Row],[Expiration Date]],FALSE,TRUE)</f>
        <v>0</v>
      </c>
      <c r="AC736" s="30" t="str">
        <f>VLOOKUP(Table20[[#This Row],[Asset]],Table19[#All],3,FALSE)</f>
        <v>Health Care</v>
      </c>
      <c r="AD736" s="30">
        <f>IF(Table20[[#This Row],[Remaining]]&lt;&gt;0,Table20[[#This Row],[Invested]]*Table20[[#This Row],[Remaining]]/Table20[[#This Row],[Number of options]],0)</f>
        <v>0</v>
      </c>
      <c r="AE736" s="30">
        <f ca="1">SUMIF(Table20[Ticker],Table20[[#This Row],[Ticker]],Table20[realized_profit])</f>
        <v>8506.9999999999982</v>
      </c>
      <c r="AF736" s="30" t="str">
        <f>VLOOKUP(Table20[[#This Row],[Strategy]],Table29[#All],7,FALSE)</f>
        <v>Bullish</v>
      </c>
    </row>
    <row r="737" spans="1:32" hidden="1">
      <c r="A737" s="180">
        <v>45919</v>
      </c>
      <c r="B737" s="21" t="e" vm="163">
        <v>#VALUE!</v>
      </c>
      <c r="C737" s="109" t="str" cm="1">
        <f t="array" aca="1" ref="C737" ca="1">_FV(Table20[[#This Row],[Asset]],"Ticker symbol",TRUE)</f>
        <v>LLY</v>
      </c>
      <c r="D737" s="26" cm="1">
        <f t="array" aca="1" ref="D737" ca="1">_FV(Table20[[#This Row],[Asset]],"Price")</f>
        <v>910.82500000000005</v>
      </c>
      <c r="E737" s="26">
        <v>720</v>
      </c>
      <c r="F737" s="33">
        <v>1</v>
      </c>
      <c r="G737" s="34">
        <v>1</v>
      </c>
      <c r="H737" s="34" t="s">
        <v>114</v>
      </c>
      <c r="I737" s="31">
        <v>45877</v>
      </c>
      <c r="J737" s="26">
        <v>4.62</v>
      </c>
      <c r="K737" s="24">
        <v>0.3</v>
      </c>
      <c r="L737" s="33">
        <f>VLOOKUP(Table20[[#This Row],[Strategy]],Table29[#All],6,FALSE)</f>
        <v>1</v>
      </c>
      <c r="M737" s="23">
        <v>1</v>
      </c>
      <c r="N737" s="23">
        <v>19.079999999999998</v>
      </c>
      <c r="O737" s="23"/>
      <c r="P737" s="23"/>
      <c r="Q737">
        <f>Table20[[#This Row],[Exit1]]*Table20[[#This Row],[ex1_price]]</f>
        <v>19.079999999999998</v>
      </c>
      <c r="R737">
        <f>Table20[[#This Row],[Exit2]]*Table20[[#This Row],[ex2_price]]</f>
        <v>0</v>
      </c>
      <c r="S737">
        <f>IFERROR((Table20[[#This Row],[ex2_amnt]]+Table20[[#This Row],[ex1_amnt]])/(Table20[[#This Row],[Exit2]]+Table20[[#This Row],[Exit1]]),0)</f>
        <v>19.079999999999998</v>
      </c>
      <c r="T737" s="5">
        <f>(Table20[[#This Row],[Exit1]]+Table20[[#This Row],[Exit2]])*(Table20[[#This Row],[avg_exit_price]]-Table20[[#This Row],[AvePrice]])*100*Table20[[#This Row],[Buy or Sell]]</f>
        <v>1445.9999999999998</v>
      </c>
      <c r="U737" s="5">
        <f>Table20[[#This Row],[Number of options]]*Table20[[#This Row],[AvePrice]]*100*Table20[[#This Row],[Buy or Sell]]</f>
        <v>462</v>
      </c>
      <c r="V737" s="8">
        <f>Table20[[#This Row],[Number of options]]-Table20[[#This Row],[Exit1]]-Table20[[#This Row],[Exit2]]</f>
        <v>0</v>
      </c>
      <c r="W737" s="30">
        <f ca="1">(Table20[[#This Row],[Expiration Date]]-TODAY())/365</f>
        <v>-0.51506849315068493</v>
      </c>
      <c r="X737" s="30" t="e">
        <f ca="1">(LN(Table20[[#This Row],[Current Price]]/Table20[[#This Row],[strike_price]]) + ($B$2 + (Table20[[#This Row],[Vol]]^2)/2)*Table20[[#This Row],[Time to expiration]]) / (Table20[[#This Row],[Vol]] * SQRT(Table20[[#This Row],[Time to expiration]]))</f>
        <v>#NUM!</v>
      </c>
      <c r="Y737" s="30" t="e">
        <f ca="1">IF(Table20[[#This Row],[Direction]]&gt;0, _xlfn.NORM.S.DIST(Table20[[#This Row],[d1]], TRUE), _xlfn.NORM.S.DIST(Table20[[#This Row],[d1]], TRUE) - 1) * Table20[[#This Row],[Buy or Sell]]</f>
        <v>#NUM!</v>
      </c>
      <c r="Z737" s="9">
        <f ca="1">Table20[[#This Row],[Remaining]]*Table20[[#This Row],[Current Price]]*100</f>
        <v>0</v>
      </c>
      <c r="AA737" s="22">
        <f ca="1">IFERROR(Table20[[#This Row],[nominal_exposure]]*Table20[[#This Row],[Delta]],0)</f>
        <v>0</v>
      </c>
      <c r="AB737" s="30" t="b">
        <f>IF(Table20[[#This Row],[date_purchased]]&lt;&gt;Table20[[#This Row],[Expiration Date]],FALSE,TRUE)</f>
        <v>0</v>
      </c>
      <c r="AC737" s="30" t="str">
        <f>VLOOKUP(Table20[[#This Row],[Asset]],Table19[#All],3,FALSE)</f>
        <v>Health Care</v>
      </c>
      <c r="AD737" s="30">
        <f>IF(Table20[[#This Row],[Remaining]]&lt;&gt;0,Table20[[#This Row],[Invested]]*Table20[[#This Row],[Remaining]]/Table20[[#This Row],[Number of options]],0)</f>
        <v>0</v>
      </c>
      <c r="AE737" s="30">
        <f ca="1">SUMIF(Table20[Ticker],Table20[[#This Row],[Ticker]],Table20[realized_profit])</f>
        <v>8506.9999999999982</v>
      </c>
      <c r="AF737" s="30" t="str">
        <f>VLOOKUP(Table20[[#This Row],[Strategy]],Table29[#All],7,FALSE)</f>
        <v>Bullish</v>
      </c>
    </row>
    <row r="738" spans="1:32" hidden="1">
      <c r="A738" s="180">
        <v>45884</v>
      </c>
      <c r="B738" s="21" t="e" vm="16">
        <v>#VALUE!</v>
      </c>
      <c r="C738" s="109" t="str" cm="1">
        <f t="array" aca="1" ref="C738" ca="1">_FV(Table20[[#This Row],[Asset]],"Ticker symbol",TRUE)</f>
        <v>GOOG</v>
      </c>
      <c r="D738" s="26" cm="1">
        <f t="array" aca="1" ref="D738" ca="1">_FV(Table20[[#This Row],[Asset]],"Price")</f>
        <v>290.39</v>
      </c>
      <c r="E738" s="26">
        <v>200</v>
      </c>
      <c r="F738" s="33">
        <v>1</v>
      </c>
      <c r="G738" s="34">
        <v>1</v>
      </c>
      <c r="H738" s="34" t="s">
        <v>113</v>
      </c>
      <c r="I738" s="31">
        <v>45863</v>
      </c>
      <c r="J738" s="26">
        <v>2.85</v>
      </c>
      <c r="K738" s="24"/>
      <c r="L738" s="33">
        <f>VLOOKUP(Table20[[#This Row],[Strategy]],Table29[#All],6,FALSE)</f>
        <v>1</v>
      </c>
      <c r="M738" s="23">
        <v>1</v>
      </c>
      <c r="N738" s="23">
        <v>5.28</v>
      </c>
      <c r="O738" s="23"/>
      <c r="P738" s="23"/>
      <c r="Q738">
        <f>Table20[[#This Row],[Exit1]]*Table20[[#This Row],[ex1_price]]</f>
        <v>5.28</v>
      </c>
      <c r="R738">
        <f>Table20[[#This Row],[Exit2]]*Table20[[#This Row],[ex2_price]]</f>
        <v>0</v>
      </c>
      <c r="S738">
        <f>IFERROR((Table20[[#This Row],[ex2_amnt]]+Table20[[#This Row],[ex1_amnt]])/(Table20[[#This Row],[Exit2]]+Table20[[#This Row],[Exit1]]),0)</f>
        <v>5.28</v>
      </c>
      <c r="T738" s="5">
        <f>(Table20[[#This Row],[Exit1]]+Table20[[#This Row],[Exit2]])*(Table20[[#This Row],[avg_exit_price]]-Table20[[#This Row],[AvePrice]])*100*Table20[[#This Row],[Buy or Sell]]</f>
        <v>243.00000000000003</v>
      </c>
      <c r="U738" s="5">
        <f>Table20[[#This Row],[Number of options]]*Table20[[#This Row],[AvePrice]]*100*Table20[[#This Row],[Buy or Sell]]</f>
        <v>285</v>
      </c>
      <c r="V738" s="8">
        <f>Table20[[#This Row],[Number of options]]-Table20[[#This Row],[Exit1]]-Table20[[#This Row],[Exit2]]</f>
        <v>0</v>
      </c>
      <c r="W738" s="30">
        <f ca="1">(Table20[[#This Row],[Expiration Date]]-TODAY())/365</f>
        <v>-0.61095890410958908</v>
      </c>
      <c r="X738" s="30" t="e">
        <f ca="1">(LN(Table20[[#This Row],[Current Price]]/Table20[[#This Row],[strike_price]]) + ($B$2 + (Table20[[#This Row],[Vol]]^2)/2)*Table20[[#This Row],[Time to expiration]]) / (Table20[[#This Row],[Vol]] * SQRT(Table20[[#This Row],[Time to expiration]]))</f>
        <v>#NUM!</v>
      </c>
      <c r="Y738" s="30" t="e">
        <f ca="1">IF(Table20[[#This Row],[Direction]]&gt;0, _xlfn.NORM.S.DIST(Table20[[#This Row],[d1]], TRUE), _xlfn.NORM.S.DIST(Table20[[#This Row],[d1]], TRUE) - 1) * Table20[[#This Row],[Buy or Sell]]</f>
        <v>#NUM!</v>
      </c>
      <c r="Z738" s="9">
        <f ca="1">Table20[[#This Row],[Remaining]]*Table20[[#This Row],[Current Price]]*100</f>
        <v>0</v>
      </c>
      <c r="AA738" s="22">
        <f ca="1">IFERROR(Table20[[#This Row],[nominal_exposure]]*Table20[[#This Row],[Delta]],0)</f>
        <v>0</v>
      </c>
      <c r="AB738" s="30" t="b">
        <f>IF(Table20[[#This Row],[date_purchased]]&lt;&gt;Table20[[#This Row],[Expiration Date]],FALSE,TRUE)</f>
        <v>0</v>
      </c>
      <c r="AC738" s="30" t="str">
        <f>VLOOKUP(Table20[[#This Row],[Asset]],Table19[#All],3,FALSE)</f>
        <v>AI</v>
      </c>
      <c r="AD738" s="30">
        <f>IF(Table20[[#This Row],[Remaining]]&lt;&gt;0,Table20[[#This Row],[Invested]]*Table20[[#This Row],[Remaining]]/Table20[[#This Row],[Number of options]],0)</f>
        <v>0</v>
      </c>
      <c r="AE738" s="30">
        <f ca="1">SUMIF(Table20[Ticker],Table20[[#This Row],[Ticker]],Table20[realized_profit])</f>
        <v>4148.03</v>
      </c>
      <c r="AF738" s="30" t="str">
        <f>VLOOKUP(Table20[[#This Row],[Strategy]],Table29[#All],7,FALSE)</f>
        <v>Bullish</v>
      </c>
    </row>
    <row r="739" spans="1:32" hidden="1">
      <c r="A739" s="180">
        <v>45919</v>
      </c>
      <c r="B739" s="21" t="e" vm="163">
        <v>#VALUE!</v>
      </c>
      <c r="C739" s="109" t="str" cm="1">
        <f t="array" aca="1" ref="C739" ca="1">_FV(Table20[[#This Row],[Asset]],"Ticker symbol",TRUE)</f>
        <v>LLY</v>
      </c>
      <c r="D739" s="26" cm="1">
        <f t="array" aca="1" ref="D739" ca="1">_FV(Table20[[#This Row],[Asset]],"Price")</f>
        <v>910.82500000000005</v>
      </c>
      <c r="E739" s="26">
        <v>800</v>
      </c>
      <c r="F739" s="33">
        <v>1</v>
      </c>
      <c r="G739" s="34">
        <v>-1</v>
      </c>
      <c r="H739" s="34" t="s">
        <v>114</v>
      </c>
      <c r="I739" s="31">
        <v>45877</v>
      </c>
      <c r="J739" s="26">
        <v>1.17</v>
      </c>
      <c r="K739" s="24">
        <v>0.3</v>
      </c>
      <c r="L739" s="33">
        <f>VLOOKUP(Table20[[#This Row],[Strategy]],Table29[#All],6,FALSE)</f>
        <v>1</v>
      </c>
      <c r="M739" s="23">
        <v>1</v>
      </c>
      <c r="N739" s="23">
        <v>0.85</v>
      </c>
      <c r="O739" s="23"/>
      <c r="P739" s="23"/>
      <c r="Q739">
        <f>Table20[[#This Row],[Exit1]]*Table20[[#This Row],[ex1_price]]</f>
        <v>0.85</v>
      </c>
      <c r="R739">
        <f>Table20[[#This Row],[Exit2]]*Table20[[#This Row],[ex2_price]]</f>
        <v>0</v>
      </c>
      <c r="S739">
        <f>IFERROR((Table20[[#This Row],[ex2_amnt]]+Table20[[#This Row],[ex1_amnt]])/(Table20[[#This Row],[Exit2]]+Table20[[#This Row],[Exit1]]),0)</f>
        <v>0.85</v>
      </c>
      <c r="T739" s="5">
        <f>(Table20[[#This Row],[Exit1]]+Table20[[#This Row],[Exit2]])*(Table20[[#This Row],[avg_exit_price]]-Table20[[#This Row],[AvePrice]])*100*Table20[[#This Row],[Buy or Sell]]</f>
        <v>31.999999999999996</v>
      </c>
      <c r="U739" s="5">
        <f>Table20[[#This Row],[Number of options]]*Table20[[#This Row],[AvePrice]]*100*Table20[[#This Row],[Buy or Sell]]</f>
        <v>-117</v>
      </c>
      <c r="V739" s="8">
        <f>Table20[[#This Row],[Number of options]]-Table20[[#This Row],[Exit1]]-Table20[[#This Row],[Exit2]]</f>
        <v>0</v>
      </c>
      <c r="W739" s="30">
        <f ca="1">(Table20[[#This Row],[Expiration Date]]-TODAY())/365</f>
        <v>-0.51506849315068493</v>
      </c>
      <c r="X739" s="30" t="e">
        <f ca="1">(LN(Table20[[#This Row],[Current Price]]/Table20[[#This Row],[strike_price]]) + ($B$2 + (Table20[[#This Row],[Vol]]^2)/2)*Table20[[#This Row],[Time to expiration]]) / (Table20[[#This Row],[Vol]] * SQRT(Table20[[#This Row],[Time to expiration]]))</f>
        <v>#NUM!</v>
      </c>
      <c r="Y739" s="30" t="e">
        <f ca="1">IF(Table20[[#This Row],[Direction]]&gt;0, _xlfn.NORM.S.DIST(Table20[[#This Row],[d1]], TRUE), _xlfn.NORM.S.DIST(Table20[[#This Row],[d1]], TRUE) - 1) * Table20[[#This Row],[Buy or Sell]]</f>
        <v>#NUM!</v>
      </c>
      <c r="Z739" s="9">
        <f ca="1">Table20[[#This Row],[Remaining]]*Table20[[#This Row],[Current Price]]*100</f>
        <v>0</v>
      </c>
      <c r="AA739" s="22">
        <f ca="1">IFERROR(Table20[[#This Row],[nominal_exposure]]*Table20[[#This Row],[Delta]],0)</f>
        <v>0</v>
      </c>
      <c r="AB739" s="30" t="b">
        <f>IF(Table20[[#This Row],[date_purchased]]&lt;&gt;Table20[[#This Row],[Expiration Date]],FALSE,TRUE)</f>
        <v>0</v>
      </c>
      <c r="AC739" s="30" t="str">
        <f>VLOOKUP(Table20[[#This Row],[Asset]],Table19[#All],3,FALSE)</f>
        <v>Health Care</v>
      </c>
      <c r="AD739" s="30">
        <f>IF(Table20[[#This Row],[Remaining]]&lt;&gt;0,Table20[[#This Row],[Invested]]*Table20[[#This Row],[Remaining]]/Table20[[#This Row],[Number of options]],0)</f>
        <v>0</v>
      </c>
      <c r="AE739" s="30">
        <f ca="1">SUMIF(Table20[Ticker],Table20[[#This Row],[Ticker]],Table20[realized_profit])</f>
        <v>8506.9999999999982</v>
      </c>
      <c r="AF739" s="30" t="str">
        <f>VLOOKUP(Table20[[#This Row],[Strategy]],Table29[#All],7,FALSE)</f>
        <v>Bullish</v>
      </c>
    </row>
    <row r="740" spans="1:32" hidden="1">
      <c r="A740" s="180">
        <v>45870</v>
      </c>
      <c r="B740" s="21" t="e" vm="96">
        <v>#VALUE!</v>
      </c>
      <c r="C740" s="109" t="str" cm="1">
        <f t="array" aca="1" ref="C740" ca="1">_FV(Table20[[#This Row],[Asset]],"Ticker symbol",TRUE)</f>
        <v>SPY</v>
      </c>
      <c r="D740" s="26" cm="1">
        <f t="array" aca="1" ref="D740" ca="1">_FV(Table20[[#This Row],[Asset]],"Price")</f>
        <v>658.59</v>
      </c>
      <c r="E740" s="26">
        <v>640</v>
      </c>
      <c r="F740" s="33">
        <v>2</v>
      </c>
      <c r="G740" s="34">
        <v>1</v>
      </c>
      <c r="H740" s="34" t="s">
        <v>113</v>
      </c>
      <c r="I740" s="31">
        <v>45867</v>
      </c>
      <c r="J740" s="26">
        <v>1.57</v>
      </c>
      <c r="K740" s="24"/>
      <c r="L740" s="33">
        <f>VLOOKUP(Table20[[#This Row],[Strategy]],Table29[#All],6,FALSE)</f>
        <v>1</v>
      </c>
      <c r="M740" s="23">
        <v>2</v>
      </c>
      <c r="N740" s="23">
        <v>0.86</v>
      </c>
      <c r="O740" s="23"/>
      <c r="P740" s="23"/>
      <c r="Q740">
        <f>Table20[[#This Row],[Exit1]]*Table20[[#This Row],[ex1_price]]</f>
        <v>1.72</v>
      </c>
      <c r="R740">
        <f>Table20[[#This Row],[Exit2]]*Table20[[#This Row],[ex2_price]]</f>
        <v>0</v>
      </c>
      <c r="S740">
        <f>IFERROR((Table20[[#This Row],[ex2_amnt]]+Table20[[#This Row],[ex1_amnt]])/(Table20[[#This Row],[Exit2]]+Table20[[#This Row],[Exit1]]),0)</f>
        <v>0.86</v>
      </c>
      <c r="T740" s="5">
        <f>(Table20[[#This Row],[Exit1]]+Table20[[#This Row],[Exit2]])*(Table20[[#This Row],[avg_exit_price]]-Table20[[#This Row],[AvePrice]])*100*Table20[[#This Row],[Buy or Sell]]</f>
        <v>-142.00000000000003</v>
      </c>
      <c r="U740" s="5">
        <f>Table20[[#This Row],[Number of options]]*Table20[[#This Row],[AvePrice]]*100*Table20[[#This Row],[Buy or Sell]]</f>
        <v>314</v>
      </c>
      <c r="V740" s="8">
        <f>Table20[[#This Row],[Number of options]]-Table20[[#This Row],[Exit1]]-Table20[[#This Row],[Exit2]]</f>
        <v>0</v>
      </c>
      <c r="W740" s="30">
        <f ca="1">(Table20[[#This Row],[Expiration Date]]-TODAY())/365</f>
        <v>-0.64931506849315068</v>
      </c>
      <c r="X740" s="30" t="e">
        <f ca="1">(LN(Table20[[#This Row],[Current Price]]/Table20[[#This Row],[strike_price]]) + ($B$2 + (Table20[[#This Row],[Vol]]^2)/2)*Table20[[#This Row],[Time to expiration]]) / (Table20[[#This Row],[Vol]] * SQRT(Table20[[#This Row],[Time to expiration]]))</f>
        <v>#NUM!</v>
      </c>
      <c r="Y740" s="30" t="e">
        <f ca="1">IF(Table20[[#This Row],[Direction]]&gt;0, _xlfn.NORM.S.DIST(Table20[[#This Row],[d1]], TRUE), _xlfn.NORM.S.DIST(Table20[[#This Row],[d1]], TRUE) - 1) * Table20[[#This Row],[Buy or Sell]]</f>
        <v>#NUM!</v>
      </c>
      <c r="Z740" s="9">
        <f ca="1">Table20[[#This Row],[Remaining]]*Table20[[#This Row],[Current Price]]*100</f>
        <v>0</v>
      </c>
      <c r="AA740" s="22">
        <f ca="1">IFERROR(Table20[[#This Row],[nominal_exposure]]*Table20[[#This Row],[Delta]],0)</f>
        <v>0</v>
      </c>
      <c r="AB740" s="30" t="b">
        <f>IF(Table20[[#This Row],[date_purchased]]&lt;&gt;Table20[[#This Row],[Expiration Date]],FALSE,TRUE)</f>
        <v>0</v>
      </c>
      <c r="AC740" s="30" t="str">
        <f>VLOOKUP(Table20[[#This Row],[Asset]],Table19[#All],3,FALSE)</f>
        <v>Market</v>
      </c>
      <c r="AD740" s="30">
        <f>IF(Table20[[#This Row],[Remaining]]&lt;&gt;0,Table20[[#This Row],[Invested]]*Table20[[#This Row],[Remaining]]/Table20[[#This Row],[Number of options]],0)</f>
        <v>0</v>
      </c>
      <c r="AE740" s="30">
        <f ca="1">SUMIF(Table20[Ticker],Table20[[#This Row],[Ticker]],Table20[realized_profit])</f>
        <v>-5077</v>
      </c>
      <c r="AF740" s="30" t="str">
        <f>VLOOKUP(Table20[[#This Row],[Strategy]],Table29[#All],7,FALSE)</f>
        <v>Bullish</v>
      </c>
    </row>
    <row r="741" spans="1:32" hidden="1">
      <c r="A741" s="180">
        <v>45919</v>
      </c>
      <c r="B741" s="21" t="e" vm="139">
        <v>#VALUE!</v>
      </c>
      <c r="C741" s="109" t="str" cm="1">
        <f t="array" aca="1" ref="C741" ca="1">_FV(Table20[[#This Row],[Asset]],"Ticker symbol",TRUE)</f>
        <v>WMT</v>
      </c>
      <c r="D741" s="26" cm="1">
        <f t="array" aca="1" ref="D741" ca="1">_FV(Table20[[#This Row],[Asset]],"Price")</f>
        <v>122.55500000000001</v>
      </c>
      <c r="E741" s="26">
        <v>95</v>
      </c>
      <c r="F741" s="33">
        <v>3</v>
      </c>
      <c r="G741" s="34">
        <v>1</v>
      </c>
      <c r="H741" s="34" t="s">
        <v>65</v>
      </c>
      <c r="I741" s="31">
        <v>45890</v>
      </c>
      <c r="J741" s="26">
        <v>1.18</v>
      </c>
      <c r="K741" s="24">
        <v>0.20330000000000001</v>
      </c>
      <c r="L741" s="33">
        <f>VLOOKUP(Table20[[#This Row],[Strategy]],Table29[#All],6,FALSE)</f>
        <v>-1</v>
      </c>
      <c r="M741" s="23">
        <v>3</v>
      </c>
      <c r="N741" s="23">
        <v>0.45</v>
      </c>
      <c r="O741" s="23"/>
      <c r="P741" s="23"/>
      <c r="Q741">
        <f>Table20[[#This Row],[Exit1]]*Table20[[#This Row],[ex1_price]]</f>
        <v>1.35</v>
      </c>
      <c r="R741">
        <f>Table20[[#This Row],[Exit2]]*Table20[[#This Row],[ex2_price]]</f>
        <v>0</v>
      </c>
      <c r="S741">
        <f>IFERROR((Table20[[#This Row],[ex2_amnt]]+Table20[[#This Row],[ex1_amnt]])/(Table20[[#This Row],[Exit2]]+Table20[[#This Row],[Exit1]]),0)</f>
        <v>0.45</v>
      </c>
      <c r="T741" s="5">
        <f>(Table20[[#This Row],[Exit1]]+Table20[[#This Row],[Exit2]])*(Table20[[#This Row],[avg_exit_price]]-Table20[[#This Row],[AvePrice]])*100*Table20[[#This Row],[Buy or Sell]]</f>
        <v>-219</v>
      </c>
      <c r="U741" s="5">
        <f>Table20[[#This Row],[Number of options]]*Table20[[#This Row],[AvePrice]]*100*Table20[[#This Row],[Buy or Sell]]</f>
        <v>354</v>
      </c>
      <c r="V741" s="8">
        <f>Table20[[#This Row],[Number of options]]-Table20[[#This Row],[Exit1]]-Table20[[#This Row],[Exit2]]</f>
        <v>0</v>
      </c>
      <c r="W741" s="30">
        <f ca="1">(Table20[[#This Row],[Expiration Date]]-TODAY())/365</f>
        <v>-0.51506849315068493</v>
      </c>
      <c r="X741" s="30" t="e">
        <f ca="1">(LN(Table20[[#This Row],[Current Price]]/Table20[[#This Row],[strike_price]]) + ($B$2 + (Table20[[#This Row],[Vol]]^2)/2)*Table20[[#This Row],[Time to expiration]]) / (Table20[[#This Row],[Vol]] * SQRT(Table20[[#This Row],[Time to expiration]]))</f>
        <v>#NUM!</v>
      </c>
      <c r="Y741" s="30" t="e">
        <f ca="1">IF(Table20[[#This Row],[Direction]]&gt;0, _xlfn.NORM.S.DIST(Table20[[#This Row],[d1]], TRUE), _xlfn.NORM.S.DIST(Table20[[#This Row],[d1]], TRUE) - 1) * Table20[[#This Row],[Buy or Sell]]</f>
        <v>#NUM!</v>
      </c>
      <c r="Z741" s="9">
        <f ca="1">Table20[[#This Row],[Remaining]]*Table20[[#This Row],[Current Price]]*100</f>
        <v>0</v>
      </c>
      <c r="AA741" s="22">
        <f ca="1">IFERROR(Table20[[#This Row],[nominal_exposure]]*Table20[[#This Row],[Delta]],0)</f>
        <v>0</v>
      </c>
      <c r="AB741" s="30" t="b">
        <f>IF(Table20[[#This Row],[date_purchased]]&lt;&gt;Table20[[#This Row],[Expiration Date]],FALSE,TRUE)</f>
        <v>0</v>
      </c>
      <c r="AC741" s="30" t="str">
        <f>VLOOKUP(Table20[[#This Row],[Asset]],Table19[#All],3,FALSE)</f>
        <v>Consumer Staples</v>
      </c>
      <c r="AD741" s="30">
        <f>IF(Table20[[#This Row],[Remaining]]&lt;&gt;0,Table20[[#This Row],[Invested]]*Table20[[#This Row],[Remaining]]/Table20[[#This Row],[Number of options]],0)</f>
        <v>0</v>
      </c>
      <c r="AE741" s="30">
        <f ca="1">SUMIF(Table20[Ticker],Table20[[#This Row],[Ticker]],Table20[realized_profit])</f>
        <v>-838.16</v>
      </c>
      <c r="AF741" s="30" t="str">
        <f>VLOOKUP(Table20[[#This Row],[Strategy]],Table29[#All],7,FALSE)</f>
        <v>Bearish</v>
      </c>
    </row>
    <row r="742" spans="1:32" hidden="1">
      <c r="A742" s="180">
        <v>45926</v>
      </c>
      <c r="B742" s="21" t="e" vm="204">
        <v>#VALUE!</v>
      </c>
      <c r="C742" s="109" t="str" cm="1">
        <f t="array" aca="1" ref="C742" ca="1">_FV(Table20[[#This Row],[Asset]],"Ticker symbol",TRUE)</f>
        <v>CRWV</v>
      </c>
      <c r="D742" s="26" cm="1">
        <f t="array" aca="1" ref="D742" ca="1">_FV(Table20[[#This Row],[Asset]],"Price")</f>
        <v>87.924999999999997</v>
      </c>
      <c r="E742" s="26">
        <v>120</v>
      </c>
      <c r="F742" s="33">
        <v>1</v>
      </c>
      <c r="G742" s="34">
        <v>1</v>
      </c>
      <c r="H742" s="34" t="s">
        <v>113</v>
      </c>
      <c r="I742" s="31">
        <v>45891</v>
      </c>
      <c r="J742" s="26">
        <v>2.2400000000000002</v>
      </c>
      <c r="K742" s="24">
        <v>0.8</v>
      </c>
      <c r="L742" s="33">
        <f>VLOOKUP(Table20[[#This Row],[Strategy]],Table29[#All],6,FALSE)</f>
        <v>1</v>
      </c>
      <c r="M742" s="23">
        <v>1</v>
      </c>
      <c r="N742" s="23">
        <v>6.8</v>
      </c>
      <c r="O742" s="23"/>
      <c r="P742" s="23"/>
      <c r="Q742">
        <f>Table20[[#This Row],[Exit1]]*Table20[[#This Row],[ex1_price]]</f>
        <v>6.8</v>
      </c>
      <c r="R742">
        <f>Table20[[#This Row],[Exit2]]*Table20[[#This Row],[ex2_price]]</f>
        <v>0</v>
      </c>
      <c r="S742">
        <f>IFERROR((Table20[[#This Row],[ex2_amnt]]+Table20[[#This Row],[ex1_amnt]])/(Table20[[#This Row],[Exit2]]+Table20[[#This Row],[Exit1]]),0)</f>
        <v>6.8</v>
      </c>
      <c r="T742" s="5">
        <f>(Table20[[#This Row],[Exit1]]+Table20[[#This Row],[Exit2]])*(Table20[[#This Row],[avg_exit_price]]-Table20[[#This Row],[AvePrice]])*100*Table20[[#This Row],[Buy or Sell]]</f>
        <v>455.99999999999994</v>
      </c>
      <c r="U742" s="5">
        <f>Table20[[#This Row],[Number of options]]*Table20[[#This Row],[AvePrice]]*100*Table20[[#This Row],[Buy or Sell]]</f>
        <v>224.00000000000003</v>
      </c>
      <c r="V742" s="8">
        <f>Table20[[#This Row],[Number of options]]-Table20[[#This Row],[Exit1]]-Table20[[#This Row],[Exit2]]</f>
        <v>0</v>
      </c>
      <c r="W742" s="30">
        <f ca="1">(Table20[[#This Row],[Expiration Date]]-TODAY())/365</f>
        <v>-0.49589041095890413</v>
      </c>
      <c r="X742" s="30" t="e">
        <f ca="1">(LN(Table20[[#This Row],[Current Price]]/Table20[[#This Row],[strike_price]]) + ($B$2 + (Table20[[#This Row],[Vol]]^2)/2)*Table20[[#This Row],[Time to expiration]]) / (Table20[[#This Row],[Vol]] * SQRT(Table20[[#This Row],[Time to expiration]]))</f>
        <v>#NUM!</v>
      </c>
      <c r="Y742" s="30" t="e">
        <f ca="1">IF(Table20[[#This Row],[Direction]]&gt;0, _xlfn.NORM.S.DIST(Table20[[#This Row],[d1]], TRUE), _xlfn.NORM.S.DIST(Table20[[#This Row],[d1]], TRUE) - 1) * Table20[[#This Row],[Buy or Sell]]</f>
        <v>#NUM!</v>
      </c>
      <c r="Z742" s="9">
        <f ca="1">Table20[[#This Row],[Remaining]]*Table20[[#This Row],[Current Price]]*100</f>
        <v>0</v>
      </c>
      <c r="AA742" s="22">
        <f ca="1">IFERROR(Table20[[#This Row],[nominal_exposure]]*Table20[[#This Row],[Delta]],0)</f>
        <v>0</v>
      </c>
      <c r="AB742" s="30" t="b">
        <f>IF(Table20[[#This Row],[date_purchased]]&lt;&gt;Table20[[#This Row],[Expiration Date]],FALSE,TRUE)</f>
        <v>0</v>
      </c>
      <c r="AC742" s="30" t="str">
        <f>VLOOKUP(Table20[[#This Row],[Asset]],Table19[#All],3,FALSE)</f>
        <v>AI</v>
      </c>
      <c r="AD742" s="30">
        <f>IF(Table20[[#This Row],[Remaining]]&lt;&gt;0,Table20[[#This Row],[Invested]]*Table20[[#This Row],[Remaining]]/Table20[[#This Row],[Number of options]],0)</f>
        <v>0</v>
      </c>
      <c r="AE742" s="30">
        <f ca="1">SUMIF(Table20[Ticker],Table20[[#This Row],[Ticker]],Table20[realized_profit])</f>
        <v>652.99999999999989</v>
      </c>
      <c r="AF742" s="30" t="str">
        <f>VLOOKUP(Table20[[#This Row],[Strategy]],Table29[#All],7,FALSE)</f>
        <v>Bullish</v>
      </c>
    </row>
    <row r="743" spans="1:32" hidden="1">
      <c r="A743" s="180">
        <v>45926</v>
      </c>
      <c r="B743" s="21" t="e" vm="135">
        <v>#VALUE!</v>
      </c>
      <c r="C743" s="109" t="str" cm="1">
        <f t="array" aca="1" ref="C743" ca="1">_FV(Table20[[#This Row],[Asset]],"Ticker symbol",TRUE)</f>
        <v>CRM</v>
      </c>
      <c r="D743" s="26" cm="1">
        <f t="array" aca="1" ref="D743" ca="1">_FV(Table20[[#This Row],[Asset]],"Price")</f>
        <v>183.79</v>
      </c>
      <c r="E743" s="26">
        <v>300</v>
      </c>
      <c r="F743" s="33">
        <v>3</v>
      </c>
      <c r="G743" s="34">
        <v>1</v>
      </c>
      <c r="H743" s="34" t="s">
        <v>115</v>
      </c>
      <c r="I743" s="31">
        <v>45898</v>
      </c>
      <c r="J743" s="26">
        <v>2.0299999999999998</v>
      </c>
      <c r="K743" s="24">
        <v>1.1000000000000001</v>
      </c>
      <c r="L743" s="33">
        <f>VLOOKUP(Table20[[#This Row],[Strategy]],Table29[#All],6,FALSE)</f>
        <v>1</v>
      </c>
      <c r="M743" s="23">
        <v>3</v>
      </c>
      <c r="N743" s="23">
        <v>0</v>
      </c>
      <c r="O743" s="23"/>
      <c r="P743" s="23"/>
      <c r="Q743">
        <f>Table20[[#This Row],[Exit1]]*Table20[[#This Row],[ex1_price]]</f>
        <v>0</v>
      </c>
      <c r="R743">
        <f>Table20[[#This Row],[Exit2]]*Table20[[#This Row],[ex2_price]]</f>
        <v>0</v>
      </c>
      <c r="S743">
        <f>IFERROR((Table20[[#This Row],[ex2_amnt]]+Table20[[#This Row],[ex1_amnt]])/(Table20[[#This Row],[Exit2]]+Table20[[#This Row],[Exit1]]),0)</f>
        <v>0</v>
      </c>
      <c r="T743" s="5">
        <f>(Table20[[#This Row],[Exit1]]+Table20[[#This Row],[Exit2]])*(Table20[[#This Row],[avg_exit_price]]-Table20[[#This Row],[AvePrice]])*100*Table20[[#This Row],[Buy or Sell]]</f>
        <v>-609</v>
      </c>
      <c r="U743" s="5">
        <f>Table20[[#This Row],[Number of options]]*Table20[[#This Row],[AvePrice]]*100*Table20[[#This Row],[Buy or Sell]]</f>
        <v>609</v>
      </c>
      <c r="V743" s="8">
        <f>Table20[[#This Row],[Number of options]]-Table20[[#This Row],[Exit1]]-Table20[[#This Row],[Exit2]]</f>
        <v>0</v>
      </c>
      <c r="W743" s="30">
        <f ca="1">(Table20[[#This Row],[Expiration Date]]-TODAY())/365</f>
        <v>-0.49589041095890413</v>
      </c>
      <c r="X743" s="30" t="e">
        <f ca="1">(LN(Table20[[#This Row],[Current Price]]/Table20[[#This Row],[strike_price]]) + ($B$2 + (Table20[[#This Row],[Vol]]^2)/2)*Table20[[#This Row],[Time to expiration]]) / (Table20[[#This Row],[Vol]] * SQRT(Table20[[#This Row],[Time to expiration]]))</f>
        <v>#NUM!</v>
      </c>
      <c r="Y743" s="30" t="e">
        <f ca="1">IF(Table20[[#This Row],[Direction]]&gt;0, _xlfn.NORM.S.DIST(Table20[[#This Row],[d1]], TRUE), _xlfn.NORM.S.DIST(Table20[[#This Row],[d1]], TRUE) - 1) * Table20[[#This Row],[Buy or Sell]]</f>
        <v>#NUM!</v>
      </c>
      <c r="Z743" s="9">
        <f ca="1">Table20[[#This Row],[Remaining]]*Table20[[#This Row],[Current Price]]*100</f>
        <v>0</v>
      </c>
      <c r="AA743" s="22">
        <f ca="1">IFERROR(Table20[[#This Row],[nominal_exposure]]*Table20[[#This Row],[Delta]],0)</f>
        <v>0</v>
      </c>
      <c r="AB743" s="30" t="b">
        <f>IF(Table20[[#This Row],[date_purchased]]&lt;&gt;Table20[[#This Row],[Expiration Date]],FALSE,TRUE)</f>
        <v>0</v>
      </c>
      <c r="AC743" s="30" t="str">
        <f>VLOOKUP(Table20[[#This Row],[Asset]],Table19[#All],3,FALSE)</f>
        <v>Technology</v>
      </c>
      <c r="AD743" s="30">
        <f>IF(Table20[[#This Row],[Remaining]]&lt;&gt;0,Table20[[#This Row],[Invested]]*Table20[[#This Row],[Remaining]]/Table20[[#This Row],[Number of options]],0)</f>
        <v>0</v>
      </c>
      <c r="AE743" s="30">
        <f ca="1">SUMIF(Table20[Ticker],Table20[[#This Row],[Ticker]],Table20[realized_profit])</f>
        <v>-606</v>
      </c>
      <c r="AF743" s="30" t="str">
        <f>VLOOKUP(Table20[[#This Row],[Strategy]],Table29[#All],7,FALSE)</f>
        <v>Bullish</v>
      </c>
    </row>
    <row r="744" spans="1:32" hidden="1">
      <c r="A744" s="180">
        <v>45930</v>
      </c>
      <c r="B744" s="21" t="e" vm="96">
        <v>#VALUE!</v>
      </c>
      <c r="C744" s="109" t="str" cm="1">
        <f t="array" aca="1" ref="C744" ca="1">_FV(Table20[[#This Row],[Asset]],"Ticker symbol",TRUE)</f>
        <v>SPY</v>
      </c>
      <c r="D744" s="26" cm="1">
        <f t="array" aca="1" ref="D744" ca="1">_FV(Table20[[#This Row],[Asset]],"Price")</f>
        <v>658.59</v>
      </c>
      <c r="E744" s="26">
        <v>610</v>
      </c>
      <c r="F744" s="33">
        <v>1</v>
      </c>
      <c r="G744" s="34">
        <v>1</v>
      </c>
      <c r="H744" s="34" t="s">
        <v>112</v>
      </c>
      <c r="I744" s="31">
        <v>45869</v>
      </c>
      <c r="J744" s="26">
        <v>5.94</v>
      </c>
      <c r="K744" s="24">
        <v>0.16</v>
      </c>
      <c r="L744" s="33">
        <f>VLOOKUP(Table20[[#This Row],[Strategy]],Table29[#All],6,FALSE)</f>
        <v>-1</v>
      </c>
      <c r="M744" s="23">
        <v>1</v>
      </c>
      <c r="N744" s="23">
        <v>1.8</v>
      </c>
      <c r="O744" s="23"/>
      <c r="P744" s="23"/>
      <c r="Q744">
        <f>Table20[[#This Row],[Exit1]]*Table20[[#This Row],[ex1_price]]</f>
        <v>1.8</v>
      </c>
      <c r="R744">
        <f>Table20[[#This Row],[Exit2]]*Table20[[#This Row],[ex2_price]]</f>
        <v>0</v>
      </c>
      <c r="S744">
        <f>IFERROR((Table20[[#This Row],[ex2_amnt]]+Table20[[#This Row],[ex1_amnt]])/(Table20[[#This Row],[Exit2]]+Table20[[#This Row],[Exit1]]),0)</f>
        <v>1.8</v>
      </c>
      <c r="T744" s="5">
        <f>(Table20[[#This Row],[Exit1]]+Table20[[#This Row],[Exit2]])*(Table20[[#This Row],[avg_exit_price]]-Table20[[#This Row],[AvePrice]])*100*Table20[[#This Row],[Buy or Sell]]</f>
        <v>-414.00000000000006</v>
      </c>
      <c r="U744" s="5">
        <f>Table20[[#This Row],[Number of options]]*Table20[[#This Row],[AvePrice]]*100*Table20[[#This Row],[Buy or Sell]]</f>
        <v>594</v>
      </c>
      <c r="V744" s="8">
        <f>Table20[[#This Row],[Number of options]]-Table20[[#This Row],[Exit1]]-Table20[[#This Row],[Exit2]]</f>
        <v>0</v>
      </c>
      <c r="W744" s="30">
        <f ca="1">(Table20[[#This Row],[Expiration Date]]-TODAY())/365</f>
        <v>-0.48493150684931507</v>
      </c>
      <c r="X744" s="30" t="e">
        <f ca="1">(LN(Table20[[#This Row],[Current Price]]/Table20[[#This Row],[strike_price]]) + ($B$2 + (Table20[[#This Row],[Vol]]^2)/2)*Table20[[#This Row],[Time to expiration]]) / (Table20[[#This Row],[Vol]] * SQRT(Table20[[#This Row],[Time to expiration]]))</f>
        <v>#NUM!</v>
      </c>
      <c r="Y744" s="30" t="e">
        <f ca="1">IF(Table20[[#This Row],[Direction]]&gt;0, _xlfn.NORM.S.DIST(Table20[[#This Row],[d1]], TRUE), _xlfn.NORM.S.DIST(Table20[[#This Row],[d1]], TRUE) - 1) * Table20[[#This Row],[Buy or Sell]]</f>
        <v>#NUM!</v>
      </c>
      <c r="Z744" s="9">
        <f ca="1">Table20[[#This Row],[Remaining]]*Table20[[#This Row],[Current Price]]*100</f>
        <v>0</v>
      </c>
      <c r="AA744" s="22">
        <f ca="1">IFERROR(Table20[[#This Row],[nominal_exposure]]*Table20[[#This Row],[Delta]],0)</f>
        <v>0</v>
      </c>
      <c r="AB744" s="30" t="b">
        <f>IF(Table20[[#This Row],[date_purchased]]&lt;&gt;Table20[[#This Row],[Expiration Date]],FALSE,TRUE)</f>
        <v>0</v>
      </c>
      <c r="AC744" s="30" t="str">
        <f>VLOOKUP(Table20[[#This Row],[Asset]],Table19[#All],3,FALSE)</f>
        <v>Market</v>
      </c>
      <c r="AD744" s="30">
        <f>IF(Table20[[#This Row],[Remaining]]&lt;&gt;0,Table20[[#This Row],[Invested]]*Table20[[#This Row],[Remaining]]/Table20[[#This Row],[Number of options]],0)</f>
        <v>0</v>
      </c>
      <c r="AE744" s="30">
        <f ca="1">SUMIF(Table20[Ticker],Table20[[#This Row],[Ticker]],Table20[realized_profit])</f>
        <v>-5077</v>
      </c>
      <c r="AF744" s="30" t="str">
        <f>VLOOKUP(Table20[[#This Row],[Strategy]],Table29[#All],7,FALSE)</f>
        <v>Bearish</v>
      </c>
    </row>
    <row r="745" spans="1:32" hidden="1">
      <c r="A745" s="180">
        <v>45930</v>
      </c>
      <c r="B745" s="21" t="e" vm="96">
        <v>#VALUE!</v>
      </c>
      <c r="C745" s="109" t="str" cm="1">
        <f t="array" aca="1" ref="C745" ca="1">_FV(Table20[[#This Row],[Asset]],"Ticker symbol",TRUE)</f>
        <v>SPY</v>
      </c>
      <c r="D745" s="26" cm="1">
        <f t="array" aca="1" ref="D745" ca="1">_FV(Table20[[#This Row],[Asset]],"Price")</f>
        <v>658.59</v>
      </c>
      <c r="E745" s="26">
        <v>580</v>
      </c>
      <c r="F745" s="33">
        <v>1</v>
      </c>
      <c r="G745" s="34">
        <v>-1</v>
      </c>
      <c r="H745" s="34" t="s">
        <v>112</v>
      </c>
      <c r="I745" s="31">
        <v>45869</v>
      </c>
      <c r="J745" s="26">
        <v>3.05</v>
      </c>
      <c r="K745" s="24">
        <v>0.16</v>
      </c>
      <c r="L745" s="33">
        <f>VLOOKUP(Table20[[#This Row],[Strategy]],Table29[#All],6,FALSE)</f>
        <v>-1</v>
      </c>
      <c r="M745" s="23">
        <v>1</v>
      </c>
      <c r="N745" s="23">
        <v>0.73</v>
      </c>
      <c r="O745" s="23"/>
      <c r="P745" s="23"/>
      <c r="Q745">
        <f>Table20[[#This Row],[Exit1]]*Table20[[#This Row],[ex1_price]]</f>
        <v>0.73</v>
      </c>
      <c r="R745">
        <f>Table20[[#This Row],[Exit2]]*Table20[[#This Row],[ex2_price]]</f>
        <v>0</v>
      </c>
      <c r="S745">
        <f>IFERROR((Table20[[#This Row],[ex2_amnt]]+Table20[[#This Row],[ex1_amnt]])/(Table20[[#This Row],[Exit2]]+Table20[[#This Row],[Exit1]]),0)</f>
        <v>0.73</v>
      </c>
      <c r="T745" s="5">
        <f>(Table20[[#This Row],[Exit1]]+Table20[[#This Row],[Exit2]])*(Table20[[#This Row],[avg_exit_price]]-Table20[[#This Row],[AvePrice]])*100*Table20[[#This Row],[Buy or Sell]]</f>
        <v>231.99999999999997</v>
      </c>
      <c r="U745" s="5">
        <f>Table20[[#This Row],[Number of options]]*Table20[[#This Row],[AvePrice]]*100*Table20[[#This Row],[Buy or Sell]]</f>
        <v>-305</v>
      </c>
      <c r="V745" s="8">
        <f>Table20[[#This Row],[Number of options]]-Table20[[#This Row],[Exit1]]-Table20[[#This Row],[Exit2]]</f>
        <v>0</v>
      </c>
      <c r="W745" s="30">
        <f ca="1">(Table20[[#This Row],[Expiration Date]]-TODAY())/365</f>
        <v>-0.48493150684931507</v>
      </c>
      <c r="X745" s="30" t="e">
        <f ca="1">(LN(Table20[[#This Row],[Current Price]]/Table20[[#This Row],[strike_price]]) + ($B$2 + (Table20[[#This Row],[Vol]]^2)/2)*Table20[[#This Row],[Time to expiration]]) / (Table20[[#This Row],[Vol]] * SQRT(Table20[[#This Row],[Time to expiration]]))</f>
        <v>#NUM!</v>
      </c>
      <c r="Y745" s="30" t="e">
        <f ca="1">IF(Table20[[#This Row],[Direction]]&gt;0, _xlfn.NORM.S.DIST(Table20[[#This Row],[d1]], TRUE), _xlfn.NORM.S.DIST(Table20[[#This Row],[d1]], TRUE) - 1) * Table20[[#This Row],[Buy or Sell]]</f>
        <v>#NUM!</v>
      </c>
      <c r="Z745" s="9">
        <f ca="1">Table20[[#This Row],[Remaining]]*Table20[[#This Row],[Current Price]]*100</f>
        <v>0</v>
      </c>
      <c r="AA745" s="22">
        <f ca="1">IFERROR(Table20[[#This Row],[nominal_exposure]]*Table20[[#This Row],[Delta]],0)</f>
        <v>0</v>
      </c>
      <c r="AB745" s="30" t="b">
        <f>IF(Table20[[#This Row],[date_purchased]]&lt;&gt;Table20[[#This Row],[Expiration Date]],FALSE,TRUE)</f>
        <v>0</v>
      </c>
      <c r="AC745" s="30" t="str">
        <f>VLOOKUP(Table20[[#This Row],[Asset]],Table19[#All],3,FALSE)</f>
        <v>Market</v>
      </c>
      <c r="AD745" s="30">
        <f>IF(Table20[[#This Row],[Remaining]]&lt;&gt;0,Table20[[#This Row],[Invested]]*Table20[[#This Row],[Remaining]]/Table20[[#This Row],[Number of options]],0)</f>
        <v>0</v>
      </c>
      <c r="AE745" s="30">
        <f ca="1">SUMIF(Table20[Ticker],Table20[[#This Row],[Ticker]],Table20[realized_profit])</f>
        <v>-5077</v>
      </c>
      <c r="AF745" s="30" t="str">
        <f>VLOOKUP(Table20[[#This Row],[Strategy]],Table29[#All],7,FALSE)</f>
        <v>Bearish</v>
      </c>
    </row>
    <row r="746" spans="1:32" hidden="1">
      <c r="A746" s="180">
        <v>45947</v>
      </c>
      <c r="B746" s="21" t="e" vm="16">
        <v>#VALUE!</v>
      </c>
      <c r="C746" s="109" t="str" cm="1">
        <f t="array" aca="1" ref="C746" ca="1">_FV(Table20[[#This Row],[Asset]],"Ticker symbol",TRUE)</f>
        <v>GOOG</v>
      </c>
      <c r="D746" s="26" cm="1">
        <f t="array" aca="1" ref="D746" ca="1">_FV(Table20[[#This Row],[Asset]],"Price")</f>
        <v>290.39</v>
      </c>
      <c r="E746" s="26">
        <v>220</v>
      </c>
      <c r="F746" s="33">
        <v>4</v>
      </c>
      <c r="G746" s="34">
        <v>1</v>
      </c>
      <c r="H746" s="34" t="s">
        <v>115</v>
      </c>
      <c r="I746" s="31">
        <v>45834</v>
      </c>
      <c r="J746" s="26">
        <v>1.33</v>
      </c>
      <c r="K746" s="24"/>
      <c r="L746" s="33">
        <f>VLOOKUP(Table20[[#This Row],[Strategy]],Table29[#All],6,FALSE)</f>
        <v>1</v>
      </c>
      <c r="M746" s="23">
        <v>4</v>
      </c>
      <c r="N746" s="23">
        <v>3.83</v>
      </c>
      <c r="O746" s="23"/>
      <c r="P746" s="23"/>
      <c r="Q746">
        <f>Table20[[#This Row],[Exit1]]*Table20[[#This Row],[ex1_price]]</f>
        <v>15.32</v>
      </c>
      <c r="R746">
        <f>Table20[[#This Row],[Exit2]]*Table20[[#This Row],[ex2_price]]</f>
        <v>0</v>
      </c>
      <c r="S746">
        <f>IFERROR((Table20[[#This Row],[ex2_amnt]]+Table20[[#This Row],[ex1_amnt]])/(Table20[[#This Row],[Exit2]]+Table20[[#This Row],[Exit1]]),0)</f>
        <v>3.83</v>
      </c>
      <c r="T746" s="5">
        <f>(Table20[[#This Row],[Exit1]]+Table20[[#This Row],[Exit2]])*(Table20[[#This Row],[avg_exit_price]]-Table20[[#This Row],[AvePrice]])*100*Table20[[#This Row],[Buy or Sell]]</f>
        <v>1000</v>
      </c>
      <c r="U746" s="5">
        <f>Table20[[#This Row],[Number of options]]*Table20[[#This Row],[AvePrice]]*100*Table20[[#This Row],[Buy or Sell]]</f>
        <v>532</v>
      </c>
      <c r="V746" s="8">
        <f>Table20[[#This Row],[Number of options]]-Table20[[#This Row],[Exit1]]-Table20[[#This Row],[Exit2]]</f>
        <v>0</v>
      </c>
      <c r="W746" s="30">
        <f ca="1">(Table20[[#This Row],[Expiration Date]]-TODAY())/365</f>
        <v>-0.43835616438356162</v>
      </c>
      <c r="X746" s="30" t="e">
        <f ca="1">(LN(Table20[[#This Row],[Current Price]]/Table20[[#This Row],[strike_price]]) + ($B$2 + (Table20[[#This Row],[Vol]]^2)/2)*Table20[[#This Row],[Time to expiration]]) / (Table20[[#This Row],[Vol]] * SQRT(Table20[[#This Row],[Time to expiration]]))</f>
        <v>#NUM!</v>
      </c>
      <c r="Y746" s="30" t="e">
        <f ca="1">IF(Table20[[#This Row],[Direction]]&gt;0, _xlfn.NORM.S.DIST(Table20[[#This Row],[d1]], TRUE), _xlfn.NORM.S.DIST(Table20[[#This Row],[d1]], TRUE) - 1) * Table20[[#This Row],[Buy or Sell]]</f>
        <v>#NUM!</v>
      </c>
      <c r="Z746" s="9">
        <f ca="1">Table20[[#This Row],[Remaining]]*Table20[[#This Row],[Current Price]]*100</f>
        <v>0</v>
      </c>
      <c r="AA746" s="22">
        <f ca="1">IFERROR(Table20[[#This Row],[nominal_exposure]]*Table20[[#This Row],[Delta]],0)</f>
        <v>0</v>
      </c>
      <c r="AB746" s="30" t="b">
        <f>IF(Table20[[#This Row],[date_purchased]]&lt;&gt;Table20[[#This Row],[Expiration Date]],FALSE,TRUE)</f>
        <v>0</v>
      </c>
      <c r="AC746" s="30" t="str">
        <f>VLOOKUP(Table20[[#This Row],[Asset]],Table19[#All],3,FALSE)</f>
        <v>AI</v>
      </c>
      <c r="AD746" s="30">
        <f>IF(Table20[[#This Row],[Remaining]]&lt;&gt;0,Table20[[#This Row],[Invested]]*Table20[[#This Row],[Remaining]]/Table20[[#This Row],[Number of options]],0)</f>
        <v>0</v>
      </c>
      <c r="AE746" s="30">
        <f ca="1">SUMIF(Table20[Ticker],Table20[[#This Row],[Ticker]],Table20[realized_profit])</f>
        <v>4148.03</v>
      </c>
      <c r="AF746" s="30" t="str">
        <f>VLOOKUP(Table20[[#This Row],[Strategy]],Table29[#All],7,FALSE)</f>
        <v>Bullish</v>
      </c>
    </row>
    <row r="747" spans="1:32" hidden="1">
      <c r="A747" s="180">
        <v>45884</v>
      </c>
      <c r="B747" s="21" t="e" vm="231">
        <v>#VALUE!</v>
      </c>
      <c r="C747" s="109" t="str" cm="1">
        <f t="array" aca="1" ref="C747" ca="1">_FV(Table20[[#This Row],[Asset]],"Ticker symbol",TRUE)</f>
        <v>UNH</v>
      </c>
      <c r="D747" s="26" cm="1">
        <f t="array" aca="1" ref="D747" ca="1">_FV(Table20[[#This Row],[Asset]],"Price")</f>
        <v>269.3</v>
      </c>
      <c r="E747" s="26">
        <v>250</v>
      </c>
      <c r="F747" s="33">
        <v>1</v>
      </c>
      <c r="G747" s="34">
        <v>1</v>
      </c>
      <c r="H747" s="34" t="s">
        <v>113</v>
      </c>
      <c r="I747" s="31">
        <v>45870</v>
      </c>
      <c r="J747" s="26">
        <v>2.89</v>
      </c>
      <c r="K747" s="24"/>
      <c r="L747" s="33">
        <f>VLOOKUP(Table20[[#This Row],[Strategy]],Table29[#All],6,FALSE)</f>
        <v>1</v>
      </c>
      <c r="M747" s="23">
        <v>1</v>
      </c>
      <c r="N747" s="23">
        <v>12</v>
      </c>
      <c r="O747" s="23"/>
      <c r="P747" s="23"/>
      <c r="Q747">
        <f>Table20[[#This Row],[Exit1]]*Table20[[#This Row],[ex1_price]]</f>
        <v>12</v>
      </c>
      <c r="R747">
        <f>Table20[[#This Row],[Exit2]]*Table20[[#This Row],[ex2_price]]</f>
        <v>0</v>
      </c>
      <c r="S747">
        <f>IFERROR((Table20[[#This Row],[ex2_amnt]]+Table20[[#This Row],[ex1_amnt]])/(Table20[[#This Row],[Exit2]]+Table20[[#This Row],[Exit1]]),0)</f>
        <v>12</v>
      </c>
      <c r="T747" s="5">
        <f>(Table20[[#This Row],[Exit1]]+Table20[[#This Row],[Exit2]])*(Table20[[#This Row],[avg_exit_price]]-Table20[[#This Row],[AvePrice]])*100*Table20[[#This Row],[Buy or Sell]]</f>
        <v>911</v>
      </c>
      <c r="U747" s="5">
        <f>Table20[[#This Row],[Number of options]]*Table20[[#This Row],[AvePrice]]*100*Table20[[#This Row],[Buy or Sell]]</f>
        <v>289</v>
      </c>
      <c r="V747" s="8">
        <f>Table20[[#This Row],[Number of options]]-Table20[[#This Row],[Exit1]]-Table20[[#This Row],[Exit2]]</f>
        <v>0</v>
      </c>
      <c r="W747" s="30">
        <f ca="1">(Table20[[#This Row],[Expiration Date]]-TODAY())/365</f>
        <v>-0.61095890410958908</v>
      </c>
      <c r="X747" s="30" t="e">
        <f ca="1">(LN(Table20[[#This Row],[Current Price]]/Table20[[#This Row],[strike_price]]) + ($B$2 + (Table20[[#This Row],[Vol]]^2)/2)*Table20[[#This Row],[Time to expiration]]) / (Table20[[#This Row],[Vol]] * SQRT(Table20[[#This Row],[Time to expiration]]))</f>
        <v>#NUM!</v>
      </c>
      <c r="Y747" s="30" t="e">
        <f ca="1">IF(Table20[[#This Row],[Direction]]&gt;0, _xlfn.NORM.S.DIST(Table20[[#This Row],[d1]], TRUE), _xlfn.NORM.S.DIST(Table20[[#This Row],[d1]], TRUE) - 1) * Table20[[#This Row],[Buy or Sell]]</f>
        <v>#NUM!</v>
      </c>
      <c r="Z747" s="9">
        <f ca="1">Table20[[#This Row],[Remaining]]*Table20[[#This Row],[Current Price]]*100</f>
        <v>0</v>
      </c>
      <c r="AA747" s="22">
        <f ca="1">IFERROR(Table20[[#This Row],[nominal_exposure]]*Table20[[#This Row],[Delta]],0)</f>
        <v>0</v>
      </c>
      <c r="AB747" s="30" t="b">
        <f>IF(Table20[[#This Row],[date_purchased]]&lt;&gt;Table20[[#This Row],[Expiration Date]],FALSE,TRUE)</f>
        <v>0</v>
      </c>
      <c r="AC747" s="30" t="str">
        <f>VLOOKUP(Table20[[#This Row],[Asset]],Table19[#All],3,FALSE)</f>
        <v>Health Care</v>
      </c>
      <c r="AD747" s="30">
        <f>IF(Table20[[#This Row],[Remaining]]&lt;&gt;0,Table20[[#This Row],[Invested]]*Table20[[#This Row],[Remaining]]/Table20[[#This Row],[Number of options]],0)</f>
        <v>0</v>
      </c>
      <c r="AE747" s="30">
        <f ca="1">SUMIF(Table20[Ticker],Table20[[#This Row],[Ticker]],Table20[realized_profit])</f>
        <v>4342</v>
      </c>
      <c r="AF747" s="30" t="str">
        <f>VLOOKUP(Table20[[#This Row],[Strategy]],Table29[#All],7,FALSE)</f>
        <v>Bullish</v>
      </c>
    </row>
    <row r="748" spans="1:32" hidden="1">
      <c r="A748" s="180">
        <v>45877</v>
      </c>
      <c r="B748" s="21" t="e" vm="231">
        <v>#VALUE!</v>
      </c>
      <c r="C748" s="109" t="str" cm="1">
        <f t="array" aca="1" ref="C748" ca="1">_FV(Table20[[#This Row],[Asset]],"Ticker symbol",TRUE)</f>
        <v>UNH</v>
      </c>
      <c r="D748" s="26" cm="1">
        <f t="array" aca="1" ref="D748" ca="1">_FV(Table20[[#This Row],[Asset]],"Price")</f>
        <v>269.3</v>
      </c>
      <c r="E748" s="26">
        <v>250</v>
      </c>
      <c r="F748" s="33">
        <v>1</v>
      </c>
      <c r="G748" s="34">
        <v>1</v>
      </c>
      <c r="H748" s="34" t="s">
        <v>113</v>
      </c>
      <c r="I748" s="31">
        <v>45870</v>
      </c>
      <c r="J748" s="26">
        <v>1.37</v>
      </c>
      <c r="K748" s="24"/>
      <c r="L748" s="33">
        <f>VLOOKUP(Table20[[#This Row],[Strategy]],Table29[#All],6,FALSE)</f>
        <v>1</v>
      </c>
      <c r="M748" s="23">
        <v>1</v>
      </c>
      <c r="N748" s="23">
        <v>0.36</v>
      </c>
      <c r="O748" s="23"/>
      <c r="P748" s="23"/>
      <c r="Q748">
        <f>Table20[[#This Row],[Exit1]]*Table20[[#This Row],[ex1_price]]</f>
        <v>0.36</v>
      </c>
      <c r="R748">
        <f>Table20[[#This Row],[Exit2]]*Table20[[#This Row],[ex2_price]]</f>
        <v>0</v>
      </c>
      <c r="S748">
        <f>IFERROR((Table20[[#This Row],[ex2_amnt]]+Table20[[#This Row],[ex1_amnt]])/(Table20[[#This Row],[Exit2]]+Table20[[#This Row],[Exit1]]),0)</f>
        <v>0.36</v>
      </c>
      <c r="T748" s="5">
        <f>(Table20[[#This Row],[Exit1]]+Table20[[#This Row],[Exit2]])*(Table20[[#This Row],[avg_exit_price]]-Table20[[#This Row],[AvePrice]])*100*Table20[[#This Row],[Buy or Sell]]</f>
        <v>-101.00000000000003</v>
      </c>
      <c r="U748" s="5">
        <f>Table20[[#This Row],[Number of options]]*Table20[[#This Row],[AvePrice]]*100*Table20[[#This Row],[Buy or Sell]]</f>
        <v>137</v>
      </c>
      <c r="V748" s="8">
        <f>Table20[[#This Row],[Number of options]]-Table20[[#This Row],[Exit1]]-Table20[[#This Row],[Exit2]]</f>
        <v>0</v>
      </c>
      <c r="W748" s="30">
        <f ca="1">(Table20[[#This Row],[Expiration Date]]-TODAY())/365</f>
        <v>-0.63013698630136983</v>
      </c>
      <c r="X748" s="30" t="e">
        <f ca="1">(LN(Table20[[#This Row],[Current Price]]/Table20[[#This Row],[strike_price]]) + ($B$2 + (Table20[[#This Row],[Vol]]^2)/2)*Table20[[#This Row],[Time to expiration]]) / (Table20[[#This Row],[Vol]] * SQRT(Table20[[#This Row],[Time to expiration]]))</f>
        <v>#NUM!</v>
      </c>
      <c r="Y748" s="30" t="e">
        <f ca="1">IF(Table20[[#This Row],[Direction]]&gt;0, _xlfn.NORM.S.DIST(Table20[[#This Row],[d1]], TRUE), _xlfn.NORM.S.DIST(Table20[[#This Row],[d1]], TRUE) - 1) * Table20[[#This Row],[Buy or Sell]]</f>
        <v>#NUM!</v>
      </c>
      <c r="Z748" s="9">
        <f ca="1">Table20[[#This Row],[Remaining]]*Table20[[#This Row],[Current Price]]*100</f>
        <v>0</v>
      </c>
      <c r="AA748" s="22">
        <f ca="1">IFERROR(Table20[[#This Row],[nominal_exposure]]*Table20[[#This Row],[Delta]],0)</f>
        <v>0</v>
      </c>
      <c r="AB748" s="30" t="b">
        <f>IF(Table20[[#This Row],[date_purchased]]&lt;&gt;Table20[[#This Row],[Expiration Date]],FALSE,TRUE)</f>
        <v>0</v>
      </c>
      <c r="AC748" s="30" t="str">
        <f>VLOOKUP(Table20[[#This Row],[Asset]],Table19[#All],3,FALSE)</f>
        <v>Health Care</v>
      </c>
      <c r="AD748" s="30">
        <f>IF(Table20[[#This Row],[Remaining]]&lt;&gt;0,Table20[[#This Row],[Invested]]*Table20[[#This Row],[Remaining]]/Table20[[#This Row],[Number of options]],0)</f>
        <v>0</v>
      </c>
      <c r="AE748" s="30">
        <f ca="1">SUMIF(Table20[Ticker],Table20[[#This Row],[Ticker]],Table20[realized_profit])</f>
        <v>4342</v>
      </c>
      <c r="AF748" s="30" t="str">
        <f>VLOOKUP(Table20[[#This Row],[Strategy]],Table29[#All],7,FALSE)</f>
        <v>Bullish</v>
      </c>
    </row>
    <row r="749" spans="1:32" hidden="1">
      <c r="A749" s="180">
        <v>45947</v>
      </c>
      <c r="B749" s="21" t="e" vm="574">
        <v>#VALUE!</v>
      </c>
      <c r="C749" s="109" t="str" cm="1">
        <f t="array" aca="1" ref="C749" ca="1">_FV(Table20[[#This Row],[Asset]],"Ticker symbol",TRUE)</f>
        <v>RMD</v>
      </c>
      <c r="D749" s="26" cm="1">
        <f t="array" aca="1" ref="D749" ca="1">_FV(Table20[[#This Row],[Asset]],"Price")</f>
        <v>222.16499999999999</v>
      </c>
      <c r="E749" s="26">
        <v>260</v>
      </c>
      <c r="F749" s="33">
        <v>1</v>
      </c>
      <c r="G749" s="34">
        <v>1</v>
      </c>
      <c r="H749" s="34" t="s">
        <v>113</v>
      </c>
      <c r="I749" s="31">
        <v>45874</v>
      </c>
      <c r="J749" s="26">
        <v>3.26</v>
      </c>
      <c r="K749" s="24">
        <v>0.26</v>
      </c>
      <c r="L749" s="33">
        <f>VLOOKUP(Table20[[#This Row],[Strategy]],Table29[#All],6,FALSE)</f>
        <v>1</v>
      </c>
      <c r="M749" s="23">
        <v>1</v>
      </c>
      <c r="N749" s="23">
        <v>3.6</v>
      </c>
      <c r="O749" s="23"/>
      <c r="P749" s="23"/>
      <c r="Q749">
        <f>Table20[[#This Row],[Exit1]]*Table20[[#This Row],[ex1_price]]</f>
        <v>3.6</v>
      </c>
      <c r="R749">
        <f>Table20[[#This Row],[Exit2]]*Table20[[#This Row],[ex2_price]]</f>
        <v>0</v>
      </c>
      <c r="S749">
        <f>IFERROR((Table20[[#This Row],[ex2_amnt]]+Table20[[#This Row],[ex1_amnt]])/(Table20[[#This Row],[Exit2]]+Table20[[#This Row],[Exit1]]),0)</f>
        <v>3.6</v>
      </c>
      <c r="T749" s="5">
        <f>(Table20[[#This Row],[Exit1]]+Table20[[#This Row],[Exit2]])*(Table20[[#This Row],[avg_exit_price]]-Table20[[#This Row],[AvePrice]])*100*Table20[[#This Row],[Buy or Sell]]</f>
        <v>34.000000000000028</v>
      </c>
      <c r="U749" s="5">
        <f>Table20[[#This Row],[Number of options]]*Table20[[#This Row],[AvePrice]]*100*Table20[[#This Row],[Buy or Sell]]</f>
        <v>326</v>
      </c>
      <c r="V749" s="8">
        <f>Table20[[#This Row],[Number of options]]-Table20[[#This Row],[Exit1]]-Table20[[#This Row],[Exit2]]</f>
        <v>0</v>
      </c>
      <c r="W749" s="30">
        <f ca="1">(Table20[[#This Row],[Expiration Date]]-TODAY())/365</f>
        <v>-0.43835616438356162</v>
      </c>
      <c r="X749" s="30" t="e">
        <f ca="1">(LN(Table20[[#This Row],[Current Price]]/Table20[[#This Row],[strike_price]]) + ($B$2 + (Table20[[#This Row],[Vol]]^2)/2)*Table20[[#This Row],[Time to expiration]]) / (Table20[[#This Row],[Vol]] * SQRT(Table20[[#This Row],[Time to expiration]]))</f>
        <v>#NUM!</v>
      </c>
      <c r="Y749" s="30" t="e">
        <f ca="1">IF(Table20[[#This Row],[Direction]]&gt;0, _xlfn.NORM.S.DIST(Table20[[#This Row],[d1]], TRUE), _xlfn.NORM.S.DIST(Table20[[#This Row],[d1]], TRUE) - 1) * Table20[[#This Row],[Buy or Sell]]</f>
        <v>#NUM!</v>
      </c>
      <c r="Z749" s="9">
        <f ca="1">Table20[[#This Row],[Remaining]]*Table20[[#This Row],[Current Price]]*100</f>
        <v>0</v>
      </c>
      <c r="AA749" s="22">
        <f ca="1">IFERROR(Table20[[#This Row],[nominal_exposure]]*Table20[[#This Row],[Delta]],0)</f>
        <v>0</v>
      </c>
      <c r="AB749" s="30" t="b">
        <f>IF(Table20[[#This Row],[date_purchased]]&lt;&gt;Table20[[#This Row],[Expiration Date]],FALSE,TRUE)</f>
        <v>0</v>
      </c>
      <c r="AC749" s="30" t="str">
        <f>VLOOKUP(Table20[[#This Row],[Asset]],Table19[#All],3,FALSE)</f>
        <v>Health Care</v>
      </c>
      <c r="AD749" s="30">
        <f>IF(Table20[[#This Row],[Remaining]]&lt;&gt;0,Table20[[#This Row],[Invested]]*Table20[[#This Row],[Remaining]]/Table20[[#This Row],[Number of options]],0)</f>
        <v>0</v>
      </c>
      <c r="AE749" s="30">
        <f ca="1">SUMIF(Table20[Ticker],Table20[[#This Row],[Ticker]],Table20[realized_profit])</f>
        <v>34.000000000000028</v>
      </c>
      <c r="AF749" s="30" t="str">
        <f>VLOOKUP(Table20[[#This Row],[Strategy]],Table29[#All],7,FALSE)</f>
        <v>Bullish</v>
      </c>
    </row>
    <row r="750" spans="1:32" hidden="1">
      <c r="A750" s="180">
        <v>45884</v>
      </c>
      <c r="B750" s="21" t="e" vm="204">
        <v>#VALUE!</v>
      </c>
      <c r="C750" s="109" t="str" cm="1">
        <f t="array" aca="1" ref="C750" ca="1">_FV(Table20[[#This Row],[Asset]],"Ticker symbol",TRUE)</f>
        <v>CRWV</v>
      </c>
      <c r="D750" s="26" cm="1">
        <f t="array" aca="1" ref="D750" ca="1">_FV(Table20[[#This Row],[Asset]],"Price")</f>
        <v>87.924999999999997</v>
      </c>
      <c r="E750" s="26">
        <v>150</v>
      </c>
      <c r="F750" s="33">
        <v>2</v>
      </c>
      <c r="G750" s="34">
        <v>-1</v>
      </c>
      <c r="H750" s="34" t="s">
        <v>115</v>
      </c>
      <c r="I750" s="31">
        <v>45875</v>
      </c>
      <c r="J750" s="26">
        <v>1.69</v>
      </c>
      <c r="K750" s="24"/>
      <c r="L750" s="33">
        <f>VLOOKUP(Table20[[#This Row],[Strategy]],Table29[#All],6,FALSE)</f>
        <v>1</v>
      </c>
      <c r="M750" s="23">
        <v>2</v>
      </c>
      <c r="N750" s="23">
        <v>0.27</v>
      </c>
      <c r="O750" s="23"/>
      <c r="P750" s="23"/>
      <c r="Q750">
        <f>Table20[[#This Row],[Exit1]]*Table20[[#This Row],[ex1_price]]</f>
        <v>0.54</v>
      </c>
      <c r="R750">
        <f>Table20[[#This Row],[Exit2]]*Table20[[#This Row],[ex2_price]]</f>
        <v>0</v>
      </c>
      <c r="S750">
        <f>IFERROR((Table20[[#This Row],[ex2_amnt]]+Table20[[#This Row],[ex1_amnt]])/(Table20[[#This Row],[Exit2]]+Table20[[#This Row],[Exit1]]),0)</f>
        <v>0.27</v>
      </c>
      <c r="T750" s="5">
        <f>(Table20[[#This Row],[Exit1]]+Table20[[#This Row],[Exit2]])*(Table20[[#This Row],[avg_exit_price]]-Table20[[#This Row],[AvePrice]])*100*Table20[[#This Row],[Buy or Sell]]</f>
        <v>284</v>
      </c>
      <c r="U750" s="5">
        <f>Table20[[#This Row],[Number of options]]*Table20[[#This Row],[AvePrice]]*100*Table20[[#This Row],[Buy or Sell]]</f>
        <v>-338</v>
      </c>
      <c r="V750" s="8">
        <f>Table20[[#This Row],[Number of options]]-Table20[[#This Row],[Exit1]]-Table20[[#This Row],[Exit2]]</f>
        <v>0</v>
      </c>
      <c r="W750" s="30">
        <f ca="1">(Table20[[#This Row],[Expiration Date]]-TODAY())/365</f>
        <v>-0.61095890410958908</v>
      </c>
      <c r="X750" s="30" t="e">
        <f ca="1">(LN(Table20[[#This Row],[Current Price]]/Table20[[#This Row],[strike_price]]) + ($B$2 + (Table20[[#This Row],[Vol]]^2)/2)*Table20[[#This Row],[Time to expiration]]) / (Table20[[#This Row],[Vol]] * SQRT(Table20[[#This Row],[Time to expiration]]))</f>
        <v>#NUM!</v>
      </c>
      <c r="Y750" s="30" t="e">
        <f ca="1">IF(Table20[[#This Row],[Direction]]&gt;0, _xlfn.NORM.S.DIST(Table20[[#This Row],[d1]], TRUE), _xlfn.NORM.S.DIST(Table20[[#This Row],[d1]], TRUE) - 1) * Table20[[#This Row],[Buy or Sell]]</f>
        <v>#NUM!</v>
      </c>
      <c r="Z750" s="9">
        <f ca="1">Table20[[#This Row],[Remaining]]*Table20[[#This Row],[Current Price]]*100</f>
        <v>0</v>
      </c>
      <c r="AA750" s="22">
        <f ca="1">IFERROR(Table20[[#This Row],[nominal_exposure]]*Table20[[#This Row],[Delta]],0)</f>
        <v>0</v>
      </c>
      <c r="AB750" s="30" t="b">
        <f>IF(Table20[[#This Row],[date_purchased]]&lt;&gt;Table20[[#This Row],[Expiration Date]],FALSE,TRUE)</f>
        <v>0</v>
      </c>
      <c r="AC750" s="30" t="str">
        <f>VLOOKUP(Table20[[#This Row],[Asset]],Table19[#All],3,FALSE)</f>
        <v>AI</v>
      </c>
      <c r="AD750" s="30">
        <f>IF(Table20[[#This Row],[Remaining]]&lt;&gt;0,Table20[[#This Row],[Invested]]*Table20[[#This Row],[Remaining]]/Table20[[#This Row],[Number of options]],0)</f>
        <v>0</v>
      </c>
      <c r="AE750" s="30">
        <f ca="1">SUMIF(Table20[Ticker],Table20[[#This Row],[Ticker]],Table20[realized_profit])</f>
        <v>652.99999999999989</v>
      </c>
      <c r="AF750" s="30" t="str">
        <f>VLOOKUP(Table20[[#This Row],[Strategy]],Table29[#All],7,FALSE)</f>
        <v>Bullish</v>
      </c>
    </row>
    <row r="751" spans="1:32" hidden="1">
      <c r="A751" s="180">
        <v>45905</v>
      </c>
      <c r="B751" s="21" t="e" vm="204">
        <v>#VALUE!</v>
      </c>
      <c r="C751" s="109" t="str" cm="1">
        <f t="array" aca="1" ref="C751" ca="1">_FV(Table20[[#This Row],[Asset]],"Ticker symbol",TRUE)</f>
        <v>CRWV</v>
      </c>
      <c r="D751" s="26" cm="1">
        <f t="array" aca="1" ref="D751" ca="1">_FV(Table20[[#This Row],[Asset]],"Price")</f>
        <v>87.924999999999997</v>
      </c>
      <c r="E751" s="26">
        <v>150</v>
      </c>
      <c r="F751" s="33">
        <v>2</v>
      </c>
      <c r="G751" s="34">
        <v>1</v>
      </c>
      <c r="H751" s="34" t="s">
        <v>115</v>
      </c>
      <c r="I751" s="31">
        <v>45875</v>
      </c>
      <c r="J751" s="26">
        <v>2.85</v>
      </c>
      <c r="K751" s="24"/>
      <c r="L751" s="33">
        <f>VLOOKUP(Table20[[#This Row],[Strategy]],Table29[#All],6,FALSE)</f>
        <v>1</v>
      </c>
      <c r="M751" s="23">
        <v>2</v>
      </c>
      <c r="N751" s="23">
        <v>2.69</v>
      </c>
      <c r="O751" s="23"/>
      <c r="P751" s="23"/>
      <c r="Q751">
        <f>Table20[[#This Row],[Exit1]]*Table20[[#This Row],[ex1_price]]</f>
        <v>5.38</v>
      </c>
      <c r="R751">
        <f>Table20[[#This Row],[Exit2]]*Table20[[#This Row],[ex2_price]]</f>
        <v>0</v>
      </c>
      <c r="S751">
        <f>IFERROR((Table20[[#This Row],[ex2_amnt]]+Table20[[#This Row],[ex1_amnt]])/(Table20[[#This Row],[Exit2]]+Table20[[#This Row],[Exit1]]),0)</f>
        <v>2.69</v>
      </c>
      <c r="T751" s="5">
        <f>(Table20[[#This Row],[Exit1]]+Table20[[#This Row],[Exit2]])*(Table20[[#This Row],[avg_exit_price]]-Table20[[#This Row],[AvePrice]])*100*Table20[[#This Row],[Buy or Sell]]</f>
        <v>-32.000000000000028</v>
      </c>
      <c r="U751" s="5">
        <f>Table20[[#This Row],[Number of options]]*Table20[[#This Row],[AvePrice]]*100*Table20[[#This Row],[Buy or Sell]]</f>
        <v>570</v>
      </c>
      <c r="V751" s="8">
        <f>Table20[[#This Row],[Number of options]]-Table20[[#This Row],[Exit1]]-Table20[[#This Row],[Exit2]]</f>
        <v>0</v>
      </c>
      <c r="W751" s="30">
        <f ca="1">(Table20[[#This Row],[Expiration Date]]-TODAY())/365</f>
        <v>-0.55342465753424652</v>
      </c>
      <c r="X751" s="30" t="e">
        <f ca="1">(LN(Table20[[#This Row],[Current Price]]/Table20[[#This Row],[strike_price]]) + ($B$2 + (Table20[[#This Row],[Vol]]^2)/2)*Table20[[#This Row],[Time to expiration]]) / (Table20[[#This Row],[Vol]] * SQRT(Table20[[#This Row],[Time to expiration]]))</f>
        <v>#NUM!</v>
      </c>
      <c r="Y751" s="30" t="e">
        <f ca="1">IF(Table20[[#This Row],[Direction]]&gt;0, _xlfn.NORM.S.DIST(Table20[[#This Row],[d1]], TRUE), _xlfn.NORM.S.DIST(Table20[[#This Row],[d1]], TRUE) - 1) * Table20[[#This Row],[Buy or Sell]]</f>
        <v>#NUM!</v>
      </c>
      <c r="Z751" s="9">
        <f ca="1">Table20[[#This Row],[Remaining]]*Table20[[#This Row],[Current Price]]*100</f>
        <v>0</v>
      </c>
      <c r="AA751" s="22">
        <f ca="1">IFERROR(Table20[[#This Row],[nominal_exposure]]*Table20[[#This Row],[Delta]],0)</f>
        <v>0</v>
      </c>
      <c r="AB751" s="30" t="b">
        <f>IF(Table20[[#This Row],[date_purchased]]&lt;&gt;Table20[[#This Row],[Expiration Date]],FALSE,TRUE)</f>
        <v>0</v>
      </c>
      <c r="AC751" s="30" t="str">
        <f>VLOOKUP(Table20[[#This Row],[Asset]],Table19[#All],3,FALSE)</f>
        <v>AI</v>
      </c>
      <c r="AD751" s="30">
        <f>IF(Table20[[#This Row],[Remaining]]&lt;&gt;0,Table20[[#This Row],[Invested]]*Table20[[#This Row],[Remaining]]/Table20[[#This Row],[Number of options]],0)</f>
        <v>0</v>
      </c>
      <c r="AE751" s="30">
        <f ca="1">SUMIF(Table20[Ticker],Table20[[#This Row],[Ticker]],Table20[realized_profit])</f>
        <v>652.99999999999989</v>
      </c>
      <c r="AF751" s="30" t="str">
        <f>VLOOKUP(Table20[[#This Row],[Strategy]],Table29[#All],7,FALSE)</f>
        <v>Bullish</v>
      </c>
    </row>
    <row r="752" spans="1:32" hidden="1">
      <c r="A752" s="180">
        <v>45905</v>
      </c>
      <c r="B752" s="21" t="e" vm="136">
        <v>#VALUE!</v>
      </c>
      <c r="C752" s="109" t="str" cm="1">
        <f t="array" aca="1" ref="C752" ca="1">_FV(Table20[[#This Row],[Asset]],"Ticker symbol",TRUE)</f>
        <v>ADBE</v>
      </c>
      <c r="D752" s="26" cm="1">
        <f t="array" aca="1" ref="D752" ca="1">_FV(Table20[[#This Row],[Asset]],"Price")</f>
        <v>237.26</v>
      </c>
      <c r="E752" s="26">
        <v>360</v>
      </c>
      <c r="F752" s="33">
        <v>1</v>
      </c>
      <c r="G752" s="34">
        <v>1</v>
      </c>
      <c r="H752" s="34" t="s">
        <v>113</v>
      </c>
      <c r="I752" s="31">
        <v>45882</v>
      </c>
      <c r="J752" s="26">
        <v>4.3899999999999997</v>
      </c>
      <c r="K752" s="24"/>
      <c r="L752" s="33">
        <f>VLOOKUP(Table20[[#This Row],[Strategy]],Table29[#All],6,FALSE)</f>
        <v>1</v>
      </c>
      <c r="M752" s="23">
        <v>1</v>
      </c>
      <c r="N752" s="23">
        <v>9.6</v>
      </c>
      <c r="O752" s="23"/>
      <c r="P752" s="23"/>
      <c r="Q752">
        <f>Table20[[#This Row],[Exit1]]*Table20[[#This Row],[ex1_price]]</f>
        <v>9.6</v>
      </c>
      <c r="R752">
        <f>Table20[[#This Row],[Exit2]]*Table20[[#This Row],[ex2_price]]</f>
        <v>0</v>
      </c>
      <c r="S752">
        <f>IFERROR((Table20[[#This Row],[ex2_amnt]]+Table20[[#This Row],[ex1_amnt]])/(Table20[[#This Row],[Exit2]]+Table20[[#This Row],[Exit1]]),0)</f>
        <v>9.6</v>
      </c>
      <c r="T752" s="5">
        <f>(Table20[[#This Row],[Exit1]]+Table20[[#This Row],[Exit2]])*(Table20[[#This Row],[avg_exit_price]]-Table20[[#This Row],[AvePrice]])*100*Table20[[#This Row],[Buy or Sell]]</f>
        <v>521</v>
      </c>
      <c r="U752" s="5">
        <f>Table20[[#This Row],[Number of options]]*Table20[[#This Row],[AvePrice]]*100*Table20[[#This Row],[Buy or Sell]]</f>
        <v>438.99999999999994</v>
      </c>
      <c r="V752" s="8">
        <f>Table20[[#This Row],[Number of options]]-Table20[[#This Row],[Exit1]]-Table20[[#This Row],[Exit2]]</f>
        <v>0</v>
      </c>
      <c r="W752" s="30">
        <f ca="1">(Table20[[#This Row],[Expiration Date]]-TODAY())/365</f>
        <v>-0.55342465753424652</v>
      </c>
      <c r="X752" s="30" t="e">
        <f ca="1">(LN(Table20[[#This Row],[Current Price]]/Table20[[#This Row],[strike_price]]) + ($B$2 + (Table20[[#This Row],[Vol]]^2)/2)*Table20[[#This Row],[Time to expiration]]) / (Table20[[#This Row],[Vol]] * SQRT(Table20[[#This Row],[Time to expiration]]))</f>
        <v>#NUM!</v>
      </c>
      <c r="Y752" s="30" t="e">
        <f ca="1">IF(Table20[[#This Row],[Direction]]&gt;0, _xlfn.NORM.S.DIST(Table20[[#This Row],[d1]], TRUE), _xlfn.NORM.S.DIST(Table20[[#This Row],[d1]], TRUE) - 1) * Table20[[#This Row],[Buy or Sell]]</f>
        <v>#NUM!</v>
      </c>
      <c r="Z752" s="9">
        <f ca="1">Table20[[#This Row],[Remaining]]*Table20[[#This Row],[Current Price]]*100</f>
        <v>0</v>
      </c>
      <c r="AA752" s="22">
        <f ca="1">IFERROR(Table20[[#This Row],[nominal_exposure]]*Table20[[#This Row],[Delta]],0)</f>
        <v>0</v>
      </c>
      <c r="AB752" s="30" t="b">
        <f>IF(Table20[[#This Row],[date_purchased]]&lt;&gt;Table20[[#This Row],[Expiration Date]],FALSE,TRUE)</f>
        <v>0</v>
      </c>
      <c r="AC752" s="30" t="str">
        <f>VLOOKUP(Table20[[#This Row],[Asset]],Table19[#All],3,FALSE)</f>
        <v>AI</v>
      </c>
      <c r="AD752" s="30">
        <f>IF(Table20[[#This Row],[Remaining]]&lt;&gt;0,Table20[[#This Row],[Invested]]*Table20[[#This Row],[Remaining]]/Table20[[#This Row],[Number of options]],0)</f>
        <v>0</v>
      </c>
      <c r="AE752" s="30">
        <f ca="1">SUMIF(Table20[Ticker],Table20[[#This Row],[Ticker]],Table20[realized_profit])</f>
        <v>264</v>
      </c>
      <c r="AF752" s="30" t="str">
        <f>VLOOKUP(Table20[[#This Row],[Strategy]],Table29[#All],7,FALSE)</f>
        <v>Bullish</v>
      </c>
    </row>
    <row r="753" spans="1:32" hidden="1">
      <c r="A753" s="180">
        <v>45947</v>
      </c>
      <c r="B753" s="21" t="e" vm="204">
        <v>#VALUE!</v>
      </c>
      <c r="C753" s="109" t="str" cm="1">
        <f t="array" aca="1" ref="C753" ca="1">_FV(Table20[[#This Row],[Asset]],"Ticker symbol",TRUE)</f>
        <v>CRWV</v>
      </c>
      <c r="D753" s="26" cm="1">
        <f t="array" aca="1" ref="D753" ca="1">_FV(Table20[[#This Row],[Asset]],"Price")</f>
        <v>87.924999999999997</v>
      </c>
      <c r="E753" s="26">
        <v>200</v>
      </c>
      <c r="F753" s="33">
        <v>1</v>
      </c>
      <c r="G753" s="34">
        <v>1</v>
      </c>
      <c r="H753" s="34" t="s">
        <v>115</v>
      </c>
      <c r="I753" s="31">
        <v>45876</v>
      </c>
      <c r="J753" s="26">
        <v>3.01</v>
      </c>
      <c r="K753" s="24">
        <v>0.8</v>
      </c>
      <c r="L753" s="33">
        <f>VLOOKUP(Table20[[#This Row],[Strategy]],Table29[#All],6,FALSE)</f>
        <v>1</v>
      </c>
      <c r="M753" s="23">
        <v>1</v>
      </c>
      <c r="N753" s="23">
        <v>0.21</v>
      </c>
      <c r="O753" s="23"/>
      <c r="P753" s="23"/>
      <c r="Q753">
        <f>Table20[[#This Row],[Exit1]]*Table20[[#This Row],[ex1_price]]</f>
        <v>0.21</v>
      </c>
      <c r="R753">
        <f>Table20[[#This Row],[Exit2]]*Table20[[#This Row],[ex2_price]]</f>
        <v>0</v>
      </c>
      <c r="S753">
        <f>IFERROR((Table20[[#This Row],[ex2_amnt]]+Table20[[#This Row],[ex1_amnt]])/(Table20[[#This Row],[Exit2]]+Table20[[#This Row],[Exit1]]),0)</f>
        <v>0.21</v>
      </c>
      <c r="T753" s="5">
        <f>(Table20[[#This Row],[Exit1]]+Table20[[#This Row],[Exit2]])*(Table20[[#This Row],[avg_exit_price]]-Table20[[#This Row],[AvePrice]])*100*Table20[[#This Row],[Buy or Sell]]</f>
        <v>-280</v>
      </c>
      <c r="U753" s="5">
        <f>Table20[[#This Row],[Number of options]]*Table20[[#This Row],[AvePrice]]*100*Table20[[#This Row],[Buy or Sell]]</f>
        <v>301</v>
      </c>
      <c r="V753" s="8">
        <f>Table20[[#This Row],[Number of options]]-Table20[[#This Row],[Exit1]]-Table20[[#This Row],[Exit2]]</f>
        <v>0</v>
      </c>
      <c r="W753" s="30">
        <f ca="1">(Table20[[#This Row],[Expiration Date]]-TODAY())/365</f>
        <v>-0.43835616438356162</v>
      </c>
      <c r="X753" s="30" t="e">
        <f ca="1">(LN(Table20[[#This Row],[Current Price]]/Table20[[#This Row],[strike_price]]) + ($B$2 + (Table20[[#This Row],[Vol]]^2)/2)*Table20[[#This Row],[Time to expiration]]) / (Table20[[#This Row],[Vol]] * SQRT(Table20[[#This Row],[Time to expiration]]))</f>
        <v>#NUM!</v>
      </c>
      <c r="Y753" s="30" t="e">
        <f ca="1">IF(Table20[[#This Row],[Direction]]&gt;0, _xlfn.NORM.S.DIST(Table20[[#This Row],[d1]], TRUE), _xlfn.NORM.S.DIST(Table20[[#This Row],[d1]], TRUE) - 1) * Table20[[#This Row],[Buy or Sell]]</f>
        <v>#NUM!</v>
      </c>
      <c r="Z753" s="9">
        <f ca="1">Table20[[#This Row],[Remaining]]*Table20[[#This Row],[Current Price]]*100</f>
        <v>0</v>
      </c>
      <c r="AA753" s="22">
        <f ca="1">IFERROR(Table20[[#This Row],[nominal_exposure]]*Table20[[#This Row],[Delta]],0)</f>
        <v>0</v>
      </c>
      <c r="AB753" s="30" t="b">
        <f>IF(Table20[[#This Row],[date_purchased]]&lt;&gt;Table20[[#This Row],[Expiration Date]],FALSE,TRUE)</f>
        <v>0</v>
      </c>
      <c r="AC753" s="30" t="str">
        <f>VLOOKUP(Table20[[#This Row],[Asset]],Table19[#All],3,FALSE)</f>
        <v>AI</v>
      </c>
      <c r="AD753" s="30">
        <f>IF(Table20[[#This Row],[Remaining]]&lt;&gt;0,Table20[[#This Row],[Invested]]*Table20[[#This Row],[Remaining]]/Table20[[#This Row],[Number of options]],0)</f>
        <v>0</v>
      </c>
      <c r="AE753" s="30">
        <f ca="1">SUMIF(Table20[Ticker],Table20[[#This Row],[Ticker]],Table20[realized_profit])</f>
        <v>652.99999999999989</v>
      </c>
      <c r="AF753" s="30" t="str">
        <f>VLOOKUP(Table20[[#This Row],[Strategy]],Table29[#All],7,FALSE)</f>
        <v>Bullish</v>
      </c>
    </row>
    <row r="754" spans="1:32" hidden="1">
      <c r="A754" s="180">
        <v>45947</v>
      </c>
      <c r="B754" s="21" t="e" vm="96">
        <v>#VALUE!</v>
      </c>
      <c r="C754" s="109" t="str" cm="1">
        <f t="array" aca="1" ref="C754" ca="1">_FV(Table20[[#This Row],[Asset]],"Ticker symbol",TRUE)</f>
        <v>SPY</v>
      </c>
      <c r="D754" s="26" cm="1">
        <f t="array" aca="1" ref="D754" ca="1">_FV(Table20[[#This Row],[Asset]],"Price")</f>
        <v>658.59</v>
      </c>
      <c r="E754" s="26">
        <v>620</v>
      </c>
      <c r="F754" s="33">
        <v>2</v>
      </c>
      <c r="G754" s="34">
        <v>1</v>
      </c>
      <c r="H754" s="34" t="s">
        <v>112</v>
      </c>
      <c r="I754" s="31">
        <v>45883</v>
      </c>
      <c r="J754" s="26">
        <v>7.05</v>
      </c>
      <c r="K754" s="24">
        <v>0.16</v>
      </c>
      <c r="L754" s="33">
        <f>VLOOKUP(Table20[[#This Row],[Strategy]],Table29[#All],6,FALSE)</f>
        <v>-1</v>
      </c>
      <c r="M754" s="23">
        <v>2</v>
      </c>
      <c r="N754" s="23">
        <v>0.34</v>
      </c>
      <c r="O754" s="23"/>
      <c r="P754" s="23"/>
      <c r="Q754">
        <f>Table20[[#This Row],[Exit1]]*Table20[[#This Row],[ex1_price]]</f>
        <v>0.68</v>
      </c>
      <c r="R754">
        <f>Table20[[#This Row],[Exit2]]*Table20[[#This Row],[ex2_price]]</f>
        <v>0</v>
      </c>
      <c r="S754">
        <f>IFERROR((Table20[[#This Row],[ex2_amnt]]+Table20[[#This Row],[ex1_amnt]])/(Table20[[#This Row],[Exit2]]+Table20[[#This Row],[Exit1]]),0)</f>
        <v>0.34</v>
      </c>
      <c r="T754" s="5">
        <f>(Table20[[#This Row],[Exit1]]+Table20[[#This Row],[Exit2]])*(Table20[[#This Row],[avg_exit_price]]-Table20[[#This Row],[AvePrice]])*100*Table20[[#This Row],[Buy or Sell]]</f>
        <v>-1342</v>
      </c>
      <c r="U754" s="5">
        <f>Table20[[#This Row],[Number of options]]*Table20[[#This Row],[AvePrice]]*100*Table20[[#This Row],[Buy or Sell]]</f>
        <v>1410</v>
      </c>
      <c r="V754" s="8">
        <f>Table20[[#This Row],[Number of options]]-Table20[[#This Row],[Exit1]]-Table20[[#This Row],[Exit2]]</f>
        <v>0</v>
      </c>
      <c r="W754" s="30">
        <f ca="1">(Table20[[#This Row],[Expiration Date]]-TODAY())/365</f>
        <v>-0.43835616438356162</v>
      </c>
      <c r="X754" s="30" t="e">
        <f ca="1">(LN(Table20[[#This Row],[Current Price]]/Table20[[#This Row],[strike_price]]) + ($B$2 + (Table20[[#This Row],[Vol]]^2)/2)*Table20[[#This Row],[Time to expiration]]) / (Table20[[#This Row],[Vol]] * SQRT(Table20[[#This Row],[Time to expiration]]))</f>
        <v>#NUM!</v>
      </c>
      <c r="Y754" s="30" t="e">
        <f ca="1">IF(Table20[[#This Row],[Direction]]&gt;0, _xlfn.NORM.S.DIST(Table20[[#This Row],[d1]], TRUE), _xlfn.NORM.S.DIST(Table20[[#This Row],[d1]], TRUE) - 1) * Table20[[#This Row],[Buy or Sell]]</f>
        <v>#NUM!</v>
      </c>
      <c r="Z754" s="9">
        <f ca="1">Table20[[#This Row],[Remaining]]*Table20[[#This Row],[Current Price]]*100</f>
        <v>0</v>
      </c>
      <c r="AA754" s="22">
        <f ca="1">IFERROR(Table20[[#This Row],[nominal_exposure]]*Table20[[#This Row],[Delta]],0)</f>
        <v>0</v>
      </c>
      <c r="AB754" s="30" t="b">
        <f>IF(Table20[[#This Row],[date_purchased]]&lt;&gt;Table20[[#This Row],[Expiration Date]],FALSE,TRUE)</f>
        <v>0</v>
      </c>
      <c r="AC754" s="30" t="str">
        <f>VLOOKUP(Table20[[#This Row],[Asset]],Table19[#All],3,FALSE)</f>
        <v>Market</v>
      </c>
      <c r="AD754" s="30">
        <f>IF(Table20[[#This Row],[Remaining]]&lt;&gt;0,Table20[[#This Row],[Invested]]*Table20[[#This Row],[Remaining]]/Table20[[#This Row],[Number of options]],0)</f>
        <v>0</v>
      </c>
      <c r="AE754" s="30">
        <f ca="1">SUMIF(Table20[Ticker],Table20[[#This Row],[Ticker]],Table20[realized_profit])</f>
        <v>-5077</v>
      </c>
      <c r="AF754" s="30" t="str">
        <f>VLOOKUP(Table20[[#This Row],[Strategy]],Table29[#All],7,FALSE)</f>
        <v>Bearish</v>
      </c>
    </row>
    <row r="755" spans="1:32" hidden="1">
      <c r="A755" s="180">
        <v>45884</v>
      </c>
      <c r="B755" s="21" t="e" vm="163">
        <v>#VALUE!</v>
      </c>
      <c r="C755" s="109" t="str" cm="1">
        <f t="array" aca="1" ref="C755" ca="1">_FV(Table20[[#This Row],[Asset]],"Ticker symbol",TRUE)</f>
        <v>LLY</v>
      </c>
      <c r="D755" s="26" cm="1">
        <f t="array" aca="1" ref="D755" ca="1">_FV(Table20[[#This Row],[Asset]],"Price")</f>
        <v>910.82500000000005</v>
      </c>
      <c r="E755" s="26">
        <v>700</v>
      </c>
      <c r="F755" s="33">
        <v>2</v>
      </c>
      <c r="G755" s="34">
        <v>1</v>
      </c>
      <c r="H755" s="34" t="s">
        <v>114</v>
      </c>
      <c r="I755" s="31">
        <v>45876</v>
      </c>
      <c r="J755" s="26">
        <v>2.2999999999999998</v>
      </c>
      <c r="K755" s="24"/>
      <c r="L755" s="33">
        <f>VLOOKUP(Table20[[#This Row],[Strategy]],Table29[#All],6,FALSE)</f>
        <v>1</v>
      </c>
      <c r="M755" s="23">
        <v>2</v>
      </c>
      <c r="N755" s="23">
        <v>1.1299999999999999</v>
      </c>
      <c r="O755" s="23"/>
      <c r="P755" s="23"/>
      <c r="Q755">
        <f>Table20[[#This Row],[Exit1]]*Table20[[#This Row],[ex1_price]]</f>
        <v>2.2599999999999998</v>
      </c>
      <c r="R755">
        <f>Table20[[#This Row],[Exit2]]*Table20[[#This Row],[ex2_price]]</f>
        <v>0</v>
      </c>
      <c r="S755">
        <f>IFERROR((Table20[[#This Row],[ex2_amnt]]+Table20[[#This Row],[ex1_amnt]])/(Table20[[#This Row],[Exit2]]+Table20[[#This Row],[Exit1]]),0)</f>
        <v>1.1299999999999999</v>
      </c>
      <c r="T755" s="5">
        <f>(Table20[[#This Row],[Exit1]]+Table20[[#This Row],[Exit2]])*(Table20[[#This Row],[avg_exit_price]]-Table20[[#This Row],[AvePrice]])*100*Table20[[#This Row],[Buy or Sell]]</f>
        <v>-234</v>
      </c>
      <c r="U755" s="5">
        <f>Table20[[#This Row],[Number of options]]*Table20[[#This Row],[AvePrice]]*100*Table20[[#This Row],[Buy or Sell]]</f>
        <v>459.99999999999994</v>
      </c>
      <c r="V755" s="8">
        <f>Table20[[#This Row],[Number of options]]-Table20[[#This Row],[Exit1]]-Table20[[#This Row],[Exit2]]</f>
        <v>0</v>
      </c>
      <c r="W755" s="30">
        <f ca="1">(Table20[[#This Row],[Expiration Date]]-TODAY())/365</f>
        <v>-0.61095890410958908</v>
      </c>
      <c r="X755" s="30" t="e">
        <f ca="1">(LN(Table20[[#This Row],[Current Price]]/Table20[[#This Row],[strike_price]]) + ($B$2 + (Table20[[#This Row],[Vol]]^2)/2)*Table20[[#This Row],[Time to expiration]]) / (Table20[[#This Row],[Vol]] * SQRT(Table20[[#This Row],[Time to expiration]]))</f>
        <v>#NUM!</v>
      </c>
      <c r="Y755" s="30" t="e">
        <f ca="1">IF(Table20[[#This Row],[Direction]]&gt;0, _xlfn.NORM.S.DIST(Table20[[#This Row],[d1]], TRUE), _xlfn.NORM.S.DIST(Table20[[#This Row],[d1]], TRUE) - 1) * Table20[[#This Row],[Buy or Sell]]</f>
        <v>#NUM!</v>
      </c>
      <c r="Z755" s="9">
        <f ca="1">Table20[[#This Row],[Remaining]]*Table20[[#This Row],[Current Price]]*100</f>
        <v>0</v>
      </c>
      <c r="AA755" s="22">
        <f ca="1">IFERROR(Table20[[#This Row],[nominal_exposure]]*Table20[[#This Row],[Delta]],0)</f>
        <v>0</v>
      </c>
      <c r="AB755" s="30" t="b">
        <f>IF(Table20[[#This Row],[date_purchased]]&lt;&gt;Table20[[#This Row],[Expiration Date]],FALSE,TRUE)</f>
        <v>0</v>
      </c>
      <c r="AC755" s="30" t="str">
        <f>VLOOKUP(Table20[[#This Row],[Asset]],Table19[#All],3,FALSE)</f>
        <v>Health Care</v>
      </c>
      <c r="AD755" s="30">
        <f>IF(Table20[[#This Row],[Remaining]]&lt;&gt;0,Table20[[#This Row],[Invested]]*Table20[[#This Row],[Remaining]]/Table20[[#This Row],[Number of options]],0)</f>
        <v>0</v>
      </c>
      <c r="AE755" s="30">
        <f ca="1">SUMIF(Table20[Ticker],Table20[[#This Row],[Ticker]],Table20[realized_profit])</f>
        <v>8506.9999999999982</v>
      </c>
      <c r="AF755" s="30" t="str">
        <f>VLOOKUP(Table20[[#This Row],[Strategy]],Table29[#All],7,FALSE)</f>
        <v>Bullish</v>
      </c>
    </row>
    <row r="756" spans="1:32" hidden="1">
      <c r="A756" s="180">
        <v>45884</v>
      </c>
      <c r="B756" s="21" t="e" vm="163">
        <v>#VALUE!</v>
      </c>
      <c r="C756" s="109" t="str" cm="1">
        <f t="array" aca="1" ref="C756" ca="1">_FV(Table20[[#This Row],[Asset]],"Ticker symbol",TRUE)</f>
        <v>LLY</v>
      </c>
      <c r="D756" s="26" cm="1">
        <f t="array" aca="1" ref="D756" ca="1">_FV(Table20[[#This Row],[Asset]],"Price")</f>
        <v>910.82500000000005</v>
      </c>
      <c r="E756" s="26">
        <v>740</v>
      </c>
      <c r="F756" s="33">
        <v>2</v>
      </c>
      <c r="G756" s="34">
        <v>-1</v>
      </c>
      <c r="H756" s="34" t="s">
        <v>114</v>
      </c>
      <c r="I756" s="31">
        <v>45876</v>
      </c>
      <c r="J756" s="26">
        <v>0.6</v>
      </c>
      <c r="K756" s="24"/>
      <c r="L756" s="33">
        <f>VLOOKUP(Table20[[#This Row],[Strategy]],Table29[#All],6,FALSE)</f>
        <v>1</v>
      </c>
      <c r="M756" s="23">
        <v>2</v>
      </c>
      <c r="N756" s="23">
        <v>0.03</v>
      </c>
      <c r="O756" s="23"/>
      <c r="P756" s="23"/>
      <c r="Q756">
        <f>Table20[[#This Row],[Exit1]]*Table20[[#This Row],[ex1_price]]</f>
        <v>0.06</v>
      </c>
      <c r="R756">
        <f>Table20[[#This Row],[Exit2]]*Table20[[#This Row],[ex2_price]]</f>
        <v>0</v>
      </c>
      <c r="S756">
        <f>IFERROR((Table20[[#This Row],[ex2_amnt]]+Table20[[#This Row],[ex1_amnt]])/(Table20[[#This Row],[Exit2]]+Table20[[#This Row],[Exit1]]),0)</f>
        <v>0.03</v>
      </c>
      <c r="T756" s="5">
        <f>(Table20[[#This Row],[Exit1]]+Table20[[#This Row],[Exit2]])*(Table20[[#This Row],[avg_exit_price]]-Table20[[#This Row],[AvePrice]])*100*Table20[[#This Row],[Buy or Sell]]</f>
        <v>113.99999999999999</v>
      </c>
      <c r="U756" s="5">
        <f>Table20[[#This Row],[Number of options]]*Table20[[#This Row],[AvePrice]]*100*Table20[[#This Row],[Buy or Sell]]</f>
        <v>-120</v>
      </c>
      <c r="V756" s="8">
        <f>Table20[[#This Row],[Number of options]]-Table20[[#This Row],[Exit1]]-Table20[[#This Row],[Exit2]]</f>
        <v>0</v>
      </c>
      <c r="W756" s="30">
        <f ca="1">(Table20[[#This Row],[Expiration Date]]-TODAY())/365</f>
        <v>-0.61095890410958908</v>
      </c>
      <c r="X756" s="30" t="e">
        <f ca="1">(LN(Table20[[#This Row],[Current Price]]/Table20[[#This Row],[strike_price]]) + ($B$2 + (Table20[[#This Row],[Vol]]^2)/2)*Table20[[#This Row],[Time to expiration]]) / (Table20[[#This Row],[Vol]] * SQRT(Table20[[#This Row],[Time to expiration]]))</f>
        <v>#NUM!</v>
      </c>
      <c r="Y756" s="30" t="e">
        <f ca="1">IF(Table20[[#This Row],[Direction]]&gt;0, _xlfn.NORM.S.DIST(Table20[[#This Row],[d1]], TRUE), _xlfn.NORM.S.DIST(Table20[[#This Row],[d1]], TRUE) - 1) * Table20[[#This Row],[Buy or Sell]]</f>
        <v>#NUM!</v>
      </c>
      <c r="Z756" s="9">
        <f ca="1">Table20[[#This Row],[Remaining]]*Table20[[#This Row],[Current Price]]*100</f>
        <v>0</v>
      </c>
      <c r="AA756" s="22">
        <f ca="1">IFERROR(Table20[[#This Row],[nominal_exposure]]*Table20[[#This Row],[Delta]],0)</f>
        <v>0</v>
      </c>
      <c r="AB756" s="30" t="b">
        <f>IF(Table20[[#This Row],[date_purchased]]&lt;&gt;Table20[[#This Row],[Expiration Date]],FALSE,TRUE)</f>
        <v>0</v>
      </c>
      <c r="AC756" s="30" t="str">
        <f>VLOOKUP(Table20[[#This Row],[Asset]],Table19[#All],3,FALSE)</f>
        <v>Health Care</v>
      </c>
      <c r="AD756" s="30">
        <f>IF(Table20[[#This Row],[Remaining]]&lt;&gt;0,Table20[[#This Row],[Invested]]*Table20[[#This Row],[Remaining]]/Table20[[#This Row],[Number of options]],0)</f>
        <v>0</v>
      </c>
      <c r="AE756" s="30">
        <f ca="1">SUMIF(Table20[Ticker],Table20[[#This Row],[Ticker]],Table20[realized_profit])</f>
        <v>8506.9999999999982</v>
      </c>
      <c r="AF756" s="30" t="str">
        <f>VLOOKUP(Table20[[#This Row],[Strategy]],Table29[#All],7,FALSE)</f>
        <v>Bullish</v>
      </c>
    </row>
    <row r="757" spans="1:32" hidden="1">
      <c r="A757" s="180">
        <v>45947</v>
      </c>
      <c r="B757" s="21" t="e" vm="96">
        <v>#VALUE!</v>
      </c>
      <c r="C757" s="109" t="str" cm="1">
        <f t="array" aca="1" ref="C757" ca="1">_FV(Table20[[#This Row],[Asset]],"Ticker symbol",TRUE)</f>
        <v>SPY</v>
      </c>
      <c r="D757" s="26" cm="1">
        <f t="array" aca="1" ref="D757" ca="1">_FV(Table20[[#This Row],[Asset]],"Price")</f>
        <v>658.59</v>
      </c>
      <c r="E757" s="26">
        <v>600</v>
      </c>
      <c r="F757" s="33">
        <v>2</v>
      </c>
      <c r="G757" s="34">
        <v>-1</v>
      </c>
      <c r="H757" s="34" t="s">
        <v>112</v>
      </c>
      <c r="I757" s="31">
        <v>45883</v>
      </c>
      <c r="J757" s="26">
        <v>4.55</v>
      </c>
      <c r="K757" s="24">
        <v>0.16</v>
      </c>
      <c r="L757" s="33">
        <f>VLOOKUP(Table20[[#This Row],[Strategy]],Table29[#All],6,FALSE)</f>
        <v>-1</v>
      </c>
      <c r="M757" s="23">
        <v>2</v>
      </c>
      <c r="N757" s="23">
        <v>0.21</v>
      </c>
      <c r="O757" s="23"/>
      <c r="P757" s="23"/>
      <c r="Q757">
        <f>Table20[[#This Row],[Exit1]]*Table20[[#This Row],[ex1_price]]</f>
        <v>0.42</v>
      </c>
      <c r="R757">
        <f>Table20[[#This Row],[Exit2]]*Table20[[#This Row],[ex2_price]]</f>
        <v>0</v>
      </c>
      <c r="S757">
        <f>IFERROR((Table20[[#This Row],[ex2_amnt]]+Table20[[#This Row],[ex1_amnt]])/(Table20[[#This Row],[Exit2]]+Table20[[#This Row],[Exit1]]),0)</f>
        <v>0.21</v>
      </c>
      <c r="T757" s="5">
        <f>(Table20[[#This Row],[Exit1]]+Table20[[#This Row],[Exit2]])*(Table20[[#This Row],[avg_exit_price]]-Table20[[#This Row],[AvePrice]])*100*Table20[[#This Row],[Buy or Sell]]</f>
        <v>868</v>
      </c>
      <c r="U757" s="5">
        <f>Table20[[#This Row],[Number of options]]*Table20[[#This Row],[AvePrice]]*100*Table20[[#This Row],[Buy or Sell]]</f>
        <v>-910</v>
      </c>
      <c r="V757" s="8">
        <f>Table20[[#This Row],[Number of options]]-Table20[[#This Row],[Exit1]]-Table20[[#This Row],[Exit2]]</f>
        <v>0</v>
      </c>
      <c r="W757" s="30">
        <f ca="1">(Table20[[#This Row],[Expiration Date]]-TODAY())/365</f>
        <v>-0.43835616438356162</v>
      </c>
      <c r="X757" s="30" t="e">
        <f ca="1">(LN(Table20[[#This Row],[Current Price]]/Table20[[#This Row],[strike_price]]) + ($B$2 + (Table20[[#This Row],[Vol]]^2)/2)*Table20[[#This Row],[Time to expiration]]) / (Table20[[#This Row],[Vol]] * SQRT(Table20[[#This Row],[Time to expiration]]))</f>
        <v>#NUM!</v>
      </c>
      <c r="Y757" s="30" t="e">
        <f ca="1">IF(Table20[[#This Row],[Direction]]&gt;0, _xlfn.NORM.S.DIST(Table20[[#This Row],[d1]], TRUE), _xlfn.NORM.S.DIST(Table20[[#This Row],[d1]], TRUE) - 1) * Table20[[#This Row],[Buy or Sell]]</f>
        <v>#NUM!</v>
      </c>
      <c r="Z757" s="9">
        <f ca="1">Table20[[#This Row],[Remaining]]*Table20[[#This Row],[Current Price]]*100</f>
        <v>0</v>
      </c>
      <c r="AA757" s="22">
        <f ca="1">IFERROR(Table20[[#This Row],[nominal_exposure]]*Table20[[#This Row],[Delta]],0)</f>
        <v>0</v>
      </c>
      <c r="AB757" s="30" t="b">
        <f>IF(Table20[[#This Row],[date_purchased]]&lt;&gt;Table20[[#This Row],[Expiration Date]],FALSE,TRUE)</f>
        <v>0</v>
      </c>
      <c r="AC757" s="30" t="str">
        <f>VLOOKUP(Table20[[#This Row],[Asset]],Table19[#All],3,FALSE)</f>
        <v>Market</v>
      </c>
      <c r="AD757" s="30">
        <f>IF(Table20[[#This Row],[Remaining]]&lt;&gt;0,Table20[[#This Row],[Invested]]*Table20[[#This Row],[Remaining]]/Table20[[#This Row],[Number of options]],0)</f>
        <v>0</v>
      </c>
      <c r="AE757" s="30">
        <f ca="1">SUMIF(Table20[Ticker],Table20[[#This Row],[Ticker]],Table20[realized_profit])</f>
        <v>-5077</v>
      </c>
      <c r="AF757" s="30" t="str">
        <f>VLOOKUP(Table20[[#This Row],[Strategy]],Table29[#All],7,FALSE)</f>
        <v>Bearish</v>
      </c>
    </row>
    <row r="758" spans="1:32" hidden="1">
      <c r="A758" s="180">
        <v>45947</v>
      </c>
      <c r="B758" s="21" t="e" vm="204">
        <v>#VALUE!</v>
      </c>
      <c r="C758" s="109" t="str" cm="1">
        <f t="array" aca="1" ref="C758" ca="1">_FV(Table20[[#This Row],[Asset]],"Ticker symbol",TRUE)</f>
        <v>CRWV</v>
      </c>
      <c r="D758" s="26" cm="1">
        <f t="array" aca="1" ref="D758" ca="1">_FV(Table20[[#This Row],[Asset]],"Price")</f>
        <v>87.924999999999997</v>
      </c>
      <c r="E758" s="26">
        <v>130</v>
      </c>
      <c r="F758" s="33">
        <v>2</v>
      </c>
      <c r="G758" s="34">
        <v>1</v>
      </c>
      <c r="H758" s="34" t="s">
        <v>114</v>
      </c>
      <c r="I758" s="31">
        <v>45890</v>
      </c>
      <c r="J758" s="26">
        <v>2.96</v>
      </c>
      <c r="K758" s="24">
        <v>0.8</v>
      </c>
      <c r="L758" s="33">
        <f>VLOOKUP(Table20[[#This Row],[Strategy]],Table29[#All],6,FALSE)</f>
        <v>1</v>
      </c>
      <c r="M758" s="23">
        <v>2</v>
      </c>
      <c r="N758" s="23">
        <v>9.4</v>
      </c>
      <c r="O758" s="23"/>
      <c r="P758" s="23"/>
      <c r="Q758">
        <f>Table20[[#This Row],[Exit1]]*Table20[[#This Row],[ex1_price]]</f>
        <v>18.8</v>
      </c>
      <c r="R758">
        <f>Table20[[#This Row],[Exit2]]*Table20[[#This Row],[ex2_price]]</f>
        <v>0</v>
      </c>
      <c r="S758">
        <f>IFERROR((Table20[[#This Row],[ex2_amnt]]+Table20[[#This Row],[ex1_amnt]])/(Table20[[#This Row],[Exit2]]+Table20[[#This Row],[Exit1]]),0)</f>
        <v>9.4</v>
      </c>
      <c r="T758" s="5">
        <f>(Table20[[#This Row],[Exit1]]+Table20[[#This Row],[Exit2]])*(Table20[[#This Row],[avg_exit_price]]-Table20[[#This Row],[AvePrice]])*100*Table20[[#This Row],[Buy or Sell]]</f>
        <v>1288</v>
      </c>
      <c r="U758" s="5">
        <f>Table20[[#This Row],[Number of options]]*Table20[[#This Row],[AvePrice]]*100*Table20[[#This Row],[Buy or Sell]]</f>
        <v>592</v>
      </c>
      <c r="V758" s="8">
        <f>Table20[[#This Row],[Number of options]]-Table20[[#This Row],[Exit1]]-Table20[[#This Row],[Exit2]]</f>
        <v>0</v>
      </c>
      <c r="W758" s="30">
        <f ca="1">(Table20[[#This Row],[Expiration Date]]-TODAY())/365</f>
        <v>-0.43835616438356162</v>
      </c>
      <c r="X758" s="30" t="e">
        <f ca="1">(LN(Table20[[#This Row],[Current Price]]/Table20[[#This Row],[strike_price]]) + ($B$2 + (Table20[[#This Row],[Vol]]^2)/2)*Table20[[#This Row],[Time to expiration]]) / (Table20[[#This Row],[Vol]] * SQRT(Table20[[#This Row],[Time to expiration]]))</f>
        <v>#NUM!</v>
      </c>
      <c r="Y758" s="30" t="e">
        <f ca="1">IF(Table20[[#This Row],[Direction]]&gt;0, _xlfn.NORM.S.DIST(Table20[[#This Row],[d1]], TRUE), _xlfn.NORM.S.DIST(Table20[[#This Row],[d1]], TRUE) - 1) * Table20[[#This Row],[Buy or Sell]]</f>
        <v>#NUM!</v>
      </c>
      <c r="Z758" s="9">
        <f ca="1">Table20[[#This Row],[Remaining]]*Table20[[#This Row],[Current Price]]*100</f>
        <v>0</v>
      </c>
      <c r="AA758" s="22">
        <f ca="1">IFERROR(Table20[[#This Row],[nominal_exposure]]*Table20[[#This Row],[Delta]],0)</f>
        <v>0</v>
      </c>
      <c r="AB758" s="30" t="b">
        <f>IF(Table20[[#This Row],[date_purchased]]&lt;&gt;Table20[[#This Row],[Expiration Date]],FALSE,TRUE)</f>
        <v>0</v>
      </c>
      <c r="AC758" s="30" t="str">
        <f>VLOOKUP(Table20[[#This Row],[Asset]],Table19[#All],3,FALSE)</f>
        <v>AI</v>
      </c>
      <c r="AD758" s="30">
        <f>IF(Table20[[#This Row],[Remaining]]&lt;&gt;0,Table20[[#This Row],[Invested]]*Table20[[#This Row],[Remaining]]/Table20[[#This Row],[Number of options]],0)</f>
        <v>0</v>
      </c>
      <c r="AE758" s="30">
        <f ca="1">SUMIF(Table20[Ticker],Table20[[#This Row],[Ticker]],Table20[realized_profit])</f>
        <v>652.99999999999989</v>
      </c>
      <c r="AF758" s="30" t="str">
        <f>VLOOKUP(Table20[[#This Row],[Strategy]],Table29[#All],7,FALSE)</f>
        <v>Bullish</v>
      </c>
    </row>
    <row r="759" spans="1:32" hidden="1">
      <c r="A759" s="180">
        <v>45947</v>
      </c>
      <c r="B759" s="21" t="e" vm="204">
        <v>#VALUE!</v>
      </c>
      <c r="C759" s="109" t="str" cm="1">
        <f t="array" aca="1" ref="C759" ca="1">_FV(Table20[[#This Row],[Asset]],"Ticker symbol",TRUE)</f>
        <v>CRWV</v>
      </c>
      <c r="D759" s="26" cm="1">
        <f t="array" aca="1" ref="D759" ca="1">_FV(Table20[[#This Row],[Asset]],"Price")</f>
        <v>87.924999999999997</v>
      </c>
      <c r="E759" s="26">
        <v>150</v>
      </c>
      <c r="F759" s="33">
        <v>2</v>
      </c>
      <c r="G759" s="34">
        <v>-1</v>
      </c>
      <c r="H759" s="34" t="s">
        <v>114</v>
      </c>
      <c r="I759" s="31">
        <v>45890</v>
      </c>
      <c r="J759" s="26">
        <v>1.57</v>
      </c>
      <c r="K759" s="24">
        <v>0.8</v>
      </c>
      <c r="L759" s="33">
        <f>VLOOKUP(Table20[[#This Row],[Strategy]],Table29[#All],6,FALSE)</f>
        <v>1</v>
      </c>
      <c r="M759" s="23">
        <v>2</v>
      </c>
      <c r="N759" s="23">
        <v>2.64</v>
      </c>
      <c r="O759" s="23"/>
      <c r="P759" s="23"/>
      <c r="Q759">
        <f>Table20[[#This Row],[Exit1]]*Table20[[#This Row],[ex1_price]]</f>
        <v>5.28</v>
      </c>
      <c r="R759">
        <f>Table20[[#This Row],[Exit2]]*Table20[[#This Row],[ex2_price]]</f>
        <v>0</v>
      </c>
      <c r="S759">
        <f>IFERROR((Table20[[#This Row],[ex2_amnt]]+Table20[[#This Row],[ex1_amnt]])/(Table20[[#This Row],[Exit2]]+Table20[[#This Row],[Exit1]]),0)</f>
        <v>2.64</v>
      </c>
      <c r="T759" s="5">
        <f>(Table20[[#This Row],[Exit1]]+Table20[[#This Row],[Exit2]])*(Table20[[#This Row],[avg_exit_price]]-Table20[[#This Row],[AvePrice]])*100*Table20[[#This Row],[Buy or Sell]]</f>
        <v>-214</v>
      </c>
      <c r="U759" s="5">
        <f>Table20[[#This Row],[Number of options]]*Table20[[#This Row],[AvePrice]]*100*Table20[[#This Row],[Buy or Sell]]</f>
        <v>-314</v>
      </c>
      <c r="V759" s="8">
        <f>Table20[[#This Row],[Number of options]]-Table20[[#This Row],[Exit1]]-Table20[[#This Row],[Exit2]]</f>
        <v>0</v>
      </c>
      <c r="W759" s="30">
        <f ca="1">(Table20[[#This Row],[Expiration Date]]-TODAY())/365</f>
        <v>-0.43835616438356162</v>
      </c>
      <c r="X759" s="30" t="e">
        <f ca="1">(LN(Table20[[#This Row],[Current Price]]/Table20[[#This Row],[strike_price]]) + ($B$2 + (Table20[[#This Row],[Vol]]^2)/2)*Table20[[#This Row],[Time to expiration]]) / (Table20[[#This Row],[Vol]] * SQRT(Table20[[#This Row],[Time to expiration]]))</f>
        <v>#NUM!</v>
      </c>
      <c r="Y759" s="30" t="e">
        <f ca="1">IF(Table20[[#This Row],[Direction]]&gt;0, _xlfn.NORM.S.DIST(Table20[[#This Row],[d1]], TRUE), _xlfn.NORM.S.DIST(Table20[[#This Row],[d1]], TRUE) - 1) * Table20[[#This Row],[Buy or Sell]]</f>
        <v>#NUM!</v>
      </c>
      <c r="Z759" s="9">
        <f ca="1">Table20[[#This Row],[Remaining]]*Table20[[#This Row],[Current Price]]*100</f>
        <v>0</v>
      </c>
      <c r="AA759" s="22">
        <f ca="1">IFERROR(Table20[[#This Row],[nominal_exposure]]*Table20[[#This Row],[Delta]],0)</f>
        <v>0</v>
      </c>
      <c r="AB759" s="30" t="b">
        <f>IF(Table20[[#This Row],[date_purchased]]&lt;&gt;Table20[[#This Row],[Expiration Date]],FALSE,TRUE)</f>
        <v>0</v>
      </c>
      <c r="AC759" s="30" t="str">
        <f>VLOOKUP(Table20[[#This Row],[Asset]],Table19[#All],3,FALSE)</f>
        <v>AI</v>
      </c>
      <c r="AD759" s="30">
        <f>IF(Table20[[#This Row],[Remaining]]&lt;&gt;0,Table20[[#This Row],[Invested]]*Table20[[#This Row],[Remaining]]/Table20[[#This Row],[Number of options]],0)</f>
        <v>0</v>
      </c>
      <c r="AE759" s="30">
        <f ca="1">SUMIF(Table20[Ticker],Table20[[#This Row],[Ticker]],Table20[realized_profit])</f>
        <v>652.99999999999989</v>
      </c>
      <c r="AF759" s="30" t="str">
        <f>VLOOKUP(Table20[[#This Row],[Strategy]],Table29[#All],7,FALSE)</f>
        <v>Bullish</v>
      </c>
    </row>
    <row r="760" spans="1:32" hidden="1">
      <c r="A760" s="180">
        <v>45884</v>
      </c>
      <c r="B760" s="21" t="e" vm="163">
        <v>#VALUE!</v>
      </c>
      <c r="C760" s="109" t="str" cm="1">
        <f t="array" aca="1" ref="C760" ca="1">_FV(Table20[[#This Row],[Asset]],"Ticker symbol",TRUE)</f>
        <v>LLY</v>
      </c>
      <c r="D760" s="26" cm="1">
        <f t="array" aca="1" ref="D760" ca="1">_FV(Table20[[#This Row],[Asset]],"Price")</f>
        <v>910.82500000000005</v>
      </c>
      <c r="E760" s="26">
        <v>670</v>
      </c>
      <c r="F760" s="33">
        <v>2</v>
      </c>
      <c r="G760" s="34">
        <v>1</v>
      </c>
      <c r="H760" s="34" t="s">
        <v>113</v>
      </c>
      <c r="I760" s="31">
        <v>45880</v>
      </c>
      <c r="J760" s="26">
        <v>1.49</v>
      </c>
      <c r="K760" s="24"/>
      <c r="L760" s="33">
        <f>VLOOKUP(Table20[[#This Row],[Strategy]],Table29[#All],6,FALSE)</f>
        <v>1</v>
      </c>
      <c r="M760" s="23">
        <v>2</v>
      </c>
      <c r="N760" s="23">
        <v>1.01</v>
      </c>
      <c r="O760" s="23"/>
      <c r="P760" s="23"/>
      <c r="Q760">
        <f>Table20[[#This Row],[Exit1]]*Table20[[#This Row],[ex1_price]]</f>
        <v>2.02</v>
      </c>
      <c r="R760">
        <f>Table20[[#This Row],[Exit2]]*Table20[[#This Row],[ex2_price]]</f>
        <v>0</v>
      </c>
      <c r="S760">
        <f>IFERROR((Table20[[#This Row],[ex2_amnt]]+Table20[[#This Row],[ex1_amnt]])/(Table20[[#This Row],[Exit2]]+Table20[[#This Row],[Exit1]]),0)</f>
        <v>1.01</v>
      </c>
      <c r="T760" s="5">
        <f>(Table20[[#This Row],[Exit1]]+Table20[[#This Row],[Exit2]])*(Table20[[#This Row],[avg_exit_price]]-Table20[[#This Row],[AvePrice]])*100*Table20[[#This Row],[Buy or Sell]]</f>
        <v>-96</v>
      </c>
      <c r="U760" s="5">
        <f>Table20[[#This Row],[Number of options]]*Table20[[#This Row],[AvePrice]]*100*Table20[[#This Row],[Buy or Sell]]</f>
        <v>298</v>
      </c>
      <c r="V760" s="8">
        <f>Table20[[#This Row],[Number of options]]-Table20[[#This Row],[Exit1]]-Table20[[#This Row],[Exit2]]</f>
        <v>0</v>
      </c>
      <c r="W760" s="30">
        <f ca="1">(Table20[[#This Row],[Expiration Date]]-TODAY())/365</f>
        <v>-0.61095890410958908</v>
      </c>
      <c r="X760" s="30" t="e">
        <f ca="1">(LN(Table20[[#This Row],[Current Price]]/Table20[[#This Row],[strike_price]]) + ($B$2 + (Table20[[#This Row],[Vol]]^2)/2)*Table20[[#This Row],[Time to expiration]]) / (Table20[[#This Row],[Vol]] * SQRT(Table20[[#This Row],[Time to expiration]]))</f>
        <v>#NUM!</v>
      </c>
      <c r="Y760" s="30" t="e">
        <f ca="1">IF(Table20[[#This Row],[Direction]]&gt;0, _xlfn.NORM.S.DIST(Table20[[#This Row],[d1]], TRUE), _xlfn.NORM.S.DIST(Table20[[#This Row],[d1]], TRUE) - 1) * Table20[[#This Row],[Buy or Sell]]</f>
        <v>#NUM!</v>
      </c>
      <c r="Z760" s="9">
        <f ca="1">Table20[[#This Row],[Remaining]]*Table20[[#This Row],[Current Price]]*100</f>
        <v>0</v>
      </c>
      <c r="AA760" s="22">
        <f ca="1">IFERROR(Table20[[#This Row],[nominal_exposure]]*Table20[[#This Row],[Delta]],0)</f>
        <v>0</v>
      </c>
      <c r="AB760" s="30" t="b">
        <f>IF(Table20[[#This Row],[date_purchased]]&lt;&gt;Table20[[#This Row],[Expiration Date]],FALSE,TRUE)</f>
        <v>0</v>
      </c>
      <c r="AC760" s="30" t="str">
        <f>VLOOKUP(Table20[[#This Row],[Asset]],Table19[#All],3,FALSE)</f>
        <v>Health Care</v>
      </c>
      <c r="AD760" s="30">
        <f>IF(Table20[[#This Row],[Remaining]]&lt;&gt;0,Table20[[#This Row],[Invested]]*Table20[[#This Row],[Remaining]]/Table20[[#This Row],[Number of options]],0)</f>
        <v>0</v>
      </c>
      <c r="AE760" s="30">
        <f ca="1">SUMIF(Table20[Ticker],Table20[[#This Row],[Ticker]],Table20[realized_profit])</f>
        <v>8506.9999999999982</v>
      </c>
      <c r="AF760" s="30" t="str">
        <f>VLOOKUP(Table20[[#This Row],[Strategy]],Table29[#All],7,FALSE)</f>
        <v>Bullish</v>
      </c>
    </row>
    <row r="761" spans="1:32" hidden="1">
      <c r="A761" s="180">
        <v>45884</v>
      </c>
      <c r="B761" s="21" t="e" vm="163">
        <v>#VALUE!</v>
      </c>
      <c r="C761" s="109" t="str" cm="1">
        <f t="array" aca="1" ref="C761" ca="1">_FV(Table20[[#This Row],[Asset]],"Ticker symbol",TRUE)</f>
        <v>LLY</v>
      </c>
      <c r="D761" s="26" cm="1">
        <f t="array" aca="1" ref="D761" ca="1">_FV(Table20[[#This Row],[Asset]],"Price")</f>
        <v>910.82500000000005</v>
      </c>
      <c r="E761" s="26">
        <v>660</v>
      </c>
      <c r="F761" s="33">
        <v>1</v>
      </c>
      <c r="G761" s="34">
        <v>1</v>
      </c>
      <c r="H761" s="34" t="s">
        <v>113</v>
      </c>
      <c r="I761" s="31">
        <v>45881</v>
      </c>
      <c r="J761" s="26">
        <v>2.4500000000000002</v>
      </c>
      <c r="K761" s="24"/>
      <c r="L761" s="33">
        <f>VLOOKUP(Table20[[#This Row],[Strategy]],Table29[#All],6,FALSE)</f>
        <v>1</v>
      </c>
      <c r="M761" s="23">
        <v>1</v>
      </c>
      <c r="N761" s="23">
        <v>16.559999999999999</v>
      </c>
      <c r="O761" s="23"/>
      <c r="P761" s="23"/>
      <c r="Q761">
        <f>Table20[[#This Row],[Exit1]]*Table20[[#This Row],[ex1_price]]</f>
        <v>16.559999999999999</v>
      </c>
      <c r="R761">
        <f>Table20[[#This Row],[Exit2]]*Table20[[#This Row],[ex2_price]]</f>
        <v>0</v>
      </c>
      <c r="S761">
        <f>IFERROR((Table20[[#This Row],[ex2_amnt]]+Table20[[#This Row],[ex1_amnt]])/(Table20[[#This Row],[Exit2]]+Table20[[#This Row],[Exit1]]),0)</f>
        <v>16.559999999999999</v>
      </c>
      <c r="T761" s="5">
        <f>(Table20[[#This Row],[Exit1]]+Table20[[#This Row],[Exit2]])*(Table20[[#This Row],[avg_exit_price]]-Table20[[#This Row],[AvePrice]])*100*Table20[[#This Row],[Buy or Sell]]</f>
        <v>1411</v>
      </c>
      <c r="U761" s="5">
        <f>Table20[[#This Row],[Number of options]]*Table20[[#This Row],[AvePrice]]*100*Table20[[#This Row],[Buy or Sell]]</f>
        <v>245.00000000000003</v>
      </c>
      <c r="V761" s="8">
        <f>Table20[[#This Row],[Number of options]]-Table20[[#This Row],[Exit1]]-Table20[[#This Row],[Exit2]]</f>
        <v>0</v>
      </c>
      <c r="W761" s="30">
        <f ca="1">(Table20[[#This Row],[Expiration Date]]-TODAY())/365</f>
        <v>-0.61095890410958908</v>
      </c>
      <c r="X761" s="30" t="e">
        <f ca="1">(LN(Table20[[#This Row],[Current Price]]/Table20[[#This Row],[strike_price]]) + ($B$2 + (Table20[[#This Row],[Vol]]^2)/2)*Table20[[#This Row],[Time to expiration]]) / (Table20[[#This Row],[Vol]] * SQRT(Table20[[#This Row],[Time to expiration]]))</f>
        <v>#NUM!</v>
      </c>
      <c r="Y761" s="30" t="e">
        <f ca="1">IF(Table20[[#This Row],[Direction]]&gt;0, _xlfn.NORM.S.DIST(Table20[[#This Row],[d1]], TRUE), _xlfn.NORM.S.DIST(Table20[[#This Row],[d1]], TRUE) - 1) * Table20[[#This Row],[Buy or Sell]]</f>
        <v>#NUM!</v>
      </c>
      <c r="Z761" s="9">
        <f ca="1">Table20[[#This Row],[Remaining]]*Table20[[#This Row],[Current Price]]*100</f>
        <v>0</v>
      </c>
      <c r="AA761" s="22">
        <f ca="1">IFERROR(Table20[[#This Row],[nominal_exposure]]*Table20[[#This Row],[Delta]],0)</f>
        <v>0</v>
      </c>
      <c r="AB761" s="30" t="b">
        <f>IF(Table20[[#This Row],[date_purchased]]&lt;&gt;Table20[[#This Row],[Expiration Date]],FALSE,TRUE)</f>
        <v>0</v>
      </c>
      <c r="AC761" s="30" t="str">
        <f>VLOOKUP(Table20[[#This Row],[Asset]],Table19[#All],3,FALSE)</f>
        <v>Health Care</v>
      </c>
      <c r="AD761" s="30">
        <f>IF(Table20[[#This Row],[Remaining]]&lt;&gt;0,Table20[[#This Row],[Invested]]*Table20[[#This Row],[Remaining]]/Table20[[#This Row],[Number of options]],0)</f>
        <v>0</v>
      </c>
      <c r="AE761" s="30">
        <f ca="1">SUMIF(Table20[Ticker],Table20[[#This Row],[Ticker]],Table20[realized_profit])</f>
        <v>8506.9999999999982</v>
      </c>
      <c r="AF761" s="30" t="str">
        <f>VLOOKUP(Table20[[#This Row],[Strategy]],Table29[#All],7,FALSE)</f>
        <v>Bullish</v>
      </c>
    </row>
    <row r="762" spans="1:32" hidden="1">
      <c r="A762" s="180">
        <v>45947</v>
      </c>
      <c r="B762" s="21" t="e" vm="163">
        <v>#VALUE!</v>
      </c>
      <c r="C762" s="109" t="str" cm="1">
        <f t="array" aca="1" ref="C762" ca="1">_FV(Table20[[#This Row],[Asset]],"Ticker symbol",TRUE)</f>
        <v>LLY</v>
      </c>
      <c r="D762" s="26" cm="1">
        <f t="array" aca="1" ref="D762" ca="1">_FV(Table20[[#This Row],[Asset]],"Price")</f>
        <v>910.82500000000005</v>
      </c>
      <c r="E762" s="26">
        <v>850</v>
      </c>
      <c r="F762" s="33">
        <v>2</v>
      </c>
      <c r="G762" s="34">
        <v>1</v>
      </c>
      <c r="H762" s="34" t="s">
        <v>113</v>
      </c>
      <c r="I762" s="31">
        <v>45902</v>
      </c>
      <c r="J762" s="26">
        <v>3.3</v>
      </c>
      <c r="K762" s="24">
        <v>0.3</v>
      </c>
      <c r="L762" s="33">
        <f>VLOOKUP(Table20[[#This Row],[Strategy]],Table29[#All],6,FALSE)</f>
        <v>1</v>
      </c>
      <c r="M762" s="23">
        <v>2</v>
      </c>
      <c r="N762" s="23">
        <v>3.42</v>
      </c>
      <c r="O762" s="23"/>
      <c r="P762" s="23"/>
      <c r="Q762">
        <f>Table20[[#This Row],[Exit1]]*Table20[[#This Row],[ex1_price]]</f>
        <v>6.84</v>
      </c>
      <c r="R762">
        <f>Table20[[#This Row],[Exit2]]*Table20[[#This Row],[ex2_price]]</f>
        <v>0</v>
      </c>
      <c r="S762">
        <f>IFERROR((Table20[[#This Row],[ex2_amnt]]+Table20[[#This Row],[ex1_amnt]])/(Table20[[#This Row],[Exit2]]+Table20[[#This Row],[Exit1]]),0)</f>
        <v>3.42</v>
      </c>
      <c r="T762" s="5">
        <f>(Table20[[#This Row],[Exit1]]+Table20[[#This Row],[Exit2]])*(Table20[[#This Row],[avg_exit_price]]-Table20[[#This Row],[AvePrice]])*100*Table20[[#This Row],[Buy or Sell]]</f>
        <v>24.000000000000021</v>
      </c>
      <c r="U762" s="5">
        <f>Table20[[#This Row],[Number of options]]*Table20[[#This Row],[AvePrice]]*100*Table20[[#This Row],[Buy or Sell]]</f>
        <v>660</v>
      </c>
      <c r="V762" s="8">
        <f>Table20[[#This Row],[Number of options]]-Table20[[#This Row],[Exit1]]-Table20[[#This Row],[Exit2]]</f>
        <v>0</v>
      </c>
      <c r="W762" s="30">
        <f ca="1">(Table20[[#This Row],[Expiration Date]]-TODAY())/365</f>
        <v>-0.43835616438356162</v>
      </c>
      <c r="X762" s="30" t="e">
        <f ca="1">(LN(Table20[[#This Row],[Current Price]]/Table20[[#This Row],[strike_price]]) + ($B$2 + (Table20[[#This Row],[Vol]]^2)/2)*Table20[[#This Row],[Time to expiration]]) / (Table20[[#This Row],[Vol]] * SQRT(Table20[[#This Row],[Time to expiration]]))</f>
        <v>#NUM!</v>
      </c>
      <c r="Y762" s="30" t="e">
        <f ca="1">IF(Table20[[#This Row],[Direction]]&gt;0, _xlfn.NORM.S.DIST(Table20[[#This Row],[d1]], TRUE), _xlfn.NORM.S.DIST(Table20[[#This Row],[d1]], TRUE) - 1) * Table20[[#This Row],[Buy or Sell]]</f>
        <v>#NUM!</v>
      </c>
      <c r="Z762" s="9">
        <f ca="1">Table20[[#This Row],[Remaining]]*Table20[[#This Row],[Current Price]]*100</f>
        <v>0</v>
      </c>
      <c r="AA762" s="22">
        <f ca="1">IFERROR(Table20[[#This Row],[nominal_exposure]]*Table20[[#This Row],[Delta]],0)</f>
        <v>0</v>
      </c>
      <c r="AB762" s="30" t="b">
        <f>IF(Table20[[#This Row],[date_purchased]]&lt;&gt;Table20[[#This Row],[Expiration Date]],FALSE,TRUE)</f>
        <v>0</v>
      </c>
      <c r="AC762" s="30" t="str">
        <f>VLOOKUP(Table20[[#This Row],[Asset]],Table19[#All],3,FALSE)</f>
        <v>Health Care</v>
      </c>
      <c r="AD762" s="30">
        <f>IF(Table20[[#This Row],[Remaining]]&lt;&gt;0,Table20[[#This Row],[Invested]]*Table20[[#This Row],[Remaining]]/Table20[[#This Row],[Number of options]],0)</f>
        <v>0</v>
      </c>
      <c r="AE762" s="30">
        <f ca="1">SUMIF(Table20[Ticker],Table20[[#This Row],[Ticker]],Table20[realized_profit])</f>
        <v>8506.9999999999982</v>
      </c>
      <c r="AF762" s="30" t="str">
        <f>VLOOKUP(Table20[[#This Row],[Strategy]],Table29[#All],7,FALSE)</f>
        <v>Bullish</v>
      </c>
    </row>
    <row r="763" spans="1:32" hidden="1">
      <c r="A763" s="180">
        <v>45926</v>
      </c>
      <c r="B763" s="21" t="e" vm="231">
        <v>#VALUE!</v>
      </c>
      <c r="C763" s="109" t="str" cm="1">
        <f t="array" aca="1" ref="C763" ca="1">_FV(Table20[[#This Row],[Asset]],"Ticker symbol",TRUE)</f>
        <v>UNH</v>
      </c>
      <c r="D763" s="26" cm="1">
        <f t="array" aca="1" ref="D763" ca="1">_FV(Table20[[#This Row],[Asset]],"Price")</f>
        <v>269.3</v>
      </c>
      <c r="E763" s="26">
        <v>300</v>
      </c>
      <c r="F763" s="33">
        <v>1</v>
      </c>
      <c r="G763" s="34">
        <v>1</v>
      </c>
      <c r="H763" s="34" t="s">
        <v>113</v>
      </c>
      <c r="I763" s="31">
        <v>45881</v>
      </c>
      <c r="J763" s="26">
        <v>2.65</v>
      </c>
      <c r="K763" s="24"/>
      <c r="L763" s="33">
        <f>VLOOKUP(Table20[[#This Row],[Strategy]],Table29[#All],6,FALSE)</f>
        <v>1</v>
      </c>
      <c r="M763" s="23">
        <v>1</v>
      </c>
      <c r="N763" s="23">
        <v>14.2</v>
      </c>
      <c r="O763" s="23"/>
      <c r="P763" s="23"/>
      <c r="Q763">
        <f>Table20[[#This Row],[Exit1]]*Table20[[#This Row],[ex1_price]]</f>
        <v>14.2</v>
      </c>
      <c r="R763">
        <f>Table20[[#This Row],[Exit2]]*Table20[[#This Row],[ex2_price]]</f>
        <v>0</v>
      </c>
      <c r="S763">
        <f>IFERROR((Table20[[#This Row],[ex2_amnt]]+Table20[[#This Row],[ex1_amnt]])/(Table20[[#This Row],[Exit2]]+Table20[[#This Row],[Exit1]]),0)</f>
        <v>14.2</v>
      </c>
      <c r="T763" s="5">
        <f>(Table20[[#This Row],[Exit1]]+Table20[[#This Row],[Exit2]])*(Table20[[#This Row],[avg_exit_price]]-Table20[[#This Row],[AvePrice]])*100*Table20[[#This Row],[Buy or Sell]]</f>
        <v>1155</v>
      </c>
      <c r="U763" s="5">
        <f>Table20[[#This Row],[Number of options]]*Table20[[#This Row],[AvePrice]]*100*Table20[[#This Row],[Buy or Sell]]</f>
        <v>265</v>
      </c>
      <c r="V763" s="8">
        <f>Table20[[#This Row],[Number of options]]-Table20[[#This Row],[Exit1]]-Table20[[#This Row],[Exit2]]</f>
        <v>0</v>
      </c>
      <c r="W763" s="30">
        <f ca="1">(Table20[[#This Row],[Expiration Date]]-TODAY())/365</f>
        <v>-0.49589041095890413</v>
      </c>
      <c r="X763" s="30" t="e">
        <f ca="1">(LN(Table20[[#This Row],[Current Price]]/Table20[[#This Row],[strike_price]]) + ($B$2 + (Table20[[#This Row],[Vol]]^2)/2)*Table20[[#This Row],[Time to expiration]]) / (Table20[[#This Row],[Vol]] * SQRT(Table20[[#This Row],[Time to expiration]]))</f>
        <v>#NUM!</v>
      </c>
      <c r="Y763" s="30" t="e">
        <f ca="1">IF(Table20[[#This Row],[Direction]]&gt;0, _xlfn.NORM.S.DIST(Table20[[#This Row],[d1]], TRUE), _xlfn.NORM.S.DIST(Table20[[#This Row],[d1]], TRUE) - 1) * Table20[[#This Row],[Buy or Sell]]</f>
        <v>#NUM!</v>
      </c>
      <c r="Z763" s="9">
        <f ca="1">Table20[[#This Row],[Remaining]]*Table20[[#This Row],[Current Price]]*100</f>
        <v>0</v>
      </c>
      <c r="AA763" s="22">
        <f ca="1">IFERROR(Table20[[#This Row],[nominal_exposure]]*Table20[[#This Row],[Delta]],0)</f>
        <v>0</v>
      </c>
      <c r="AB763" s="30" t="b">
        <f>IF(Table20[[#This Row],[date_purchased]]&lt;&gt;Table20[[#This Row],[Expiration Date]],FALSE,TRUE)</f>
        <v>0</v>
      </c>
      <c r="AC763" s="30" t="str">
        <f>VLOOKUP(Table20[[#This Row],[Asset]],Table19[#All],3,FALSE)</f>
        <v>Health Care</v>
      </c>
      <c r="AD763" s="30">
        <f>IF(Table20[[#This Row],[Remaining]]&lt;&gt;0,Table20[[#This Row],[Invested]]*Table20[[#This Row],[Remaining]]/Table20[[#This Row],[Number of options]],0)</f>
        <v>0</v>
      </c>
      <c r="AE763" s="30">
        <f ca="1">SUMIF(Table20[Ticker],Table20[[#This Row],[Ticker]],Table20[realized_profit])</f>
        <v>4342</v>
      </c>
      <c r="AF763" s="30" t="str">
        <f>VLOOKUP(Table20[[#This Row],[Strategy]],Table29[#All],7,FALSE)</f>
        <v>Bullish</v>
      </c>
    </row>
    <row r="764" spans="1:32" hidden="1">
      <c r="A764" s="180">
        <v>45891</v>
      </c>
      <c r="B764" s="21" t="e" vm="577">
        <v>#VALUE!</v>
      </c>
      <c r="C764" s="109" t="str" cm="1">
        <f t="array" aca="1" ref="C764" ca="1">_FV(Table20[[#This Row],[Asset]],"Ticker symbol",TRUE)</f>
        <v>PANW</v>
      </c>
      <c r="D764" s="26" cm="1">
        <f t="array" aca="1" ref="D764" ca="1">_FV(Table20[[#This Row],[Asset]],"Price")</f>
        <v>159.11000000000001</v>
      </c>
      <c r="E764" s="26">
        <v>210</v>
      </c>
      <c r="F764" s="33">
        <v>3</v>
      </c>
      <c r="G764" s="34">
        <v>-1</v>
      </c>
      <c r="H764" s="34" t="s">
        <v>115</v>
      </c>
      <c r="I764" s="31">
        <v>45883</v>
      </c>
      <c r="J764" s="26">
        <v>0.44</v>
      </c>
      <c r="K764" s="24"/>
      <c r="L764" s="33">
        <f>VLOOKUP(Table20[[#This Row],[Strategy]],Table29[#All],6,FALSE)</f>
        <v>1</v>
      </c>
      <c r="M764" s="23">
        <v>3</v>
      </c>
      <c r="N764" s="23">
        <v>0.04</v>
      </c>
      <c r="O764" s="23"/>
      <c r="P764" s="23"/>
      <c r="Q764">
        <f>Table20[[#This Row],[Exit1]]*Table20[[#This Row],[ex1_price]]</f>
        <v>0.12</v>
      </c>
      <c r="R764">
        <f>Table20[[#This Row],[Exit2]]*Table20[[#This Row],[ex2_price]]</f>
        <v>0</v>
      </c>
      <c r="S764">
        <f>IFERROR((Table20[[#This Row],[ex2_amnt]]+Table20[[#This Row],[ex1_amnt]])/(Table20[[#This Row],[Exit2]]+Table20[[#This Row],[Exit1]]),0)</f>
        <v>0.04</v>
      </c>
      <c r="T764" s="5">
        <f>(Table20[[#This Row],[Exit1]]+Table20[[#This Row],[Exit2]])*(Table20[[#This Row],[avg_exit_price]]-Table20[[#This Row],[AvePrice]])*100*Table20[[#This Row],[Buy or Sell]]</f>
        <v>120.00000000000001</v>
      </c>
      <c r="U764" s="5">
        <f>Table20[[#This Row],[Number of options]]*Table20[[#This Row],[AvePrice]]*100*Table20[[#This Row],[Buy or Sell]]</f>
        <v>-132</v>
      </c>
      <c r="V764" s="8">
        <f>Table20[[#This Row],[Number of options]]-Table20[[#This Row],[Exit1]]-Table20[[#This Row],[Exit2]]</f>
        <v>0</v>
      </c>
      <c r="W764" s="30">
        <f ca="1">(Table20[[#This Row],[Expiration Date]]-TODAY())/365</f>
        <v>-0.59178082191780823</v>
      </c>
      <c r="X764" s="30" t="e">
        <f ca="1">(LN(Table20[[#This Row],[Current Price]]/Table20[[#This Row],[strike_price]]) + ($B$2 + (Table20[[#This Row],[Vol]]^2)/2)*Table20[[#This Row],[Time to expiration]]) / (Table20[[#This Row],[Vol]] * SQRT(Table20[[#This Row],[Time to expiration]]))</f>
        <v>#NUM!</v>
      </c>
      <c r="Y764" s="30" t="e">
        <f ca="1">IF(Table20[[#This Row],[Direction]]&gt;0, _xlfn.NORM.S.DIST(Table20[[#This Row],[d1]], TRUE), _xlfn.NORM.S.DIST(Table20[[#This Row],[d1]], TRUE) - 1) * Table20[[#This Row],[Buy or Sell]]</f>
        <v>#NUM!</v>
      </c>
      <c r="Z764" s="9">
        <f ca="1">Table20[[#This Row],[Remaining]]*Table20[[#This Row],[Current Price]]*100</f>
        <v>0</v>
      </c>
      <c r="AA764" s="22">
        <f ca="1">IFERROR(Table20[[#This Row],[nominal_exposure]]*Table20[[#This Row],[Delta]],0)</f>
        <v>0</v>
      </c>
      <c r="AB764" s="30" t="b">
        <f>IF(Table20[[#This Row],[date_purchased]]&lt;&gt;Table20[[#This Row],[Expiration Date]],FALSE,TRUE)</f>
        <v>0</v>
      </c>
      <c r="AC764" s="30" t="str">
        <f>VLOOKUP(Table20[[#This Row],[Asset]],Table19[#All],3,FALSE)</f>
        <v>Technology</v>
      </c>
      <c r="AD764" s="30">
        <f>IF(Table20[[#This Row],[Remaining]]&lt;&gt;0,Table20[[#This Row],[Invested]]*Table20[[#This Row],[Remaining]]/Table20[[#This Row],[Number of options]],0)</f>
        <v>0</v>
      </c>
      <c r="AE764" s="30">
        <f ca="1">SUMIF(Table20[Ticker],Table20[[#This Row],[Ticker]],Table20[realized_profit])</f>
        <v>-89.999999999999957</v>
      </c>
      <c r="AF764" s="30" t="str">
        <f>VLOOKUP(Table20[[#This Row],[Strategy]],Table29[#All],7,FALSE)</f>
        <v>Bullish</v>
      </c>
    </row>
    <row r="765" spans="1:32" hidden="1">
      <c r="A765" s="180">
        <v>45919</v>
      </c>
      <c r="B765" s="21" t="e" vm="577">
        <v>#VALUE!</v>
      </c>
      <c r="C765" s="109" t="str" cm="1">
        <f t="array" aca="1" ref="C765" ca="1">_FV(Table20[[#This Row],[Asset]],"Ticker symbol",TRUE)</f>
        <v>PANW</v>
      </c>
      <c r="D765" s="26" cm="1">
        <f t="array" aca="1" ref="D765" ca="1">_FV(Table20[[#This Row],[Asset]],"Price")</f>
        <v>159.11000000000001</v>
      </c>
      <c r="E765" s="26">
        <v>210</v>
      </c>
      <c r="F765" s="33">
        <v>3</v>
      </c>
      <c r="G765" s="34">
        <v>1</v>
      </c>
      <c r="H765" s="34" t="s">
        <v>115</v>
      </c>
      <c r="I765" s="31">
        <v>45883</v>
      </c>
      <c r="J765" s="26">
        <v>1.21</v>
      </c>
      <c r="K765" s="24"/>
      <c r="L765" s="33">
        <f>VLOOKUP(Table20[[#This Row],[Strategy]],Table29[#All],6,FALSE)</f>
        <v>1</v>
      </c>
      <c r="M765" s="23">
        <v>3</v>
      </c>
      <c r="N765" s="23">
        <v>0.51</v>
      </c>
      <c r="O765" s="23"/>
      <c r="P765" s="23"/>
      <c r="Q765">
        <f>Table20[[#This Row],[Exit1]]*Table20[[#This Row],[ex1_price]]</f>
        <v>1.53</v>
      </c>
      <c r="R765">
        <f>Table20[[#This Row],[Exit2]]*Table20[[#This Row],[ex2_price]]</f>
        <v>0</v>
      </c>
      <c r="S765">
        <f>IFERROR((Table20[[#This Row],[ex2_amnt]]+Table20[[#This Row],[ex1_amnt]])/(Table20[[#This Row],[Exit2]]+Table20[[#This Row],[Exit1]]),0)</f>
        <v>0.51</v>
      </c>
      <c r="T765" s="5">
        <f>(Table20[[#This Row],[Exit1]]+Table20[[#This Row],[Exit2]])*(Table20[[#This Row],[avg_exit_price]]-Table20[[#This Row],[AvePrice]])*100*Table20[[#This Row],[Buy or Sell]]</f>
        <v>-209.99999999999997</v>
      </c>
      <c r="U765" s="5">
        <f>Table20[[#This Row],[Number of options]]*Table20[[#This Row],[AvePrice]]*100*Table20[[#This Row],[Buy or Sell]]</f>
        <v>363</v>
      </c>
      <c r="V765" s="8">
        <f>Table20[[#This Row],[Number of options]]-Table20[[#This Row],[Exit1]]-Table20[[#This Row],[Exit2]]</f>
        <v>0</v>
      </c>
      <c r="W765" s="30">
        <f ca="1">(Table20[[#This Row],[Expiration Date]]-TODAY())/365</f>
        <v>-0.51506849315068493</v>
      </c>
      <c r="X765" s="30" t="e">
        <f ca="1">(LN(Table20[[#This Row],[Current Price]]/Table20[[#This Row],[strike_price]]) + ($B$2 + (Table20[[#This Row],[Vol]]^2)/2)*Table20[[#This Row],[Time to expiration]]) / (Table20[[#This Row],[Vol]] * SQRT(Table20[[#This Row],[Time to expiration]]))</f>
        <v>#NUM!</v>
      </c>
      <c r="Y765" s="30" t="e">
        <f ca="1">IF(Table20[[#This Row],[Direction]]&gt;0, _xlfn.NORM.S.DIST(Table20[[#This Row],[d1]], TRUE), _xlfn.NORM.S.DIST(Table20[[#This Row],[d1]], TRUE) - 1) * Table20[[#This Row],[Buy or Sell]]</f>
        <v>#NUM!</v>
      </c>
      <c r="Z765" s="9">
        <f ca="1">Table20[[#This Row],[Remaining]]*Table20[[#This Row],[Current Price]]*100</f>
        <v>0</v>
      </c>
      <c r="AA765" s="22">
        <f ca="1">IFERROR(Table20[[#This Row],[nominal_exposure]]*Table20[[#This Row],[Delta]],0)</f>
        <v>0</v>
      </c>
      <c r="AB765" s="30" t="b">
        <f>IF(Table20[[#This Row],[date_purchased]]&lt;&gt;Table20[[#This Row],[Expiration Date]],FALSE,TRUE)</f>
        <v>0</v>
      </c>
      <c r="AC765" s="30" t="str">
        <f>VLOOKUP(Table20[[#This Row],[Asset]],Table19[#All],3,FALSE)</f>
        <v>Technology</v>
      </c>
      <c r="AD765" s="30">
        <f>IF(Table20[[#This Row],[Remaining]]&lt;&gt;0,Table20[[#This Row],[Invested]]*Table20[[#This Row],[Remaining]]/Table20[[#This Row],[Number of options]],0)</f>
        <v>0</v>
      </c>
      <c r="AE765" s="30">
        <f ca="1">SUMIF(Table20[Ticker],Table20[[#This Row],[Ticker]],Table20[realized_profit])</f>
        <v>-89.999999999999957</v>
      </c>
      <c r="AF765" s="30" t="str">
        <f>VLOOKUP(Table20[[#This Row],[Strategy]],Table29[#All],7,FALSE)</f>
        <v>Bullish</v>
      </c>
    </row>
    <row r="766" spans="1:32">
      <c r="A766" s="180">
        <v>45982</v>
      </c>
      <c r="B766" s="21" t="e" vm="84">
        <v>#VALUE!</v>
      </c>
      <c r="C766" s="109" t="str" cm="1">
        <f t="array" aca="1" ref="C766" ca="1">_FV(Table20[[#This Row],[Asset]],"Ticker symbol",TRUE)</f>
        <v>COIN</v>
      </c>
      <c r="D766" s="26" cm="1">
        <f t="array" aca="1" ref="D766" ca="1">_FV(Table20[[#This Row],[Asset]],"Price")</f>
        <v>188</v>
      </c>
      <c r="E766" s="26">
        <v>620</v>
      </c>
      <c r="F766" s="33">
        <v>1</v>
      </c>
      <c r="G766" s="34">
        <v>1</v>
      </c>
      <c r="H766" s="34" t="s">
        <v>115</v>
      </c>
      <c r="I766" s="31">
        <v>45845</v>
      </c>
      <c r="J766" s="26">
        <v>8.69</v>
      </c>
      <c r="K766" s="24">
        <v>0.82</v>
      </c>
      <c r="L766" s="33">
        <f>VLOOKUP(Table20[[#This Row],[Strategy]],Table29[#All],6,FALSE)</f>
        <v>1</v>
      </c>
      <c r="M766" s="23"/>
      <c r="N766" s="23"/>
      <c r="O766" s="23"/>
      <c r="P766" s="23"/>
      <c r="Q766">
        <f>Table20[[#This Row],[Exit1]]*Table20[[#This Row],[ex1_price]]</f>
        <v>0</v>
      </c>
      <c r="R766">
        <f>Table20[[#This Row],[Exit2]]*Table20[[#This Row],[ex2_price]]</f>
        <v>0</v>
      </c>
      <c r="S766">
        <f>IFERROR((Table20[[#This Row],[ex2_amnt]]+Table20[[#This Row],[ex1_amnt]])/(Table20[[#This Row],[Exit2]]+Table20[[#This Row],[Exit1]]),0)</f>
        <v>0</v>
      </c>
      <c r="T766" s="5">
        <f>(Table20[[#This Row],[Exit1]]+Table20[[#This Row],[Exit2]])*(Table20[[#This Row],[avg_exit_price]]-Table20[[#This Row],[AvePrice]])*100*Table20[[#This Row],[Buy or Sell]]</f>
        <v>0</v>
      </c>
      <c r="U766" s="5">
        <f>Table20[[#This Row],[Number of options]]*Table20[[#This Row],[AvePrice]]*100*Table20[[#This Row],[Buy or Sell]]</f>
        <v>869</v>
      </c>
      <c r="V766" s="8">
        <f>Table20[[#This Row],[Number of options]]-Table20[[#This Row],[Exit1]]-Table20[[#This Row],[Exit2]]</f>
        <v>1</v>
      </c>
      <c r="W766" s="30">
        <f ca="1">(Table20[[#This Row],[Expiration Date]]-TODAY())/365</f>
        <v>-0.34246575342465752</v>
      </c>
      <c r="X766" s="30" t="e">
        <f ca="1">(LN(Table20[[#This Row],[Current Price]]/Table20[[#This Row],[strike_price]]) + ($B$2 + (Table20[[#This Row],[Vol]]^2)/2)*Table20[[#This Row],[Time to expiration]]) / (Table20[[#This Row],[Vol]] * SQRT(Table20[[#This Row],[Time to expiration]]))</f>
        <v>#NUM!</v>
      </c>
      <c r="Y766" s="30" t="e">
        <f ca="1">IF(Table20[[#This Row],[Direction]]&gt;0, _xlfn.NORM.S.DIST(Table20[[#This Row],[d1]], TRUE), _xlfn.NORM.S.DIST(Table20[[#This Row],[d1]], TRUE) - 1) * Table20[[#This Row],[Buy or Sell]]</f>
        <v>#NUM!</v>
      </c>
      <c r="Z766" s="9">
        <f ca="1">Table20[[#This Row],[Remaining]]*Table20[[#This Row],[Current Price]]*100</f>
        <v>18800</v>
      </c>
      <c r="AA766" s="22">
        <f ca="1">IFERROR(Table20[[#This Row],[nominal_exposure]]*Table20[[#This Row],[Delta]],0)</f>
        <v>0</v>
      </c>
      <c r="AB766" s="30" t="b">
        <f>IF(Table20[[#This Row],[date_purchased]]&lt;&gt;Table20[[#This Row],[Expiration Date]],FALSE,TRUE)</f>
        <v>0</v>
      </c>
      <c r="AC766" s="30" t="str">
        <f>VLOOKUP(Table20[[#This Row],[Asset]],Table19[#All],3,FALSE)</f>
        <v>Financials</v>
      </c>
      <c r="AD766" s="30">
        <f>IF(Table20[[#This Row],[Remaining]]&lt;&gt;0,Table20[[#This Row],[Invested]]*Table20[[#This Row],[Remaining]]/Table20[[#This Row],[Number of options]],0)</f>
        <v>869</v>
      </c>
      <c r="AE766" s="30">
        <f ca="1">SUMIF(Table20[Ticker],Table20[[#This Row],[Ticker]],Table20[realized_profit])</f>
        <v>4035</v>
      </c>
      <c r="AF766" s="30" t="str">
        <f>VLOOKUP(Table20[[#This Row],[Strategy]],Table29[#All],7,FALSE)</f>
        <v>Bullish</v>
      </c>
    </row>
    <row r="767" spans="1:32">
      <c r="A767" s="180">
        <v>45982</v>
      </c>
      <c r="B767" s="21" t="e" vm="148">
        <v>#VALUE!</v>
      </c>
      <c r="C767" s="109" t="str" cm="1">
        <f t="array" aca="1" ref="C767" ca="1">_FV(Table20[[#This Row],[Asset]],"Ticker symbol",TRUE)</f>
        <v>META</v>
      </c>
      <c r="D767" s="26" cm="1">
        <f t="array" aca="1" ref="D767" ca="1">_FV(Table20[[#This Row],[Asset]],"Price")</f>
        <v>599.32000000000005</v>
      </c>
      <c r="E767" s="26">
        <v>1000</v>
      </c>
      <c r="F767" s="33">
        <v>2</v>
      </c>
      <c r="G767" s="34">
        <v>-1</v>
      </c>
      <c r="H767" s="34" t="s">
        <v>115</v>
      </c>
      <c r="I767" s="31">
        <v>45894</v>
      </c>
      <c r="J767" s="26">
        <v>2.39</v>
      </c>
      <c r="K767" s="24">
        <v>0.32069999999999999</v>
      </c>
      <c r="L767" s="33">
        <f>VLOOKUP(Table20[[#This Row],[Strategy]],Table29[#All],6,FALSE)</f>
        <v>1</v>
      </c>
      <c r="M767" s="23"/>
      <c r="N767" s="23"/>
      <c r="O767" s="23"/>
      <c r="P767" s="23"/>
      <c r="Q767">
        <f>Table20[[#This Row],[Exit1]]*Table20[[#This Row],[ex1_price]]</f>
        <v>0</v>
      </c>
      <c r="R767">
        <f>Table20[[#This Row],[Exit2]]*Table20[[#This Row],[ex2_price]]</f>
        <v>0</v>
      </c>
      <c r="S767">
        <f>IFERROR((Table20[[#This Row],[ex2_amnt]]+Table20[[#This Row],[ex1_amnt]])/(Table20[[#This Row],[Exit2]]+Table20[[#This Row],[Exit1]]),0)</f>
        <v>0</v>
      </c>
      <c r="T767" s="5">
        <f>(Table20[[#This Row],[Exit1]]+Table20[[#This Row],[Exit2]])*(Table20[[#This Row],[avg_exit_price]]-Table20[[#This Row],[AvePrice]])*100*Table20[[#This Row],[Buy or Sell]]</f>
        <v>0</v>
      </c>
      <c r="U767" s="5">
        <f>Table20[[#This Row],[Number of options]]*Table20[[#This Row],[AvePrice]]*100*Table20[[#This Row],[Buy or Sell]]</f>
        <v>-478</v>
      </c>
      <c r="V767" s="8">
        <f>Table20[[#This Row],[Number of options]]-Table20[[#This Row],[Exit1]]-Table20[[#This Row],[Exit2]]</f>
        <v>2</v>
      </c>
      <c r="W767" s="30">
        <f ca="1">(Table20[[#This Row],[Expiration Date]]-TODAY())/365</f>
        <v>-0.34246575342465752</v>
      </c>
      <c r="X767" s="30" t="e">
        <f ca="1">(LN(Table20[[#This Row],[Current Price]]/Table20[[#This Row],[strike_price]]) + ($B$2 + (Table20[[#This Row],[Vol]]^2)/2)*Table20[[#This Row],[Time to expiration]]) / (Table20[[#This Row],[Vol]] * SQRT(Table20[[#This Row],[Time to expiration]]))</f>
        <v>#NUM!</v>
      </c>
      <c r="Y767" s="30" t="e">
        <f ca="1">IF(Table20[[#This Row],[Direction]]&gt;0, _xlfn.NORM.S.DIST(Table20[[#This Row],[d1]], TRUE), _xlfn.NORM.S.DIST(Table20[[#This Row],[d1]], TRUE) - 1) * Table20[[#This Row],[Buy or Sell]]</f>
        <v>#NUM!</v>
      </c>
      <c r="Z767" s="9">
        <f ca="1">Table20[[#This Row],[Remaining]]*Table20[[#This Row],[Current Price]]*100</f>
        <v>119864.00000000001</v>
      </c>
      <c r="AA767" s="22">
        <f ca="1">IFERROR(Table20[[#This Row],[nominal_exposure]]*Table20[[#This Row],[Delta]],0)</f>
        <v>0</v>
      </c>
      <c r="AB767" s="30" t="b">
        <f>IF(Table20[[#This Row],[date_purchased]]&lt;&gt;Table20[[#This Row],[Expiration Date]],FALSE,TRUE)</f>
        <v>0</v>
      </c>
      <c r="AC767" s="30" t="str">
        <f>VLOOKUP(Table20[[#This Row],[Asset]],Table19[#All],3,FALSE)</f>
        <v>AI</v>
      </c>
      <c r="AD767" s="30">
        <f>IF(Table20[[#This Row],[Remaining]]&lt;&gt;0,Table20[[#This Row],[Invested]]*Table20[[#This Row],[Remaining]]/Table20[[#This Row],[Number of options]],0)</f>
        <v>-478</v>
      </c>
      <c r="AE767" s="30">
        <f ca="1">SUMIF(Table20[Ticker],Table20[[#This Row],[Ticker]],Table20[realized_profit])</f>
        <v>2450</v>
      </c>
      <c r="AF767" s="30" t="str">
        <f>VLOOKUP(Table20[[#This Row],[Strategy]],Table29[#All],7,FALSE)</f>
        <v>Bullish</v>
      </c>
    </row>
    <row r="768" spans="1:32" hidden="1">
      <c r="A768" s="180">
        <v>45898</v>
      </c>
      <c r="B768" s="21" t="e" vm="96">
        <v>#VALUE!</v>
      </c>
      <c r="C768" s="109" t="str" cm="1">
        <f t="array" aca="1" ref="C768" ca="1">_FV(Table20[[#This Row],[Asset]],"Ticker symbol",TRUE)</f>
        <v>SPY</v>
      </c>
      <c r="D768" s="26" cm="1">
        <f t="array" aca="1" ref="D768" ca="1">_FV(Table20[[#This Row],[Asset]],"Price")</f>
        <v>658.59</v>
      </c>
      <c r="E768" s="26">
        <v>640</v>
      </c>
      <c r="F768" s="33">
        <v>1</v>
      </c>
      <c r="G768" s="34">
        <v>1</v>
      </c>
      <c r="H768" s="34" t="s">
        <v>65</v>
      </c>
      <c r="I768" s="31">
        <v>45883</v>
      </c>
      <c r="J768" s="26">
        <v>3.85</v>
      </c>
      <c r="K768" s="24">
        <v>0.16</v>
      </c>
      <c r="L768" s="33">
        <f>VLOOKUP(Table20[[#This Row],[Strategy]],Table29[#All],6,FALSE)</f>
        <v>-1</v>
      </c>
      <c r="M768" s="23">
        <v>1</v>
      </c>
      <c r="N768" s="23">
        <v>5.18</v>
      </c>
      <c r="O768" s="23"/>
      <c r="P768" s="23"/>
      <c r="Q768">
        <f>Table20[[#This Row],[Exit1]]*Table20[[#This Row],[ex1_price]]</f>
        <v>5.18</v>
      </c>
      <c r="R768">
        <f>Table20[[#This Row],[Exit2]]*Table20[[#This Row],[ex2_price]]</f>
        <v>0</v>
      </c>
      <c r="S768">
        <f>IFERROR((Table20[[#This Row],[ex2_amnt]]+Table20[[#This Row],[ex1_amnt]])/(Table20[[#This Row],[Exit2]]+Table20[[#This Row],[Exit1]]),0)</f>
        <v>5.18</v>
      </c>
      <c r="T768" s="5">
        <f>(Table20[[#This Row],[Exit1]]+Table20[[#This Row],[Exit2]])*(Table20[[#This Row],[avg_exit_price]]-Table20[[#This Row],[AvePrice]])*100*Table20[[#This Row],[Buy or Sell]]</f>
        <v>132.99999999999997</v>
      </c>
      <c r="U768" s="5">
        <f>Table20[[#This Row],[Number of options]]*Table20[[#This Row],[AvePrice]]*100*Table20[[#This Row],[Buy or Sell]]</f>
        <v>385</v>
      </c>
      <c r="V768" s="8">
        <f>Table20[[#This Row],[Number of options]]-Table20[[#This Row],[Exit1]]-Table20[[#This Row],[Exit2]]</f>
        <v>0</v>
      </c>
      <c r="W768" s="30">
        <f ca="1">(Table20[[#This Row],[Expiration Date]]-TODAY())/365</f>
        <v>-0.57260273972602738</v>
      </c>
      <c r="X768" s="30" t="e">
        <f ca="1">(LN(Table20[[#This Row],[Current Price]]/Table20[[#This Row],[strike_price]]) + ($B$2 + (Table20[[#This Row],[Vol]]^2)/2)*Table20[[#This Row],[Time to expiration]]) / (Table20[[#This Row],[Vol]] * SQRT(Table20[[#This Row],[Time to expiration]]))</f>
        <v>#NUM!</v>
      </c>
      <c r="Y768" s="30" t="e">
        <f ca="1">IF(Table20[[#This Row],[Direction]]&gt;0, _xlfn.NORM.S.DIST(Table20[[#This Row],[d1]], TRUE), _xlfn.NORM.S.DIST(Table20[[#This Row],[d1]], TRUE) - 1) * Table20[[#This Row],[Buy or Sell]]</f>
        <v>#NUM!</v>
      </c>
      <c r="Z768" s="9">
        <f ca="1">Table20[[#This Row],[Remaining]]*Table20[[#This Row],[Current Price]]*100</f>
        <v>0</v>
      </c>
      <c r="AA768" s="22">
        <f ca="1">IFERROR(Table20[[#This Row],[nominal_exposure]]*Table20[[#This Row],[Delta]],0)</f>
        <v>0</v>
      </c>
      <c r="AB768" s="30" t="b">
        <f>IF(Table20[[#This Row],[date_purchased]]&lt;&gt;Table20[[#This Row],[Expiration Date]],FALSE,TRUE)</f>
        <v>0</v>
      </c>
      <c r="AC768" s="30" t="str">
        <f>VLOOKUP(Table20[[#This Row],[Asset]],Table19[#All],3,FALSE)</f>
        <v>Market</v>
      </c>
      <c r="AD768" s="30">
        <f>IF(Table20[[#This Row],[Remaining]]&lt;&gt;0,Table20[[#This Row],[Invested]]*Table20[[#This Row],[Remaining]]/Table20[[#This Row],[Number of options]],0)</f>
        <v>0</v>
      </c>
      <c r="AE768" s="30">
        <f ca="1">SUMIF(Table20[Ticker],Table20[[#This Row],[Ticker]],Table20[realized_profit])</f>
        <v>-5077</v>
      </c>
      <c r="AF768" s="30" t="str">
        <f>VLOOKUP(Table20[[#This Row],[Strategy]],Table29[#All],7,FALSE)</f>
        <v>Bearish</v>
      </c>
    </row>
    <row r="769" spans="1:32" hidden="1">
      <c r="A769" s="180">
        <v>45884</v>
      </c>
      <c r="B769" s="21" t="e" vm="96">
        <v>#VALUE!</v>
      </c>
      <c r="C769" s="109" t="str" cm="1">
        <f t="array" aca="1" ref="C769" ca="1">_FV(Table20[[#This Row],[Asset]],"Ticker symbol",TRUE)</f>
        <v>SPY</v>
      </c>
      <c r="D769" s="26" cm="1">
        <f t="array" aca="1" ref="D769" ca="1">_FV(Table20[[#This Row],[Asset]],"Price")</f>
        <v>658.59</v>
      </c>
      <c r="E769" s="26">
        <v>644</v>
      </c>
      <c r="F769" s="33">
        <v>2</v>
      </c>
      <c r="G769" s="34">
        <v>1</v>
      </c>
      <c r="H769" s="34" t="s">
        <v>65</v>
      </c>
      <c r="I769" s="31">
        <v>45884</v>
      </c>
      <c r="J769" s="26">
        <v>1.25</v>
      </c>
      <c r="K769" s="24">
        <v>0.16</v>
      </c>
      <c r="L769" s="33">
        <f>VLOOKUP(Table20[[#This Row],[Strategy]],Table29[#All],6,FALSE)</f>
        <v>-1</v>
      </c>
      <c r="M769" s="23">
        <v>2</v>
      </c>
      <c r="N769" s="23">
        <v>0.86</v>
      </c>
      <c r="O769" s="23"/>
      <c r="P769" s="23"/>
      <c r="Q769">
        <f>Table20[[#This Row],[Exit1]]*Table20[[#This Row],[ex1_price]]</f>
        <v>1.72</v>
      </c>
      <c r="R769">
        <f>Table20[[#This Row],[Exit2]]*Table20[[#This Row],[ex2_price]]</f>
        <v>0</v>
      </c>
      <c r="S769">
        <f>IFERROR((Table20[[#This Row],[ex2_amnt]]+Table20[[#This Row],[ex1_amnt]])/(Table20[[#This Row],[Exit2]]+Table20[[#This Row],[Exit1]]),0)</f>
        <v>0.86</v>
      </c>
      <c r="T769" s="5">
        <f>(Table20[[#This Row],[Exit1]]+Table20[[#This Row],[Exit2]])*(Table20[[#This Row],[avg_exit_price]]-Table20[[#This Row],[AvePrice]])*100*Table20[[#This Row],[Buy or Sell]]</f>
        <v>-78</v>
      </c>
      <c r="U769" s="5">
        <f>Table20[[#This Row],[Number of options]]*Table20[[#This Row],[AvePrice]]*100*Table20[[#This Row],[Buy or Sell]]</f>
        <v>250</v>
      </c>
      <c r="V769" s="8">
        <f>Table20[[#This Row],[Number of options]]-Table20[[#This Row],[Exit1]]-Table20[[#This Row],[Exit2]]</f>
        <v>0</v>
      </c>
      <c r="W769" s="30">
        <f ca="1">(Table20[[#This Row],[Expiration Date]]-TODAY())/365</f>
        <v>-0.61095890410958908</v>
      </c>
      <c r="X769" s="30" t="e">
        <f ca="1">(LN(Table20[[#This Row],[Current Price]]/Table20[[#This Row],[strike_price]]) + ($B$2 + (Table20[[#This Row],[Vol]]^2)/2)*Table20[[#This Row],[Time to expiration]]) / (Table20[[#This Row],[Vol]] * SQRT(Table20[[#This Row],[Time to expiration]]))</f>
        <v>#NUM!</v>
      </c>
      <c r="Y769" s="30" t="e">
        <f ca="1">IF(Table20[[#This Row],[Direction]]&gt;0, _xlfn.NORM.S.DIST(Table20[[#This Row],[d1]], TRUE), _xlfn.NORM.S.DIST(Table20[[#This Row],[d1]], TRUE) - 1) * Table20[[#This Row],[Buy or Sell]]</f>
        <v>#NUM!</v>
      </c>
      <c r="Z769" s="9">
        <f ca="1">Table20[[#This Row],[Remaining]]*Table20[[#This Row],[Current Price]]*100</f>
        <v>0</v>
      </c>
      <c r="AA769" s="22">
        <f ca="1">IFERROR(Table20[[#This Row],[nominal_exposure]]*Table20[[#This Row],[Delta]],0)</f>
        <v>0</v>
      </c>
      <c r="AB769" s="30" t="b">
        <f>IF(Table20[[#This Row],[date_purchased]]&lt;&gt;Table20[[#This Row],[Expiration Date]],FALSE,TRUE)</f>
        <v>1</v>
      </c>
      <c r="AC769" s="30" t="str">
        <f>VLOOKUP(Table20[[#This Row],[Asset]],Table19[#All],3,FALSE)</f>
        <v>Market</v>
      </c>
      <c r="AD769" s="30">
        <f>IF(Table20[[#This Row],[Remaining]]&lt;&gt;0,Table20[[#This Row],[Invested]]*Table20[[#This Row],[Remaining]]/Table20[[#This Row],[Number of options]],0)</f>
        <v>0</v>
      </c>
      <c r="AE769" s="30">
        <f ca="1">SUMIF(Table20[Ticker],Table20[[#This Row],[Ticker]],Table20[realized_profit])</f>
        <v>-5077</v>
      </c>
      <c r="AF769" s="30" t="str">
        <f>VLOOKUP(Table20[[#This Row],[Strategy]],Table29[#All],7,FALSE)</f>
        <v>Bearish</v>
      </c>
    </row>
    <row r="770" spans="1:32" hidden="1">
      <c r="A770" s="180">
        <v>45947</v>
      </c>
      <c r="B770" s="21" t="e" vm="64">
        <v>#VALUE!</v>
      </c>
      <c r="C770" s="109" t="str" cm="1">
        <f t="array" aca="1" ref="C770" ca="1">_FV(Table20[[#This Row],[Asset]],"Ticker symbol",TRUE)</f>
        <v>LULU</v>
      </c>
      <c r="D770" s="26" cm="1">
        <f t="array" aca="1" ref="D770" ca="1">_FV(Table20[[#This Row],[Asset]],"Price")</f>
        <v>159.22</v>
      </c>
      <c r="E770" s="26">
        <v>250</v>
      </c>
      <c r="F770" s="33">
        <v>2</v>
      </c>
      <c r="G770" s="34">
        <v>1</v>
      </c>
      <c r="H770" s="34" t="s">
        <v>114</v>
      </c>
      <c r="I770" s="31">
        <v>45884</v>
      </c>
      <c r="J770" s="26">
        <v>4.6399999999999997</v>
      </c>
      <c r="K770" s="24">
        <v>0.6</v>
      </c>
      <c r="L770" s="33">
        <f>VLOOKUP(Table20[[#This Row],[Strategy]],Table29[#All],6,FALSE)</f>
        <v>1</v>
      </c>
      <c r="M770" s="23">
        <v>2</v>
      </c>
      <c r="N770" s="23">
        <v>4</v>
      </c>
      <c r="O770" s="23"/>
      <c r="P770" s="23"/>
      <c r="Q770">
        <f>Table20[[#This Row],[Exit1]]*Table20[[#This Row],[ex1_price]]</f>
        <v>8</v>
      </c>
      <c r="R770">
        <f>Table20[[#This Row],[Exit2]]*Table20[[#This Row],[ex2_price]]</f>
        <v>0</v>
      </c>
      <c r="S770">
        <f>IFERROR((Table20[[#This Row],[ex2_amnt]]+Table20[[#This Row],[ex1_amnt]])/(Table20[[#This Row],[Exit2]]+Table20[[#This Row],[Exit1]]),0)</f>
        <v>4</v>
      </c>
      <c r="T770" s="5">
        <f>(Table20[[#This Row],[Exit1]]+Table20[[#This Row],[Exit2]])*(Table20[[#This Row],[avg_exit_price]]-Table20[[#This Row],[AvePrice]])*100*Table20[[#This Row],[Buy or Sell]]</f>
        <v>-127.99999999999994</v>
      </c>
      <c r="U770" s="5">
        <f>Table20[[#This Row],[Number of options]]*Table20[[#This Row],[AvePrice]]*100*Table20[[#This Row],[Buy or Sell]]</f>
        <v>927.99999999999989</v>
      </c>
      <c r="V770" s="8">
        <f>Table20[[#This Row],[Number of options]]-Table20[[#This Row],[Exit1]]-Table20[[#This Row],[Exit2]]</f>
        <v>0</v>
      </c>
      <c r="W770" s="30">
        <f ca="1">(Table20[[#This Row],[Expiration Date]]-TODAY())/365</f>
        <v>-0.43835616438356162</v>
      </c>
      <c r="X770" s="30" t="e">
        <f ca="1">(LN(Table20[[#This Row],[Current Price]]/Table20[[#This Row],[strike_price]]) + ($B$2 + (Table20[[#This Row],[Vol]]^2)/2)*Table20[[#This Row],[Time to expiration]]) / (Table20[[#This Row],[Vol]] * SQRT(Table20[[#This Row],[Time to expiration]]))</f>
        <v>#NUM!</v>
      </c>
      <c r="Y770" s="30" t="e">
        <f ca="1">IF(Table20[[#This Row],[Direction]]&gt;0, _xlfn.NORM.S.DIST(Table20[[#This Row],[d1]], TRUE), _xlfn.NORM.S.DIST(Table20[[#This Row],[d1]], TRUE) - 1) * Table20[[#This Row],[Buy or Sell]]</f>
        <v>#NUM!</v>
      </c>
      <c r="Z770" s="9">
        <f ca="1">Table20[[#This Row],[Remaining]]*Table20[[#This Row],[Current Price]]*100</f>
        <v>0</v>
      </c>
      <c r="AA770" s="22">
        <f ca="1">IFERROR(Table20[[#This Row],[nominal_exposure]]*Table20[[#This Row],[Delta]],0)</f>
        <v>0</v>
      </c>
      <c r="AB770" s="30" t="b">
        <f>IF(Table20[[#This Row],[date_purchased]]&lt;&gt;Table20[[#This Row],[Expiration Date]],FALSE,TRUE)</f>
        <v>0</v>
      </c>
      <c r="AC770" s="30" t="str">
        <f>VLOOKUP(Table20[[#This Row],[Asset]],Table19[#All],3,FALSE)</f>
        <v>Consumer Discretionary</v>
      </c>
      <c r="AD770" s="30">
        <f>IF(Table20[[#This Row],[Remaining]]&lt;&gt;0,Table20[[#This Row],[Invested]]*Table20[[#This Row],[Remaining]]/Table20[[#This Row],[Number of options]],0)</f>
        <v>0</v>
      </c>
      <c r="AE770" s="30">
        <f ca="1">SUMIF(Table20[Ticker],Table20[[#This Row],[Ticker]],Table20[realized_profit])</f>
        <v>-1317.0000000000002</v>
      </c>
      <c r="AF770" s="30" t="str">
        <f>VLOOKUP(Table20[[#This Row],[Strategy]],Table29[#All],7,FALSE)</f>
        <v>Bullish</v>
      </c>
    </row>
    <row r="771" spans="1:32" hidden="1">
      <c r="A771" s="180">
        <v>45947</v>
      </c>
      <c r="B771" s="21" t="e" vm="64">
        <v>#VALUE!</v>
      </c>
      <c r="C771" s="109" t="str" cm="1">
        <f t="array" aca="1" ref="C771" ca="1">_FV(Table20[[#This Row],[Asset]],"Ticker symbol",TRUE)</f>
        <v>LULU</v>
      </c>
      <c r="D771" s="26" cm="1">
        <f t="array" aca="1" ref="D771" ca="1">_FV(Table20[[#This Row],[Asset]],"Price")</f>
        <v>159.22</v>
      </c>
      <c r="E771" s="26">
        <v>300</v>
      </c>
      <c r="F771" s="33">
        <v>2</v>
      </c>
      <c r="G771" s="34">
        <v>-1</v>
      </c>
      <c r="H771" s="34" t="s">
        <v>114</v>
      </c>
      <c r="I771" s="31">
        <v>45884</v>
      </c>
      <c r="J771" s="26">
        <v>1.1399999999999999</v>
      </c>
      <c r="K771" s="24">
        <v>0.6</v>
      </c>
      <c r="L771" s="33">
        <f>VLOOKUP(Table20[[#This Row],[Strategy]],Table29[#All],6,FALSE)</f>
        <v>1</v>
      </c>
      <c r="M771" s="23">
        <v>2</v>
      </c>
      <c r="N771" s="23">
        <v>0.95</v>
      </c>
      <c r="O771" s="23"/>
      <c r="P771" s="23"/>
      <c r="Q771">
        <f>Table20[[#This Row],[Exit1]]*Table20[[#This Row],[ex1_price]]</f>
        <v>1.9</v>
      </c>
      <c r="R771">
        <f>Table20[[#This Row],[Exit2]]*Table20[[#This Row],[ex2_price]]</f>
        <v>0</v>
      </c>
      <c r="S771">
        <f>IFERROR((Table20[[#This Row],[ex2_amnt]]+Table20[[#This Row],[ex1_amnt]])/(Table20[[#This Row],[Exit2]]+Table20[[#This Row],[Exit1]]),0)</f>
        <v>0.95</v>
      </c>
      <c r="T771" s="5">
        <f>(Table20[[#This Row],[Exit1]]+Table20[[#This Row],[Exit2]])*(Table20[[#This Row],[avg_exit_price]]-Table20[[#This Row],[AvePrice]])*100*Table20[[#This Row],[Buy or Sell]]</f>
        <v>37.999999999999986</v>
      </c>
      <c r="U771" s="5">
        <f>Table20[[#This Row],[Number of options]]*Table20[[#This Row],[AvePrice]]*100*Table20[[#This Row],[Buy or Sell]]</f>
        <v>-227.99999999999997</v>
      </c>
      <c r="V771" s="8">
        <f>Table20[[#This Row],[Number of options]]-Table20[[#This Row],[Exit1]]-Table20[[#This Row],[Exit2]]</f>
        <v>0</v>
      </c>
      <c r="W771" s="30">
        <f ca="1">(Table20[[#This Row],[Expiration Date]]-TODAY())/365</f>
        <v>-0.43835616438356162</v>
      </c>
      <c r="X771" s="30" t="e">
        <f ca="1">(LN(Table20[[#This Row],[Current Price]]/Table20[[#This Row],[strike_price]]) + ($B$2 + (Table20[[#This Row],[Vol]]^2)/2)*Table20[[#This Row],[Time to expiration]]) / (Table20[[#This Row],[Vol]] * SQRT(Table20[[#This Row],[Time to expiration]]))</f>
        <v>#NUM!</v>
      </c>
      <c r="Y771" s="30" t="e">
        <f ca="1">IF(Table20[[#This Row],[Direction]]&gt;0, _xlfn.NORM.S.DIST(Table20[[#This Row],[d1]], TRUE), _xlfn.NORM.S.DIST(Table20[[#This Row],[d1]], TRUE) - 1) * Table20[[#This Row],[Buy or Sell]]</f>
        <v>#NUM!</v>
      </c>
      <c r="Z771" s="9">
        <f ca="1">Table20[[#This Row],[Remaining]]*Table20[[#This Row],[Current Price]]*100</f>
        <v>0</v>
      </c>
      <c r="AA771" s="22">
        <f ca="1">IFERROR(Table20[[#This Row],[nominal_exposure]]*Table20[[#This Row],[Delta]],0)</f>
        <v>0</v>
      </c>
      <c r="AB771" s="30" t="b">
        <f>IF(Table20[[#This Row],[date_purchased]]&lt;&gt;Table20[[#This Row],[Expiration Date]],FALSE,TRUE)</f>
        <v>0</v>
      </c>
      <c r="AC771" s="30" t="str">
        <f>VLOOKUP(Table20[[#This Row],[Asset]],Table19[#All],3,FALSE)</f>
        <v>Consumer Discretionary</v>
      </c>
      <c r="AD771" s="30">
        <f>IF(Table20[[#This Row],[Remaining]]&lt;&gt;0,Table20[[#This Row],[Invested]]*Table20[[#This Row],[Remaining]]/Table20[[#This Row],[Number of options]],0)</f>
        <v>0</v>
      </c>
      <c r="AE771" s="30">
        <f ca="1">SUMIF(Table20[Ticker],Table20[[#This Row],[Ticker]],Table20[realized_profit])</f>
        <v>-1317.0000000000002</v>
      </c>
      <c r="AF771" s="30" t="str">
        <f>VLOOKUP(Table20[[#This Row],[Strategy]],Table29[#All],7,FALSE)</f>
        <v>Bullish</v>
      </c>
    </row>
    <row r="772" spans="1:32" hidden="1">
      <c r="A772" s="180">
        <v>45947</v>
      </c>
      <c r="B772" s="21" t="e" vm="64">
        <v>#VALUE!</v>
      </c>
      <c r="C772" s="109" t="str" cm="1">
        <f t="array" aca="1" ref="C772" ca="1">_FV(Table20[[#This Row],[Asset]],"Ticker symbol",TRUE)</f>
        <v>LULU</v>
      </c>
      <c r="D772" s="26" cm="1">
        <f t="array" aca="1" ref="D772" ca="1">_FV(Table20[[#This Row],[Asset]],"Price")</f>
        <v>159.22</v>
      </c>
      <c r="E772" s="26">
        <v>250</v>
      </c>
      <c r="F772" s="33">
        <v>1</v>
      </c>
      <c r="G772" s="34">
        <v>1</v>
      </c>
      <c r="H772" s="34" t="s">
        <v>113</v>
      </c>
      <c r="I772" s="31">
        <v>45884</v>
      </c>
      <c r="J772" s="26">
        <v>4.21</v>
      </c>
      <c r="K772" s="24">
        <v>0.6</v>
      </c>
      <c r="L772" s="33">
        <f>VLOOKUP(Table20[[#This Row],[Strategy]],Table29[#All],6,FALSE)</f>
        <v>1</v>
      </c>
      <c r="M772" s="23">
        <v>1</v>
      </c>
      <c r="N772" s="23">
        <v>4</v>
      </c>
      <c r="O772" s="23"/>
      <c r="P772" s="23"/>
      <c r="Q772">
        <f>Table20[[#This Row],[Exit1]]*Table20[[#This Row],[ex1_price]]</f>
        <v>4</v>
      </c>
      <c r="R772">
        <f>Table20[[#This Row],[Exit2]]*Table20[[#This Row],[ex2_price]]</f>
        <v>0</v>
      </c>
      <c r="S772">
        <f>IFERROR((Table20[[#This Row],[ex2_amnt]]+Table20[[#This Row],[ex1_amnt]])/(Table20[[#This Row],[Exit2]]+Table20[[#This Row],[Exit1]]),0)</f>
        <v>4</v>
      </c>
      <c r="T772" s="5">
        <f>(Table20[[#This Row],[Exit1]]+Table20[[#This Row],[Exit2]])*(Table20[[#This Row],[avg_exit_price]]-Table20[[#This Row],[AvePrice]])*100*Table20[[#This Row],[Buy or Sell]]</f>
        <v>-20.999999999999996</v>
      </c>
      <c r="U772" s="5">
        <f>Table20[[#This Row],[Number of options]]*Table20[[#This Row],[AvePrice]]*100*Table20[[#This Row],[Buy or Sell]]</f>
        <v>421</v>
      </c>
      <c r="V772" s="8">
        <f>Table20[[#This Row],[Number of options]]-Table20[[#This Row],[Exit1]]-Table20[[#This Row],[Exit2]]</f>
        <v>0</v>
      </c>
      <c r="W772" s="30">
        <f ca="1">(Table20[[#This Row],[Expiration Date]]-TODAY())/365</f>
        <v>-0.43835616438356162</v>
      </c>
      <c r="X772" s="30" t="e">
        <f ca="1">(LN(Table20[[#This Row],[Current Price]]/Table20[[#This Row],[strike_price]]) + ($B$2 + (Table20[[#This Row],[Vol]]^2)/2)*Table20[[#This Row],[Time to expiration]]) / (Table20[[#This Row],[Vol]] * SQRT(Table20[[#This Row],[Time to expiration]]))</f>
        <v>#NUM!</v>
      </c>
      <c r="Y772" s="30" t="e">
        <f ca="1">IF(Table20[[#This Row],[Direction]]&gt;0, _xlfn.NORM.S.DIST(Table20[[#This Row],[d1]], TRUE), _xlfn.NORM.S.DIST(Table20[[#This Row],[d1]], TRUE) - 1) * Table20[[#This Row],[Buy or Sell]]</f>
        <v>#NUM!</v>
      </c>
      <c r="Z772" s="9">
        <f ca="1">Table20[[#This Row],[Remaining]]*Table20[[#This Row],[Current Price]]*100</f>
        <v>0</v>
      </c>
      <c r="AA772" s="22">
        <f ca="1">IFERROR(Table20[[#This Row],[nominal_exposure]]*Table20[[#This Row],[Delta]],0)</f>
        <v>0</v>
      </c>
      <c r="AB772" s="30" t="b">
        <f>IF(Table20[[#This Row],[date_purchased]]&lt;&gt;Table20[[#This Row],[Expiration Date]],FALSE,TRUE)</f>
        <v>0</v>
      </c>
      <c r="AC772" s="30" t="str">
        <f>VLOOKUP(Table20[[#This Row],[Asset]],Table19[#All],3,FALSE)</f>
        <v>Consumer Discretionary</v>
      </c>
      <c r="AD772" s="30">
        <f>IF(Table20[[#This Row],[Remaining]]&lt;&gt;0,Table20[[#This Row],[Invested]]*Table20[[#This Row],[Remaining]]/Table20[[#This Row],[Number of options]],0)</f>
        <v>0</v>
      </c>
      <c r="AE772" s="30">
        <f ca="1">SUMIF(Table20[Ticker],Table20[[#This Row],[Ticker]],Table20[realized_profit])</f>
        <v>-1317.0000000000002</v>
      </c>
      <c r="AF772" s="30" t="str">
        <f>VLOOKUP(Table20[[#This Row],[Strategy]],Table29[#All],7,FALSE)</f>
        <v>Bullish</v>
      </c>
    </row>
    <row r="773" spans="1:32" hidden="1">
      <c r="A773" s="180">
        <v>45891</v>
      </c>
      <c r="B773" s="21" t="e" vm="163">
        <v>#VALUE!</v>
      </c>
      <c r="C773" s="109" t="str" cm="1">
        <f t="array" aca="1" ref="C773" ca="1">_FV(Table20[[#This Row],[Asset]],"Ticker symbol",TRUE)</f>
        <v>LLY</v>
      </c>
      <c r="D773" s="26" cm="1">
        <f t="array" aca="1" ref="D773" ca="1">_FV(Table20[[#This Row],[Asset]],"Price")</f>
        <v>910.82500000000005</v>
      </c>
      <c r="E773" s="26">
        <v>800</v>
      </c>
      <c r="F773" s="33">
        <v>2</v>
      </c>
      <c r="G773" s="34">
        <v>-1</v>
      </c>
      <c r="H773" s="34" t="s">
        <v>115</v>
      </c>
      <c r="I773" s="31">
        <v>45884</v>
      </c>
      <c r="J773" s="26">
        <v>0.42</v>
      </c>
      <c r="K773" s="24">
        <v>0.31</v>
      </c>
      <c r="L773" s="33">
        <f>VLOOKUP(Table20[[#This Row],[Strategy]],Table29[#All],6,FALSE)</f>
        <v>1</v>
      </c>
      <c r="M773" s="23">
        <v>2</v>
      </c>
      <c r="N773" s="23">
        <v>0.02</v>
      </c>
      <c r="O773" s="23"/>
      <c r="P773" s="23"/>
      <c r="Q773">
        <f>Table20[[#This Row],[Exit1]]*Table20[[#This Row],[ex1_price]]</f>
        <v>0.04</v>
      </c>
      <c r="R773">
        <f>Table20[[#This Row],[Exit2]]*Table20[[#This Row],[ex2_price]]</f>
        <v>0</v>
      </c>
      <c r="S773">
        <f>IFERROR((Table20[[#This Row],[ex2_amnt]]+Table20[[#This Row],[ex1_amnt]])/(Table20[[#This Row],[Exit2]]+Table20[[#This Row],[Exit1]]),0)</f>
        <v>0.02</v>
      </c>
      <c r="T773" s="5">
        <f>(Table20[[#This Row],[Exit1]]+Table20[[#This Row],[Exit2]])*(Table20[[#This Row],[avg_exit_price]]-Table20[[#This Row],[AvePrice]])*100*Table20[[#This Row],[Buy or Sell]]</f>
        <v>80</v>
      </c>
      <c r="U773" s="5">
        <f>Table20[[#This Row],[Number of options]]*Table20[[#This Row],[AvePrice]]*100*Table20[[#This Row],[Buy or Sell]]</f>
        <v>-84</v>
      </c>
      <c r="V773" s="8">
        <f>Table20[[#This Row],[Number of options]]-Table20[[#This Row],[Exit1]]-Table20[[#This Row],[Exit2]]</f>
        <v>0</v>
      </c>
      <c r="W773" s="30">
        <f ca="1">(Table20[[#This Row],[Expiration Date]]-TODAY())/365</f>
        <v>-0.59178082191780823</v>
      </c>
      <c r="X773" s="30" t="e">
        <f ca="1">(LN(Table20[[#This Row],[Current Price]]/Table20[[#This Row],[strike_price]]) + ($B$2 + (Table20[[#This Row],[Vol]]^2)/2)*Table20[[#This Row],[Time to expiration]]) / (Table20[[#This Row],[Vol]] * SQRT(Table20[[#This Row],[Time to expiration]]))</f>
        <v>#NUM!</v>
      </c>
      <c r="Y773" s="30" t="e">
        <f ca="1">IF(Table20[[#This Row],[Direction]]&gt;0, _xlfn.NORM.S.DIST(Table20[[#This Row],[d1]], TRUE), _xlfn.NORM.S.DIST(Table20[[#This Row],[d1]], TRUE) - 1) * Table20[[#This Row],[Buy or Sell]]</f>
        <v>#NUM!</v>
      </c>
      <c r="Z773" s="9">
        <f ca="1">Table20[[#This Row],[Remaining]]*Table20[[#This Row],[Current Price]]*100</f>
        <v>0</v>
      </c>
      <c r="AA773" s="22">
        <f ca="1">IFERROR(Table20[[#This Row],[nominal_exposure]]*Table20[[#This Row],[Delta]],0)</f>
        <v>0</v>
      </c>
      <c r="AB773" s="30" t="b">
        <f>IF(Table20[[#This Row],[date_purchased]]&lt;&gt;Table20[[#This Row],[Expiration Date]],FALSE,TRUE)</f>
        <v>0</v>
      </c>
      <c r="AC773" s="30" t="str">
        <f>VLOOKUP(Table20[[#This Row],[Asset]],Table19[#All],3,FALSE)</f>
        <v>Health Care</v>
      </c>
      <c r="AD773" s="30">
        <f>IF(Table20[[#This Row],[Remaining]]&lt;&gt;0,Table20[[#This Row],[Invested]]*Table20[[#This Row],[Remaining]]/Table20[[#This Row],[Number of options]],0)</f>
        <v>0</v>
      </c>
      <c r="AE773" s="30">
        <f ca="1">SUMIF(Table20[Ticker],Table20[[#This Row],[Ticker]],Table20[realized_profit])</f>
        <v>8506.9999999999982</v>
      </c>
      <c r="AF773" s="30" t="str">
        <f>VLOOKUP(Table20[[#This Row],[Strategy]],Table29[#All],7,FALSE)</f>
        <v>Bullish</v>
      </c>
    </row>
    <row r="774" spans="1:32" hidden="1">
      <c r="A774" s="180">
        <v>45898</v>
      </c>
      <c r="B774" s="21" t="e" vm="163">
        <v>#VALUE!</v>
      </c>
      <c r="C774" s="109" t="str" cm="1">
        <f t="array" aca="1" ref="C774" ca="1">_FV(Table20[[#This Row],[Asset]],"Ticker symbol",TRUE)</f>
        <v>LLY</v>
      </c>
      <c r="D774" s="26" cm="1">
        <f t="array" aca="1" ref="D774" ca="1">_FV(Table20[[#This Row],[Asset]],"Price")</f>
        <v>910.82500000000005</v>
      </c>
      <c r="E774" s="26">
        <v>800</v>
      </c>
      <c r="F774" s="33">
        <v>2</v>
      </c>
      <c r="G774" s="34">
        <v>1</v>
      </c>
      <c r="H774" s="34" t="s">
        <v>115</v>
      </c>
      <c r="I774" s="31">
        <v>45884</v>
      </c>
      <c r="J774" s="26">
        <v>1.46</v>
      </c>
      <c r="K774" s="24">
        <v>0.31</v>
      </c>
      <c r="L774" s="33">
        <f>VLOOKUP(Table20[[#This Row],[Strategy]],Table29[#All],6,FALSE)</f>
        <v>1</v>
      </c>
      <c r="M774" s="23">
        <v>2</v>
      </c>
      <c r="N774" s="23">
        <v>0.25</v>
      </c>
      <c r="O774" s="23"/>
      <c r="P774" s="23"/>
      <c r="Q774">
        <f>Table20[[#This Row],[Exit1]]*Table20[[#This Row],[ex1_price]]</f>
        <v>0.5</v>
      </c>
      <c r="R774">
        <f>Table20[[#This Row],[Exit2]]*Table20[[#This Row],[ex2_price]]</f>
        <v>0</v>
      </c>
      <c r="S774">
        <f>IFERROR((Table20[[#This Row],[ex2_amnt]]+Table20[[#This Row],[ex1_amnt]])/(Table20[[#This Row],[Exit2]]+Table20[[#This Row],[Exit1]]),0)</f>
        <v>0.25</v>
      </c>
      <c r="T774" s="5">
        <f>(Table20[[#This Row],[Exit1]]+Table20[[#This Row],[Exit2]])*(Table20[[#This Row],[avg_exit_price]]-Table20[[#This Row],[AvePrice]])*100*Table20[[#This Row],[Buy or Sell]]</f>
        <v>-242</v>
      </c>
      <c r="U774" s="5">
        <f>Table20[[#This Row],[Number of options]]*Table20[[#This Row],[AvePrice]]*100*Table20[[#This Row],[Buy or Sell]]</f>
        <v>292</v>
      </c>
      <c r="V774" s="8">
        <f>Table20[[#This Row],[Number of options]]-Table20[[#This Row],[Exit1]]-Table20[[#This Row],[Exit2]]</f>
        <v>0</v>
      </c>
      <c r="W774" s="30">
        <f ca="1">(Table20[[#This Row],[Expiration Date]]-TODAY())/365</f>
        <v>-0.57260273972602738</v>
      </c>
      <c r="X774" s="30" t="e">
        <f ca="1">(LN(Table20[[#This Row],[Current Price]]/Table20[[#This Row],[strike_price]]) + ($B$2 + (Table20[[#This Row],[Vol]]^2)/2)*Table20[[#This Row],[Time to expiration]]) / (Table20[[#This Row],[Vol]] * SQRT(Table20[[#This Row],[Time to expiration]]))</f>
        <v>#NUM!</v>
      </c>
      <c r="Y774" s="30" t="e">
        <f ca="1">IF(Table20[[#This Row],[Direction]]&gt;0, _xlfn.NORM.S.DIST(Table20[[#This Row],[d1]], TRUE), _xlfn.NORM.S.DIST(Table20[[#This Row],[d1]], TRUE) - 1) * Table20[[#This Row],[Buy or Sell]]</f>
        <v>#NUM!</v>
      </c>
      <c r="Z774" s="9">
        <f ca="1">Table20[[#This Row],[Remaining]]*Table20[[#This Row],[Current Price]]*100</f>
        <v>0</v>
      </c>
      <c r="AA774" s="22">
        <f ca="1">IFERROR(Table20[[#This Row],[nominal_exposure]]*Table20[[#This Row],[Delta]],0)</f>
        <v>0</v>
      </c>
      <c r="AB774" s="30" t="b">
        <f>IF(Table20[[#This Row],[date_purchased]]&lt;&gt;Table20[[#This Row],[Expiration Date]],FALSE,TRUE)</f>
        <v>0</v>
      </c>
      <c r="AC774" s="30" t="str">
        <f>VLOOKUP(Table20[[#This Row],[Asset]],Table19[#All],3,FALSE)</f>
        <v>Health Care</v>
      </c>
      <c r="AD774" s="30">
        <f>IF(Table20[[#This Row],[Remaining]]&lt;&gt;0,Table20[[#This Row],[Invested]]*Table20[[#This Row],[Remaining]]/Table20[[#This Row],[Number of options]],0)</f>
        <v>0</v>
      </c>
      <c r="AE774" s="30">
        <f ca="1">SUMIF(Table20[Ticker],Table20[[#This Row],[Ticker]],Table20[realized_profit])</f>
        <v>8506.9999999999982</v>
      </c>
      <c r="AF774" s="30" t="str">
        <f>VLOOKUP(Table20[[#This Row],[Strategy]],Table29[#All],7,FALSE)</f>
        <v>Bullish</v>
      </c>
    </row>
    <row r="775" spans="1:32">
      <c r="A775" s="180">
        <v>46038</v>
      </c>
      <c r="B775" s="21" t="e" vm="151">
        <v>#VALUE!</v>
      </c>
      <c r="C775" s="109" t="str" cm="1">
        <f t="array" aca="1" ref="C775" ca="1">_FV(Table20[[#This Row],[Asset]],"Ticker symbol",TRUE)</f>
        <v>TLT</v>
      </c>
      <c r="D775" s="26" cm="1">
        <f t="array" aca="1" ref="D775" ca="1">_FV(Table20[[#This Row],[Asset]],"Price")</f>
        <v>86.743499999999997</v>
      </c>
      <c r="E775" s="26">
        <v>100</v>
      </c>
      <c r="F775" s="33">
        <v>10</v>
      </c>
      <c r="G775" s="34">
        <v>1</v>
      </c>
      <c r="H775" s="34" t="s">
        <v>113</v>
      </c>
      <c r="I775" s="31">
        <v>45686</v>
      </c>
      <c r="J775" s="26">
        <v>1.83</v>
      </c>
      <c r="K775" s="24">
        <v>0.13669999999999999</v>
      </c>
      <c r="L775" s="33">
        <f>VLOOKUP(Table20[[#This Row],[Strategy]],Table29[#All],6,FALSE)</f>
        <v>1</v>
      </c>
      <c r="M775" s="23">
        <v>5</v>
      </c>
      <c r="N775" s="23">
        <v>1.68</v>
      </c>
      <c r="O775" s="23"/>
      <c r="P775" s="23"/>
      <c r="Q775">
        <f>Table20[[#This Row],[Exit1]]*Table20[[#This Row],[ex1_price]]</f>
        <v>8.4</v>
      </c>
      <c r="R775">
        <f>Table20[[#This Row],[Exit2]]*Table20[[#This Row],[ex2_price]]</f>
        <v>0</v>
      </c>
      <c r="S775">
        <f>IFERROR((Table20[[#This Row],[ex2_amnt]]+Table20[[#This Row],[ex1_amnt]])/(Table20[[#This Row],[Exit2]]+Table20[[#This Row],[Exit1]]),0)</f>
        <v>1.6800000000000002</v>
      </c>
      <c r="T775" s="5">
        <f>(Table20[[#This Row],[Exit1]]+Table20[[#This Row],[Exit2]])*(Table20[[#This Row],[avg_exit_price]]-Table20[[#This Row],[AvePrice]])*100*Table20[[#This Row],[Buy or Sell]]</f>
        <v>-74.999999999999957</v>
      </c>
      <c r="U775" s="5">
        <f>Table20[[#This Row],[Number of options]]*Table20[[#This Row],[AvePrice]]*100*Table20[[#This Row],[Buy or Sell]]</f>
        <v>1830</v>
      </c>
      <c r="V775" s="8">
        <f>Table20[[#This Row],[Number of options]]-Table20[[#This Row],[Exit1]]-Table20[[#This Row],[Exit2]]</f>
        <v>5</v>
      </c>
      <c r="W775" s="30">
        <f ca="1">(Table20[[#This Row],[Expiration Date]]-TODAY())/365</f>
        <v>-0.18904109589041096</v>
      </c>
      <c r="X775" s="30" t="e">
        <f ca="1">(LN(Table20[[#This Row],[Current Price]]/Table20[[#This Row],[strike_price]]) + ($B$2 + (Table20[[#This Row],[Vol]]^2)/2)*Table20[[#This Row],[Time to expiration]]) / (Table20[[#This Row],[Vol]] * SQRT(Table20[[#This Row],[Time to expiration]]))</f>
        <v>#NUM!</v>
      </c>
      <c r="Y775" s="30" t="e">
        <f ca="1">IF(Table20[[#This Row],[Direction]]&gt;0, _xlfn.NORM.S.DIST(Table20[[#This Row],[d1]], TRUE), _xlfn.NORM.S.DIST(Table20[[#This Row],[d1]], TRUE) - 1) * Table20[[#This Row],[Buy or Sell]]</f>
        <v>#NUM!</v>
      </c>
      <c r="Z775" s="9">
        <f ca="1">Table20[[#This Row],[Remaining]]*Table20[[#This Row],[Current Price]]*100</f>
        <v>43371.75</v>
      </c>
      <c r="AA775" s="22">
        <f ca="1">IFERROR(Table20[[#This Row],[nominal_exposure]]*Table20[[#This Row],[Delta]],0)</f>
        <v>0</v>
      </c>
      <c r="AB775" s="30" t="b">
        <f>IF(Table20[[#This Row],[date_purchased]]&lt;&gt;Table20[[#This Row],[Expiration Date]],FALSE,TRUE)</f>
        <v>0</v>
      </c>
      <c r="AC775" s="30" t="str">
        <f>VLOOKUP(Table20[[#This Row],[Asset]],Table19[#All],3,FALSE)</f>
        <v>Market</v>
      </c>
      <c r="AD775" s="30">
        <f>IF(Table20[[#This Row],[Remaining]]&lt;&gt;0,Table20[[#This Row],[Invested]]*Table20[[#This Row],[Remaining]]/Table20[[#This Row],[Number of options]],0)</f>
        <v>915</v>
      </c>
      <c r="AE775" s="30">
        <f ca="1">SUMIF(Table20[Ticker],Table20[[#This Row],[Ticker]],Table20[realized_profit])</f>
        <v>-3328.3599999999997</v>
      </c>
      <c r="AF775" s="30" t="str">
        <f>VLOOKUP(Table20[[#This Row],[Strategy]],Table29[#All],7,FALSE)</f>
        <v>Bullish</v>
      </c>
    </row>
    <row r="776" spans="1:32" hidden="1">
      <c r="A776" s="180">
        <v>46038</v>
      </c>
      <c r="B776" s="21" t="e" vm="21">
        <v>#VALUE!</v>
      </c>
      <c r="C776" s="109" t="str" cm="1">
        <f t="array" aca="1" ref="C776" ca="1">_FV(Table20[[#This Row],[Asset]],"Ticker symbol",TRUE)</f>
        <v>INTC</v>
      </c>
      <c r="D776" s="26" cm="1">
        <f t="array" aca="1" ref="D776" ca="1">_FV(Table20[[#This Row],[Asset]],"Price")</f>
        <v>47.290100000000002</v>
      </c>
      <c r="E776" s="26">
        <v>30</v>
      </c>
      <c r="F776" s="33">
        <v>5</v>
      </c>
      <c r="G776" s="34">
        <v>1</v>
      </c>
      <c r="H776" s="34" t="s">
        <v>113</v>
      </c>
      <c r="I776" s="31">
        <v>45701</v>
      </c>
      <c r="J776" s="26">
        <v>2.69</v>
      </c>
      <c r="K776" s="24">
        <v>0.47689999999999999</v>
      </c>
      <c r="L776" s="33">
        <f>VLOOKUP(Table20[[#This Row],[Strategy]],Table29[#All],6,FALSE)</f>
        <v>1</v>
      </c>
      <c r="M776" s="23">
        <v>3</v>
      </c>
      <c r="N776" s="23">
        <v>8</v>
      </c>
      <c r="O776" s="23">
        <v>2</v>
      </c>
      <c r="P776" s="23">
        <v>10.5</v>
      </c>
      <c r="Q776">
        <f>Table20[[#This Row],[Exit1]]*Table20[[#This Row],[ex1_price]]</f>
        <v>24</v>
      </c>
      <c r="R776">
        <f>Table20[[#This Row],[Exit2]]*Table20[[#This Row],[ex2_price]]</f>
        <v>21</v>
      </c>
      <c r="S776">
        <f>IFERROR((Table20[[#This Row],[ex2_amnt]]+Table20[[#This Row],[ex1_amnt]])/(Table20[[#This Row],[Exit2]]+Table20[[#This Row],[Exit1]]),0)</f>
        <v>9</v>
      </c>
      <c r="T776" s="5">
        <f>(Table20[[#This Row],[Exit1]]+Table20[[#This Row],[Exit2]])*(Table20[[#This Row],[avg_exit_price]]-Table20[[#This Row],[AvePrice]])*100*Table20[[#This Row],[Buy or Sell]]</f>
        <v>3155.0000000000005</v>
      </c>
      <c r="U776" s="5">
        <f>Table20[[#This Row],[Number of options]]*Table20[[#This Row],[AvePrice]]*100*Table20[[#This Row],[Buy or Sell]]</f>
        <v>1345</v>
      </c>
      <c r="V776" s="8">
        <f>Table20[[#This Row],[Number of options]]-Table20[[#This Row],[Exit1]]-Table20[[#This Row],[Exit2]]</f>
        <v>0</v>
      </c>
      <c r="W776" s="30">
        <f ca="1">(Table20[[#This Row],[Expiration Date]]-TODAY())/365</f>
        <v>-0.18904109589041096</v>
      </c>
      <c r="X776" s="30" t="e">
        <f ca="1">(LN(Table20[[#This Row],[Current Price]]/Table20[[#This Row],[strike_price]]) + ($B$2 + (Table20[[#This Row],[Vol]]^2)/2)*Table20[[#This Row],[Time to expiration]]) / (Table20[[#This Row],[Vol]] * SQRT(Table20[[#This Row],[Time to expiration]]))</f>
        <v>#NUM!</v>
      </c>
      <c r="Y776" s="30" t="e">
        <f ca="1">IF(Table20[[#This Row],[Direction]]&gt;0, _xlfn.NORM.S.DIST(Table20[[#This Row],[d1]], TRUE), _xlfn.NORM.S.DIST(Table20[[#This Row],[d1]], TRUE) - 1) * Table20[[#This Row],[Buy or Sell]]</f>
        <v>#NUM!</v>
      </c>
      <c r="Z776" s="9">
        <f ca="1">Table20[[#This Row],[Remaining]]*Table20[[#This Row],[Current Price]]*100</f>
        <v>0</v>
      </c>
      <c r="AA776" s="22">
        <f ca="1">IFERROR(Table20[[#This Row],[nominal_exposure]]*Table20[[#This Row],[Delta]],0)</f>
        <v>0</v>
      </c>
      <c r="AB776" s="30" t="b">
        <f>IF(Table20[[#This Row],[date_purchased]]&lt;&gt;Table20[[#This Row],[Expiration Date]],FALSE,TRUE)</f>
        <v>0</v>
      </c>
      <c r="AC776" s="30" t="str">
        <f>VLOOKUP(Table20[[#This Row],[Asset]],Table19[#All],3,FALSE)</f>
        <v>AI</v>
      </c>
      <c r="AD776" s="30">
        <f>IF(Table20[[#This Row],[Remaining]]&lt;&gt;0,Table20[[#This Row],[Invested]]*Table20[[#This Row],[Remaining]]/Table20[[#This Row],[Number of options]],0)</f>
        <v>0</v>
      </c>
      <c r="AE776" s="30">
        <f ca="1">SUMIF(Table20[Ticker],Table20[[#This Row],[Ticker]],Table20[realized_profit])</f>
        <v>4779</v>
      </c>
      <c r="AF776" s="30" t="str">
        <f>VLOOKUP(Table20[[#This Row],[Strategy]],Table29[#All],7,FALSE)</f>
        <v>Bullish</v>
      </c>
    </row>
    <row r="777" spans="1:32">
      <c r="A777" s="180">
        <v>46038</v>
      </c>
      <c r="B777" s="21" t="e" vm="80">
        <v>#VALUE!</v>
      </c>
      <c r="C777" s="109" t="str" cm="1">
        <f t="array" aca="1" ref="C777" ca="1">_FV(Table20[[#This Row],[Asset]],"Ticker symbol",TRUE)</f>
        <v>PYPL</v>
      </c>
      <c r="D777" s="26" cm="1">
        <f t="array" aca="1" ref="D777" ca="1">_FV(Table20[[#This Row],[Asset]],"Price")</f>
        <v>45.11</v>
      </c>
      <c r="E777" s="26">
        <v>90</v>
      </c>
      <c r="F777" s="33">
        <v>2</v>
      </c>
      <c r="G777" s="34">
        <v>1</v>
      </c>
      <c r="H777" s="34" t="s">
        <v>113</v>
      </c>
      <c r="I777" s="31">
        <v>45722</v>
      </c>
      <c r="J777" s="26">
        <v>3.25</v>
      </c>
      <c r="K777" s="24">
        <v>0.43</v>
      </c>
      <c r="L777" s="33">
        <f>VLOOKUP(Table20[[#This Row],[Strategy]],Table29[#All],6,FALSE)</f>
        <v>1</v>
      </c>
      <c r="M777" s="23"/>
      <c r="N777" s="23"/>
      <c r="O777" s="23"/>
      <c r="P777" s="23"/>
      <c r="Q777">
        <f>Table20[[#This Row],[Exit1]]*Table20[[#This Row],[ex1_price]]</f>
        <v>0</v>
      </c>
      <c r="R777">
        <f>Table20[[#This Row],[Exit2]]*Table20[[#This Row],[ex2_price]]</f>
        <v>0</v>
      </c>
      <c r="S777">
        <f>IFERROR((Table20[[#This Row],[ex2_amnt]]+Table20[[#This Row],[ex1_amnt]])/(Table20[[#This Row],[Exit2]]+Table20[[#This Row],[Exit1]]),0)</f>
        <v>0</v>
      </c>
      <c r="T777" s="5">
        <f>(Table20[[#This Row],[Exit1]]+Table20[[#This Row],[Exit2]])*(Table20[[#This Row],[avg_exit_price]]-Table20[[#This Row],[AvePrice]])*100*Table20[[#This Row],[Buy or Sell]]</f>
        <v>0</v>
      </c>
      <c r="U777" s="5">
        <f>Table20[[#This Row],[Number of options]]*Table20[[#This Row],[AvePrice]]*100*Table20[[#This Row],[Buy or Sell]]</f>
        <v>650</v>
      </c>
      <c r="V777" s="8">
        <f>Table20[[#This Row],[Number of options]]-Table20[[#This Row],[Exit1]]-Table20[[#This Row],[Exit2]]</f>
        <v>2</v>
      </c>
      <c r="W777" s="30">
        <f ca="1">(Table20[[#This Row],[Expiration Date]]-TODAY())/365</f>
        <v>-0.18904109589041096</v>
      </c>
      <c r="X777" s="30" t="e">
        <f ca="1">(LN(Table20[[#This Row],[Current Price]]/Table20[[#This Row],[strike_price]]) + ($B$2 + (Table20[[#This Row],[Vol]]^2)/2)*Table20[[#This Row],[Time to expiration]]) / (Table20[[#This Row],[Vol]] * SQRT(Table20[[#This Row],[Time to expiration]]))</f>
        <v>#NUM!</v>
      </c>
      <c r="Y777" s="30" t="e">
        <f ca="1">IF(Table20[[#This Row],[Direction]]&gt;0, _xlfn.NORM.S.DIST(Table20[[#This Row],[d1]], TRUE), _xlfn.NORM.S.DIST(Table20[[#This Row],[d1]], TRUE) - 1) * Table20[[#This Row],[Buy or Sell]]</f>
        <v>#NUM!</v>
      </c>
      <c r="Z777" s="9">
        <f ca="1">Table20[[#This Row],[Remaining]]*Table20[[#This Row],[Current Price]]*100</f>
        <v>9022</v>
      </c>
      <c r="AA777" s="22">
        <f ca="1">IFERROR(Table20[[#This Row],[nominal_exposure]]*Table20[[#This Row],[Delta]],0)</f>
        <v>0</v>
      </c>
      <c r="AB777" s="30" t="b">
        <f>IF(Table20[[#This Row],[date_purchased]]&lt;&gt;Table20[[#This Row],[Expiration Date]],FALSE,TRUE)</f>
        <v>0</v>
      </c>
      <c r="AC777" s="30" t="str">
        <f>VLOOKUP(Table20[[#This Row],[Asset]],Table19[#All],3,FALSE)</f>
        <v>Financials</v>
      </c>
      <c r="AD777" s="30">
        <f>IF(Table20[[#This Row],[Remaining]]&lt;&gt;0,Table20[[#This Row],[Invested]]*Table20[[#This Row],[Remaining]]/Table20[[#This Row],[Number of options]],0)</f>
        <v>650</v>
      </c>
      <c r="AE777" s="30">
        <f ca="1">SUMIF(Table20[Ticker],Table20[[#This Row],[Ticker]],Table20[realized_profit])</f>
        <v>208.99999999999997</v>
      </c>
      <c r="AF777" s="30" t="str">
        <f>VLOOKUP(Table20[[#This Row],[Strategy]],Table29[#All],7,FALSE)</f>
        <v>Bullish</v>
      </c>
    </row>
    <row r="778" spans="1:32" hidden="1">
      <c r="A778" s="180">
        <v>46038</v>
      </c>
      <c r="B778" s="21" t="e" vm="92">
        <v>#VALUE!</v>
      </c>
      <c r="C778" s="109" t="str" cm="1">
        <f t="array" aca="1" ref="C778" ca="1">_FV(Table20[[#This Row],[Asset]],"Ticker symbol",TRUE)</f>
        <v>NEM</v>
      </c>
      <c r="D778" s="26" cm="1">
        <f t="array" aca="1" ref="D778" ca="1">_FV(Table20[[#This Row],[Asset]],"Price")</f>
        <v>102.705</v>
      </c>
      <c r="E778" s="26">
        <v>60</v>
      </c>
      <c r="F778" s="33">
        <v>2</v>
      </c>
      <c r="G778" s="34">
        <v>1</v>
      </c>
      <c r="H778" s="34" t="s">
        <v>113</v>
      </c>
      <c r="I778" s="31">
        <v>45792</v>
      </c>
      <c r="J778" s="26">
        <v>2.58</v>
      </c>
      <c r="K778" s="24">
        <v>0.35160000000000002</v>
      </c>
      <c r="L778" s="33">
        <f>VLOOKUP(Table20[[#This Row],[Strategy]],Table29[#All],6,FALSE)</f>
        <v>1</v>
      </c>
      <c r="M778" s="23">
        <v>1</v>
      </c>
      <c r="N778" s="23">
        <v>19.600000000000001</v>
      </c>
      <c r="O778" s="23">
        <v>1</v>
      </c>
      <c r="P778" s="23">
        <v>27</v>
      </c>
      <c r="Q778">
        <f>Table20[[#This Row],[Exit1]]*Table20[[#This Row],[ex1_price]]</f>
        <v>19.600000000000001</v>
      </c>
      <c r="R778">
        <f>Table20[[#This Row],[Exit2]]*Table20[[#This Row],[ex2_price]]</f>
        <v>27</v>
      </c>
      <c r="S778">
        <f>IFERROR((Table20[[#This Row],[ex2_amnt]]+Table20[[#This Row],[ex1_amnt]])/(Table20[[#This Row],[Exit2]]+Table20[[#This Row],[Exit1]]),0)</f>
        <v>23.3</v>
      </c>
      <c r="T778" s="5">
        <f>(Table20[[#This Row],[Exit1]]+Table20[[#This Row],[Exit2]])*(Table20[[#This Row],[avg_exit_price]]-Table20[[#This Row],[AvePrice]])*100*Table20[[#This Row],[Buy or Sell]]</f>
        <v>4144</v>
      </c>
      <c r="U778" s="5">
        <f>Table20[[#This Row],[Number of options]]*Table20[[#This Row],[AvePrice]]*100*Table20[[#This Row],[Buy or Sell]]</f>
        <v>516</v>
      </c>
      <c r="V778" s="8">
        <f>Table20[[#This Row],[Number of options]]-Table20[[#This Row],[Exit1]]-Table20[[#This Row],[Exit2]]</f>
        <v>0</v>
      </c>
      <c r="W778" s="30">
        <f ca="1">(Table20[[#This Row],[Expiration Date]]-TODAY())/365</f>
        <v>-0.18904109589041096</v>
      </c>
      <c r="X778" s="30" t="e">
        <f ca="1">(LN(Table20[[#This Row],[Current Price]]/Table20[[#This Row],[strike_price]]) + ($B$2 + (Table20[[#This Row],[Vol]]^2)/2)*Table20[[#This Row],[Time to expiration]]) / (Table20[[#This Row],[Vol]] * SQRT(Table20[[#This Row],[Time to expiration]]))</f>
        <v>#NUM!</v>
      </c>
      <c r="Y778" s="30" t="e">
        <f ca="1">IF(Table20[[#This Row],[Direction]]&gt;0, _xlfn.NORM.S.DIST(Table20[[#This Row],[d1]], TRUE), _xlfn.NORM.S.DIST(Table20[[#This Row],[d1]], TRUE) - 1) * Table20[[#This Row],[Buy or Sell]]</f>
        <v>#NUM!</v>
      </c>
      <c r="Z778" s="9">
        <f ca="1">Table20[[#This Row],[Remaining]]*Table20[[#This Row],[Current Price]]*100</f>
        <v>0</v>
      </c>
      <c r="AA778" s="22">
        <f ca="1">IFERROR(Table20[[#This Row],[nominal_exposure]]*Table20[[#This Row],[Delta]],0)</f>
        <v>0</v>
      </c>
      <c r="AB778" s="30" t="b">
        <f>IF(Table20[[#This Row],[date_purchased]]&lt;&gt;Table20[[#This Row],[Expiration Date]],FALSE,TRUE)</f>
        <v>0</v>
      </c>
      <c r="AC778" s="30" t="str">
        <f>VLOOKUP(Table20[[#This Row],[Asset]],Table19[#All],3,FALSE)</f>
        <v>Gold and Silver</v>
      </c>
      <c r="AD778" s="30">
        <f>IF(Table20[[#This Row],[Remaining]]&lt;&gt;0,Table20[[#This Row],[Invested]]*Table20[[#This Row],[Remaining]]/Table20[[#This Row],[Number of options]],0)</f>
        <v>0</v>
      </c>
      <c r="AE778" s="30">
        <f ca="1">SUMIF(Table20[Ticker],Table20[[#This Row],[Ticker]],Table20[realized_profit])</f>
        <v>4053</v>
      </c>
      <c r="AF778" s="30" t="str">
        <f>VLOOKUP(Table20[[#This Row],[Strategy]],Table29[#All],7,FALSE)</f>
        <v>Bullish</v>
      </c>
    </row>
    <row r="779" spans="1:32" hidden="1">
      <c r="A779" s="180">
        <v>45891</v>
      </c>
      <c r="B779" s="21" t="e" vm="115">
        <v>#VALUE!</v>
      </c>
      <c r="C779" s="109" t="str" cm="1">
        <f t="array" aca="1" ref="C779" ca="1">_FV(Table20[[#This Row],[Asset]],"Ticker symbol",TRUE)</f>
        <v>QQQ</v>
      </c>
      <c r="D779" s="26" cm="1">
        <f t="array" aca="1" ref="D779" ca="1">_FV(Table20[[#This Row],[Asset]],"Price")</f>
        <v>590.62</v>
      </c>
      <c r="E779" s="26">
        <v>570</v>
      </c>
      <c r="F779" s="33">
        <v>1</v>
      </c>
      <c r="G779" s="34">
        <v>1</v>
      </c>
      <c r="H779" s="34" t="s">
        <v>65</v>
      </c>
      <c r="I779" s="31">
        <v>45887</v>
      </c>
      <c r="J779" s="26">
        <v>1.72</v>
      </c>
      <c r="K779" s="24">
        <v>0.16</v>
      </c>
      <c r="L779" s="33">
        <f>VLOOKUP(Table20[[#This Row],[Strategy]],Table29[#All],6,FALSE)</f>
        <v>-1</v>
      </c>
      <c r="M779" s="23">
        <v>1</v>
      </c>
      <c r="N779" s="23">
        <v>3.55</v>
      </c>
      <c r="O779" s="23"/>
      <c r="P779" s="23"/>
      <c r="Q779">
        <f>Table20[[#This Row],[Exit1]]*Table20[[#This Row],[ex1_price]]</f>
        <v>3.55</v>
      </c>
      <c r="R779">
        <f>Table20[[#This Row],[Exit2]]*Table20[[#This Row],[ex2_price]]</f>
        <v>0</v>
      </c>
      <c r="S779">
        <f>IFERROR((Table20[[#This Row],[ex2_amnt]]+Table20[[#This Row],[ex1_amnt]])/(Table20[[#This Row],[Exit2]]+Table20[[#This Row],[Exit1]]),0)</f>
        <v>3.55</v>
      </c>
      <c r="T779" s="5">
        <f>(Table20[[#This Row],[Exit1]]+Table20[[#This Row],[Exit2]])*(Table20[[#This Row],[avg_exit_price]]-Table20[[#This Row],[AvePrice]])*100*Table20[[#This Row],[Buy or Sell]]</f>
        <v>182.99999999999997</v>
      </c>
      <c r="U779" s="5">
        <f>Table20[[#This Row],[Number of options]]*Table20[[#This Row],[AvePrice]]*100*Table20[[#This Row],[Buy or Sell]]</f>
        <v>172</v>
      </c>
      <c r="V779" s="8">
        <f>Table20[[#This Row],[Number of options]]-Table20[[#This Row],[Exit1]]-Table20[[#This Row],[Exit2]]</f>
        <v>0</v>
      </c>
      <c r="W779" s="30">
        <f ca="1">(Table20[[#This Row],[Expiration Date]]-TODAY())/365</f>
        <v>-0.59178082191780823</v>
      </c>
      <c r="X779" s="30" t="e">
        <f ca="1">(LN(Table20[[#This Row],[Current Price]]/Table20[[#This Row],[strike_price]]) + ($B$2 + (Table20[[#This Row],[Vol]]^2)/2)*Table20[[#This Row],[Time to expiration]]) / (Table20[[#This Row],[Vol]] * SQRT(Table20[[#This Row],[Time to expiration]]))</f>
        <v>#NUM!</v>
      </c>
      <c r="Y779" s="30" t="e">
        <f ca="1">IF(Table20[[#This Row],[Direction]]&gt;0, _xlfn.NORM.S.DIST(Table20[[#This Row],[d1]], TRUE), _xlfn.NORM.S.DIST(Table20[[#This Row],[d1]], TRUE) - 1) * Table20[[#This Row],[Buy or Sell]]</f>
        <v>#NUM!</v>
      </c>
      <c r="Z779" s="9">
        <f ca="1">Table20[[#This Row],[Remaining]]*Table20[[#This Row],[Current Price]]*100</f>
        <v>0</v>
      </c>
      <c r="AA779" s="22">
        <f ca="1">IFERROR(Table20[[#This Row],[nominal_exposure]]*Table20[[#This Row],[Delta]],0)</f>
        <v>0</v>
      </c>
      <c r="AB779" s="30" t="b">
        <f>IF(Table20[[#This Row],[date_purchased]]&lt;&gt;Table20[[#This Row],[Expiration Date]],FALSE,TRUE)</f>
        <v>0</v>
      </c>
      <c r="AC779" s="30" t="str">
        <f>VLOOKUP(Table20[[#This Row],[Asset]],Table19[#All],3,FALSE)</f>
        <v>Market</v>
      </c>
      <c r="AD779" s="30">
        <f>IF(Table20[[#This Row],[Remaining]]&lt;&gt;0,Table20[[#This Row],[Invested]]*Table20[[#This Row],[Remaining]]/Table20[[#This Row],[Number of options]],0)</f>
        <v>0</v>
      </c>
      <c r="AE779" s="30">
        <f ca="1">SUMIF(Table20[Ticker],Table20[[#This Row],[Ticker]],Table20[realized_profit])</f>
        <v>-1212</v>
      </c>
      <c r="AF779" s="30" t="str">
        <f>VLOOKUP(Table20[[#This Row],[Strategy]],Table29[#All],7,FALSE)</f>
        <v>Bearish</v>
      </c>
    </row>
    <row r="780" spans="1:32" hidden="1">
      <c r="A780" s="180">
        <v>46038</v>
      </c>
      <c r="B780" s="21" t="e" vm="211">
        <v>#VALUE!</v>
      </c>
      <c r="C780" s="109" t="str" cm="1">
        <f t="array" aca="1" ref="C780" ca="1">_FV(Table20[[#This Row],[Asset]],"Ticker symbol",TRUE)</f>
        <v>GME</v>
      </c>
      <c r="D780" s="26" cm="1">
        <f t="array" aca="1" ref="D780" ca="1">_FV(Table20[[#This Row],[Asset]],"Price")</f>
        <v>22.81</v>
      </c>
      <c r="E780" s="26">
        <v>30</v>
      </c>
      <c r="F780" s="33">
        <v>2</v>
      </c>
      <c r="G780" s="34">
        <v>1</v>
      </c>
      <c r="H780" s="34" t="s">
        <v>114</v>
      </c>
      <c r="I780" s="31">
        <v>45821</v>
      </c>
      <c r="J780" s="26">
        <v>4.59</v>
      </c>
      <c r="K780" s="24">
        <v>1</v>
      </c>
      <c r="L780" s="33">
        <f>VLOOKUP(Table20[[#This Row],[Strategy]],Table29[#All],6,FALSE)</f>
        <v>1</v>
      </c>
      <c r="M780" s="23">
        <v>2</v>
      </c>
      <c r="N780" s="23">
        <v>1.65</v>
      </c>
      <c r="O780" s="23"/>
      <c r="P780" s="23"/>
      <c r="Q780">
        <f>Table20[[#This Row],[Exit1]]*Table20[[#This Row],[ex1_price]]</f>
        <v>3.3</v>
      </c>
      <c r="R780">
        <f>Table20[[#This Row],[Exit2]]*Table20[[#This Row],[ex2_price]]</f>
        <v>0</v>
      </c>
      <c r="S780">
        <f>IFERROR((Table20[[#This Row],[ex2_amnt]]+Table20[[#This Row],[ex1_amnt]])/(Table20[[#This Row],[Exit2]]+Table20[[#This Row],[Exit1]]),0)</f>
        <v>1.65</v>
      </c>
      <c r="T780" s="5">
        <f>(Table20[[#This Row],[Exit1]]+Table20[[#This Row],[Exit2]])*(Table20[[#This Row],[avg_exit_price]]-Table20[[#This Row],[AvePrice]])*100*Table20[[#This Row],[Buy or Sell]]</f>
        <v>-588</v>
      </c>
      <c r="U780" s="5">
        <f>Table20[[#This Row],[Number of options]]*Table20[[#This Row],[AvePrice]]*100*Table20[[#This Row],[Buy or Sell]]</f>
        <v>918</v>
      </c>
      <c r="V780" s="8">
        <f>Table20[[#This Row],[Number of options]]-Table20[[#This Row],[Exit1]]-Table20[[#This Row],[Exit2]]</f>
        <v>0</v>
      </c>
      <c r="W780" s="30">
        <f ca="1">(Table20[[#This Row],[Expiration Date]]-TODAY())/365</f>
        <v>-0.18904109589041096</v>
      </c>
      <c r="X780" s="30" t="e">
        <f ca="1">(LN(Table20[[#This Row],[Current Price]]/Table20[[#This Row],[strike_price]]) + ($B$2 + (Table20[[#This Row],[Vol]]^2)/2)*Table20[[#This Row],[Time to expiration]]) / (Table20[[#This Row],[Vol]] * SQRT(Table20[[#This Row],[Time to expiration]]))</f>
        <v>#NUM!</v>
      </c>
      <c r="Y780" s="30" t="e">
        <f ca="1">IF(Table20[[#This Row],[Direction]]&gt;0, _xlfn.NORM.S.DIST(Table20[[#This Row],[d1]], TRUE), _xlfn.NORM.S.DIST(Table20[[#This Row],[d1]], TRUE) - 1) * Table20[[#This Row],[Buy or Sell]]</f>
        <v>#NUM!</v>
      </c>
      <c r="Z780" s="9">
        <f ca="1">Table20[[#This Row],[Remaining]]*Table20[[#This Row],[Current Price]]*100</f>
        <v>0</v>
      </c>
      <c r="AA780" s="22">
        <f ca="1">IFERROR(Table20[[#This Row],[nominal_exposure]]*Table20[[#This Row],[Delta]],0)</f>
        <v>0</v>
      </c>
      <c r="AB780" s="30" t="b">
        <f>IF(Table20[[#This Row],[date_purchased]]&lt;&gt;Table20[[#This Row],[Expiration Date]],FALSE,TRUE)</f>
        <v>0</v>
      </c>
      <c r="AC780" s="30" t="str">
        <f>VLOOKUP(Table20[[#This Row],[Asset]],Table19[#All],3,FALSE)</f>
        <v>Meme</v>
      </c>
      <c r="AD780" s="30">
        <f>IF(Table20[[#This Row],[Remaining]]&lt;&gt;0,Table20[[#This Row],[Invested]]*Table20[[#This Row],[Remaining]]/Table20[[#This Row],[Number of options]],0)</f>
        <v>0</v>
      </c>
      <c r="AE780" s="30">
        <f ca="1">SUMIF(Table20[Ticker],Table20[[#This Row],[Ticker]],Table20[realized_profit])</f>
        <v>-326.92</v>
      </c>
      <c r="AF780" s="30" t="str">
        <f>VLOOKUP(Table20[[#This Row],[Strategy]],Table29[#All],7,FALSE)</f>
        <v>Bullish</v>
      </c>
    </row>
    <row r="781" spans="1:32" hidden="1">
      <c r="A781" s="180">
        <v>45905</v>
      </c>
      <c r="B781" s="21" t="e" vm="63">
        <v>#VALUE!</v>
      </c>
      <c r="C781" s="109" t="str" cm="1">
        <f t="array" aca="1" ref="C781" ca="1">_FV(Table20[[#This Row],[Asset]],"Ticker symbol",TRUE)</f>
        <v>TSLA</v>
      </c>
      <c r="D781" s="26" cm="1">
        <f t="array" aca="1" ref="D781" ca="1">_FV(Table20[[#This Row],[Asset]],"Price")</f>
        <v>394.5401</v>
      </c>
      <c r="E781" s="26">
        <v>260</v>
      </c>
      <c r="F781" s="33">
        <v>1</v>
      </c>
      <c r="G781" s="34">
        <v>-1</v>
      </c>
      <c r="H781" s="34" t="s">
        <v>112</v>
      </c>
      <c r="I781" s="31">
        <v>45889</v>
      </c>
      <c r="J781" s="26">
        <v>0.9</v>
      </c>
      <c r="K781" s="24"/>
      <c r="L781" s="33">
        <f>VLOOKUP(Table20[[#This Row],[Strategy]],Table29[#All],6,FALSE)</f>
        <v>-1</v>
      </c>
      <c r="M781" s="23">
        <v>1</v>
      </c>
      <c r="N781" s="23">
        <v>0.4</v>
      </c>
      <c r="O781" s="23"/>
      <c r="P781" s="23"/>
      <c r="Q781">
        <f>Table20[[#This Row],[Exit1]]*Table20[[#This Row],[ex1_price]]</f>
        <v>0.4</v>
      </c>
      <c r="R781">
        <f>Table20[[#This Row],[Exit2]]*Table20[[#This Row],[ex2_price]]</f>
        <v>0</v>
      </c>
      <c r="S781">
        <f>IFERROR((Table20[[#This Row],[ex2_amnt]]+Table20[[#This Row],[ex1_amnt]])/(Table20[[#This Row],[Exit2]]+Table20[[#This Row],[Exit1]]),0)</f>
        <v>0.4</v>
      </c>
      <c r="T781" s="5">
        <f>(Table20[[#This Row],[Exit1]]+Table20[[#This Row],[Exit2]])*(Table20[[#This Row],[avg_exit_price]]-Table20[[#This Row],[AvePrice]])*100*Table20[[#This Row],[Buy or Sell]]</f>
        <v>50</v>
      </c>
      <c r="U781" s="5">
        <f>Table20[[#This Row],[Number of options]]*Table20[[#This Row],[AvePrice]]*100*Table20[[#This Row],[Buy or Sell]]</f>
        <v>-90</v>
      </c>
      <c r="V781" s="8">
        <f>Table20[[#This Row],[Number of options]]-Table20[[#This Row],[Exit1]]-Table20[[#This Row],[Exit2]]</f>
        <v>0</v>
      </c>
      <c r="W781" s="30">
        <f ca="1">(Table20[[#This Row],[Expiration Date]]-TODAY())/365</f>
        <v>-0.55342465753424652</v>
      </c>
      <c r="X781" s="30" t="e">
        <f ca="1">(LN(Table20[[#This Row],[Current Price]]/Table20[[#This Row],[strike_price]]) + ($B$2 + (Table20[[#This Row],[Vol]]^2)/2)*Table20[[#This Row],[Time to expiration]]) / (Table20[[#This Row],[Vol]] * SQRT(Table20[[#This Row],[Time to expiration]]))</f>
        <v>#NUM!</v>
      </c>
      <c r="Y781" s="30" t="e">
        <f ca="1">IF(Table20[[#This Row],[Direction]]&gt;0, _xlfn.NORM.S.DIST(Table20[[#This Row],[d1]], TRUE), _xlfn.NORM.S.DIST(Table20[[#This Row],[d1]], TRUE) - 1) * Table20[[#This Row],[Buy or Sell]]</f>
        <v>#NUM!</v>
      </c>
      <c r="Z781" s="9">
        <f ca="1">Table20[[#This Row],[Remaining]]*Table20[[#This Row],[Current Price]]*100</f>
        <v>0</v>
      </c>
      <c r="AA781" s="22">
        <f ca="1">IFERROR(Table20[[#This Row],[nominal_exposure]]*Table20[[#This Row],[Delta]],0)</f>
        <v>0</v>
      </c>
      <c r="AB781" s="30" t="b">
        <f>IF(Table20[[#This Row],[date_purchased]]&lt;&gt;Table20[[#This Row],[Expiration Date]],FALSE,TRUE)</f>
        <v>0</v>
      </c>
      <c r="AC781" s="30" t="str">
        <f>VLOOKUP(Table20[[#This Row],[Asset]],Table19[#All],3,FALSE)</f>
        <v>Auto</v>
      </c>
      <c r="AD781" s="30">
        <f>IF(Table20[[#This Row],[Remaining]]&lt;&gt;0,Table20[[#This Row],[Invested]]*Table20[[#This Row],[Remaining]]/Table20[[#This Row],[Number of options]],0)</f>
        <v>0</v>
      </c>
      <c r="AE781" s="30">
        <f ca="1">SUMIF(Table20[Ticker],Table20[[#This Row],[Ticker]],Table20[realized_profit])</f>
        <v>4153</v>
      </c>
      <c r="AF781" s="30" t="str">
        <f>VLOOKUP(Table20[[#This Row],[Strategy]],Table29[#All],7,FALSE)</f>
        <v>Bearish</v>
      </c>
    </row>
    <row r="782" spans="1:32" hidden="1">
      <c r="A782" s="180">
        <v>45905</v>
      </c>
      <c r="B782" s="21" t="e" vm="63">
        <v>#VALUE!</v>
      </c>
      <c r="C782" s="109" t="str" cm="1">
        <f t="array" aca="1" ref="C782" ca="1">_FV(Table20[[#This Row],[Asset]],"Ticker symbol",TRUE)</f>
        <v>TSLA</v>
      </c>
      <c r="D782" s="26" cm="1">
        <f t="array" aca="1" ref="D782" ca="1">_FV(Table20[[#This Row],[Asset]],"Price")</f>
        <v>394.5401</v>
      </c>
      <c r="E782" s="26">
        <v>300</v>
      </c>
      <c r="F782" s="33">
        <v>1</v>
      </c>
      <c r="G782" s="34">
        <v>1</v>
      </c>
      <c r="H782" s="34" t="s">
        <v>112</v>
      </c>
      <c r="I782" s="31">
        <v>45889</v>
      </c>
      <c r="J782" s="26">
        <v>5.25</v>
      </c>
      <c r="K782" s="24"/>
      <c r="L782" s="33">
        <f>VLOOKUP(Table20[[#This Row],[Strategy]],Table29[#All],6,FALSE)</f>
        <v>-1</v>
      </c>
      <c r="M782" s="23">
        <v>1</v>
      </c>
      <c r="N782" s="23">
        <v>1.35</v>
      </c>
      <c r="O782" s="23"/>
      <c r="P782" s="23"/>
      <c r="Q782">
        <f>Table20[[#This Row],[Exit1]]*Table20[[#This Row],[ex1_price]]</f>
        <v>1.35</v>
      </c>
      <c r="R782">
        <f>Table20[[#This Row],[Exit2]]*Table20[[#This Row],[ex2_price]]</f>
        <v>0</v>
      </c>
      <c r="S782">
        <f>IFERROR((Table20[[#This Row],[ex2_amnt]]+Table20[[#This Row],[ex1_amnt]])/(Table20[[#This Row],[Exit2]]+Table20[[#This Row],[Exit1]]),0)</f>
        <v>1.35</v>
      </c>
      <c r="T782" s="5">
        <f>(Table20[[#This Row],[Exit1]]+Table20[[#This Row],[Exit2]])*(Table20[[#This Row],[avg_exit_price]]-Table20[[#This Row],[AvePrice]])*100*Table20[[#This Row],[Buy or Sell]]</f>
        <v>-390</v>
      </c>
      <c r="U782" s="5">
        <f>Table20[[#This Row],[Number of options]]*Table20[[#This Row],[AvePrice]]*100*Table20[[#This Row],[Buy or Sell]]</f>
        <v>525</v>
      </c>
      <c r="V782" s="8">
        <f>Table20[[#This Row],[Number of options]]-Table20[[#This Row],[Exit1]]-Table20[[#This Row],[Exit2]]</f>
        <v>0</v>
      </c>
      <c r="W782" s="30">
        <f ca="1">(Table20[[#This Row],[Expiration Date]]-TODAY())/365</f>
        <v>-0.55342465753424652</v>
      </c>
      <c r="X782" s="30" t="e">
        <f ca="1">(LN(Table20[[#This Row],[Current Price]]/Table20[[#This Row],[strike_price]]) + ($B$2 + (Table20[[#This Row],[Vol]]^2)/2)*Table20[[#This Row],[Time to expiration]]) / (Table20[[#This Row],[Vol]] * SQRT(Table20[[#This Row],[Time to expiration]]))</f>
        <v>#NUM!</v>
      </c>
      <c r="Y782" s="30" t="e">
        <f ca="1">IF(Table20[[#This Row],[Direction]]&gt;0, _xlfn.NORM.S.DIST(Table20[[#This Row],[d1]], TRUE), _xlfn.NORM.S.DIST(Table20[[#This Row],[d1]], TRUE) - 1) * Table20[[#This Row],[Buy or Sell]]</f>
        <v>#NUM!</v>
      </c>
      <c r="Z782" s="9">
        <f ca="1">Table20[[#This Row],[Remaining]]*Table20[[#This Row],[Current Price]]*100</f>
        <v>0</v>
      </c>
      <c r="AA782" s="22">
        <f ca="1">IFERROR(Table20[[#This Row],[nominal_exposure]]*Table20[[#This Row],[Delta]],0)</f>
        <v>0</v>
      </c>
      <c r="AB782" s="30" t="b">
        <f>IF(Table20[[#This Row],[date_purchased]]&lt;&gt;Table20[[#This Row],[Expiration Date]],FALSE,TRUE)</f>
        <v>0</v>
      </c>
      <c r="AC782" s="30" t="str">
        <f>VLOOKUP(Table20[[#This Row],[Asset]],Table19[#All],3,FALSE)</f>
        <v>Auto</v>
      </c>
      <c r="AD782" s="30">
        <f>IF(Table20[[#This Row],[Remaining]]&lt;&gt;0,Table20[[#This Row],[Invested]]*Table20[[#This Row],[Remaining]]/Table20[[#This Row],[Number of options]],0)</f>
        <v>0</v>
      </c>
      <c r="AE782" s="30">
        <f ca="1">SUMIF(Table20[Ticker],Table20[[#This Row],[Ticker]],Table20[realized_profit])</f>
        <v>4153</v>
      </c>
      <c r="AF782" s="30" t="str">
        <f>VLOOKUP(Table20[[#This Row],[Strategy]],Table29[#All],7,FALSE)</f>
        <v>Bearish</v>
      </c>
    </row>
    <row r="783" spans="1:32" hidden="1">
      <c r="A783" s="180">
        <v>46038</v>
      </c>
      <c r="B783" s="21" t="e" vm="211">
        <v>#VALUE!</v>
      </c>
      <c r="C783" s="109" t="str" cm="1">
        <f t="array" aca="1" ref="C783" ca="1">_FV(Table20[[#This Row],[Asset]],"Ticker symbol",TRUE)</f>
        <v>GME</v>
      </c>
      <c r="D783" s="26" cm="1">
        <f t="array" aca="1" ref="D783" ca="1">_FV(Table20[[#This Row],[Asset]],"Price")</f>
        <v>22.81</v>
      </c>
      <c r="E783" s="26">
        <v>60</v>
      </c>
      <c r="F783" s="33">
        <v>2</v>
      </c>
      <c r="G783" s="34">
        <v>-1</v>
      </c>
      <c r="H783" s="34" t="s">
        <v>114</v>
      </c>
      <c r="I783" s="31">
        <v>45821</v>
      </c>
      <c r="J783" s="26">
        <v>2.11</v>
      </c>
      <c r="K783" s="24">
        <v>1</v>
      </c>
      <c r="L783" s="33">
        <f>VLOOKUP(Table20[[#This Row],[Strategy]],Table29[#All],6,FALSE)</f>
        <v>1</v>
      </c>
      <c r="M783" s="23">
        <v>2</v>
      </c>
      <c r="N783" s="23">
        <v>0.54</v>
      </c>
      <c r="O783" s="23"/>
      <c r="P783" s="23"/>
      <c r="Q783">
        <f>Table20[[#This Row],[Exit1]]*Table20[[#This Row],[ex1_price]]</f>
        <v>1.08</v>
      </c>
      <c r="R783">
        <f>Table20[[#This Row],[Exit2]]*Table20[[#This Row],[ex2_price]]</f>
        <v>0</v>
      </c>
      <c r="S783">
        <f>IFERROR((Table20[[#This Row],[ex2_amnt]]+Table20[[#This Row],[ex1_amnt]])/(Table20[[#This Row],[Exit2]]+Table20[[#This Row],[Exit1]]),0)</f>
        <v>0.54</v>
      </c>
      <c r="T783" s="5">
        <f>(Table20[[#This Row],[Exit1]]+Table20[[#This Row],[Exit2]])*(Table20[[#This Row],[avg_exit_price]]-Table20[[#This Row],[AvePrice]])*100*Table20[[#This Row],[Buy or Sell]]</f>
        <v>313.99999999999994</v>
      </c>
      <c r="U783" s="5">
        <f>Table20[[#This Row],[Number of options]]*Table20[[#This Row],[AvePrice]]*100*Table20[[#This Row],[Buy or Sell]]</f>
        <v>-422</v>
      </c>
      <c r="V783" s="8">
        <f>Table20[[#This Row],[Number of options]]-Table20[[#This Row],[Exit1]]-Table20[[#This Row],[Exit2]]</f>
        <v>0</v>
      </c>
      <c r="W783" s="30">
        <f ca="1">(Table20[[#This Row],[Expiration Date]]-TODAY())/365</f>
        <v>-0.18904109589041096</v>
      </c>
      <c r="X783" s="30" t="e">
        <f ca="1">(LN(Table20[[#This Row],[Current Price]]/Table20[[#This Row],[strike_price]]) + ($B$2 + (Table20[[#This Row],[Vol]]^2)/2)*Table20[[#This Row],[Time to expiration]]) / (Table20[[#This Row],[Vol]] * SQRT(Table20[[#This Row],[Time to expiration]]))</f>
        <v>#NUM!</v>
      </c>
      <c r="Y783" s="30" t="e">
        <f ca="1">IF(Table20[[#This Row],[Direction]]&gt;0, _xlfn.NORM.S.DIST(Table20[[#This Row],[d1]], TRUE), _xlfn.NORM.S.DIST(Table20[[#This Row],[d1]], TRUE) - 1) * Table20[[#This Row],[Buy or Sell]]</f>
        <v>#NUM!</v>
      </c>
      <c r="Z783" s="9">
        <f ca="1">Table20[[#This Row],[Remaining]]*Table20[[#This Row],[Current Price]]*100</f>
        <v>0</v>
      </c>
      <c r="AA783" s="22">
        <f ca="1">IFERROR(Table20[[#This Row],[nominal_exposure]]*Table20[[#This Row],[Delta]],0)</f>
        <v>0</v>
      </c>
      <c r="AB783" s="30" t="b">
        <f>IF(Table20[[#This Row],[date_purchased]]&lt;&gt;Table20[[#This Row],[Expiration Date]],FALSE,TRUE)</f>
        <v>0</v>
      </c>
      <c r="AC783" s="30" t="str">
        <f>VLOOKUP(Table20[[#This Row],[Asset]],Table19[#All],3,FALSE)</f>
        <v>Meme</v>
      </c>
      <c r="AD783" s="30">
        <f>IF(Table20[[#This Row],[Remaining]]&lt;&gt;0,Table20[[#This Row],[Invested]]*Table20[[#This Row],[Remaining]]/Table20[[#This Row],[Number of options]],0)</f>
        <v>0</v>
      </c>
      <c r="AE783" s="30">
        <f ca="1">SUMIF(Table20[Ticker],Table20[[#This Row],[Ticker]],Table20[realized_profit])</f>
        <v>-326.92</v>
      </c>
      <c r="AF783" s="30" t="str">
        <f>VLOOKUP(Table20[[#This Row],[Strategy]],Table29[#All],7,FALSE)</f>
        <v>Bullish</v>
      </c>
    </row>
    <row r="784" spans="1:32" hidden="1">
      <c r="A784" s="180">
        <v>46038</v>
      </c>
      <c r="B784" s="21" t="e" vm="12">
        <v>#VALUE!</v>
      </c>
      <c r="C784" s="109" t="str" cm="1">
        <f t="array" aca="1" ref="C784" ca="1">_FV(Table20[[#This Row],[Asset]],"Ticker symbol",TRUE)</f>
        <v>TER</v>
      </c>
      <c r="D784" s="26" cm="1">
        <f t="array" aca="1" ref="D784" ca="1">_FV(Table20[[#This Row],[Asset]],"Price")</f>
        <v>323.45999999999998</v>
      </c>
      <c r="E784" s="26">
        <v>130</v>
      </c>
      <c r="F784" s="33">
        <v>3</v>
      </c>
      <c r="G784" s="34">
        <v>1</v>
      </c>
      <c r="H784" s="34" t="s">
        <v>113</v>
      </c>
      <c r="I784" s="31">
        <v>45849</v>
      </c>
      <c r="J784" s="26">
        <v>4.3</v>
      </c>
      <c r="K784" s="24">
        <v>0.43</v>
      </c>
      <c r="L784" s="33">
        <f>VLOOKUP(Table20[[#This Row],[Strategy]],Table29[#All],6,FALSE)</f>
        <v>1</v>
      </c>
      <c r="M784" s="23">
        <v>1</v>
      </c>
      <c r="N784" s="23">
        <v>6.5</v>
      </c>
      <c r="O784" s="23">
        <v>2</v>
      </c>
      <c r="P784" s="23">
        <v>17.39</v>
      </c>
      <c r="Q784">
        <f>Table20[[#This Row],[Exit1]]*Table20[[#This Row],[ex1_price]]</f>
        <v>6.5</v>
      </c>
      <c r="R784">
        <f>Table20[[#This Row],[Exit2]]*Table20[[#This Row],[ex2_price]]</f>
        <v>34.78</v>
      </c>
      <c r="S784">
        <f>IFERROR((Table20[[#This Row],[ex2_amnt]]+Table20[[#This Row],[ex1_amnt]])/(Table20[[#This Row],[Exit2]]+Table20[[#This Row],[Exit1]]),0)</f>
        <v>13.76</v>
      </c>
      <c r="T784" s="5">
        <f>(Table20[[#This Row],[Exit1]]+Table20[[#This Row],[Exit2]])*(Table20[[#This Row],[avg_exit_price]]-Table20[[#This Row],[AvePrice]])*100*Table20[[#This Row],[Buy or Sell]]</f>
        <v>2838.0000000000005</v>
      </c>
      <c r="U784" s="5">
        <f>Table20[[#This Row],[Number of options]]*Table20[[#This Row],[AvePrice]]*100*Table20[[#This Row],[Buy or Sell]]</f>
        <v>1289.9999999999998</v>
      </c>
      <c r="V784" s="8">
        <f>Table20[[#This Row],[Number of options]]-Table20[[#This Row],[Exit1]]-Table20[[#This Row],[Exit2]]</f>
        <v>0</v>
      </c>
      <c r="W784" s="30">
        <f ca="1">(Table20[[#This Row],[Expiration Date]]-TODAY())/365</f>
        <v>-0.18904109589041096</v>
      </c>
      <c r="X784" s="30" t="e">
        <f ca="1">(LN(Table20[[#This Row],[Current Price]]/Table20[[#This Row],[strike_price]]) + ($B$2 + (Table20[[#This Row],[Vol]]^2)/2)*Table20[[#This Row],[Time to expiration]]) / (Table20[[#This Row],[Vol]] * SQRT(Table20[[#This Row],[Time to expiration]]))</f>
        <v>#NUM!</v>
      </c>
      <c r="Y784" s="30" t="e">
        <f ca="1">IF(Table20[[#This Row],[Direction]]&gt;0, _xlfn.NORM.S.DIST(Table20[[#This Row],[d1]], TRUE), _xlfn.NORM.S.DIST(Table20[[#This Row],[d1]], TRUE) - 1) * Table20[[#This Row],[Buy or Sell]]</f>
        <v>#NUM!</v>
      </c>
      <c r="Z784" s="9">
        <f ca="1">Table20[[#This Row],[Remaining]]*Table20[[#This Row],[Current Price]]*100</f>
        <v>0</v>
      </c>
      <c r="AA784" s="22">
        <f ca="1">IFERROR(Table20[[#This Row],[nominal_exposure]]*Table20[[#This Row],[Delta]],0)</f>
        <v>0</v>
      </c>
      <c r="AB784" s="30" t="b">
        <f>IF(Table20[[#This Row],[date_purchased]]&lt;&gt;Table20[[#This Row],[Expiration Date]],FALSE,TRUE)</f>
        <v>0</v>
      </c>
      <c r="AC784" s="30" t="str">
        <f>VLOOKUP(Table20[[#This Row],[Asset]],Table19[#All],3,FALSE)</f>
        <v>Robotics</v>
      </c>
      <c r="AD784" s="30">
        <f>IF(Table20[[#This Row],[Remaining]]&lt;&gt;0,Table20[[#This Row],[Invested]]*Table20[[#This Row],[Remaining]]/Table20[[#This Row],[Number of options]],0)</f>
        <v>0</v>
      </c>
      <c r="AE784" s="30">
        <f ca="1">SUMIF(Table20[Ticker],Table20[[#This Row],[Ticker]],Table20[realized_profit])</f>
        <v>3364.0000000000005</v>
      </c>
      <c r="AF784" s="30" t="str">
        <f>VLOOKUP(Table20[[#This Row],[Strategy]],Table29[#All],7,FALSE)</f>
        <v>Bullish</v>
      </c>
    </row>
    <row r="785" spans="1:32">
      <c r="A785" s="180">
        <v>46038</v>
      </c>
      <c r="B785" s="21" t="e" vm="148">
        <v>#VALUE!</v>
      </c>
      <c r="C785" s="109" t="str" cm="1">
        <f t="array" aca="1" ref="C785" ca="1">_FV(Table20[[#This Row],[Asset]],"Ticker symbol",TRUE)</f>
        <v>META</v>
      </c>
      <c r="D785" s="26" cm="1">
        <f t="array" aca="1" ref="D785" ca="1">_FV(Table20[[#This Row],[Asset]],"Price")</f>
        <v>599.32000000000005</v>
      </c>
      <c r="E785" s="26">
        <v>1000</v>
      </c>
      <c r="F785" s="33">
        <v>2</v>
      </c>
      <c r="G785" s="34">
        <v>1</v>
      </c>
      <c r="H785" s="34" t="s">
        <v>115</v>
      </c>
      <c r="I785" s="31">
        <v>45894</v>
      </c>
      <c r="J785" s="26">
        <v>5.6</v>
      </c>
      <c r="K785" s="24">
        <v>0.32069999999999999</v>
      </c>
      <c r="L785" s="33">
        <f>VLOOKUP(Table20[[#This Row],[Strategy]],Table29[#All],6,FALSE)</f>
        <v>1</v>
      </c>
      <c r="M785" s="23"/>
      <c r="N785" s="23"/>
      <c r="O785" s="23"/>
      <c r="P785" s="23"/>
      <c r="Q785">
        <f>Table20[[#This Row],[Exit1]]*Table20[[#This Row],[ex1_price]]</f>
        <v>0</v>
      </c>
      <c r="R785">
        <f>Table20[[#This Row],[Exit2]]*Table20[[#This Row],[ex2_price]]</f>
        <v>0</v>
      </c>
      <c r="S785">
        <f>IFERROR((Table20[[#This Row],[ex2_amnt]]+Table20[[#This Row],[ex1_amnt]])/(Table20[[#This Row],[Exit2]]+Table20[[#This Row],[Exit1]]),0)</f>
        <v>0</v>
      </c>
      <c r="T785" s="5">
        <f>(Table20[[#This Row],[Exit1]]+Table20[[#This Row],[Exit2]])*(Table20[[#This Row],[avg_exit_price]]-Table20[[#This Row],[AvePrice]])*100*Table20[[#This Row],[Buy or Sell]]</f>
        <v>0</v>
      </c>
      <c r="U785" s="5">
        <f>Table20[[#This Row],[Number of options]]*Table20[[#This Row],[AvePrice]]*100*Table20[[#This Row],[Buy or Sell]]</f>
        <v>1120</v>
      </c>
      <c r="V785" s="8">
        <f>Table20[[#This Row],[Number of options]]-Table20[[#This Row],[Exit1]]-Table20[[#This Row],[Exit2]]</f>
        <v>2</v>
      </c>
      <c r="W785" s="30">
        <f ca="1">(Table20[[#This Row],[Expiration Date]]-TODAY())/365</f>
        <v>-0.18904109589041096</v>
      </c>
      <c r="X785" s="30" t="e">
        <f ca="1">(LN(Table20[[#This Row],[Current Price]]/Table20[[#This Row],[strike_price]]) + ($B$2 + (Table20[[#This Row],[Vol]]^2)/2)*Table20[[#This Row],[Time to expiration]]) / (Table20[[#This Row],[Vol]] * SQRT(Table20[[#This Row],[Time to expiration]]))</f>
        <v>#NUM!</v>
      </c>
      <c r="Y785" s="30" t="e">
        <f ca="1">IF(Table20[[#This Row],[Direction]]&gt;0, _xlfn.NORM.S.DIST(Table20[[#This Row],[d1]], TRUE), _xlfn.NORM.S.DIST(Table20[[#This Row],[d1]], TRUE) - 1) * Table20[[#This Row],[Buy or Sell]]</f>
        <v>#NUM!</v>
      </c>
      <c r="Z785" s="9">
        <f ca="1">Table20[[#This Row],[Remaining]]*Table20[[#This Row],[Current Price]]*100</f>
        <v>119864.00000000001</v>
      </c>
      <c r="AA785" s="22">
        <f ca="1">IFERROR(Table20[[#This Row],[nominal_exposure]]*Table20[[#This Row],[Delta]],0)</f>
        <v>0</v>
      </c>
      <c r="AB785" s="30" t="b">
        <f>IF(Table20[[#This Row],[date_purchased]]&lt;&gt;Table20[[#This Row],[Expiration Date]],FALSE,TRUE)</f>
        <v>0</v>
      </c>
      <c r="AC785" s="30" t="str">
        <f>VLOOKUP(Table20[[#This Row],[Asset]],Table19[#All],3,FALSE)</f>
        <v>AI</v>
      </c>
      <c r="AD785" s="30">
        <f>IF(Table20[[#This Row],[Remaining]]&lt;&gt;0,Table20[[#This Row],[Invested]]*Table20[[#This Row],[Remaining]]/Table20[[#This Row],[Number of options]],0)</f>
        <v>1120</v>
      </c>
      <c r="AE785" s="30">
        <f ca="1">SUMIF(Table20[Ticker],Table20[[#This Row],[Ticker]],Table20[realized_profit])</f>
        <v>2450</v>
      </c>
      <c r="AF785" s="30" t="str">
        <f>VLOOKUP(Table20[[#This Row],[Strategy]],Table29[#All],7,FALSE)</f>
        <v>Bullish</v>
      </c>
    </row>
    <row r="786" spans="1:32">
      <c r="A786" s="180">
        <v>46402</v>
      </c>
      <c r="B786" s="21" t="e" vm="151">
        <v>#VALUE!</v>
      </c>
      <c r="C786" s="109" t="str" cm="1">
        <f t="array" aca="1" ref="C786" ca="1">_FV(Table20[[#This Row],[Asset]],"Ticker symbol",TRUE)</f>
        <v>TLT</v>
      </c>
      <c r="D786" s="26" cm="1">
        <f t="array" aca="1" ref="D786" ca="1">_FV(Table20[[#This Row],[Asset]],"Price")</f>
        <v>86.743499999999997</v>
      </c>
      <c r="E786" s="26">
        <v>100</v>
      </c>
      <c r="F786" s="33">
        <v>9</v>
      </c>
      <c r="G786" s="34">
        <v>1</v>
      </c>
      <c r="H786" s="34" t="s">
        <v>113</v>
      </c>
      <c r="I786" s="31">
        <v>45845</v>
      </c>
      <c r="J786" s="26">
        <v>2.2999999999999998</v>
      </c>
      <c r="K786" s="24">
        <v>0.14000000000000001</v>
      </c>
      <c r="L786" s="33">
        <f>VLOOKUP(Table20[[#This Row],[Strategy]],Table29[#All],6,FALSE)</f>
        <v>1</v>
      </c>
      <c r="M786" s="23"/>
      <c r="N786" s="23"/>
      <c r="O786" s="23"/>
      <c r="P786" s="23"/>
      <c r="Q786">
        <f>Table20[[#This Row],[Exit1]]*Table20[[#This Row],[ex1_price]]</f>
        <v>0</v>
      </c>
      <c r="R786">
        <f>Table20[[#This Row],[Exit2]]*Table20[[#This Row],[ex2_price]]</f>
        <v>0</v>
      </c>
      <c r="S786">
        <f>IFERROR((Table20[[#This Row],[ex2_amnt]]+Table20[[#This Row],[ex1_amnt]])/(Table20[[#This Row],[Exit2]]+Table20[[#This Row],[Exit1]]),0)</f>
        <v>0</v>
      </c>
      <c r="T786" s="5">
        <f>(Table20[[#This Row],[Exit1]]+Table20[[#This Row],[Exit2]])*(Table20[[#This Row],[avg_exit_price]]-Table20[[#This Row],[AvePrice]])*100*Table20[[#This Row],[Buy or Sell]]</f>
        <v>0</v>
      </c>
      <c r="U786" s="5">
        <f>Table20[[#This Row],[Number of options]]*Table20[[#This Row],[AvePrice]]*100*Table20[[#This Row],[Buy or Sell]]</f>
        <v>2070</v>
      </c>
      <c r="V786" s="8">
        <f>Table20[[#This Row],[Number of options]]-Table20[[#This Row],[Exit1]]-Table20[[#This Row],[Exit2]]</f>
        <v>9</v>
      </c>
      <c r="W786" s="30">
        <f ca="1">(Table20[[#This Row],[Expiration Date]]-TODAY())/365</f>
        <v>0.80821917808219179</v>
      </c>
      <c r="X786" s="30">
        <f ca="1">(LN(Table20[[#This Row],[Current Price]]/Table20[[#This Row],[strike_price]]) + ($B$2 + (Table20[[#This Row],[Vol]]^2)/2)*Table20[[#This Row],[Time to expiration]]) / (Table20[[#This Row],[Vol]] * SQRT(Table20[[#This Row],[Time to expiration]]))</f>
        <v>-0.83409232322218407</v>
      </c>
      <c r="Y786" s="30">
        <f ca="1">IF(Table20[[#This Row],[Direction]]&gt;0, _xlfn.NORM.S.DIST(Table20[[#This Row],[d1]], TRUE), _xlfn.NORM.S.DIST(Table20[[#This Row],[d1]], TRUE) - 1) * Table20[[#This Row],[Buy or Sell]]</f>
        <v>0.20211448037349097</v>
      </c>
      <c r="Z786" s="9">
        <f ca="1">Table20[[#This Row],[Remaining]]*Table20[[#This Row],[Current Price]]*100</f>
        <v>78069.150000000009</v>
      </c>
      <c r="AA786" s="22">
        <f ca="1">IFERROR(Table20[[#This Row],[nominal_exposure]]*Table20[[#This Row],[Delta]],0)</f>
        <v>15778.905685450125</v>
      </c>
      <c r="AB786" s="30" t="b">
        <f>IF(Table20[[#This Row],[date_purchased]]&lt;&gt;Table20[[#This Row],[Expiration Date]],FALSE,TRUE)</f>
        <v>0</v>
      </c>
      <c r="AC786" s="30" t="str">
        <f>VLOOKUP(Table20[[#This Row],[Asset]],Table19[#All],3,FALSE)</f>
        <v>Market</v>
      </c>
      <c r="AD786" s="30">
        <f>IF(Table20[[#This Row],[Remaining]]&lt;&gt;0,Table20[[#This Row],[Invested]]*Table20[[#This Row],[Remaining]]/Table20[[#This Row],[Number of options]],0)</f>
        <v>2070</v>
      </c>
      <c r="AE786" s="30">
        <f ca="1">SUMIF(Table20[Ticker],Table20[[#This Row],[Ticker]],Table20[realized_profit])</f>
        <v>-3328.3599999999997</v>
      </c>
      <c r="AF786" s="30" t="str">
        <f>VLOOKUP(Table20[[#This Row],[Strategy]],Table29[#All],7,FALSE)</f>
        <v>Bullish</v>
      </c>
    </row>
    <row r="787" spans="1:32">
      <c r="A787" s="180">
        <v>46402</v>
      </c>
      <c r="B787" s="21" t="e" vm="62">
        <v>#VALUE!</v>
      </c>
      <c r="C787" s="109" t="str" cm="1">
        <f t="array" aca="1" ref="C787" ca="1">_FV(Table20[[#This Row],[Asset]],"Ticker symbol",TRUE)</f>
        <v>EQT</v>
      </c>
      <c r="D787" s="26" cm="1">
        <f t="array" aca="1" ref="D787" ca="1">_FV(Table20[[#This Row],[Asset]],"Price")</f>
        <v>66.7</v>
      </c>
      <c r="E787" s="26">
        <v>80</v>
      </c>
      <c r="F787" s="33">
        <v>2</v>
      </c>
      <c r="G787" s="34">
        <v>1</v>
      </c>
      <c r="H787" s="34" t="s">
        <v>113</v>
      </c>
      <c r="I787" s="31">
        <v>45867</v>
      </c>
      <c r="J787" s="26">
        <v>2.73</v>
      </c>
      <c r="K787" s="24">
        <v>0.33</v>
      </c>
      <c r="L787" s="33">
        <f>VLOOKUP(Table20[[#This Row],[Strategy]],Table29[#All],6,FALSE)</f>
        <v>1</v>
      </c>
      <c r="M787" s="23"/>
      <c r="N787" s="23"/>
      <c r="O787" s="23"/>
      <c r="P787" s="23"/>
      <c r="Q787">
        <f>Table20[[#This Row],[Exit1]]*Table20[[#This Row],[ex1_price]]</f>
        <v>0</v>
      </c>
      <c r="R787">
        <f>Table20[[#This Row],[Exit2]]*Table20[[#This Row],[ex2_price]]</f>
        <v>0</v>
      </c>
      <c r="S787">
        <f>IFERROR((Table20[[#This Row],[ex2_amnt]]+Table20[[#This Row],[ex1_amnt]])/(Table20[[#This Row],[Exit2]]+Table20[[#This Row],[Exit1]]),0)</f>
        <v>0</v>
      </c>
      <c r="T787" s="5">
        <f>(Table20[[#This Row],[Exit1]]+Table20[[#This Row],[Exit2]])*(Table20[[#This Row],[avg_exit_price]]-Table20[[#This Row],[AvePrice]])*100*Table20[[#This Row],[Buy or Sell]]</f>
        <v>0</v>
      </c>
      <c r="U787" s="5">
        <f>Table20[[#This Row],[Number of options]]*Table20[[#This Row],[AvePrice]]*100*Table20[[#This Row],[Buy or Sell]]</f>
        <v>546</v>
      </c>
      <c r="V787" s="8">
        <f>Table20[[#This Row],[Number of options]]-Table20[[#This Row],[Exit1]]-Table20[[#This Row],[Exit2]]</f>
        <v>2</v>
      </c>
      <c r="W787" s="30">
        <f ca="1">(Table20[[#This Row],[Expiration Date]]-TODAY())/365</f>
        <v>0.80821917808219179</v>
      </c>
      <c r="X787" s="30">
        <f ca="1">(LN(Table20[[#This Row],[Current Price]]/Table20[[#This Row],[strike_price]]) + ($B$2 + (Table20[[#This Row],[Vol]]^2)/2)*Table20[[#This Row],[Time to expiration]]) / (Table20[[#This Row],[Vol]] * SQRT(Table20[[#This Row],[Time to expiration]]))</f>
        <v>-0.36572224270787612</v>
      </c>
      <c r="Y787" s="30">
        <f ca="1">IF(Table20[[#This Row],[Direction]]&gt;0, _xlfn.NORM.S.DIST(Table20[[#This Row],[d1]], TRUE), _xlfn.NORM.S.DIST(Table20[[#This Row],[d1]], TRUE) - 1) * Table20[[#This Row],[Buy or Sell]]</f>
        <v>0.35728617349634084</v>
      </c>
      <c r="Z787" s="9">
        <f ca="1">Table20[[#This Row],[Remaining]]*Table20[[#This Row],[Current Price]]*100</f>
        <v>13340</v>
      </c>
      <c r="AA787" s="22">
        <f ca="1">IFERROR(Table20[[#This Row],[nominal_exposure]]*Table20[[#This Row],[Delta]],0)</f>
        <v>4766.1975544411871</v>
      </c>
      <c r="AB787" s="30" t="b">
        <f>IF(Table20[[#This Row],[date_purchased]]&lt;&gt;Table20[[#This Row],[Expiration Date]],FALSE,TRUE)</f>
        <v>0</v>
      </c>
      <c r="AC787" s="30" t="str">
        <f>VLOOKUP(Table20[[#This Row],[Asset]],Table19[#All],3,FALSE)</f>
        <v>Energy</v>
      </c>
      <c r="AD787" s="30">
        <f>IF(Table20[[#This Row],[Remaining]]&lt;&gt;0,Table20[[#This Row],[Invested]]*Table20[[#This Row],[Remaining]]/Table20[[#This Row],[Number of options]],0)</f>
        <v>546</v>
      </c>
      <c r="AE787" s="30">
        <f ca="1">SUMIF(Table20[Ticker],Table20[[#This Row],[Ticker]],Table20[realized_profit])</f>
        <v>0</v>
      </c>
      <c r="AF787" s="30" t="str">
        <f>VLOOKUP(Table20[[#This Row],[Strategy]],Table29[#All],7,FALSE)</f>
        <v>Bullish</v>
      </c>
    </row>
    <row r="788" spans="1:32" hidden="1">
      <c r="A788" s="180">
        <v>46402</v>
      </c>
      <c r="B788" s="21" t="e" vm="231">
        <v>#VALUE!</v>
      </c>
      <c r="C788" s="109" t="str" cm="1">
        <f t="array" aca="1" ref="C788" ca="1">_FV(Table20[[#This Row],[Asset]],"Ticker symbol",TRUE)</f>
        <v>UNH</v>
      </c>
      <c r="D788" s="26" cm="1">
        <f t="array" aca="1" ref="D788" ca="1">_FV(Table20[[#This Row],[Asset]],"Price")</f>
        <v>269.3</v>
      </c>
      <c r="E788" s="26">
        <v>500</v>
      </c>
      <c r="F788" s="33">
        <v>1</v>
      </c>
      <c r="G788" s="34">
        <v>1</v>
      </c>
      <c r="H788" s="34" t="s">
        <v>113</v>
      </c>
      <c r="I788" s="31">
        <v>45877</v>
      </c>
      <c r="J788" s="26">
        <v>4.6500000000000004</v>
      </c>
      <c r="K788" s="24">
        <v>0.35</v>
      </c>
      <c r="L788" s="33">
        <f>VLOOKUP(Table20[[#This Row],[Strategy]],Table29[#All],6,FALSE)</f>
        <v>1</v>
      </c>
      <c r="M788" s="23">
        <v>1</v>
      </c>
      <c r="N788" s="23">
        <v>22.56</v>
      </c>
      <c r="O788" s="23"/>
      <c r="P788" s="23"/>
      <c r="Q788">
        <f>Table20[[#This Row],[Exit1]]*Table20[[#This Row],[ex1_price]]</f>
        <v>22.56</v>
      </c>
      <c r="R788">
        <f>Table20[[#This Row],[Exit2]]*Table20[[#This Row],[ex2_price]]</f>
        <v>0</v>
      </c>
      <c r="S788">
        <f>IFERROR((Table20[[#This Row],[ex2_amnt]]+Table20[[#This Row],[ex1_amnt]])/(Table20[[#This Row],[Exit2]]+Table20[[#This Row],[Exit1]]),0)</f>
        <v>22.56</v>
      </c>
      <c r="T788" s="5">
        <f>(Table20[[#This Row],[Exit1]]+Table20[[#This Row],[Exit2]])*(Table20[[#This Row],[avg_exit_price]]-Table20[[#This Row],[AvePrice]])*100*Table20[[#This Row],[Buy or Sell]]</f>
        <v>1790.9999999999995</v>
      </c>
      <c r="U788" s="5">
        <f>Table20[[#This Row],[Number of options]]*Table20[[#This Row],[AvePrice]]*100*Table20[[#This Row],[Buy or Sell]]</f>
        <v>465.00000000000006</v>
      </c>
      <c r="V788" s="8">
        <f>Table20[[#This Row],[Number of options]]-Table20[[#This Row],[Exit1]]-Table20[[#This Row],[Exit2]]</f>
        <v>0</v>
      </c>
      <c r="W788" s="30">
        <f ca="1">(Table20[[#This Row],[Expiration Date]]-TODAY())/365</f>
        <v>0.80821917808219179</v>
      </c>
      <c r="X788" s="30">
        <f ca="1">(LN(Table20[[#This Row],[Current Price]]/Table20[[#This Row],[strike_price]]) + ($B$2 + (Table20[[#This Row],[Vol]]^2)/2)*Table20[[#This Row],[Time to expiration]]) / (Table20[[#This Row],[Vol]] * SQRT(Table20[[#This Row],[Time to expiration]]))</f>
        <v>-1.7160606769761813</v>
      </c>
      <c r="Y788" s="30">
        <f ca="1">IF(Table20[[#This Row],[Direction]]&gt;0, _xlfn.NORM.S.DIST(Table20[[#This Row],[d1]], TRUE), _xlfn.NORM.S.DIST(Table20[[#This Row],[d1]], TRUE) - 1) * Table20[[#This Row],[Buy or Sell]]</f>
        <v>4.307546872490263E-2</v>
      </c>
      <c r="Z788" s="9">
        <f ca="1">Table20[[#This Row],[Remaining]]*Table20[[#This Row],[Current Price]]*100</f>
        <v>0</v>
      </c>
      <c r="AA788" s="22">
        <f ca="1">IFERROR(Table20[[#This Row],[nominal_exposure]]*Table20[[#This Row],[Delta]],0)</f>
        <v>0</v>
      </c>
      <c r="AB788" s="30" t="b">
        <f>IF(Table20[[#This Row],[date_purchased]]&lt;&gt;Table20[[#This Row],[Expiration Date]],FALSE,TRUE)</f>
        <v>0</v>
      </c>
      <c r="AC788" s="30" t="str">
        <f>VLOOKUP(Table20[[#This Row],[Asset]],Table19[#All],3,FALSE)</f>
        <v>Health Care</v>
      </c>
      <c r="AD788" s="30">
        <f>IF(Table20[[#This Row],[Remaining]]&lt;&gt;0,Table20[[#This Row],[Invested]]*Table20[[#This Row],[Remaining]]/Table20[[#This Row],[Number of options]],0)</f>
        <v>0</v>
      </c>
      <c r="AE788" s="30">
        <f ca="1">SUMIF(Table20[Ticker],Table20[[#This Row],[Ticker]],Table20[realized_profit])</f>
        <v>4342</v>
      </c>
      <c r="AF788" s="30" t="str">
        <f>VLOOKUP(Table20[[#This Row],[Strategy]],Table29[#All],7,FALSE)</f>
        <v>Bullish</v>
      </c>
    </row>
    <row r="789" spans="1:32" hidden="1">
      <c r="A789" s="180">
        <v>46402</v>
      </c>
      <c r="B789" s="21" t="e" vm="231">
        <v>#VALUE!</v>
      </c>
      <c r="C789" s="109" t="str" cm="1">
        <f t="array" aca="1" ref="C789" ca="1">_FV(Table20[[#This Row],[Asset]],"Ticker symbol",TRUE)</f>
        <v>UNH</v>
      </c>
      <c r="D789" s="26" cm="1">
        <f t="array" aca="1" ref="D789" ca="1">_FV(Table20[[#This Row],[Asset]],"Price")</f>
        <v>269.3</v>
      </c>
      <c r="E789" s="26">
        <v>500</v>
      </c>
      <c r="F789" s="33">
        <v>1</v>
      </c>
      <c r="G789" s="34">
        <v>1</v>
      </c>
      <c r="H789" s="34" t="s">
        <v>113</v>
      </c>
      <c r="I789" s="31">
        <v>45881</v>
      </c>
      <c r="J789" s="26">
        <v>6.45</v>
      </c>
      <c r="K789" s="24">
        <v>0.35</v>
      </c>
      <c r="L789" s="33">
        <f>VLOOKUP(Table20[[#This Row],[Strategy]],Table29[#All],6,FALSE)</f>
        <v>1</v>
      </c>
      <c r="M789" s="23">
        <v>1</v>
      </c>
      <c r="N789" s="23">
        <v>17.04</v>
      </c>
      <c r="O789" s="23"/>
      <c r="P789" s="23"/>
      <c r="Q789">
        <f>Table20[[#This Row],[Exit1]]*Table20[[#This Row],[ex1_price]]</f>
        <v>17.04</v>
      </c>
      <c r="R789">
        <f>Table20[[#This Row],[Exit2]]*Table20[[#This Row],[ex2_price]]</f>
        <v>0</v>
      </c>
      <c r="S789">
        <f>IFERROR((Table20[[#This Row],[ex2_amnt]]+Table20[[#This Row],[ex1_amnt]])/(Table20[[#This Row],[Exit2]]+Table20[[#This Row],[Exit1]]),0)</f>
        <v>17.04</v>
      </c>
      <c r="T789" s="5">
        <f>(Table20[[#This Row],[Exit1]]+Table20[[#This Row],[Exit2]])*(Table20[[#This Row],[avg_exit_price]]-Table20[[#This Row],[AvePrice]])*100*Table20[[#This Row],[Buy or Sell]]</f>
        <v>1059</v>
      </c>
      <c r="U789" s="5">
        <f>Table20[[#This Row],[Number of options]]*Table20[[#This Row],[AvePrice]]*100*Table20[[#This Row],[Buy or Sell]]</f>
        <v>645</v>
      </c>
      <c r="V789" s="8">
        <f>Table20[[#This Row],[Number of options]]-Table20[[#This Row],[Exit1]]-Table20[[#This Row],[Exit2]]</f>
        <v>0</v>
      </c>
      <c r="W789" s="30">
        <f ca="1">(Table20[[#This Row],[Expiration Date]]-TODAY())/365</f>
        <v>0.80821917808219179</v>
      </c>
      <c r="X789" s="30">
        <f ca="1">(LN(Table20[[#This Row],[Current Price]]/Table20[[#This Row],[strike_price]]) + ($B$2 + (Table20[[#This Row],[Vol]]^2)/2)*Table20[[#This Row],[Time to expiration]]) / (Table20[[#This Row],[Vol]] * SQRT(Table20[[#This Row],[Time to expiration]]))</f>
        <v>-1.7160606769761813</v>
      </c>
      <c r="Y789" s="30">
        <f ca="1">IF(Table20[[#This Row],[Direction]]&gt;0, _xlfn.NORM.S.DIST(Table20[[#This Row],[d1]], TRUE), _xlfn.NORM.S.DIST(Table20[[#This Row],[d1]], TRUE) - 1) * Table20[[#This Row],[Buy or Sell]]</f>
        <v>4.307546872490263E-2</v>
      </c>
      <c r="Z789" s="9">
        <f ca="1">Table20[[#This Row],[Remaining]]*Table20[[#This Row],[Current Price]]*100</f>
        <v>0</v>
      </c>
      <c r="AA789" s="22">
        <f ca="1">IFERROR(Table20[[#This Row],[nominal_exposure]]*Table20[[#This Row],[Delta]],0)</f>
        <v>0</v>
      </c>
      <c r="AB789" s="30" t="b">
        <f>IF(Table20[[#This Row],[date_purchased]]&lt;&gt;Table20[[#This Row],[Expiration Date]],FALSE,TRUE)</f>
        <v>0</v>
      </c>
      <c r="AC789" s="30" t="str">
        <f>VLOOKUP(Table20[[#This Row],[Asset]],Table19[#All],3,FALSE)</f>
        <v>Health Care</v>
      </c>
      <c r="AD789" s="30">
        <f>IF(Table20[[#This Row],[Remaining]]&lt;&gt;0,Table20[[#This Row],[Invested]]*Table20[[#This Row],[Remaining]]/Table20[[#This Row],[Number of options]],0)</f>
        <v>0</v>
      </c>
      <c r="AE789" s="30">
        <f ca="1">SUMIF(Table20[Ticker],Table20[[#This Row],[Ticker]],Table20[realized_profit])</f>
        <v>4342</v>
      </c>
      <c r="AF789" s="30" t="str">
        <f>VLOOKUP(Table20[[#This Row],[Strategy]],Table29[#All],7,FALSE)</f>
        <v>Bullish</v>
      </c>
    </row>
    <row r="790" spans="1:32">
      <c r="A790" s="180">
        <v>46402</v>
      </c>
      <c r="B790" s="21" t="e" vm="21">
        <v>#VALUE!</v>
      </c>
      <c r="C790" s="109" t="str" cm="1">
        <f t="array" aca="1" ref="C790" ca="1">_FV(Table20[[#This Row],[Asset]],"Ticker symbol",TRUE)</f>
        <v>INTC</v>
      </c>
      <c r="D790" s="26" cm="1">
        <f t="array" aca="1" ref="D790" ca="1">_FV(Table20[[#This Row],[Asset]],"Price")</f>
        <v>47.290100000000002</v>
      </c>
      <c r="E790" s="26">
        <v>40</v>
      </c>
      <c r="F790" s="33">
        <v>2</v>
      </c>
      <c r="G790" s="34">
        <v>1</v>
      </c>
      <c r="H790" s="34" t="s">
        <v>113</v>
      </c>
      <c r="I790" s="31">
        <v>45887</v>
      </c>
      <c r="J790" s="26">
        <v>1.84</v>
      </c>
      <c r="K790" s="24">
        <v>0.45</v>
      </c>
      <c r="L790" s="33">
        <f>VLOOKUP(Table20[[#This Row],[Strategy]],Table29[#All],6,FALSE)</f>
        <v>1</v>
      </c>
      <c r="M790" s="23"/>
      <c r="N790" s="23"/>
      <c r="O790" s="23"/>
      <c r="P790" s="23"/>
      <c r="Q790">
        <f>Table20[[#This Row],[Exit1]]*Table20[[#This Row],[ex1_price]]</f>
        <v>0</v>
      </c>
      <c r="R790">
        <f>Table20[[#This Row],[Exit2]]*Table20[[#This Row],[ex2_price]]</f>
        <v>0</v>
      </c>
      <c r="S790">
        <f>IFERROR((Table20[[#This Row],[ex2_amnt]]+Table20[[#This Row],[ex1_amnt]])/(Table20[[#This Row],[Exit2]]+Table20[[#This Row],[Exit1]]),0)</f>
        <v>0</v>
      </c>
      <c r="T790" s="5">
        <f>(Table20[[#This Row],[Exit1]]+Table20[[#This Row],[Exit2]])*(Table20[[#This Row],[avg_exit_price]]-Table20[[#This Row],[AvePrice]])*100*Table20[[#This Row],[Buy or Sell]]</f>
        <v>0</v>
      </c>
      <c r="U790" s="5">
        <f>Table20[[#This Row],[Number of options]]*Table20[[#This Row],[AvePrice]]*100*Table20[[#This Row],[Buy or Sell]]</f>
        <v>368</v>
      </c>
      <c r="V790" s="8">
        <f>Table20[[#This Row],[Number of options]]-Table20[[#This Row],[Exit1]]-Table20[[#This Row],[Exit2]]</f>
        <v>2</v>
      </c>
      <c r="W790" s="30">
        <f ca="1">(Table20[[#This Row],[Expiration Date]]-TODAY())/365</f>
        <v>0.80821917808219179</v>
      </c>
      <c r="X790" s="30">
        <f ca="1">(LN(Table20[[#This Row],[Current Price]]/Table20[[#This Row],[strike_price]]) + ($B$2 + (Table20[[#This Row],[Vol]]^2)/2)*Table20[[#This Row],[Time to expiration]]) / (Table20[[#This Row],[Vol]] * SQRT(Table20[[#This Row],[Time to expiration]]))</f>
        <v>0.68857912692187095</v>
      </c>
      <c r="Y790" s="30">
        <f ca="1">IF(Table20[[#This Row],[Direction]]&gt;0, _xlfn.NORM.S.DIST(Table20[[#This Row],[d1]], TRUE), _xlfn.NORM.S.DIST(Table20[[#This Row],[d1]], TRUE) - 1) * Table20[[#This Row],[Buy or Sell]]</f>
        <v>0.75445591992220018</v>
      </c>
      <c r="Z790" s="9">
        <f ca="1">Table20[[#This Row],[Remaining]]*Table20[[#This Row],[Current Price]]*100</f>
        <v>9458.02</v>
      </c>
      <c r="AA790" s="22">
        <f ca="1">IFERROR(Table20[[#This Row],[nominal_exposure]]*Table20[[#This Row],[Delta]],0)</f>
        <v>7135.6591797425681</v>
      </c>
      <c r="AB790" s="30" t="b">
        <f>IF(Table20[[#This Row],[date_purchased]]&lt;&gt;Table20[[#This Row],[Expiration Date]],FALSE,TRUE)</f>
        <v>0</v>
      </c>
      <c r="AC790" s="30" t="str">
        <f>VLOOKUP(Table20[[#This Row],[Asset]],Table19[#All],3,FALSE)</f>
        <v>AI</v>
      </c>
      <c r="AD790" s="30">
        <f>IF(Table20[[#This Row],[Remaining]]&lt;&gt;0,Table20[[#This Row],[Invested]]*Table20[[#This Row],[Remaining]]/Table20[[#This Row],[Number of options]],0)</f>
        <v>368</v>
      </c>
      <c r="AE790" s="30">
        <f ca="1">SUMIF(Table20[Ticker],Table20[[#This Row],[Ticker]],Table20[realized_profit])</f>
        <v>4779</v>
      </c>
      <c r="AF790" s="30" t="str">
        <f>VLOOKUP(Table20[[#This Row],[Strategy]],Table29[#All],7,FALSE)</f>
        <v>Bullish</v>
      </c>
    </row>
    <row r="791" spans="1:32">
      <c r="A791" s="180">
        <v>45912</v>
      </c>
      <c r="B791" s="21" t="e" vm="145">
        <v>#VALUE!</v>
      </c>
      <c r="C791" s="109" t="str" cm="1">
        <f t="array" aca="1" ref="C791" ca="1">_FV(Table20[[#This Row],[Asset]],"Ticker symbol",TRUE)</f>
        <v>MDB</v>
      </c>
      <c r="D791" s="26" cm="1">
        <f t="array" aca="1" ref="D791" ca="1">_FV(Table20[[#This Row],[Asset]],"Price")</f>
        <v>249.61</v>
      </c>
      <c r="E791" s="26">
        <v>290</v>
      </c>
      <c r="F791" s="33">
        <v>2</v>
      </c>
      <c r="G791" s="34">
        <v>1</v>
      </c>
      <c r="H791" s="34" t="s">
        <v>65</v>
      </c>
      <c r="I791" s="31">
        <v>45904</v>
      </c>
      <c r="J791" s="26">
        <v>2.31</v>
      </c>
      <c r="K791" s="24">
        <v>0.44</v>
      </c>
      <c r="L791" s="33">
        <f>VLOOKUP(Table20[[#This Row],[Strategy]],Table29[#All],6,FALSE)</f>
        <v>-1</v>
      </c>
      <c r="M791" s="23">
        <v>1</v>
      </c>
      <c r="N791" s="23">
        <v>1.39</v>
      </c>
      <c r="O791" s="23"/>
      <c r="P791" s="23"/>
      <c r="Q791">
        <f>Table20[[#This Row],[Exit1]]*Table20[[#This Row],[ex1_price]]</f>
        <v>1.39</v>
      </c>
      <c r="R791">
        <f>Table20[[#This Row],[Exit2]]*Table20[[#This Row],[ex2_price]]</f>
        <v>0</v>
      </c>
      <c r="S791">
        <f>IFERROR((Table20[[#This Row],[ex2_amnt]]+Table20[[#This Row],[ex1_amnt]])/(Table20[[#This Row],[Exit2]]+Table20[[#This Row],[Exit1]]),0)</f>
        <v>1.39</v>
      </c>
      <c r="T791" s="5">
        <f>(Table20[[#This Row],[Exit1]]+Table20[[#This Row],[Exit2]])*(Table20[[#This Row],[avg_exit_price]]-Table20[[#This Row],[AvePrice]])*100*Table20[[#This Row],[Buy or Sell]]</f>
        <v>-92.000000000000014</v>
      </c>
      <c r="U791" s="5">
        <f>Table20[[#This Row],[Number of options]]*Table20[[#This Row],[AvePrice]]*100*Table20[[#This Row],[Buy or Sell]]</f>
        <v>462</v>
      </c>
      <c r="V791" s="8">
        <f>Table20[[#This Row],[Number of options]]-Table20[[#This Row],[Exit1]]-Table20[[#This Row],[Exit2]]</f>
        <v>1</v>
      </c>
      <c r="W791" s="30">
        <f ca="1">(Table20[[#This Row],[Expiration Date]]-TODAY())/365</f>
        <v>-0.53424657534246578</v>
      </c>
      <c r="X791" s="30" t="e">
        <f ca="1">(LN(Table20[[#This Row],[Current Price]]/Table20[[#This Row],[strike_price]]) + ($B$2 + (Table20[[#This Row],[Vol]]^2)/2)*Table20[[#This Row],[Time to expiration]]) / (Table20[[#This Row],[Vol]] * SQRT(Table20[[#This Row],[Time to expiration]]))</f>
        <v>#NUM!</v>
      </c>
      <c r="Y791" s="30" t="e">
        <f ca="1">IF(Table20[[#This Row],[Direction]]&gt;0, _xlfn.NORM.S.DIST(Table20[[#This Row],[d1]], TRUE), _xlfn.NORM.S.DIST(Table20[[#This Row],[d1]], TRUE) - 1) * Table20[[#This Row],[Buy or Sell]]</f>
        <v>#NUM!</v>
      </c>
      <c r="Z791" s="9">
        <f ca="1">Table20[[#This Row],[Remaining]]*Table20[[#This Row],[Current Price]]*100</f>
        <v>24961</v>
      </c>
      <c r="AA791" s="22">
        <f ca="1">IFERROR(Table20[[#This Row],[nominal_exposure]]*Table20[[#This Row],[Delta]],0)</f>
        <v>0</v>
      </c>
      <c r="AB791" s="30" t="b">
        <f>IF(Table20[[#This Row],[date_purchased]]&lt;&gt;Table20[[#This Row],[Expiration Date]],FALSE,TRUE)</f>
        <v>0</v>
      </c>
      <c r="AC791" s="30" t="str">
        <f>VLOOKUP(Table20[[#This Row],[Asset]],Table19[#All],3,FALSE)</f>
        <v>Technology</v>
      </c>
      <c r="AD791" s="30">
        <f>IF(Table20[[#This Row],[Remaining]]&lt;&gt;0,Table20[[#This Row],[Invested]]*Table20[[#This Row],[Remaining]]/Table20[[#This Row],[Number of options]],0)</f>
        <v>231</v>
      </c>
      <c r="AE791" s="30">
        <f ca="1">SUMIF(Table20[Ticker],Table20[[#This Row],[Ticker]],Table20[realized_profit])</f>
        <v>505.99999999999989</v>
      </c>
      <c r="AF791" s="30" t="str">
        <f>VLOOKUP(Table20[[#This Row],[Strategy]],Table29[#All],7,FALSE)</f>
        <v>Bearish</v>
      </c>
    </row>
    <row r="792" spans="1:32" hidden="1">
      <c r="A792" s="180">
        <v>45982</v>
      </c>
      <c r="B792" s="21" t="e" vm="163">
        <v>#VALUE!</v>
      </c>
      <c r="C792" s="109" t="str" cm="1">
        <f t="array" aca="1" ref="C792" ca="1">_FV(Table20[[#This Row],[Asset]],"Ticker symbol",TRUE)</f>
        <v>LLY</v>
      </c>
      <c r="D792" s="26" cm="1">
        <f t="array" aca="1" ref="D792" ca="1">_FV(Table20[[#This Row],[Asset]],"Price")</f>
        <v>910.82500000000005</v>
      </c>
      <c r="E792" s="26">
        <v>1000</v>
      </c>
      <c r="F792" s="33">
        <v>3</v>
      </c>
      <c r="G792" s="34">
        <v>-1</v>
      </c>
      <c r="H792" s="34" t="s">
        <v>115</v>
      </c>
      <c r="I792" s="31">
        <v>45904</v>
      </c>
      <c r="J792" s="26">
        <v>2.06</v>
      </c>
      <c r="K792" s="24">
        <v>0.3</v>
      </c>
      <c r="L792" s="33">
        <f>VLOOKUP(Table20[[#This Row],[Strategy]],Table29[#All],6,FALSE)</f>
        <v>1</v>
      </c>
      <c r="M792" s="23">
        <v>2</v>
      </c>
      <c r="N792" s="23">
        <v>6.75</v>
      </c>
      <c r="O792" s="23">
        <v>1</v>
      </c>
      <c r="P792" s="23">
        <v>10.24</v>
      </c>
      <c r="Q792">
        <f>Table20[[#This Row],[Exit1]]*Table20[[#This Row],[ex1_price]]</f>
        <v>13.5</v>
      </c>
      <c r="R792">
        <f>Table20[[#This Row],[Exit2]]*Table20[[#This Row],[ex2_price]]</f>
        <v>10.24</v>
      </c>
      <c r="S792">
        <f>IFERROR((Table20[[#This Row],[ex2_amnt]]+Table20[[#This Row],[ex1_amnt]])/(Table20[[#This Row],[Exit2]]+Table20[[#This Row],[Exit1]]),0)</f>
        <v>7.913333333333334</v>
      </c>
      <c r="T792" s="5">
        <f>(Table20[[#This Row],[Exit1]]+Table20[[#This Row],[Exit2]])*(Table20[[#This Row],[avg_exit_price]]-Table20[[#This Row],[AvePrice]])*100*Table20[[#This Row],[Buy or Sell]]</f>
        <v>-1756.0000000000002</v>
      </c>
      <c r="U792" s="5">
        <f>Table20[[#This Row],[Number of options]]*Table20[[#This Row],[AvePrice]]*100*Table20[[#This Row],[Buy or Sell]]</f>
        <v>-618</v>
      </c>
      <c r="V792" s="8">
        <f>Table20[[#This Row],[Number of options]]-Table20[[#This Row],[Exit1]]-Table20[[#This Row],[Exit2]]</f>
        <v>0</v>
      </c>
      <c r="W792" s="30">
        <f ca="1">(Table20[[#This Row],[Expiration Date]]-TODAY())/365</f>
        <v>-0.34246575342465752</v>
      </c>
      <c r="X792" s="30" t="e">
        <f ca="1">(LN(Table20[[#This Row],[Current Price]]/Table20[[#This Row],[strike_price]]) + ($B$2 + (Table20[[#This Row],[Vol]]^2)/2)*Table20[[#This Row],[Time to expiration]]) / (Table20[[#This Row],[Vol]] * SQRT(Table20[[#This Row],[Time to expiration]]))</f>
        <v>#NUM!</v>
      </c>
      <c r="Y792" s="30" t="e">
        <f ca="1">IF(Table20[[#This Row],[Direction]]&gt;0, _xlfn.NORM.S.DIST(Table20[[#This Row],[d1]], TRUE), _xlfn.NORM.S.DIST(Table20[[#This Row],[d1]], TRUE) - 1) * Table20[[#This Row],[Buy or Sell]]</f>
        <v>#NUM!</v>
      </c>
      <c r="Z792" s="9">
        <f ca="1">Table20[[#This Row],[Remaining]]*Table20[[#This Row],[Current Price]]*100</f>
        <v>0</v>
      </c>
      <c r="AA792" s="22">
        <f ca="1">IFERROR(Table20[[#This Row],[nominal_exposure]]*Table20[[#This Row],[Delta]],0)</f>
        <v>0</v>
      </c>
      <c r="AB792" s="30" t="b">
        <f>IF(Table20[[#This Row],[date_purchased]]&lt;&gt;Table20[[#This Row],[Expiration Date]],FALSE,TRUE)</f>
        <v>0</v>
      </c>
      <c r="AC792" s="30" t="str">
        <f>VLOOKUP(Table20[[#This Row],[Asset]],Table19[#All],3,FALSE)</f>
        <v>Health Care</v>
      </c>
      <c r="AD792" s="30">
        <f>IF(Table20[[#This Row],[Remaining]]&lt;&gt;0,Table20[[#This Row],[Invested]]*Table20[[#This Row],[Remaining]]/Table20[[#This Row],[Number of options]],0)</f>
        <v>0</v>
      </c>
      <c r="AE792" s="30">
        <f ca="1">SUMIF(Table20[Ticker],Table20[[#This Row],[Ticker]],Table20[realized_profit])</f>
        <v>8506.9999999999982</v>
      </c>
      <c r="AF792" s="30" t="str">
        <f>VLOOKUP(Table20[[#This Row],[Strategy]],Table29[#All],7,FALSE)</f>
        <v>Bullish</v>
      </c>
    </row>
    <row r="793" spans="1:32" hidden="1">
      <c r="A793" s="180">
        <v>46010</v>
      </c>
      <c r="B793" s="21" t="e" vm="163">
        <v>#VALUE!</v>
      </c>
      <c r="C793" s="109" t="str" cm="1">
        <f t="array" aca="1" ref="C793" ca="1">_FV(Table20[[#This Row],[Asset]],"Ticker symbol",TRUE)</f>
        <v>LLY</v>
      </c>
      <c r="D793" s="26" cm="1">
        <f t="array" aca="1" ref="D793" ca="1">_FV(Table20[[#This Row],[Asset]],"Price")</f>
        <v>910.82500000000005</v>
      </c>
      <c r="E793" s="26">
        <v>1000</v>
      </c>
      <c r="F793" s="33">
        <v>3</v>
      </c>
      <c r="G793" s="34">
        <v>1</v>
      </c>
      <c r="H793" s="34" t="s">
        <v>115</v>
      </c>
      <c r="I793" s="31">
        <v>45904</v>
      </c>
      <c r="J793" s="26">
        <v>3.95</v>
      </c>
      <c r="K793" s="24">
        <v>0.3</v>
      </c>
      <c r="L793" s="33">
        <f>VLOOKUP(Table20[[#This Row],[Strategy]],Table29[#All],6,FALSE)</f>
        <v>1</v>
      </c>
      <c r="M793" s="23">
        <v>2</v>
      </c>
      <c r="N793" s="23">
        <v>16.75</v>
      </c>
      <c r="O793" s="23">
        <v>1</v>
      </c>
      <c r="P793" s="23">
        <v>24.74</v>
      </c>
      <c r="Q793">
        <f>Table20[[#This Row],[Exit1]]*Table20[[#This Row],[ex1_price]]</f>
        <v>33.5</v>
      </c>
      <c r="R793">
        <f>Table20[[#This Row],[Exit2]]*Table20[[#This Row],[ex2_price]]</f>
        <v>24.74</v>
      </c>
      <c r="S793">
        <f>IFERROR((Table20[[#This Row],[ex2_amnt]]+Table20[[#This Row],[ex1_amnt]])/(Table20[[#This Row],[Exit2]]+Table20[[#This Row],[Exit1]]),0)</f>
        <v>19.41333333333333</v>
      </c>
      <c r="T793" s="5">
        <f>(Table20[[#This Row],[Exit1]]+Table20[[#This Row],[Exit2]])*(Table20[[#This Row],[avg_exit_price]]-Table20[[#This Row],[AvePrice]])*100*Table20[[#This Row],[Buy or Sell]]</f>
        <v>4638.9999999999991</v>
      </c>
      <c r="U793" s="5">
        <f>Table20[[#This Row],[Number of options]]*Table20[[#This Row],[AvePrice]]*100*Table20[[#This Row],[Buy or Sell]]</f>
        <v>1185.0000000000002</v>
      </c>
      <c r="V793" s="8">
        <f>Table20[[#This Row],[Number of options]]-Table20[[#This Row],[Exit1]]-Table20[[#This Row],[Exit2]]</f>
        <v>0</v>
      </c>
      <c r="W793" s="30">
        <f ca="1">(Table20[[#This Row],[Expiration Date]]-TODAY())/365</f>
        <v>-0.26575342465753427</v>
      </c>
      <c r="X793" s="30" t="e">
        <f ca="1">(LN(Table20[[#This Row],[Current Price]]/Table20[[#This Row],[strike_price]]) + ($B$2 + (Table20[[#This Row],[Vol]]^2)/2)*Table20[[#This Row],[Time to expiration]]) / (Table20[[#This Row],[Vol]] * SQRT(Table20[[#This Row],[Time to expiration]]))</f>
        <v>#NUM!</v>
      </c>
      <c r="Y793" s="30" t="e">
        <f ca="1">IF(Table20[[#This Row],[Direction]]&gt;0, _xlfn.NORM.S.DIST(Table20[[#This Row],[d1]], TRUE), _xlfn.NORM.S.DIST(Table20[[#This Row],[d1]], TRUE) - 1) * Table20[[#This Row],[Buy or Sell]]</f>
        <v>#NUM!</v>
      </c>
      <c r="Z793" s="9">
        <f ca="1">Table20[[#This Row],[Remaining]]*Table20[[#This Row],[Current Price]]*100</f>
        <v>0</v>
      </c>
      <c r="AA793" s="22">
        <f ca="1">IFERROR(Table20[[#This Row],[nominal_exposure]]*Table20[[#This Row],[Delta]],0)</f>
        <v>0</v>
      </c>
      <c r="AB793" s="30" t="b">
        <f>IF(Table20[[#This Row],[date_purchased]]&lt;&gt;Table20[[#This Row],[Expiration Date]],FALSE,TRUE)</f>
        <v>0</v>
      </c>
      <c r="AC793" s="30" t="str">
        <f>VLOOKUP(Table20[[#This Row],[Asset]],Table19[#All],3,FALSE)</f>
        <v>Health Care</v>
      </c>
      <c r="AD793" s="30">
        <f>IF(Table20[[#This Row],[Remaining]]&lt;&gt;0,Table20[[#This Row],[Invested]]*Table20[[#This Row],[Remaining]]/Table20[[#This Row],[Number of options]],0)</f>
        <v>0</v>
      </c>
      <c r="AE793" s="30">
        <f ca="1">SUMIF(Table20[Ticker],Table20[[#This Row],[Ticker]],Table20[realized_profit])</f>
        <v>8506.9999999999982</v>
      </c>
      <c r="AF793" s="30" t="str">
        <f>VLOOKUP(Table20[[#This Row],[Strategy]],Table29[#All],7,FALSE)</f>
        <v>Bullish</v>
      </c>
    </row>
    <row r="794" spans="1:32" hidden="1">
      <c r="A794" s="180">
        <v>45912</v>
      </c>
      <c r="B794" s="21" t="e" vm="136">
        <v>#VALUE!</v>
      </c>
      <c r="C794" s="109" t="str" cm="1">
        <f t="array" aca="1" ref="C794" ca="1">_FV(Table20[[#This Row],[Asset]],"Ticker symbol",TRUE)</f>
        <v>ADBE</v>
      </c>
      <c r="D794" s="26" cm="1">
        <f t="array" aca="1" ref="D794" ca="1">_FV(Table20[[#This Row],[Asset]],"Price")</f>
        <v>237.26</v>
      </c>
      <c r="E794" s="26">
        <v>400</v>
      </c>
      <c r="F794" s="33">
        <v>1</v>
      </c>
      <c r="G794" s="34">
        <v>-1</v>
      </c>
      <c r="H794" s="34" t="s">
        <v>115</v>
      </c>
      <c r="I794" s="31">
        <v>45904</v>
      </c>
      <c r="J794" s="26">
        <v>1.96</v>
      </c>
      <c r="K794" s="24"/>
      <c r="L794" s="33">
        <f>VLOOKUP(Table20[[#This Row],[Strategy]],Table29[#All],6,FALSE)</f>
        <v>1</v>
      </c>
      <c r="M794" s="23">
        <v>1</v>
      </c>
      <c r="N794" s="23">
        <v>1</v>
      </c>
      <c r="O794" s="23"/>
      <c r="P794" s="23"/>
      <c r="Q794">
        <f>Table20[[#This Row],[Exit1]]*Table20[[#This Row],[ex1_price]]</f>
        <v>1</v>
      </c>
      <c r="R794">
        <f>Table20[[#This Row],[Exit2]]*Table20[[#This Row],[ex2_price]]</f>
        <v>0</v>
      </c>
      <c r="S794">
        <f>IFERROR((Table20[[#This Row],[ex2_amnt]]+Table20[[#This Row],[ex1_amnt]])/(Table20[[#This Row],[Exit2]]+Table20[[#This Row],[Exit1]]),0)</f>
        <v>1</v>
      </c>
      <c r="T794" s="5">
        <f>(Table20[[#This Row],[Exit1]]+Table20[[#This Row],[Exit2]])*(Table20[[#This Row],[avg_exit_price]]-Table20[[#This Row],[AvePrice]])*100*Table20[[#This Row],[Buy or Sell]]</f>
        <v>96</v>
      </c>
      <c r="U794" s="5">
        <f>Table20[[#This Row],[Number of options]]*Table20[[#This Row],[AvePrice]]*100*Table20[[#This Row],[Buy or Sell]]</f>
        <v>-196</v>
      </c>
      <c r="V794" s="8">
        <f>Table20[[#This Row],[Number of options]]-Table20[[#This Row],[Exit1]]-Table20[[#This Row],[Exit2]]</f>
        <v>0</v>
      </c>
      <c r="W794" s="30">
        <f ca="1">(Table20[[#This Row],[Expiration Date]]-TODAY())/365</f>
        <v>-0.53424657534246578</v>
      </c>
      <c r="X794" s="30" t="e">
        <f ca="1">(LN(Table20[[#This Row],[Current Price]]/Table20[[#This Row],[strike_price]]) + ($B$2 + (Table20[[#This Row],[Vol]]^2)/2)*Table20[[#This Row],[Time to expiration]]) / (Table20[[#This Row],[Vol]] * SQRT(Table20[[#This Row],[Time to expiration]]))</f>
        <v>#NUM!</v>
      </c>
      <c r="Y794" s="30" t="e">
        <f ca="1">IF(Table20[[#This Row],[Direction]]&gt;0, _xlfn.NORM.S.DIST(Table20[[#This Row],[d1]], TRUE), _xlfn.NORM.S.DIST(Table20[[#This Row],[d1]], TRUE) - 1) * Table20[[#This Row],[Buy or Sell]]</f>
        <v>#NUM!</v>
      </c>
      <c r="Z794" s="9">
        <f ca="1">Table20[[#This Row],[Remaining]]*Table20[[#This Row],[Current Price]]*100</f>
        <v>0</v>
      </c>
      <c r="AA794" s="22">
        <f ca="1">IFERROR(Table20[[#This Row],[nominal_exposure]]*Table20[[#This Row],[Delta]],0)</f>
        <v>0</v>
      </c>
      <c r="AB794" s="30" t="b">
        <f>IF(Table20[[#This Row],[date_purchased]]&lt;&gt;Table20[[#This Row],[Expiration Date]],FALSE,TRUE)</f>
        <v>0</v>
      </c>
      <c r="AC794" s="30" t="str">
        <f>VLOOKUP(Table20[[#This Row],[Asset]],Table19[#All],3,FALSE)</f>
        <v>AI</v>
      </c>
      <c r="AD794" s="30">
        <f>IF(Table20[[#This Row],[Remaining]]&lt;&gt;0,Table20[[#This Row],[Invested]]*Table20[[#This Row],[Remaining]]/Table20[[#This Row],[Number of options]],0)</f>
        <v>0</v>
      </c>
      <c r="AE794" s="30">
        <f ca="1">SUMIF(Table20[Ticker],Table20[[#This Row],[Ticker]],Table20[realized_profit])</f>
        <v>264</v>
      </c>
      <c r="AF794" s="30" t="str">
        <f>VLOOKUP(Table20[[#This Row],[Strategy]],Table29[#All],7,FALSE)</f>
        <v>Bullish</v>
      </c>
    </row>
    <row r="795" spans="1:32" hidden="1">
      <c r="A795" s="180">
        <v>45933</v>
      </c>
      <c r="B795" s="21" t="e" vm="136">
        <v>#VALUE!</v>
      </c>
      <c r="C795" s="109" t="str" cm="1">
        <f t="array" aca="1" ref="C795" ca="1">_FV(Table20[[#This Row],[Asset]],"Ticker symbol",TRUE)</f>
        <v>ADBE</v>
      </c>
      <c r="D795" s="26" cm="1">
        <f t="array" aca="1" ref="D795" ca="1">_FV(Table20[[#This Row],[Asset]],"Price")</f>
        <v>237.26</v>
      </c>
      <c r="E795" s="26">
        <v>400</v>
      </c>
      <c r="F795" s="33">
        <v>1</v>
      </c>
      <c r="G795" s="34">
        <v>1</v>
      </c>
      <c r="H795" s="34" t="s">
        <v>115</v>
      </c>
      <c r="I795" s="31">
        <v>45904</v>
      </c>
      <c r="J795" s="26">
        <v>3.96</v>
      </c>
      <c r="K795" s="24"/>
      <c r="L795" s="33">
        <f>VLOOKUP(Table20[[#This Row],[Strategy]],Table29[#All],6,FALSE)</f>
        <v>1</v>
      </c>
      <c r="M795" s="23">
        <v>1</v>
      </c>
      <c r="N795" s="23">
        <v>0.97</v>
      </c>
      <c r="O795" s="23"/>
      <c r="P795" s="23"/>
      <c r="Q795">
        <f>Table20[[#This Row],[Exit1]]*Table20[[#This Row],[ex1_price]]</f>
        <v>0.97</v>
      </c>
      <c r="R795">
        <f>Table20[[#This Row],[Exit2]]*Table20[[#This Row],[ex2_price]]</f>
        <v>0</v>
      </c>
      <c r="S795">
        <f>IFERROR((Table20[[#This Row],[ex2_amnt]]+Table20[[#This Row],[ex1_amnt]])/(Table20[[#This Row],[Exit2]]+Table20[[#This Row],[Exit1]]),0)</f>
        <v>0.97</v>
      </c>
      <c r="T795" s="5">
        <f>(Table20[[#This Row],[Exit1]]+Table20[[#This Row],[Exit2]])*(Table20[[#This Row],[avg_exit_price]]-Table20[[#This Row],[AvePrice]])*100*Table20[[#This Row],[Buy or Sell]]</f>
        <v>-299</v>
      </c>
      <c r="U795" s="5">
        <f>Table20[[#This Row],[Number of options]]*Table20[[#This Row],[AvePrice]]*100*Table20[[#This Row],[Buy or Sell]]</f>
        <v>396</v>
      </c>
      <c r="V795" s="8">
        <f>Table20[[#This Row],[Number of options]]-Table20[[#This Row],[Exit1]]-Table20[[#This Row],[Exit2]]</f>
        <v>0</v>
      </c>
      <c r="W795" s="30">
        <f ca="1">(Table20[[#This Row],[Expiration Date]]-TODAY())/365</f>
        <v>-0.47671232876712327</v>
      </c>
      <c r="X795" s="30" t="e">
        <f ca="1">(LN(Table20[[#This Row],[Current Price]]/Table20[[#This Row],[strike_price]]) + ($B$2 + (Table20[[#This Row],[Vol]]^2)/2)*Table20[[#This Row],[Time to expiration]]) / (Table20[[#This Row],[Vol]] * SQRT(Table20[[#This Row],[Time to expiration]]))</f>
        <v>#NUM!</v>
      </c>
      <c r="Y795" s="30" t="e">
        <f ca="1">IF(Table20[[#This Row],[Direction]]&gt;0, _xlfn.NORM.S.DIST(Table20[[#This Row],[d1]], TRUE), _xlfn.NORM.S.DIST(Table20[[#This Row],[d1]], TRUE) - 1) * Table20[[#This Row],[Buy or Sell]]</f>
        <v>#NUM!</v>
      </c>
      <c r="Z795" s="9">
        <f ca="1">Table20[[#This Row],[Remaining]]*Table20[[#This Row],[Current Price]]*100</f>
        <v>0</v>
      </c>
      <c r="AA795" s="22">
        <f ca="1">IFERROR(Table20[[#This Row],[nominal_exposure]]*Table20[[#This Row],[Delta]],0)</f>
        <v>0</v>
      </c>
      <c r="AB795" s="30" t="b">
        <f>IF(Table20[[#This Row],[date_purchased]]&lt;&gt;Table20[[#This Row],[Expiration Date]],FALSE,TRUE)</f>
        <v>0</v>
      </c>
      <c r="AC795" s="30" t="str">
        <f>VLOOKUP(Table20[[#This Row],[Asset]],Table19[#All],3,FALSE)</f>
        <v>AI</v>
      </c>
      <c r="AD795" s="30">
        <f>IF(Table20[[#This Row],[Remaining]]&lt;&gt;0,Table20[[#This Row],[Invested]]*Table20[[#This Row],[Remaining]]/Table20[[#This Row],[Number of options]],0)</f>
        <v>0</v>
      </c>
      <c r="AE795" s="30">
        <f ca="1">SUMIF(Table20[Ticker],Table20[[#This Row],[Ticker]],Table20[realized_profit])</f>
        <v>264</v>
      </c>
      <c r="AF795" s="30" t="str">
        <f>VLOOKUP(Table20[[#This Row],[Strategy]],Table29[#All],7,FALSE)</f>
        <v>Bullish</v>
      </c>
    </row>
    <row r="796" spans="1:32" hidden="1">
      <c r="A796" s="180">
        <v>45905</v>
      </c>
      <c r="B796" s="21" t="e" vm="136">
        <v>#VALUE!</v>
      </c>
      <c r="C796" s="109" t="str" cm="1">
        <f t="array" aca="1" ref="C796" ca="1">_FV(Table20[[#This Row],[Asset]],"Ticker symbol",TRUE)</f>
        <v>ADBE</v>
      </c>
      <c r="D796" s="26" cm="1">
        <f t="array" aca="1" ref="D796" ca="1">_FV(Table20[[#This Row],[Asset]],"Price")</f>
        <v>237.26</v>
      </c>
      <c r="E796" s="26">
        <v>347.5</v>
      </c>
      <c r="F796" s="33">
        <v>1</v>
      </c>
      <c r="G796" s="34">
        <v>1</v>
      </c>
      <c r="H796" s="34" t="s">
        <v>113</v>
      </c>
      <c r="I796" s="31">
        <v>45904</v>
      </c>
      <c r="J796" s="26">
        <v>1.04</v>
      </c>
      <c r="K796" s="24"/>
      <c r="L796" s="33">
        <f>VLOOKUP(Table20[[#This Row],[Strategy]],Table29[#All],6,FALSE)</f>
        <v>1</v>
      </c>
      <c r="M796" s="23">
        <v>1</v>
      </c>
      <c r="N796" s="23">
        <v>0.5</v>
      </c>
      <c r="O796" s="23"/>
      <c r="P796" s="23"/>
      <c r="Q796">
        <f>Table20[[#This Row],[Exit1]]*Table20[[#This Row],[ex1_price]]</f>
        <v>0.5</v>
      </c>
      <c r="R796">
        <f>Table20[[#This Row],[Exit2]]*Table20[[#This Row],[ex2_price]]</f>
        <v>0</v>
      </c>
      <c r="S796">
        <f>IFERROR((Table20[[#This Row],[ex2_amnt]]+Table20[[#This Row],[ex1_amnt]])/(Table20[[#This Row],[Exit2]]+Table20[[#This Row],[Exit1]]),0)</f>
        <v>0.5</v>
      </c>
      <c r="T796" s="5">
        <f>(Table20[[#This Row],[Exit1]]+Table20[[#This Row],[Exit2]])*(Table20[[#This Row],[avg_exit_price]]-Table20[[#This Row],[AvePrice]])*100*Table20[[#This Row],[Buy or Sell]]</f>
        <v>-54</v>
      </c>
      <c r="U796" s="5">
        <f>Table20[[#This Row],[Number of options]]*Table20[[#This Row],[AvePrice]]*100*Table20[[#This Row],[Buy or Sell]]</f>
        <v>104</v>
      </c>
      <c r="V796" s="8">
        <f>Table20[[#This Row],[Number of options]]-Table20[[#This Row],[Exit1]]-Table20[[#This Row],[Exit2]]</f>
        <v>0</v>
      </c>
      <c r="W796" s="30">
        <f ca="1">(Table20[[#This Row],[Expiration Date]]-TODAY())/365</f>
        <v>-0.55342465753424652</v>
      </c>
      <c r="X796" s="30" t="e">
        <f ca="1">(LN(Table20[[#This Row],[Current Price]]/Table20[[#This Row],[strike_price]]) + ($B$2 + (Table20[[#This Row],[Vol]]^2)/2)*Table20[[#This Row],[Time to expiration]]) / (Table20[[#This Row],[Vol]] * SQRT(Table20[[#This Row],[Time to expiration]]))</f>
        <v>#NUM!</v>
      </c>
      <c r="Y796" s="30" t="e">
        <f ca="1">IF(Table20[[#This Row],[Direction]]&gt;0, _xlfn.NORM.S.DIST(Table20[[#This Row],[d1]], TRUE), _xlfn.NORM.S.DIST(Table20[[#This Row],[d1]], TRUE) - 1) * Table20[[#This Row],[Buy or Sell]]</f>
        <v>#NUM!</v>
      </c>
      <c r="Z796" s="9">
        <f ca="1">Table20[[#This Row],[Remaining]]*Table20[[#This Row],[Current Price]]*100</f>
        <v>0</v>
      </c>
      <c r="AA796" s="22">
        <f ca="1">IFERROR(Table20[[#This Row],[nominal_exposure]]*Table20[[#This Row],[Delta]],0)</f>
        <v>0</v>
      </c>
      <c r="AB796" s="30" t="b">
        <f>IF(Table20[[#This Row],[date_purchased]]&lt;&gt;Table20[[#This Row],[Expiration Date]],FALSE,TRUE)</f>
        <v>0</v>
      </c>
      <c r="AC796" s="30" t="str">
        <f>VLOOKUP(Table20[[#This Row],[Asset]],Table19[#All],3,FALSE)</f>
        <v>AI</v>
      </c>
      <c r="AD796" s="30">
        <f>IF(Table20[[#This Row],[Remaining]]&lt;&gt;0,Table20[[#This Row],[Invested]]*Table20[[#This Row],[Remaining]]/Table20[[#This Row],[Number of options]],0)</f>
        <v>0</v>
      </c>
      <c r="AE796" s="30">
        <f ca="1">SUMIF(Table20[Ticker],Table20[[#This Row],[Ticker]],Table20[realized_profit])</f>
        <v>264</v>
      </c>
      <c r="AF796" s="30" t="str">
        <f>VLOOKUP(Table20[[#This Row],[Strategy]],Table29[#All],7,FALSE)</f>
        <v>Bullish</v>
      </c>
    </row>
    <row r="797" spans="1:32" hidden="1">
      <c r="A797" s="180">
        <v>46038</v>
      </c>
      <c r="B797" s="21" t="e" vm="27">
        <v>#VALUE!</v>
      </c>
      <c r="C797" s="109" t="str" cm="1">
        <f t="array" aca="1" ref="C797" ca="1">_FV(Table20[[#This Row],[Asset]],"Ticker symbol",TRUE)</f>
        <v>ASML</v>
      </c>
      <c r="D797" s="26" cm="1">
        <f t="array" aca="1" ref="D797" ca="1">_FV(Table20[[#This Row],[Asset]],"Price")</f>
        <v>1398.7900999999999</v>
      </c>
      <c r="E797" s="26">
        <v>1100</v>
      </c>
      <c r="F797" s="33">
        <v>1</v>
      </c>
      <c r="G797" s="34">
        <v>-1</v>
      </c>
      <c r="H797" s="34" t="s">
        <v>115</v>
      </c>
      <c r="I797" s="31">
        <v>45905</v>
      </c>
      <c r="J797" s="26">
        <v>4.95</v>
      </c>
      <c r="K797" s="24"/>
      <c r="L797" s="33">
        <f>VLOOKUP(Table20[[#This Row],[Strategy]],Table29[#All],6,FALSE)</f>
        <v>1</v>
      </c>
      <c r="M797" s="23">
        <v>1</v>
      </c>
      <c r="N797" s="23">
        <v>36.75</v>
      </c>
      <c r="O797" s="23"/>
      <c r="P797" s="23"/>
      <c r="Q797">
        <f>Table20[[#This Row],[Exit1]]*Table20[[#This Row],[ex1_price]]</f>
        <v>36.75</v>
      </c>
      <c r="R797">
        <f>Table20[[#This Row],[Exit2]]*Table20[[#This Row],[ex2_price]]</f>
        <v>0</v>
      </c>
      <c r="S797">
        <f>IFERROR((Table20[[#This Row],[ex2_amnt]]+Table20[[#This Row],[ex1_amnt]])/(Table20[[#This Row],[Exit2]]+Table20[[#This Row],[Exit1]]),0)</f>
        <v>36.75</v>
      </c>
      <c r="T797" s="5">
        <f>(Table20[[#This Row],[Exit1]]+Table20[[#This Row],[Exit2]])*(Table20[[#This Row],[avg_exit_price]]-Table20[[#This Row],[AvePrice]])*100*Table20[[#This Row],[Buy or Sell]]</f>
        <v>-3180</v>
      </c>
      <c r="U797" s="5">
        <f>Table20[[#This Row],[Number of options]]*Table20[[#This Row],[AvePrice]]*100*Table20[[#This Row],[Buy or Sell]]</f>
        <v>-495</v>
      </c>
      <c r="V797" s="8">
        <f>Table20[[#This Row],[Number of options]]-Table20[[#This Row],[Exit1]]-Table20[[#This Row],[Exit2]]</f>
        <v>0</v>
      </c>
      <c r="W797" s="30">
        <f ca="1">(Table20[[#This Row],[Expiration Date]]-TODAY())/365</f>
        <v>-0.18904109589041096</v>
      </c>
      <c r="X797" s="30" t="e">
        <f ca="1">(LN(Table20[[#This Row],[Current Price]]/Table20[[#This Row],[strike_price]]) + ($B$2 + (Table20[[#This Row],[Vol]]^2)/2)*Table20[[#This Row],[Time to expiration]]) / (Table20[[#This Row],[Vol]] * SQRT(Table20[[#This Row],[Time to expiration]]))</f>
        <v>#NUM!</v>
      </c>
      <c r="Y797" s="30" t="e">
        <f ca="1">IF(Table20[[#This Row],[Direction]]&gt;0, _xlfn.NORM.S.DIST(Table20[[#This Row],[d1]], TRUE), _xlfn.NORM.S.DIST(Table20[[#This Row],[d1]], TRUE) - 1) * Table20[[#This Row],[Buy or Sell]]</f>
        <v>#NUM!</v>
      </c>
      <c r="Z797" s="9">
        <f ca="1">Table20[[#This Row],[Remaining]]*Table20[[#This Row],[Current Price]]*100</f>
        <v>0</v>
      </c>
      <c r="AA797" s="22">
        <f ca="1">IFERROR(Table20[[#This Row],[nominal_exposure]]*Table20[[#This Row],[Delta]],0)</f>
        <v>0</v>
      </c>
      <c r="AB797" s="30" t="b">
        <f>IF(Table20[[#This Row],[date_purchased]]&lt;&gt;Table20[[#This Row],[Expiration Date]],FALSE,TRUE)</f>
        <v>0</v>
      </c>
      <c r="AC797" s="30" t="str">
        <f>VLOOKUP(Table20[[#This Row],[Asset]],Table19[#All],3,FALSE)</f>
        <v>Semiconductor</v>
      </c>
      <c r="AD797" s="30">
        <f>IF(Table20[[#This Row],[Remaining]]&lt;&gt;0,Table20[[#This Row],[Invested]]*Table20[[#This Row],[Remaining]]/Table20[[#This Row],[Number of options]],0)</f>
        <v>0</v>
      </c>
      <c r="AE797" s="30">
        <f ca="1">SUMIF(Table20[Ticker],Table20[[#This Row],[Ticker]],Table20[realized_profit])</f>
        <v>1541</v>
      </c>
      <c r="AF797" s="30" t="str">
        <f>VLOOKUP(Table20[[#This Row],[Strategy]],Table29[#All],7,FALSE)</f>
        <v>Bullish</v>
      </c>
    </row>
    <row r="798" spans="1:32" hidden="1">
      <c r="A798" s="180">
        <v>46101</v>
      </c>
      <c r="B798" s="21" t="e" vm="27">
        <v>#VALUE!</v>
      </c>
      <c r="C798" s="109" t="str" cm="1">
        <f t="array" aca="1" ref="C798" ca="1">_FV(Table20[[#This Row],[Asset]],"Ticker symbol",TRUE)</f>
        <v>ASML</v>
      </c>
      <c r="D798" s="26" cm="1">
        <f t="array" aca="1" ref="D798" ca="1">_FV(Table20[[#This Row],[Asset]],"Price")</f>
        <v>1398.7900999999999</v>
      </c>
      <c r="E798" s="26">
        <v>1100</v>
      </c>
      <c r="F798" s="33">
        <v>1</v>
      </c>
      <c r="G798" s="34">
        <v>1</v>
      </c>
      <c r="H798" s="34" t="s">
        <v>115</v>
      </c>
      <c r="I798" s="31">
        <v>45905</v>
      </c>
      <c r="J798" s="26">
        <v>10.35</v>
      </c>
      <c r="K798" s="24"/>
      <c r="L798" s="33">
        <f>VLOOKUP(Table20[[#This Row],[Strategy]],Table29[#All],6,FALSE)</f>
        <v>1</v>
      </c>
      <c r="M798" s="23">
        <v>1</v>
      </c>
      <c r="N798" s="23">
        <v>57.56</v>
      </c>
      <c r="O798" s="23"/>
      <c r="P798" s="23"/>
      <c r="Q798">
        <f>Table20[[#This Row],[Exit1]]*Table20[[#This Row],[ex1_price]]</f>
        <v>57.56</v>
      </c>
      <c r="R798">
        <f>Table20[[#This Row],[Exit2]]*Table20[[#This Row],[ex2_price]]</f>
        <v>0</v>
      </c>
      <c r="S798">
        <f>IFERROR((Table20[[#This Row],[ex2_amnt]]+Table20[[#This Row],[ex1_amnt]])/(Table20[[#This Row],[Exit2]]+Table20[[#This Row],[Exit1]]),0)</f>
        <v>57.56</v>
      </c>
      <c r="T798" s="5">
        <f>(Table20[[#This Row],[Exit1]]+Table20[[#This Row],[Exit2]])*(Table20[[#This Row],[avg_exit_price]]-Table20[[#This Row],[AvePrice]])*100*Table20[[#This Row],[Buy or Sell]]</f>
        <v>4721</v>
      </c>
      <c r="U798" s="5">
        <f>Table20[[#This Row],[Number of options]]*Table20[[#This Row],[AvePrice]]*100*Table20[[#This Row],[Buy or Sell]]</f>
        <v>1035</v>
      </c>
      <c r="V798" s="8">
        <f>Table20[[#This Row],[Number of options]]-Table20[[#This Row],[Exit1]]-Table20[[#This Row],[Exit2]]</f>
        <v>0</v>
      </c>
      <c r="W798" s="30">
        <f ca="1">(Table20[[#This Row],[Expiration Date]]-TODAY())/365</f>
        <v>-1.643835616438356E-2</v>
      </c>
      <c r="X798" s="30" t="e">
        <f ca="1">(LN(Table20[[#This Row],[Current Price]]/Table20[[#This Row],[strike_price]]) + ($B$2 + (Table20[[#This Row],[Vol]]^2)/2)*Table20[[#This Row],[Time to expiration]]) / (Table20[[#This Row],[Vol]] * SQRT(Table20[[#This Row],[Time to expiration]]))</f>
        <v>#NUM!</v>
      </c>
      <c r="Y798" s="30" t="e">
        <f ca="1">IF(Table20[[#This Row],[Direction]]&gt;0, _xlfn.NORM.S.DIST(Table20[[#This Row],[d1]], TRUE), _xlfn.NORM.S.DIST(Table20[[#This Row],[d1]], TRUE) - 1) * Table20[[#This Row],[Buy or Sell]]</f>
        <v>#NUM!</v>
      </c>
      <c r="Z798" s="9">
        <f ca="1">Table20[[#This Row],[Remaining]]*Table20[[#This Row],[Current Price]]*100</f>
        <v>0</v>
      </c>
      <c r="AA798" s="22">
        <f ca="1">IFERROR(Table20[[#This Row],[nominal_exposure]]*Table20[[#This Row],[Delta]],0)</f>
        <v>0</v>
      </c>
      <c r="AB798" s="30" t="b">
        <f>IF(Table20[[#This Row],[date_purchased]]&lt;&gt;Table20[[#This Row],[Expiration Date]],FALSE,TRUE)</f>
        <v>0</v>
      </c>
      <c r="AC798" s="30" t="str">
        <f>VLOOKUP(Table20[[#This Row],[Asset]],Table19[#All],3,FALSE)</f>
        <v>Semiconductor</v>
      </c>
      <c r="AD798" s="30">
        <f>IF(Table20[[#This Row],[Remaining]]&lt;&gt;0,Table20[[#This Row],[Invested]]*Table20[[#This Row],[Remaining]]/Table20[[#This Row],[Number of options]],0)</f>
        <v>0</v>
      </c>
      <c r="AE798" s="30">
        <f ca="1">SUMIF(Table20[Ticker],Table20[[#This Row],[Ticker]],Table20[realized_profit])</f>
        <v>1541</v>
      </c>
      <c r="AF798" s="30" t="str">
        <f>VLOOKUP(Table20[[#This Row],[Strategy]],Table29[#All],7,FALSE)</f>
        <v>Bullish</v>
      </c>
    </row>
    <row r="799" spans="1:32" hidden="1">
      <c r="A799" s="180">
        <v>45912</v>
      </c>
      <c r="B799" s="21" t="e" vm="106">
        <v>#VALUE!</v>
      </c>
      <c r="C799" s="109" t="str" cm="1">
        <f t="array" aca="1" ref="C799" ca="1">_FV(Table20[[#This Row],[Asset]],"Ticker symbol",TRUE)</f>
        <v>GLD</v>
      </c>
      <c r="D799" s="26" cm="1">
        <f t="array" aca="1" ref="D799" ca="1">_FV(Table20[[#This Row],[Asset]],"Price")</f>
        <v>419.54</v>
      </c>
      <c r="E799" s="26">
        <v>330</v>
      </c>
      <c r="F799" s="33">
        <v>2</v>
      </c>
      <c r="G799" s="34">
        <v>1</v>
      </c>
      <c r="H799" s="34" t="s">
        <v>65</v>
      </c>
      <c r="I799" s="31">
        <v>45905</v>
      </c>
      <c r="J799" s="26">
        <v>3.12</v>
      </c>
      <c r="K799" s="24"/>
      <c r="L799" s="33">
        <f>VLOOKUP(Table20[[#This Row],[Strategy]],Table29[#All],6,FALSE)</f>
        <v>-1</v>
      </c>
      <c r="M799" s="23">
        <v>2</v>
      </c>
      <c r="N799" s="23">
        <v>1.23</v>
      </c>
      <c r="O799" s="23"/>
      <c r="P799" s="23"/>
      <c r="Q799">
        <f>Table20[[#This Row],[Exit1]]*Table20[[#This Row],[ex1_price]]</f>
        <v>2.46</v>
      </c>
      <c r="R799">
        <f>Table20[[#This Row],[Exit2]]*Table20[[#This Row],[ex2_price]]</f>
        <v>0</v>
      </c>
      <c r="S799">
        <f>IFERROR((Table20[[#This Row],[ex2_amnt]]+Table20[[#This Row],[ex1_amnt]])/(Table20[[#This Row],[Exit2]]+Table20[[#This Row],[Exit1]]),0)</f>
        <v>1.23</v>
      </c>
      <c r="T799" s="5">
        <f>(Table20[[#This Row],[Exit1]]+Table20[[#This Row],[Exit2]])*(Table20[[#This Row],[avg_exit_price]]-Table20[[#This Row],[AvePrice]])*100*Table20[[#This Row],[Buy or Sell]]</f>
        <v>-378</v>
      </c>
      <c r="U799" s="5">
        <f>Table20[[#This Row],[Number of options]]*Table20[[#This Row],[AvePrice]]*100*Table20[[#This Row],[Buy or Sell]]</f>
        <v>624</v>
      </c>
      <c r="V799" s="8">
        <f>Table20[[#This Row],[Number of options]]-Table20[[#This Row],[Exit1]]-Table20[[#This Row],[Exit2]]</f>
        <v>0</v>
      </c>
      <c r="W799" s="30">
        <f ca="1">(Table20[[#This Row],[Expiration Date]]-TODAY())/365</f>
        <v>-0.53424657534246578</v>
      </c>
      <c r="X799" s="30" t="e">
        <f ca="1">(LN(Table20[[#This Row],[Current Price]]/Table20[[#This Row],[strike_price]]) + ($B$2 + (Table20[[#This Row],[Vol]]^2)/2)*Table20[[#This Row],[Time to expiration]]) / (Table20[[#This Row],[Vol]] * SQRT(Table20[[#This Row],[Time to expiration]]))</f>
        <v>#NUM!</v>
      </c>
      <c r="Y799" s="30" t="e">
        <f ca="1">IF(Table20[[#This Row],[Direction]]&gt;0, _xlfn.NORM.S.DIST(Table20[[#This Row],[d1]], TRUE), _xlfn.NORM.S.DIST(Table20[[#This Row],[d1]], TRUE) - 1) * Table20[[#This Row],[Buy or Sell]]</f>
        <v>#NUM!</v>
      </c>
      <c r="Z799" s="9">
        <f ca="1">Table20[[#This Row],[Remaining]]*Table20[[#This Row],[Current Price]]*100</f>
        <v>0</v>
      </c>
      <c r="AA799" s="22">
        <f ca="1">IFERROR(Table20[[#This Row],[nominal_exposure]]*Table20[[#This Row],[Delta]],0)</f>
        <v>0</v>
      </c>
      <c r="AB799" s="30" t="b">
        <f>IF(Table20[[#This Row],[date_purchased]]&lt;&gt;Table20[[#This Row],[Expiration Date]],FALSE,TRUE)</f>
        <v>0</v>
      </c>
      <c r="AC799" s="30" t="str">
        <f>VLOOKUP(Table20[[#This Row],[Asset]],Table19[#All],3,FALSE)</f>
        <v>Gold and Silver</v>
      </c>
      <c r="AD799" s="30">
        <f>IF(Table20[[#This Row],[Remaining]]&lt;&gt;0,Table20[[#This Row],[Invested]]*Table20[[#This Row],[Remaining]]/Table20[[#This Row],[Number of options]],0)</f>
        <v>0</v>
      </c>
      <c r="AE799" s="30">
        <f ca="1">SUMIF(Table20[Ticker],Table20[[#This Row],[Ticker]],Table20[realized_profit])</f>
        <v>228</v>
      </c>
      <c r="AF799" s="30" t="str">
        <f>VLOOKUP(Table20[[#This Row],[Strategy]],Table29[#All],7,FALSE)</f>
        <v>Bearish</v>
      </c>
    </row>
    <row r="800" spans="1:32" hidden="1">
      <c r="A800" s="180">
        <v>45912</v>
      </c>
      <c r="B800" s="21" t="e" vm="37">
        <v>#VALUE!</v>
      </c>
      <c r="C800" s="109" t="str" cm="1">
        <f t="array" aca="1" ref="C800" ca="1">_FV(Table20[[#This Row],[Asset]],"Ticker symbol",TRUE)</f>
        <v>AMD</v>
      </c>
      <c r="D800" s="26" cm="1">
        <f t="array" aca="1" ref="D800" ca="1">_FV(Table20[[#This Row],[Asset]],"Price")</f>
        <v>218.91</v>
      </c>
      <c r="E800" s="26">
        <v>155</v>
      </c>
      <c r="F800" s="33">
        <v>2</v>
      </c>
      <c r="G800" s="34">
        <v>1</v>
      </c>
      <c r="H800" s="34" t="s">
        <v>113</v>
      </c>
      <c r="I800" s="31">
        <v>45905</v>
      </c>
      <c r="J800" s="26">
        <v>1.86</v>
      </c>
      <c r="K800" s="24"/>
      <c r="L800" s="33">
        <f>VLOOKUP(Table20[[#This Row],[Strategy]],Table29[#All],6,FALSE)</f>
        <v>1</v>
      </c>
      <c r="M800" s="23">
        <v>2</v>
      </c>
      <c r="N800" s="23">
        <v>1.44</v>
      </c>
      <c r="O800" s="23"/>
      <c r="P800" s="23"/>
      <c r="Q800">
        <f>Table20[[#This Row],[Exit1]]*Table20[[#This Row],[ex1_price]]</f>
        <v>2.88</v>
      </c>
      <c r="R800">
        <f>Table20[[#This Row],[Exit2]]*Table20[[#This Row],[ex2_price]]</f>
        <v>0</v>
      </c>
      <c r="S800">
        <f>IFERROR((Table20[[#This Row],[ex2_amnt]]+Table20[[#This Row],[ex1_amnt]])/(Table20[[#This Row],[Exit2]]+Table20[[#This Row],[Exit1]]),0)</f>
        <v>1.44</v>
      </c>
      <c r="T800" s="5">
        <f>(Table20[[#This Row],[Exit1]]+Table20[[#This Row],[Exit2]])*(Table20[[#This Row],[avg_exit_price]]-Table20[[#This Row],[AvePrice]])*100*Table20[[#This Row],[Buy or Sell]]</f>
        <v>-84.000000000000028</v>
      </c>
      <c r="U800" s="5">
        <f>Table20[[#This Row],[Number of options]]*Table20[[#This Row],[AvePrice]]*100*Table20[[#This Row],[Buy or Sell]]</f>
        <v>372</v>
      </c>
      <c r="V800" s="8">
        <f>Table20[[#This Row],[Number of options]]-Table20[[#This Row],[Exit1]]-Table20[[#This Row],[Exit2]]</f>
        <v>0</v>
      </c>
      <c r="W800" s="30">
        <f ca="1">(Table20[[#This Row],[Expiration Date]]-TODAY())/365</f>
        <v>-0.53424657534246578</v>
      </c>
      <c r="X800" s="30" t="e">
        <f ca="1">(LN(Table20[[#This Row],[Current Price]]/Table20[[#This Row],[strike_price]]) + ($B$2 + (Table20[[#This Row],[Vol]]^2)/2)*Table20[[#This Row],[Time to expiration]]) / (Table20[[#This Row],[Vol]] * SQRT(Table20[[#This Row],[Time to expiration]]))</f>
        <v>#NUM!</v>
      </c>
      <c r="Y800" s="30" t="e">
        <f ca="1">IF(Table20[[#This Row],[Direction]]&gt;0, _xlfn.NORM.S.DIST(Table20[[#This Row],[d1]], TRUE), _xlfn.NORM.S.DIST(Table20[[#This Row],[d1]], TRUE) - 1) * Table20[[#This Row],[Buy or Sell]]</f>
        <v>#NUM!</v>
      </c>
      <c r="Z800" s="9">
        <f ca="1">Table20[[#This Row],[Remaining]]*Table20[[#This Row],[Current Price]]*100</f>
        <v>0</v>
      </c>
      <c r="AA800" s="22">
        <f ca="1">IFERROR(Table20[[#This Row],[nominal_exposure]]*Table20[[#This Row],[Delta]],0)</f>
        <v>0</v>
      </c>
      <c r="AB800" s="30" t="b">
        <f>IF(Table20[[#This Row],[date_purchased]]&lt;&gt;Table20[[#This Row],[Expiration Date]],FALSE,TRUE)</f>
        <v>0</v>
      </c>
      <c r="AC800" s="30" t="str">
        <f>VLOOKUP(Table20[[#This Row],[Asset]],Table19[#All],3,FALSE)</f>
        <v>AI</v>
      </c>
      <c r="AD800" s="30">
        <f>IF(Table20[[#This Row],[Remaining]]&lt;&gt;0,Table20[[#This Row],[Invested]]*Table20[[#This Row],[Remaining]]/Table20[[#This Row],[Number of options]],0)</f>
        <v>0</v>
      </c>
      <c r="AE800" s="30">
        <f ca="1">SUMIF(Table20[Ticker],Table20[[#This Row],[Ticker]],Table20[realized_profit])</f>
        <v>1567</v>
      </c>
      <c r="AF800" s="30" t="str">
        <f>VLOOKUP(Table20[[#This Row],[Strategy]],Table29[#All],7,FALSE)</f>
        <v>Bullish</v>
      </c>
    </row>
    <row r="801" spans="1:32">
      <c r="A801" s="180">
        <v>46038</v>
      </c>
      <c r="B801" s="21" t="e" vm="62">
        <v>#VALUE!</v>
      </c>
      <c r="C801" s="109" t="str" cm="1">
        <f t="array" aca="1" ref="C801" ca="1">_FV(Table20[[#This Row],[Asset]],"Ticker symbol",TRUE)</f>
        <v>EQT</v>
      </c>
      <c r="D801" s="26" cm="1">
        <f t="array" aca="1" ref="D801" ca="1">_FV(Table20[[#This Row],[Asset]],"Price")</f>
        <v>66.7</v>
      </c>
      <c r="E801" s="26">
        <v>60</v>
      </c>
      <c r="F801" s="33">
        <v>2</v>
      </c>
      <c r="G801" s="34">
        <v>1</v>
      </c>
      <c r="H801" s="34" t="s">
        <v>113</v>
      </c>
      <c r="I801" s="31">
        <v>45929</v>
      </c>
      <c r="J801" s="26">
        <v>2.4300000000000002</v>
      </c>
      <c r="K801" s="24">
        <v>0.36</v>
      </c>
      <c r="L801" s="33">
        <f>VLOOKUP(Table20[[#This Row],[Strategy]],Table29[#All],6,FALSE)</f>
        <v>1</v>
      </c>
      <c r="M801" s="23"/>
      <c r="N801" s="23"/>
      <c r="O801" s="23"/>
      <c r="P801" s="23"/>
      <c r="Q801">
        <f>Table20[[#This Row],[Exit1]]*Table20[[#This Row],[ex1_price]]</f>
        <v>0</v>
      </c>
      <c r="R801">
        <f>Table20[[#This Row],[Exit2]]*Table20[[#This Row],[ex2_price]]</f>
        <v>0</v>
      </c>
      <c r="S801">
        <f>IFERROR((Table20[[#This Row],[ex2_amnt]]+Table20[[#This Row],[ex1_amnt]])/(Table20[[#This Row],[Exit2]]+Table20[[#This Row],[Exit1]]),0)</f>
        <v>0</v>
      </c>
      <c r="T801" s="5">
        <f>(Table20[[#This Row],[Exit1]]+Table20[[#This Row],[Exit2]])*(Table20[[#This Row],[avg_exit_price]]-Table20[[#This Row],[AvePrice]])*100*Table20[[#This Row],[Buy or Sell]]</f>
        <v>0</v>
      </c>
      <c r="U801" s="5">
        <f>Table20[[#This Row],[Number of options]]*Table20[[#This Row],[AvePrice]]*100*Table20[[#This Row],[Buy or Sell]]</f>
        <v>486.00000000000006</v>
      </c>
      <c r="V801" s="8">
        <f>Table20[[#This Row],[Number of options]]-Table20[[#This Row],[Exit1]]-Table20[[#This Row],[Exit2]]</f>
        <v>2</v>
      </c>
      <c r="W801" s="30">
        <f ca="1">(Table20[[#This Row],[Expiration Date]]-TODAY())/365</f>
        <v>-0.18904109589041096</v>
      </c>
      <c r="X801" s="30" t="e">
        <f ca="1">(LN(Table20[[#This Row],[Current Price]]/Table20[[#This Row],[strike_price]]) + ($B$2 + (Table20[[#This Row],[Vol]]^2)/2)*Table20[[#This Row],[Time to expiration]]) / (Table20[[#This Row],[Vol]] * SQRT(Table20[[#This Row],[Time to expiration]]))</f>
        <v>#NUM!</v>
      </c>
      <c r="Y801" s="30" t="e">
        <f ca="1">IF(Table20[[#This Row],[Direction]]&gt;0, _xlfn.NORM.S.DIST(Table20[[#This Row],[d1]], TRUE), _xlfn.NORM.S.DIST(Table20[[#This Row],[d1]], TRUE) - 1) * Table20[[#This Row],[Buy or Sell]]</f>
        <v>#NUM!</v>
      </c>
      <c r="Z801" s="9">
        <f ca="1">Table20[[#This Row],[Remaining]]*Table20[[#This Row],[Current Price]]*100</f>
        <v>13340</v>
      </c>
      <c r="AA801" s="22">
        <f ca="1">IFERROR(Table20[[#This Row],[nominal_exposure]]*Table20[[#This Row],[Delta]],0)</f>
        <v>0</v>
      </c>
      <c r="AB801" s="30" t="b">
        <f>IF(Table20[[#This Row],[date_purchased]]&lt;&gt;Table20[[#This Row],[Expiration Date]],FALSE,TRUE)</f>
        <v>0</v>
      </c>
      <c r="AC801" s="30" t="str">
        <f>VLOOKUP(Table20[[#This Row],[Asset]],Table19[#All],3,FALSE)</f>
        <v>Energy</v>
      </c>
      <c r="AD801" s="30">
        <f>IF(Table20[[#This Row],[Remaining]]&lt;&gt;0,Table20[[#This Row],[Invested]]*Table20[[#This Row],[Remaining]]/Table20[[#This Row],[Number of options]],0)</f>
        <v>486.00000000000006</v>
      </c>
      <c r="AE801" s="30">
        <f ca="1">SUMIF(Table20[Ticker],Table20[[#This Row],[Ticker]],Table20[realized_profit])</f>
        <v>0</v>
      </c>
      <c r="AF801" s="30" t="str">
        <f>VLOOKUP(Table20[[#This Row],[Strategy]],Table29[#All],7,FALSE)</f>
        <v>Bullish</v>
      </c>
    </row>
    <row r="802" spans="1:32" hidden="1">
      <c r="A802" s="180">
        <v>45947</v>
      </c>
      <c r="B802" s="21" t="e" vm="227">
        <v>#VALUE!</v>
      </c>
      <c r="C802" s="109" t="str" cm="1">
        <f t="array" aca="1" ref="C802" ca="1">_FV(Table20[[#This Row],[Asset]],"Ticker symbol",TRUE)</f>
        <v>DFDV</v>
      </c>
      <c r="D802" s="26" cm="1">
        <f t="array" aca="1" ref="D802" ca="1">_FV(Table20[[#This Row],[Asset]],"Price")</f>
        <v>4.1500000000000004</v>
      </c>
      <c r="E802" s="26">
        <v>20</v>
      </c>
      <c r="F802" s="33">
        <v>1</v>
      </c>
      <c r="G802" s="34">
        <v>1</v>
      </c>
      <c r="H802" s="34" t="s">
        <v>113</v>
      </c>
      <c r="I802" s="31">
        <v>45909</v>
      </c>
      <c r="J802" s="26">
        <v>1.47</v>
      </c>
      <c r="K802" s="24">
        <v>1.2</v>
      </c>
      <c r="L802" s="33">
        <f>VLOOKUP(Table20[[#This Row],[Strategy]],Table29[#All],6,FALSE)</f>
        <v>1</v>
      </c>
      <c r="M802" s="23">
        <v>1</v>
      </c>
      <c r="N802" s="23">
        <v>0.51</v>
      </c>
      <c r="O802" s="23"/>
      <c r="P802" s="23"/>
      <c r="Q802">
        <f>Table20[[#This Row],[Exit1]]*Table20[[#This Row],[ex1_price]]</f>
        <v>0.51</v>
      </c>
      <c r="R802">
        <f>Table20[[#This Row],[Exit2]]*Table20[[#This Row],[ex2_price]]</f>
        <v>0</v>
      </c>
      <c r="S802">
        <f>IFERROR((Table20[[#This Row],[ex2_amnt]]+Table20[[#This Row],[ex1_amnt]])/(Table20[[#This Row],[Exit2]]+Table20[[#This Row],[Exit1]]),0)</f>
        <v>0.51</v>
      </c>
      <c r="T802" s="5">
        <f>(Table20[[#This Row],[Exit1]]+Table20[[#This Row],[Exit2]])*(Table20[[#This Row],[avg_exit_price]]-Table20[[#This Row],[AvePrice]])*100*Table20[[#This Row],[Buy or Sell]]</f>
        <v>-96</v>
      </c>
      <c r="U802" s="5">
        <f>Table20[[#This Row],[Number of options]]*Table20[[#This Row],[AvePrice]]*100*Table20[[#This Row],[Buy or Sell]]</f>
        <v>147</v>
      </c>
      <c r="V802" s="8">
        <f>Table20[[#This Row],[Number of options]]-Table20[[#This Row],[Exit1]]-Table20[[#This Row],[Exit2]]</f>
        <v>0</v>
      </c>
      <c r="W802" s="30">
        <f ca="1">(Table20[[#This Row],[Expiration Date]]-TODAY())/365</f>
        <v>-0.43835616438356162</v>
      </c>
      <c r="X802" s="30" t="e">
        <f ca="1">(LN(Table20[[#This Row],[Current Price]]/Table20[[#This Row],[strike_price]]) + ($B$2 + (Table20[[#This Row],[Vol]]^2)/2)*Table20[[#This Row],[Time to expiration]]) / (Table20[[#This Row],[Vol]] * SQRT(Table20[[#This Row],[Time to expiration]]))</f>
        <v>#NUM!</v>
      </c>
      <c r="Y802" s="30" t="e">
        <f ca="1">IF(Table20[[#This Row],[Direction]]&gt;0, _xlfn.NORM.S.DIST(Table20[[#This Row],[d1]], TRUE), _xlfn.NORM.S.DIST(Table20[[#This Row],[d1]], TRUE) - 1) * Table20[[#This Row],[Buy or Sell]]</f>
        <v>#NUM!</v>
      </c>
      <c r="Z802" s="9">
        <f ca="1">Table20[[#This Row],[Remaining]]*Table20[[#This Row],[Current Price]]*100</f>
        <v>0</v>
      </c>
      <c r="AA802" s="22">
        <f ca="1">IFERROR(Table20[[#This Row],[nominal_exposure]]*Table20[[#This Row],[Delta]],0)</f>
        <v>0</v>
      </c>
      <c r="AB802" s="30" t="b">
        <f>IF(Table20[[#This Row],[date_purchased]]&lt;&gt;Table20[[#This Row],[Expiration Date]],FALSE,TRUE)</f>
        <v>0</v>
      </c>
      <c r="AC802" s="30" t="str">
        <f>VLOOKUP(Table20[[#This Row],[Asset]],Table19[#All],3,FALSE)</f>
        <v>Crypto</v>
      </c>
      <c r="AD802" s="30">
        <f>IF(Table20[[#This Row],[Remaining]]&lt;&gt;0,Table20[[#This Row],[Invested]]*Table20[[#This Row],[Remaining]]/Table20[[#This Row],[Number of options]],0)</f>
        <v>0</v>
      </c>
      <c r="AE802" s="30">
        <f ca="1">SUMIF(Table20[Ticker],Table20[[#This Row],[Ticker]],Table20[realized_profit])</f>
        <v>-96</v>
      </c>
      <c r="AF802" s="30" t="str">
        <f>VLOOKUP(Table20[[#This Row],[Strategy]],Table29[#All],7,FALSE)</f>
        <v>Bullish</v>
      </c>
    </row>
    <row r="803" spans="1:32">
      <c r="A803" s="180">
        <v>46038</v>
      </c>
      <c r="B803" s="21" t="e" vm="227">
        <v>#VALUE!</v>
      </c>
      <c r="C803" s="109" t="str" cm="1">
        <f t="array" aca="1" ref="C803" ca="1">_FV(Table20[[#This Row],[Asset]],"Ticker symbol",TRUE)</f>
        <v>DFDV</v>
      </c>
      <c r="D803" s="26" cm="1">
        <f t="array" aca="1" ref="D803" ca="1">_FV(Table20[[#This Row],[Asset]],"Price")</f>
        <v>4.1500000000000004</v>
      </c>
      <c r="E803" s="26">
        <v>20</v>
      </c>
      <c r="F803" s="33">
        <v>2</v>
      </c>
      <c r="G803" s="34">
        <v>1</v>
      </c>
      <c r="H803" s="34" t="s">
        <v>113</v>
      </c>
      <c r="I803" s="31">
        <v>45909</v>
      </c>
      <c r="J803" s="26">
        <v>3.5</v>
      </c>
      <c r="K803" s="24">
        <v>1.2</v>
      </c>
      <c r="L803" s="33">
        <f>VLOOKUP(Table20[[#This Row],[Strategy]],Table29[#All],6,FALSE)</f>
        <v>1</v>
      </c>
      <c r="M803" s="23"/>
      <c r="N803" s="23"/>
      <c r="O803" s="23"/>
      <c r="P803" s="23"/>
      <c r="Q803">
        <f>Table20[[#This Row],[Exit1]]*Table20[[#This Row],[ex1_price]]</f>
        <v>0</v>
      </c>
      <c r="R803">
        <f>Table20[[#This Row],[Exit2]]*Table20[[#This Row],[ex2_price]]</f>
        <v>0</v>
      </c>
      <c r="S803">
        <f>IFERROR((Table20[[#This Row],[ex2_amnt]]+Table20[[#This Row],[ex1_amnt]])/(Table20[[#This Row],[Exit2]]+Table20[[#This Row],[Exit1]]),0)</f>
        <v>0</v>
      </c>
      <c r="T803" s="5">
        <f>(Table20[[#This Row],[Exit1]]+Table20[[#This Row],[Exit2]])*(Table20[[#This Row],[avg_exit_price]]-Table20[[#This Row],[AvePrice]])*100*Table20[[#This Row],[Buy or Sell]]</f>
        <v>0</v>
      </c>
      <c r="U803" s="5">
        <f>Table20[[#This Row],[Number of options]]*Table20[[#This Row],[AvePrice]]*100*Table20[[#This Row],[Buy or Sell]]</f>
        <v>700</v>
      </c>
      <c r="V803" s="8">
        <f>Table20[[#This Row],[Number of options]]-Table20[[#This Row],[Exit1]]-Table20[[#This Row],[Exit2]]</f>
        <v>2</v>
      </c>
      <c r="W803" s="30">
        <f ca="1">(Table20[[#This Row],[Expiration Date]]-TODAY())/365</f>
        <v>-0.18904109589041096</v>
      </c>
      <c r="X803" s="30" t="e">
        <f ca="1">(LN(Table20[[#This Row],[Current Price]]/Table20[[#This Row],[strike_price]]) + ($B$2 + (Table20[[#This Row],[Vol]]^2)/2)*Table20[[#This Row],[Time to expiration]]) / (Table20[[#This Row],[Vol]] * SQRT(Table20[[#This Row],[Time to expiration]]))</f>
        <v>#NUM!</v>
      </c>
      <c r="Y803" s="30" t="e">
        <f ca="1">IF(Table20[[#This Row],[Direction]]&gt;0, _xlfn.NORM.S.DIST(Table20[[#This Row],[d1]], TRUE), _xlfn.NORM.S.DIST(Table20[[#This Row],[d1]], TRUE) - 1) * Table20[[#This Row],[Buy or Sell]]</f>
        <v>#NUM!</v>
      </c>
      <c r="Z803" s="9">
        <f ca="1">Table20[[#This Row],[Remaining]]*Table20[[#This Row],[Current Price]]*100</f>
        <v>830.00000000000011</v>
      </c>
      <c r="AA803" s="22">
        <f ca="1">IFERROR(Table20[[#This Row],[nominal_exposure]]*Table20[[#This Row],[Delta]],0)</f>
        <v>0</v>
      </c>
      <c r="AB803" s="30" t="b">
        <f>IF(Table20[[#This Row],[date_purchased]]&lt;&gt;Table20[[#This Row],[Expiration Date]],FALSE,TRUE)</f>
        <v>0</v>
      </c>
      <c r="AC803" s="30" t="str">
        <f>VLOOKUP(Table20[[#This Row],[Asset]],Table19[#All],3,FALSE)</f>
        <v>Crypto</v>
      </c>
      <c r="AD803" s="30">
        <f>IF(Table20[[#This Row],[Remaining]]&lt;&gt;0,Table20[[#This Row],[Invested]]*Table20[[#This Row],[Remaining]]/Table20[[#This Row],[Number of options]],0)</f>
        <v>700</v>
      </c>
      <c r="AE803" s="30">
        <f ca="1">SUMIF(Table20[Ticker],Table20[[#This Row],[Ticker]],Table20[realized_profit])</f>
        <v>-96</v>
      </c>
      <c r="AF803" s="30" t="str">
        <f>VLOOKUP(Table20[[#This Row],[Strategy]],Table29[#All],7,FALSE)</f>
        <v>Bullish</v>
      </c>
    </row>
    <row r="804" spans="1:32">
      <c r="A804" s="180">
        <v>46101</v>
      </c>
      <c r="B804" s="21" t="e" vm="181">
        <v>#VALUE!</v>
      </c>
      <c r="C804" s="109" t="str" cm="1">
        <f t="array" aca="1" ref="C804" ca="1">_FV(Table20[[#This Row],[Asset]],"Ticker symbol",TRUE)</f>
        <v>TIC</v>
      </c>
      <c r="D804" s="26" cm="1">
        <f t="array" aca="1" ref="D804" ca="1">_FV(Table20[[#This Row],[Asset]],"Price")</f>
        <v>7.4450000000000003</v>
      </c>
      <c r="E804" s="26">
        <v>20</v>
      </c>
      <c r="F804" s="33">
        <v>2</v>
      </c>
      <c r="G804" s="34">
        <v>1</v>
      </c>
      <c r="H804" s="34" t="s">
        <v>113</v>
      </c>
      <c r="I804" s="31">
        <v>45919</v>
      </c>
      <c r="J804" s="26">
        <v>1.1100000000000001</v>
      </c>
      <c r="K804" s="24">
        <v>0.84</v>
      </c>
      <c r="L804" s="33">
        <f>VLOOKUP(Table20[[#This Row],[Strategy]],Table29[#All],6,FALSE)</f>
        <v>1</v>
      </c>
      <c r="M804" s="23"/>
      <c r="N804" s="23"/>
      <c r="O804" s="23"/>
      <c r="P804" s="23"/>
      <c r="Q804">
        <f>Table20[[#This Row],[Exit1]]*Table20[[#This Row],[ex1_price]]</f>
        <v>0</v>
      </c>
      <c r="R804">
        <f>Table20[[#This Row],[Exit2]]*Table20[[#This Row],[ex2_price]]</f>
        <v>0</v>
      </c>
      <c r="S804">
        <f>IFERROR((Table20[[#This Row],[ex2_amnt]]+Table20[[#This Row],[ex1_amnt]])/(Table20[[#This Row],[Exit2]]+Table20[[#This Row],[Exit1]]),0)</f>
        <v>0</v>
      </c>
      <c r="T804" s="5">
        <f>(Table20[[#This Row],[Exit1]]+Table20[[#This Row],[Exit2]])*(Table20[[#This Row],[avg_exit_price]]-Table20[[#This Row],[AvePrice]])*100*Table20[[#This Row],[Buy or Sell]]</f>
        <v>0</v>
      </c>
      <c r="U804" s="5">
        <f>Table20[[#This Row],[Number of options]]*Table20[[#This Row],[AvePrice]]*100*Table20[[#This Row],[Buy or Sell]]</f>
        <v>222.00000000000003</v>
      </c>
      <c r="V804" s="8">
        <f>Table20[[#This Row],[Number of options]]-Table20[[#This Row],[Exit1]]-Table20[[#This Row],[Exit2]]</f>
        <v>2</v>
      </c>
      <c r="W804" s="30">
        <f ca="1">(Table20[[#This Row],[Expiration Date]]-TODAY())/365</f>
        <v>-1.643835616438356E-2</v>
      </c>
      <c r="X804" s="30" t="e">
        <f ca="1">(LN(Table20[[#This Row],[Current Price]]/Table20[[#This Row],[strike_price]]) + ($B$2 + (Table20[[#This Row],[Vol]]^2)/2)*Table20[[#This Row],[Time to expiration]]) / (Table20[[#This Row],[Vol]] * SQRT(Table20[[#This Row],[Time to expiration]]))</f>
        <v>#NUM!</v>
      </c>
      <c r="Y804" s="30" t="e">
        <f ca="1">IF(Table20[[#This Row],[Direction]]&gt;0, _xlfn.NORM.S.DIST(Table20[[#This Row],[d1]], TRUE), _xlfn.NORM.S.DIST(Table20[[#This Row],[d1]], TRUE) - 1) * Table20[[#This Row],[Buy or Sell]]</f>
        <v>#NUM!</v>
      </c>
      <c r="Z804" s="9">
        <f ca="1">Table20[[#This Row],[Remaining]]*Table20[[#This Row],[Current Price]]*100</f>
        <v>1489</v>
      </c>
      <c r="AA804" s="22">
        <f ca="1">IFERROR(Table20[[#This Row],[nominal_exposure]]*Table20[[#This Row],[Delta]],0)</f>
        <v>0</v>
      </c>
      <c r="AB804" s="30" t="b">
        <f>IF(Table20[[#This Row],[date_purchased]]&lt;&gt;Table20[[#This Row],[Expiration Date]],FALSE,TRUE)</f>
        <v>0</v>
      </c>
      <c r="AC804" s="30" t="str">
        <f>VLOOKUP(Table20[[#This Row],[Asset]],Table19[#All],3,FALSE)</f>
        <v>Industrials</v>
      </c>
      <c r="AD804" s="30">
        <f>IF(Table20[[#This Row],[Remaining]]&lt;&gt;0,Table20[[#This Row],[Invested]]*Table20[[#This Row],[Remaining]]/Table20[[#This Row],[Number of options]],0)</f>
        <v>222.00000000000003</v>
      </c>
      <c r="AE804" s="30">
        <f ca="1">SUMIF(Table20[Ticker],Table20[[#This Row],[Ticker]],Table20[realized_profit])</f>
        <v>0</v>
      </c>
      <c r="AF804" s="30" t="str">
        <f>VLOOKUP(Table20[[#This Row],[Strategy]],Table29[#All],7,FALSE)</f>
        <v>Bullish</v>
      </c>
    </row>
    <row r="805" spans="1:32" hidden="1">
      <c r="A805" s="180">
        <v>46038</v>
      </c>
      <c r="B805" s="21" t="e" vm="163">
        <v>#VALUE!</v>
      </c>
      <c r="C805" s="109" t="str" cm="1">
        <f t="array" aca="1" ref="C805" ca="1">_FV(Table20[[#This Row],[Asset]],"Ticker symbol",TRUE)</f>
        <v>LLY</v>
      </c>
      <c r="D805" s="26" cm="1">
        <f t="array" aca="1" ref="D805" ca="1">_FV(Table20[[#This Row],[Asset]],"Price")</f>
        <v>910.82500000000005</v>
      </c>
      <c r="E805" s="26">
        <v>1000</v>
      </c>
      <c r="F805" s="33">
        <v>1</v>
      </c>
      <c r="G805" s="34">
        <v>1</v>
      </c>
      <c r="H805" s="34" t="s">
        <v>113</v>
      </c>
      <c r="I805" s="31">
        <v>45924</v>
      </c>
      <c r="J805" s="26">
        <v>5.75</v>
      </c>
      <c r="K805" s="24">
        <v>0.35</v>
      </c>
      <c r="L805" s="33">
        <f>VLOOKUP(Table20[[#This Row],[Strategy]],Table29[#All],6,FALSE)</f>
        <v>1</v>
      </c>
      <c r="M805" s="23">
        <v>1</v>
      </c>
      <c r="N805" s="23">
        <v>36.1</v>
      </c>
      <c r="O805" s="23"/>
      <c r="P805" s="23"/>
      <c r="Q805">
        <f>Table20[[#This Row],[Exit1]]*Table20[[#This Row],[ex1_price]]</f>
        <v>36.1</v>
      </c>
      <c r="R805">
        <f>Table20[[#This Row],[Exit2]]*Table20[[#This Row],[ex2_price]]</f>
        <v>0</v>
      </c>
      <c r="S805">
        <f>IFERROR((Table20[[#This Row],[ex2_amnt]]+Table20[[#This Row],[ex1_amnt]])/(Table20[[#This Row],[Exit2]]+Table20[[#This Row],[Exit1]]),0)</f>
        <v>36.1</v>
      </c>
      <c r="T805" s="5">
        <f>(Table20[[#This Row],[Exit1]]+Table20[[#This Row],[Exit2]])*(Table20[[#This Row],[avg_exit_price]]-Table20[[#This Row],[AvePrice]])*100*Table20[[#This Row],[Buy or Sell]]</f>
        <v>3035</v>
      </c>
      <c r="U805" s="5">
        <f>Table20[[#This Row],[Number of options]]*Table20[[#This Row],[AvePrice]]*100*Table20[[#This Row],[Buy or Sell]]</f>
        <v>575</v>
      </c>
      <c r="V805" s="8">
        <f>Table20[[#This Row],[Number of options]]-Table20[[#This Row],[Exit1]]-Table20[[#This Row],[Exit2]]</f>
        <v>0</v>
      </c>
      <c r="W805" s="30">
        <f ca="1">(Table20[[#This Row],[Expiration Date]]-TODAY())/365</f>
        <v>-0.18904109589041096</v>
      </c>
      <c r="X805" s="30" t="e">
        <f ca="1">(LN(Table20[[#This Row],[Current Price]]/Table20[[#This Row],[strike_price]]) + ($B$2 + (Table20[[#This Row],[Vol]]^2)/2)*Table20[[#This Row],[Time to expiration]]) / (Table20[[#This Row],[Vol]] * SQRT(Table20[[#This Row],[Time to expiration]]))</f>
        <v>#NUM!</v>
      </c>
      <c r="Y805" s="30" t="e">
        <f ca="1">IF(Table20[[#This Row],[Direction]]&gt;0, _xlfn.NORM.S.DIST(Table20[[#This Row],[d1]], TRUE), _xlfn.NORM.S.DIST(Table20[[#This Row],[d1]], TRUE) - 1) * Table20[[#This Row],[Buy or Sell]]</f>
        <v>#NUM!</v>
      </c>
      <c r="Z805" s="9">
        <f ca="1">Table20[[#This Row],[Remaining]]*Table20[[#This Row],[Current Price]]*100</f>
        <v>0</v>
      </c>
      <c r="AA805" s="22">
        <f ca="1">IFERROR(Table20[[#This Row],[nominal_exposure]]*Table20[[#This Row],[Delta]],0)</f>
        <v>0</v>
      </c>
      <c r="AB805" s="30" t="b">
        <f>IF(Table20[[#This Row],[date_purchased]]&lt;&gt;Table20[[#This Row],[Expiration Date]],FALSE,TRUE)</f>
        <v>0</v>
      </c>
      <c r="AC805" s="30" t="str">
        <f>VLOOKUP(Table20[[#This Row],[Asset]],Table19[#All],3,FALSE)</f>
        <v>Health Care</v>
      </c>
      <c r="AD805" s="30">
        <f>IF(Table20[[#This Row],[Remaining]]&lt;&gt;0,Table20[[#This Row],[Invested]]*Table20[[#This Row],[Remaining]]/Table20[[#This Row],[Number of options]],0)</f>
        <v>0</v>
      </c>
      <c r="AE805" s="30">
        <f ca="1">SUMIF(Table20[Ticker],Table20[[#This Row],[Ticker]],Table20[realized_profit])</f>
        <v>8506.9999999999982</v>
      </c>
      <c r="AF805" s="30" t="str">
        <f>VLOOKUP(Table20[[#This Row],[Strategy]],Table29[#All],7,FALSE)</f>
        <v>Bullish</v>
      </c>
    </row>
    <row r="806" spans="1:32">
      <c r="A806" s="180">
        <v>46038</v>
      </c>
      <c r="B806" s="21" t="e" vm="62">
        <v>#VALUE!</v>
      </c>
      <c r="C806" s="109" t="str" cm="1">
        <f t="array" aca="1" ref="C806" ca="1">_FV(Table20[[#This Row],[Asset]],"Ticker symbol",TRUE)</f>
        <v>EQT</v>
      </c>
      <c r="D806" s="26" cm="1">
        <f t="array" aca="1" ref="D806" ca="1">_FV(Table20[[#This Row],[Asset]],"Price")</f>
        <v>66.7</v>
      </c>
      <c r="E806" s="26">
        <v>60</v>
      </c>
      <c r="F806" s="33">
        <v>1</v>
      </c>
      <c r="G806" s="34">
        <v>1</v>
      </c>
      <c r="H806" s="34" t="s">
        <v>113</v>
      </c>
      <c r="I806" s="31">
        <v>45925</v>
      </c>
      <c r="J806" s="26">
        <v>2.48</v>
      </c>
      <c r="K806" s="24">
        <v>0.4</v>
      </c>
      <c r="L806" s="33">
        <f>VLOOKUP(Table20[[#This Row],[Strategy]],Table29[#All],6,FALSE)</f>
        <v>1</v>
      </c>
      <c r="M806" s="23"/>
      <c r="N806" s="23"/>
      <c r="O806" s="23"/>
      <c r="P806" s="23"/>
      <c r="Q806">
        <f>Table20[[#This Row],[Exit1]]*Table20[[#This Row],[ex1_price]]</f>
        <v>0</v>
      </c>
      <c r="R806">
        <f>Table20[[#This Row],[Exit2]]*Table20[[#This Row],[ex2_price]]</f>
        <v>0</v>
      </c>
      <c r="S806">
        <f>IFERROR((Table20[[#This Row],[ex2_amnt]]+Table20[[#This Row],[ex1_amnt]])/(Table20[[#This Row],[Exit2]]+Table20[[#This Row],[Exit1]]),0)</f>
        <v>0</v>
      </c>
      <c r="T806" s="5">
        <f>(Table20[[#This Row],[Exit1]]+Table20[[#This Row],[Exit2]])*(Table20[[#This Row],[avg_exit_price]]-Table20[[#This Row],[AvePrice]])*100*Table20[[#This Row],[Buy or Sell]]</f>
        <v>0</v>
      </c>
      <c r="U806" s="5">
        <f>Table20[[#This Row],[Number of options]]*Table20[[#This Row],[AvePrice]]*100*Table20[[#This Row],[Buy or Sell]]</f>
        <v>248</v>
      </c>
      <c r="V806" s="8">
        <f>Table20[[#This Row],[Number of options]]-Table20[[#This Row],[Exit1]]-Table20[[#This Row],[Exit2]]</f>
        <v>1</v>
      </c>
      <c r="W806" s="30">
        <f ca="1">(Table20[[#This Row],[Expiration Date]]-TODAY())/365</f>
        <v>-0.18904109589041096</v>
      </c>
      <c r="X806" s="30" t="e">
        <f ca="1">(LN(Table20[[#This Row],[Current Price]]/Table20[[#This Row],[strike_price]]) + ($B$2 + (Table20[[#This Row],[Vol]]^2)/2)*Table20[[#This Row],[Time to expiration]]) / (Table20[[#This Row],[Vol]] * SQRT(Table20[[#This Row],[Time to expiration]]))</f>
        <v>#NUM!</v>
      </c>
      <c r="Y806" s="30" t="e">
        <f ca="1">IF(Table20[[#This Row],[Direction]]&gt;0, _xlfn.NORM.S.DIST(Table20[[#This Row],[d1]], TRUE), _xlfn.NORM.S.DIST(Table20[[#This Row],[d1]], TRUE) - 1) * Table20[[#This Row],[Buy or Sell]]</f>
        <v>#NUM!</v>
      </c>
      <c r="Z806" s="9">
        <f ca="1">Table20[[#This Row],[Remaining]]*Table20[[#This Row],[Current Price]]*100</f>
        <v>6670</v>
      </c>
      <c r="AA806" s="22">
        <f ca="1">IFERROR(Table20[[#This Row],[nominal_exposure]]*Table20[[#This Row],[Delta]],0)</f>
        <v>0</v>
      </c>
      <c r="AB806" s="30" t="b">
        <f>IF(Table20[[#This Row],[date_purchased]]&lt;&gt;Table20[[#This Row],[Expiration Date]],FALSE,TRUE)</f>
        <v>0</v>
      </c>
      <c r="AC806" s="30" t="str">
        <f>VLOOKUP(Table20[[#This Row],[Asset]],Table19[#All],3,FALSE)</f>
        <v>Energy</v>
      </c>
      <c r="AD806" s="30">
        <f>IF(Table20[[#This Row],[Remaining]]&lt;&gt;0,Table20[[#This Row],[Invested]]*Table20[[#This Row],[Remaining]]/Table20[[#This Row],[Number of options]],0)</f>
        <v>248</v>
      </c>
      <c r="AE806" s="30">
        <f ca="1">SUMIF(Table20[Ticker],Table20[[#This Row],[Ticker]],Table20[realized_profit])</f>
        <v>0</v>
      </c>
      <c r="AF806" s="30" t="str">
        <f>VLOOKUP(Table20[[#This Row],[Strategy]],Table29[#All],7,FALSE)</f>
        <v>Bullish</v>
      </c>
    </row>
    <row r="807" spans="1:32" hidden="1">
      <c r="A807" s="180">
        <v>45961</v>
      </c>
      <c r="B807" s="21" t="e" vm="96">
        <v>#VALUE!</v>
      </c>
      <c r="C807" s="109" t="str" cm="1">
        <f t="array" aca="1" ref="C807" ca="1">_FV(Table20[[#This Row],[Asset]],"Ticker symbol",TRUE)</f>
        <v>SPY</v>
      </c>
      <c r="D807" s="26" cm="1">
        <f t="array" aca="1" ref="D807" ca="1">_FV(Table20[[#This Row],[Asset]],"Price")</f>
        <v>658.59</v>
      </c>
      <c r="E807" s="26">
        <v>640</v>
      </c>
      <c r="F807" s="33">
        <v>3</v>
      </c>
      <c r="G807" s="34">
        <v>-1</v>
      </c>
      <c r="H807" s="34" t="s">
        <v>112</v>
      </c>
      <c r="I807" s="31">
        <v>45926</v>
      </c>
      <c r="J807" s="26">
        <v>4.3899999999999997</v>
      </c>
      <c r="K807" s="24">
        <v>0.2</v>
      </c>
      <c r="L807" s="33">
        <f>VLOOKUP(Table20[[#This Row],[Strategy]],Table29[#All],6,FALSE)</f>
        <v>-1</v>
      </c>
      <c r="M807" s="23">
        <v>3</v>
      </c>
      <c r="N807" s="23">
        <v>7.15</v>
      </c>
      <c r="O807" s="23"/>
      <c r="P807" s="23"/>
      <c r="Q807">
        <f>Table20[[#This Row],[Exit1]]*Table20[[#This Row],[ex1_price]]</f>
        <v>21.450000000000003</v>
      </c>
      <c r="R807">
        <f>Table20[[#This Row],[Exit2]]*Table20[[#This Row],[ex2_price]]</f>
        <v>0</v>
      </c>
      <c r="S807">
        <f>IFERROR((Table20[[#This Row],[ex2_amnt]]+Table20[[#This Row],[ex1_amnt]])/(Table20[[#This Row],[Exit2]]+Table20[[#This Row],[Exit1]]),0)</f>
        <v>7.1500000000000012</v>
      </c>
      <c r="T807" s="5">
        <f>(Table20[[#This Row],[Exit1]]+Table20[[#This Row],[Exit2]])*(Table20[[#This Row],[avg_exit_price]]-Table20[[#This Row],[AvePrice]])*100*Table20[[#This Row],[Buy or Sell]]</f>
        <v>-828.00000000000045</v>
      </c>
      <c r="U807" s="5">
        <f>Table20[[#This Row],[Number of options]]*Table20[[#This Row],[AvePrice]]*100*Table20[[#This Row],[Buy or Sell]]</f>
        <v>-1316.9999999999998</v>
      </c>
      <c r="V807" s="8">
        <f>Table20[[#This Row],[Number of options]]-Table20[[#This Row],[Exit1]]-Table20[[#This Row],[Exit2]]</f>
        <v>0</v>
      </c>
      <c r="W807" s="30">
        <f ca="1">(Table20[[#This Row],[Expiration Date]]-TODAY())/365</f>
        <v>-0.4</v>
      </c>
      <c r="X807" s="30" t="e">
        <f ca="1">(LN(Table20[[#This Row],[Current Price]]/Table20[[#This Row],[strike_price]]) + ($B$2 + (Table20[[#This Row],[Vol]]^2)/2)*Table20[[#This Row],[Time to expiration]]) / (Table20[[#This Row],[Vol]] * SQRT(Table20[[#This Row],[Time to expiration]]))</f>
        <v>#NUM!</v>
      </c>
      <c r="Y807" s="30" t="e">
        <f ca="1">IF(Table20[[#This Row],[Direction]]&gt;0, _xlfn.NORM.S.DIST(Table20[[#This Row],[d1]], TRUE), _xlfn.NORM.S.DIST(Table20[[#This Row],[d1]], TRUE) - 1) * Table20[[#This Row],[Buy or Sell]]</f>
        <v>#NUM!</v>
      </c>
      <c r="Z807" s="9">
        <f ca="1">Table20[[#This Row],[Remaining]]*Table20[[#This Row],[Current Price]]*100</f>
        <v>0</v>
      </c>
      <c r="AA807" s="22">
        <f ca="1">IFERROR(Table20[[#This Row],[nominal_exposure]]*Table20[[#This Row],[Delta]],0)</f>
        <v>0</v>
      </c>
      <c r="AB807" s="30" t="b">
        <f>IF(Table20[[#This Row],[date_purchased]]&lt;&gt;Table20[[#This Row],[Expiration Date]],FALSE,TRUE)</f>
        <v>0</v>
      </c>
      <c r="AC807" s="30" t="str">
        <f>VLOOKUP(Table20[[#This Row],[Asset]],Table19[#All],3,FALSE)</f>
        <v>Market</v>
      </c>
      <c r="AD807" s="30">
        <f>IF(Table20[[#This Row],[Remaining]]&lt;&gt;0,Table20[[#This Row],[Invested]]*Table20[[#This Row],[Remaining]]/Table20[[#This Row],[Number of options]],0)</f>
        <v>0</v>
      </c>
      <c r="AE807" s="30">
        <f ca="1">SUMIF(Table20[Ticker],Table20[[#This Row],[Ticker]],Table20[realized_profit])</f>
        <v>-5077</v>
      </c>
      <c r="AF807" s="30" t="str">
        <f>VLOOKUP(Table20[[#This Row],[Strategy]],Table29[#All],7,FALSE)</f>
        <v>Bearish</v>
      </c>
    </row>
    <row r="808" spans="1:32" hidden="1">
      <c r="A808" s="180">
        <v>45961</v>
      </c>
      <c r="B808" s="21" t="e" vm="96">
        <v>#VALUE!</v>
      </c>
      <c r="C808" s="109" t="str" cm="1">
        <f t="array" aca="1" ref="C808" ca="1">_FV(Table20[[#This Row],[Asset]],"Ticker symbol",TRUE)</f>
        <v>SPY</v>
      </c>
      <c r="D808" s="26" cm="1">
        <f t="array" aca="1" ref="D808" ca="1">_FV(Table20[[#This Row],[Asset]],"Price")</f>
        <v>658.59</v>
      </c>
      <c r="E808" s="26">
        <v>650</v>
      </c>
      <c r="F808" s="33">
        <v>3</v>
      </c>
      <c r="G808" s="34">
        <v>1</v>
      </c>
      <c r="H808" s="34" t="s">
        <v>112</v>
      </c>
      <c r="I808" s="31">
        <v>45926</v>
      </c>
      <c r="J808" s="26">
        <v>6.2</v>
      </c>
      <c r="K808" s="24">
        <v>0.2</v>
      </c>
      <c r="L808" s="33">
        <f>VLOOKUP(Table20[[#This Row],[Strategy]],Table29[#All],6,FALSE)</f>
        <v>-1</v>
      </c>
      <c r="M808" s="23">
        <v>3</v>
      </c>
      <c r="N808" s="23">
        <v>9.9</v>
      </c>
      <c r="O808" s="23"/>
      <c r="P808" s="23"/>
      <c r="Q808">
        <f>Table20[[#This Row],[Exit1]]*Table20[[#This Row],[ex1_price]]</f>
        <v>29.700000000000003</v>
      </c>
      <c r="R808">
        <f>Table20[[#This Row],[Exit2]]*Table20[[#This Row],[ex2_price]]</f>
        <v>0</v>
      </c>
      <c r="S808">
        <f>IFERROR((Table20[[#This Row],[ex2_amnt]]+Table20[[#This Row],[ex1_amnt]])/(Table20[[#This Row],[Exit2]]+Table20[[#This Row],[Exit1]]),0)</f>
        <v>9.9</v>
      </c>
      <c r="T808" s="5">
        <f>(Table20[[#This Row],[Exit1]]+Table20[[#This Row],[Exit2]])*(Table20[[#This Row],[avg_exit_price]]-Table20[[#This Row],[AvePrice]])*100*Table20[[#This Row],[Buy or Sell]]</f>
        <v>1110.0000000000002</v>
      </c>
      <c r="U808" s="5">
        <f>Table20[[#This Row],[Number of options]]*Table20[[#This Row],[AvePrice]]*100*Table20[[#This Row],[Buy or Sell]]</f>
        <v>1860.0000000000002</v>
      </c>
      <c r="V808" s="8">
        <f>Table20[[#This Row],[Number of options]]-Table20[[#This Row],[Exit1]]-Table20[[#This Row],[Exit2]]</f>
        <v>0</v>
      </c>
      <c r="W808" s="30">
        <f ca="1">(Table20[[#This Row],[Expiration Date]]-TODAY())/365</f>
        <v>-0.4</v>
      </c>
      <c r="X808" s="30" t="e">
        <f ca="1">(LN(Table20[[#This Row],[Current Price]]/Table20[[#This Row],[strike_price]]) + ($B$2 + (Table20[[#This Row],[Vol]]^2)/2)*Table20[[#This Row],[Time to expiration]]) / (Table20[[#This Row],[Vol]] * SQRT(Table20[[#This Row],[Time to expiration]]))</f>
        <v>#NUM!</v>
      </c>
      <c r="Y808" s="30" t="e">
        <f ca="1">IF(Table20[[#This Row],[Direction]]&gt;0, _xlfn.NORM.S.DIST(Table20[[#This Row],[d1]], TRUE), _xlfn.NORM.S.DIST(Table20[[#This Row],[d1]], TRUE) - 1) * Table20[[#This Row],[Buy or Sell]]</f>
        <v>#NUM!</v>
      </c>
      <c r="Z808" s="9">
        <f ca="1">Table20[[#This Row],[Remaining]]*Table20[[#This Row],[Current Price]]*100</f>
        <v>0</v>
      </c>
      <c r="AA808" s="22">
        <f ca="1">IFERROR(Table20[[#This Row],[nominal_exposure]]*Table20[[#This Row],[Delta]],0)</f>
        <v>0</v>
      </c>
      <c r="AB808" s="30" t="b">
        <f>IF(Table20[[#This Row],[date_purchased]]&lt;&gt;Table20[[#This Row],[Expiration Date]],FALSE,TRUE)</f>
        <v>0</v>
      </c>
      <c r="AC808" s="30" t="str">
        <f>VLOOKUP(Table20[[#This Row],[Asset]],Table19[#All],3,FALSE)</f>
        <v>Market</v>
      </c>
      <c r="AD808" s="30">
        <f>IF(Table20[[#This Row],[Remaining]]&lt;&gt;0,Table20[[#This Row],[Invested]]*Table20[[#This Row],[Remaining]]/Table20[[#This Row],[Number of options]],0)</f>
        <v>0</v>
      </c>
      <c r="AE808" s="30">
        <f ca="1">SUMIF(Table20[Ticker],Table20[[#This Row],[Ticker]],Table20[realized_profit])</f>
        <v>-5077</v>
      </c>
      <c r="AF808" s="30" t="str">
        <f>VLOOKUP(Table20[[#This Row],[Strategy]],Table29[#All],7,FALSE)</f>
        <v>Bearish</v>
      </c>
    </row>
    <row r="809" spans="1:32" hidden="1">
      <c r="A809" s="180">
        <v>45968</v>
      </c>
      <c r="B809" s="21" t="e" vm="84">
        <v>#VALUE!</v>
      </c>
      <c r="C809" s="109" t="str" cm="1">
        <f t="array" aca="1" ref="C809" ca="1">_FV(Table20[[#This Row],[Asset]],"Ticker symbol",TRUE)</f>
        <v>COIN</v>
      </c>
      <c r="D809" s="26" cm="1">
        <f t="array" aca="1" ref="D809" ca="1">_FV(Table20[[#This Row],[Asset]],"Price")</f>
        <v>188</v>
      </c>
      <c r="E809" s="26">
        <v>500</v>
      </c>
      <c r="F809" s="33">
        <v>1</v>
      </c>
      <c r="G809" s="34">
        <v>-1</v>
      </c>
      <c r="H809" s="34" t="s">
        <v>115</v>
      </c>
      <c r="I809" s="31">
        <v>45929</v>
      </c>
      <c r="J809" s="26">
        <v>2.2200000000000002</v>
      </c>
      <c r="K809" s="24">
        <v>0.86</v>
      </c>
      <c r="L809" s="33">
        <f>VLOOKUP(Table20[[#This Row],[Strategy]],Table29[#All],6,FALSE)</f>
        <v>1</v>
      </c>
      <c r="M809" s="23">
        <v>1</v>
      </c>
      <c r="N809" s="23">
        <v>1.19</v>
      </c>
      <c r="O809" s="23"/>
      <c r="P809" s="23"/>
      <c r="Q809">
        <f>Table20[[#This Row],[Exit1]]*Table20[[#This Row],[ex1_price]]</f>
        <v>1.19</v>
      </c>
      <c r="R809">
        <f>Table20[[#This Row],[Exit2]]*Table20[[#This Row],[ex2_price]]</f>
        <v>0</v>
      </c>
      <c r="S809">
        <f>IFERROR((Table20[[#This Row],[ex2_amnt]]+Table20[[#This Row],[ex1_amnt]])/(Table20[[#This Row],[Exit2]]+Table20[[#This Row],[Exit1]]),0)</f>
        <v>1.19</v>
      </c>
      <c r="T809" s="5">
        <f>(Table20[[#This Row],[Exit1]]+Table20[[#This Row],[Exit2]])*(Table20[[#This Row],[avg_exit_price]]-Table20[[#This Row],[AvePrice]])*100*Table20[[#This Row],[Buy or Sell]]</f>
        <v>103.00000000000003</v>
      </c>
      <c r="U809" s="5">
        <f>Table20[[#This Row],[Number of options]]*Table20[[#This Row],[AvePrice]]*100*Table20[[#This Row],[Buy or Sell]]</f>
        <v>-222.00000000000003</v>
      </c>
      <c r="V809" s="8">
        <f>Table20[[#This Row],[Number of options]]-Table20[[#This Row],[Exit1]]-Table20[[#This Row],[Exit2]]</f>
        <v>0</v>
      </c>
      <c r="W809" s="30">
        <f ca="1">(Table20[[#This Row],[Expiration Date]]-TODAY())/365</f>
        <v>-0.38082191780821917</v>
      </c>
      <c r="X809" s="30" t="e">
        <f ca="1">(LN(Table20[[#This Row],[Current Price]]/Table20[[#This Row],[strike_price]]) + ($B$2 + (Table20[[#This Row],[Vol]]^2)/2)*Table20[[#This Row],[Time to expiration]]) / (Table20[[#This Row],[Vol]] * SQRT(Table20[[#This Row],[Time to expiration]]))</f>
        <v>#NUM!</v>
      </c>
      <c r="Y809" s="30" t="e">
        <f ca="1">IF(Table20[[#This Row],[Direction]]&gt;0, _xlfn.NORM.S.DIST(Table20[[#This Row],[d1]], TRUE), _xlfn.NORM.S.DIST(Table20[[#This Row],[d1]], TRUE) - 1) * Table20[[#This Row],[Buy or Sell]]</f>
        <v>#NUM!</v>
      </c>
      <c r="Z809" s="9">
        <f ca="1">Table20[[#This Row],[Remaining]]*Table20[[#This Row],[Current Price]]*100</f>
        <v>0</v>
      </c>
      <c r="AA809" s="22">
        <f ca="1">IFERROR(Table20[[#This Row],[nominal_exposure]]*Table20[[#This Row],[Delta]],0)</f>
        <v>0</v>
      </c>
      <c r="AB809" s="30" t="b">
        <f>IF(Table20[[#This Row],[date_purchased]]&lt;&gt;Table20[[#This Row],[Expiration Date]],FALSE,TRUE)</f>
        <v>0</v>
      </c>
      <c r="AC809" s="30" t="str">
        <f>VLOOKUP(Table20[[#This Row],[Asset]],Table19[#All],3,FALSE)</f>
        <v>Financials</v>
      </c>
      <c r="AD809" s="30">
        <f>IF(Table20[[#This Row],[Remaining]]&lt;&gt;0,Table20[[#This Row],[Invested]]*Table20[[#This Row],[Remaining]]/Table20[[#This Row],[Number of options]],0)</f>
        <v>0</v>
      </c>
      <c r="AE809" s="30">
        <f ca="1">SUMIF(Table20[Ticker],Table20[[#This Row],[Ticker]],Table20[realized_profit])</f>
        <v>4035</v>
      </c>
      <c r="AF809" s="30" t="str">
        <f>VLOOKUP(Table20[[#This Row],[Strategy]],Table29[#All],7,FALSE)</f>
        <v>Bullish</v>
      </c>
    </row>
    <row r="810" spans="1:32" hidden="1">
      <c r="A810" s="180">
        <v>46010</v>
      </c>
      <c r="B810" s="21" t="e" vm="84">
        <v>#VALUE!</v>
      </c>
      <c r="C810" s="109" t="str" cm="1">
        <f t="array" aca="1" ref="C810" ca="1">_FV(Table20[[#This Row],[Asset]],"Ticker symbol",TRUE)</f>
        <v>COIN</v>
      </c>
      <c r="D810" s="26" cm="1">
        <f t="array" aca="1" ref="D810" ca="1">_FV(Table20[[#This Row],[Asset]],"Price")</f>
        <v>188</v>
      </c>
      <c r="E810" s="26">
        <v>500</v>
      </c>
      <c r="F810" s="33">
        <v>1</v>
      </c>
      <c r="G810" s="34">
        <v>1</v>
      </c>
      <c r="H810" s="34" t="s">
        <v>115</v>
      </c>
      <c r="I810" s="31">
        <v>45929</v>
      </c>
      <c r="J810" s="26">
        <v>6.5</v>
      </c>
      <c r="K810" s="24">
        <v>0.73</v>
      </c>
      <c r="L810" s="33">
        <f>VLOOKUP(Table20[[#This Row],[Strategy]],Table29[#All],6,FALSE)</f>
        <v>1</v>
      </c>
      <c r="M810" s="23">
        <v>1</v>
      </c>
      <c r="N810" s="23">
        <v>6</v>
      </c>
      <c r="O810" s="23"/>
      <c r="P810" s="23"/>
      <c r="Q810">
        <f>Table20[[#This Row],[Exit1]]*Table20[[#This Row],[ex1_price]]</f>
        <v>6</v>
      </c>
      <c r="R810">
        <f>Table20[[#This Row],[Exit2]]*Table20[[#This Row],[ex2_price]]</f>
        <v>0</v>
      </c>
      <c r="S810">
        <f>IFERROR((Table20[[#This Row],[ex2_amnt]]+Table20[[#This Row],[ex1_amnt]])/(Table20[[#This Row],[Exit2]]+Table20[[#This Row],[Exit1]]),0)</f>
        <v>6</v>
      </c>
      <c r="T810" s="5">
        <f>(Table20[[#This Row],[Exit1]]+Table20[[#This Row],[Exit2]])*(Table20[[#This Row],[avg_exit_price]]-Table20[[#This Row],[AvePrice]])*100*Table20[[#This Row],[Buy or Sell]]</f>
        <v>-50</v>
      </c>
      <c r="U810" s="5">
        <f>Table20[[#This Row],[Number of options]]*Table20[[#This Row],[AvePrice]]*100*Table20[[#This Row],[Buy or Sell]]</f>
        <v>650</v>
      </c>
      <c r="V810" s="8">
        <f>Table20[[#This Row],[Number of options]]-Table20[[#This Row],[Exit1]]-Table20[[#This Row],[Exit2]]</f>
        <v>0</v>
      </c>
      <c r="W810" s="30">
        <f ca="1">(Table20[[#This Row],[Expiration Date]]-TODAY())/365</f>
        <v>-0.26575342465753427</v>
      </c>
      <c r="X810" s="30" t="e">
        <f ca="1">(LN(Table20[[#This Row],[Current Price]]/Table20[[#This Row],[strike_price]]) + ($B$2 + (Table20[[#This Row],[Vol]]^2)/2)*Table20[[#This Row],[Time to expiration]]) / (Table20[[#This Row],[Vol]] * SQRT(Table20[[#This Row],[Time to expiration]]))</f>
        <v>#NUM!</v>
      </c>
      <c r="Y810" s="30" t="e">
        <f ca="1">IF(Table20[[#This Row],[Direction]]&gt;0, _xlfn.NORM.S.DIST(Table20[[#This Row],[d1]], TRUE), _xlfn.NORM.S.DIST(Table20[[#This Row],[d1]], TRUE) - 1) * Table20[[#This Row],[Buy or Sell]]</f>
        <v>#NUM!</v>
      </c>
      <c r="Z810" s="9">
        <f ca="1">Table20[[#This Row],[Remaining]]*Table20[[#This Row],[Current Price]]*100</f>
        <v>0</v>
      </c>
      <c r="AA810" s="22">
        <f ca="1">IFERROR(Table20[[#This Row],[nominal_exposure]]*Table20[[#This Row],[Delta]],0)</f>
        <v>0</v>
      </c>
      <c r="AB810" s="30" t="b">
        <f>IF(Table20[[#This Row],[date_purchased]]&lt;&gt;Table20[[#This Row],[Expiration Date]],FALSE,TRUE)</f>
        <v>0</v>
      </c>
      <c r="AC810" s="30" t="str">
        <f>VLOOKUP(Table20[[#This Row],[Asset]],Table19[#All],3,FALSE)</f>
        <v>Financials</v>
      </c>
      <c r="AD810" s="30">
        <f>IF(Table20[[#This Row],[Remaining]]&lt;&gt;0,Table20[[#This Row],[Invested]]*Table20[[#This Row],[Remaining]]/Table20[[#This Row],[Number of options]],0)</f>
        <v>0</v>
      </c>
      <c r="AE810" s="30">
        <f ca="1">SUMIF(Table20[Ticker],Table20[[#This Row],[Ticker]],Table20[realized_profit])</f>
        <v>4035</v>
      </c>
      <c r="AF810" s="30" t="str">
        <f>VLOOKUP(Table20[[#This Row],[Strategy]],Table29[#All],7,FALSE)</f>
        <v>Bullish</v>
      </c>
    </row>
    <row r="811" spans="1:32" hidden="1">
      <c r="A811" s="180">
        <v>46038</v>
      </c>
      <c r="B811" s="21" t="e" vm="24">
        <v>#VALUE!</v>
      </c>
      <c r="C811" s="109" t="str" cm="1">
        <f t="array" aca="1" ref="C811" ca="1">_FV(Table20[[#This Row],[Asset]],"Ticker symbol",TRUE)</f>
        <v>QCOM</v>
      </c>
      <c r="D811" s="26" cm="1">
        <f t="array" aca="1" ref="D811" ca="1">_FV(Table20[[#This Row],[Asset]],"Price")</f>
        <v>131.63499999999999</v>
      </c>
      <c r="E811" s="26">
        <v>200</v>
      </c>
      <c r="F811" s="33">
        <v>2</v>
      </c>
      <c r="G811" s="34">
        <v>1</v>
      </c>
      <c r="H811" s="34" t="s">
        <v>113</v>
      </c>
      <c r="I811" s="31">
        <v>45931</v>
      </c>
      <c r="J811" s="26">
        <v>2.5099999999999998</v>
      </c>
      <c r="K811" s="24">
        <v>0.38</v>
      </c>
      <c r="L811" s="33">
        <f>VLOOKUP(Table20[[#This Row],[Strategy]],Table29[#All],6,FALSE)</f>
        <v>1</v>
      </c>
      <c r="M811" s="23">
        <v>2</v>
      </c>
      <c r="N811" s="23">
        <v>6.5</v>
      </c>
      <c r="O811" s="23"/>
      <c r="P811" s="23"/>
      <c r="Q811">
        <f>Table20[[#This Row],[Exit1]]*Table20[[#This Row],[ex1_price]]</f>
        <v>13</v>
      </c>
      <c r="R811">
        <f>Table20[[#This Row],[Exit2]]*Table20[[#This Row],[ex2_price]]</f>
        <v>0</v>
      </c>
      <c r="S811">
        <f>IFERROR((Table20[[#This Row],[ex2_amnt]]+Table20[[#This Row],[ex1_amnt]])/(Table20[[#This Row],[Exit2]]+Table20[[#This Row],[Exit1]]),0)</f>
        <v>6.5</v>
      </c>
      <c r="T811" s="5">
        <f>(Table20[[#This Row],[Exit1]]+Table20[[#This Row],[Exit2]])*(Table20[[#This Row],[avg_exit_price]]-Table20[[#This Row],[AvePrice]])*100*Table20[[#This Row],[Buy or Sell]]</f>
        <v>798</v>
      </c>
      <c r="U811" s="5">
        <f>Table20[[#This Row],[Number of options]]*Table20[[#This Row],[AvePrice]]*100*Table20[[#This Row],[Buy or Sell]]</f>
        <v>501.99999999999994</v>
      </c>
      <c r="V811" s="8">
        <f>Table20[[#This Row],[Number of options]]-Table20[[#This Row],[Exit1]]-Table20[[#This Row],[Exit2]]</f>
        <v>0</v>
      </c>
      <c r="W811" s="30">
        <f ca="1">(Table20[[#This Row],[Expiration Date]]-TODAY())/365</f>
        <v>-0.18904109589041096</v>
      </c>
      <c r="X811" s="30" t="e">
        <f ca="1">(LN(Table20[[#This Row],[Current Price]]/Table20[[#This Row],[strike_price]]) + ($B$2 + (Table20[[#This Row],[Vol]]^2)/2)*Table20[[#This Row],[Time to expiration]]) / (Table20[[#This Row],[Vol]] * SQRT(Table20[[#This Row],[Time to expiration]]))</f>
        <v>#NUM!</v>
      </c>
      <c r="Y811" s="30" t="e">
        <f ca="1">IF(Table20[[#This Row],[Direction]]&gt;0, _xlfn.NORM.S.DIST(Table20[[#This Row],[d1]], TRUE), _xlfn.NORM.S.DIST(Table20[[#This Row],[d1]], TRUE) - 1) * Table20[[#This Row],[Buy or Sell]]</f>
        <v>#NUM!</v>
      </c>
      <c r="Z811" s="9">
        <f ca="1">Table20[[#This Row],[Remaining]]*Table20[[#This Row],[Current Price]]*100</f>
        <v>0</v>
      </c>
      <c r="AA811" s="22">
        <f ca="1">IFERROR(Table20[[#This Row],[nominal_exposure]]*Table20[[#This Row],[Delta]],0)</f>
        <v>0</v>
      </c>
      <c r="AB811" s="30" t="b">
        <f>IF(Table20[[#This Row],[date_purchased]]&lt;&gt;Table20[[#This Row],[Expiration Date]],FALSE,TRUE)</f>
        <v>0</v>
      </c>
      <c r="AC811" s="30" t="str">
        <f>VLOOKUP(Table20[[#This Row],[Asset]],Table19[#All],3,FALSE)</f>
        <v>AI</v>
      </c>
      <c r="AD811" s="30">
        <f>IF(Table20[[#This Row],[Remaining]]&lt;&gt;0,Table20[[#This Row],[Invested]]*Table20[[#This Row],[Remaining]]/Table20[[#This Row],[Number of options]],0)</f>
        <v>0</v>
      </c>
      <c r="AE811" s="30">
        <f ca="1">SUMIF(Table20[Ticker],Table20[[#This Row],[Ticker]],Table20[realized_profit])</f>
        <v>-2175.9999999999995</v>
      </c>
      <c r="AF811" s="30" t="str">
        <f>VLOOKUP(Table20[[#This Row],[Strategy]],Table29[#All],7,FALSE)</f>
        <v>Bullish</v>
      </c>
    </row>
    <row r="812" spans="1:32" hidden="1">
      <c r="A812" s="180">
        <v>45961</v>
      </c>
      <c r="B812" s="21" t="e" vm="148">
        <v>#VALUE!</v>
      </c>
      <c r="C812" s="109" t="str" cm="1">
        <f t="array" aca="1" ref="C812" ca="1">_FV(Table20[[#This Row],[Asset]],"Ticker symbol",TRUE)</f>
        <v>META</v>
      </c>
      <c r="D812" s="26" cm="1">
        <f t="array" aca="1" ref="D812" ca="1">_FV(Table20[[#This Row],[Asset]],"Price")</f>
        <v>599.32000000000005</v>
      </c>
      <c r="E812" s="26">
        <v>850</v>
      </c>
      <c r="F812" s="33">
        <v>2</v>
      </c>
      <c r="G812" s="34">
        <v>-1</v>
      </c>
      <c r="H812" s="34" t="s">
        <v>115</v>
      </c>
      <c r="I812" s="31">
        <v>45932</v>
      </c>
      <c r="J812" s="26">
        <v>4.6500000000000004</v>
      </c>
      <c r="K812" s="24">
        <v>0.5</v>
      </c>
      <c r="L812" s="33">
        <f>VLOOKUP(Table20[[#This Row],[Strategy]],Table29[#All],6,FALSE)</f>
        <v>1</v>
      </c>
      <c r="M812" s="23">
        <v>2</v>
      </c>
      <c r="N812" s="23">
        <v>0.02</v>
      </c>
      <c r="O812" s="23"/>
      <c r="P812" s="23"/>
      <c r="Q812">
        <f>Table20[[#This Row],[Exit1]]*Table20[[#This Row],[ex1_price]]</f>
        <v>0.04</v>
      </c>
      <c r="R812">
        <f>Table20[[#This Row],[Exit2]]*Table20[[#This Row],[ex2_price]]</f>
        <v>0</v>
      </c>
      <c r="S812">
        <f>IFERROR((Table20[[#This Row],[ex2_amnt]]+Table20[[#This Row],[ex1_amnt]])/(Table20[[#This Row],[Exit2]]+Table20[[#This Row],[Exit1]]),0)</f>
        <v>0.02</v>
      </c>
      <c r="T812" s="5">
        <f>(Table20[[#This Row],[Exit1]]+Table20[[#This Row],[Exit2]])*(Table20[[#This Row],[avg_exit_price]]-Table20[[#This Row],[AvePrice]])*100*Table20[[#This Row],[Buy or Sell]]</f>
        <v>926.00000000000011</v>
      </c>
      <c r="U812" s="5">
        <f>Table20[[#This Row],[Number of options]]*Table20[[#This Row],[AvePrice]]*100*Table20[[#This Row],[Buy or Sell]]</f>
        <v>-930.00000000000011</v>
      </c>
      <c r="V812" s="8">
        <f>Table20[[#This Row],[Number of options]]-Table20[[#This Row],[Exit1]]-Table20[[#This Row],[Exit2]]</f>
        <v>0</v>
      </c>
      <c r="W812" s="30">
        <f ca="1">(Table20[[#This Row],[Expiration Date]]-TODAY())/365</f>
        <v>-0.4</v>
      </c>
      <c r="X812" s="30" t="e">
        <f ca="1">(LN(Table20[[#This Row],[Current Price]]/Table20[[#This Row],[strike_price]]) + ($B$2 + (Table20[[#This Row],[Vol]]^2)/2)*Table20[[#This Row],[Time to expiration]]) / (Table20[[#This Row],[Vol]] * SQRT(Table20[[#This Row],[Time to expiration]]))</f>
        <v>#NUM!</v>
      </c>
      <c r="Y812" s="30" t="e">
        <f ca="1">IF(Table20[[#This Row],[Direction]]&gt;0, _xlfn.NORM.S.DIST(Table20[[#This Row],[d1]], TRUE), _xlfn.NORM.S.DIST(Table20[[#This Row],[d1]], TRUE) - 1) * Table20[[#This Row],[Buy or Sell]]</f>
        <v>#NUM!</v>
      </c>
      <c r="Z812" s="9">
        <f ca="1">Table20[[#This Row],[Remaining]]*Table20[[#This Row],[Current Price]]*100</f>
        <v>0</v>
      </c>
      <c r="AA812" s="22">
        <f ca="1">IFERROR(Table20[[#This Row],[nominal_exposure]]*Table20[[#This Row],[Delta]],0)</f>
        <v>0</v>
      </c>
      <c r="AB812" s="30" t="b">
        <f>IF(Table20[[#This Row],[date_purchased]]&lt;&gt;Table20[[#This Row],[Expiration Date]],FALSE,TRUE)</f>
        <v>0</v>
      </c>
      <c r="AC812" s="30" t="str">
        <f>VLOOKUP(Table20[[#This Row],[Asset]],Table19[#All],3,FALSE)</f>
        <v>AI</v>
      </c>
      <c r="AD812" s="30">
        <f>IF(Table20[[#This Row],[Remaining]]&lt;&gt;0,Table20[[#This Row],[Invested]]*Table20[[#This Row],[Remaining]]/Table20[[#This Row],[Number of options]],0)</f>
        <v>0</v>
      </c>
      <c r="AE812" s="30">
        <f ca="1">SUMIF(Table20[Ticker],Table20[[#This Row],[Ticker]],Table20[realized_profit])</f>
        <v>2450</v>
      </c>
      <c r="AF812" s="30" t="str">
        <f>VLOOKUP(Table20[[#This Row],[Strategy]],Table29[#All],7,FALSE)</f>
        <v>Bullish</v>
      </c>
    </row>
    <row r="813" spans="1:32" hidden="1">
      <c r="A813" s="180">
        <v>45982</v>
      </c>
      <c r="B813" s="21" t="e" vm="148">
        <v>#VALUE!</v>
      </c>
      <c r="C813" s="109" t="str" cm="1">
        <f t="array" aca="1" ref="C813" ca="1">_FV(Table20[[#This Row],[Asset]],"Ticker symbol",TRUE)</f>
        <v>META</v>
      </c>
      <c r="D813" s="26" cm="1">
        <f t="array" aca="1" ref="D813" ca="1">_FV(Table20[[#This Row],[Asset]],"Price")</f>
        <v>599.32000000000005</v>
      </c>
      <c r="E813" s="26">
        <v>850</v>
      </c>
      <c r="F813" s="33">
        <v>2</v>
      </c>
      <c r="G813" s="34">
        <v>1</v>
      </c>
      <c r="H813" s="34" t="s">
        <v>115</v>
      </c>
      <c r="I813" s="31">
        <v>45932</v>
      </c>
      <c r="J813" s="26">
        <v>7.63</v>
      </c>
      <c r="K813" s="24">
        <v>0.4</v>
      </c>
      <c r="L813" s="33">
        <f>VLOOKUP(Table20[[#This Row],[Strategy]],Table29[#All],6,FALSE)</f>
        <v>1</v>
      </c>
      <c r="M813" s="23">
        <v>2</v>
      </c>
      <c r="N813" s="23">
        <v>0.77</v>
      </c>
      <c r="O813" s="23"/>
      <c r="P813" s="23"/>
      <c r="Q813">
        <f>Table20[[#This Row],[Exit1]]*Table20[[#This Row],[ex1_price]]</f>
        <v>1.54</v>
      </c>
      <c r="R813">
        <f>Table20[[#This Row],[Exit2]]*Table20[[#This Row],[ex2_price]]</f>
        <v>0</v>
      </c>
      <c r="S813">
        <f>IFERROR((Table20[[#This Row],[ex2_amnt]]+Table20[[#This Row],[ex1_amnt]])/(Table20[[#This Row],[Exit2]]+Table20[[#This Row],[Exit1]]),0)</f>
        <v>0.77</v>
      </c>
      <c r="T813" s="5">
        <f>(Table20[[#This Row],[Exit1]]+Table20[[#This Row],[Exit2]])*(Table20[[#This Row],[avg_exit_price]]-Table20[[#This Row],[AvePrice]])*100*Table20[[#This Row],[Buy or Sell]]</f>
        <v>-1372</v>
      </c>
      <c r="U813" s="5">
        <f>Table20[[#This Row],[Number of options]]*Table20[[#This Row],[AvePrice]]*100*Table20[[#This Row],[Buy or Sell]]</f>
        <v>1526</v>
      </c>
      <c r="V813" s="8">
        <f>Table20[[#This Row],[Number of options]]-Table20[[#This Row],[Exit1]]-Table20[[#This Row],[Exit2]]</f>
        <v>0</v>
      </c>
      <c r="W813" s="30">
        <f ca="1">(Table20[[#This Row],[Expiration Date]]-TODAY())/365</f>
        <v>-0.34246575342465752</v>
      </c>
      <c r="X813" s="30" t="e">
        <f ca="1">(LN(Table20[[#This Row],[Current Price]]/Table20[[#This Row],[strike_price]]) + ($B$2 + (Table20[[#This Row],[Vol]]^2)/2)*Table20[[#This Row],[Time to expiration]]) / (Table20[[#This Row],[Vol]] * SQRT(Table20[[#This Row],[Time to expiration]]))</f>
        <v>#NUM!</v>
      </c>
      <c r="Y813" s="30" t="e">
        <f ca="1">IF(Table20[[#This Row],[Direction]]&gt;0, _xlfn.NORM.S.DIST(Table20[[#This Row],[d1]], TRUE), _xlfn.NORM.S.DIST(Table20[[#This Row],[d1]], TRUE) - 1) * Table20[[#This Row],[Buy or Sell]]</f>
        <v>#NUM!</v>
      </c>
      <c r="Z813" s="9">
        <f ca="1">Table20[[#This Row],[Remaining]]*Table20[[#This Row],[Current Price]]*100</f>
        <v>0</v>
      </c>
      <c r="AA813" s="22">
        <f ca="1">IFERROR(Table20[[#This Row],[nominal_exposure]]*Table20[[#This Row],[Delta]],0)</f>
        <v>0</v>
      </c>
      <c r="AB813" s="30" t="b">
        <f>IF(Table20[[#This Row],[date_purchased]]&lt;&gt;Table20[[#This Row],[Expiration Date]],FALSE,TRUE)</f>
        <v>0</v>
      </c>
      <c r="AC813" s="30" t="str">
        <f>VLOOKUP(Table20[[#This Row],[Asset]],Table19[#All],3,FALSE)</f>
        <v>AI</v>
      </c>
      <c r="AD813" s="30">
        <f>IF(Table20[[#This Row],[Remaining]]&lt;&gt;0,Table20[[#This Row],[Invested]]*Table20[[#This Row],[Remaining]]/Table20[[#This Row],[Number of options]],0)</f>
        <v>0</v>
      </c>
      <c r="AE813" s="30">
        <f ca="1">SUMIF(Table20[Ticker],Table20[[#This Row],[Ticker]],Table20[realized_profit])</f>
        <v>2450</v>
      </c>
      <c r="AF813" s="30" t="str">
        <f>VLOOKUP(Table20[[#This Row],[Strategy]],Table29[#All],7,FALSE)</f>
        <v>Bullish</v>
      </c>
    </row>
    <row r="814" spans="1:32" hidden="1">
      <c r="A814" s="180">
        <v>46038</v>
      </c>
      <c r="B814" s="21" t="e" vm="13">
        <v>#VALUE!</v>
      </c>
      <c r="C814" s="109" t="str" cm="1">
        <f t="array" aca="1" ref="C814" ca="1">_FV(Table20[[#This Row],[Asset]],"Ticker symbol",TRUE)</f>
        <v>ON</v>
      </c>
      <c r="D814" s="26" cm="1">
        <f t="array" aca="1" ref="D814" ca="1">_FV(Table20[[#This Row],[Asset]],"Price")</f>
        <v>63.68</v>
      </c>
      <c r="E814" s="26">
        <v>55</v>
      </c>
      <c r="F814" s="33">
        <v>3</v>
      </c>
      <c r="G814" s="34">
        <v>1</v>
      </c>
      <c r="H814" s="34" t="s">
        <v>113</v>
      </c>
      <c r="I814" s="31">
        <v>45933</v>
      </c>
      <c r="J814" s="26">
        <v>4</v>
      </c>
      <c r="K814" s="24">
        <v>0.6</v>
      </c>
      <c r="L814" s="33">
        <f>VLOOKUP(Table20[[#This Row],[Strategy]],Table29[#All],6,FALSE)</f>
        <v>1</v>
      </c>
      <c r="M814" s="23">
        <v>3</v>
      </c>
      <c r="N814" s="23">
        <v>6.25</v>
      </c>
      <c r="O814" s="23"/>
      <c r="P814" s="23"/>
      <c r="Q814">
        <f>Table20[[#This Row],[Exit1]]*Table20[[#This Row],[ex1_price]]</f>
        <v>18.75</v>
      </c>
      <c r="R814">
        <f>Table20[[#This Row],[Exit2]]*Table20[[#This Row],[ex2_price]]</f>
        <v>0</v>
      </c>
      <c r="S814">
        <f>IFERROR((Table20[[#This Row],[ex2_amnt]]+Table20[[#This Row],[ex1_amnt]])/(Table20[[#This Row],[Exit2]]+Table20[[#This Row],[Exit1]]),0)</f>
        <v>6.25</v>
      </c>
      <c r="T814" s="5">
        <f>(Table20[[#This Row],[Exit1]]+Table20[[#This Row],[Exit2]])*(Table20[[#This Row],[avg_exit_price]]-Table20[[#This Row],[AvePrice]])*100*Table20[[#This Row],[Buy or Sell]]</f>
        <v>675</v>
      </c>
      <c r="U814" s="5">
        <f>Table20[[#This Row],[Number of options]]*Table20[[#This Row],[AvePrice]]*100*Table20[[#This Row],[Buy or Sell]]</f>
        <v>1200</v>
      </c>
      <c r="V814" s="8">
        <f>Table20[[#This Row],[Number of options]]-Table20[[#This Row],[Exit1]]-Table20[[#This Row],[Exit2]]</f>
        <v>0</v>
      </c>
      <c r="W814" s="30">
        <f ca="1">(Table20[[#This Row],[Expiration Date]]-TODAY())/365</f>
        <v>-0.18904109589041096</v>
      </c>
      <c r="X814" s="30" t="e">
        <f ca="1">(LN(Table20[[#This Row],[Current Price]]/Table20[[#This Row],[strike_price]]) + ($B$2 + (Table20[[#This Row],[Vol]]^2)/2)*Table20[[#This Row],[Time to expiration]]) / (Table20[[#This Row],[Vol]] * SQRT(Table20[[#This Row],[Time to expiration]]))</f>
        <v>#NUM!</v>
      </c>
      <c r="Y814" s="30" t="e">
        <f ca="1">IF(Table20[[#This Row],[Direction]]&gt;0, _xlfn.NORM.S.DIST(Table20[[#This Row],[d1]], TRUE), _xlfn.NORM.S.DIST(Table20[[#This Row],[d1]], TRUE) - 1) * Table20[[#This Row],[Buy or Sell]]</f>
        <v>#NUM!</v>
      </c>
      <c r="Z814" s="9">
        <f ca="1">Table20[[#This Row],[Remaining]]*Table20[[#This Row],[Current Price]]*100</f>
        <v>0</v>
      </c>
      <c r="AA814" s="22">
        <f ca="1">IFERROR(Table20[[#This Row],[nominal_exposure]]*Table20[[#This Row],[Delta]],0)</f>
        <v>0</v>
      </c>
      <c r="AB814" s="30" t="b">
        <f>IF(Table20[[#This Row],[date_purchased]]&lt;&gt;Table20[[#This Row],[Expiration Date]],FALSE,TRUE)</f>
        <v>0</v>
      </c>
      <c r="AC814" s="30" t="str">
        <f>VLOOKUP(Table20[[#This Row],[Asset]],Table19[#All],3,FALSE)</f>
        <v>Semiconductor</v>
      </c>
      <c r="AD814" s="30">
        <f>IF(Table20[[#This Row],[Remaining]]&lt;&gt;0,Table20[[#This Row],[Invested]]*Table20[[#This Row],[Remaining]]/Table20[[#This Row],[Number of options]],0)</f>
        <v>0</v>
      </c>
      <c r="AE814" s="30">
        <f ca="1">SUMIF(Table20[Ticker],Table20[[#This Row],[Ticker]],Table20[realized_profit])</f>
        <v>1055.92</v>
      </c>
      <c r="AF814" s="30" t="str">
        <f>VLOOKUP(Table20[[#This Row],[Strategy]],Table29[#All],7,FALSE)</f>
        <v>Bullish</v>
      </c>
    </row>
    <row r="815" spans="1:32" hidden="1">
      <c r="A815" s="180">
        <v>45982</v>
      </c>
      <c r="B815" s="21" t="e" vm="204">
        <v>#VALUE!</v>
      </c>
      <c r="C815" s="109" t="str" cm="1">
        <f t="array" aca="1" ref="C815" ca="1">_FV(Table20[[#This Row],[Asset]],"Ticker symbol",TRUE)</f>
        <v>CRWV</v>
      </c>
      <c r="D815" s="26" cm="1">
        <f t="array" aca="1" ref="D815" ca="1">_FV(Table20[[#This Row],[Asset]],"Price")</f>
        <v>87.924999999999997</v>
      </c>
      <c r="E815" s="26">
        <v>200</v>
      </c>
      <c r="F815" s="33">
        <v>1</v>
      </c>
      <c r="G815" s="34">
        <v>1</v>
      </c>
      <c r="H815" s="34" t="s">
        <v>113</v>
      </c>
      <c r="I815" s="31">
        <v>45945</v>
      </c>
      <c r="J815" s="26">
        <v>2.66</v>
      </c>
      <c r="K815" s="24">
        <v>1</v>
      </c>
      <c r="L815" s="33">
        <f>VLOOKUP(Table20[[#This Row],[Strategy]],Table29[#All],6,FALSE)</f>
        <v>1</v>
      </c>
      <c r="M815" s="23">
        <v>1</v>
      </c>
      <c r="N815" s="23">
        <v>0</v>
      </c>
      <c r="O815" s="23"/>
      <c r="P815" s="23"/>
      <c r="Q815">
        <f>Table20[[#This Row],[Exit1]]*Table20[[#This Row],[ex1_price]]</f>
        <v>0</v>
      </c>
      <c r="R815">
        <f>Table20[[#This Row],[Exit2]]*Table20[[#This Row],[ex2_price]]</f>
        <v>0</v>
      </c>
      <c r="S815">
        <f>IFERROR((Table20[[#This Row],[ex2_amnt]]+Table20[[#This Row],[ex1_amnt]])/(Table20[[#This Row],[Exit2]]+Table20[[#This Row],[Exit1]]),0)</f>
        <v>0</v>
      </c>
      <c r="T815" s="5">
        <f>(Table20[[#This Row],[Exit1]]+Table20[[#This Row],[Exit2]])*(Table20[[#This Row],[avg_exit_price]]-Table20[[#This Row],[AvePrice]])*100*Table20[[#This Row],[Buy or Sell]]</f>
        <v>-266</v>
      </c>
      <c r="U815" s="5">
        <f>Table20[[#This Row],[Number of options]]*Table20[[#This Row],[AvePrice]]*100*Table20[[#This Row],[Buy or Sell]]</f>
        <v>266</v>
      </c>
      <c r="V815" s="8">
        <f>Table20[[#This Row],[Number of options]]-Table20[[#This Row],[Exit1]]-Table20[[#This Row],[Exit2]]</f>
        <v>0</v>
      </c>
      <c r="W815" s="30">
        <f ca="1">(Table20[[#This Row],[Expiration Date]]-TODAY())/365</f>
        <v>-0.34246575342465752</v>
      </c>
      <c r="X815" s="30" t="e">
        <f ca="1">(LN(Table20[[#This Row],[Current Price]]/Table20[[#This Row],[strike_price]]) + ($B$2 + (Table20[[#This Row],[Vol]]^2)/2)*Table20[[#This Row],[Time to expiration]]) / (Table20[[#This Row],[Vol]] * SQRT(Table20[[#This Row],[Time to expiration]]))</f>
        <v>#NUM!</v>
      </c>
      <c r="Y815" s="30" t="e">
        <f ca="1">IF(Table20[[#This Row],[Direction]]&gt;0, _xlfn.NORM.S.DIST(Table20[[#This Row],[d1]], TRUE), _xlfn.NORM.S.DIST(Table20[[#This Row],[d1]], TRUE) - 1) * Table20[[#This Row],[Buy or Sell]]</f>
        <v>#NUM!</v>
      </c>
      <c r="Z815" s="9">
        <f ca="1">Table20[[#This Row],[Remaining]]*Table20[[#This Row],[Current Price]]*100</f>
        <v>0</v>
      </c>
      <c r="AA815" s="22">
        <f ca="1">IFERROR(Table20[[#This Row],[nominal_exposure]]*Table20[[#This Row],[Delta]],0)</f>
        <v>0</v>
      </c>
      <c r="AB815" s="30" t="b">
        <f>IF(Table20[[#This Row],[date_purchased]]&lt;&gt;Table20[[#This Row],[Expiration Date]],FALSE,TRUE)</f>
        <v>0</v>
      </c>
      <c r="AC815" s="30" t="str">
        <f>VLOOKUP(Table20[[#This Row],[Asset]],Table19[#All],3,FALSE)</f>
        <v>AI</v>
      </c>
      <c r="AD815" s="30">
        <f>IF(Table20[[#This Row],[Remaining]]&lt;&gt;0,Table20[[#This Row],[Invested]]*Table20[[#This Row],[Remaining]]/Table20[[#This Row],[Number of options]],0)</f>
        <v>0</v>
      </c>
      <c r="AE815" s="30">
        <f ca="1">SUMIF(Table20[Ticker],Table20[[#This Row],[Ticker]],Table20[realized_profit])</f>
        <v>652.99999999999989</v>
      </c>
      <c r="AF815" s="30" t="str">
        <f>VLOOKUP(Table20[[#This Row],[Strategy]],Table29[#All],7,FALSE)</f>
        <v>Bullish</v>
      </c>
    </row>
    <row r="816" spans="1:32" hidden="1">
      <c r="A816" s="180">
        <v>45982</v>
      </c>
      <c r="B816" s="21" t="e" vm="204">
        <v>#VALUE!</v>
      </c>
      <c r="C816" s="109" t="str" cm="1">
        <f t="array" aca="1" ref="C816" ca="1">_FV(Table20[[#This Row],[Asset]],"Ticker symbol",TRUE)</f>
        <v>CRWV</v>
      </c>
      <c r="D816" s="26" cm="1">
        <f t="array" aca="1" ref="D816" ca="1">_FV(Table20[[#This Row],[Asset]],"Price")</f>
        <v>87.924999999999997</v>
      </c>
      <c r="E816" s="26">
        <v>210</v>
      </c>
      <c r="F816" s="33">
        <v>2</v>
      </c>
      <c r="G816" s="34">
        <v>-1</v>
      </c>
      <c r="H816" s="34" t="s">
        <v>115</v>
      </c>
      <c r="I816" s="31">
        <v>45936</v>
      </c>
      <c r="J816" s="26">
        <v>3.17</v>
      </c>
      <c r="K816" s="24">
        <v>1</v>
      </c>
      <c r="L816" s="33">
        <f>VLOOKUP(Table20[[#This Row],[Strategy]],Table29[#All],6,FALSE)</f>
        <v>1</v>
      </c>
      <c r="M816" s="23">
        <v>2</v>
      </c>
      <c r="N816" s="23">
        <v>0</v>
      </c>
      <c r="O816" s="23"/>
      <c r="P816" s="23"/>
      <c r="Q816">
        <f>Table20[[#This Row],[Exit1]]*Table20[[#This Row],[ex1_price]]</f>
        <v>0</v>
      </c>
      <c r="R816">
        <f>Table20[[#This Row],[Exit2]]*Table20[[#This Row],[ex2_price]]</f>
        <v>0</v>
      </c>
      <c r="S816">
        <f>IFERROR((Table20[[#This Row],[ex2_amnt]]+Table20[[#This Row],[ex1_amnt]])/(Table20[[#This Row],[Exit2]]+Table20[[#This Row],[Exit1]]),0)</f>
        <v>0</v>
      </c>
      <c r="T816" s="5">
        <f>(Table20[[#This Row],[Exit1]]+Table20[[#This Row],[Exit2]])*(Table20[[#This Row],[avg_exit_price]]-Table20[[#This Row],[AvePrice]])*100*Table20[[#This Row],[Buy or Sell]]</f>
        <v>634</v>
      </c>
      <c r="U816" s="5">
        <f>Table20[[#This Row],[Number of options]]*Table20[[#This Row],[AvePrice]]*100*Table20[[#This Row],[Buy or Sell]]</f>
        <v>-634</v>
      </c>
      <c r="V816" s="8">
        <f>Table20[[#This Row],[Number of options]]-Table20[[#This Row],[Exit1]]-Table20[[#This Row],[Exit2]]</f>
        <v>0</v>
      </c>
      <c r="W816" s="30">
        <f ca="1">(Table20[[#This Row],[Expiration Date]]-TODAY())/365</f>
        <v>-0.34246575342465752</v>
      </c>
      <c r="X816" s="30" t="e">
        <f ca="1">(LN(Table20[[#This Row],[Current Price]]/Table20[[#This Row],[strike_price]]) + ($B$2 + (Table20[[#This Row],[Vol]]^2)/2)*Table20[[#This Row],[Time to expiration]]) / (Table20[[#This Row],[Vol]] * SQRT(Table20[[#This Row],[Time to expiration]]))</f>
        <v>#NUM!</v>
      </c>
      <c r="Y816" s="30" t="e">
        <f ca="1">IF(Table20[[#This Row],[Direction]]&gt;0, _xlfn.NORM.S.DIST(Table20[[#This Row],[d1]], TRUE), _xlfn.NORM.S.DIST(Table20[[#This Row],[d1]], TRUE) - 1) * Table20[[#This Row],[Buy or Sell]]</f>
        <v>#NUM!</v>
      </c>
      <c r="Z816" s="9">
        <f ca="1">Table20[[#This Row],[Remaining]]*Table20[[#This Row],[Current Price]]*100</f>
        <v>0</v>
      </c>
      <c r="AA816" s="22">
        <f ca="1">IFERROR(Table20[[#This Row],[nominal_exposure]]*Table20[[#This Row],[Delta]],0)</f>
        <v>0</v>
      </c>
      <c r="AB816" s="30" t="b">
        <f>IF(Table20[[#This Row],[date_purchased]]&lt;&gt;Table20[[#This Row],[Expiration Date]],FALSE,TRUE)</f>
        <v>0</v>
      </c>
      <c r="AC816" s="30" t="str">
        <f>VLOOKUP(Table20[[#This Row],[Asset]],Table19[#All],3,FALSE)</f>
        <v>AI</v>
      </c>
      <c r="AD816" s="30">
        <f>IF(Table20[[#This Row],[Remaining]]&lt;&gt;0,Table20[[#This Row],[Invested]]*Table20[[#This Row],[Remaining]]/Table20[[#This Row],[Number of options]],0)</f>
        <v>0</v>
      </c>
      <c r="AE816" s="30">
        <f ca="1">SUMIF(Table20[Ticker],Table20[[#This Row],[Ticker]],Table20[realized_profit])</f>
        <v>652.99999999999989</v>
      </c>
      <c r="AF816" s="30" t="str">
        <f>VLOOKUP(Table20[[#This Row],[Strategy]],Table29[#All],7,FALSE)</f>
        <v>Bullish</v>
      </c>
    </row>
    <row r="817" spans="1:32" hidden="1">
      <c r="A817" s="180">
        <v>46010</v>
      </c>
      <c r="B817" s="21" t="e" vm="204">
        <v>#VALUE!</v>
      </c>
      <c r="C817" s="109" t="str" cm="1">
        <f t="array" aca="1" ref="C817" ca="1">_FV(Table20[[#This Row],[Asset]],"Ticker symbol",TRUE)</f>
        <v>CRWV</v>
      </c>
      <c r="D817" s="26" cm="1">
        <f t="array" aca="1" ref="D817" ca="1">_FV(Table20[[#This Row],[Asset]],"Price")</f>
        <v>87.924999999999997</v>
      </c>
      <c r="E817" s="26">
        <v>210</v>
      </c>
      <c r="F817" s="33">
        <v>2</v>
      </c>
      <c r="G817" s="34">
        <v>1</v>
      </c>
      <c r="H817" s="34" t="s">
        <v>115</v>
      </c>
      <c r="I817" s="31">
        <v>45936</v>
      </c>
      <c r="J817" s="26">
        <v>5.12</v>
      </c>
      <c r="K817" s="24">
        <v>1</v>
      </c>
      <c r="L817" s="33">
        <f>VLOOKUP(Table20[[#This Row],[Strategy]],Table29[#All],6,FALSE)</f>
        <v>1</v>
      </c>
      <c r="M817" s="23">
        <v>2</v>
      </c>
      <c r="N817" s="23">
        <v>0</v>
      </c>
      <c r="O817" s="23"/>
      <c r="P817" s="23"/>
      <c r="Q817">
        <f>Table20[[#This Row],[Exit1]]*Table20[[#This Row],[ex1_price]]</f>
        <v>0</v>
      </c>
      <c r="R817">
        <f>Table20[[#This Row],[Exit2]]*Table20[[#This Row],[ex2_price]]</f>
        <v>0</v>
      </c>
      <c r="S817">
        <f>IFERROR((Table20[[#This Row],[ex2_amnt]]+Table20[[#This Row],[ex1_amnt]])/(Table20[[#This Row],[Exit2]]+Table20[[#This Row],[Exit1]]),0)</f>
        <v>0</v>
      </c>
      <c r="T817" s="5">
        <f>(Table20[[#This Row],[Exit1]]+Table20[[#This Row],[Exit2]])*(Table20[[#This Row],[avg_exit_price]]-Table20[[#This Row],[AvePrice]])*100*Table20[[#This Row],[Buy or Sell]]</f>
        <v>-1024</v>
      </c>
      <c r="U817" s="5">
        <f>Table20[[#This Row],[Number of options]]*Table20[[#This Row],[AvePrice]]*100*Table20[[#This Row],[Buy or Sell]]</f>
        <v>1024</v>
      </c>
      <c r="V817" s="8">
        <f>Table20[[#This Row],[Number of options]]-Table20[[#This Row],[Exit1]]-Table20[[#This Row],[Exit2]]</f>
        <v>0</v>
      </c>
      <c r="W817" s="30">
        <f ca="1">(Table20[[#This Row],[Expiration Date]]-TODAY())/365</f>
        <v>-0.26575342465753427</v>
      </c>
      <c r="X817" s="30" t="e">
        <f ca="1">(LN(Table20[[#This Row],[Current Price]]/Table20[[#This Row],[strike_price]]) + ($B$2 + (Table20[[#This Row],[Vol]]^2)/2)*Table20[[#This Row],[Time to expiration]]) / (Table20[[#This Row],[Vol]] * SQRT(Table20[[#This Row],[Time to expiration]]))</f>
        <v>#NUM!</v>
      </c>
      <c r="Y817" s="30" t="e">
        <f ca="1">IF(Table20[[#This Row],[Direction]]&gt;0, _xlfn.NORM.S.DIST(Table20[[#This Row],[d1]], TRUE), _xlfn.NORM.S.DIST(Table20[[#This Row],[d1]], TRUE) - 1) * Table20[[#This Row],[Buy or Sell]]</f>
        <v>#NUM!</v>
      </c>
      <c r="Z817" s="9">
        <f ca="1">Table20[[#This Row],[Remaining]]*Table20[[#This Row],[Current Price]]*100</f>
        <v>0</v>
      </c>
      <c r="AA817" s="22">
        <f ca="1">IFERROR(Table20[[#This Row],[nominal_exposure]]*Table20[[#This Row],[Delta]],0)</f>
        <v>0</v>
      </c>
      <c r="AB817" s="30" t="b">
        <f>IF(Table20[[#This Row],[date_purchased]]&lt;&gt;Table20[[#This Row],[Expiration Date]],FALSE,TRUE)</f>
        <v>0</v>
      </c>
      <c r="AC817" s="30" t="str">
        <f>VLOOKUP(Table20[[#This Row],[Asset]],Table19[#All],3,FALSE)</f>
        <v>AI</v>
      </c>
      <c r="AD817" s="30">
        <f>IF(Table20[[#This Row],[Remaining]]&lt;&gt;0,Table20[[#This Row],[Invested]]*Table20[[#This Row],[Remaining]]/Table20[[#This Row],[Number of options]],0)</f>
        <v>0</v>
      </c>
      <c r="AE817" s="30">
        <f ca="1">SUMIF(Table20[Ticker],Table20[[#This Row],[Ticker]],Table20[realized_profit])</f>
        <v>652.99999999999989</v>
      </c>
      <c r="AF817" s="30" t="str">
        <f>VLOOKUP(Table20[[#This Row],[Strategy]],Table29[#All],7,FALSE)</f>
        <v>Bullish</v>
      </c>
    </row>
    <row r="818" spans="1:32" hidden="1">
      <c r="A818" s="180">
        <v>45982</v>
      </c>
      <c r="B818" s="21" t="e" vm="129">
        <v>#VALUE!</v>
      </c>
      <c r="C818" s="109" t="str" cm="1">
        <f t="array" aca="1" ref="C818" ca="1">_FV(Table20[[#This Row],[Asset]],"Ticker symbol",TRUE)</f>
        <v>MRVL</v>
      </c>
      <c r="D818" s="26" cm="1">
        <f t="array" aca="1" ref="D818" ca="1">_FV(Table20[[#This Row],[Asset]],"Price")</f>
        <v>96.84</v>
      </c>
      <c r="E818" s="26">
        <v>95</v>
      </c>
      <c r="F818" s="33">
        <v>1</v>
      </c>
      <c r="G818" s="34">
        <v>1</v>
      </c>
      <c r="H818" s="34" t="s">
        <v>113</v>
      </c>
      <c r="I818" s="31">
        <v>45958</v>
      </c>
      <c r="J818" s="26">
        <v>3.35</v>
      </c>
      <c r="K818" s="24">
        <v>0.61</v>
      </c>
      <c r="L818" s="33">
        <f>VLOOKUP(Table20[[#This Row],[Strategy]],Table29[#All],6,FALSE)</f>
        <v>1</v>
      </c>
      <c r="M818" s="23">
        <v>1</v>
      </c>
      <c r="N818" s="23">
        <v>1.6</v>
      </c>
      <c r="O818" s="23"/>
      <c r="P818" s="23"/>
      <c r="Q818">
        <f>Table20[[#This Row],[Exit1]]*Table20[[#This Row],[ex1_price]]</f>
        <v>1.6</v>
      </c>
      <c r="R818">
        <f>Table20[[#This Row],[Exit2]]*Table20[[#This Row],[ex2_price]]</f>
        <v>0</v>
      </c>
      <c r="S818">
        <f>IFERROR((Table20[[#This Row],[ex2_amnt]]+Table20[[#This Row],[ex1_amnt]])/(Table20[[#This Row],[Exit2]]+Table20[[#This Row],[Exit1]]),0)</f>
        <v>1.6</v>
      </c>
      <c r="T818" s="5">
        <f>(Table20[[#This Row],[Exit1]]+Table20[[#This Row],[Exit2]])*(Table20[[#This Row],[avg_exit_price]]-Table20[[#This Row],[AvePrice]])*100*Table20[[#This Row],[Buy or Sell]]</f>
        <v>-175</v>
      </c>
      <c r="U818" s="5">
        <f>Table20[[#This Row],[Number of options]]*Table20[[#This Row],[AvePrice]]*100*Table20[[#This Row],[Buy or Sell]]</f>
        <v>335</v>
      </c>
      <c r="V818" s="8">
        <f>Table20[[#This Row],[Number of options]]-Table20[[#This Row],[Exit1]]-Table20[[#This Row],[Exit2]]</f>
        <v>0</v>
      </c>
      <c r="W818" s="30">
        <f ca="1">(Table20[[#This Row],[Expiration Date]]-TODAY())/365</f>
        <v>-0.34246575342465752</v>
      </c>
      <c r="X818" s="30" t="e">
        <f ca="1">(LN(Table20[[#This Row],[Current Price]]/Table20[[#This Row],[strike_price]]) + ($B$2 + (Table20[[#This Row],[Vol]]^2)/2)*Table20[[#This Row],[Time to expiration]]) / (Table20[[#This Row],[Vol]] * SQRT(Table20[[#This Row],[Time to expiration]]))</f>
        <v>#NUM!</v>
      </c>
      <c r="Y818" s="30" t="e">
        <f ca="1">IF(Table20[[#This Row],[Direction]]&gt;0, _xlfn.NORM.S.DIST(Table20[[#This Row],[d1]], TRUE), _xlfn.NORM.S.DIST(Table20[[#This Row],[d1]], TRUE) - 1) * Table20[[#This Row],[Buy or Sell]]</f>
        <v>#NUM!</v>
      </c>
      <c r="Z818" s="9">
        <f ca="1">Table20[[#This Row],[Remaining]]*Table20[[#This Row],[Current Price]]*100</f>
        <v>0</v>
      </c>
      <c r="AA818" s="22">
        <f ca="1">IFERROR(Table20[[#This Row],[nominal_exposure]]*Table20[[#This Row],[Delta]],0)</f>
        <v>0</v>
      </c>
      <c r="AB818" s="30" t="b">
        <f>IF(Table20[[#This Row],[date_purchased]]&lt;&gt;Table20[[#This Row],[Expiration Date]],FALSE,TRUE)</f>
        <v>0</v>
      </c>
      <c r="AC818" s="30" t="str">
        <f>VLOOKUP(Table20[[#This Row],[Asset]],Table19[#All],3,FALSE)</f>
        <v>AI</v>
      </c>
      <c r="AD818" s="30">
        <f>IF(Table20[[#This Row],[Remaining]]&lt;&gt;0,Table20[[#This Row],[Invested]]*Table20[[#This Row],[Remaining]]/Table20[[#This Row],[Number of options]],0)</f>
        <v>0</v>
      </c>
      <c r="AE818" s="30">
        <f ca="1">SUMIF(Table20[Ticker],Table20[[#This Row],[Ticker]],Table20[realized_profit])</f>
        <v>-1014.0000000000001</v>
      </c>
      <c r="AF818" s="30" t="str">
        <f>VLOOKUP(Table20[[#This Row],[Strategy]],Table29[#All],7,FALSE)</f>
        <v>Bullish</v>
      </c>
    </row>
    <row r="819" spans="1:32">
      <c r="A819" s="180">
        <v>45982</v>
      </c>
      <c r="B819" s="21" t="e" vm="576">
        <v>#VALUE!</v>
      </c>
      <c r="C819" s="109" t="str" cm="1">
        <f t="array" aca="1" ref="C819" ca="1">_FV(Table20[[#This Row],[Asset]],"Ticker symbol",TRUE)</f>
        <v>DUOL</v>
      </c>
      <c r="D819" s="26" cm="1">
        <f t="array" aca="1" ref="D819" ca="1">_FV(Table20[[#This Row],[Asset]],"Price")</f>
        <v>99.02</v>
      </c>
      <c r="E819" s="26">
        <v>560</v>
      </c>
      <c r="F819" s="33">
        <v>1</v>
      </c>
      <c r="G819" s="34">
        <v>-1</v>
      </c>
      <c r="H819" s="34" t="s">
        <v>115</v>
      </c>
      <c r="I819" s="31">
        <v>45939</v>
      </c>
      <c r="J819" s="26">
        <v>3.55</v>
      </c>
      <c r="K819" s="24">
        <v>0.9</v>
      </c>
      <c r="L819" s="33">
        <f>VLOOKUP(Table20[[#This Row],[Strategy]],Table29[#All],6,FALSE)</f>
        <v>1</v>
      </c>
      <c r="M819" s="23"/>
      <c r="N819" s="23"/>
      <c r="O819" s="23"/>
      <c r="P819" s="23"/>
      <c r="Q819">
        <f>Table20[[#This Row],[Exit1]]*Table20[[#This Row],[ex1_price]]</f>
        <v>0</v>
      </c>
      <c r="R819">
        <f>Table20[[#This Row],[Exit2]]*Table20[[#This Row],[ex2_price]]</f>
        <v>0</v>
      </c>
      <c r="S819">
        <f>IFERROR((Table20[[#This Row],[ex2_amnt]]+Table20[[#This Row],[ex1_amnt]])/(Table20[[#This Row],[Exit2]]+Table20[[#This Row],[Exit1]]),0)</f>
        <v>0</v>
      </c>
      <c r="T819" s="5">
        <f>(Table20[[#This Row],[Exit1]]+Table20[[#This Row],[Exit2]])*(Table20[[#This Row],[avg_exit_price]]-Table20[[#This Row],[AvePrice]])*100*Table20[[#This Row],[Buy or Sell]]</f>
        <v>0</v>
      </c>
      <c r="U819" s="5">
        <f>Table20[[#This Row],[Number of options]]*Table20[[#This Row],[AvePrice]]*100*Table20[[#This Row],[Buy or Sell]]</f>
        <v>-355</v>
      </c>
      <c r="V819" s="8">
        <f>Table20[[#This Row],[Number of options]]-Table20[[#This Row],[Exit1]]-Table20[[#This Row],[Exit2]]</f>
        <v>1</v>
      </c>
      <c r="W819" s="30">
        <f ca="1">(Table20[[#This Row],[Expiration Date]]-TODAY())/365</f>
        <v>-0.34246575342465752</v>
      </c>
      <c r="X819" s="30" t="e">
        <f ca="1">(LN(Table20[[#This Row],[Current Price]]/Table20[[#This Row],[strike_price]]) + ($B$2 + (Table20[[#This Row],[Vol]]^2)/2)*Table20[[#This Row],[Time to expiration]]) / (Table20[[#This Row],[Vol]] * SQRT(Table20[[#This Row],[Time to expiration]]))</f>
        <v>#NUM!</v>
      </c>
      <c r="Y819" s="30" t="e">
        <f ca="1">IF(Table20[[#This Row],[Direction]]&gt;0, _xlfn.NORM.S.DIST(Table20[[#This Row],[d1]], TRUE), _xlfn.NORM.S.DIST(Table20[[#This Row],[d1]], TRUE) - 1) * Table20[[#This Row],[Buy or Sell]]</f>
        <v>#NUM!</v>
      </c>
      <c r="Z819" s="9">
        <f ca="1">Table20[[#This Row],[Remaining]]*Table20[[#This Row],[Current Price]]*100</f>
        <v>9902</v>
      </c>
      <c r="AA819" s="22">
        <f ca="1">IFERROR(Table20[[#This Row],[nominal_exposure]]*Table20[[#This Row],[Delta]],0)</f>
        <v>0</v>
      </c>
      <c r="AB819" s="30" t="b">
        <f>IF(Table20[[#This Row],[date_purchased]]&lt;&gt;Table20[[#This Row],[Expiration Date]],FALSE,TRUE)</f>
        <v>0</v>
      </c>
      <c r="AC819" s="30" t="str">
        <f>VLOOKUP(Table20[[#This Row],[Asset]],Table19[#All],3,FALSE)</f>
        <v>Education</v>
      </c>
      <c r="AD819" s="30">
        <f>IF(Table20[[#This Row],[Remaining]]&lt;&gt;0,Table20[[#This Row],[Invested]]*Table20[[#This Row],[Remaining]]/Table20[[#This Row],[Number of options]],0)</f>
        <v>-355</v>
      </c>
      <c r="AE819" s="30">
        <f ca="1">SUMIF(Table20[Ticker],Table20[[#This Row],[Ticker]],Table20[realized_profit])</f>
        <v>0</v>
      </c>
      <c r="AF819" s="30" t="str">
        <f>VLOOKUP(Table20[[#This Row],[Strategy]],Table29[#All],7,FALSE)</f>
        <v>Bullish</v>
      </c>
    </row>
    <row r="820" spans="1:32">
      <c r="A820" s="180">
        <v>46038</v>
      </c>
      <c r="B820" s="21" t="e" vm="576">
        <v>#VALUE!</v>
      </c>
      <c r="C820" s="109" t="str" cm="1">
        <f t="array" aca="1" ref="C820" ca="1">_FV(Table20[[#This Row],[Asset]],"Ticker symbol",TRUE)</f>
        <v>DUOL</v>
      </c>
      <c r="D820" s="26" cm="1">
        <f t="array" aca="1" ref="D820" ca="1">_FV(Table20[[#This Row],[Asset]],"Price")</f>
        <v>99.02</v>
      </c>
      <c r="E820" s="26">
        <v>560</v>
      </c>
      <c r="F820" s="33">
        <v>1</v>
      </c>
      <c r="G820" s="34">
        <v>1</v>
      </c>
      <c r="H820" s="34" t="s">
        <v>115</v>
      </c>
      <c r="I820" s="31">
        <v>45939</v>
      </c>
      <c r="J820" s="26">
        <v>8.4499999999999993</v>
      </c>
      <c r="K820" s="24">
        <v>0.9</v>
      </c>
      <c r="L820" s="33">
        <f>VLOOKUP(Table20[[#This Row],[Strategy]],Table29[#All],6,FALSE)</f>
        <v>1</v>
      </c>
      <c r="M820" s="23"/>
      <c r="N820" s="23"/>
      <c r="O820" s="23"/>
      <c r="P820" s="23"/>
      <c r="Q820">
        <f>Table20[[#This Row],[Exit1]]*Table20[[#This Row],[ex1_price]]</f>
        <v>0</v>
      </c>
      <c r="R820">
        <f>Table20[[#This Row],[Exit2]]*Table20[[#This Row],[ex2_price]]</f>
        <v>0</v>
      </c>
      <c r="S820">
        <f>IFERROR((Table20[[#This Row],[ex2_amnt]]+Table20[[#This Row],[ex1_amnt]])/(Table20[[#This Row],[Exit2]]+Table20[[#This Row],[Exit1]]),0)</f>
        <v>0</v>
      </c>
      <c r="T820" s="5">
        <f>(Table20[[#This Row],[Exit1]]+Table20[[#This Row],[Exit2]])*(Table20[[#This Row],[avg_exit_price]]-Table20[[#This Row],[AvePrice]])*100*Table20[[#This Row],[Buy or Sell]]</f>
        <v>0</v>
      </c>
      <c r="U820" s="5">
        <f>Table20[[#This Row],[Number of options]]*Table20[[#This Row],[AvePrice]]*100*Table20[[#This Row],[Buy or Sell]]</f>
        <v>844.99999999999989</v>
      </c>
      <c r="V820" s="8">
        <f>Table20[[#This Row],[Number of options]]-Table20[[#This Row],[Exit1]]-Table20[[#This Row],[Exit2]]</f>
        <v>1</v>
      </c>
      <c r="W820" s="30">
        <f ca="1">(Table20[[#This Row],[Expiration Date]]-TODAY())/365</f>
        <v>-0.18904109589041096</v>
      </c>
      <c r="X820" s="30" t="e">
        <f ca="1">(LN(Table20[[#This Row],[Current Price]]/Table20[[#This Row],[strike_price]]) + ($B$2 + (Table20[[#This Row],[Vol]]^2)/2)*Table20[[#This Row],[Time to expiration]]) / (Table20[[#This Row],[Vol]] * SQRT(Table20[[#This Row],[Time to expiration]]))</f>
        <v>#NUM!</v>
      </c>
      <c r="Y820" s="30" t="e">
        <f ca="1">IF(Table20[[#This Row],[Direction]]&gt;0, _xlfn.NORM.S.DIST(Table20[[#This Row],[d1]], TRUE), _xlfn.NORM.S.DIST(Table20[[#This Row],[d1]], TRUE) - 1) * Table20[[#This Row],[Buy or Sell]]</f>
        <v>#NUM!</v>
      </c>
      <c r="Z820" s="9">
        <f ca="1">Table20[[#This Row],[Remaining]]*Table20[[#This Row],[Current Price]]*100</f>
        <v>9902</v>
      </c>
      <c r="AA820" s="22">
        <f ca="1">IFERROR(Table20[[#This Row],[nominal_exposure]]*Table20[[#This Row],[Delta]],0)</f>
        <v>0</v>
      </c>
      <c r="AB820" s="30" t="b">
        <f>IF(Table20[[#This Row],[date_purchased]]&lt;&gt;Table20[[#This Row],[Expiration Date]],FALSE,TRUE)</f>
        <v>0</v>
      </c>
      <c r="AC820" s="30" t="str">
        <f>VLOOKUP(Table20[[#This Row],[Asset]],Table19[#All],3,FALSE)</f>
        <v>Education</v>
      </c>
      <c r="AD820" s="30">
        <f>IF(Table20[[#This Row],[Remaining]]&lt;&gt;0,Table20[[#This Row],[Invested]]*Table20[[#This Row],[Remaining]]/Table20[[#This Row],[Number of options]],0)</f>
        <v>844.99999999999989</v>
      </c>
      <c r="AE820" s="30">
        <f ca="1">SUMIF(Table20[Ticker],Table20[[#This Row],[Ticker]],Table20[realized_profit])</f>
        <v>0</v>
      </c>
      <c r="AF820" s="30" t="str">
        <f>VLOOKUP(Table20[[#This Row],[Strategy]],Table29[#All],7,FALSE)</f>
        <v>Bullish</v>
      </c>
    </row>
    <row r="821" spans="1:32" hidden="1">
      <c r="A821" s="180">
        <v>46038</v>
      </c>
      <c r="B821" s="21" t="e" vm="16">
        <v>#VALUE!</v>
      </c>
      <c r="C821" s="109" t="str" cm="1">
        <f t="array" aca="1" ref="C821" ca="1">_FV(Table20[[#This Row],[Asset]],"Ticker symbol",TRUE)</f>
        <v>GOOG</v>
      </c>
      <c r="D821" s="26" cm="1">
        <f t="array" aca="1" ref="D821" ca="1">_FV(Table20[[#This Row],[Asset]],"Price")</f>
        <v>290.39</v>
      </c>
      <c r="E821" s="26">
        <v>300</v>
      </c>
      <c r="F821" s="33">
        <v>1</v>
      </c>
      <c r="G821" s="34">
        <v>1</v>
      </c>
      <c r="H821" s="34" t="s">
        <v>113</v>
      </c>
      <c r="I821" s="31">
        <v>45944</v>
      </c>
      <c r="J821" s="26">
        <v>3.65</v>
      </c>
      <c r="K821" s="24">
        <v>0.35</v>
      </c>
      <c r="L821" s="33">
        <f>VLOOKUP(Table20[[#This Row],[Strategy]],Table29[#All],6,FALSE)</f>
        <v>1</v>
      </c>
      <c r="M821" s="23">
        <v>1</v>
      </c>
      <c r="N821" s="23">
        <v>11.61</v>
      </c>
      <c r="O821" s="23"/>
      <c r="P821" s="23"/>
      <c r="Q821">
        <f>Table20[[#This Row],[Exit1]]*Table20[[#This Row],[ex1_price]]</f>
        <v>11.61</v>
      </c>
      <c r="R821">
        <f>Table20[[#This Row],[Exit2]]*Table20[[#This Row],[ex2_price]]</f>
        <v>0</v>
      </c>
      <c r="S821">
        <f>IFERROR((Table20[[#This Row],[ex2_amnt]]+Table20[[#This Row],[ex1_amnt]])/(Table20[[#This Row],[Exit2]]+Table20[[#This Row],[Exit1]]),0)</f>
        <v>11.61</v>
      </c>
      <c r="T821" s="5">
        <f>(Table20[[#This Row],[Exit1]]+Table20[[#This Row],[Exit2]])*(Table20[[#This Row],[avg_exit_price]]-Table20[[#This Row],[AvePrice]])*100*Table20[[#This Row],[Buy or Sell]]</f>
        <v>795.99999999999989</v>
      </c>
      <c r="U821" s="5">
        <f>Table20[[#This Row],[Number of options]]*Table20[[#This Row],[AvePrice]]*100*Table20[[#This Row],[Buy or Sell]]</f>
        <v>365</v>
      </c>
      <c r="V821" s="8">
        <f>Table20[[#This Row],[Number of options]]-Table20[[#This Row],[Exit1]]-Table20[[#This Row],[Exit2]]</f>
        <v>0</v>
      </c>
      <c r="W821" s="30">
        <f ca="1">(Table20[[#This Row],[Expiration Date]]-TODAY())/365</f>
        <v>-0.18904109589041096</v>
      </c>
      <c r="X821" s="30" t="e">
        <f ca="1">(LN(Table20[[#This Row],[Current Price]]/Table20[[#This Row],[strike_price]]) + ($B$2 + (Table20[[#This Row],[Vol]]^2)/2)*Table20[[#This Row],[Time to expiration]]) / (Table20[[#This Row],[Vol]] * SQRT(Table20[[#This Row],[Time to expiration]]))</f>
        <v>#NUM!</v>
      </c>
      <c r="Y821" s="30" t="e">
        <f ca="1">IF(Table20[[#This Row],[Direction]]&gt;0, _xlfn.NORM.S.DIST(Table20[[#This Row],[d1]], TRUE), _xlfn.NORM.S.DIST(Table20[[#This Row],[d1]], TRUE) - 1) * Table20[[#This Row],[Buy or Sell]]</f>
        <v>#NUM!</v>
      </c>
      <c r="Z821" s="9">
        <f ca="1">Table20[[#This Row],[Remaining]]*Table20[[#This Row],[Current Price]]*100</f>
        <v>0</v>
      </c>
      <c r="AA821" s="22">
        <f ca="1">IFERROR(Table20[[#This Row],[nominal_exposure]]*Table20[[#This Row],[Delta]],0)</f>
        <v>0</v>
      </c>
      <c r="AB821" s="30" t="b">
        <f>IF(Table20[[#This Row],[date_purchased]]&lt;&gt;Table20[[#This Row],[Expiration Date]],FALSE,TRUE)</f>
        <v>0</v>
      </c>
      <c r="AC821" s="30" t="str">
        <f>VLOOKUP(Table20[[#This Row],[Asset]],Table19[#All],3,FALSE)</f>
        <v>AI</v>
      </c>
      <c r="AD821" s="30">
        <f>IF(Table20[[#This Row],[Remaining]]&lt;&gt;0,Table20[[#This Row],[Invested]]*Table20[[#This Row],[Remaining]]/Table20[[#This Row],[Number of options]],0)</f>
        <v>0</v>
      </c>
      <c r="AE821" s="30">
        <f ca="1">SUMIF(Table20[Ticker],Table20[[#This Row],[Ticker]],Table20[realized_profit])</f>
        <v>4148.03</v>
      </c>
      <c r="AF821" s="30" t="str">
        <f>VLOOKUP(Table20[[#This Row],[Strategy]],Table29[#All],7,FALSE)</f>
        <v>Bullish</v>
      </c>
    </row>
    <row r="822" spans="1:32" hidden="1">
      <c r="A822" s="180">
        <v>46038</v>
      </c>
      <c r="B822" s="21" t="e" vm="64">
        <v>#VALUE!</v>
      </c>
      <c r="C822" s="109" t="str" cm="1">
        <f t="array" aca="1" ref="C822" ca="1">_FV(Table20[[#This Row],[Asset]],"Ticker symbol",TRUE)</f>
        <v>LULU</v>
      </c>
      <c r="D822" s="26" cm="1">
        <f t="array" aca="1" ref="D822" ca="1">_FV(Table20[[#This Row],[Asset]],"Price")</f>
        <v>159.22</v>
      </c>
      <c r="E822" s="26">
        <v>250</v>
      </c>
      <c r="F822" s="33">
        <v>3</v>
      </c>
      <c r="G822" s="34">
        <v>1</v>
      </c>
      <c r="H822" s="34" t="s">
        <v>114</v>
      </c>
      <c r="I822" s="31">
        <v>45945</v>
      </c>
      <c r="J822" s="26">
        <v>2.62</v>
      </c>
      <c r="K822" s="24">
        <v>0.64</v>
      </c>
      <c r="L822" s="33">
        <f>VLOOKUP(Table20[[#This Row],[Strategy]],Table29[#All],6,FALSE)</f>
        <v>1</v>
      </c>
      <c r="M822" s="23">
        <v>3</v>
      </c>
      <c r="N822" s="23">
        <v>2.06</v>
      </c>
      <c r="O822" s="23"/>
      <c r="P822" s="23"/>
      <c r="Q822">
        <f>Table20[[#This Row],[Exit1]]*Table20[[#This Row],[ex1_price]]</f>
        <v>6.18</v>
      </c>
      <c r="R822">
        <f>Table20[[#This Row],[Exit2]]*Table20[[#This Row],[ex2_price]]</f>
        <v>0</v>
      </c>
      <c r="S822">
        <f>IFERROR((Table20[[#This Row],[ex2_amnt]]+Table20[[#This Row],[ex1_amnt]])/(Table20[[#This Row],[Exit2]]+Table20[[#This Row],[Exit1]]),0)</f>
        <v>2.06</v>
      </c>
      <c r="T822" s="5">
        <f>(Table20[[#This Row],[Exit1]]+Table20[[#This Row],[Exit2]])*(Table20[[#This Row],[avg_exit_price]]-Table20[[#This Row],[AvePrice]])*100*Table20[[#This Row],[Buy or Sell]]</f>
        <v>-168.00000000000003</v>
      </c>
      <c r="U822" s="5">
        <f>Table20[[#This Row],[Number of options]]*Table20[[#This Row],[AvePrice]]*100*Table20[[#This Row],[Buy or Sell]]</f>
        <v>786</v>
      </c>
      <c r="V822" s="8">
        <f>Table20[[#This Row],[Number of options]]-Table20[[#This Row],[Exit1]]-Table20[[#This Row],[Exit2]]</f>
        <v>0</v>
      </c>
      <c r="W822" s="30">
        <f ca="1">(Table20[[#This Row],[Expiration Date]]-TODAY())/365</f>
        <v>-0.18904109589041096</v>
      </c>
      <c r="X822" s="30" t="e">
        <f ca="1">(LN(Table20[[#This Row],[Current Price]]/Table20[[#This Row],[strike_price]]) + ($B$2 + (Table20[[#This Row],[Vol]]^2)/2)*Table20[[#This Row],[Time to expiration]]) / (Table20[[#This Row],[Vol]] * SQRT(Table20[[#This Row],[Time to expiration]]))</f>
        <v>#NUM!</v>
      </c>
      <c r="Y822" s="30" t="e">
        <f ca="1">IF(Table20[[#This Row],[Direction]]&gt;0, _xlfn.NORM.S.DIST(Table20[[#This Row],[d1]], TRUE), _xlfn.NORM.S.DIST(Table20[[#This Row],[d1]], TRUE) - 1) * Table20[[#This Row],[Buy or Sell]]</f>
        <v>#NUM!</v>
      </c>
      <c r="Z822" s="9">
        <f ca="1">Table20[[#This Row],[Remaining]]*Table20[[#This Row],[Current Price]]*100</f>
        <v>0</v>
      </c>
      <c r="AA822" s="22">
        <f ca="1">IFERROR(Table20[[#This Row],[nominal_exposure]]*Table20[[#This Row],[Delta]],0)</f>
        <v>0</v>
      </c>
      <c r="AB822" s="30" t="b">
        <f>IF(Table20[[#This Row],[date_purchased]]&lt;&gt;Table20[[#This Row],[Expiration Date]],FALSE,TRUE)</f>
        <v>0</v>
      </c>
      <c r="AC822" s="30" t="str">
        <f>VLOOKUP(Table20[[#This Row],[Asset]],Table19[#All],3,FALSE)</f>
        <v>Consumer Discretionary</v>
      </c>
      <c r="AD822" s="30">
        <f>IF(Table20[[#This Row],[Remaining]]&lt;&gt;0,Table20[[#This Row],[Invested]]*Table20[[#This Row],[Remaining]]/Table20[[#This Row],[Number of options]],0)</f>
        <v>0</v>
      </c>
      <c r="AE822" s="30">
        <f ca="1">SUMIF(Table20[Ticker],Table20[[#This Row],[Ticker]],Table20[realized_profit])</f>
        <v>-1317.0000000000002</v>
      </c>
      <c r="AF822" s="30" t="str">
        <f>VLOOKUP(Table20[[#This Row],[Strategy]],Table29[#All],7,FALSE)</f>
        <v>Bullish</v>
      </c>
    </row>
    <row r="823" spans="1:32" hidden="1">
      <c r="A823" s="180">
        <v>46038</v>
      </c>
      <c r="B823" s="21" t="e" vm="64">
        <v>#VALUE!</v>
      </c>
      <c r="C823" s="109" t="str" cm="1">
        <f t="array" aca="1" ref="C823" ca="1">_FV(Table20[[#This Row],[Asset]],"Ticker symbol",TRUE)</f>
        <v>LULU</v>
      </c>
      <c r="D823" s="26" cm="1">
        <f t="array" aca="1" ref="D823" ca="1">_FV(Table20[[#This Row],[Asset]],"Price")</f>
        <v>159.22</v>
      </c>
      <c r="E823" s="26">
        <v>300</v>
      </c>
      <c r="F823" s="33">
        <v>3</v>
      </c>
      <c r="G823" s="34">
        <v>-1</v>
      </c>
      <c r="H823" s="34" t="s">
        <v>114</v>
      </c>
      <c r="I823" s="31">
        <v>45945</v>
      </c>
      <c r="J823" s="26">
        <v>0.97</v>
      </c>
      <c r="K823" s="24">
        <v>0.64</v>
      </c>
      <c r="L823" s="33">
        <f>VLOOKUP(Table20[[#This Row],[Strategy]],Table29[#All],6,FALSE)</f>
        <v>1</v>
      </c>
      <c r="M823" s="23">
        <v>3</v>
      </c>
      <c r="N823" s="23">
        <v>0.16</v>
      </c>
      <c r="O823" s="23"/>
      <c r="P823" s="23"/>
      <c r="Q823">
        <f>Table20[[#This Row],[Exit1]]*Table20[[#This Row],[ex1_price]]</f>
        <v>0.48</v>
      </c>
      <c r="R823">
        <f>Table20[[#This Row],[Exit2]]*Table20[[#This Row],[ex2_price]]</f>
        <v>0</v>
      </c>
      <c r="S823">
        <f>IFERROR((Table20[[#This Row],[ex2_amnt]]+Table20[[#This Row],[ex1_amnt]])/(Table20[[#This Row],[Exit2]]+Table20[[#This Row],[Exit1]]),0)</f>
        <v>0.16</v>
      </c>
      <c r="T823" s="5">
        <f>(Table20[[#This Row],[Exit1]]+Table20[[#This Row],[Exit2]])*(Table20[[#This Row],[avg_exit_price]]-Table20[[#This Row],[AvePrice]])*100*Table20[[#This Row],[Buy or Sell]]</f>
        <v>242.99999999999997</v>
      </c>
      <c r="U823" s="5">
        <f>Table20[[#This Row],[Number of options]]*Table20[[#This Row],[AvePrice]]*100*Table20[[#This Row],[Buy or Sell]]</f>
        <v>-291</v>
      </c>
      <c r="V823" s="8">
        <f>Table20[[#This Row],[Number of options]]-Table20[[#This Row],[Exit1]]-Table20[[#This Row],[Exit2]]</f>
        <v>0</v>
      </c>
      <c r="W823" s="30">
        <f ca="1">(Table20[[#This Row],[Expiration Date]]-TODAY())/365</f>
        <v>-0.18904109589041096</v>
      </c>
      <c r="X823" s="30" t="e">
        <f ca="1">(LN(Table20[[#This Row],[Current Price]]/Table20[[#This Row],[strike_price]]) + ($B$2 + (Table20[[#This Row],[Vol]]^2)/2)*Table20[[#This Row],[Time to expiration]]) / (Table20[[#This Row],[Vol]] * SQRT(Table20[[#This Row],[Time to expiration]]))</f>
        <v>#NUM!</v>
      </c>
      <c r="Y823" s="30" t="e">
        <f ca="1">IF(Table20[[#This Row],[Direction]]&gt;0, _xlfn.NORM.S.DIST(Table20[[#This Row],[d1]], TRUE), _xlfn.NORM.S.DIST(Table20[[#This Row],[d1]], TRUE) - 1) * Table20[[#This Row],[Buy or Sell]]</f>
        <v>#NUM!</v>
      </c>
      <c r="Z823" s="9">
        <f ca="1">Table20[[#This Row],[Remaining]]*Table20[[#This Row],[Current Price]]*100</f>
        <v>0</v>
      </c>
      <c r="AA823" s="22">
        <f ca="1">IFERROR(Table20[[#This Row],[nominal_exposure]]*Table20[[#This Row],[Delta]],0)</f>
        <v>0</v>
      </c>
      <c r="AB823" s="30" t="b">
        <f>IF(Table20[[#This Row],[date_purchased]]&lt;&gt;Table20[[#This Row],[Expiration Date]],FALSE,TRUE)</f>
        <v>0</v>
      </c>
      <c r="AC823" s="30" t="str">
        <f>VLOOKUP(Table20[[#This Row],[Asset]],Table19[#All],3,FALSE)</f>
        <v>Consumer Discretionary</v>
      </c>
      <c r="AD823" s="30">
        <f>IF(Table20[[#This Row],[Remaining]]&lt;&gt;0,Table20[[#This Row],[Invested]]*Table20[[#This Row],[Remaining]]/Table20[[#This Row],[Number of options]],0)</f>
        <v>0</v>
      </c>
      <c r="AE823" s="30">
        <f ca="1">SUMIF(Table20[Ticker],Table20[[#This Row],[Ticker]],Table20[realized_profit])</f>
        <v>-1317.0000000000002</v>
      </c>
      <c r="AF823" s="30" t="str">
        <f>VLOOKUP(Table20[[#This Row],[Strategy]],Table29[#All],7,FALSE)</f>
        <v>Bullish</v>
      </c>
    </row>
    <row r="824" spans="1:32" hidden="1">
      <c r="A824" s="180">
        <v>45975</v>
      </c>
      <c r="B824" s="21" t="e" vm="96">
        <v>#VALUE!</v>
      </c>
      <c r="C824" s="109" t="str" cm="1">
        <f t="array" aca="1" ref="C824" ca="1">_FV(Table20[[#This Row],[Asset]],"Ticker symbol",TRUE)</f>
        <v>SPY</v>
      </c>
      <c r="D824" s="26" cm="1">
        <f t="array" aca="1" ref="D824" ca="1">_FV(Table20[[#This Row],[Asset]],"Price")</f>
        <v>658.59</v>
      </c>
      <c r="E824" s="26">
        <v>675</v>
      </c>
      <c r="F824" s="33">
        <v>2</v>
      </c>
      <c r="G824" s="34">
        <v>1</v>
      </c>
      <c r="H824" s="34" t="s">
        <v>112</v>
      </c>
      <c r="I824" s="31">
        <v>45958</v>
      </c>
      <c r="J824" s="26">
        <v>3.46</v>
      </c>
      <c r="K824" s="24">
        <v>0.16</v>
      </c>
      <c r="L824" s="33">
        <f>VLOOKUP(Table20[[#This Row],[Strategy]],Table29[#All],6,FALSE)</f>
        <v>-1</v>
      </c>
      <c r="M824" s="23">
        <v>2</v>
      </c>
      <c r="N824" s="23">
        <v>8.94</v>
      </c>
      <c r="O824" s="23"/>
      <c r="P824" s="23"/>
      <c r="Q824">
        <f>Table20[[#This Row],[Exit1]]*Table20[[#This Row],[ex1_price]]</f>
        <v>17.88</v>
      </c>
      <c r="R824">
        <f>Table20[[#This Row],[Exit2]]*Table20[[#This Row],[ex2_price]]</f>
        <v>0</v>
      </c>
      <c r="S824">
        <f>IFERROR((Table20[[#This Row],[ex2_amnt]]+Table20[[#This Row],[ex1_amnt]])/(Table20[[#This Row],[Exit2]]+Table20[[#This Row],[Exit1]]),0)</f>
        <v>8.94</v>
      </c>
      <c r="T824" s="5">
        <f>(Table20[[#This Row],[Exit1]]+Table20[[#This Row],[Exit2]])*(Table20[[#This Row],[avg_exit_price]]-Table20[[#This Row],[AvePrice]])*100*Table20[[#This Row],[Buy or Sell]]</f>
        <v>1096</v>
      </c>
      <c r="U824" s="5">
        <f>Table20[[#This Row],[Number of options]]*Table20[[#This Row],[AvePrice]]*100*Table20[[#This Row],[Buy or Sell]]</f>
        <v>692</v>
      </c>
      <c r="V824" s="8">
        <f>Table20[[#This Row],[Number of options]]-Table20[[#This Row],[Exit1]]-Table20[[#This Row],[Exit2]]</f>
        <v>0</v>
      </c>
      <c r="W824" s="30">
        <f ca="1">(Table20[[#This Row],[Expiration Date]]-TODAY())/365</f>
        <v>-0.36164383561643837</v>
      </c>
      <c r="X824" s="30" t="e">
        <f ca="1">(LN(Table20[[#This Row],[Current Price]]/Table20[[#This Row],[strike_price]]) + ($B$2 + (Table20[[#This Row],[Vol]]^2)/2)*Table20[[#This Row],[Time to expiration]]) / (Table20[[#This Row],[Vol]] * SQRT(Table20[[#This Row],[Time to expiration]]))</f>
        <v>#NUM!</v>
      </c>
      <c r="Y824" s="30" t="e">
        <f ca="1">IF(Table20[[#This Row],[Direction]]&gt;0, _xlfn.NORM.S.DIST(Table20[[#This Row],[d1]], TRUE), _xlfn.NORM.S.DIST(Table20[[#This Row],[d1]], TRUE) - 1) * Table20[[#This Row],[Buy or Sell]]</f>
        <v>#NUM!</v>
      </c>
      <c r="Z824" s="9">
        <f ca="1">Table20[[#This Row],[Remaining]]*Table20[[#This Row],[Current Price]]*100</f>
        <v>0</v>
      </c>
      <c r="AA824" s="22">
        <f ca="1">IFERROR(Table20[[#This Row],[nominal_exposure]]*Table20[[#This Row],[Delta]],0)</f>
        <v>0</v>
      </c>
      <c r="AB824" s="30" t="b">
        <f>IF(Table20[[#This Row],[date_purchased]]&lt;&gt;Table20[[#This Row],[Expiration Date]],FALSE,TRUE)</f>
        <v>0</v>
      </c>
      <c r="AC824" s="30" t="str">
        <f>VLOOKUP(Table20[[#This Row],[Asset]],Table19[#All],3,FALSE)</f>
        <v>Market</v>
      </c>
      <c r="AD824" s="30">
        <f>IF(Table20[[#This Row],[Remaining]]&lt;&gt;0,Table20[[#This Row],[Invested]]*Table20[[#This Row],[Remaining]]/Table20[[#This Row],[Number of options]],0)</f>
        <v>0</v>
      </c>
      <c r="AE824" s="30">
        <f ca="1">SUMIF(Table20[Ticker],Table20[[#This Row],[Ticker]],Table20[realized_profit])</f>
        <v>-5077</v>
      </c>
      <c r="AF824" s="30" t="str">
        <f>VLOOKUP(Table20[[#This Row],[Strategy]],Table29[#All],7,FALSE)</f>
        <v>Bearish</v>
      </c>
    </row>
    <row r="825" spans="1:32" hidden="1">
      <c r="A825" s="180">
        <v>45975</v>
      </c>
      <c r="B825" s="21" t="e" vm="96">
        <v>#VALUE!</v>
      </c>
      <c r="C825" s="109" t="str" cm="1">
        <f t="array" aca="1" ref="C825" ca="1">_FV(Table20[[#This Row],[Asset]],"Ticker symbol",TRUE)</f>
        <v>SPY</v>
      </c>
      <c r="D825" s="26" cm="1">
        <f t="array" aca="1" ref="D825" ca="1">_FV(Table20[[#This Row],[Asset]],"Price")</f>
        <v>658.59</v>
      </c>
      <c r="E825" s="26">
        <v>660</v>
      </c>
      <c r="F825" s="33">
        <v>2</v>
      </c>
      <c r="G825" s="34">
        <v>-1</v>
      </c>
      <c r="H825" s="34" t="s">
        <v>112</v>
      </c>
      <c r="I825" s="31">
        <v>45958</v>
      </c>
      <c r="J825" s="26">
        <v>1.64</v>
      </c>
      <c r="K825" s="24">
        <v>0.16</v>
      </c>
      <c r="L825" s="33">
        <f>VLOOKUP(Table20[[#This Row],[Strategy]],Table29[#All],6,FALSE)</f>
        <v>-1</v>
      </c>
      <c r="M825" s="23">
        <v>2</v>
      </c>
      <c r="N825" s="23">
        <v>3.48</v>
      </c>
      <c r="O825" s="23"/>
      <c r="P825" s="23"/>
      <c r="Q825">
        <f>Table20[[#This Row],[Exit1]]*Table20[[#This Row],[ex1_price]]</f>
        <v>6.96</v>
      </c>
      <c r="R825">
        <f>Table20[[#This Row],[Exit2]]*Table20[[#This Row],[ex2_price]]</f>
        <v>0</v>
      </c>
      <c r="S825">
        <f>IFERROR((Table20[[#This Row],[ex2_amnt]]+Table20[[#This Row],[ex1_amnt]])/(Table20[[#This Row],[Exit2]]+Table20[[#This Row],[Exit1]]),0)</f>
        <v>3.48</v>
      </c>
      <c r="T825" s="5">
        <f>(Table20[[#This Row],[Exit1]]+Table20[[#This Row],[Exit2]])*(Table20[[#This Row],[avg_exit_price]]-Table20[[#This Row],[AvePrice]])*100*Table20[[#This Row],[Buy or Sell]]</f>
        <v>-368</v>
      </c>
      <c r="U825" s="5">
        <f>Table20[[#This Row],[Number of options]]*Table20[[#This Row],[AvePrice]]*100*Table20[[#This Row],[Buy or Sell]]</f>
        <v>-328</v>
      </c>
      <c r="V825" s="8">
        <f>Table20[[#This Row],[Number of options]]-Table20[[#This Row],[Exit1]]-Table20[[#This Row],[Exit2]]</f>
        <v>0</v>
      </c>
      <c r="W825" s="30">
        <f ca="1">(Table20[[#This Row],[Expiration Date]]-TODAY())/365</f>
        <v>-0.36164383561643837</v>
      </c>
      <c r="X825" s="30" t="e">
        <f ca="1">(LN(Table20[[#This Row],[Current Price]]/Table20[[#This Row],[strike_price]]) + ($B$2 + (Table20[[#This Row],[Vol]]^2)/2)*Table20[[#This Row],[Time to expiration]]) / (Table20[[#This Row],[Vol]] * SQRT(Table20[[#This Row],[Time to expiration]]))</f>
        <v>#NUM!</v>
      </c>
      <c r="Y825" s="30" t="e">
        <f ca="1">IF(Table20[[#This Row],[Direction]]&gt;0, _xlfn.NORM.S.DIST(Table20[[#This Row],[d1]], TRUE), _xlfn.NORM.S.DIST(Table20[[#This Row],[d1]], TRUE) - 1) * Table20[[#This Row],[Buy or Sell]]</f>
        <v>#NUM!</v>
      </c>
      <c r="Z825" s="9">
        <f ca="1">Table20[[#This Row],[Remaining]]*Table20[[#This Row],[Current Price]]*100</f>
        <v>0</v>
      </c>
      <c r="AA825" s="22">
        <f ca="1">IFERROR(Table20[[#This Row],[nominal_exposure]]*Table20[[#This Row],[Delta]],0)</f>
        <v>0</v>
      </c>
      <c r="AB825" s="30" t="b">
        <f>IF(Table20[[#This Row],[date_purchased]]&lt;&gt;Table20[[#This Row],[Expiration Date]],FALSE,TRUE)</f>
        <v>0</v>
      </c>
      <c r="AC825" s="30" t="str">
        <f>VLOOKUP(Table20[[#This Row],[Asset]],Table19[#All],3,FALSE)</f>
        <v>Market</v>
      </c>
      <c r="AD825" s="30">
        <f>IF(Table20[[#This Row],[Remaining]]&lt;&gt;0,Table20[[#This Row],[Invested]]*Table20[[#This Row],[Remaining]]/Table20[[#This Row],[Number of options]],0)</f>
        <v>0</v>
      </c>
      <c r="AE825" s="30">
        <f ca="1">SUMIF(Table20[Ticker],Table20[[#This Row],[Ticker]],Table20[realized_profit])</f>
        <v>-5077</v>
      </c>
      <c r="AF825" s="30" t="str">
        <f>VLOOKUP(Table20[[#This Row],[Strategy]],Table29[#All],7,FALSE)</f>
        <v>Bearish</v>
      </c>
    </row>
    <row r="826" spans="1:32">
      <c r="A826" s="180">
        <v>46038</v>
      </c>
      <c r="B826" s="21" t="e" vm="560">
        <v>#VALUE!</v>
      </c>
      <c r="C826" s="109" t="str" cm="1">
        <f t="array" aca="1" ref="C826" ca="1">_FV(Table20[[#This Row],[Asset]],"Ticker symbol",TRUE)</f>
        <v>IBIT</v>
      </c>
      <c r="D826" s="26" cm="1">
        <f t="array" aca="1" ref="D826" ca="1">_FV(Table20[[#This Row],[Asset]],"Price")</f>
        <v>40.43</v>
      </c>
      <c r="E826" s="26">
        <v>75</v>
      </c>
      <c r="F826" s="33">
        <v>3</v>
      </c>
      <c r="G826" s="34">
        <v>1</v>
      </c>
      <c r="H826" s="34" t="s">
        <v>113</v>
      </c>
      <c r="I826" s="31">
        <v>45963</v>
      </c>
      <c r="J826" s="26">
        <v>1.68</v>
      </c>
      <c r="K826" s="24">
        <v>0.49</v>
      </c>
      <c r="L826" s="33">
        <f>VLOOKUP(Table20[[#This Row],[Strategy]],Table29[#All],6,FALSE)</f>
        <v>1</v>
      </c>
      <c r="M826" s="23"/>
      <c r="N826" s="23"/>
      <c r="O826" s="23"/>
      <c r="P826" s="23"/>
      <c r="Q826">
        <f>Table20[[#This Row],[Exit1]]*Table20[[#This Row],[ex1_price]]</f>
        <v>0</v>
      </c>
      <c r="R826">
        <f>Table20[[#This Row],[Exit2]]*Table20[[#This Row],[ex2_price]]</f>
        <v>0</v>
      </c>
      <c r="S826">
        <f>IFERROR((Table20[[#This Row],[ex2_amnt]]+Table20[[#This Row],[ex1_amnt]])/(Table20[[#This Row],[Exit2]]+Table20[[#This Row],[Exit1]]),0)</f>
        <v>0</v>
      </c>
      <c r="T826" s="5">
        <f>(Table20[[#This Row],[Exit1]]+Table20[[#This Row],[Exit2]])*(Table20[[#This Row],[avg_exit_price]]-Table20[[#This Row],[AvePrice]])*100*Table20[[#This Row],[Buy or Sell]]</f>
        <v>0</v>
      </c>
      <c r="U826" s="5">
        <f>Table20[[#This Row],[Number of options]]*Table20[[#This Row],[AvePrice]]*100*Table20[[#This Row],[Buy or Sell]]</f>
        <v>504</v>
      </c>
      <c r="V826" s="8">
        <f>Table20[[#This Row],[Number of options]]-Table20[[#This Row],[Exit1]]-Table20[[#This Row],[Exit2]]</f>
        <v>3</v>
      </c>
      <c r="W826" s="30">
        <f ca="1">(Table20[[#This Row],[Expiration Date]]-TODAY())/365</f>
        <v>-0.18904109589041096</v>
      </c>
      <c r="X826" s="30" t="e">
        <f ca="1">(LN(Table20[[#This Row],[Current Price]]/Table20[[#This Row],[strike_price]]) + ($B$2 + (Table20[[#This Row],[Vol]]^2)/2)*Table20[[#This Row],[Time to expiration]]) / (Table20[[#This Row],[Vol]] * SQRT(Table20[[#This Row],[Time to expiration]]))</f>
        <v>#NUM!</v>
      </c>
      <c r="Y826" s="30" t="e">
        <f ca="1">IF(Table20[[#This Row],[Direction]]&gt;0, _xlfn.NORM.S.DIST(Table20[[#This Row],[d1]], TRUE), _xlfn.NORM.S.DIST(Table20[[#This Row],[d1]], TRUE) - 1) * Table20[[#This Row],[Buy or Sell]]</f>
        <v>#NUM!</v>
      </c>
      <c r="Z826" s="9">
        <f ca="1">Table20[[#This Row],[Remaining]]*Table20[[#This Row],[Current Price]]*100</f>
        <v>12129</v>
      </c>
      <c r="AA826" s="22">
        <f ca="1">IFERROR(Table20[[#This Row],[nominal_exposure]]*Table20[[#This Row],[Delta]],0)</f>
        <v>0</v>
      </c>
      <c r="AB826" s="30" t="b">
        <f>IF(Table20[[#This Row],[date_purchased]]&lt;&gt;Table20[[#This Row],[Expiration Date]],FALSE,TRUE)</f>
        <v>0</v>
      </c>
      <c r="AC826" s="30" t="str">
        <f>VLOOKUP(Table20[[#This Row],[Asset]],Table19[#All],3,FALSE)</f>
        <v>Crypto</v>
      </c>
      <c r="AD826" s="30">
        <f>IF(Table20[[#This Row],[Remaining]]&lt;&gt;0,Table20[[#This Row],[Invested]]*Table20[[#This Row],[Remaining]]/Table20[[#This Row],[Number of options]],0)</f>
        <v>504</v>
      </c>
      <c r="AE826" s="30">
        <f ca="1">SUMIF(Table20[Ticker],Table20[[#This Row],[Ticker]],Table20[realized_profit])</f>
        <v>-41.999999999999972</v>
      </c>
      <c r="AF826" s="30" t="str">
        <f>VLOOKUP(Table20[[#This Row],[Strategy]],Table29[#All],7,FALSE)</f>
        <v>Bullish</v>
      </c>
    </row>
    <row r="827" spans="1:32" hidden="1">
      <c r="A827" s="180">
        <v>45982</v>
      </c>
      <c r="B827" s="21" t="e" vm="204">
        <v>#VALUE!</v>
      </c>
      <c r="C827" s="109" t="str" cm="1">
        <f t="array" aca="1" ref="C827" ca="1">_FV(Table20[[#This Row],[Asset]],"Ticker symbol",TRUE)</f>
        <v>CRWV</v>
      </c>
      <c r="D827" s="26" cm="1">
        <f t="array" aca="1" ref="D827" ca="1">_FV(Table20[[#This Row],[Asset]],"Price")</f>
        <v>87.924999999999997</v>
      </c>
      <c r="E827" s="26">
        <v>160</v>
      </c>
      <c r="F827" s="33">
        <v>3</v>
      </c>
      <c r="G827" s="34">
        <v>-1</v>
      </c>
      <c r="H827" s="34" t="s">
        <v>115</v>
      </c>
      <c r="I827" s="31">
        <v>45968</v>
      </c>
      <c r="J827" s="26">
        <v>0.55000000000000004</v>
      </c>
      <c r="K827" s="24">
        <v>1.3</v>
      </c>
      <c r="L827" s="33">
        <f>VLOOKUP(Table20[[#This Row],[Strategy]],Table29[#All],6,FALSE)</f>
        <v>1</v>
      </c>
      <c r="M827" s="23">
        <v>3</v>
      </c>
      <c r="N827" s="23">
        <v>7.0000000000000007E-2</v>
      </c>
      <c r="O827" s="23"/>
      <c r="P827" s="23"/>
      <c r="Q827">
        <f>Table20[[#This Row],[Exit1]]*Table20[[#This Row],[ex1_price]]</f>
        <v>0.21000000000000002</v>
      </c>
      <c r="R827">
        <f>Table20[[#This Row],[Exit2]]*Table20[[#This Row],[ex2_price]]</f>
        <v>0</v>
      </c>
      <c r="S827">
        <f>IFERROR((Table20[[#This Row],[ex2_amnt]]+Table20[[#This Row],[ex1_amnt]])/(Table20[[#This Row],[Exit2]]+Table20[[#This Row],[Exit1]]),0)</f>
        <v>7.0000000000000007E-2</v>
      </c>
      <c r="T827" s="5">
        <f>(Table20[[#This Row],[Exit1]]+Table20[[#This Row],[Exit2]])*(Table20[[#This Row],[avg_exit_price]]-Table20[[#This Row],[AvePrice]])*100*Table20[[#This Row],[Buy or Sell]]</f>
        <v>144.00000000000003</v>
      </c>
      <c r="U827" s="5">
        <f>Table20[[#This Row],[Number of options]]*Table20[[#This Row],[AvePrice]]*100*Table20[[#This Row],[Buy or Sell]]</f>
        <v>-165</v>
      </c>
      <c r="V827" s="8">
        <f>Table20[[#This Row],[Number of options]]-Table20[[#This Row],[Exit1]]-Table20[[#This Row],[Exit2]]</f>
        <v>0</v>
      </c>
      <c r="W827" s="30">
        <f ca="1">(Table20[[#This Row],[Expiration Date]]-TODAY())/365</f>
        <v>-0.34246575342465752</v>
      </c>
      <c r="X827" s="30" t="e">
        <f ca="1">(LN(Table20[[#This Row],[Current Price]]/Table20[[#This Row],[strike_price]]) + ($B$2 + (Table20[[#This Row],[Vol]]^2)/2)*Table20[[#This Row],[Time to expiration]]) / (Table20[[#This Row],[Vol]] * SQRT(Table20[[#This Row],[Time to expiration]]))</f>
        <v>#NUM!</v>
      </c>
      <c r="Y827" s="30" t="e">
        <f ca="1">IF(Table20[[#This Row],[Direction]]&gt;0, _xlfn.NORM.S.DIST(Table20[[#This Row],[d1]], TRUE), _xlfn.NORM.S.DIST(Table20[[#This Row],[d1]], TRUE) - 1) * Table20[[#This Row],[Buy or Sell]]</f>
        <v>#NUM!</v>
      </c>
      <c r="Z827" s="9">
        <f ca="1">Table20[[#This Row],[Remaining]]*Table20[[#This Row],[Current Price]]*100</f>
        <v>0</v>
      </c>
      <c r="AA827" s="22">
        <f ca="1">IFERROR(Table20[[#This Row],[nominal_exposure]]*Table20[[#This Row],[Delta]],0)</f>
        <v>0</v>
      </c>
      <c r="AB827" s="30" t="b">
        <f>IF(Table20[[#This Row],[date_purchased]]&lt;&gt;Table20[[#This Row],[Expiration Date]],FALSE,TRUE)</f>
        <v>0</v>
      </c>
      <c r="AC827" s="30" t="str">
        <f>VLOOKUP(Table20[[#This Row],[Asset]],Table19[#All],3,FALSE)</f>
        <v>AI</v>
      </c>
      <c r="AD827" s="30">
        <f>IF(Table20[[#This Row],[Remaining]]&lt;&gt;0,Table20[[#This Row],[Invested]]*Table20[[#This Row],[Remaining]]/Table20[[#This Row],[Number of options]],0)</f>
        <v>0</v>
      </c>
      <c r="AE827" s="30">
        <f ca="1">SUMIF(Table20[Ticker],Table20[[#This Row],[Ticker]],Table20[realized_profit])</f>
        <v>652.99999999999989</v>
      </c>
      <c r="AF827" s="30" t="str">
        <f>VLOOKUP(Table20[[#This Row],[Strategy]],Table29[#All],7,FALSE)</f>
        <v>Bullish</v>
      </c>
    </row>
    <row r="828" spans="1:32" hidden="1">
      <c r="A828" s="180">
        <v>46010</v>
      </c>
      <c r="B828" s="21" t="e" vm="204">
        <v>#VALUE!</v>
      </c>
      <c r="C828" s="109" t="str" cm="1">
        <f t="array" aca="1" ref="C828" ca="1">_FV(Table20[[#This Row],[Asset]],"Ticker symbol",TRUE)</f>
        <v>CRWV</v>
      </c>
      <c r="D828" s="26" cm="1">
        <f t="array" aca="1" ref="D828" ca="1">_FV(Table20[[#This Row],[Asset]],"Price")</f>
        <v>87.924999999999997</v>
      </c>
      <c r="E828" s="26">
        <v>160</v>
      </c>
      <c r="F828" s="33">
        <v>3</v>
      </c>
      <c r="G828" s="34">
        <v>1</v>
      </c>
      <c r="H828" s="34" t="s">
        <v>115</v>
      </c>
      <c r="I828" s="31">
        <v>45968</v>
      </c>
      <c r="J828" s="26">
        <v>2.1</v>
      </c>
      <c r="K828" s="24">
        <v>1.3</v>
      </c>
      <c r="L828" s="33">
        <f>VLOOKUP(Table20[[#This Row],[Strategy]],Table29[#All],6,FALSE)</f>
        <v>1</v>
      </c>
      <c r="M828" s="23">
        <v>3</v>
      </c>
      <c r="N828" s="23">
        <v>0.42</v>
      </c>
      <c r="O828" s="23"/>
      <c r="P828" s="23"/>
      <c r="Q828">
        <f>Table20[[#This Row],[Exit1]]*Table20[[#This Row],[ex1_price]]</f>
        <v>1.26</v>
      </c>
      <c r="R828">
        <f>Table20[[#This Row],[Exit2]]*Table20[[#This Row],[ex2_price]]</f>
        <v>0</v>
      </c>
      <c r="S828">
        <f>IFERROR((Table20[[#This Row],[ex2_amnt]]+Table20[[#This Row],[ex1_amnt]])/(Table20[[#This Row],[Exit2]]+Table20[[#This Row],[Exit1]]),0)</f>
        <v>0.42</v>
      </c>
      <c r="T828" s="5">
        <f>(Table20[[#This Row],[Exit1]]+Table20[[#This Row],[Exit2]])*(Table20[[#This Row],[avg_exit_price]]-Table20[[#This Row],[AvePrice]])*100*Table20[[#This Row],[Buy or Sell]]</f>
        <v>-504.00000000000011</v>
      </c>
      <c r="U828" s="5">
        <f>Table20[[#This Row],[Number of options]]*Table20[[#This Row],[AvePrice]]*100*Table20[[#This Row],[Buy or Sell]]</f>
        <v>630.00000000000011</v>
      </c>
      <c r="V828" s="8">
        <f>Table20[[#This Row],[Number of options]]-Table20[[#This Row],[Exit1]]-Table20[[#This Row],[Exit2]]</f>
        <v>0</v>
      </c>
      <c r="W828" s="30">
        <f ca="1">(Table20[[#This Row],[Expiration Date]]-TODAY())/365</f>
        <v>-0.26575342465753427</v>
      </c>
      <c r="X828" s="30" t="e">
        <f ca="1">(LN(Table20[[#This Row],[Current Price]]/Table20[[#This Row],[strike_price]]) + ($B$2 + (Table20[[#This Row],[Vol]]^2)/2)*Table20[[#This Row],[Time to expiration]]) / (Table20[[#This Row],[Vol]] * SQRT(Table20[[#This Row],[Time to expiration]]))</f>
        <v>#NUM!</v>
      </c>
      <c r="Y828" s="30" t="e">
        <f ca="1">IF(Table20[[#This Row],[Direction]]&gt;0, _xlfn.NORM.S.DIST(Table20[[#This Row],[d1]], TRUE), _xlfn.NORM.S.DIST(Table20[[#This Row],[d1]], TRUE) - 1) * Table20[[#This Row],[Buy or Sell]]</f>
        <v>#NUM!</v>
      </c>
      <c r="Z828" s="9">
        <f ca="1">Table20[[#This Row],[Remaining]]*Table20[[#This Row],[Current Price]]*100</f>
        <v>0</v>
      </c>
      <c r="AA828" s="22">
        <f ca="1">IFERROR(Table20[[#This Row],[nominal_exposure]]*Table20[[#This Row],[Delta]],0)</f>
        <v>0</v>
      </c>
      <c r="AB828" s="30" t="b">
        <f>IF(Table20[[#This Row],[date_purchased]]&lt;&gt;Table20[[#This Row],[Expiration Date]],FALSE,TRUE)</f>
        <v>0</v>
      </c>
      <c r="AC828" s="30" t="str">
        <f>VLOOKUP(Table20[[#This Row],[Asset]],Table19[#All],3,FALSE)</f>
        <v>AI</v>
      </c>
      <c r="AD828" s="30">
        <f>IF(Table20[[#This Row],[Remaining]]&lt;&gt;0,Table20[[#This Row],[Invested]]*Table20[[#This Row],[Remaining]]/Table20[[#This Row],[Number of options]],0)</f>
        <v>0</v>
      </c>
      <c r="AE828" s="30">
        <f ca="1">SUMIF(Table20[Ticker],Table20[[#This Row],[Ticker]],Table20[realized_profit])</f>
        <v>652.99999999999989</v>
      </c>
      <c r="AF828" s="30" t="str">
        <f>VLOOKUP(Table20[[#This Row],[Strategy]],Table29[#All],7,FALSE)</f>
        <v>Bullish</v>
      </c>
    </row>
    <row r="829" spans="1:32">
      <c r="A829" s="180">
        <v>45673</v>
      </c>
      <c r="B829" s="21" t="e" vm="24">
        <v>#VALUE!</v>
      </c>
      <c r="C829" s="109" t="str" cm="1">
        <f t="array" aca="1" ref="C829" ca="1">_FV(Table20[[#This Row],[Asset]],"Ticker symbol",TRUE)</f>
        <v>QCOM</v>
      </c>
      <c r="D829" s="26" cm="1">
        <f t="array" aca="1" ref="D829" ca="1">_FV(Table20[[#This Row],[Asset]],"Price")</f>
        <v>131.63499999999999</v>
      </c>
      <c r="E829" s="26">
        <v>200</v>
      </c>
      <c r="F829" s="33">
        <v>2</v>
      </c>
      <c r="G829" s="34">
        <v>1</v>
      </c>
      <c r="H829" s="34" t="s">
        <v>113</v>
      </c>
      <c r="I829" s="31">
        <v>45968</v>
      </c>
      <c r="J829" s="26">
        <v>2.92</v>
      </c>
      <c r="K829" s="24">
        <v>0.36</v>
      </c>
      <c r="L829" s="33">
        <f>VLOOKUP(Table20[[#This Row],[Strategy]],Table29[#All],6,FALSE)</f>
        <v>1</v>
      </c>
      <c r="M829" s="23"/>
      <c r="N829" s="23"/>
      <c r="O829" s="23"/>
      <c r="P829" s="23"/>
      <c r="Q829">
        <f>Table20[[#This Row],[Exit1]]*Table20[[#This Row],[ex1_price]]</f>
        <v>0</v>
      </c>
      <c r="R829">
        <f>Table20[[#This Row],[Exit2]]*Table20[[#This Row],[ex2_price]]</f>
        <v>0</v>
      </c>
      <c r="S829">
        <f>IFERROR((Table20[[#This Row],[ex2_amnt]]+Table20[[#This Row],[ex1_amnt]])/(Table20[[#This Row],[Exit2]]+Table20[[#This Row],[Exit1]]),0)</f>
        <v>0</v>
      </c>
      <c r="T829" s="5">
        <f>(Table20[[#This Row],[Exit1]]+Table20[[#This Row],[Exit2]])*(Table20[[#This Row],[avg_exit_price]]-Table20[[#This Row],[AvePrice]])*100*Table20[[#This Row],[Buy or Sell]]</f>
        <v>0</v>
      </c>
      <c r="U829" s="5">
        <f>Table20[[#This Row],[Number of options]]*Table20[[#This Row],[AvePrice]]*100*Table20[[#This Row],[Buy or Sell]]</f>
        <v>584</v>
      </c>
      <c r="V829" s="8">
        <f>Table20[[#This Row],[Number of options]]-Table20[[#This Row],[Exit1]]-Table20[[#This Row],[Exit2]]</f>
        <v>2</v>
      </c>
      <c r="W829" s="30">
        <f ca="1">(Table20[[#This Row],[Expiration Date]]-TODAY())/365</f>
        <v>-1.189041095890411</v>
      </c>
      <c r="X829" s="30" t="e">
        <f ca="1">(LN(Table20[[#This Row],[Current Price]]/Table20[[#This Row],[strike_price]]) + ($B$2 + (Table20[[#This Row],[Vol]]^2)/2)*Table20[[#This Row],[Time to expiration]]) / (Table20[[#This Row],[Vol]] * SQRT(Table20[[#This Row],[Time to expiration]]))</f>
        <v>#NUM!</v>
      </c>
      <c r="Y829" s="30" t="e">
        <f ca="1">IF(Table20[[#This Row],[Direction]]&gt;0, _xlfn.NORM.S.DIST(Table20[[#This Row],[d1]], TRUE), _xlfn.NORM.S.DIST(Table20[[#This Row],[d1]], TRUE) - 1) * Table20[[#This Row],[Buy or Sell]]</f>
        <v>#NUM!</v>
      </c>
      <c r="Z829" s="9">
        <f ca="1">Table20[[#This Row],[Remaining]]*Table20[[#This Row],[Current Price]]*100</f>
        <v>26327</v>
      </c>
      <c r="AA829" s="22">
        <f ca="1">IFERROR(Table20[[#This Row],[nominal_exposure]]*Table20[[#This Row],[Delta]],0)</f>
        <v>0</v>
      </c>
      <c r="AB829" s="30" t="b">
        <f>IF(Table20[[#This Row],[date_purchased]]&lt;&gt;Table20[[#This Row],[Expiration Date]],FALSE,TRUE)</f>
        <v>0</v>
      </c>
      <c r="AC829" s="30" t="str">
        <f>VLOOKUP(Table20[[#This Row],[Asset]],Table19[#All],3,FALSE)</f>
        <v>AI</v>
      </c>
      <c r="AD829" s="30">
        <f>IF(Table20[[#This Row],[Remaining]]&lt;&gt;0,Table20[[#This Row],[Invested]]*Table20[[#This Row],[Remaining]]/Table20[[#This Row],[Number of options]],0)</f>
        <v>584</v>
      </c>
      <c r="AE829" s="30">
        <f ca="1">SUMIF(Table20[Ticker],Table20[[#This Row],[Ticker]],Table20[realized_profit])</f>
        <v>-2175.9999999999995</v>
      </c>
      <c r="AF829" s="30" t="str">
        <f>VLOOKUP(Table20[[#This Row],[Strategy]],Table29[#All],7,FALSE)</f>
        <v>Bullish</v>
      </c>
    </row>
    <row r="830" spans="1:32">
      <c r="A830" s="180">
        <v>45673</v>
      </c>
      <c r="B830" s="21" t="e" vm="189">
        <v>#VALUE!</v>
      </c>
      <c r="C830" s="109" t="str" cm="1">
        <f t="array" aca="1" ref="C830" ca="1">_FV(Table20[[#This Row],[Asset]],"Ticker symbol",TRUE)</f>
        <v>NVO</v>
      </c>
      <c r="D830" s="26" cm="1">
        <f t="array" aca="1" ref="D830" ca="1">_FV(Table20[[#This Row],[Asset]],"Price")</f>
        <v>37.049999999999997</v>
      </c>
      <c r="E830" s="26">
        <v>60</v>
      </c>
      <c r="F830" s="33">
        <v>3</v>
      </c>
      <c r="G830" s="34">
        <v>1</v>
      </c>
      <c r="H830" s="34" t="s">
        <v>113</v>
      </c>
      <c r="I830" s="31">
        <v>45972</v>
      </c>
      <c r="J830" s="26">
        <v>1.35</v>
      </c>
      <c r="K830" s="24">
        <v>0.56999999999999995</v>
      </c>
      <c r="L830" s="33">
        <f>VLOOKUP(Table20[[#This Row],[Strategy]],Table29[#All],6,FALSE)</f>
        <v>1</v>
      </c>
      <c r="M830" s="23"/>
      <c r="N830" s="23"/>
      <c r="O830" s="23"/>
      <c r="P830" s="23"/>
      <c r="Q830">
        <f>Table20[[#This Row],[Exit1]]*Table20[[#This Row],[ex1_price]]</f>
        <v>0</v>
      </c>
      <c r="R830">
        <f>Table20[[#This Row],[Exit2]]*Table20[[#This Row],[ex2_price]]</f>
        <v>0</v>
      </c>
      <c r="S830">
        <f>IFERROR((Table20[[#This Row],[ex2_amnt]]+Table20[[#This Row],[ex1_amnt]])/(Table20[[#This Row],[Exit2]]+Table20[[#This Row],[Exit1]]),0)</f>
        <v>0</v>
      </c>
      <c r="T830" s="5">
        <f>(Table20[[#This Row],[Exit1]]+Table20[[#This Row],[Exit2]])*(Table20[[#This Row],[avg_exit_price]]-Table20[[#This Row],[AvePrice]])*100*Table20[[#This Row],[Buy or Sell]]</f>
        <v>0</v>
      </c>
      <c r="U830" s="5">
        <f>Table20[[#This Row],[Number of options]]*Table20[[#This Row],[AvePrice]]*100*Table20[[#This Row],[Buy or Sell]]</f>
        <v>405.00000000000006</v>
      </c>
      <c r="V830" s="8">
        <f>Table20[[#This Row],[Number of options]]-Table20[[#This Row],[Exit1]]-Table20[[#This Row],[Exit2]]</f>
        <v>3</v>
      </c>
      <c r="W830" s="30">
        <f ca="1">(Table20[[#This Row],[Expiration Date]]-TODAY())/365</f>
        <v>-1.189041095890411</v>
      </c>
      <c r="X830" s="30" t="e">
        <f ca="1">(LN(Table20[[#This Row],[Current Price]]/Table20[[#This Row],[strike_price]]) + ($B$2 + (Table20[[#This Row],[Vol]]^2)/2)*Table20[[#This Row],[Time to expiration]]) / (Table20[[#This Row],[Vol]] * SQRT(Table20[[#This Row],[Time to expiration]]))</f>
        <v>#NUM!</v>
      </c>
      <c r="Y830" s="30" t="e">
        <f ca="1">IF(Table20[[#This Row],[Direction]]&gt;0, _xlfn.NORM.S.DIST(Table20[[#This Row],[d1]], TRUE), _xlfn.NORM.S.DIST(Table20[[#This Row],[d1]], TRUE) - 1) * Table20[[#This Row],[Buy or Sell]]</f>
        <v>#NUM!</v>
      </c>
      <c r="Z830" s="9">
        <f ca="1">Table20[[#This Row],[Remaining]]*Table20[[#This Row],[Current Price]]*100</f>
        <v>11115</v>
      </c>
      <c r="AA830" s="22">
        <f ca="1">IFERROR(Table20[[#This Row],[nominal_exposure]]*Table20[[#This Row],[Delta]],0)</f>
        <v>0</v>
      </c>
      <c r="AB830" s="30" t="b">
        <f>IF(Table20[[#This Row],[date_purchased]]&lt;&gt;Table20[[#This Row],[Expiration Date]],FALSE,TRUE)</f>
        <v>0</v>
      </c>
      <c r="AC830" s="30" t="str">
        <f>VLOOKUP(Table20[[#This Row],[Asset]],Table19[#All],3,FALSE)</f>
        <v>Health Care</v>
      </c>
      <c r="AD830" s="30">
        <f>IF(Table20[[#This Row],[Remaining]]&lt;&gt;0,Table20[[#This Row],[Invested]]*Table20[[#This Row],[Remaining]]/Table20[[#This Row],[Number of options]],0)</f>
        <v>405.00000000000006</v>
      </c>
      <c r="AE830" s="30">
        <f ca="1">SUMIF(Table20[Ticker],Table20[[#This Row],[Ticker]],Table20[realized_profit])</f>
        <v>0</v>
      </c>
      <c r="AF830" s="30" t="str">
        <f>VLOOKUP(Table20[[#This Row],[Strategy]],Table29[#All],7,FALSE)</f>
        <v>Bullish</v>
      </c>
    </row>
    <row r="831" spans="1:32">
      <c r="A831" s="180">
        <v>46038</v>
      </c>
      <c r="B831" s="21" t="e" vm="159">
        <v>#VALUE!</v>
      </c>
      <c r="C831" s="109" t="str" cm="1">
        <f t="array" aca="1" ref="C831" ca="1">_FV(Table20[[#This Row],[Asset]],"Ticker symbol",TRUE)</f>
        <v>BABA</v>
      </c>
      <c r="D831" s="26" cm="1">
        <f t="array" aca="1" ref="D831" ca="1">_FV(Table20[[#This Row],[Asset]],"Price")</f>
        <v>129.63999999999999</v>
      </c>
      <c r="E831" s="26">
        <v>210</v>
      </c>
      <c r="F831" s="33">
        <v>1</v>
      </c>
      <c r="G831" s="34">
        <v>1</v>
      </c>
      <c r="H831" s="34" t="s">
        <v>114</v>
      </c>
      <c r="I831" s="31">
        <v>45964</v>
      </c>
      <c r="J831" s="26">
        <v>3.66</v>
      </c>
      <c r="K831" s="24"/>
      <c r="L831" s="33">
        <f>VLOOKUP(Table20[[#This Row],[Strategy]],Table29[#All],6,FALSE)</f>
        <v>1</v>
      </c>
      <c r="M831" s="23"/>
      <c r="N831" s="23"/>
      <c r="O831" s="23"/>
      <c r="P831" s="23"/>
      <c r="Q831">
        <f>Table20[[#This Row],[Exit1]]*Table20[[#This Row],[ex1_price]]</f>
        <v>0</v>
      </c>
      <c r="R831">
        <f>Table20[[#This Row],[Exit2]]*Table20[[#This Row],[ex2_price]]</f>
        <v>0</v>
      </c>
      <c r="S831">
        <f>IFERROR((Table20[[#This Row],[ex2_amnt]]+Table20[[#This Row],[ex1_amnt]])/(Table20[[#This Row],[Exit2]]+Table20[[#This Row],[Exit1]]),0)</f>
        <v>0</v>
      </c>
      <c r="T831" s="5">
        <f>(Table20[[#This Row],[Exit1]]+Table20[[#This Row],[Exit2]])*(Table20[[#This Row],[avg_exit_price]]-Table20[[#This Row],[AvePrice]])*100*Table20[[#This Row],[Buy or Sell]]</f>
        <v>0</v>
      </c>
      <c r="U831" s="5">
        <f>Table20[[#This Row],[Number of options]]*Table20[[#This Row],[AvePrice]]*100*Table20[[#This Row],[Buy or Sell]]</f>
        <v>366</v>
      </c>
      <c r="V831" s="8">
        <f>Table20[[#This Row],[Number of options]]-Table20[[#This Row],[Exit1]]-Table20[[#This Row],[Exit2]]</f>
        <v>1</v>
      </c>
      <c r="W831" s="30">
        <f ca="1">(Table20[[#This Row],[Expiration Date]]-TODAY())/365</f>
        <v>-0.18904109589041096</v>
      </c>
      <c r="X831" s="30" t="e">
        <f ca="1">(LN(Table20[[#This Row],[Current Price]]/Table20[[#This Row],[strike_price]]) + ($B$2 + (Table20[[#This Row],[Vol]]^2)/2)*Table20[[#This Row],[Time to expiration]]) / (Table20[[#This Row],[Vol]] * SQRT(Table20[[#This Row],[Time to expiration]]))</f>
        <v>#NUM!</v>
      </c>
      <c r="Y831" s="30" t="e">
        <f ca="1">IF(Table20[[#This Row],[Direction]]&gt;0, _xlfn.NORM.S.DIST(Table20[[#This Row],[d1]], TRUE), _xlfn.NORM.S.DIST(Table20[[#This Row],[d1]], TRUE) - 1) * Table20[[#This Row],[Buy or Sell]]</f>
        <v>#NUM!</v>
      </c>
      <c r="Z831" s="9">
        <f ca="1">Table20[[#This Row],[Remaining]]*Table20[[#This Row],[Current Price]]*100</f>
        <v>12963.999999999998</v>
      </c>
      <c r="AA831" s="22">
        <f ca="1">IFERROR(Table20[[#This Row],[nominal_exposure]]*Table20[[#This Row],[Delta]],0)</f>
        <v>0</v>
      </c>
      <c r="AB831" s="30" t="b">
        <f>IF(Table20[[#This Row],[date_purchased]]&lt;&gt;Table20[[#This Row],[Expiration Date]],FALSE,TRUE)</f>
        <v>0</v>
      </c>
      <c r="AC831" s="30" t="str">
        <f>VLOOKUP(Table20[[#This Row],[Asset]],Table19[#All],3,FALSE)</f>
        <v>China</v>
      </c>
      <c r="AD831" s="30">
        <f>IF(Table20[[#This Row],[Remaining]]&lt;&gt;0,Table20[[#This Row],[Invested]]*Table20[[#This Row],[Remaining]]/Table20[[#This Row],[Number of options]],0)</f>
        <v>366</v>
      </c>
      <c r="AE831" s="30">
        <f ca="1">SUMIF(Table20[Ticker],Table20[[#This Row],[Ticker]],Table20[realized_profit])</f>
        <v>5855</v>
      </c>
      <c r="AF831" s="30" t="str">
        <f>VLOOKUP(Table20[[#This Row],[Strategy]],Table29[#All],7,FALSE)</f>
        <v>Bullish</v>
      </c>
    </row>
    <row r="832" spans="1:32">
      <c r="A832" s="180">
        <v>46038</v>
      </c>
      <c r="B832" s="21" t="e" vm="159">
        <v>#VALUE!</v>
      </c>
      <c r="C832" s="109" t="str" cm="1">
        <f t="array" aca="1" ref="C832" ca="1">_FV(Table20[[#This Row],[Asset]],"Ticker symbol",TRUE)</f>
        <v>BABA</v>
      </c>
      <c r="D832" s="26" cm="1">
        <f t="array" aca="1" ref="D832" ca="1">_FV(Table20[[#This Row],[Asset]],"Price")</f>
        <v>129.63999999999999</v>
      </c>
      <c r="E832" s="26">
        <v>250</v>
      </c>
      <c r="F832" s="33">
        <v>1</v>
      </c>
      <c r="G832" s="34">
        <v>-1</v>
      </c>
      <c r="H832" s="34" t="s">
        <v>114</v>
      </c>
      <c r="I832" s="31">
        <v>45964</v>
      </c>
      <c r="J832" s="26">
        <v>1.06</v>
      </c>
      <c r="K832" s="24"/>
      <c r="L832" s="33">
        <f>VLOOKUP(Table20[[#This Row],[Strategy]],Table29[#All],6,FALSE)</f>
        <v>1</v>
      </c>
      <c r="M832" s="23"/>
      <c r="N832" s="23"/>
      <c r="O832" s="23"/>
      <c r="P832" s="23"/>
      <c r="Q832">
        <f>Table20[[#This Row],[Exit1]]*Table20[[#This Row],[ex1_price]]</f>
        <v>0</v>
      </c>
      <c r="R832">
        <f>Table20[[#This Row],[Exit2]]*Table20[[#This Row],[ex2_price]]</f>
        <v>0</v>
      </c>
      <c r="S832">
        <f>IFERROR((Table20[[#This Row],[ex2_amnt]]+Table20[[#This Row],[ex1_amnt]])/(Table20[[#This Row],[Exit2]]+Table20[[#This Row],[Exit1]]),0)</f>
        <v>0</v>
      </c>
      <c r="T832" s="5">
        <f>(Table20[[#This Row],[Exit1]]+Table20[[#This Row],[Exit2]])*(Table20[[#This Row],[avg_exit_price]]-Table20[[#This Row],[AvePrice]])*100*Table20[[#This Row],[Buy or Sell]]</f>
        <v>0</v>
      </c>
      <c r="U832" s="5">
        <f>Table20[[#This Row],[Number of options]]*Table20[[#This Row],[AvePrice]]*100*Table20[[#This Row],[Buy or Sell]]</f>
        <v>-106</v>
      </c>
      <c r="V832" s="8">
        <f>Table20[[#This Row],[Number of options]]-Table20[[#This Row],[Exit1]]-Table20[[#This Row],[Exit2]]</f>
        <v>1</v>
      </c>
      <c r="W832" s="30">
        <f ca="1">(Table20[[#This Row],[Expiration Date]]-TODAY())/365</f>
        <v>-0.18904109589041096</v>
      </c>
      <c r="X832" s="30" t="e">
        <f ca="1">(LN(Table20[[#This Row],[Current Price]]/Table20[[#This Row],[strike_price]]) + ($B$2 + (Table20[[#This Row],[Vol]]^2)/2)*Table20[[#This Row],[Time to expiration]]) / (Table20[[#This Row],[Vol]] * SQRT(Table20[[#This Row],[Time to expiration]]))</f>
        <v>#NUM!</v>
      </c>
      <c r="Y832" s="30" t="e">
        <f ca="1">IF(Table20[[#This Row],[Direction]]&gt;0, _xlfn.NORM.S.DIST(Table20[[#This Row],[d1]], TRUE), _xlfn.NORM.S.DIST(Table20[[#This Row],[d1]], TRUE) - 1) * Table20[[#This Row],[Buy or Sell]]</f>
        <v>#NUM!</v>
      </c>
      <c r="Z832" s="9">
        <f ca="1">Table20[[#This Row],[Remaining]]*Table20[[#This Row],[Current Price]]*100</f>
        <v>12963.999999999998</v>
      </c>
      <c r="AA832" s="22">
        <f ca="1">IFERROR(Table20[[#This Row],[nominal_exposure]]*Table20[[#This Row],[Delta]],0)</f>
        <v>0</v>
      </c>
      <c r="AB832" s="30" t="b">
        <f>IF(Table20[[#This Row],[date_purchased]]&lt;&gt;Table20[[#This Row],[Expiration Date]],FALSE,TRUE)</f>
        <v>0</v>
      </c>
      <c r="AC832" s="30" t="str">
        <f>VLOOKUP(Table20[[#This Row],[Asset]],Table19[#All],3,FALSE)</f>
        <v>China</v>
      </c>
      <c r="AD832" s="30">
        <f>IF(Table20[[#This Row],[Remaining]]&lt;&gt;0,Table20[[#This Row],[Invested]]*Table20[[#This Row],[Remaining]]/Table20[[#This Row],[Number of options]],0)</f>
        <v>-106</v>
      </c>
      <c r="AE832" s="30">
        <f ca="1">SUMIF(Table20[Ticker],Table20[[#This Row],[Ticker]],Table20[realized_profit])</f>
        <v>5855</v>
      </c>
      <c r="AF832" s="30" t="str">
        <f>VLOOKUP(Table20[[#This Row],[Strategy]],Table29[#All],7,FALSE)</f>
        <v>Bullish</v>
      </c>
    </row>
    <row r="833" spans="1:32">
      <c r="A833" s="180">
        <v>46038</v>
      </c>
      <c r="B833" s="21" t="e" vm="148">
        <v>#VALUE!</v>
      </c>
      <c r="C833" s="109" t="str" cm="1">
        <f t="array" aca="1" ref="C833" ca="1">_FV(Table20[[#This Row],[Asset]],"Ticker symbol",TRUE)</f>
        <v>META</v>
      </c>
      <c r="D833" s="26" cm="1">
        <f t="array" aca="1" ref="D833" ca="1">_FV(Table20[[#This Row],[Asset]],"Price")</f>
        <v>599.32000000000005</v>
      </c>
      <c r="E833" s="26">
        <v>800</v>
      </c>
      <c r="F833" s="33">
        <v>1</v>
      </c>
      <c r="G833" s="34">
        <v>1</v>
      </c>
      <c r="H833" s="34" t="s">
        <v>113</v>
      </c>
      <c r="I833" s="31">
        <v>45967</v>
      </c>
      <c r="J833" s="26">
        <v>4.42</v>
      </c>
      <c r="K833" s="24"/>
      <c r="L833" s="33">
        <f>VLOOKUP(Table20[[#This Row],[Strategy]],Table29[#All],6,FALSE)</f>
        <v>1</v>
      </c>
      <c r="M833" s="23"/>
      <c r="N833" s="23"/>
      <c r="O833" s="23"/>
      <c r="P833" s="23"/>
      <c r="Q833">
        <f>Table20[[#This Row],[Exit1]]*Table20[[#This Row],[ex1_price]]</f>
        <v>0</v>
      </c>
      <c r="R833">
        <f>Table20[[#This Row],[Exit2]]*Table20[[#This Row],[ex2_price]]</f>
        <v>0</v>
      </c>
      <c r="S833">
        <f>IFERROR((Table20[[#This Row],[ex2_amnt]]+Table20[[#This Row],[ex1_amnt]])/(Table20[[#This Row],[Exit2]]+Table20[[#This Row],[Exit1]]),0)</f>
        <v>0</v>
      </c>
      <c r="T833" s="5">
        <f>(Table20[[#This Row],[Exit1]]+Table20[[#This Row],[Exit2]])*(Table20[[#This Row],[avg_exit_price]]-Table20[[#This Row],[AvePrice]])*100*Table20[[#This Row],[Buy or Sell]]</f>
        <v>0</v>
      </c>
      <c r="U833" s="5">
        <f>Table20[[#This Row],[Number of options]]*Table20[[#This Row],[AvePrice]]*100*Table20[[#This Row],[Buy or Sell]]</f>
        <v>442</v>
      </c>
      <c r="V833" s="8">
        <f>Table20[[#This Row],[Number of options]]-Table20[[#This Row],[Exit1]]-Table20[[#This Row],[Exit2]]</f>
        <v>1</v>
      </c>
      <c r="W833" s="30">
        <f ca="1">(Table20[[#This Row],[Expiration Date]]-TODAY())/365</f>
        <v>-0.18904109589041096</v>
      </c>
      <c r="X833" s="30" t="e">
        <f ca="1">(LN(Table20[[#This Row],[Current Price]]/Table20[[#This Row],[strike_price]]) + ($B$2 + (Table20[[#This Row],[Vol]]^2)/2)*Table20[[#This Row],[Time to expiration]]) / (Table20[[#This Row],[Vol]] * SQRT(Table20[[#This Row],[Time to expiration]]))</f>
        <v>#NUM!</v>
      </c>
      <c r="Y833" s="30" t="e">
        <f ca="1">IF(Table20[[#This Row],[Direction]]&gt;0, _xlfn.NORM.S.DIST(Table20[[#This Row],[d1]], TRUE), _xlfn.NORM.S.DIST(Table20[[#This Row],[d1]], TRUE) - 1) * Table20[[#This Row],[Buy or Sell]]</f>
        <v>#NUM!</v>
      </c>
      <c r="Z833" s="9">
        <f ca="1">Table20[[#This Row],[Remaining]]*Table20[[#This Row],[Current Price]]*100</f>
        <v>59932.000000000007</v>
      </c>
      <c r="AA833" s="22">
        <f ca="1">IFERROR(Table20[[#This Row],[nominal_exposure]]*Table20[[#This Row],[Delta]],0)</f>
        <v>0</v>
      </c>
      <c r="AB833" s="30" t="b">
        <f>IF(Table20[[#This Row],[date_purchased]]&lt;&gt;Table20[[#This Row],[Expiration Date]],FALSE,TRUE)</f>
        <v>0</v>
      </c>
      <c r="AC833" s="30" t="str">
        <f>VLOOKUP(Table20[[#This Row],[Asset]],Table19[#All],3,FALSE)</f>
        <v>AI</v>
      </c>
      <c r="AD833" s="30">
        <f>IF(Table20[[#This Row],[Remaining]]&lt;&gt;0,Table20[[#This Row],[Invested]]*Table20[[#This Row],[Remaining]]/Table20[[#This Row],[Number of options]],0)</f>
        <v>442</v>
      </c>
      <c r="AE833" s="30">
        <f ca="1">SUMIF(Table20[Ticker],Table20[[#This Row],[Ticker]],Table20[realized_profit])</f>
        <v>2450</v>
      </c>
      <c r="AF833" s="30" t="str">
        <f>VLOOKUP(Table20[[#This Row],[Strategy]],Table29[#All],7,FALSE)</f>
        <v>Bullish</v>
      </c>
    </row>
    <row r="834" spans="1:32">
      <c r="A834" s="180">
        <v>46038</v>
      </c>
      <c r="B834" s="21" t="e" vm="576">
        <v>#VALUE!</v>
      </c>
      <c r="C834" s="109" t="str" cm="1">
        <f t="array" aca="1" ref="C834" ca="1">_FV(Table20[[#This Row],[Asset]],"Ticker symbol",TRUE)</f>
        <v>DUOL</v>
      </c>
      <c r="D834" s="26" cm="1">
        <f t="array" aca="1" ref="D834" ca="1">_FV(Table20[[#This Row],[Asset]],"Price")</f>
        <v>99.02</v>
      </c>
      <c r="E834" s="26">
        <v>300</v>
      </c>
      <c r="F834" s="33">
        <v>1</v>
      </c>
      <c r="G834" s="34">
        <v>1</v>
      </c>
      <c r="H834" s="34" t="s">
        <v>113</v>
      </c>
      <c r="I834" s="31">
        <v>45967</v>
      </c>
      <c r="J834" s="26">
        <v>2.86</v>
      </c>
      <c r="K834" s="24"/>
      <c r="L834" s="33">
        <f>VLOOKUP(Table20[[#This Row],[Strategy]],Table29[#All],6,FALSE)</f>
        <v>1</v>
      </c>
      <c r="M834" s="23"/>
      <c r="N834" s="23"/>
      <c r="O834" s="23"/>
      <c r="P834" s="23"/>
      <c r="Q834">
        <f>Table20[[#This Row],[Exit1]]*Table20[[#This Row],[ex1_price]]</f>
        <v>0</v>
      </c>
      <c r="R834">
        <f>Table20[[#This Row],[Exit2]]*Table20[[#This Row],[ex2_price]]</f>
        <v>0</v>
      </c>
      <c r="S834">
        <f>IFERROR((Table20[[#This Row],[ex2_amnt]]+Table20[[#This Row],[ex1_amnt]])/(Table20[[#This Row],[Exit2]]+Table20[[#This Row],[Exit1]]),0)</f>
        <v>0</v>
      </c>
      <c r="T834" s="5">
        <f>(Table20[[#This Row],[Exit1]]+Table20[[#This Row],[Exit2]])*(Table20[[#This Row],[avg_exit_price]]-Table20[[#This Row],[AvePrice]])*100*Table20[[#This Row],[Buy or Sell]]</f>
        <v>0</v>
      </c>
      <c r="U834" s="5">
        <f>Table20[[#This Row],[Number of options]]*Table20[[#This Row],[AvePrice]]*100*Table20[[#This Row],[Buy or Sell]]</f>
        <v>286</v>
      </c>
      <c r="V834" s="8">
        <f>Table20[[#This Row],[Number of options]]-Table20[[#This Row],[Exit1]]-Table20[[#This Row],[Exit2]]</f>
        <v>1</v>
      </c>
      <c r="W834" s="30">
        <f ca="1">(Table20[[#This Row],[Expiration Date]]-TODAY())/365</f>
        <v>-0.18904109589041096</v>
      </c>
      <c r="X834" s="30" t="e">
        <f ca="1">(LN(Table20[[#This Row],[Current Price]]/Table20[[#This Row],[strike_price]]) + ($B$2 + (Table20[[#This Row],[Vol]]^2)/2)*Table20[[#This Row],[Time to expiration]]) / (Table20[[#This Row],[Vol]] * SQRT(Table20[[#This Row],[Time to expiration]]))</f>
        <v>#NUM!</v>
      </c>
      <c r="Y834" s="30" t="e">
        <f ca="1">IF(Table20[[#This Row],[Direction]]&gt;0, _xlfn.NORM.S.DIST(Table20[[#This Row],[d1]], TRUE), _xlfn.NORM.S.DIST(Table20[[#This Row],[d1]], TRUE) - 1) * Table20[[#This Row],[Buy or Sell]]</f>
        <v>#NUM!</v>
      </c>
      <c r="Z834" s="9">
        <f ca="1">Table20[[#This Row],[Remaining]]*Table20[[#This Row],[Current Price]]*100</f>
        <v>9902</v>
      </c>
      <c r="AA834" s="22">
        <f ca="1">IFERROR(Table20[[#This Row],[nominal_exposure]]*Table20[[#This Row],[Delta]],0)</f>
        <v>0</v>
      </c>
      <c r="AB834" s="30" t="b">
        <f>IF(Table20[[#This Row],[date_purchased]]&lt;&gt;Table20[[#This Row],[Expiration Date]],FALSE,TRUE)</f>
        <v>0</v>
      </c>
      <c r="AC834" s="30" t="str">
        <f>VLOOKUP(Table20[[#This Row],[Asset]],Table19[#All],3,FALSE)</f>
        <v>Education</v>
      </c>
      <c r="AD834" s="30">
        <f>IF(Table20[[#This Row],[Remaining]]&lt;&gt;0,Table20[[#This Row],[Invested]]*Table20[[#This Row],[Remaining]]/Table20[[#This Row],[Number of options]],0)</f>
        <v>286</v>
      </c>
      <c r="AE834" s="30">
        <f ca="1">SUMIF(Table20[Ticker],Table20[[#This Row],[Ticker]],Table20[realized_profit])</f>
        <v>0</v>
      </c>
      <c r="AF834" s="30" t="str">
        <f>VLOOKUP(Table20[[#This Row],[Strategy]],Table29[#All],7,FALSE)</f>
        <v>Bullish</v>
      </c>
    </row>
    <row r="835" spans="1:32" hidden="1">
      <c r="A835" s="180">
        <v>46004</v>
      </c>
      <c r="B835" s="21" t="e" vm="148">
        <v>#VALUE!</v>
      </c>
      <c r="C835" s="109" t="str" cm="1">
        <f t="array" aca="1" ref="C835" ca="1">_FV(Table20[[#This Row],[Asset]],"Ticker symbol",TRUE)</f>
        <v>META</v>
      </c>
      <c r="D835" s="26" cm="1">
        <f t="array" aca="1" ref="D835" ca="1">_FV(Table20[[#This Row],[Asset]],"Price")</f>
        <v>599.32000000000005</v>
      </c>
      <c r="E835" s="26">
        <v>800</v>
      </c>
      <c r="F835" s="33">
        <v>3</v>
      </c>
      <c r="G835" s="34">
        <v>-1</v>
      </c>
      <c r="H835" s="34" t="s">
        <v>115</v>
      </c>
      <c r="I835" s="31">
        <v>45974</v>
      </c>
      <c r="J835" s="26">
        <v>1.04</v>
      </c>
      <c r="K835" s="24"/>
      <c r="L835" s="33">
        <f>VLOOKUP(Table20[[#This Row],[Strategy]],Table29[#All],6,FALSE)</f>
        <v>1</v>
      </c>
      <c r="M835" s="23">
        <v>3</v>
      </c>
      <c r="N835" s="23">
        <v>0</v>
      </c>
      <c r="O835" s="23"/>
      <c r="P835" s="23"/>
      <c r="Q835">
        <f>Table20[[#This Row],[Exit1]]*Table20[[#This Row],[ex1_price]]</f>
        <v>0</v>
      </c>
      <c r="R835">
        <f>Table20[[#This Row],[Exit2]]*Table20[[#This Row],[ex2_price]]</f>
        <v>0</v>
      </c>
      <c r="S835">
        <f>IFERROR((Table20[[#This Row],[ex2_amnt]]+Table20[[#This Row],[ex1_amnt]])/(Table20[[#This Row],[Exit2]]+Table20[[#This Row],[Exit1]]),0)</f>
        <v>0</v>
      </c>
      <c r="T835" s="5">
        <f>(Table20[[#This Row],[Exit1]]+Table20[[#This Row],[Exit2]])*(Table20[[#This Row],[avg_exit_price]]-Table20[[#This Row],[AvePrice]])*100*Table20[[#This Row],[Buy or Sell]]</f>
        <v>312</v>
      </c>
      <c r="U835" s="5">
        <f>Table20[[#This Row],[Number of options]]*Table20[[#This Row],[AvePrice]]*100*Table20[[#This Row],[Buy or Sell]]</f>
        <v>-312</v>
      </c>
      <c r="V835" s="8">
        <f>Table20[[#This Row],[Number of options]]-Table20[[#This Row],[Exit1]]-Table20[[#This Row],[Exit2]]</f>
        <v>0</v>
      </c>
      <c r="W835" s="30">
        <f ca="1">(Table20[[#This Row],[Expiration Date]]-TODAY())/365</f>
        <v>-0.28219178082191781</v>
      </c>
      <c r="X835" s="30" t="e">
        <f ca="1">(LN(Table20[[#This Row],[Current Price]]/Table20[[#This Row],[strike_price]]) + ($B$2 + (Table20[[#This Row],[Vol]]^2)/2)*Table20[[#This Row],[Time to expiration]]) / (Table20[[#This Row],[Vol]] * SQRT(Table20[[#This Row],[Time to expiration]]))</f>
        <v>#NUM!</v>
      </c>
      <c r="Y835" s="30" t="e">
        <f ca="1">IF(Table20[[#This Row],[Direction]]&gt;0, _xlfn.NORM.S.DIST(Table20[[#This Row],[d1]], TRUE), _xlfn.NORM.S.DIST(Table20[[#This Row],[d1]], TRUE) - 1) * Table20[[#This Row],[Buy or Sell]]</f>
        <v>#NUM!</v>
      </c>
      <c r="Z835" s="9">
        <f ca="1">Table20[[#This Row],[Remaining]]*Table20[[#This Row],[Current Price]]*100</f>
        <v>0</v>
      </c>
      <c r="AA835" s="22">
        <f ca="1">IFERROR(Table20[[#This Row],[nominal_exposure]]*Table20[[#This Row],[Delta]],0)</f>
        <v>0</v>
      </c>
      <c r="AB835" s="30" t="b">
        <f>IF(Table20[[#This Row],[date_purchased]]&lt;&gt;Table20[[#This Row],[Expiration Date]],FALSE,TRUE)</f>
        <v>0</v>
      </c>
      <c r="AC835" s="30" t="str">
        <f>VLOOKUP(Table20[[#This Row],[Asset]],Table19[#All],3,FALSE)</f>
        <v>AI</v>
      </c>
      <c r="AD835" s="30">
        <f>IF(Table20[[#This Row],[Remaining]]&lt;&gt;0,Table20[[#This Row],[Invested]]*Table20[[#This Row],[Remaining]]/Table20[[#This Row],[Number of options]],0)</f>
        <v>0</v>
      </c>
      <c r="AE835" s="30">
        <f ca="1">SUMIF(Table20[Ticker],Table20[[#This Row],[Ticker]],Table20[realized_profit])</f>
        <v>2450</v>
      </c>
      <c r="AF835" s="30" t="str">
        <f>VLOOKUP(Table20[[#This Row],[Strategy]],Table29[#All],7,FALSE)</f>
        <v>Bullish</v>
      </c>
    </row>
    <row r="836" spans="1:32">
      <c r="A836" s="180">
        <v>46038</v>
      </c>
      <c r="B836" s="21" t="e" vm="148">
        <v>#VALUE!</v>
      </c>
      <c r="C836" s="109" t="str" cm="1">
        <f t="array" aca="1" ref="C836" ca="1">_FV(Table20[[#This Row],[Asset]],"Ticker symbol",TRUE)</f>
        <v>META</v>
      </c>
      <c r="D836" s="26" cm="1">
        <f t="array" aca="1" ref="D836" ca="1">_FV(Table20[[#This Row],[Asset]],"Price")</f>
        <v>599.32000000000005</v>
      </c>
      <c r="E836" s="26">
        <v>800</v>
      </c>
      <c r="F836" s="33">
        <v>3</v>
      </c>
      <c r="G836" s="34">
        <v>1</v>
      </c>
      <c r="H836" s="34" t="s">
        <v>115</v>
      </c>
      <c r="I836" s="31">
        <v>45974</v>
      </c>
      <c r="J836" s="26">
        <v>2.87</v>
      </c>
      <c r="K836" s="24"/>
      <c r="L836" s="33">
        <f>VLOOKUP(Table20[[#This Row],[Strategy]],Table29[#All],6,FALSE)</f>
        <v>1</v>
      </c>
      <c r="M836" s="23"/>
      <c r="N836" s="23"/>
      <c r="O836" s="23"/>
      <c r="P836" s="23"/>
      <c r="Q836">
        <f>Table20[[#This Row],[Exit1]]*Table20[[#This Row],[ex1_price]]</f>
        <v>0</v>
      </c>
      <c r="R836">
        <f>Table20[[#This Row],[Exit2]]*Table20[[#This Row],[ex2_price]]</f>
        <v>0</v>
      </c>
      <c r="S836">
        <f>IFERROR((Table20[[#This Row],[ex2_amnt]]+Table20[[#This Row],[ex1_amnt]])/(Table20[[#This Row],[Exit2]]+Table20[[#This Row],[Exit1]]),0)</f>
        <v>0</v>
      </c>
      <c r="T836" s="5">
        <f>(Table20[[#This Row],[Exit1]]+Table20[[#This Row],[Exit2]])*(Table20[[#This Row],[avg_exit_price]]-Table20[[#This Row],[AvePrice]])*100*Table20[[#This Row],[Buy or Sell]]</f>
        <v>0</v>
      </c>
      <c r="U836" s="5">
        <f>Table20[[#This Row],[Number of options]]*Table20[[#This Row],[AvePrice]]*100*Table20[[#This Row],[Buy or Sell]]</f>
        <v>861</v>
      </c>
      <c r="V836" s="8">
        <f>Table20[[#This Row],[Number of options]]-Table20[[#This Row],[Exit1]]-Table20[[#This Row],[Exit2]]</f>
        <v>3</v>
      </c>
      <c r="W836" s="30">
        <f ca="1">(Table20[[#This Row],[Expiration Date]]-TODAY())/365</f>
        <v>-0.18904109589041096</v>
      </c>
      <c r="X836" s="30" t="e">
        <f ca="1">(LN(Table20[[#This Row],[Current Price]]/Table20[[#This Row],[strike_price]]) + ($B$2 + (Table20[[#This Row],[Vol]]^2)/2)*Table20[[#This Row],[Time to expiration]]) / (Table20[[#This Row],[Vol]] * SQRT(Table20[[#This Row],[Time to expiration]]))</f>
        <v>#NUM!</v>
      </c>
      <c r="Y836" s="30" t="e">
        <f ca="1">IF(Table20[[#This Row],[Direction]]&gt;0, _xlfn.NORM.S.DIST(Table20[[#This Row],[d1]], TRUE), _xlfn.NORM.S.DIST(Table20[[#This Row],[d1]], TRUE) - 1) * Table20[[#This Row],[Buy or Sell]]</f>
        <v>#NUM!</v>
      </c>
      <c r="Z836" s="9">
        <f ca="1">Table20[[#This Row],[Remaining]]*Table20[[#This Row],[Current Price]]*100</f>
        <v>179796</v>
      </c>
      <c r="AA836" s="22">
        <f ca="1">IFERROR(Table20[[#This Row],[nominal_exposure]]*Table20[[#This Row],[Delta]],0)</f>
        <v>0</v>
      </c>
      <c r="AB836" s="30" t="b">
        <f>IF(Table20[[#This Row],[date_purchased]]&lt;&gt;Table20[[#This Row],[Expiration Date]],FALSE,TRUE)</f>
        <v>0</v>
      </c>
      <c r="AC836" s="30" t="str">
        <f>VLOOKUP(Table20[[#This Row],[Asset]],Table19[#All],3,FALSE)</f>
        <v>AI</v>
      </c>
      <c r="AD836" s="30">
        <f>IF(Table20[[#This Row],[Remaining]]&lt;&gt;0,Table20[[#This Row],[Invested]]*Table20[[#This Row],[Remaining]]/Table20[[#This Row],[Number of options]],0)</f>
        <v>861</v>
      </c>
      <c r="AE836" s="30">
        <f ca="1">SUMIF(Table20[Ticker],Table20[[#This Row],[Ticker]],Table20[realized_profit])</f>
        <v>2450</v>
      </c>
      <c r="AF836" s="30" t="str">
        <f>VLOOKUP(Table20[[#This Row],[Strategy]],Table29[#All],7,FALSE)</f>
        <v>Bullish</v>
      </c>
    </row>
    <row r="837" spans="1:32">
      <c r="A837" s="180"/>
      <c r="B837" s="21"/>
      <c r="C837" s="109"/>
      <c r="D837" s="26"/>
      <c r="E837" s="26"/>
      <c r="F837" s="33"/>
      <c r="G837" s="34"/>
      <c r="H837" s="34"/>
      <c r="I837" s="31"/>
      <c r="J837" s="26"/>
      <c r="K837" s="24"/>
      <c r="L837" s="33"/>
      <c r="M837" s="23"/>
      <c r="N837" s="23"/>
      <c r="O837" s="23"/>
      <c r="P837" s="23"/>
      <c r="T837" s="5"/>
      <c r="U837" s="5"/>
      <c r="V837" s="8"/>
      <c r="W837" s="30"/>
      <c r="X837" s="30"/>
      <c r="Y837" s="30"/>
      <c r="Z837" s="9"/>
      <c r="AA837" s="22"/>
      <c r="AB837" s="30"/>
      <c r="AC837" s="30"/>
      <c r="AD837" s="30"/>
      <c r="AE837" s="30"/>
      <c r="AF837" s="30"/>
    </row>
    <row r="838" spans="1:32">
      <c r="A838" s="180"/>
      <c r="B838" s="21"/>
      <c r="C838" s="109"/>
      <c r="D838" s="26"/>
      <c r="E838" s="26"/>
      <c r="F838" s="33"/>
      <c r="G838" s="34"/>
      <c r="H838" s="34"/>
      <c r="I838" s="31"/>
      <c r="J838" s="26"/>
      <c r="K838" s="24"/>
      <c r="L838" s="33"/>
      <c r="M838" s="23"/>
      <c r="N838" s="23"/>
      <c r="O838" s="23"/>
      <c r="P838" s="23"/>
      <c r="T838" s="5"/>
      <c r="U838" s="5"/>
      <c r="V838" s="8"/>
      <c r="W838" s="30"/>
      <c r="X838" s="30"/>
      <c r="Y838" s="30"/>
      <c r="Z838" s="9"/>
      <c r="AA838" s="22"/>
      <c r="AB838" s="30"/>
      <c r="AC838" s="30"/>
      <c r="AD838" s="30"/>
      <c r="AE838" s="30"/>
      <c r="AF838" s="30"/>
    </row>
    <row r="839" spans="1:32">
      <c r="A839" s="180"/>
      <c r="B839" s="21"/>
      <c r="C839" s="109"/>
      <c r="D839" s="26"/>
      <c r="E839" s="26"/>
      <c r="F839" s="33"/>
      <c r="G839" s="34"/>
      <c r="H839" s="34"/>
      <c r="I839" s="31"/>
      <c r="J839" s="26"/>
      <c r="K839" s="24"/>
      <c r="L839" s="33"/>
      <c r="M839" s="23"/>
      <c r="N839" s="23"/>
      <c r="O839" s="23"/>
      <c r="P839" s="23"/>
      <c r="T839" s="5"/>
      <c r="U839" s="5"/>
      <c r="V839" s="8"/>
      <c r="W839" s="30"/>
      <c r="X839" s="30"/>
      <c r="Y839" s="30"/>
      <c r="Z839" s="9"/>
      <c r="AA839" s="22"/>
      <c r="AB839" s="30"/>
      <c r="AC839" s="30"/>
      <c r="AD839" s="30"/>
      <c r="AE839" s="30"/>
      <c r="AF839" s="30"/>
    </row>
    <row r="840" spans="1:32">
      <c r="A840" s="180"/>
      <c r="B840" s="21"/>
      <c r="C840" s="109"/>
      <c r="D840" s="26"/>
      <c r="E840" s="26"/>
      <c r="F840" s="33"/>
      <c r="G840" s="34"/>
      <c r="H840" s="34"/>
      <c r="I840" s="31"/>
      <c r="J840" s="26"/>
      <c r="K840" s="24"/>
      <c r="L840" s="33"/>
      <c r="M840" s="23"/>
      <c r="N840" s="23"/>
      <c r="O840" s="23"/>
      <c r="P840" s="23"/>
      <c r="T840" s="5"/>
      <c r="U840" s="5"/>
      <c r="V840" s="8"/>
      <c r="W840" s="30"/>
      <c r="X840" s="30"/>
      <c r="Y840" s="30"/>
      <c r="Z840" s="9"/>
      <c r="AA840" s="22"/>
      <c r="AB840" s="30"/>
      <c r="AC840" s="30"/>
      <c r="AD840" s="30"/>
      <c r="AE840" s="30"/>
      <c r="AF840" s="30"/>
    </row>
    <row r="842" spans="1:32">
      <c r="A842" s="183"/>
      <c r="G842" s="34"/>
    </row>
    <row r="843" spans="1:32" ht="24">
      <c r="A843" s="117" t="s">
        <v>52</v>
      </c>
      <c r="B843" s="116"/>
      <c r="C843" s="116"/>
      <c r="D843" s="116"/>
      <c r="E843" s="116"/>
      <c r="F843" s="116"/>
      <c r="G843" s="116"/>
      <c r="H843" s="116" t="s">
        <v>567</v>
      </c>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row>
    <row r="844" spans="1:32">
      <c r="B844" s="4"/>
      <c r="C844" s="13"/>
      <c r="D844" s="4"/>
      <c r="F844" s="100"/>
      <c r="G844" s="4"/>
    </row>
    <row r="845" spans="1:32">
      <c r="A845" t="s">
        <v>40</v>
      </c>
      <c r="B845" s="4" t="s">
        <v>296</v>
      </c>
      <c r="C845" s="13" t="s">
        <v>297</v>
      </c>
      <c r="D845" s="4" t="s">
        <v>104</v>
      </c>
      <c r="E845" t="s">
        <v>300</v>
      </c>
      <c r="F845" s="100" t="s">
        <v>303</v>
      </c>
      <c r="G845" s="100" t="s">
        <v>388</v>
      </c>
      <c r="H845" s="4" t="s">
        <v>301</v>
      </c>
    </row>
    <row r="846" spans="1:32">
      <c r="A846" t="s">
        <v>65</v>
      </c>
      <c r="B846" s="4">
        <f>SUMIF(Table20[[#All],[Strategy]],Table29[[#This Row],[Strategy]],Table20[[#All],[realized_profit]])</f>
        <v>8187.840000000002</v>
      </c>
      <c r="C846" s="96">
        <f>Table29[[#This Row],[Realized ]]/ABS($B$865)</f>
        <v>0.31529272775512057</v>
      </c>
      <c r="D846" s="4">
        <f>SUMIF(Table20[[#All],[Strategy]],Table29[[#This Row],[Strategy]],Table20[[#All],[Invested]])</f>
        <v>83914.58</v>
      </c>
      <c r="E846" s="84">
        <f>Table29[[#This Row],[Realized ]]/ABS(Table29[[#This Row],[Invested]])</f>
        <v>9.7573508679898086E-2</v>
      </c>
      <c r="F846" s="101">
        <v>-1</v>
      </c>
      <c r="G846" s="101" t="s">
        <v>51</v>
      </c>
      <c r="H846" s="4">
        <f ca="1">SUMIF(Table20[[#All],[Strategy]],Table29[[#This Row],[Strategy]],Table20[[#All],[delta_exposure]])</f>
        <v>0</v>
      </c>
    </row>
    <row r="847" spans="1:32">
      <c r="A847" t="s">
        <v>113</v>
      </c>
      <c r="B847" s="4">
        <f>SUMIF(Table20[[#All],[Strategy]],Table29[[#This Row],[Strategy]],Table20[[#All],[realized_profit]])</f>
        <v>16996.169999999998</v>
      </c>
      <c r="C847" s="96">
        <f>Table29[[#This Row],[Realized ]]/ABS($B$865)</f>
        <v>0.6544789346994746</v>
      </c>
      <c r="D847" s="4">
        <f>SUMIF(Table20[[#All],[Strategy]],Table29[[#This Row],[Strategy]],Table20[[#All],[Invested]])</f>
        <v>86713.18</v>
      </c>
      <c r="E847" s="84">
        <f>Table29[[#This Row],[Realized ]]/ABS(Table29[[#This Row],[Invested]])</f>
        <v>0.1960044597603271</v>
      </c>
      <c r="F847" s="101">
        <v>1</v>
      </c>
      <c r="G847" s="101" t="s">
        <v>50</v>
      </c>
      <c r="H847" s="4">
        <f ca="1">SUMIF(Table20[[#All],[Strategy]],Table29[[#This Row],[Strategy]],Table20[[#All],[delta_exposure]])</f>
        <v>27680.76241963388</v>
      </c>
    </row>
    <row r="848" spans="1:32">
      <c r="A848" t="s">
        <v>112</v>
      </c>
      <c r="B848" s="4">
        <f>SUMIF(Table20[[#All],[Strategy]],Table29[[#This Row],[Strategy]],Table20[[#All],[realized_profit]])</f>
        <v>-5668</v>
      </c>
      <c r="C848" s="96">
        <f>Table29[[#This Row],[Realized ]]/ABS($B$865)</f>
        <v>-0.2182601493087338</v>
      </c>
      <c r="D848" s="4">
        <f>SUMIF(Table20[[#All],[Strategy]],Table29[[#This Row],[Strategy]],Table20[[#All],[Invested]])</f>
        <v>20862</v>
      </c>
      <c r="E848" s="84">
        <f>Table29[[#This Row],[Realized ]]/ABS(Table29[[#This Row],[Invested]])</f>
        <v>-0.27169015434761767</v>
      </c>
      <c r="F848" s="101">
        <v>-1</v>
      </c>
      <c r="G848" s="101" t="s">
        <v>51</v>
      </c>
      <c r="H848" s="4">
        <f ca="1">SUMIF(Table20[[#All],[Strategy]],Table29[[#This Row],[Strategy]],Table20[[#All],[delta_exposure]])</f>
        <v>0</v>
      </c>
    </row>
    <row r="849" spans="1:32">
      <c r="A849" t="s">
        <v>114</v>
      </c>
      <c r="B849" s="4">
        <f>SUMIF(Table20[[#All],[Strategy]],Table29[[#This Row],[Strategy]],Table20[[#All],[realized_profit]])</f>
        <v>2715</v>
      </c>
      <c r="C849" s="96">
        <f>Table29[[#This Row],[Realized ]]/ABS($B$865)</f>
        <v>0.10454768972710167</v>
      </c>
      <c r="D849" s="4">
        <f>SUMIF(Table20[[#All],[Strategy]],Table29[[#This Row],[Strategy]],Table20[[#All],[Invested]])</f>
        <v>16936</v>
      </c>
      <c r="E849" s="84">
        <f>Table29[[#This Row],[Realized ]]/ABS(Table29[[#This Row],[Invested]])</f>
        <v>0.16030940009447331</v>
      </c>
      <c r="F849" s="101">
        <v>1</v>
      </c>
      <c r="G849" s="101" t="s">
        <v>50</v>
      </c>
      <c r="H849" s="4">
        <f ca="1">SUMIF(Table20[[#All],[Strategy]],Table29[[#This Row],[Strategy]],Table20[[#All],[delta_exposure]])</f>
        <v>0</v>
      </c>
      <c r="V849" s="5"/>
    </row>
    <row r="850" spans="1:32" s="155" customFormat="1">
      <c r="A850" t="s">
        <v>115</v>
      </c>
      <c r="B850" s="4">
        <f>SUMIF(Table20[[#All],[Strategy]],Table29[[#This Row],[Strategy]],Table20[[#All],[realized_profit]])</f>
        <v>5932.9999999999982</v>
      </c>
      <c r="C850" s="96">
        <f>Table29[[#This Row],[Realized ]]/ABS($B$865)</f>
        <v>0.22846461994508066</v>
      </c>
      <c r="D850" s="4">
        <f>SUMIF(Table20[[#All],[Strategy]],Table29[[#This Row],[Strategy]],Table20[[#All],[Invested]])</f>
        <v>28633</v>
      </c>
      <c r="E850" s="84">
        <f>Table29[[#This Row],[Realized ]]/ABS(Table29[[#This Row],[Invested]])</f>
        <v>0.20720846575629512</v>
      </c>
      <c r="F850" s="101">
        <v>1</v>
      </c>
      <c r="G850" s="101" t="s">
        <v>50</v>
      </c>
      <c r="H850" s="4">
        <f ca="1">SUMIF(Table20[[#All],[Strategy]],Table29[[#This Row],[Strategy]],Table20[[#All],[delta_exposure]])</f>
        <v>0</v>
      </c>
      <c r="I850"/>
      <c r="J850"/>
      <c r="K850"/>
      <c r="L850"/>
      <c r="M850"/>
      <c r="N850"/>
      <c r="O850"/>
      <c r="P850"/>
      <c r="Q850"/>
      <c r="R850"/>
      <c r="S850"/>
      <c r="T850"/>
      <c r="U850"/>
      <c r="V850" s="5"/>
      <c r="W850"/>
      <c r="X850"/>
      <c r="Y850"/>
      <c r="Z850"/>
      <c r="AA850"/>
      <c r="AB850"/>
      <c r="AC850"/>
      <c r="AD850"/>
      <c r="AE850"/>
      <c r="AF850"/>
    </row>
    <row r="851" spans="1:32">
      <c r="A851" t="s">
        <v>159</v>
      </c>
      <c r="B851" s="4">
        <f>SUMIF(Table20[[#All],[Strategy]],Table29[[#This Row],[Strategy]],Table20[[#All],[realized_profit]])</f>
        <v>-512</v>
      </c>
      <c r="C851" s="96">
        <f>Table29[[#This Row],[Realized ]]/ABS($B$865)</f>
        <v>-1.9715807418149559E-2</v>
      </c>
      <c r="D851" s="4">
        <f>SUMIF(Table20[[#All],[Strategy]],Table29[[#This Row],[Strategy]],Table20[[#All],[Invested]])</f>
        <v>-1901</v>
      </c>
      <c r="E851" s="84">
        <f>Table29[[#This Row],[Realized ]]/ABS(Table29[[#This Row],[Invested]])</f>
        <v>-0.26933193056286164</v>
      </c>
      <c r="F851" s="101">
        <v>1</v>
      </c>
      <c r="G851" s="101" t="s">
        <v>51</v>
      </c>
      <c r="H851" s="4">
        <f ca="1">SUMIF(Table20[[#All],[Strategy]],Table29[[#This Row],[Strategy]],Table20[[#All],[delta_exposure]])</f>
        <v>0</v>
      </c>
    </row>
    <row r="852" spans="1:32">
      <c r="A852" t="s">
        <v>181</v>
      </c>
      <c r="B852" s="4">
        <f>SUMIF(Table20[[#All],[Strategy]],Table29[[#This Row],[Strategy]],Table20[[#All],[realized_profit]])</f>
        <v>-217.99999999999952</v>
      </c>
      <c r="C852" s="96">
        <f>Table29[[#This Row],[Realized ]]/ABS($B$865)</f>
        <v>-8.3946211272589739E-3</v>
      </c>
      <c r="D852" s="4">
        <f>SUMIF(Table20[[#All],[Strategy]],Table29[[#This Row],[Strategy]],Table20[[#All],[Invested]])</f>
        <v>-3665.0000000000009</v>
      </c>
      <c r="E852" s="84">
        <f>Table29[[#This Row],[Realized ]]/ABS(Table29[[#This Row],[Invested]])</f>
        <v>-5.9481582537516904E-2</v>
      </c>
      <c r="F852" s="101">
        <v>-1</v>
      </c>
      <c r="G852" s="101" t="s">
        <v>50</v>
      </c>
      <c r="H852" s="4">
        <f ca="1">SUMIF(Table20[[#All],[Strategy]],Table29[[#This Row],[Strategy]],Table20[[#All],[delta_exposure]])</f>
        <v>0</v>
      </c>
    </row>
    <row r="853" spans="1:32">
      <c r="A853" t="s">
        <v>161</v>
      </c>
      <c r="B853" s="4">
        <f>SUMIF(Table20[[#All],[Strategy]],Table29[[#This Row],[Strategy]],Table20[[#All],[realized_profit]])</f>
        <v>-1465.0000000000002</v>
      </c>
      <c r="C853" s="96">
        <f>Table29[[#This Row],[Realized ]]/ABS($B$865)</f>
        <v>-5.6413394272634983E-2</v>
      </c>
      <c r="D853" s="4">
        <f>SUMIF(Table20[[#All],[Strategy]],Table29[[#This Row],[Strategy]],Table20[[#All],[Invested]])</f>
        <v>9814</v>
      </c>
      <c r="E853" s="84">
        <f>Table29[[#This Row],[Realized ]]/ABS(Table29[[#This Row],[Invested]])</f>
        <v>-0.14927654371306298</v>
      </c>
      <c r="F853" s="101">
        <v>-1</v>
      </c>
      <c r="G853" s="101" t="s">
        <v>51</v>
      </c>
      <c r="H853" s="4">
        <f ca="1">SUMIF(Table20[[#All],[Strategy]],Table29[[#This Row],[Strategy]],Table20[[#All],[delta_exposure]])</f>
        <v>0</v>
      </c>
      <c r="O853" s="5"/>
    </row>
    <row r="854" spans="1:32">
      <c r="B854" s="4"/>
      <c r="C854" s="96"/>
      <c r="D854" s="4"/>
      <c r="E854" s="84"/>
      <c r="F854" s="101"/>
      <c r="G854" s="4"/>
    </row>
    <row r="855" spans="1:32" ht="19">
      <c r="A855" s="200"/>
      <c r="B855" s="200" t="s">
        <v>63</v>
      </c>
      <c r="C855" s="200" t="s">
        <v>310</v>
      </c>
    </row>
    <row r="856" spans="1:32" ht="19">
      <c r="A856" s="200" t="s">
        <v>77</v>
      </c>
      <c r="B856" s="177">
        <f>SUMIF(Table20[[#All],[Day Trading]],TRUE,Table20[[#All],[realized_profit]])</f>
        <v>-771.99999999999977</v>
      </c>
      <c r="C856" s="177">
        <v>0</v>
      </c>
    </row>
    <row r="857" spans="1:32" ht="19">
      <c r="A857" s="200" t="s">
        <v>298</v>
      </c>
      <c r="B857" s="177">
        <f>SUMIF(Table20[[#All],[Day Trading]],FALSE,Table20[[#All],[realized_profit]])</f>
        <v>26741.009999999995</v>
      </c>
      <c r="C857" s="177">
        <v>50000</v>
      </c>
    </row>
    <row r="858" spans="1:32" ht="21">
      <c r="A858" s="200" t="s">
        <v>301</v>
      </c>
      <c r="B858" s="195">
        <f ca="1">SUM(Table29[Delta Exposure])</f>
        <v>27680.76241963388</v>
      </c>
      <c r="C858" s="177" t="s">
        <v>427</v>
      </c>
    </row>
    <row r="859" spans="1:32" ht="21">
      <c r="A859" s="200" t="s">
        <v>471</v>
      </c>
      <c r="B859" s="195">
        <f ca="1">B858-SUMIF(Table20[Ticker],"TLT",Table20[delta_exposure])</f>
        <v>11901.856734183755</v>
      </c>
      <c r="C859" s="177"/>
    </row>
    <row r="860" spans="1:32" ht="19">
      <c r="A860" s="200" t="s">
        <v>315</v>
      </c>
      <c r="B860" s="177">
        <f ca="1">SUMIF(Table19[Option Exposure],"&gt;0",Table19[Option Exposure])</f>
        <v>27680.76241963388</v>
      </c>
      <c r="C860" s="177"/>
    </row>
    <row r="861" spans="1:32" ht="19">
      <c r="A861" s="200" t="s">
        <v>316</v>
      </c>
      <c r="B861" s="177">
        <f ca="1">SUMIF(Table19[Option Exposure],"&lt;0",Table19[Option Exposure])</f>
        <v>0</v>
      </c>
      <c r="C861" s="177"/>
    </row>
    <row r="862" spans="1:32" ht="19">
      <c r="A862" s="200" t="s">
        <v>327</v>
      </c>
      <c r="B862" s="177">
        <f>SUM(Table20[Value at risk])+ABS(B869)*2</f>
        <v>11779</v>
      </c>
      <c r="C862" s="177">
        <v>5000</v>
      </c>
    </row>
    <row r="863" spans="1:32" ht="19">
      <c r="A863" s="200" t="s">
        <v>50</v>
      </c>
      <c r="B863" s="177">
        <f>SUMIF(Table20[Bullish or Bearish],A863,Table20[realized_profit])</f>
        <v>25426.17</v>
      </c>
      <c r="C863" s="177"/>
    </row>
    <row r="864" spans="1:32" ht="19">
      <c r="A864" s="200" t="s">
        <v>51</v>
      </c>
      <c r="B864" s="177">
        <f>SUMIF(Table20[Bullish or Bearish],A864,Table20[realized_profit])</f>
        <v>542.83999999999969</v>
      </c>
      <c r="C864" s="177"/>
    </row>
    <row r="865" spans="1:32" ht="19">
      <c r="A865" s="200" t="s">
        <v>49</v>
      </c>
      <c r="B865" s="177">
        <f>SUM(Table20[realized_profit])</f>
        <v>25969.009999999995</v>
      </c>
      <c r="C865" s="177">
        <v>50000</v>
      </c>
    </row>
    <row r="866" spans="1:32" ht="19">
      <c r="A866" s="200" t="s">
        <v>430</v>
      </c>
      <c r="B866" s="177">
        <f>SUMIF(Table20[Ticker],"SPY",Table20[Value at risk])</f>
        <v>0</v>
      </c>
      <c r="C866" s="10"/>
    </row>
    <row r="867" spans="1:32" ht="19">
      <c r="A867" s="200" t="s">
        <v>431</v>
      </c>
      <c r="B867" s="177">
        <f>SUMIF(Table20[Ticker],"TLT",Table20[Value at risk])</f>
        <v>2985</v>
      </c>
      <c r="C867" s="10"/>
    </row>
    <row r="868" spans="1:32" ht="19">
      <c r="A868" s="200" t="s">
        <v>432</v>
      </c>
      <c r="B868" s="177">
        <f>B862-B867-B866</f>
        <v>8794</v>
      </c>
      <c r="C868" s="10"/>
    </row>
    <row r="869" spans="1:32" ht="19">
      <c r="A869" s="200" t="s">
        <v>461</v>
      </c>
      <c r="B869" s="177">
        <f>SUM(SUMIF(Table20[Strategy],"credit call spread",Table20[Value at risk]),SUMIF(Table20[Strategy],"credit put spread",Table20[Value at risk]))</f>
        <v>0</v>
      </c>
      <c r="C869" s="10"/>
    </row>
    <row r="870" spans="1:32" ht="19">
      <c r="A870" s="236"/>
      <c r="B870" s="237"/>
    </row>
    <row r="872" spans="1:32" ht="24">
      <c r="A872" s="153" t="s">
        <v>371</v>
      </c>
      <c r="B872" s="161" t="s">
        <v>359</v>
      </c>
      <c r="C872" s="152">
        <v>45566</v>
      </c>
      <c r="D872" s="161" t="s">
        <v>360</v>
      </c>
      <c r="E872" s="152">
        <v>45657</v>
      </c>
      <c r="F872" s="149"/>
      <c r="G872" s="149"/>
    </row>
    <row r="873" spans="1:32" ht="19">
      <c r="A873" s="150"/>
      <c r="B873" s="151"/>
    </row>
    <row r="874" spans="1:32" s="176" customFormat="1" ht="24">
      <c r="A874" t="s">
        <v>40</v>
      </c>
      <c r="B874" s="4" t="s">
        <v>296</v>
      </c>
      <c r="C874" s="13" t="s">
        <v>297</v>
      </c>
      <c r="D874" s="4" t="s">
        <v>104</v>
      </c>
      <c r="E874" t="s">
        <v>300</v>
      </c>
      <c r="F874" s="4" t="s">
        <v>372</v>
      </c>
      <c r="G874"/>
      <c r="H874"/>
      <c r="I874"/>
      <c r="J874"/>
      <c r="K874"/>
      <c r="L874"/>
      <c r="M874"/>
      <c r="N874"/>
      <c r="O874"/>
      <c r="P874"/>
      <c r="Q874"/>
      <c r="R874"/>
      <c r="S874"/>
      <c r="T874"/>
      <c r="U874"/>
      <c r="V874"/>
      <c r="W874"/>
      <c r="X874"/>
      <c r="Y874"/>
      <c r="Z874"/>
      <c r="AA874"/>
      <c r="AB874"/>
      <c r="AC874"/>
      <c r="AD874"/>
      <c r="AE874"/>
      <c r="AF874"/>
    </row>
    <row r="875" spans="1:32">
      <c r="A875" t="s">
        <v>65</v>
      </c>
      <c r="B875" s="4">
        <f>SUMIFS(Table20[realized_profit],Table20[Strategy],Table2941[[#This Row],[Strategy]],Table20[date_purchased], "&gt;" &amp; $C$872, Table20[date_purchased], "&lt;" &amp; $E$872)</f>
        <v>-899.00000000000034</v>
      </c>
      <c r="C875" s="96">
        <f>IFERROR(Table2941[[#This Row],[Realized ]]/ABS($B$884),0)</f>
        <v>-9.5414986202504812E-2</v>
      </c>
      <c r="D875" s="4">
        <f>ABS(SUMIFS(Table20[Invested],Table20[Strategy],Table2941[[#This Row],[Strategy]],Table20[date_purchased],"&gt;"&amp;$C$872,Table20[date_purchased],"&lt;"&amp;$E$872))</f>
        <v>8258</v>
      </c>
      <c r="E875" s="84">
        <f>Table2941[[#This Row],[Invested]]/$D$884</f>
        <v>0.23142024436722342</v>
      </c>
      <c r="F875" s="14">
        <f>IFERROR(Table2941[[#This Row],[Realized ]]/Table2941[[#This Row],[Invested]],"")</f>
        <v>-0.10886413175102935</v>
      </c>
    </row>
    <row r="876" spans="1:32">
      <c r="A876" t="s">
        <v>113</v>
      </c>
      <c r="B876" s="4">
        <f>SUMIFS(Table20[realized_profit],Table20[Strategy],Table2941[[#This Row],[Strategy]],Table20[date_purchased], "&gt;" &amp; $C$872, Table20[date_purchased], "&lt;" &amp; $E$872)</f>
        <v>-3000</v>
      </c>
      <c r="C876" s="96">
        <f>IFERROR(Table2941[[#This Row],[Realized ]]/ABS($B$884),0)</f>
        <v>-0.31840373593716831</v>
      </c>
      <c r="D876" s="4">
        <f>ABS(SUMIFS(Table20[Invested],Table20[Strategy],Table2941[[#This Row],[Strategy]],Table20[date_purchased],"&gt;"&amp;$C$872,Table20[date_purchased],"&lt;"&amp;$E$872))</f>
        <v>7282</v>
      </c>
      <c r="E876" s="84">
        <f>Table2941[[#This Row],[Invested]]/$D$884</f>
        <v>0.20406905055487054</v>
      </c>
      <c r="F876" s="14">
        <f>IFERROR(Table2941[[#This Row],[Realized ]]/Table2941[[#This Row],[Invested]],"")</f>
        <v>-0.41197473221642406</v>
      </c>
    </row>
    <row r="877" spans="1:32">
      <c r="A877" t="s">
        <v>112</v>
      </c>
      <c r="B877" s="4">
        <f>SUMIFS(Table20[realized_profit],Table20[Strategy],Table2941[[#This Row],[Strategy]],Table20[date_purchased], "&gt;" &amp; $C$872, Table20[date_purchased], "&lt;" &amp; $E$872)</f>
        <v>-973</v>
      </c>
      <c r="C877" s="96">
        <f>IFERROR(Table2941[[#This Row],[Realized ]]/ABS($B$884),0)</f>
        <v>-0.10326894502228826</v>
      </c>
      <c r="D877" s="4">
        <f>ABS(SUMIFS(Table20[Invested],Table20[Strategy],Table2941[[#This Row],[Strategy]],Table20[date_purchased],"&gt;"&amp;$C$872,Table20[date_purchased],"&lt;"&amp;$E$872))</f>
        <v>2802</v>
      </c>
      <c r="E877" s="84">
        <f>Table2941[[#This Row],[Invested]]/$D$884</f>
        <v>7.8522587153906517E-2</v>
      </c>
      <c r="F877" s="14">
        <f>IFERROR(Table2941[[#This Row],[Realized ]]/Table2941[[#This Row],[Invested]],"")</f>
        <v>-0.34725196288365451</v>
      </c>
    </row>
    <row r="878" spans="1:32">
      <c r="A878" t="s">
        <v>114</v>
      </c>
      <c r="B878" s="4">
        <f>SUMIFS(Table20[realized_profit],Table20[Strategy],Table2941[[#This Row],[Strategy]],Table20[date_purchased], "&gt;" &amp; $C$872, Table20[date_purchased], "&lt;" &amp; $E$872)</f>
        <v>-2400</v>
      </c>
      <c r="C878" s="96">
        <f>IFERROR(Table2941[[#This Row],[Realized ]]/ABS($B$884),0)</f>
        <v>-0.25472298874973465</v>
      </c>
      <c r="D878" s="4">
        <f>ABS(SUMIFS(Table20[Invested],Table20[Strategy],Table2941[[#This Row],[Strategy]],Table20[date_purchased],"&gt;"&amp;$C$872,Table20[date_purchased],"&lt;"&amp;$E$872))</f>
        <v>4525</v>
      </c>
      <c r="E878" s="84">
        <f>Table2941[[#This Row],[Invested]]/$D$884</f>
        <v>0.12680753278780404</v>
      </c>
      <c r="F878" s="14">
        <f>IFERROR(Table2941[[#This Row],[Realized ]]/Table2941[[#This Row],[Invested]],"")</f>
        <v>-0.53038674033149169</v>
      </c>
    </row>
    <row r="879" spans="1:32">
      <c r="A879" t="s">
        <v>115</v>
      </c>
      <c r="B879" s="4">
        <f>SUMIFS(Table20[realized_profit],Table20[Strategy],Table2941[[#This Row],[Strategy]],Table20[date_purchased], "&gt;" &amp; $C$872, Table20[date_purchased], "&lt;" &amp; $E$872)</f>
        <v>16.999999999999091</v>
      </c>
      <c r="C879" s="96">
        <f>IFERROR(Table2941[[#This Row],[Realized ]]/ABS($B$884),0)</f>
        <v>1.8042878369771906E-3</v>
      </c>
      <c r="D879" s="4">
        <f>ABS(SUMIFS(Table20[Invested],Table20[Strategy],Table2941[[#This Row],[Strategy]],Table20[date_purchased],"&gt;"&amp;$C$872,Table20[date_purchased],"&lt;"&amp;$E$872))</f>
        <v>3401</v>
      </c>
      <c r="E879" s="84">
        <f>Table2941[[#This Row],[Invested]]/$D$884</f>
        <v>9.5308821880955047E-2</v>
      </c>
      <c r="F879" s="14">
        <f>IFERROR(Table2941[[#This Row],[Realized ]]/Table2941[[#This Row],[Invested]],"")</f>
        <v>4.998529844163214E-3</v>
      </c>
    </row>
    <row r="880" spans="1:32">
      <c r="A880" t="s">
        <v>159</v>
      </c>
      <c r="B880" s="4">
        <f>SUMIFS(Table20[realized_profit],Table20[Strategy],Table2941[[#This Row],[Strategy]],Table20[date_purchased], "&gt;" &amp; $C$872, Table20[date_purchased], "&lt;" &amp; $E$872)</f>
        <v>-163.00000000000011</v>
      </c>
      <c r="C880" s="96">
        <f>IFERROR(Table2941[[#This Row],[Realized ]]/ABS($B$884),0)</f>
        <v>-1.7299936319252824E-2</v>
      </c>
      <c r="D880" s="4">
        <f>ABS(SUMIFS(Table20[Invested],Table20[Strategy],Table2941[[#This Row],[Strategy]],Table20[date_purchased],"&gt;"&amp;$C$872,Table20[date_purchased],"&lt;"&amp;$E$872))</f>
        <v>1207</v>
      </c>
      <c r="E880" s="84">
        <f>Table2941[[#This Row],[Invested]]/$D$884</f>
        <v>3.3824683331465086E-2</v>
      </c>
      <c r="F880" s="14">
        <f>IFERROR(Table2941[[#This Row],[Realized ]]/Table2941[[#This Row],[Invested]],"")</f>
        <v>-0.13504556752278385</v>
      </c>
      <c r="AF880" s="155"/>
    </row>
    <row r="881" spans="1:32">
      <c r="A881" t="s">
        <v>181</v>
      </c>
      <c r="B881" s="4">
        <f>SUMIFS(Table20[realized_profit],Table20[Strategy],Table2941[[#This Row],[Strategy]],Table20[date_purchased], "&gt;" &amp; $C$872, Table20[date_purchased], "&lt;" &amp; $E$872)</f>
        <v>-387.99999999999909</v>
      </c>
      <c r="C881" s="96">
        <f>IFERROR(Table2941[[#This Row],[Realized ]]/ABS($B$884),0)</f>
        <v>-4.118021651454034E-2</v>
      </c>
      <c r="D881" s="4">
        <f>ABS(SUMIFS(Table20[Invested],Table20[Strategy],Table2941[[#This Row],[Strategy]],Table20[date_purchased],"&gt;"&amp;$C$872,Table20[date_purchased],"&lt;"&amp;$E$872))</f>
        <v>2965.0000000000009</v>
      </c>
      <c r="E881" s="84">
        <f>Table2941[[#This Row],[Invested]]/$D$884</f>
        <v>8.3090460710682684E-2</v>
      </c>
      <c r="F881" s="14">
        <f>IFERROR(Table2941[[#This Row],[Realized ]]/Table2941[[#This Row],[Invested]],"")</f>
        <v>-0.13086003372681246</v>
      </c>
    </row>
    <row r="882" spans="1:32">
      <c r="A882" t="s">
        <v>161</v>
      </c>
      <c r="B882" s="4">
        <f>SUMIFS(Table20[realized_profit],Table20[Strategy],Table2941[[#This Row],[Strategy]],Table20[date_purchased], "&gt;" &amp; $C$872, Table20[date_purchased], "&lt;" &amp; $E$872)</f>
        <v>-1616</v>
      </c>
      <c r="C882" s="96">
        <f>IFERROR(Table2941[[#This Row],[Realized ]]/ABS($B$884),0)</f>
        <v>-0.17151347909148801</v>
      </c>
      <c r="D882" s="4">
        <f>ABS(SUMIFS(Table20[Invested],Table20[Strategy],Table2941[[#This Row],[Strategy]],Table20[date_purchased],"&gt;"&amp;$C$872,Table20[date_purchased],"&lt;"&amp;$E$872))</f>
        <v>5244</v>
      </c>
      <c r="E882" s="84">
        <f>Table2941[[#This Row],[Invested]]/$D$884</f>
        <v>0.14695661921309269</v>
      </c>
      <c r="F882" s="14">
        <f>IFERROR(Table2941[[#This Row],[Realized ]]/Table2941[[#This Row],[Invested]],"")</f>
        <v>-0.30816170861937453</v>
      </c>
    </row>
    <row r="884" spans="1:32" ht="19">
      <c r="A884" s="16" t="s">
        <v>356</v>
      </c>
      <c r="B884" s="146">
        <f>SUM(Table2941[[Realized ]])</f>
        <v>-9422</v>
      </c>
      <c r="C884" s="12"/>
      <c r="D884" s="146">
        <f>SUM(Table2941[Invested])</f>
        <v>35684</v>
      </c>
    </row>
    <row r="886" spans="1:32" ht="24">
      <c r="A886" s="153" t="s">
        <v>370</v>
      </c>
      <c r="B886" s="161"/>
      <c r="C886" s="152"/>
      <c r="D886" s="161"/>
      <c r="E886" s="152"/>
      <c r="F886" s="149"/>
      <c r="G886" s="149"/>
    </row>
    <row r="888" spans="1:32">
      <c r="A888" t="s">
        <v>40</v>
      </c>
      <c r="B888" s="4" t="s">
        <v>296</v>
      </c>
      <c r="C888" s="13" t="s">
        <v>297</v>
      </c>
      <c r="D888" s="4" t="s">
        <v>104</v>
      </c>
      <c r="E888" t="s">
        <v>300</v>
      </c>
      <c r="F888" s="4" t="s">
        <v>372</v>
      </c>
      <c r="H888" t="s">
        <v>448</v>
      </c>
      <c r="I888" t="s">
        <v>1</v>
      </c>
      <c r="J888" t="s">
        <v>29</v>
      </c>
      <c r="K888" t="s">
        <v>84</v>
      </c>
      <c r="L888" t="s">
        <v>83</v>
      </c>
      <c r="M888" t="s">
        <v>455</v>
      </c>
      <c r="N888" t="s">
        <v>133</v>
      </c>
      <c r="O888" t="s">
        <v>31</v>
      </c>
      <c r="P888" t="s">
        <v>56</v>
      </c>
      <c r="Q888" t="s">
        <v>55</v>
      </c>
      <c r="R888" t="s">
        <v>58</v>
      </c>
      <c r="S888" t="s">
        <v>57</v>
      </c>
      <c r="T888" t="s">
        <v>136</v>
      </c>
      <c r="U888" t="s">
        <v>54</v>
      </c>
      <c r="V888" t="s">
        <v>38</v>
      </c>
      <c r="W888" t="s">
        <v>48</v>
      </c>
      <c r="X888" t="s">
        <v>30</v>
      </c>
      <c r="Y888" t="s">
        <v>120</v>
      </c>
      <c r="Z888" t="s">
        <v>258</v>
      </c>
      <c r="AA888" t="s">
        <v>132</v>
      </c>
    </row>
    <row r="889" spans="1:32">
      <c r="A889" t="s">
        <v>65</v>
      </c>
      <c r="B889" s="4">
        <f>SUMIFS(Table20[realized_profit],Table20[Strategy],Table294143[[#This Row],[Strategy]],Table20[Expiration Date], "&gt;" &amp; $C$872, Table20[Expiration Date], "&lt;" &amp; $E$872)</f>
        <v>-2717</v>
      </c>
      <c r="C889" s="96">
        <f>Table294143[[#This Row],[Realized ]]/ABS($B$898)</f>
        <v>-0.30794514337526918</v>
      </c>
      <c r="D889" s="4">
        <f>SUMIFS(Table20[Invested],Table20[Strategy],Table294143[[#This Row],[Strategy]],Table20[Expiration Date],"&gt;"&amp;$C$872,Table20[Expiration Date],"&lt;"&amp;$E$872)</f>
        <v>11142</v>
      </c>
      <c r="E889" s="84">
        <f>Table294143[[#This Row],[Invested]]/$D$898</f>
        <v>0.3467463355428998</v>
      </c>
      <c r="F889" s="14">
        <f>IFERROR(Table294143[[#This Row],[Realized ]]/Table294143[[#This Row],[Invested]],"")</f>
        <v>-0.24385209118650153</v>
      </c>
      <c r="H889">
        <v>1</v>
      </c>
      <c r="I889" s="1">
        <v>45564</v>
      </c>
      <c r="J889" s="1">
        <v>45594</v>
      </c>
      <c r="K889" s="1">
        <v>45580</v>
      </c>
      <c r="L889" s="1">
        <v>45587</v>
      </c>
      <c r="M889" s="1">
        <v>45567</v>
      </c>
      <c r="N889" s="1">
        <v>45567</v>
      </c>
      <c r="O889" s="1">
        <v>45567</v>
      </c>
      <c r="P889" s="1">
        <v>45573</v>
      </c>
      <c r="Q889" s="1">
        <v>45569</v>
      </c>
      <c r="R889" s="1">
        <v>45575</v>
      </c>
      <c r="S889" s="1">
        <v>45569</v>
      </c>
      <c r="T889" s="1">
        <v>45569</v>
      </c>
      <c r="U889" s="1">
        <v>45573</v>
      </c>
      <c r="V889" s="1">
        <v>45587</v>
      </c>
      <c r="W889" s="1"/>
      <c r="X889" s="1">
        <v>45575</v>
      </c>
      <c r="Y889" s="1">
        <v>45575</v>
      </c>
      <c r="Z889" s="1">
        <v>45602</v>
      </c>
      <c r="AA889" s="1">
        <v>45602</v>
      </c>
    </row>
    <row r="890" spans="1:32">
      <c r="A890" t="s">
        <v>113</v>
      </c>
      <c r="B890" s="4">
        <f>SUMIFS(Table20[realized_profit],Table20[Strategy],Table294143[[#This Row],[Strategy]],Table20[Expiration Date], "&gt;" &amp; $C$872, Table20[Expiration Date], "&lt;" &amp; $E$872)</f>
        <v>-1224</v>
      </c>
      <c r="C890" s="96">
        <f>Table294143[[#This Row],[Realized ]]/ABS($B$898)</f>
        <v>-0.13872832369942195</v>
      </c>
      <c r="D890" s="4">
        <f>SUMIFS(Table20[Invested],Table20[Strategy],Table294143[[#This Row],[Strategy]],Table20[Expiration Date],"&gt;"&amp;$C$872,Table20[Expiration Date],"&lt;"&amp;$E$872)</f>
        <v>5437</v>
      </c>
      <c r="E890" s="84">
        <f>Table294143[[#This Row],[Invested]]/$D$898</f>
        <v>0.16920300003112065</v>
      </c>
      <c r="F890" s="14">
        <f>IFERROR(Table294143[[#This Row],[Realized ]]/Table294143[[#This Row],[Invested]],"")</f>
        <v>-0.2251241493470664</v>
      </c>
      <c r="H890">
        <v>2</v>
      </c>
      <c r="I890" s="1">
        <v>45580</v>
      </c>
      <c r="J890" s="1">
        <v>45598</v>
      </c>
      <c r="K890" s="1">
        <v>45602</v>
      </c>
      <c r="L890" s="1">
        <v>45602</v>
      </c>
      <c r="M890" s="1">
        <v>45602</v>
      </c>
      <c r="N890" s="1">
        <v>45580</v>
      </c>
      <c r="O890" s="1">
        <v>45588</v>
      </c>
      <c r="P890" s="1">
        <v>45588</v>
      </c>
      <c r="Q890" s="1"/>
      <c r="R890" s="1"/>
      <c r="S890" s="1">
        <v>45588</v>
      </c>
      <c r="T890" s="1">
        <v>45588</v>
      </c>
      <c r="U890" s="1"/>
      <c r="V890" s="1"/>
      <c r="W890" s="1"/>
      <c r="X890" s="1"/>
      <c r="Y890" s="1">
        <v>45587</v>
      </c>
      <c r="Z890" s="1"/>
      <c r="AA890" s="1">
        <v>45602</v>
      </c>
    </row>
    <row r="891" spans="1:32">
      <c r="A891" t="s">
        <v>112</v>
      </c>
      <c r="B891" s="4">
        <f>SUMIFS(Table20[realized_profit],Table20[Strategy],Table294143[[#This Row],[Strategy]],Table20[Expiration Date], "&gt;" &amp; $C$872, Table20[Expiration Date], "&lt;" &amp; $E$872)</f>
        <v>-1155</v>
      </c>
      <c r="C891" s="96">
        <f>Table294143[[#This Row],[Realized ]]/ABS($B$898)</f>
        <v>-0.13090785447126826</v>
      </c>
      <c r="D891" s="4">
        <f>SUMIFS(Table20[Invested],Table20[Strategy],Table294143[[#This Row],[Strategy]],Table20[Expiration Date],"&gt;"&amp;$C$872,Table20[Expiration Date],"&lt;"&amp;$E$872)</f>
        <v>6084</v>
      </c>
      <c r="E891" s="84">
        <f>Table294143[[#This Row],[Invested]]/$D$898</f>
        <v>0.18933806367285969</v>
      </c>
      <c r="F891" s="14">
        <f>IFERROR(Table294143[[#This Row],[Realized ]]/Table294143[[#This Row],[Invested]],"")</f>
        <v>-0.1898422090729783</v>
      </c>
    </row>
    <row r="892" spans="1:32">
      <c r="A892" t="s">
        <v>114</v>
      </c>
      <c r="B892" s="4">
        <f>SUMIFS(Table20[realized_profit],Table20[Strategy],Table294143[[#This Row],[Strategy]],Table20[Expiration Date], "&gt;" &amp; $C$872, Table20[Expiration Date], "&lt;" &amp; $E$872)</f>
        <v>-1544</v>
      </c>
      <c r="C892" s="96">
        <f>Table294143[[#This Row],[Realized ]]/ABS($B$898)</f>
        <v>-0.17499716649665648</v>
      </c>
      <c r="D892" s="4">
        <f>SUMIFS(Table20[Invested],Table20[Strategy],Table294143[[#This Row],[Strategy]],Table20[Expiration Date],"&gt;"&amp;$C$872,Table20[Expiration Date],"&lt;"&amp;$E$872)</f>
        <v>3266</v>
      </c>
      <c r="E892" s="84">
        <f>Table294143[[#This Row],[Invested]]/$D$898</f>
        <v>0.10164005850683099</v>
      </c>
      <c r="F892" s="14">
        <f>IFERROR(Table294143[[#This Row],[Realized ]]/Table294143[[#This Row],[Invested]],"")</f>
        <v>-0.47274954072259645</v>
      </c>
    </row>
    <row r="893" spans="1:32">
      <c r="A893" t="s">
        <v>115</v>
      </c>
      <c r="B893" s="4">
        <f>SUMIFS(Table20[realized_profit],Table20[Strategy],Table294143[[#This Row],[Strategy]],Table20[Expiration Date], "&gt;" &amp; $C$872, Table20[Expiration Date], "&lt;" &amp; $E$872)</f>
        <v>672.99999999999909</v>
      </c>
      <c r="C893" s="96">
        <f>Table294143[[#This Row],[Realized ]]/ABS($B$898)</f>
        <v>7.62779100079337E-2</v>
      </c>
      <c r="D893" s="4">
        <f>SUMIFS(Table20[Invested],Table20[Strategy],Table294143[[#This Row],[Strategy]],Table20[Expiration Date],"&gt;"&amp;$C$872,Table20[Expiration Date],"&lt;"&amp;$E$872)</f>
        <v>4405</v>
      </c>
      <c r="E893" s="84">
        <f>Table294143[[#This Row],[Invested]]/$D$898</f>
        <v>0.13708648429962966</v>
      </c>
      <c r="F893" s="14">
        <f>IFERROR(Table294143[[#This Row],[Realized ]]/Table294143[[#This Row],[Invested]],"")</f>
        <v>0.15278093076049923</v>
      </c>
    </row>
    <row r="894" spans="1:32">
      <c r="A894" t="s">
        <v>159</v>
      </c>
      <c r="B894" s="4">
        <f>SUMIFS(Table20[realized_profit],Table20[Strategy],Table294143[[#This Row],[Strategy]],Table20[Expiration Date], "&gt;" &amp; $C$872, Table20[Expiration Date], "&lt;" &amp; $E$872)</f>
        <v>-417.99999999999989</v>
      </c>
      <c r="C894" s="96">
        <f>Table294143[[#This Row],[Realized ]]/ABS($B$898)</f>
        <v>-4.7376175903887555E-2</v>
      </c>
      <c r="D894" s="4">
        <f>SUMIFS(Table20[Invested],Table20[Strategy],Table294143[[#This Row],[Strategy]],Table20[Expiration Date],"&gt;"&amp;$C$872,Table20[Expiration Date],"&lt;"&amp;$E$872)</f>
        <v>-1739</v>
      </c>
      <c r="E894" s="84">
        <f>Table294143[[#This Row],[Invested]]/$D$898</f>
        <v>-5.4118818659944605E-2</v>
      </c>
      <c r="F894" s="14">
        <f>IFERROR(Table294143[[#This Row],[Realized ]]/Table294143[[#This Row],[Invested]],"")</f>
        <v>0.2403680276020701</v>
      </c>
    </row>
    <row r="895" spans="1:32" s="11" customFormat="1" ht="19">
      <c r="A895" t="s">
        <v>181</v>
      </c>
      <c r="B895" s="4">
        <f>SUMIFS(Table20[realized_profit],Table20[Strategy],Table294143[[#This Row],[Strategy]],Table20[Expiration Date], "&gt;" &amp; $C$872, Table20[Expiration Date], "&lt;" &amp; $E$872)</f>
        <v>-387.99999999999909</v>
      </c>
      <c r="C895" s="96">
        <f>Table294143[[#This Row],[Realized ]]/ABS($B$898)</f>
        <v>-4.3975971891646731E-2</v>
      </c>
      <c r="D895" s="4">
        <f>SUMIFS(Table20[Invested],Table20[Strategy],Table294143[[#This Row],[Strategy]],Table20[Expiration Date],"&gt;"&amp;$C$872,Table20[Expiration Date],"&lt;"&amp;$E$872)</f>
        <v>-2965.0000000000009</v>
      </c>
      <c r="E895" s="84">
        <f>Table294143[[#This Row],[Invested]]/$D$898</f>
        <v>-9.2272741418479479E-2</v>
      </c>
      <c r="F895" s="14">
        <f>IFERROR(Table294143[[#This Row],[Realized ]]/Table294143[[#This Row],[Invested]],"")</f>
        <v>0.13086003372681246</v>
      </c>
      <c r="G895"/>
      <c r="H895"/>
      <c r="I895"/>
      <c r="J895"/>
      <c r="K895"/>
      <c r="L895"/>
      <c r="M895"/>
      <c r="N895"/>
      <c r="O895"/>
      <c r="P895"/>
      <c r="Q895"/>
      <c r="R895"/>
      <c r="S895"/>
      <c r="T895"/>
      <c r="U895"/>
      <c r="V895"/>
      <c r="W895"/>
      <c r="X895"/>
      <c r="Y895"/>
      <c r="Z895"/>
      <c r="AA895"/>
      <c r="AB895"/>
      <c r="AC895"/>
      <c r="AD895"/>
      <c r="AE895"/>
      <c r="AF895"/>
    </row>
    <row r="896" spans="1:32">
      <c r="A896" t="s">
        <v>161</v>
      </c>
      <c r="B896" s="4">
        <f>SUMIFS(Table20[realized_profit],Table20[Strategy],Table294143[[#This Row],[Strategy]],Table20[Expiration Date], "&gt;" &amp; $C$872, Table20[Expiration Date], "&lt;" &amp; $E$872)</f>
        <v>-2050</v>
      </c>
      <c r="C896" s="96">
        <f>Table294143[[#This Row],[Realized ]]/ABS($B$898)</f>
        <v>-0.23234727416978351</v>
      </c>
      <c r="D896" s="4">
        <f>SUMIFS(Table20[Invested],Table20[Strategy],Table294143[[#This Row],[Strategy]],Table20[Expiration Date],"&gt;"&amp;$C$872,Table20[Expiration Date],"&lt;"&amp;$E$872)</f>
        <v>6503</v>
      </c>
      <c r="E896" s="84">
        <f>Table294143[[#This Row],[Invested]]/$D$898</f>
        <v>0.20237761802508325</v>
      </c>
      <c r="F896" s="14">
        <f>IFERROR(Table294143[[#This Row],[Realized ]]/Table294143[[#This Row],[Invested]],"")</f>
        <v>-0.31523912040596647</v>
      </c>
    </row>
    <row r="898" spans="1:32" ht="19">
      <c r="A898" s="16" t="s">
        <v>356</v>
      </c>
      <c r="B898" s="146">
        <f>SUM(Table294143[[Realized ]])</f>
        <v>-8823</v>
      </c>
      <c r="C898" s="146"/>
      <c r="D898" s="146">
        <f>SUM(Table294143[Invested])</f>
        <v>32133</v>
      </c>
    </row>
    <row r="899" spans="1:32">
      <c r="H899" s="175"/>
      <c r="I899" s="175"/>
      <c r="J899" s="175"/>
      <c r="K899" s="175"/>
      <c r="L899" s="175"/>
      <c r="M899" s="175"/>
      <c r="N899" s="175"/>
      <c r="O899" s="175"/>
      <c r="P899" s="175"/>
      <c r="Q899" s="175"/>
      <c r="R899" s="175"/>
      <c r="S899" s="175"/>
      <c r="T899" s="175"/>
      <c r="U899" s="175"/>
      <c r="V899" s="175"/>
      <c r="W899" s="175"/>
      <c r="X899" s="175"/>
      <c r="Y899" s="175"/>
      <c r="Z899" s="175"/>
      <c r="AA899" s="175"/>
      <c r="AB899" s="175"/>
      <c r="AC899" s="175"/>
      <c r="AD899" s="175"/>
      <c r="AE899" s="175"/>
    </row>
    <row r="900" spans="1:32" ht="24">
      <c r="A900" s="153" t="s">
        <v>361</v>
      </c>
      <c r="B900" s="162"/>
      <c r="C900" s="162"/>
      <c r="D900" s="162"/>
      <c r="E900" s="162"/>
      <c r="F900" s="162"/>
      <c r="G900" s="162"/>
      <c r="H900" s="162"/>
      <c r="I900" s="162"/>
      <c r="J900" s="162"/>
      <c r="K900" s="162"/>
      <c r="L900" s="162"/>
      <c r="M900" s="162"/>
      <c r="N900" s="162"/>
      <c r="O900" s="155"/>
      <c r="P900" s="186"/>
      <c r="Q900" s="162"/>
      <c r="R900" s="162"/>
      <c r="S900" s="162"/>
      <c r="T900" s="182"/>
      <c r="U900" s="186"/>
      <c r="V900" s="186"/>
      <c r="W900" s="186"/>
      <c r="X900" s="186"/>
      <c r="Y900" s="186"/>
      <c r="Z900" s="186"/>
      <c r="AA900" s="186"/>
      <c r="AB900" s="176"/>
      <c r="AC900" s="176"/>
      <c r="AD900" s="176"/>
      <c r="AE900" s="176"/>
      <c r="AF900" s="176"/>
    </row>
    <row r="901" spans="1:32">
      <c r="A901" s="190">
        <v>1</v>
      </c>
      <c r="B901" s="190">
        <v>2</v>
      </c>
      <c r="C901" s="190">
        <v>3</v>
      </c>
      <c r="D901" s="190">
        <v>4</v>
      </c>
      <c r="E901" s="190">
        <v>5</v>
      </c>
      <c r="F901" s="190">
        <v>6</v>
      </c>
      <c r="G901" s="190">
        <v>7</v>
      </c>
      <c r="H901" s="190">
        <v>8</v>
      </c>
      <c r="I901" s="190">
        <v>9</v>
      </c>
      <c r="J901" s="190">
        <v>10</v>
      </c>
      <c r="K901" s="190">
        <v>11</v>
      </c>
      <c r="L901" s="190">
        <v>12</v>
      </c>
      <c r="M901" s="190">
        <v>13</v>
      </c>
      <c r="N901" s="190">
        <v>14</v>
      </c>
      <c r="O901" s="190">
        <v>15</v>
      </c>
      <c r="P901" s="190">
        <v>16</v>
      </c>
      <c r="Q901" s="190">
        <v>17</v>
      </c>
      <c r="R901" s="190">
        <v>18</v>
      </c>
      <c r="S901" s="190">
        <v>19</v>
      </c>
      <c r="T901" s="190">
        <v>20</v>
      </c>
      <c r="U901" s="190">
        <v>21</v>
      </c>
      <c r="V901" s="190">
        <v>22</v>
      </c>
      <c r="W901" s="190">
        <v>23</v>
      </c>
      <c r="X901" s="190">
        <v>24</v>
      </c>
      <c r="Y901" s="190">
        <v>25</v>
      </c>
      <c r="Z901" s="190">
        <v>26</v>
      </c>
      <c r="AA901" s="190">
        <v>27</v>
      </c>
    </row>
    <row r="902" spans="1:32">
      <c r="A902" s="198"/>
      <c r="B902" s="198"/>
      <c r="C902" s="198"/>
      <c r="D902" s="198"/>
      <c r="E902" s="198"/>
      <c r="F902" s="198"/>
      <c r="G902" s="198"/>
      <c r="H902" s="198"/>
      <c r="I902" s="198"/>
      <c r="J902" s="198"/>
      <c r="K902" s="198"/>
      <c r="L902" s="198"/>
      <c r="M902" s="198"/>
      <c r="N902" s="198"/>
      <c r="O902" s="198"/>
      <c r="P902" s="198"/>
      <c r="Q902" s="198"/>
      <c r="R902" s="198"/>
      <c r="S902" s="198"/>
      <c r="T902" s="198"/>
      <c r="U902" s="198"/>
    </row>
    <row r="903" spans="1:32">
      <c r="A903" s="194" t="s">
        <v>357</v>
      </c>
      <c r="B903" t="s">
        <v>60</v>
      </c>
      <c r="C903" t="s">
        <v>299</v>
      </c>
      <c r="D903" t="s">
        <v>391</v>
      </c>
      <c r="E903" t="s">
        <v>50</v>
      </c>
      <c r="F903" t="s">
        <v>51</v>
      </c>
      <c r="G903" t="s">
        <v>113</v>
      </c>
      <c r="H903" t="s">
        <v>65</v>
      </c>
      <c r="I903" t="s">
        <v>115</v>
      </c>
      <c r="J903" t="s">
        <v>161</v>
      </c>
      <c r="K903" t="s">
        <v>112</v>
      </c>
      <c r="L903" t="s">
        <v>104</v>
      </c>
      <c r="M903" t="s">
        <v>387</v>
      </c>
      <c r="N903" t="s">
        <v>394</v>
      </c>
      <c r="O903" t="s">
        <v>2</v>
      </c>
      <c r="P903" t="s">
        <v>395</v>
      </c>
      <c r="Q903" t="s">
        <v>396</v>
      </c>
      <c r="R903" t="s">
        <v>397</v>
      </c>
      <c r="S903" t="s">
        <v>39</v>
      </c>
      <c r="T903" t="s">
        <v>400</v>
      </c>
      <c r="U903" t="s">
        <v>398</v>
      </c>
      <c r="V903" t="s">
        <v>164</v>
      </c>
      <c r="W903" t="s">
        <v>48</v>
      </c>
      <c r="X903" t="s">
        <v>447</v>
      </c>
      <c r="Y903" t="s">
        <v>449</v>
      </c>
      <c r="Z903" t="s">
        <v>428</v>
      </c>
      <c r="AA903" t="s">
        <v>429</v>
      </c>
    </row>
    <row r="904" spans="1:32" hidden="1">
      <c r="A904" s="194" t="e" vm="94">
        <v>#VALUE!</v>
      </c>
      <c r="B904" s="13" t="str" cm="1">
        <f t="array" aca="1" ref="B904" ca="1">_FV(Table41[[#This Row],[Asset Name]],"Ticker symbol",TRUE)</f>
        <v>MAG</v>
      </c>
      <c r="C904" s="4">
        <f>SUMIF(Table20[Asset],Table41[[#This Row],[Asset Name]],Table20[realized_profit])</f>
        <v>0</v>
      </c>
      <c r="D904" s="4">
        <f>SUMIFS(Table20[realized_profit],Table20[Asset],Table41[[#This Row],[Asset Name]],Table20[date_purchased],"&gt;"&amp;$C$872,Table20[date_purchased],"&lt;"&amp;$E$872)</f>
        <v>0</v>
      </c>
      <c r="E904" s="4">
        <f>SUMIFS(Table20[realized_profit],Table20[Asset],Table41[[#This Row],[Asset Name]],Table20[Bullish or Bearish],"Bullish",Table20[date_purchased],"&gt;"&amp;$C$872,Table20[date_purchased],"&lt;"&amp;$E$872)</f>
        <v>0</v>
      </c>
      <c r="F904" s="4">
        <f>SUMIFS(Table20[realized_profit],Table20[Asset],Table41[[#This Row],[Asset Name]],Table20[Bullish or Bearish],"Bearish",Table20[date_purchased],"&gt;"&amp;$C$872,Table20[date_purchased],"&lt;"&amp;$E$872)</f>
        <v>0</v>
      </c>
      <c r="G904" s="4">
        <f>SUMIFS(Table20[realized_profit],Table20[Asset],Table41[[#This Row],[Asset Name]],Table20[Strategy],"call",Table20[date_purchased],"&gt;"&amp;$C$872,Table20[date_purchased],"&lt;"&amp;$E$872)</f>
        <v>0</v>
      </c>
      <c r="H904" s="4">
        <f>SUMIFS(Table20[realized_profit],Table20[Asset],Table41[[#This Row],[Asset Name]],Table20[Strategy],"put",Table20[date_purchased],"&gt;"&amp;$C$872,Table20[date_purchased],"&lt;"&amp;$E$872)</f>
        <v>0</v>
      </c>
      <c r="I904" s="4">
        <f>SUMIFS(Table20[realized_profit],Table20[Asset],Table41[[#This Row],[Asset Name]],Table20[Strategy],"calendar spread",Table20[date_purchased],"&gt;"&amp;$C$872,Table20[date_purchased],"&lt;"&amp;$E$872)</f>
        <v>0</v>
      </c>
      <c r="J904" s="4">
        <f>SUMIFS(Table20[realized_profit],Table20[Asset],Table41[[#This Row],[Asset Name]],Table20[Strategy],"put calendar spread",Table20[date_purchased],"&gt;"&amp;$C$872,Table20[date_purchased],"&lt;"&amp;$E$872)</f>
        <v>0</v>
      </c>
      <c r="K904" s="4">
        <f>SUMIFS(Table20[realized_profit],Table20[Asset],Table41[[#This Row],[Asset Name]],Table20[Strategy],"put spread",Table20[date_purchased],"&gt;"&amp;$C$872,Table20[date_purchased],"&lt;"&amp;$E$872)</f>
        <v>0</v>
      </c>
      <c r="L904" s="4">
        <f>SUMIFS(Table20[Invested],Table20[Asset],Table41[[#This Row],[Asset Name]],Table20[date_purchased],"&gt;"&amp;$C$872,Table20[date_purchased],"&lt;"&amp;$E$872)</f>
        <v>0</v>
      </c>
      <c r="M904" s="14">
        <f>IFERROR(Table41[[#This Row],[Within timeline]]/Table41[[#This Row],[Invested]],0)</f>
        <v>0</v>
      </c>
      <c r="N904" s="187">
        <v>12.5</v>
      </c>
      <c r="O904" s="179" cm="1">
        <f t="array" aca="1" ref="O904" ca="1">_FV(Table41[[#This Row],[Asset Name]],"Price")</f>
        <v>24.47</v>
      </c>
      <c r="P904" s="188">
        <v>15</v>
      </c>
      <c r="Q904" t="b">
        <f ca="1">IF(Table41[[#This Row],[Current Price]]&lt;Table41[[#This Row],[Put wall]]*1.02,TRUE,FALSE)</f>
        <v>0</v>
      </c>
      <c r="R904" t="b">
        <f ca="1">IF(Table41[[#This Row],[Current Price]]&gt;Table41[[#This Row],[Call wall]]*0.98,TRUE,FALSE)</f>
        <v>1</v>
      </c>
      <c r="S904" s="4">
        <f>SUMIF(Table20[Asset],Table41[[#This Row],[Asset Name]],Table20[delta_exposure])</f>
        <v>0</v>
      </c>
      <c r="T904" s="36" t="str" cm="1">
        <f t="array" aca="1" ref="T904" ca="1">_FV(Table41[[#This Row],[Asset Name]],"Instrument type",TRUE)</f>
        <v>Stock</v>
      </c>
      <c r="U904" s="183">
        <v>45588</v>
      </c>
      <c r="V904" t="str">
        <f>VLOOKUP(Table41[[#This Row],[Asset Name]],Table19[#All],3,FALSE)</f>
        <v>Gold and Silver</v>
      </c>
      <c r="X904" t="str">
        <f>VLOOKUP(Table41[[#This Row],[Asset Name]],Table19[#All],4,FALSE)</f>
        <v>Commodity</v>
      </c>
      <c r="Y904" s="147" t="str">
        <f ca="1">IF(Table41[[#This Row],[Current Price]]&lt;Table41[[#This Row],[Put wall]]*1.02,"✅",IF(Table41[[#This Row],[Current Price]]&gt;Table41[[#This Row],[Call wall]]*0.98,"🔻",""))</f>
        <v>🔻</v>
      </c>
      <c r="Z904" s="203">
        <f ca="1">Table41[[#This Row],[Current Price]]/Table41[[#This Row],[Put wall]]-1</f>
        <v>0.95760000000000001</v>
      </c>
      <c r="AA904" s="206">
        <f ca="1">Table41[[#This Row],[Current Price]]/Table41[[#This Row],[Call wall]]-1</f>
        <v>0.6313333333333333</v>
      </c>
    </row>
    <row r="905" spans="1:32" hidden="1">
      <c r="A905" s="194" t="e" vm="36">
        <v>#VALUE!</v>
      </c>
      <c r="B905" s="13" t="str" cm="1">
        <f t="array" aca="1" ref="B905" ca="1">_FV(Table41[[#This Row],[Asset Name]],"Ticker symbol",TRUE)</f>
        <v>CLS</v>
      </c>
      <c r="C905" s="4">
        <f>SUMIF(Table20[Asset],Table41[[#This Row],[Asset Name]],Table20[realized_profit])</f>
        <v>0</v>
      </c>
      <c r="D905" s="4">
        <f>SUMIFS(Table20[realized_profit],Table20[Asset],Table41[[#This Row],[Asset Name]],Table20[date_purchased],"&gt;"&amp;$C$872,Table20[date_purchased],"&lt;"&amp;$E$872)</f>
        <v>0</v>
      </c>
      <c r="E905" s="4">
        <f>SUMIFS(Table20[realized_profit],Table20[Asset],Table41[[#This Row],[Asset Name]],Table20[Bullish or Bearish],"Bullish",Table20[date_purchased],"&gt;"&amp;$C$872,Table20[date_purchased],"&lt;"&amp;$E$872)</f>
        <v>0</v>
      </c>
      <c r="F905" s="4">
        <f>SUMIFS(Table20[realized_profit],Table20[Asset],Table41[[#This Row],[Asset Name]],Table20[Bullish or Bearish],"Bearish",Table20[date_purchased],"&gt;"&amp;$C$872,Table20[date_purchased],"&lt;"&amp;$E$872)</f>
        <v>0</v>
      </c>
      <c r="G905" s="4">
        <f>SUMIFS(Table20[realized_profit],Table20[Asset],Table41[[#This Row],[Asset Name]],Table20[Strategy],"call",Table20[date_purchased],"&gt;"&amp;$C$872,Table20[date_purchased],"&lt;"&amp;$E$872)</f>
        <v>0</v>
      </c>
      <c r="H905" s="4">
        <f>SUMIFS(Table20[realized_profit],Table20[Asset],Table41[[#This Row],[Asset Name]],Table20[Strategy],"put",Table20[date_purchased],"&gt;"&amp;$C$872,Table20[date_purchased],"&lt;"&amp;$E$872)</f>
        <v>0</v>
      </c>
      <c r="I905" s="4">
        <f>SUMIFS(Table20[realized_profit],Table20[Asset],Table41[[#This Row],[Asset Name]],Table20[Strategy],"calendar spread",Table20[date_purchased],"&gt;"&amp;$C$872,Table20[date_purchased],"&lt;"&amp;$E$872)</f>
        <v>0</v>
      </c>
      <c r="J905" s="4">
        <f>SUMIFS(Table20[realized_profit],Table20[Asset],Table41[[#This Row],[Asset Name]],Table20[Strategy],"put calendar spread",Table20[date_purchased],"&gt;"&amp;$C$872,Table20[date_purchased],"&lt;"&amp;$E$872)</f>
        <v>0</v>
      </c>
      <c r="K905" s="4">
        <f>SUMIFS(Table20[realized_profit],Table20[Asset],Table41[[#This Row],[Asset Name]],Table20[Strategy],"put spread",Table20[date_purchased],"&gt;"&amp;$C$872,Table20[date_purchased],"&lt;"&amp;$E$872)</f>
        <v>0</v>
      </c>
      <c r="L905" s="4">
        <f>SUMIFS(Table20[Invested],Table20[Asset],Table41[[#This Row],[Asset Name]],Table20[date_purchased],"&gt;"&amp;$C$872,Table20[date_purchased],"&lt;"&amp;$E$872)</f>
        <v>0</v>
      </c>
      <c r="M905" s="14">
        <f>IFERROR(Table41[[#This Row],[Within timeline]]/Table41[[#This Row],[Invested]],0)</f>
        <v>0</v>
      </c>
      <c r="N905" s="187">
        <v>60</v>
      </c>
      <c r="O905" s="179" cm="1">
        <f t="array" aca="1" ref="O905" ca="1">_FV(Table41[[#This Row],[Asset Name]],"Price")</f>
        <v>307.33999999999997</v>
      </c>
      <c r="P905" s="188">
        <v>80</v>
      </c>
      <c r="Q905" t="b">
        <f ca="1">IF(Table41[[#This Row],[Current Price]]&lt;Table41[[#This Row],[Put wall]]*1.02,TRUE,FALSE)</f>
        <v>0</v>
      </c>
      <c r="R905" t="b">
        <f ca="1">IF(Table41[[#This Row],[Current Price]]&gt;Table41[[#This Row],[Call wall]]*0.98,TRUE,FALSE)</f>
        <v>1</v>
      </c>
      <c r="S905" s="4">
        <f>SUMIF(Table20[Asset],Table41[[#This Row],[Asset Name]],Table20[delta_exposure])</f>
        <v>0</v>
      </c>
      <c r="T905" s="36" t="str" cm="1">
        <f t="array" aca="1" ref="T905" ca="1">_FV(Table41[[#This Row],[Asset Name]],"Instrument type",TRUE)</f>
        <v>Stock</v>
      </c>
      <c r="U905" s="183">
        <v>45588</v>
      </c>
      <c r="V905" t="str">
        <f>VLOOKUP(Table41[[#This Row],[Asset Name]],Table19[#All],3,FALSE)</f>
        <v>AI</v>
      </c>
      <c r="X905" t="str">
        <f>VLOOKUP(Table41[[#This Row],[Asset Name]],Table19[#All],4,FALSE)</f>
        <v>Technology</v>
      </c>
      <c r="Y905" s="189" t="str">
        <f ca="1">IF(Table41[[#This Row],[Current Price]]&lt;Table41[[#This Row],[Put wall]]*1.02,"✅",IF(Table41[[#This Row],[Current Price]]&gt;Table41[[#This Row],[Call wall]]*0.98,"🔻",""))</f>
        <v>🔻</v>
      </c>
      <c r="Z905" s="204"/>
      <c r="AA905" s="207">
        <f ca="1">Table41[[#This Row],[Current Price]]/Table41[[#This Row],[Call wall]]-1</f>
        <v>2.8417499999999998</v>
      </c>
    </row>
    <row r="906" spans="1:32" hidden="1">
      <c r="A906" s="194" t="e" vm="95">
        <v>#VALUE!</v>
      </c>
      <c r="B906" s="189" t="str" cm="1">
        <f t="array" aca="1" ref="B906" ca="1">_FV(Table41[[#This Row],[Asset Name]],"Ticker symbol",TRUE)</f>
        <v>SNAP</v>
      </c>
      <c r="C906" s="4">
        <f>SUMIF(Table20[Asset],Table41[[#This Row],[Asset Name]],Table20[realized_profit])</f>
        <v>0</v>
      </c>
      <c r="D906" s="4">
        <f>SUMIFS(Table20[realized_profit],Table20[Asset],Table41[[#This Row],[Asset Name]],Table20[date_purchased],"&gt;"&amp;$C$872,Table20[date_purchased],"&lt;"&amp;$E$872)</f>
        <v>0</v>
      </c>
      <c r="E906" s="4">
        <f>SUMIFS(Table20[realized_profit],Table20[Asset],Table41[[#This Row],[Asset Name]],Table20[Bullish or Bearish],"Bullish",Table20[date_purchased],"&gt;"&amp;$C$872,Table20[date_purchased],"&lt;"&amp;$E$872)</f>
        <v>0</v>
      </c>
      <c r="F906" s="4">
        <f>SUMIFS(Table20[realized_profit],Table20[Asset],Table41[[#This Row],[Asset Name]],Table20[Bullish or Bearish],"Bearish",Table20[date_purchased],"&gt;"&amp;$C$872,Table20[date_purchased],"&lt;"&amp;$E$872)</f>
        <v>0</v>
      </c>
      <c r="G906" s="4">
        <f>SUMIFS(Table20[realized_profit],Table20[Asset],Table41[[#This Row],[Asset Name]],Table20[Strategy],"call",Table20[date_purchased],"&gt;"&amp;$C$872,Table20[date_purchased],"&lt;"&amp;$E$872)</f>
        <v>0</v>
      </c>
      <c r="H906" s="4">
        <f>SUMIFS(Table20[realized_profit],Table20[Asset],Table41[[#This Row],[Asset Name]],Table20[Strategy],"put",Table20[date_purchased],"&gt;"&amp;$C$872,Table20[date_purchased],"&lt;"&amp;$E$872)</f>
        <v>0</v>
      </c>
      <c r="I906" s="4">
        <f>SUMIFS(Table20[realized_profit],Table20[Asset],Table41[[#This Row],[Asset Name]],Table20[Strategy],"calendar spread",Table20[date_purchased],"&gt;"&amp;$C$872,Table20[date_purchased],"&lt;"&amp;$E$872)</f>
        <v>0</v>
      </c>
      <c r="J906" s="4">
        <f>SUMIFS(Table20[realized_profit],Table20[Asset],Table41[[#This Row],[Asset Name]],Table20[Strategy],"put calendar spread",Table20[date_purchased],"&gt;"&amp;$C$872,Table20[date_purchased],"&lt;"&amp;$E$872)</f>
        <v>0</v>
      </c>
      <c r="K906" s="4">
        <f>SUMIFS(Table20[realized_profit],Table20[Asset],Table41[[#This Row],[Asset Name]],Table20[Strategy],"put spread",Table20[date_purchased],"&gt;"&amp;$C$872,Table20[date_purchased],"&lt;"&amp;$E$872)</f>
        <v>0</v>
      </c>
      <c r="L906" s="4">
        <f>SUMIFS(Table20[Invested],Table20[Asset],Table41[[#This Row],[Asset Name]],Table20[date_purchased],"&gt;"&amp;$C$872,Table20[date_purchased],"&lt;"&amp;$E$872)</f>
        <v>0</v>
      </c>
      <c r="M906" s="14">
        <f>IFERROR(Table41[[#This Row],[Within timeline]]/Table41[[#This Row],[Invested]],0)</f>
        <v>0</v>
      </c>
      <c r="N906" s="187">
        <v>10</v>
      </c>
      <c r="O906" s="179" cm="1">
        <f t="array" aca="1" ref="O906" ca="1">_FV(Table41[[#This Row],[Asset Name]],"Price")</f>
        <v>4.5549999999999997</v>
      </c>
      <c r="P906" s="188">
        <v>14</v>
      </c>
      <c r="Q906" t="b">
        <f ca="1">IF(Table41[[#This Row],[Current Price]]&lt;Table41[[#This Row],[Put wall]]*1.02,TRUE,FALSE)</f>
        <v>1</v>
      </c>
      <c r="R906" t="b">
        <f ca="1">IF(Table41[[#This Row],[Current Price]]&gt;Table41[[#This Row],[Call wall]]*0.98,TRUE,FALSE)</f>
        <v>0</v>
      </c>
      <c r="S906" s="4">
        <f>SUMIF(Table20[Asset],Table41[[#This Row],[Asset Name]],Table20[delta_exposure])</f>
        <v>0</v>
      </c>
      <c r="T906" s="36" t="str" cm="1">
        <f t="array" aca="1" ref="T906" ca="1">_FV(Table41[[#This Row],[Asset Name]],"Instrument type",TRUE)</f>
        <v>Stock</v>
      </c>
      <c r="U906" s="183"/>
      <c r="V906" t="str">
        <f>VLOOKUP(Table41[[#This Row],[Asset Name]],Table19[#All],3,FALSE)</f>
        <v>Technology</v>
      </c>
      <c r="X906" s="194" t="str">
        <f>VLOOKUP(Table41[[#This Row],[Asset Name]],Table19[#All],4,FALSE)</f>
        <v>Software</v>
      </c>
      <c r="Y906" s="189" t="str">
        <f ca="1">IF(Table41[[#This Row],[Current Price]]&lt;Table41[[#This Row],[Put wall]]*1.02,"✅",IF(Table41[[#This Row],[Current Price]]&gt;Table41[[#This Row],[Call wall]]*0.98,"🔻",""))</f>
        <v>✅</v>
      </c>
      <c r="Z906" s="203">
        <f ca="1">Table41[[#This Row],[Current Price]]/Table41[[#This Row],[Put wall]]-1</f>
        <v>-0.54449999999999998</v>
      </c>
      <c r="AA906" s="207">
        <f ca="1">Table41[[#This Row],[Current Price]]/Table41[[#This Row],[Call wall]]-1</f>
        <v>-0.6746428571428571</v>
      </c>
    </row>
    <row r="907" spans="1:32">
      <c r="A907" s="194" t="e" vm="96">
        <v>#VALUE!</v>
      </c>
      <c r="B907" s="13" t="str" cm="1">
        <f t="array" aca="1" ref="B907" ca="1">_FV(Table41[[#This Row],[Asset Name]],"Ticker symbol",TRUE)</f>
        <v>SPY</v>
      </c>
      <c r="C907" s="4">
        <f>SUMIF(Table20[Asset],Table41[[#This Row],[Asset Name]],Table20[realized_profit])</f>
        <v>-5077</v>
      </c>
      <c r="D907" s="4">
        <f>SUMIFS(Table20[realized_profit],Table20[Asset],Table41[[#This Row],[Asset Name]],Table20[date_purchased],"&gt;"&amp;$C$872,Table20[date_purchased],"&lt;"&amp;$E$872)</f>
        <v>-2408</v>
      </c>
      <c r="E907" s="4">
        <f>SUMIFS(Table20[realized_profit],Table20[Asset],Table41[[#This Row],[Asset Name]],Table20[Bullish or Bearish],"Bullish",Table20[date_purchased],"&gt;"&amp;$C$872,Table20[date_purchased],"&lt;"&amp;$E$872)</f>
        <v>279</v>
      </c>
      <c r="F907" s="4">
        <f>SUMIFS(Table20[realized_profit],Table20[Asset],Table41[[#This Row],[Asset Name]],Table20[Bullish or Bearish],"Bearish",Table20[date_purchased],"&gt;"&amp;$C$872,Table20[date_purchased],"&lt;"&amp;$E$872)</f>
        <v>-2687</v>
      </c>
      <c r="G907" s="4">
        <f>SUMIFS(Table20[realized_profit],Table20[Asset],Table41[[#This Row],[Asset Name]],Table20[Strategy],"call",Table20[date_purchased],"&gt;"&amp;$C$872,Table20[date_purchased],"&lt;"&amp;$E$872)</f>
        <v>279</v>
      </c>
      <c r="H907" s="4">
        <f>SUMIFS(Table20[realized_profit],Table20[Asset],Table41[[#This Row],[Asset Name]],Table20[Strategy],"put",Table20[date_purchased],"&gt;"&amp;$C$872,Table20[date_purchased],"&lt;"&amp;$E$872)</f>
        <v>-653.00000000000023</v>
      </c>
      <c r="I907" s="4">
        <f>SUMIFS(Table20[realized_profit],Table20[Asset],Table41[[#This Row],[Asset Name]],Table20[Strategy],"calendar spread",Table20[date_purchased],"&gt;"&amp;$C$872,Table20[date_purchased],"&lt;"&amp;$E$872)</f>
        <v>0</v>
      </c>
      <c r="J907" s="4">
        <f>SUMIFS(Table20[realized_profit],Table20[Asset],Table41[[#This Row],[Asset Name]],Table20[Strategy],"put calendar spread",Table20[date_purchased],"&gt;"&amp;$C$872,Table20[date_purchased],"&lt;"&amp;$E$872)</f>
        <v>-1439</v>
      </c>
      <c r="K907" s="4">
        <f>SUMIFS(Table20[realized_profit],Table20[Asset],Table41[[#This Row],[Asset Name]],Table20[Strategy],"put spread",Table20[date_purchased],"&gt;"&amp;$C$872,Table20[date_purchased],"&lt;"&amp;$E$872)</f>
        <v>-595</v>
      </c>
      <c r="L907" s="4">
        <f>SUMIFS(Table20[Invested],Table20[Asset],Table41[[#This Row],[Asset Name]],Table20[date_purchased],"&gt;"&amp;$C$872,Table20[date_purchased],"&lt;"&amp;$E$872)</f>
        <v>11530</v>
      </c>
      <c r="M907" s="14">
        <f>IFERROR(Table41[[#This Row],[Within timeline]]/Table41[[#This Row],[Invested]],0)</f>
        <v>-0.20884648742411102</v>
      </c>
      <c r="N907" s="187">
        <v>560</v>
      </c>
      <c r="O907" s="9" cm="1">
        <f t="array" aca="1" ref="O907" ca="1">_FV(Table41[[#This Row],[Asset Name]],"Price")</f>
        <v>658.59</v>
      </c>
      <c r="P907" s="188">
        <v>590</v>
      </c>
      <c r="Q907" t="b">
        <f ca="1">IF(Table41[[#This Row],[Current Price]]&lt;Table41[[#This Row],[Put wall]]*1.02,TRUE,FALSE)</f>
        <v>0</v>
      </c>
      <c r="R907" t="b">
        <f ca="1">IF(Table41[[#This Row],[Current Price]]&gt;Table41[[#This Row],[Call wall]]*0.98,TRUE,FALSE)</f>
        <v>1</v>
      </c>
      <c r="S907" s="4">
        <f ca="1">SUMIF(Table20[Asset],Table41[[#This Row],[Asset Name]],Table20[delta_exposure])</f>
        <v>0</v>
      </c>
      <c r="T907" s="36" t="str" cm="1">
        <f t="array" aca="1" ref="T907" ca="1">_FV(Table41[[#This Row],[Asset Name]],"Instrument type",TRUE)</f>
        <v>ETF</v>
      </c>
      <c r="U907" s="183"/>
      <c r="V907" t="str">
        <f>VLOOKUP(Table41[[#This Row],[Asset Name]],Table19[#All],3,FALSE)</f>
        <v>Market</v>
      </c>
      <c r="X907" t="str">
        <f>VLOOKUP(Table41[[#This Row],[Asset Name]],Table19[#All],4,FALSE)</f>
        <v>Market</v>
      </c>
      <c r="Y907" s="147" t="str">
        <f ca="1">IF(Table41[[#This Row],[Current Price]]&lt;Table41[[#This Row],[Put wall]]*1.02,"✅",IF(Table41[[#This Row],[Current Price]]&gt;Table41[[#This Row],[Call wall]]*0.98,"🔻",""))</f>
        <v>🔻</v>
      </c>
      <c r="Z907" s="203">
        <f ca="1">Table41[[#This Row],[Current Price]]/Table41[[#This Row],[Put wall]]-1</f>
        <v>0.17605357142857159</v>
      </c>
      <c r="AA907" s="206">
        <f ca="1">Table41[[#This Row],[Current Price]]/Table41[[#This Row],[Call wall]]-1</f>
        <v>0.11625423728813566</v>
      </c>
    </row>
    <row r="908" spans="1:32" hidden="1">
      <c r="A908" s="194" t="e" vm="22">
        <v>#VALUE!</v>
      </c>
      <c r="B908" s="13" t="str" cm="1">
        <f t="array" aca="1" ref="B908" ca="1">_FV(Table41[[#This Row],[Asset Name]],"Ticker symbol",TRUE)</f>
        <v>RMBS</v>
      </c>
      <c r="C908" s="4">
        <f>SUMIF(Table20[Asset],Table41[[#This Row],[Asset Name]],Table20[realized_profit])</f>
        <v>0</v>
      </c>
      <c r="D908" s="4">
        <f>SUMIFS(Table20[realized_profit],Table20[Asset],Table41[[#This Row],[Asset Name]],Table20[date_purchased],"&gt;"&amp;$C$872,Table20[date_purchased],"&lt;"&amp;$E$872)</f>
        <v>0</v>
      </c>
      <c r="E908" s="4">
        <f>SUMIFS(Table20[realized_profit],Table20[Asset],Table41[[#This Row],[Asset Name]],Table20[Bullish or Bearish],"Bullish",Table20[date_purchased],"&gt;"&amp;$C$872,Table20[date_purchased],"&lt;"&amp;$E$872)</f>
        <v>0</v>
      </c>
      <c r="F908" s="4">
        <f>SUMIFS(Table20[realized_profit],Table20[Asset],Table41[[#This Row],[Asset Name]],Table20[Bullish or Bearish],"Bearish",Table20[date_purchased],"&gt;"&amp;$C$872,Table20[date_purchased],"&lt;"&amp;$E$872)</f>
        <v>0</v>
      </c>
      <c r="G908" s="4">
        <f>SUMIFS(Table20[realized_profit],Table20[Asset],Table41[[#This Row],[Asset Name]],Table20[Strategy],"call",Table20[date_purchased],"&gt;"&amp;$C$872,Table20[date_purchased],"&lt;"&amp;$E$872)</f>
        <v>0</v>
      </c>
      <c r="H908" s="4">
        <f>SUMIFS(Table20[realized_profit],Table20[Asset],Table41[[#This Row],[Asset Name]],Table20[Strategy],"put",Table20[date_purchased],"&gt;"&amp;$C$872,Table20[date_purchased],"&lt;"&amp;$E$872)</f>
        <v>0</v>
      </c>
      <c r="I908" s="4">
        <f>SUMIFS(Table20[realized_profit],Table20[Asset],Table41[[#This Row],[Asset Name]],Table20[Strategy],"calendar spread",Table20[date_purchased],"&gt;"&amp;$C$872,Table20[date_purchased],"&lt;"&amp;$E$872)</f>
        <v>0</v>
      </c>
      <c r="J908" s="4">
        <f>SUMIFS(Table20[realized_profit],Table20[Asset],Table41[[#This Row],[Asset Name]],Table20[Strategy],"put calendar spread",Table20[date_purchased],"&gt;"&amp;$C$872,Table20[date_purchased],"&lt;"&amp;$E$872)</f>
        <v>0</v>
      </c>
      <c r="K908" s="4">
        <f>SUMIFS(Table20[realized_profit],Table20[Asset],Table41[[#This Row],[Asset Name]],Table20[Strategy],"put spread",Table20[date_purchased],"&gt;"&amp;$C$872,Table20[date_purchased],"&lt;"&amp;$E$872)</f>
        <v>0</v>
      </c>
      <c r="L908" s="4">
        <f>SUMIFS(Table20[Invested],Table20[Asset],Table41[[#This Row],[Asset Name]],Table20[date_purchased],"&gt;"&amp;$C$872,Table20[date_purchased],"&lt;"&amp;$E$872)</f>
        <v>0</v>
      </c>
      <c r="M908" s="14">
        <f>IFERROR(Table41[[#This Row],[Within timeline]]/Table41[[#This Row],[Invested]],0)</f>
        <v>0</v>
      </c>
      <c r="N908" s="187">
        <v>47.5</v>
      </c>
      <c r="O908" s="179" cm="1">
        <f t="array" aca="1" ref="O908" ca="1">_FV(Table41[[#This Row],[Asset Name]],"Price")</f>
        <v>93.075000000000003</v>
      </c>
      <c r="P908" s="188">
        <v>52.5</v>
      </c>
      <c r="Q908" t="b">
        <f ca="1">IF(Table41[[#This Row],[Current Price]]&lt;Table41[[#This Row],[Put wall]]*1.02,TRUE,FALSE)</f>
        <v>0</v>
      </c>
      <c r="R908" t="b">
        <f ca="1">IF(Table41[[#This Row],[Current Price]]&gt;Table41[[#This Row],[Call wall]]*0.98,TRUE,FALSE)</f>
        <v>1</v>
      </c>
      <c r="S908" s="4">
        <f>SUMIF(Table20[Asset],Table41[[#This Row],[Asset Name]],Table20[delta_exposure])</f>
        <v>0</v>
      </c>
      <c r="T908" s="36" t="str" cm="1">
        <f t="array" aca="1" ref="T908" ca="1">_FV(Table41[[#This Row],[Asset Name]],"Instrument type",TRUE)</f>
        <v>Stock</v>
      </c>
      <c r="U908" s="183">
        <v>45593</v>
      </c>
      <c r="V908" t="str">
        <f>VLOOKUP(Table41[[#This Row],[Asset Name]],Table19[#All],3,FALSE)</f>
        <v>Semiconductor</v>
      </c>
      <c r="X908" t="str">
        <f>VLOOKUP(Table41[[#This Row],[Asset Name]],Table19[#All],4,FALSE)</f>
        <v>Semiconductor</v>
      </c>
      <c r="Y908" s="147" t="str">
        <f ca="1">IF(Table41[[#This Row],[Current Price]]&lt;Table41[[#This Row],[Put wall]]*1.02,"✅",IF(Table41[[#This Row],[Current Price]]&gt;Table41[[#This Row],[Call wall]]*0.98,"🔻",""))</f>
        <v>🔻</v>
      </c>
      <c r="Z908" s="203">
        <f ca="1">Table41[[#This Row],[Current Price]]/Table41[[#This Row],[Put wall]]-1</f>
        <v>0.95947368421052648</v>
      </c>
      <c r="AA908" s="206">
        <f ca="1">Table41[[#This Row],[Current Price]]/Table41[[#This Row],[Call wall]]-1</f>
        <v>0.77285714285714291</v>
      </c>
    </row>
    <row r="909" spans="1:32" hidden="1">
      <c r="A909" s="194" t="e" vm="97">
        <v>#VALUE!</v>
      </c>
      <c r="B909" s="13" t="str" cm="1">
        <f t="array" aca="1" ref="B909" ca="1">_FV(Table41[[#This Row],[Asset Name]],"Ticker symbol",TRUE)</f>
        <v>AG</v>
      </c>
      <c r="C909" s="4">
        <f>SUMIF(Table20[Asset],Table41[[#This Row],[Asset Name]],Table20[realized_profit])</f>
        <v>0</v>
      </c>
      <c r="D909" s="4">
        <f>SUMIFS(Table20[realized_profit],Table20[Asset],Table41[[#This Row],[Asset Name]],Table20[date_purchased],"&gt;"&amp;$C$872,Table20[date_purchased],"&lt;"&amp;$E$872)</f>
        <v>0</v>
      </c>
      <c r="E909" s="4">
        <f>SUMIFS(Table20[realized_profit],Table20[Asset],Table41[[#This Row],[Asset Name]],Table20[Bullish or Bearish],"Bullish",Table20[date_purchased],"&gt;"&amp;$C$872,Table20[date_purchased],"&lt;"&amp;$E$872)</f>
        <v>0</v>
      </c>
      <c r="F909" s="4">
        <f>SUMIFS(Table20[realized_profit],Table20[Asset],Table41[[#This Row],[Asset Name]],Table20[Bullish or Bearish],"Bearish",Table20[date_purchased],"&gt;"&amp;$C$872,Table20[date_purchased],"&lt;"&amp;$E$872)</f>
        <v>0</v>
      </c>
      <c r="G909" s="4">
        <f>SUMIFS(Table20[realized_profit],Table20[Asset],Table41[[#This Row],[Asset Name]],Table20[Strategy],"call",Table20[date_purchased],"&gt;"&amp;$C$872,Table20[date_purchased],"&lt;"&amp;$E$872)</f>
        <v>0</v>
      </c>
      <c r="H909" s="4">
        <f>SUMIFS(Table20[realized_profit],Table20[Asset],Table41[[#This Row],[Asset Name]],Table20[Strategy],"put",Table20[date_purchased],"&gt;"&amp;$C$872,Table20[date_purchased],"&lt;"&amp;$E$872)</f>
        <v>0</v>
      </c>
      <c r="I909" s="4">
        <f>SUMIFS(Table20[realized_profit],Table20[Asset],Table41[[#This Row],[Asset Name]],Table20[Strategy],"calendar spread",Table20[date_purchased],"&gt;"&amp;$C$872,Table20[date_purchased],"&lt;"&amp;$E$872)</f>
        <v>0</v>
      </c>
      <c r="J909" s="4">
        <f>SUMIFS(Table20[realized_profit],Table20[Asset],Table41[[#This Row],[Asset Name]],Table20[Strategy],"put calendar spread",Table20[date_purchased],"&gt;"&amp;$C$872,Table20[date_purchased],"&lt;"&amp;$E$872)</f>
        <v>0</v>
      </c>
      <c r="K909" s="4">
        <f>SUMIFS(Table20[realized_profit],Table20[Asset],Table41[[#This Row],[Asset Name]],Table20[Strategy],"put spread",Table20[date_purchased],"&gt;"&amp;$C$872,Table20[date_purchased],"&lt;"&amp;$E$872)</f>
        <v>0</v>
      </c>
      <c r="L909" s="4">
        <f>SUMIFS(Table20[Invested],Table20[Asset],Table41[[#This Row],[Asset Name]],Table20[date_purchased],"&gt;"&amp;$C$872,Table20[date_purchased],"&lt;"&amp;$E$872)</f>
        <v>0</v>
      </c>
      <c r="M909" s="14">
        <f>IFERROR(Table41[[#This Row],[Within timeline]]/Table41[[#This Row],[Invested]],0)</f>
        <v>0</v>
      </c>
      <c r="N909" s="187">
        <v>5</v>
      </c>
      <c r="O909" s="179" cm="1">
        <f t="array" aca="1" ref="O909" ca="1">_FV(Table41[[#This Row],[Asset Name]],"Price")</f>
        <v>20.785</v>
      </c>
      <c r="P909" s="188">
        <v>7</v>
      </c>
      <c r="Q909" t="b">
        <f ca="1">IF(Table41[[#This Row],[Current Price]]&lt;Table41[[#This Row],[Put wall]]*1.02,TRUE,FALSE)</f>
        <v>0</v>
      </c>
      <c r="R909" t="b">
        <f ca="1">IF(Table41[[#This Row],[Current Price]]&gt;Table41[[#This Row],[Call wall]]*0.98,TRUE,FALSE)</f>
        <v>1</v>
      </c>
      <c r="S909" s="4">
        <f>SUMIF(Table20[Asset],Table41[[#This Row],[Asset Name]],Table20[delta_exposure])</f>
        <v>0</v>
      </c>
      <c r="T909" s="36" t="str" cm="1">
        <f t="array" aca="1" ref="T909" ca="1">_FV(Table41[[#This Row],[Asset Name]],"Instrument type",TRUE)</f>
        <v>Stock</v>
      </c>
      <c r="U909" s="183">
        <v>45603</v>
      </c>
      <c r="V909" t="str">
        <f>VLOOKUP(Table41[[#This Row],[Asset Name]],Table19[#All],3,FALSE)</f>
        <v>Gold and Silver</v>
      </c>
      <c r="X909" t="str">
        <f>VLOOKUP(Table41[[#This Row],[Asset Name]],Table19[#All],4,FALSE)</f>
        <v>Commodity</v>
      </c>
      <c r="Y909" s="147" t="str">
        <f ca="1">IF(Table41[[#This Row],[Current Price]]&lt;Table41[[#This Row],[Put wall]]*1.02,"✅",IF(Table41[[#This Row],[Current Price]]&gt;Table41[[#This Row],[Call wall]]*0.98,"🔻",""))</f>
        <v>🔻</v>
      </c>
      <c r="Z909" s="203">
        <f ca="1">Table41[[#This Row],[Current Price]]/Table41[[#This Row],[Put wall]]-1</f>
        <v>3.157</v>
      </c>
      <c r="AA909" s="206">
        <f ca="1">Table41[[#This Row],[Current Price]]/Table41[[#This Row],[Call wall]]-1</f>
        <v>1.9692857142857143</v>
      </c>
    </row>
    <row r="910" spans="1:32" hidden="1">
      <c r="A910" s="194" t="e" vm="98">
        <v>#VALUE!</v>
      </c>
      <c r="B910" s="189" t="str" cm="1">
        <f t="array" aca="1" ref="B910" ca="1">_FV(Table41[[#This Row],[Asset Name]],"Ticker symbol",TRUE)</f>
        <v>VIX</v>
      </c>
      <c r="C910" s="4">
        <f>SUMIF(Table20[Asset],Table41[[#This Row],[Asset Name]],Table20[realized_profit])</f>
        <v>0</v>
      </c>
      <c r="D910" s="4">
        <f>SUMIFS(Table20[realized_profit],Table20[Asset],Table41[[#This Row],[Asset Name]],Table20[date_purchased],"&gt;"&amp;$C$872,Table20[date_purchased],"&lt;"&amp;$E$872)</f>
        <v>0</v>
      </c>
      <c r="E910" s="4">
        <f>SUMIFS(Table20[realized_profit],Table20[Asset],Table41[[#This Row],[Asset Name]],Table20[Bullish or Bearish],"Bullish",Table20[date_purchased],"&gt;"&amp;$C$872,Table20[date_purchased],"&lt;"&amp;$E$872)</f>
        <v>0</v>
      </c>
      <c r="F910" s="4">
        <f>SUMIFS(Table20[realized_profit],Table20[Asset],Table41[[#This Row],[Asset Name]],Table20[Bullish or Bearish],"Bearish",Table20[date_purchased],"&gt;"&amp;$C$872,Table20[date_purchased],"&lt;"&amp;$E$872)</f>
        <v>0</v>
      </c>
      <c r="G910" s="4">
        <f>SUMIFS(Table20[realized_profit],Table20[Asset],Table41[[#This Row],[Asset Name]],Table20[Strategy],"call",Table20[date_purchased],"&gt;"&amp;$C$872,Table20[date_purchased],"&lt;"&amp;$E$872)</f>
        <v>0</v>
      </c>
      <c r="H910" s="4">
        <f>SUMIFS(Table20[realized_profit],Table20[Asset],Table41[[#This Row],[Asset Name]],Table20[Strategy],"put",Table20[date_purchased],"&gt;"&amp;$C$872,Table20[date_purchased],"&lt;"&amp;$E$872)</f>
        <v>0</v>
      </c>
      <c r="I910" s="4">
        <f>SUMIFS(Table20[realized_profit],Table20[Asset],Table41[[#This Row],[Asset Name]],Table20[Strategy],"calendar spread",Table20[date_purchased],"&gt;"&amp;$C$872,Table20[date_purchased],"&lt;"&amp;$E$872)</f>
        <v>0</v>
      </c>
      <c r="J910" s="4">
        <f>SUMIFS(Table20[realized_profit],Table20[Asset],Table41[[#This Row],[Asset Name]],Table20[Strategy],"put calendar spread",Table20[date_purchased],"&gt;"&amp;$C$872,Table20[date_purchased],"&lt;"&amp;$E$872)</f>
        <v>0</v>
      </c>
      <c r="K910" s="4">
        <f>SUMIFS(Table20[realized_profit],Table20[Asset],Table41[[#This Row],[Asset Name]],Table20[Strategy],"put spread",Table20[date_purchased],"&gt;"&amp;$C$872,Table20[date_purchased],"&lt;"&amp;$E$872)</f>
        <v>0</v>
      </c>
      <c r="L910" s="4">
        <f>SUMIFS(Table20[Invested],Table20[Asset],Table41[[#This Row],[Asset Name]],Table20[date_purchased],"&gt;"&amp;$C$872,Table20[date_purchased],"&lt;"&amp;$E$872)</f>
        <v>0</v>
      </c>
      <c r="M910" s="14">
        <f>IFERROR(Table41[[#This Row],[Within timeline]]/Table41[[#This Row],[Invested]],0)</f>
        <v>0</v>
      </c>
      <c r="N910" s="187">
        <v>15</v>
      </c>
      <c r="O910" s="179" cm="1">
        <f t="array" aca="1" ref="O910" ca="1">_FV(Table41[[#This Row],[Asset Name]],"Price")</f>
        <v>25.33</v>
      </c>
      <c r="P910" s="188">
        <v>20</v>
      </c>
      <c r="Q910" t="b">
        <f ca="1">IF(Table41[[#This Row],[Current Price]]&lt;Table41[[#This Row],[Put wall]]*1.02,TRUE,FALSE)</f>
        <v>0</v>
      </c>
      <c r="R910" t="b">
        <f ca="1">IF(Table41[[#This Row],[Current Price]]&gt;Table41[[#This Row],[Call wall]]*0.98,TRUE,FALSE)</f>
        <v>1</v>
      </c>
      <c r="S910" s="4">
        <f>SUMIF(Table20[Asset],Table41[[#This Row],[Asset Name]],Table20[delta_exposure])</f>
        <v>0</v>
      </c>
      <c r="T910" s="36" t="str" cm="1">
        <f t="array" aca="1" ref="T910" ca="1">_FV(Table41[[#This Row],[Asset Name]],"Instrument type",TRUE)</f>
        <v>Index</v>
      </c>
      <c r="U910" s="183"/>
      <c r="V910" t="str">
        <f>VLOOKUP(Table41[[#This Row],[Asset Name]],Table19[#All],3,FALSE)</f>
        <v>Market</v>
      </c>
      <c r="X910" s="194" t="str">
        <f>VLOOKUP(Table41[[#This Row],[Asset Name]],Table19[#All],4,FALSE)</f>
        <v>Market</v>
      </c>
      <c r="Y910" s="189" t="str">
        <f ca="1">IF(Table41[[#This Row],[Current Price]]&lt;Table41[[#This Row],[Put wall]]*1.02,"✅",IF(Table41[[#This Row],[Current Price]]&gt;Table41[[#This Row],[Call wall]]*0.98,"🔻",""))</f>
        <v>🔻</v>
      </c>
      <c r="Z910" s="204"/>
      <c r="AA910" s="207">
        <f ca="1">Table41[[#This Row],[Current Price]]/Table41[[#This Row],[Call wall]]-1</f>
        <v>0.26649999999999996</v>
      </c>
    </row>
    <row r="911" spans="1:32" hidden="1">
      <c r="A911" s="194" t="e" vm="99">
        <v>#VALUE!</v>
      </c>
      <c r="B911" s="189" t="str" cm="1">
        <f t="array" aca="1" ref="B911" ca="1">_FV(Table41[[#This Row],[Asset Name]],"Ticker symbol",TRUE)</f>
        <v>CSCO</v>
      </c>
      <c r="C911" s="4">
        <f>SUMIF(Table20[Asset],Table41[[#This Row],[Asset Name]],Table20[realized_profit])</f>
        <v>524.99999999999989</v>
      </c>
      <c r="D911" s="4">
        <f>SUMIFS(Table20[realized_profit],Table20[Asset],Table41[[#This Row],[Asset Name]],Table20[date_purchased],"&gt;"&amp;$C$872,Table20[date_purchased],"&lt;"&amp;$E$872)</f>
        <v>0</v>
      </c>
      <c r="E911" s="4">
        <f>SUMIFS(Table20[realized_profit],Table20[Asset],Table41[[#This Row],[Asset Name]],Table20[Bullish or Bearish],"Bullish",Table20[date_purchased],"&gt;"&amp;$C$872,Table20[date_purchased],"&lt;"&amp;$E$872)</f>
        <v>0</v>
      </c>
      <c r="F911" s="4">
        <f>SUMIFS(Table20[realized_profit],Table20[Asset],Table41[[#This Row],[Asset Name]],Table20[Bullish or Bearish],"Bearish",Table20[date_purchased],"&gt;"&amp;$C$872,Table20[date_purchased],"&lt;"&amp;$E$872)</f>
        <v>0</v>
      </c>
      <c r="G911" s="4">
        <f>SUMIFS(Table20[realized_profit],Table20[Asset],Table41[[#This Row],[Asset Name]],Table20[Strategy],"call",Table20[date_purchased],"&gt;"&amp;$C$872,Table20[date_purchased],"&lt;"&amp;$E$872)</f>
        <v>0</v>
      </c>
      <c r="H911" s="4">
        <f>SUMIFS(Table20[realized_profit],Table20[Asset],Table41[[#This Row],[Asset Name]],Table20[Strategy],"put",Table20[date_purchased],"&gt;"&amp;$C$872,Table20[date_purchased],"&lt;"&amp;$E$872)</f>
        <v>0</v>
      </c>
      <c r="I911" s="4">
        <f>SUMIFS(Table20[realized_profit],Table20[Asset],Table41[[#This Row],[Asset Name]],Table20[Strategy],"calendar spread",Table20[date_purchased],"&gt;"&amp;$C$872,Table20[date_purchased],"&lt;"&amp;$E$872)</f>
        <v>0</v>
      </c>
      <c r="J911" s="4">
        <f>SUMIFS(Table20[realized_profit],Table20[Asset],Table41[[#This Row],[Asset Name]],Table20[Strategy],"put calendar spread",Table20[date_purchased],"&gt;"&amp;$C$872,Table20[date_purchased],"&lt;"&amp;$E$872)</f>
        <v>0</v>
      </c>
      <c r="K911" s="4">
        <f>SUMIFS(Table20[realized_profit],Table20[Asset],Table41[[#This Row],[Asset Name]],Table20[Strategy],"put spread",Table20[date_purchased],"&gt;"&amp;$C$872,Table20[date_purchased],"&lt;"&amp;$E$872)</f>
        <v>0</v>
      </c>
      <c r="L911" s="4">
        <f>SUMIFS(Table20[Invested],Table20[Asset],Table41[[#This Row],[Asset Name]],Table20[date_purchased],"&gt;"&amp;$C$872,Table20[date_purchased],"&lt;"&amp;$E$872)</f>
        <v>0</v>
      </c>
      <c r="M911" s="14">
        <f>IFERROR(Table41[[#This Row],[Within timeline]]/Table41[[#This Row],[Invested]],0)</f>
        <v>0</v>
      </c>
      <c r="N911" s="187">
        <v>50</v>
      </c>
      <c r="O911" s="179" cm="1">
        <f t="array" aca="1" ref="O911" ca="1">_FV(Table41[[#This Row],[Asset Name]],"Price")</f>
        <v>82.625</v>
      </c>
      <c r="P911" s="188">
        <v>57.5</v>
      </c>
      <c r="Q911" t="b">
        <f ca="1">IF(Table41[[#This Row],[Current Price]]&lt;Table41[[#This Row],[Put wall]]*1.02,TRUE,FALSE)</f>
        <v>0</v>
      </c>
      <c r="R911" t="b">
        <f ca="1">IF(Table41[[#This Row],[Current Price]]&gt;Table41[[#This Row],[Call wall]]*0.98,TRUE,FALSE)</f>
        <v>1</v>
      </c>
      <c r="S911" s="4">
        <f ca="1">SUMIF(Table20[Asset],Table41[[#This Row],[Asset Name]],Table20[delta_exposure])</f>
        <v>0</v>
      </c>
      <c r="T911" s="36" t="str" cm="1">
        <f t="array" aca="1" ref="T911" ca="1">_FV(Table41[[#This Row],[Asset Name]],"Instrument type",TRUE)</f>
        <v>Stock</v>
      </c>
      <c r="U911" s="183">
        <v>45609</v>
      </c>
      <c r="V911" t="str">
        <f>VLOOKUP(Table41[[#This Row],[Asset Name]],Table19[#All],3,FALSE)</f>
        <v>Connectivity</v>
      </c>
      <c r="X911" t="str">
        <f>VLOOKUP(Table41[[#This Row],[Asset Name]],Table19[#All],4,FALSE)</f>
        <v>Technology</v>
      </c>
      <c r="Y911" s="147" t="str">
        <f ca="1">IF(Table41[[#This Row],[Current Price]]&lt;Table41[[#This Row],[Put wall]]*1.02,"✅",IF(Table41[[#This Row],[Current Price]]&gt;Table41[[#This Row],[Call wall]]*0.98,"🔻",""))</f>
        <v>🔻</v>
      </c>
      <c r="Z911" s="203">
        <f ca="1">Table41[[#This Row],[Current Price]]/Table41[[#This Row],[Put wall]]-1</f>
        <v>0.65250000000000008</v>
      </c>
      <c r="AA911" s="206">
        <f ca="1">Table41[[#This Row],[Current Price]]/Table41[[#This Row],[Call wall]]-1</f>
        <v>0.43695652173913047</v>
      </c>
    </row>
    <row r="912" spans="1:32" hidden="1">
      <c r="A912" s="194" t="e" vm="100">
        <v>#VALUE!</v>
      </c>
      <c r="B912" s="13" t="str" cm="1">
        <f t="array" aca="1" ref="B912" ca="1">_FV(Table41[[#This Row],[Asset Name]],"Ticker symbol",TRUE)</f>
        <v>FNV</v>
      </c>
      <c r="C912" s="4">
        <f>SUMIF(Table20[Asset],Table41[[#This Row],[Asset Name]],Table20[realized_profit])</f>
        <v>0</v>
      </c>
      <c r="D912" s="4">
        <f>SUMIFS(Table20[realized_profit],Table20[Asset],Table41[[#This Row],[Asset Name]],Table20[date_purchased],"&gt;"&amp;$C$872,Table20[date_purchased],"&lt;"&amp;$E$872)</f>
        <v>0</v>
      </c>
      <c r="E912" s="4">
        <f>SUMIFS(Table20[realized_profit],Table20[Asset],Table41[[#This Row],[Asset Name]],Table20[Bullish or Bearish],"Bullish",Table20[date_purchased],"&gt;"&amp;$C$872,Table20[date_purchased],"&lt;"&amp;$E$872)</f>
        <v>0</v>
      </c>
      <c r="F912" s="4">
        <f>SUMIFS(Table20[realized_profit],Table20[Asset],Table41[[#This Row],[Asset Name]],Table20[Bullish or Bearish],"Bearish",Table20[date_purchased],"&gt;"&amp;$C$872,Table20[date_purchased],"&lt;"&amp;$E$872)</f>
        <v>0</v>
      </c>
      <c r="G912" s="4">
        <f>SUMIFS(Table20[realized_profit],Table20[Asset],Table41[[#This Row],[Asset Name]],Table20[Strategy],"call",Table20[date_purchased],"&gt;"&amp;$C$872,Table20[date_purchased],"&lt;"&amp;$E$872)</f>
        <v>0</v>
      </c>
      <c r="H912" s="4">
        <f>SUMIFS(Table20[realized_profit],Table20[Asset],Table41[[#This Row],[Asset Name]],Table20[Strategy],"put",Table20[date_purchased],"&gt;"&amp;$C$872,Table20[date_purchased],"&lt;"&amp;$E$872)</f>
        <v>0</v>
      </c>
      <c r="I912" s="4">
        <f>SUMIFS(Table20[realized_profit],Table20[Asset],Table41[[#This Row],[Asset Name]],Table20[Strategy],"calendar spread",Table20[date_purchased],"&gt;"&amp;$C$872,Table20[date_purchased],"&lt;"&amp;$E$872)</f>
        <v>0</v>
      </c>
      <c r="J912" s="4">
        <f>SUMIFS(Table20[realized_profit],Table20[Asset],Table41[[#This Row],[Asset Name]],Table20[Strategy],"put calendar spread",Table20[date_purchased],"&gt;"&amp;$C$872,Table20[date_purchased],"&lt;"&amp;$E$872)</f>
        <v>0</v>
      </c>
      <c r="K912" s="4">
        <f>SUMIFS(Table20[realized_profit],Table20[Asset],Table41[[#This Row],[Asset Name]],Table20[Strategy],"put spread",Table20[date_purchased],"&gt;"&amp;$C$872,Table20[date_purchased],"&lt;"&amp;$E$872)</f>
        <v>0</v>
      </c>
      <c r="L912" s="4">
        <f>SUMIFS(Table20[Invested],Table20[Asset],Table41[[#This Row],[Asset Name]],Table20[date_purchased],"&gt;"&amp;$C$872,Table20[date_purchased],"&lt;"&amp;$E$872)</f>
        <v>0</v>
      </c>
      <c r="M912" s="14">
        <f>IFERROR(Table41[[#This Row],[Within timeline]]/Table41[[#This Row],[Invested]],0)</f>
        <v>0</v>
      </c>
      <c r="N912" s="187">
        <v>120</v>
      </c>
      <c r="O912" s="179" cm="1">
        <f t="array" aca="1" ref="O912" ca="1">_FV(Table41[[#This Row],[Asset Name]],"Price")</f>
        <v>235.27</v>
      </c>
      <c r="P912" s="188">
        <v>130</v>
      </c>
      <c r="Q912" t="b">
        <f ca="1">IF(Table41[[#This Row],[Current Price]]&lt;Table41[[#This Row],[Put wall]]*1.02,TRUE,FALSE)</f>
        <v>0</v>
      </c>
      <c r="R912" t="b">
        <f ca="1">IF(Table41[[#This Row],[Current Price]]&gt;Table41[[#This Row],[Call wall]]*0.98,TRUE,FALSE)</f>
        <v>1</v>
      </c>
      <c r="S912" s="4">
        <f>SUMIF(Table20[Asset],Table41[[#This Row],[Asset Name]],Table20[delta_exposure])</f>
        <v>0</v>
      </c>
      <c r="T912" s="36" t="str" cm="1">
        <f t="array" aca="1" ref="T912" ca="1">_FV(Table41[[#This Row],[Asset Name]],"Instrument type",TRUE)</f>
        <v>Stock</v>
      </c>
      <c r="U912" s="183">
        <v>45610</v>
      </c>
      <c r="V912" t="str">
        <f>VLOOKUP(Table41[[#This Row],[Asset Name]],Table19[#All],3,FALSE)</f>
        <v>Gold and Silver</v>
      </c>
      <c r="X912" t="str">
        <f>VLOOKUP(Table41[[#This Row],[Asset Name]],Table19[#All],4,FALSE)</f>
        <v>Commodity</v>
      </c>
      <c r="Y912" s="147" t="str">
        <f ca="1">IF(Table41[[#This Row],[Current Price]]&lt;Table41[[#This Row],[Put wall]]*1.02,"✅",IF(Table41[[#This Row],[Current Price]]&gt;Table41[[#This Row],[Call wall]]*0.98,"🔻",""))</f>
        <v>🔻</v>
      </c>
      <c r="Z912" s="203">
        <f ca="1">Table41[[#This Row],[Current Price]]/Table41[[#This Row],[Put wall]]-1</f>
        <v>0.96058333333333334</v>
      </c>
      <c r="AA912" s="206">
        <f ca="1">Table41[[#This Row],[Current Price]]/Table41[[#This Row],[Call wall]]-1</f>
        <v>0.8097692307692308</v>
      </c>
    </row>
    <row r="913" spans="1:32" hidden="1">
      <c r="A913" s="194" t="e" vm="101">
        <v>#VALUE!</v>
      </c>
      <c r="B913" s="13" t="str" cm="1">
        <f t="array" aca="1" ref="B913" ca="1">_FV(Table41[[#This Row],[Asset Name]],"Ticker symbol",TRUE)</f>
        <v>URA</v>
      </c>
      <c r="C913" s="4">
        <f>SUMIF(Table20[Asset],Table41[[#This Row],[Asset Name]],Table20[realized_profit])</f>
        <v>0</v>
      </c>
      <c r="D913" s="4">
        <f>SUMIFS(Table20[realized_profit],Table20[Asset],Table41[[#This Row],[Asset Name]],Table20[date_purchased],"&gt;"&amp;$C$872,Table20[date_purchased],"&lt;"&amp;$E$872)</f>
        <v>0</v>
      </c>
      <c r="E913" s="4">
        <f>SUMIFS(Table20[realized_profit],Table20[Asset],Table41[[#This Row],[Asset Name]],Table20[Bullish or Bearish],"Bullish",Table20[date_purchased],"&gt;"&amp;$C$872,Table20[date_purchased],"&lt;"&amp;$E$872)</f>
        <v>0</v>
      </c>
      <c r="F913" s="4">
        <f>SUMIFS(Table20[realized_profit],Table20[Asset],Table41[[#This Row],[Asset Name]],Table20[Bullish or Bearish],"Bearish",Table20[date_purchased],"&gt;"&amp;$C$872,Table20[date_purchased],"&lt;"&amp;$E$872)</f>
        <v>0</v>
      </c>
      <c r="G913" s="4">
        <f>SUMIFS(Table20[realized_profit],Table20[Asset],Table41[[#This Row],[Asset Name]],Table20[Strategy],"call",Table20[date_purchased],"&gt;"&amp;$C$872,Table20[date_purchased],"&lt;"&amp;$E$872)</f>
        <v>0</v>
      </c>
      <c r="H913" s="4">
        <f>SUMIFS(Table20[realized_profit],Table20[Asset],Table41[[#This Row],[Asset Name]],Table20[Strategy],"put",Table20[date_purchased],"&gt;"&amp;$C$872,Table20[date_purchased],"&lt;"&amp;$E$872)</f>
        <v>0</v>
      </c>
      <c r="I913" s="4">
        <f>SUMIFS(Table20[realized_profit],Table20[Asset],Table41[[#This Row],[Asset Name]],Table20[Strategy],"calendar spread",Table20[date_purchased],"&gt;"&amp;$C$872,Table20[date_purchased],"&lt;"&amp;$E$872)</f>
        <v>0</v>
      </c>
      <c r="J913" s="4">
        <f>SUMIFS(Table20[realized_profit],Table20[Asset],Table41[[#This Row],[Asset Name]],Table20[Strategy],"put calendar spread",Table20[date_purchased],"&gt;"&amp;$C$872,Table20[date_purchased],"&lt;"&amp;$E$872)</f>
        <v>0</v>
      </c>
      <c r="K913" s="4">
        <f>SUMIFS(Table20[realized_profit],Table20[Asset],Table41[[#This Row],[Asset Name]],Table20[Strategy],"put spread",Table20[date_purchased],"&gt;"&amp;$C$872,Table20[date_purchased],"&lt;"&amp;$E$872)</f>
        <v>0</v>
      </c>
      <c r="L913" s="4">
        <f>SUMIFS(Table20[Invested],Table20[Asset],Table41[[#This Row],[Asset Name]],Table20[date_purchased],"&gt;"&amp;$C$872,Table20[date_purchased],"&lt;"&amp;$E$872)</f>
        <v>0</v>
      </c>
      <c r="M913" s="14">
        <f>IFERROR(Table41[[#This Row],[Within timeline]]/Table41[[#This Row],[Invested]],0)</f>
        <v>0</v>
      </c>
      <c r="N913" s="187">
        <v>21</v>
      </c>
      <c r="O913" s="179" cm="1">
        <f t="array" aca="1" ref="O913" ca="1">_FV(Table41[[#This Row],[Asset Name]],"Price")</f>
        <v>49.911900000000003</v>
      </c>
      <c r="P913" s="188">
        <v>30</v>
      </c>
      <c r="Q913" t="b">
        <f ca="1">IF(Table41[[#This Row],[Current Price]]&lt;Table41[[#This Row],[Put wall]]*1.02,TRUE,FALSE)</f>
        <v>0</v>
      </c>
      <c r="R913" t="b">
        <f ca="1">IF(Table41[[#This Row],[Current Price]]&gt;Table41[[#This Row],[Call wall]]*0.98,TRUE,FALSE)</f>
        <v>1</v>
      </c>
      <c r="S913" s="4">
        <f>SUMIF(Table20[Asset],Table41[[#This Row],[Asset Name]],Table20[delta_exposure])</f>
        <v>0</v>
      </c>
      <c r="T913" s="36" t="str" cm="1">
        <f t="array" aca="1" ref="T913" ca="1">_FV(Table41[[#This Row],[Asset Name]],"Instrument type",TRUE)</f>
        <v>ETF</v>
      </c>
      <c r="U913" s="183"/>
      <c r="V913" t="str">
        <f>VLOOKUP(Table41[[#This Row],[Asset Name]],Table19[#All],3,FALSE)</f>
        <v>Nuclear</v>
      </c>
      <c r="X913" t="str">
        <f>VLOOKUP(Table41[[#This Row],[Asset Name]],Table19[#All],4,FALSE)</f>
        <v>Nuclear</v>
      </c>
      <c r="Y913" s="147" t="str">
        <f ca="1">IF(Table41[[#This Row],[Current Price]]&lt;Table41[[#This Row],[Put wall]]*1.02,"✅",IF(Table41[[#This Row],[Current Price]]&gt;Table41[[#This Row],[Call wall]]*0.98,"🔻",""))</f>
        <v>🔻</v>
      </c>
      <c r="Z913" s="203">
        <f ca="1">Table41[[#This Row],[Current Price]]/Table41[[#This Row],[Put wall]]-1</f>
        <v>1.376757142857143</v>
      </c>
      <c r="AA913" s="206">
        <f ca="1">Table41[[#This Row],[Current Price]]/Table41[[#This Row],[Call wall]]-1</f>
        <v>0.66373000000000015</v>
      </c>
    </row>
    <row r="914" spans="1:32" hidden="1">
      <c r="A914" s="194" t="e" vm="52">
        <v>#VALUE!</v>
      </c>
      <c r="B914" s="189" t="str" cm="1">
        <f t="array" aca="1" ref="B914" ca="1">_FV(Table41[[#This Row],[Asset Name]],"Ticker symbol",TRUE)</f>
        <v>SMR</v>
      </c>
      <c r="C914" s="4">
        <f>SUMIF(Table20[Asset],Table41[[#This Row],[Asset Name]],Table20[realized_profit])</f>
        <v>0</v>
      </c>
      <c r="D914" s="4">
        <f>SUMIFS(Table20[realized_profit],Table20[Asset],Table41[[#This Row],[Asset Name]],Table20[date_purchased],"&gt;"&amp;$C$872,Table20[date_purchased],"&lt;"&amp;$E$872)</f>
        <v>0</v>
      </c>
      <c r="E914" s="4">
        <f>SUMIFS(Table20[realized_profit],Table20[Asset],Table41[[#This Row],[Asset Name]],Table20[Bullish or Bearish],"Bullish",Table20[date_purchased],"&gt;"&amp;$C$872,Table20[date_purchased],"&lt;"&amp;$E$872)</f>
        <v>0</v>
      </c>
      <c r="F914" s="4">
        <f>SUMIFS(Table20[realized_profit],Table20[Asset],Table41[[#This Row],[Asset Name]],Table20[Bullish or Bearish],"Bearish",Table20[date_purchased],"&gt;"&amp;$C$872,Table20[date_purchased],"&lt;"&amp;$E$872)</f>
        <v>0</v>
      </c>
      <c r="G914" s="4">
        <f>SUMIFS(Table20[realized_profit],Table20[Asset],Table41[[#This Row],[Asset Name]],Table20[Strategy],"call",Table20[date_purchased],"&gt;"&amp;$C$872,Table20[date_purchased],"&lt;"&amp;$E$872)</f>
        <v>0</v>
      </c>
      <c r="H914" s="4">
        <f>SUMIFS(Table20[realized_profit],Table20[Asset],Table41[[#This Row],[Asset Name]],Table20[Strategy],"put",Table20[date_purchased],"&gt;"&amp;$C$872,Table20[date_purchased],"&lt;"&amp;$E$872)</f>
        <v>0</v>
      </c>
      <c r="I914" s="4">
        <f>SUMIFS(Table20[realized_profit],Table20[Asset],Table41[[#This Row],[Asset Name]],Table20[Strategy],"calendar spread",Table20[date_purchased],"&gt;"&amp;$C$872,Table20[date_purchased],"&lt;"&amp;$E$872)</f>
        <v>0</v>
      </c>
      <c r="J914" s="4">
        <f>SUMIFS(Table20[realized_profit],Table20[Asset],Table41[[#This Row],[Asset Name]],Table20[Strategy],"put calendar spread",Table20[date_purchased],"&gt;"&amp;$C$872,Table20[date_purchased],"&lt;"&amp;$E$872)</f>
        <v>0</v>
      </c>
      <c r="K914" s="4">
        <f>SUMIFS(Table20[realized_profit],Table20[Asset],Table41[[#This Row],[Asset Name]],Table20[Strategy],"put spread",Table20[date_purchased],"&gt;"&amp;$C$872,Table20[date_purchased],"&lt;"&amp;$E$872)</f>
        <v>0</v>
      </c>
      <c r="L914" s="4">
        <f>SUMIFS(Table20[Invested],Table20[Asset],Table41[[#This Row],[Asset Name]],Table20[date_purchased],"&gt;"&amp;$C$872,Table20[date_purchased],"&lt;"&amp;$E$872)</f>
        <v>0</v>
      </c>
      <c r="M914" s="14">
        <f>IFERROR(Table41[[#This Row],[Within timeline]]/Table41[[#This Row],[Invested]],0)</f>
        <v>0</v>
      </c>
      <c r="N914" s="187">
        <v>16</v>
      </c>
      <c r="O914" s="179" cm="1">
        <f t="array" aca="1" ref="O914" ca="1">_FV(Table41[[#This Row],[Asset Name]],"Price")</f>
        <v>11.8299</v>
      </c>
      <c r="P914" s="188">
        <v>20</v>
      </c>
      <c r="Q914" t="b">
        <f ca="1">IF(Table41[[#This Row],[Current Price]]&lt;Table41[[#This Row],[Put wall]]*1.02,TRUE,FALSE)</f>
        <v>1</v>
      </c>
      <c r="R914" t="b">
        <f ca="1">IF(Table41[[#This Row],[Current Price]]&gt;Table41[[#This Row],[Call wall]]*0.98,TRUE,FALSE)</f>
        <v>0</v>
      </c>
      <c r="S914" s="4">
        <f>SUMIF(Table20[Asset],Table41[[#This Row],[Asset Name]],Table20[delta_exposure])</f>
        <v>0</v>
      </c>
      <c r="T914" s="36" t="str" cm="1">
        <f t="array" aca="1" ref="T914" ca="1">_FV(Table41[[#This Row],[Asset Name]],"Instrument type",TRUE)</f>
        <v>Stock</v>
      </c>
      <c r="U914" s="183">
        <v>45603</v>
      </c>
      <c r="V914" t="str">
        <f>VLOOKUP(Table41[[#This Row],[Asset Name]],Table19[#All],3,FALSE)</f>
        <v>Nuclear</v>
      </c>
      <c r="X914" s="194" t="str">
        <f>VLOOKUP(Table41[[#This Row],[Asset Name]],Table19[#All],4,FALSE)</f>
        <v>Nuclear</v>
      </c>
      <c r="Y914" s="189" t="str">
        <f ca="1">IF(Table41[[#This Row],[Current Price]]&lt;Table41[[#This Row],[Put wall]]*1.02,"✅",IF(Table41[[#This Row],[Current Price]]&gt;Table41[[#This Row],[Call wall]]*0.98,"🔻",""))</f>
        <v>✅</v>
      </c>
      <c r="Z914" s="203">
        <f ca="1">Table41[[#This Row],[Current Price]]/Table41[[#This Row],[Put wall]]-1</f>
        <v>-0.26063124999999998</v>
      </c>
      <c r="AA914" s="207">
        <f ca="1">Table41[[#This Row],[Current Price]]/Table41[[#This Row],[Call wall]]-1</f>
        <v>-0.40850500000000001</v>
      </c>
    </row>
    <row r="915" spans="1:32" hidden="1">
      <c r="A915" s="217" t="e" vm="102">
        <v>#VALUE!</v>
      </c>
      <c r="B915" s="189" t="str" cm="1">
        <f t="array" aca="1" ref="B915" ca="1">_FV(Table41[[#This Row],[Asset Name]],"Ticker symbol",TRUE)</f>
        <v>GM</v>
      </c>
      <c r="C915" s="4">
        <f>SUMIF(Table20[Asset],Table41[[#This Row],[Asset Name]],Table20[realized_profit])</f>
        <v>455</v>
      </c>
      <c r="D915" s="4">
        <f>SUMIFS(Table20[realized_profit],Table20[Asset],Table41[[#This Row],[Asset Name]],Table20[date_purchased],"&gt;"&amp;$C$872,Table20[date_purchased],"&lt;"&amp;$E$872)</f>
        <v>0</v>
      </c>
      <c r="E915" s="4">
        <f>SUMIFS(Table20[realized_profit],Table20[Asset],Table41[[#This Row],[Asset Name]],Table20[Bullish or Bearish],"Bullish",Table20[date_purchased],"&gt;"&amp;$C$872,Table20[date_purchased],"&lt;"&amp;$E$872)</f>
        <v>0</v>
      </c>
      <c r="F915" s="4">
        <f>SUMIFS(Table20[realized_profit],Table20[Asset],Table41[[#This Row],[Asset Name]],Table20[Bullish or Bearish],"Bearish",Table20[date_purchased],"&gt;"&amp;$C$872,Table20[date_purchased],"&lt;"&amp;$E$872)</f>
        <v>0</v>
      </c>
      <c r="G915" s="4">
        <f>SUMIFS(Table20[realized_profit],Table20[Asset],Table41[[#This Row],[Asset Name]],Table20[Strategy],"call",Table20[date_purchased],"&gt;"&amp;$C$872,Table20[date_purchased],"&lt;"&amp;$E$872)</f>
        <v>0</v>
      </c>
      <c r="H915" s="4">
        <f>SUMIFS(Table20[realized_profit],Table20[Asset],Table41[[#This Row],[Asset Name]],Table20[Strategy],"put",Table20[date_purchased],"&gt;"&amp;$C$872,Table20[date_purchased],"&lt;"&amp;$E$872)</f>
        <v>0</v>
      </c>
      <c r="I915" s="4">
        <f>SUMIFS(Table20[realized_profit],Table20[Asset],Table41[[#This Row],[Asset Name]],Table20[Strategy],"calendar spread",Table20[date_purchased],"&gt;"&amp;$C$872,Table20[date_purchased],"&lt;"&amp;$E$872)</f>
        <v>0</v>
      </c>
      <c r="J915" s="4">
        <f>SUMIFS(Table20[realized_profit],Table20[Asset],Table41[[#This Row],[Asset Name]],Table20[Strategy],"put calendar spread",Table20[date_purchased],"&gt;"&amp;$C$872,Table20[date_purchased],"&lt;"&amp;$E$872)</f>
        <v>0</v>
      </c>
      <c r="K915" s="4">
        <f>SUMIFS(Table20[realized_profit],Table20[Asset],Table41[[#This Row],[Asset Name]],Table20[Strategy],"put spread",Table20[date_purchased],"&gt;"&amp;$C$872,Table20[date_purchased],"&lt;"&amp;$E$872)</f>
        <v>0</v>
      </c>
      <c r="L915" s="4">
        <f>SUMIFS(Table20[Invested],Table20[Asset],Table41[[#This Row],[Asset Name]],Table20[date_purchased],"&gt;"&amp;$C$872,Table20[date_purchased],"&lt;"&amp;$E$872)</f>
        <v>0</v>
      </c>
      <c r="M915" s="14">
        <f>IFERROR(Table41[[#This Row],[Within timeline]]/Table41[[#This Row],[Invested]],0)</f>
        <v>0</v>
      </c>
      <c r="N915" s="187">
        <v>43</v>
      </c>
      <c r="O915" s="179" cm="1">
        <f t="array" aca="1" ref="O915" ca="1">_FV(Table41[[#This Row],[Asset Name]],"Price")</f>
        <v>77.844999999999999</v>
      </c>
      <c r="P915" s="188">
        <v>50</v>
      </c>
      <c r="Q915" t="b">
        <f ca="1">IF(Table41[[#This Row],[Current Price]]&lt;Table41[[#This Row],[Put wall]]*1.02,TRUE,FALSE)</f>
        <v>0</v>
      </c>
      <c r="R915" t="b">
        <f ca="1">IF(Table41[[#This Row],[Current Price]]&gt;Table41[[#This Row],[Call wall]]*0.98,TRUE,FALSE)</f>
        <v>1</v>
      </c>
      <c r="S915" s="4">
        <f ca="1">SUMIF(Table20[Asset],Table41[[#This Row],[Asset Name]],Table20[delta_exposure])</f>
        <v>0</v>
      </c>
      <c r="T915" s="36" t="str" cm="1">
        <f t="array" aca="1" ref="T915" ca="1">_FV(Table41[[#This Row],[Asset Name]],"Instrument type",TRUE)</f>
        <v>Stock</v>
      </c>
      <c r="U915" s="183"/>
      <c r="V915" t="str">
        <f>VLOOKUP(Table41[[#This Row],[Asset Name]],Table19[#All],3,FALSE)</f>
        <v>Auto</v>
      </c>
      <c r="X915" s="194" t="str">
        <f>VLOOKUP(Table41[[#This Row],[Asset Name]],Table19[#All],4,FALSE)</f>
        <v>Auto</v>
      </c>
      <c r="Y915" s="189" t="str">
        <f ca="1">IF(Table41[[#This Row],[Current Price]]&lt;Table41[[#This Row],[Put wall]]*1.02,"✅",IF(Table41[[#This Row],[Current Price]]&gt;Table41[[#This Row],[Call wall]]*0.98,"🔻",""))</f>
        <v>🔻</v>
      </c>
      <c r="Z915" s="204"/>
      <c r="AA915" s="207">
        <f ca="1">Table41[[#This Row],[Current Price]]/Table41[[#This Row],[Call wall]]-1</f>
        <v>0.55689999999999995</v>
      </c>
    </row>
    <row r="916" spans="1:32" ht="19" hidden="1">
      <c r="A916" s="194" t="e" vm="103">
        <v>#VALUE!</v>
      </c>
      <c r="B916" s="13" t="str" cm="1">
        <f t="array" aca="1" ref="B916" ca="1">_FV(Table41[[#This Row],[Asset Name]],"Ticker symbol",TRUE)</f>
        <v>GDX</v>
      </c>
      <c r="C916" s="4">
        <f>SUMIF(Table20[Asset],Table41[[#This Row],[Asset Name]],Table20[realized_profit])</f>
        <v>0</v>
      </c>
      <c r="D916" s="4">
        <f>SUMIFS(Table20[realized_profit],Table20[Asset],Table41[[#This Row],[Asset Name]],Table20[date_purchased],"&gt;"&amp;$C$872,Table20[date_purchased],"&lt;"&amp;$E$872)</f>
        <v>0</v>
      </c>
      <c r="E916" s="4">
        <f>SUMIFS(Table20[realized_profit],Table20[Asset],Table41[[#This Row],[Asset Name]],Table20[Bullish or Bearish],"Bullish",Table20[date_purchased],"&gt;"&amp;$C$872,Table20[date_purchased],"&lt;"&amp;$E$872)</f>
        <v>0</v>
      </c>
      <c r="F916" s="4">
        <f>SUMIFS(Table20[realized_profit],Table20[Asset],Table41[[#This Row],[Asset Name]],Table20[Bullish or Bearish],"Bearish",Table20[date_purchased],"&gt;"&amp;$C$872,Table20[date_purchased],"&lt;"&amp;$E$872)</f>
        <v>0</v>
      </c>
      <c r="G916" s="4">
        <f>SUMIFS(Table20[realized_profit],Table20[Asset],Table41[[#This Row],[Asset Name]],Table20[Strategy],"call",Table20[date_purchased],"&gt;"&amp;$C$872,Table20[date_purchased],"&lt;"&amp;$E$872)</f>
        <v>0</v>
      </c>
      <c r="H916" s="4">
        <f>SUMIFS(Table20[realized_profit],Table20[Asset],Table41[[#This Row],[Asset Name]],Table20[Strategy],"put",Table20[date_purchased],"&gt;"&amp;$C$872,Table20[date_purchased],"&lt;"&amp;$E$872)</f>
        <v>0</v>
      </c>
      <c r="I916" s="4">
        <f>SUMIFS(Table20[realized_profit],Table20[Asset],Table41[[#This Row],[Asset Name]],Table20[Strategy],"calendar spread",Table20[date_purchased],"&gt;"&amp;$C$872,Table20[date_purchased],"&lt;"&amp;$E$872)</f>
        <v>0</v>
      </c>
      <c r="J916" s="4">
        <f>SUMIFS(Table20[realized_profit],Table20[Asset],Table41[[#This Row],[Asset Name]],Table20[Strategy],"put calendar spread",Table20[date_purchased],"&gt;"&amp;$C$872,Table20[date_purchased],"&lt;"&amp;$E$872)</f>
        <v>0</v>
      </c>
      <c r="K916" s="4">
        <f>SUMIFS(Table20[realized_profit],Table20[Asset],Table41[[#This Row],[Asset Name]],Table20[Strategy],"put spread",Table20[date_purchased],"&gt;"&amp;$C$872,Table20[date_purchased],"&lt;"&amp;$E$872)</f>
        <v>0</v>
      </c>
      <c r="L916" s="4">
        <f>SUMIFS(Table20[Invested],Table20[Asset],Table41[[#This Row],[Asset Name]],Table20[date_purchased],"&gt;"&amp;$C$872,Table20[date_purchased],"&lt;"&amp;$E$872)</f>
        <v>0</v>
      </c>
      <c r="M916" s="14">
        <f>IFERROR(Table41[[#This Row],[Within timeline]]/Table41[[#This Row],[Invested]],0)</f>
        <v>0</v>
      </c>
      <c r="N916" s="187">
        <v>39</v>
      </c>
      <c r="O916" s="179" cm="1">
        <f t="array" aca="1" ref="O916" ca="1">_FV(Table41[[#This Row],[Asset Name]],"Price")</f>
        <v>87.06</v>
      </c>
      <c r="P916" s="188">
        <v>40</v>
      </c>
      <c r="Q916" t="b">
        <f ca="1">IF(Table41[[#This Row],[Current Price]]&lt;Table41[[#This Row],[Put wall]]*1.02,TRUE,FALSE)</f>
        <v>0</v>
      </c>
      <c r="R916" t="b">
        <f ca="1">IF(Table41[[#This Row],[Current Price]]&gt;Table41[[#This Row],[Call wall]]*0.98,TRUE,FALSE)</f>
        <v>1</v>
      </c>
      <c r="S916" s="4">
        <f>SUMIF(Table20[Asset],Table41[[#This Row],[Asset Name]],Table20[delta_exposure])</f>
        <v>0</v>
      </c>
      <c r="T916" s="36" t="str" cm="1">
        <f t="array" aca="1" ref="T916" ca="1">_FV(Table41[[#This Row],[Asset Name]],"Instrument type",TRUE)</f>
        <v>ETF</v>
      </c>
      <c r="U916" s="183"/>
      <c r="V916" t="str">
        <f>VLOOKUP(Table41[[#This Row],[Asset Name]],Table19[#All],3,FALSE)</f>
        <v>Gold and Silver</v>
      </c>
      <c r="X916" t="str">
        <f>VLOOKUP(Table41[[#This Row],[Asset Name]],Table19[#All],4,FALSE)</f>
        <v>Commodity</v>
      </c>
      <c r="Y916" s="147" t="str">
        <f ca="1">IF(Table41[[#This Row],[Current Price]]&lt;Table41[[#This Row],[Put wall]]*1.02,"✅",IF(Table41[[#This Row],[Current Price]]&gt;Table41[[#This Row],[Call wall]]*0.98,"🔻",""))</f>
        <v>🔻</v>
      </c>
      <c r="Z916" s="203">
        <f ca="1">Table41[[#This Row],[Current Price]]/Table41[[#This Row],[Put wall]]-1</f>
        <v>1.2323076923076925</v>
      </c>
      <c r="AA916" s="206">
        <f ca="1">Table41[[#This Row],[Current Price]]/Table41[[#This Row],[Call wall]]-1</f>
        <v>1.1764999999999999</v>
      </c>
      <c r="AF916" s="11"/>
    </row>
    <row r="917" spans="1:32" ht="19" hidden="1">
      <c r="A917" s="194" t="e" vm="104">
        <v>#VALUE!</v>
      </c>
      <c r="B917" s="13" t="str" cm="1">
        <f t="array" aca="1" ref="B917" ca="1">_FV(Table41[[#This Row],[Asset Name]],"Ticker symbol",TRUE)</f>
        <v>V</v>
      </c>
      <c r="C917" s="4">
        <f>SUMIF(Table20[Asset],Table41[[#This Row],[Asset Name]],Table20[realized_profit])</f>
        <v>11</v>
      </c>
      <c r="D917" s="4">
        <f>SUMIFS(Table20[realized_profit],Table20[Asset],Table41[[#This Row],[Asset Name]],Table20[date_purchased],"&gt;"&amp;$C$872,Table20[date_purchased],"&lt;"&amp;$E$872)</f>
        <v>0</v>
      </c>
      <c r="E917" s="4">
        <f>SUMIFS(Table20[realized_profit],Table20[Asset],Table41[[#This Row],[Asset Name]],Table20[Bullish or Bearish],"Bullish",Table20[date_purchased],"&gt;"&amp;$C$872,Table20[date_purchased],"&lt;"&amp;$E$872)</f>
        <v>0</v>
      </c>
      <c r="F917" s="4">
        <f>SUMIFS(Table20[realized_profit],Table20[Asset],Table41[[#This Row],[Asset Name]],Table20[Bullish or Bearish],"Bearish",Table20[date_purchased],"&gt;"&amp;$C$872,Table20[date_purchased],"&lt;"&amp;$E$872)</f>
        <v>0</v>
      </c>
      <c r="G917" s="4">
        <f>SUMIFS(Table20[realized_profit],Table20[Asset],Table41[[#This Row],[Asset Name]],Table20[Strategy],"call",Table20[date_purchased],"&gt;"&amp;$C$872,Table20[date_purchased],"&lt;"&amp;$E$872)</f>
        <v>0</v>
      </c>
      <c r="H917" s="4">
        <f>SUMIFS(Table20[realized_profit],Table20[Asset],Table41[[#This Row],[Asset Name]],Table20[Strategy],"put",Table20[date_purchased],"&gt;"&amp;$C$872,Table20[date_purchased],"&lt;"&amp;$E$872)</f>
        <v>0</v>
      </c>
      <c r="I917" s="4">
        <f>SUMIFS(Table20[realized_profit],Table20[Asset],Table41[[#This Row],[Asset Name]],Table20[Strategy],"calendar spread",Table20[date_purchased],"&gt;"&amp;$C$872,Table20[date_purchased],"&lt;"&amp;$E$872)</f>
        <v>0</v>
      </c>
      <c r="J917" s="4">
        <f>SUMIFS(Table20[realized_profit],Table20[Asset],Table41[[#This Row],[Asset Name]],Table20[Strategy],"put calendar spread",Table20[date_purchased],"&gt;"&amp;$C$872,Table20[date_purchased],"&lt;"&amp;$E$872)</f>
        <v>0</v>
      </c>
      <c r="K917" s="4">
        <f>SUMIFS(Table20[realized_profit],Table20[Asset],Table41[[#This Row],[Asset Name]],Table20[Strategy],"put spread",Table20[date_purchased],"&gt;"&amp;$C$872,Table20[date_purchased],"&lt;"&amp;$E$872)</f>
        <v>0</v>
      </c>
      <c r="L917" s="4">
        <f>SUMIFS(Table20[Invested],Table20[Asset],Table41[[#This Row],[Asset Name]],Table20[date_purchased],"&gt;"&amp;$C$872,Table20[date_purchased],"&lt;"&amp;$E$872)</f>
        <v>0</v>
      </c>
      <c r="M917" s="14">
        <f>IFERROR(Table41[[#This Row],[Within timeline]]/Table41[[#This Row],[Invested]],0)</f>
        <v>0</v>
      </c>
      <c r="N917" s="187">
        <v>270</v>
      </c>
      <c r="O917" s="179" cm="1">
        <f t="array" aca="1" ref="O917" ca="1">_FV(Table41[[#This Row],[Asset Name]],"Price")</f>
        <v>304.54000000000002</v>
      </c>
      <c r="P917" s="188">
        <v>280</v>
      </c>
      <c r="Q917" t="b">
        <f ca="1">IF(Table41[[#This Row],[Current Price]]&lt;Table41[[#This Row],[Put wall]]*1.02,TRUE,FALSE)</f>
        <v>0</v>
      </c>
      <c r="R917" t="b">
        <f ca="1">IF(Table41[[#This Row],[Current Price]]&gt;Table41[[#This Row],[Call wall]]*0.98,TRUE,FALSE)</f>
        <v>1</v>
      </c>
      <c r="S917" s="4">
        <f ca="1">SUMIF(Table20[Asset],Table41[[#This Row],[Asset Name]],Table20[delta_exposure])</f>
        <v>0</v>
      </c>
      <c r="T917" s="36" t="str" cm="1">
        <f t="array" aca="1" ref="T917" ca="1">_FV(Table41[[#This Row],[Asset Name]],"Instrument type",TRUE)</f>
        <v>Stock</v>
      </c>
      <c r="U917" s="183">
        <v>45587</v>
      </c>
      <c r="V917" t="str">
        <f>VLOOKUP(Table41[[#This Row],[Asset Name]],Table19[#All],3,FALSE)</f>
        <v>Financials</v>
      </c>
      <c r="X917" t="str">
        <f>VLOOKUP(Table41[[#This Row],[Asset Name]],Table19[#All],4,FALSE)</f>
        <v>Financials</v>
      </c>
      <c r="Y917" s="147" t="str">
        <f ca="1">IF(Table41[[#This Row],[Current Price]]&lt;Table41[[#This Row],[Put wall]]*1.02,"✅",IF(Table41[[#This Row],[Current Price]]&gt;Table41[[#This Row],[Call wall]]*0.98,"🔻",""))</f>
        <v>🔻</v>
      </c>
      <c r="Z917" s="203">
        <f ca="1">Table41[[#This Row],[Current Price]]/Table41[[#This Row],[Put wall]]-1</f>
        <v>0.127925925925926</v>
      </c>
      <c r="AA917" s="206">
        <f ca="1">Table41[[#This Row],[Current Price]]/Table41[[#This Row],[Call wall]]-1</f>
        <v>8.7642857142857133E-2</v>
      </c>
      <c r="AB917" s="11"/>
      <c r="AC917" s="11"/>
      <c r="AD917" s="11"/>
      <c r="AE917" s="11"/>
    </row>
    <row r="918" spans="1:32" hidden="1">
      <c r="A918" s="194" t="e" vm="49">
        <v>#VALUE!</v>
      </c>
      <c r="B918" s="189" t="str" cm="1">
        <f t="array" aca="1" ref="B918" ca="1">_FV(Table41[[#This Row],[Asset Name]],"Ticker symbol",TRUE)</f>
        <v>LEU</v>
      </c>
      <c r="C918" s="4">
        <f>SUMIF(Table20[Asset],Table41[[#This Row],[Asset Name]],Table20[realized_profit])</f>
        <v>0</v>
      </c>
      <c r="D918" s="4">
        <f>SUMIFS(Table20[realized_profit],Table20[Asset],Table41[[#This Row],[Asset Name]],Table20[date_purchased],"&gt;"&amp;$C$872,Table20[date_purchased],"&lt;"&amp;$E$872)</f>
        <v>0</v>
      </c>
      <c r="E918" s="4">
        <f>SUMIFS(Table20[realized_profit],Table20[Asset],Table41[[#This Row],[Asset Name]],Table20[Bullish or Bearish],"Bullish",Table20[date_purchased],"&gt;"&amp;$C$872,Table20[date_purchased],"&lt;"&amp;$E$872)</f>
        <v>0</v>
      </c>
      <c r="F918" s="4">
        <f>SUMIFS(Table20[realized_profit],Table20[Asset],Table41[[#This Row],[Asset Name]],Table20[Bullish or Bearish],"Bearish",Table20[date_purchased],"&gt;"&amp;$C$872,Table20[date_purchased],"&lt;"&amp;$E$872)</f>
        <v>0</v>
      </c>
      <c r="G918" s="4">
        <f>SUMIFS(Table20[realized_profit],Table20[Asset],Table41[[#This Row],[Asset Name]],Table20[Strategy],"call",Table20[date_purchased],"&gt;"&amp;$C$872,Table20[date_purchased],"&lt;"&amp;$E$872)</f>
        <v>0</v>
      </c>
      <c r="H918" s="4">
        <f>SUMIFS(Table20[realized_profit],Table20[Asset],Table41[[#This Row],[Asset Name]],Table20[Strategy],"put",Table20[date_purchased],"&gt;"&amp;$C$872,Table20[date_purchased],"&lt;"&amp;$E$872)</f>
        <v>0</v>
      </c>
      <c r="I918" s="4">
        <f>SUMIFS(Table20[realized_profit],Table20[Asset],Table41[[#This Row],[Asset Name]],Table20[Strategy],"calendar spread",Table20[date_purchased],"&gt;"&amp;$C$872,Table20[date_purchased],"&lt;"&amp;$E$872)</f>
        <v>0</v>
      </c>
      <c r="J918" s="4">
        <f>SUMIFS(Table20[realized_profit],Table20[Asset],Table41[[#This Row],[Asset Name]],Table20[Strategy],"put calendar spread",Table20[date_purchased],"&gt;"&amp;$C$872,Table20[date_purchased],"&lt;"&amp;$E$872)</f>
        <v>0</v>
      </c>
      <c r="K918" s="4">
        <f>SUMIFS(Table20[realized_profit],Table20[Asset],Table41[[#This Row],[Asset Name]],Table20[Strategy],"put spread",Table20[date_purchased],"&gt;"&amp;$C$872,Table20[date_purchased],"&lt;"&amp;$E$872)</f>
        <v>0</v>
      </c>
      <c r="L918" s="4">
        <f>SUMIFS(Table20[Invested],Table20[Asset],Table41[[#This Row],[Asset Name]],Table20[date_purchased],"&gt;"&amp;$C$872,Table20[date_purchased],"&lt;"&amp;$E$872)</f>
        <v>0</v>
      </c>
      <c r="M918" s="14">
        <f>IFERROR(Table41[[#This Row],[Within timeline]]/Table41[[#This Row],[Invested]],0)</f>
        <v>0</v>
      </c>
      <c r="N918" s="187">
        <v>65</v>
      </c>
      <c r="O918" s="179" cm="1">
        <f t="array" aca="1" ref="O918" ca="1">_FV(Table41[[#This Row],[Asset Name]],"Price")</f>
        <v>196.565</v>
      </c>
      <c r="P918" s="188">
        <v>100</v>
      </c>
      <c r="Q918" t="b">
        <f ca="1">IF(Table41[[#This Row],[Current Price]]&lt;Table41[[#This Row],[Put wall]]*1.02,TRUE,FALSE)</f>
        <v>0</v>
      </c>
      <c r="R918" t="b">
        <f ca="1">IF(Table41[[#This Row],[Current Price]]&gt;Table41[[#This Row],[Call wall]]*0.98,TRUE,FALSE)</f>
        <v>1</v>
      </c>
      <c r="S918" s="4">
        <f>SUMIF(Table20[Asset],Table41[[#This Row],[Asset Name]],Table20[delta_exposure])</f>
        <v>0</v>
      </c>
      <c r="T918" s="36" t="str" cm="1">
        <f t="array" aca="1" ref="T918" ca="1">_FV(Table41[[#This Row],[Asset Name]],"Instrument type",TRUE)</f>
        <v>Stock</v>
      </c>
      <c r="U918" s="183"/>
      <c r="V918" t="str">
        <f>VLOOKUP(Table41[[#This Row],[Asset Name]],Table19[#All],3,FALSE)</f>
        <v>Nuclear</v>
      </c>
      <c r="X918" s="194" t="str">
        <f>VLOOKUP(Table41[[#This Row],[Asset Name]],Table19[#All],4,FALSE)</f>
        <v>Nuclear Fuel</v>
      </c>
      <c r="Y918" s="189" t="str">
        <f ca="1">IF(Table41[[#This Row],[Current Price]]&lt;Table41[[#This Row],[Put wall]]*1.02,"✅",IF(Table41[[#This Row],[Current Price]]&gt;Table41[[#This Row],[Call wall]]*0.98,"🔻",""))</f>
        <v>🔻</v>
      </c>
      <c r="Z918" s="204"/>
      <c r="AA918" s="207">
        <f ca="1">Table41[[#This Row],[Current Price]]/Table41[[#This Row],[Call wall]]-1</f>
        <v>0.9656499999999999</v>
      </c>
    </row>
    <row r="919" spans="1:32" hidden="1">
      <c r="A919" s="194" t="e" vm="105">
        <v>#VALUE!</v>
      </c>
      <c r="B919" s="13" t="str" cm="1">
        <f t="array" aca="1" ref="B919" ca="1">_FV(Table41[[#This Row],[Asset Name]],"Ticker symbol",TRUE)</f>
        <v>NFLX</v>
      </c>
      <c r="C919" s="4">
        <f>SUMIF(Table20[Asset],Table41[[#This Row],[Asset Name]],Table20[realized_profit])</f>
        <v>331</v>
      </c>
      <c r="D919" s="4">
        <f>SUMIFS(Table20[realized_profit],Table20[Asset],Table41[[#This Row],[Asset Name]],Table20[date_purchased],"&gt;"&amp;$C$872,Table20[date_purchased],"&lt;"&amp;$E$872)</f>
        <v>0</v>
      </c>
      <c r="E919" s="4">
        <f>SUMIFS(Table20[realized_profit],Table20[Asset],Table41[[#This Row],[Asset Name]],Table20[Bullish or Bearish],"Bullish",Table20[date_purchased],"&gt;"&amp;$C$872,Table20[date_purchased],"&lt;"&amp;$E$872)</f>
        <v>0</v>
      </c>
      <c r="F919" s="4">
        <f>SUMIFS(Table20[realized_profit],Table20[Asset],Table41[[#This Row],[Asset Name]],Table20[Bullish or Bearish],"Bearish",Table20[date_purchased],"&gt;"&amp;$C$872,Table20[date_purchased],"&lt;"&amp;$E$872)</f>
        <v>0</v>
      </c>
      <c r="G919" s="4">
        <f>SUMIFS(Table20[realized_profit],Table20[Asset],Table41[[#This Row],[Asset Name]],Table20[Strategy],"call",Table20[date_purchased],"&gt;"&amp;$C$872,Table20[date_purchased],"&lt;"&amp;$E$872)</f>
        <v>0</v>
      </c>
      <c r="H919" s="4">
        <f>SUMIFS(Table20[realized_profit],Table20[Asset],Table41[[#This Row],[Asset Name]],Table20[Strategy],"put",Table20[date_purchased],"&gt;"&amp;$C$872,Table20[date_purchased],"&lt;"&amp;$E$872)</f>
        <v>0</v>
      </c>
      <c r="I919" s="4">
        <f>SUMIFS(Table20[realized_profit],Table20[Asset],Table41[[#This Row],[Asset Name]],Table20[Strategy],"calendar spread",Table20[date_purchased],"&gt;"&amp;$C$872,Table20[date_purchased],"&lt;"&amp;$E$872)</f>
        <v>0</v>
      </c>
      <c r="J919" s="4">
        <f>SUMIFS(Table20[realized_profit],Table20[Asset],Table41[[#This Row],[Asset Name]],Table20[Strategy],"put calendar spread",Table20[date_purchased],"&gt;"&amp;$C$872,Table20[date_purchased],"&lt;"&amp;$E$872)</f>
        <v>0</v>
      </c>
      <c r="K919" s="4">
        <f>SUMIFS(Table20[realized_profit],Table20[Asset],Table41[[#This Row],[Asset Name]],Table20[Strategy],"put spread",Table20[date_purchased],"&gt;"&amp;$C$872,Table20[date_purchased],"&lt;"&amp;$E$872)</f>
        <v>0</v>
      </c>
      <c r="L919" s="4">
        <f>SUMIFS(Table20[Invested],Table20[Asset],Table41[[#This Row],[Asset Name]],Table20[date_purchased],"&gt;"&amp;$C$872,Table20[date_purchased],"&lt;"&amp;$E$872)</f>
        <v>0</v>
      </c>
      <c r="M919" s="14">
        <f>IFERROR(Table41[[#This Row],[Within timeline]]/Table41[[#This Row],[Invested]],0)</f>
        <v>0</v>
      </c>
      <c r="N919" s="187">
        <v>700</v>
      </c>
      <c r="O919" s="179" cm="1">
        <f t="array" aca="1" ref="O919" ca="1">_FV(Table41[[#This Row],[Asset Name]],"Price")</f>
        <v>92.12</v>
      </c>
      <c r="P919" s="188">
        <v>730</v>
      </c>
      <c r="Q919" t="b">
        <f ca="1">IF(Table41[[#This Row],[Current Price]]&lt;Table41[[#This Row],[Put wall]]*1.02,TRUE,FALSE)</f>
        <v>1</v>
      </c>
      <c r="R919" t="b">
        <f ca="1">IF(Table41[[#This Row],[Current Price]]&gt;Table41[[#This Row],[Call wall]]*0.98,TRUE,FALSE)</f>
        <v>0</v>
      </c>
      <c r="S919" s="4">
        <f ca="1">SUMIF(Table20[Asset],Table41[[#This Row],[Asset Name]],Table20[delta_exposure])</f>
        <v>0</v>
      </c>
      <c r="T919" s="36" t="str" cm="1">
        <f t="array" aca="1" ref="T919" ca="1">_FV(Table41[[#This Row],[Asset Name]],"Instrument type",TRUE)</f>
        <v>Stock</v>
      </c>
      <c r="U919" s="183">
        <v>45673</v>
      </c>
      <c r="V919" t="str">
        <f>VLOOKUP(Table41[[#This Row],[Asset Name]],Table19[#All],3,FALSE)</f>
        <v>Consumer Discretionary</v>
      </c>
      <c r="X919" t="str">
        <f>VLOOKUP(Table41[[#This Row],[Asset Name]],Table19[#All],4,FALSE)</f>
        <v>Technology</v>
      </c>
      <c r="Y919" s="147" t="str">
        <f ca="1">IF(Table41[[#This Row],[Current Price]]&lt;Table41[[#This Row],[Put wall]]*1.02,"✅",IF(Table41[[#This Row],[Current Price]]&gt;Table41[[#This Row],[Call wall]]*0.98,"🔻",""))</f>
        <v>✅</v>
      </c>
      <c r="Z919" s="203">
        <f ca="1">Table41[[#This Row],[Current Price]]/Table41[[#This Row],[Put wall]]-1</f>
        <v>-0.86840000000000006</v>
      </c>
      <c r="AA919" s="206">
        <f ca="1">Table41[[#This Row],[Current Price]]/Table41[[#This Row],[Call wall]]-1</f>
        <v>-0.87380821917808216</v>
      </c>
    </row>
    <row r="920" spans="1:32" hidden="1">
      <c r="A920" s="194" t="e" vm="106">
        <v>#VALUE!</v>
      </c>
      <c r="B920" s="13" t="str" cm="1">
        <f t="array" aca="1" ref="B920" ca="1">_FV(Table41[[#This Row],[Asset Name]],"Ticker symbol",TRUE)</f>
        <v>GLD</v>
      </c>
      <c r="C920" s="4">
        <f>SUMIF(Table20[Asset],Table41[[#This Row],[Asset Name]],Table20[realized_profit])</f>
        <v>228</v>
      </c>
      <c r="D920" s="4">
        <f>SUMIFS(Table20[realized_profit],Table20[Asset],Table41[[#This Row],[Asset Name]],Table20[date_purchased],"&gt;"&amp;$C$872,Table20[date_purchased],"&lt;"&amp;$E$872)</f>
        <v>0</v>
      </c>
      <c r="E920" s="4">
        <f>SUMIFS(Table20[realized_profit],Table20[Asset],Table41[[#This Row],[Asset Name]],Table20[Bullish or Bearish],"Bullish",Table20[date_purchased],"&gt;"&amp;$C$872,Table20[date_purchased],"&lt;"&amp;$E$872)</f>
        <v>0</v>
      </c>
      <c r="F920" s="4">
        <f>SUMIFS(Table20[realized_profit],Table20[Asset],Table41[[#This Row],[Asset Name]],Table20[Bullish or Bearish],"Bearish",Table20[date_purchased],"&gt;"&amp;$C$872,Table20[date_purchased],"&lt;"&amp;$E$872)</f>
        <v>0</v>
      </c>
      <c r="G920" s="4">
        <f>SUMIFS(Table20[realized_profit],Table20[Asset],Table41[[#This Row],[Asset Name]],Table20[Strategy],"call",Table20[date_purchased],"&gt;"&amp;$C$872,Table20[date_purchased],"&lt;"&amp;$E$872)</f>
        <v>0</v>
      </c>
      <c r="H920" s="4">
        <f>SUMIFS(Table20[realized_profit],Table20[Asset],Table41[[#This Row],[Asset Name]],Table20[Strategy],"put",Table20[date_purchased],"&gt;"&amp;$C$872,Table20[date_purchased],"&lt;"&amp;$E$872)</f>
        <v>0</v>
      </c>
      <c r="I920" s="4">
        <f>SUMIFS(Table20[realized_profit],Table20[Asset],Table41[[#This Row],[Asset Name]],Table20[Strategy],"calendar spread",Table20[date_purchased],"&gt;"&amp;$C$872,Table20[date_purchased],"&lt;"&amp;$E$872)</f>
        <v>0</v>
      </c>
      <c r="J920" s="4">
        <f>SUMIFS(Table20[realized_profit],Table20[Asset],Table41[[#This Row],[Asset Name]],Table20[Strategy],"put calendar spread",Table20[date_purchased],"&gt;"&amp;$C$872,Table20[date_purchased],"&lt;"&amp;$E$872)</f>
        <v>0</v>
      </c>
      <c r="K920" s="4">
        <f>SUMIFS(Table20[realized_profit],Table20[Asset],Table41[[#This Row],[Asset Name]],Table20[Strategy],"put spread",Table20[date_purchased],"&gt;"&amp;$C$872,Table20[date_purchased],"&lt;"&amp;$E$872)</f>
        <v>0</v>
      </c>
      <c r="L920" s="4">
        <f>SUMIFS(Table20[Invested],Table20[Asset],Table41[[#This Row],[Asset Name]],Table20[date_purchased],"&gt;"&amp;$C$872,Table20[date_purchased],"&lt;"&amp;$E$872)</f>
        <v>0</v>
      </c>
      <c r="M920" s="14">
        <f>IFERROR(Table41[[#This Row],[Within timeline]]/Table41[[#This Row],[Invested]],0)</f>
        <v>0</v>
      </c>
      <c r="N920" s="187">
        <v>238</v>
      </c>
      <c r="O920" s="179" cm="1">
        <f t="array" aca="1" ref="O920" ca="1">_FV(Table41[[#This Row],[Asset Name]],"Price")</f>
        <v>419.54</v>
      </c>
      <c r="P920" s="188">
        <v>250</v>
      </c>
      <c r="Q920" t="b">
        <f ca="1">IF(Table41[[#This Row],[Current Price]]&lt;Table41[[#This Row],[Put wall]]*1.02,TRUE,FALSE)</f>
        <v>0</v>
      </c>
      <c r="R920" t="b">
        <f ca="1">IF(Table41[[#This Row],[Current Price]]&gt;Table41[[#This Row],[Call wall]]*0.98,TRUE,FALSE)</f>
        <v>1</v>
      </c>
      <c r="S920" s="4">
        <f ca="1">SUMIF(Table20[Asset],Table41[[#This Row],[Asset Name]],Table20[delta_exposure])</f>
        <v>0</v>
      </c>
      <c r="T920" s="36" t="str" cm="1">
        <f t="array" aca="1" ref="T920" ca="1">_FV(Table41[[#This Row],[Asset Name]],"Instrument type",TRUE)</f>
        <v>ETF</v>
      </c>
      <c r="U920" s="183"/>
      <c r="V920" t="str">
        <f>VLOOKUP(Table41[[#This Row],[Asset Name]],Table19[#All],3,FALSE)</f>
        <v>Gold and Silver</v>
      </c>
      <c r="X920" t="str">
        <f>VLOOKUP(Table41[[#This Row],[Asset Name]],Table19[#All],4,FALSE)</f>
        <v>Commodity</v>
      </c>
      <c r="Y920" s="147" t="str">
        <f ca="1">IF(Table41[[#This Row],[Current Price]]&lt;Table41[[#This Row],[Put wall]]*1.02,"✅",IF(Table41[[#This Row],[Current Price]]&gt;Table41[[#This Row],[Call wall]]*0.98,"🔻",""))</f>
        <v>🔻</v>
      </c>
      <c r="Z920" s="203">
        <f ca="1">Table41[[#This Row],[Current Price]]/Table41[[#This Row],[Put wall]]-1</f>
        <v>0.76277310924369757</v>
      </c>
      <c r="AA920" s="206">
        <f ca="1">Table41[[#This Row],[Current Price]]/Table41[[#This Row],[Call wall]]-1</f>
        <v>0.6781600000000001</v>
      </c>
    </row>
    <row r="921" spans="1:32" hidden="1">
      <c r="A921" t="e" vm="107">
        <v>#VALUE!</v>
      </c>
      <c r="B921" s="189" t="str" cm="1">
        <f t="array" aca="1" ref="B921" ca="1">_FV(Table41[[#This Row],[Asset Name]],"Ticker symbol",TRUE)</f>
        <v>MA</v>
      </c>
      <c r="C921" s="4">
        <f>SUMIF(Table20[Asset],Table41[[#This Row],[Asset Name]],Table20[realized_profit])</f>
        <v>0</v>
      </c>
      <c r="D921" s="4">
        <f>SUMIFS(Table20[realized_profit],Table20[Asset],Table41[[#This Row],[Asset Name]],Table20[date_purchased],"&gt;"&amp;$C$872,Table20[date_purchased],"&lt;"&amp;$E$872)</f>
        <v>0</v>
      </c>
      <c r="E921" s="4">
        <f>SUMIFS(Table20[realized_profit],Table20[Asset],Table41[[#This Row],[Asset Name]],Table20[Bullish or Bearish],"Bullish",Table20[date_purchased],"&gt;"&amp;$C$872,Table20[date_purchased],"&lt;"&amp;$E$872)</f>
        <v>0</v>
      </c>
      <c r="F921" s="4">
        <f>SUMIFS(Table20[realized_profit],Table20[Asset],Table41[[#This Row],[Asset Name]],Table20[Bullish or Bearish],"Bearish",Table20[date_purchased],"&gt;"&amp;$C$872,Table20[date_purchased],"&lt;"&amp;$E$872)</f>
        <v>0</v>
      </c>
      <c r="G921" s="4">
        <f>SUMIFS(Table20[realized_profit],Table20[Asset],Table41[[#This Row],[Asset Name]],Table20[Strategy],"call",Table20[date_purchased],"&gt;"&amp;$C$872,Table20[date_purchased],"&lt;"&amp;$E$872)</f>
        <v>0</v>
      </c>
      <c r="H921" s="4">
        <f>SUMIFS(Table20[realized_profit],Table20[Asset],Table41[[#This Row],[Asset Name]],Table20[Strategy],"put",Table20[date_purchased],"&gt;"&amp;$C$872,Table20[date_purchased],"&lt;"&amp;$E$872)</f>
        <v>0</v>
      </c>
      <c r="I921" s="4">
        <f>SUMIFS(Table20[realized_profit],Table20[Asset],Table41[[#This Row],[Asset Name]],Table20[Strategy],"calendar spread",Table20[date_purchased],"&gt;"&amp;$C$872,Table20[date_purchased],"&lt;"&amp;$E$872)</f>
        <v>0</v>
      </c>
      <c r="J921" s="4">
        <f>SUMIFS(Table20[realized_profit],Table20[Asset],Table41[[#This Row],[Asset Name]],Table20[Strategy],"put calendar spread",Table20[date_purchased],"&gt;"&amp;$C$872,Table20[date_purchased],"&lt;"&amp;$E$872)</f>
        <v>0</v>
      </c>
      <c r="K921" s="4">
        <f>SUMIFS(Table20[realized_profit],Table20[Asset],Table41[[#This Row],[Asset Name]],Table20[Strategy],"put spread",Table20[date_purchased],"&gt;"&amp;$C$872,Table20[date_purchased],"&lt;"&amp;$E$872)</f>
        <v>0</v>
      </c>
      <c r="L921" s="4">
        <f>SUMIFS(Table20[Invested],Table20[Asset],Table41[[#This Row],[Asset Name]],Table20[date_purchased],"&gt;"&amp;$C$872,Table20[date_purchased],"&lt;"&amp;$E$872)</f>
        <v>0</v>
      </c>
      <c r="M921" s="14">
        <f>IFERROR(Table41[[#This Row],[Within timeline]]/Table41[[#This Row],[Invested]],0)</f>
        <v>0</v>
      </c>
      <c r="N921" s="187">
        <v>450</v>
      </c>
      <c r="O921" s="179" cm="1">
        <f t="array" aca="1" ref="O921" ca="1">_FV(Table41[[#This Row],[Asset Name]],"Price")</f>
        <v>499.49</v>
      </c>
      <c r="P921" s="188">
        <v>500</v>
      </c>
      <c r="Q921" t="b">
        <f ca="1">IF(Table41[[#This Row],[Current Price]]&lt;Table41[[#This Row],[Put wall]]*1.02,TRUE,FALSE)</f>
        <v>0</v>
      </c>
      <c r="R921" t="b">
        <f ca="1">IF(Table41[[#This Row],[Current Price]]&gt;Table41[[#This Row],[Call wall]]*0.98,TRUE,FALSE)</f>
        <v>1</v>
      </c>
      <c r="S921" s="4">
        <f>SUMIF(Table20[Asset],Table41[[#This Row],[Asset Name]],Table20[delta_exposure])</f>
        <v>0</v>
      </c>
      <c r="T921" s="36" t="str" cm="1">
        <f t="array" aca="1" ref="T921" ca="1">_FV(Table41[[#This Row],[Asset Name]],"Instrument type",TRUE)</f>
        <v>Stock</v>
      </c>
      <c r="U921" s="183">
        <v>45589</v>
      </c>
      <c r="V921" t="str">
        <f>VLOOKUP(Table41[[#This Row],[Asset Name]],Table19[#All],3,FALSE)</f>
        <v>Financials</v>
      </c>
      <c r="X921" s="194" t="str">
        <f>VLOOKUP(Table41[[#This Row],[Asset Name]],Table19[#All],4,FALSE)</f>
        <v>Payments</v>
      </c>
      <c r="Y921" s="189" t="str">
        <f ca="1">IF(Table41[[#This Row],[Current Price]]&lt;Table41[[#This Row],[Put wall]]*1.02,"✅",IF(Table41[[#This Row],[Current Price]]&gt;Table41[[#This Row],[Call wall]]*0.98,"🔻",""))</f>
        <v>🔻</v>
      </c>
      <c r="Z921" s="203">
        <f ca="1">Table41[[#This Row],[Current Price]]/Table41[[#This Row],[Put wall]]-1</f>
        <v>0.10997777777777773</v>
      </c>
      <c r="AA921" s="207">
        <f ca="1">Table41[[#This Row],[Current Price]]/Table41[[#This Row],[Call wall]]-1</f>
        <v>-1.0200000000000209E-3</v>
      </c>
    </row>
    <row r="922" spans="1:32" hidden="1">
      <c r="A922" s="194" t="e" vm="108">
        <v>#VALUE!</v>
      </c>
      <c r="B922" s="13" t="str" cm="1">
        <f t="array" aca="1" ref="B922" ca="1">_FV(Table41[[#This Row],[Asset Name]],"Ticker symbol",TRUE)</f>
        <v>SLV</v>
      </c>
      <c r="C922" s="4">
        <f>SUMIF(Table20[Asset],Table41[[#This Row],[Asset Name]],Table20[realized_profit])</f>
        <v>0</v>
      </c>
      <c r="D922" s="4">
        <f>SUMIFS(Table20[realized_profit],Table20[Asset],Table41[[#This Row],[Asset Name]],Table20[date_purchased],"&gt;"&amp;$C$872,Table20[date_purchased],"&lt;"&amp;$E$872)</f>
        <v>0</v>
      </c>
      <c r="E922" s="4">
        <f>SUMIFS(Table20[realized_profit],Table20[Asset],Table41[[#This Row],[Asset Name]],Table20[Bullish or Bearish],"Bullish",Table20[date_purchased],"&gt;"&amp;$C$872,Table20[date_purchased],"&lt;"&amp;$E$872)</f>
        <v>0</v>
      </c>
      <c r="F922" s="4">
        <f>SUMIFS(Table20[realized_profit],Table20[Asset],Table41[[#This Row],[Asset Name]],Table20[Bullish or Bearish],"Bearish",Table20[date_purchased],"&gt;"&amp;$C$872,Table20[date_purchased],"&lt;"&amp;$E$872)</f>
        <v>0</v>
      </c>
      <c r="G922" s="4">
        <f>SUMIFS(Table20[realized_profit],Table20[Asset],Table41[[#This Row],[Asset Name]],Table20[Strategy],"call",Table20[date_purchased],"&gt;"&amp;$C$872,Table20[date_purchased],"&lt;"&amp;$E$872)</f>
        <v>0</v>
      </c>
      <c r="H922" s="4">
        <f>SUMIFS(Table20[realized_profit],Table20[Asset],Table41[[#This Row],[Asset Name]],Table20[Strategy],"put",Table20[date_purchased],"&gt;"&amp;$C$872,Table20[date_purchased],"&lt;"&amp;$E$872)</f>
        <v>0</v>
      </c>
      <c r="I922" s="4">
        <f>SUMIFS(Table20[realized_profit],Table20[Asset],Table41[[#This Row],[Asset Name]],Table20[Strategy],"calendar spread",Table20[date_purchased],"&gt;"&amp;$C$872,Table20[date_purchased],"&lt;"&amp;$E$872)</f>
        <v>0</v>
      </c>
      <c r="J922" s="4">
        <f>SUMIFS(Table20[realized_profit],Table20[Asset],Table41[[#This Row],[Asset Name]],Table20[Strategy],"put calendar spread",Table20[date_purchased],"&gt;"&amp;$C$872,Table20[date_purchased],"&lt;"&amp;$E$872)</f>
        <v>0</v>
      </c>
      <c r="K922" s="4">
        <f>SUMIFS(Table20[realized_profit],Table20[Asset],Table41[[#This Row],[Asset Name]],Table20[Strategy],"put spread",Table20[date_purchased],"&gt;"&amp;$C$872,Table20[date_purchased],"&lt;"&amp;$E$872)</f>
        <v>0</v>
      </c>
      <c r="L922" s="4">
        <f>SUMIFS(Table20[Invested],Table20[Asset],Table41[[#This Row],[Asset Name]],Table20[date_purchased],"&gt;"&amp;$C$872,Table20[date_purchased],"&lt;"&amp;$E$872)</f>
        <v>0</v>
      </c>
      <c r="M922" s="14">
        <f>IFERROR(Table41[[#This Row],[Within timeline]]/Table41[[#This Row],[Invested]],0)</f>
        <v>0</v>
      </c>
      <c r="N922" s="187">
        <v>28.5</v>
      </c>
      <c r="O922" s="179" cm="1">
        <f t="array" aca="1" ref="O922" ca="1">_FV(Table41[[#This Row],[Asset Name]],"Price")</f>
        <v>66.118899999999996</v>
      </c>
      <c r="P922" s="188">
        <v>30</v>
      </c>
      <c r="Q922" t="b">
        <f ca="1">IF(Table41[[#This Row],[Current Price]]&lt;Table41[[#This Row],[Put wall]]*1.02,TRUE,FALSE)</f>
        <v>0</v>
      </c>
      <c r="R922" t="b">
        <f ca="1">IF(Table41[[#This Row],[Current Price]]&gt;Table41[[#This Row],[Call wall]]*0.98,TRUE,FALSE)</f>
        <v>1</v>
      </c>
      <c r="S922" s="4">
        <f>SUMIF(Table20[Asset],Table41[[#This Row],[Asset Name]],Table20[delta_exposure])</f>
        <v>0</v>
      </c>
      <c r="T922" s="36" t="str" cm="1">
        <f t="array" aca="1" ref="T922" ca="1">_FV(Table41[[#This Row],[Asset Name]],"Instrument type",TRUE)</f>
        <v>ETF</v>
      </c>
      <c r="U922" s="183"/>
      <c r="V922" t="str">
        <f>VLOOKUP(Table41[[#This Row],[Asset Name]],Table19[#All],3,FALSE)</f>
        <v>Gold and Silver</v>
      </c>
      <c r="X922" t="str">
        <f>VLOOKUP(Table41[[#This Row],[Asset Name]],Table19[#All],4,FALSE)</f>
        <v>Commodity</v>
      </c>
      <c r="Y922" s="147" t="str">
        <f ca="1">IF(Table41[[#This Row],[Current Price]]&lt;Table41[[#This Row],[Put wall]]*1.02,"✅",IF(Table41[[#This Row],[Current Price]]&gt;Table41[[#This Row],[Call wall]]*0.98,"🔻",""))</f>
        <v>🔻</v>
      </c>
      <c r="Z922" s="203">
        <f ca="1">Table41[[#This Row],[Current Price]]/Table41[[#This Row],[Put wall]]-1</f>
        <v>1.3199614035087719</v>
      </c>
      <c r="AA922" s="206">
        <f ca="1">Table41[[#This Row],[Current Price]]/Table41[[#This Row],[Call wall]]-1</f>
        <v>1.2039633333333333</v>
      </c>
    </row>
    <row r="923" spans="1:32" hidden="1">
      <c r="A923" s="194" t="e" vm="109">
        <v>#VALUE!</v>
      </c>
      <c r="B923" s="13" t="str" cm="1">
        <f t="array" aca="1" ref="B923" ca="1">_FV(Table41[[#This Row],[Asset Name]],"Ticker symbol",TRUE)</f>
        <v>XLF</v>
      </c>
      <c r="C923" s="4">
        <f>SUMIF(Table20[Asset],Table41[[#This Row],[Asset Name]],Table20[realized_profit])</f>
        <v>-64.999999999999943</v>
      </c>
      <c r="D923" s="4">
        <f>SUMIFS(Table20[realized_profit],Table20[Asset],Table41[[#This Row],[Asset Name]],Table20[date_purchased],"&gt;"&amp;$C$872,Table20[date_purchased],"&lt;"&amp;$E$872)</f>
        <v>0</v>
      </c>
      <c r="E923" s="4">
        <f>SUMIFS(Table20[realized_profit],Table20[Asset],Table41[[#This Row],[Asset Name]],Table20[Bullish or Bearish],"Bullish",Table20[date_purchased],"&gt;"&amp;$C$872,Table20[date_purchased],"&lt;"&amp;$E$872)</f>
        <v>0</v>
      </c>
      <c r="F923" s="4">
        <f>SUMIFS(Table20[realized_profit],Table20[Asset],Table41[[#This Row],[Asset Name]],Table20[Bullish or Bearish],"Bearish",Table20[date_purchased],"&gt;"&amp;$C$872,Table20[date_purchased],"&lt;"&amp;$E$872)</f>
        <v>0</v>
      </c>
      <c r="G923" s="4">
        <f>SUMIFS(Table20[realized_profit],Table20[Asset],Table41[[#This Row],[Asset Name]],Table20[Strategy],"call",Table20[date_purchased],"&gt;"&amp;$C$872,Table20[date_purchased],"&lt;"&amp;$E$872)</f>
        <v>0</v>
      </c>
      <c r="H923" s="4">
        <f>SUMIFS(Table20[realized_profit],Table20[Asset],Table41[[#This Row],[Asset Name]],Table20[Strategy],"put",Table20[date_purchased],"&gt;"&amp;$C$872,Table20[date_purchased],"&lt;"&amp;$E$872)</f>
        <v>0</v>
      </c>
      <c r="I923" s="4">
        <f>SUMIFS(Table20[realized_profit],Table20[Asset],Table41[[#This Row],[Asset Name]],Table20[Strategy],"calendar spread",Table20[date_purchased],"&gt;"&amp;$C$872,Table20[date_purchased],"&lt;"&amp;$E$872)</f>
        <v>0</v>
      </c>
      <c r="J923" s="4">
        <f>SUMIFS(Table20[realized_profit],Table20[Asset],Table41[[#This Row],[Asset Name]],Table20[Strategy],"put calendar spread",Table20[date_purchased],"&gt;"&amp;$C$872,Table20[date_purchased],"&lt;"&amp;$E$872)</f>
        <v>0</v>
      </c>
      <c r="K923" s="4">
        <f>SUMIFS(Table20[realized_profit],Table20[Asset],Table41[[#This Row],[Asset Name]],Table20[Strategy],"put spread",Table20[date_purchased],"&gt;"&amp;$C$872,Table20[date_purchased],"&lt;"&amp;$E$872)</f>
        <v>0</v>
      </c>
      <c r="L923" s="4">
        <f>SUMIFS(Table20[Invested],Table20[Asset],Table41[[#This Row],[Asset Name]],Table20[date_purchased],"&gt;"&amp;$C$872,Table20[date_purchased],"&lt;"&amp;$E$872)</f>
        <v>0</v>
      </c>
      <c r="M923" s="14">
        <f>IFERROR(Table41[[#This Row],[Within timeline]]/Table41[[#This Row],[Invested]],0)</f>
        <v>0</v>
      </c>
      <c r="N923" s="187">
        <v>45</v>
      </c>
      <c r="O923" s="179" cm="1">
        <f t="array" aca="1" ref="O923" ca="1">_FV(Table41[[#This Row],[Asset Name]],"Price")</f>
        <v>49.465000000000003</v>
      </c>
      <c r="P923" s="188">
        <v>46</v>
      </c>
      <c r="Q923" t="b">
        <f ca="1">IF(Table41[[#This Row],[Current Price]]&lt;Table41[[#This Row],[Put wall]]*1.02,TRUE,FALSE)</f>
        <v>0</v>
      </c>
      <c r="R923" t="b">
        <f ca="1">IF(Table41[[#This Row],[Current Price]]&gt;Table41[[#This Row],[Call wall]]*0.98,TRUE,FALSE)</f>
        <v>1</v>
      </c>
      <c r="S923" s="4">
        <f ca="1">SUMIF(Table20[Asset],Table41[[#This Row],[Asset Name]],Table20[delta_exposure])</f>
        <v>0</v>
      </c>
      <c r="T923" s="36" t="str" cm="1">
        <f t="array" aca="1" ref="T923" ca="1">_FV(Table41[[#This Row],[Asset Name]],"Instrument type",TRUE)</f>
        <v>ETF</v>
      </c>
      <c r="U923" s="183"/>
      <c r="V923" t="str">
        <f>VLOOKUP(Table41[[#This Row],[Asset Name]],Table19[#All],3,FALSE)</f>
        <v>Financials</v>
      </c>
      <c r="X923" t="str">
        <f>VLOOKUP(Table41[[#This Row],[Asset Name]],Table19[#All],4,FALSE)</f>
        <v>Financials</v>
      </c>
      <c r="Y923" s="147" t="str">
        <f ca="1">IF(Table41[[#This Row],[Current Price]]&lt;Table41[[#This Row],[Put wall]]*1.02,"✅",IF(Table41[[#This Row],[Current Price]]&gt;Table41[[#This Row],[Call wall]]*0.98,"🔻",""))</f>
        <v>🔻</v>
      </c>
      <c r="Z923" s="203">
        <f ca="1">Table41[[#This Row],[Current Price]]/Table41[[#This Row],[Put wall]]-1</f>
        <v>9.9222222222222323E-2</v>
      </c>
      <c r="AA923" s="206">
        <f ca="1">Table41[[#This Row],[Current Price]]/Table41[[#This Row],[Call wall]]-1</f>
        <v>7.5326086956521765E-2</v>
      </c>
    </row>
    <row r="924" spans="1:32" hidden="1">
      <c r="A924" s="194" t="e" vm="110">
        <v>#VALUE!</v>
      </c>
      <c r="B924" s="13" t="str" cm="1">
        <f t="array" aca="1" ref="B924" ca="1">_FV(Table41[[#This Row],[Asset Name]],"Ticker symbol",TRUE)</f>
        <v>JPM</v>
      </c>
      <c r="C924" s="4">
        <f>SUMIF(Table20[Asset],Table41[[#This Row],[Asset Name]],Table20[realized_profit])</f>
        <v>-1533</v>
      </c>
      <c r="D924" s="4">
        <f>SUMIFS(Table20[realized_profit],Table20[Asset],Table41[[#This Row],[Asset Name]],Table20[date_purchased],"&gt;"&amp;$C$872,Table20[date_purchased],"&lt;"&amp;$E$872)</f>
        <v>0</v>
      </c>
      <c r="E924" s="4">
        <f>SUMIFS(Table20[realized_profit],Table20[Asset],Table41[[#This Row],[Asset Name]],Table20[Bullish or Bearish],"Bullish",Table20[date_purchased],"&gt;"&amp;$C$872,Table20[date_purchased],"&lt;"&amp;$E$872)</f>
        <v>0</v>
      </c>
      <c r="F924" s="4">
        <f>SUMIFS(Table20[realized_profit],Table20[Asset],Table41[[#This Row],[Asset Name]],Table20[Bullish or Bearish],"Bearish",Table20[date_purchased],"&gt;"&amp;$C$872,Table20[date_purchased],"&lt;"&amp;$E$872)</f>
        <v>0</v>
      </c>
      <c r="G924" s="4">
        <f>SUMIFS(Table20[realized_profit],Table20[Asset],Table41[[#This Row],[Asset Name]],Table20[Strategy],"call",Table20[date_purchased],"&gt;"&amp;$C$872,Table20[date_purchased],"&lt;"&amp;$E$872)</f>
        <v>0</v>
      </c>
      <c r="H924" s="4">
        <f>SUMIFS(Table20[realized_profit],Table20[Asset],Table41[[#This Row],[Asset Name]],Table20[Strategy],"put",Table20[date_purchased],"&gt;"&amp;$C$872,Table20[date_purchased],"&lt;"&amp;$E$872)</f>
        <v>0</v>
      </c>
      <c r="I924" s="4">
        <f>SUMIFS(Table20[realized_profit],Table20[Asset],Table41[[#This Row],[Asset Name]],Table20[Strategy],"calendar spread",Table20[date_purchased],"&gt;"&amp;$C$872,Table20[date_purchased],"&lt;"&amp;$E$872)</f>
        <v>0</v>
      </c>
      <c r="J924" s="4">
        <f>SUMIFS(Table20[realized_profit],Table20[Asset],Table41[[#This Row],[Asset Name]],Table20[Strategy],"put calendar spread",Table20[date_purchased],"&gt;"&amp;$C$872,Table20[date_purchased],"&lt;"&amp;$E$872)</f>
        <v>0</v>
      </c>
      <c r="K924" s="4">
        <f>SUMIFS(Table20[realized_profit],Table20[Asset],Table41[[#This Row],[Asset Name]],Table20[Strategy],"put spread",Table20[date_purchased],"&gt;"&amp;$C$872,Table20[date_purchased],"&lt;"&amp;$E$872)</f>
        <v>0</v>
      </c>
      <c r="L924" s="4">
        <f>SUMIFS(Table20[Invested],Table20[Asset],Table41[[#This Row],[Asset Name]],Table20[date_purchased],"&gt;"&amp;$C$872,Table20[date_purchased],"&lt;"&amp;$E$872)</f>
        <v>0</v>
      </c>
      <c r="M924" s="14">
        <f>IFERROR(Table41[[#This Row],[Within timeline]]/Table41[[#This Row],[Invested]],0)</f>
        <v>0</v>
      </c>
      <c r="N924" s="187">
        <v>200</v>
      </c>
      <c r="O924" s="179" cm="1">
        <f t="array" aca="1" ref="O924" ca="1">_FV(Table41[[#This Row],[Asset Name]],"Price")</f>
        <v>295.33</v>
      </c>
      <c r="P924" s="188">
        <v>225</v>
      </c>
      <c r="Q924" t="b">
        <f ca="1">IF(Table41[[#This Row],[Current Price]]&lt;Table41[[#This Row],[Put wall]]*1.02,TRUE,FALSE)</f>
        <v>0</v>
      </c>
      <c r="R924" t="b">
        <f ca="1">IF(Table41[[#This Row],[Current Price]]&gt;Table41[[#This Row],[Call wall]]*0.98,TRUE,FALSE)</f>
        <v>1</v>
      </c>
      <c r="S924" s="4">
        <f ca="1">SUMIF(Table20[Asset],Table41[[#This Row],[Asset Name]],Table20[delta_exposure])</f>
        <v>0</v>
      </c>
      <c r="T924" s="36" t="str" cm="1">
        <f t="array" aca="1" ref="T924" ca="1">_FV(Table41[[#This Row],[Asset Name]],"Instrument type",TRUE)</f>
        <v>Stock</v>
      </c>
      <c r="U924" s="183">
        <v>45576</v>
      </c>
      <c r="V924" t="str">
        <f>VLOOKUP(Table41[[#This Row],[Asset Name]],Table19[#All],3,FALSE)</f>
        <v>Financials</v>
      </c>
      <c r="X924" t="str">
        <f>VLOOKUP(Table41[[#This Row],[Asset Name]],Table19[#All],4,FALSE)</f>
        <v>Financials</v>
      </c>
      <c r="Y924" s="147" t="str">
        <f ca="1">IF(Table41[[#This Row],[Current Price]]&lt;Table41[[#This Row],[Put wall]]*1.02,"✅",IF(Table41[[#This Row],[Current Price]]&gt;Table41[[#This Row],[Call wall]]*0.98,"🔻",""))</f>
        <v>🔻</v>
      </c>
      <c r="Z924" s="203">
        <f ca="1">Table41[[#This Row],[Current Price]]/Table41[[#This Row],[Put wall]]-1</f>
        <v>0.47665000000000002</v>
      </c>
      <c r="AA924" s="206">
        <f ca="1">Table41[[#This Row],[Current Price]]/Table41[[#This Row],[Call wall]]-1</f>
        <v>0.31257777777777762</v>
      </c>
    </row>
    <row r="925" spans="1:32" ht="19" hidden="1">
      <c r="A925" s="194" t="e" vm="11">
        <v>#VALUE!</v>
      </c>
      <c r="B925" s="13" t="str" cm="1">
        <f t="array" aca="1" ref="B925" ca="1">_FV(Table41[[#This Row],[Asset Name]],"Ticker symbol",TRUE)</f>
        <v>AMZN</v>
      </c>
      <c r="C925" s="4">
        <f>SUMIF(Table20[Asset],Table41[[#This Row],[Asset Name]],Table20[realized_profit])</f>
        <v>-1350</v>
      </c>
      <c r="D925" s="4">
        <f>SUMIFS(Table20[realized_profit],Table20[Asset],Table41[[#This Row],[Asset Name]],Table20[date_purchased],"&gt;"&amp;$C$872,Table20[date_purchased],"&lt;"&amp;$E$872)</f>
        <v>0</v>
      </c>
      <c r="E925" s="4">
        <f>SUMIFS(Table20[realized_profit],Table20[Asset],Table41[[#This Row],[Asset Name]],Table20[Bullish or Bearish],"Bullish",Table20[date_purchased],"&gt;"&amp;$C$872,Table20[date_purchased],"&lt;"&amp;$E$872)</f>
        <v>0</v>
      </c>
      <c r="F925" s="4">
        <f>SUMIFS(Table20[realized_profit],Table20[Asset],Table41[[#This Row],[Asset Name]],Table20[Bullish or Bearish],"Bearish",Table20[date_purchased],"&gt;"&amp;$C$872,Table20[date_purchased],"&lt;"&amp;$E$872)</f>
        <v>0</v>
      </c>
      <c r="G925" s="4">
        <f>SUMIFS(Table20[realized_profit],Table20[Asset],Table41[[#This Row],[Asset Name]],Table20[Strategy],"call",Table20[date_purchased],"&gt;"&amp;$C$872,Table20[date_purchased],"&lt;"&amp;$E$872)</f>
        <v>0</v>
      </c>
      <c r="H925" s="4">
        <f>SUMIFS(Table20[realized_profit],Table20[Asset],Table41[[#This Row],[Asset Name]],Table20[Strategy],"put",Table20[date_purchased],"&gt;"&amp;$C$872,Table20[date_purchased],"&lt;"&amp;$E$872)</f>
        <v>0</v>
      </c>
      <c r="I925" s="4">
        <f>SUMIFS(Table20[realized_profit],Table20[Asset],Table41[[#This Row],[Asset Name]],Table20[Strategy],"calendar spread",Table20[date_purchased],"&gt;"&amp;$C$872,Table20[date_purchased],"&lt;"&amp;$E$872)</f>
        <v>0</v>
      </c>
      <c r="J925" s="4">
        <f>SUMIFS(Table20[realized_profit],Table20[Asset],Table41[[#This Row],[Asset Name]],Table20[Strategy],"put calendar spread",Table20[date_purchased],"&gt;"&amp;$C$872,Table20[date_purchased],"&lt;"&amp;$E$872)</f>
        <v>0</v>
      </c>
      <c r="K925" s="4">
        <f>SUMIFS(Table20[realized_profit],Table20[Asset],Table41[[#This Row],[Asset Name]],Table20[Strategy],"put spread",Table20[date_purchased],"&gt;"&amp;$C$872,Table20[date_purchased],"&lt;"&amp;$E$872)</f>
        <v>0</v>
      </c>
      <c r="L925" s="4">
        <f>SUMIFS(Table20[Invested],Table20[Asset],Table41[[#This Row],[Asset Name]],Table20[date_purchased],"&gt;"&amp;$C$872,Table20[date_purchased],"&lt;"&amp;$E$872)</f>
        <v>0</v>
      </c>
      <c r="M925" s="14">
        <f>IFERROR(Table41[[#This Row],[Within timeline]]/Table41[[#This Row],[Invested]],0)</f>
        <v>0</v>
      </c>
      <c r="N925" s="187">
        <v>180</v>
      </c>
      <c r="O925" s="179" cm="1">
        <f t="array" aca="1" ref="O925" ca="1">_FV(Table41[[#This Row],[Asset Name]],"Price")</f>
        <v>212.15</v>
      </c>
      <c r="P925" s="188">
        <v>200</v>
      </c>
      <c r="Q925" t="b">
        <f ca="1">IF(Table41[[#This Row],[Current Price]]&lt;Table41[[#This Row],[Put wall]]*1.02,TRUE,FALSE)</f>
        <v>0</v>
      </c>
      <c r="R925" t="b">
        <f ca="1">IF(Table41[[#This Row],[Current Price]]&gt;Table41[[#This Row],[Call wall]]*0.98,TRUE,FALSE)</f>
        <v>1</v>
      </c>
      <c r="S925" s="4">
        <f ca="1">SUMIF(Table20[Asset],Table41[[#This Row],[Asset Name]],Table20[delta_exposure])</f>
        <v>0</v>
      </c>
      <c r="T925" s="36" t="str" cm="1">
        <f t="array" aca="1" ref="T925" ca="1">_FV(Table41[[#This Row],[Asset Name]],"Instrument type",TRUE)</f>
        <v>Stock</v>
      </c>
      <c r="U925" s="183">
        <v>45589</v>
      </c>
      <c r="V925" t="str">
        <f>VLOOKUP(Table41[[#This Row],[Asset Name]],Table19[#All],3,FALSE)</f>
        <v>Robotics</v>
      </c>
      <c r="W925" s="11"/>
      <c r="X925" t="str">
        <f>VLOOKUP(Table41[[#This Row],[Asset Name]],Table19[#All],4,FALSE)</f>
        <v>Technology</v>
      </c>
      <c r="Y925" s="202" t="str">
        <f ca="1">IF(Table41[[#This Row],[Current Price]]&lt;Table41[[#This Row],[Put wall]]*1.02,"✅",IF(Table41[[#This Row],[Current Price]]&gt;Table41[[#This Row],[Call wall]]*0.98,"🔻",""))</f>
        <v>🔻</v>
      </c>
      <c r="Z925" s="203">
        <f ca="1">Table41[[#This Row],[Current Price]]/Table41[[#This Row],[Put wall]]-1</f>
        <v>0.17861111111111105</v>
      </c>
      <c r="AA925" s="205">
        <f ca="1">Table41[[#This Row],[Current Price]]/Table41[[#This Row],[Call wall]]-1</f>
        <v>6.0750000000000082E-2</v>
      </c>
    </row>
    <row r="926" spans="1:32">
      <c r="A926" s="194" t="e" vm="13">
        <v>#VALUE!</v>
      </c>
      <c r="B926" s="13" t="str" cm="1">
        <f t="array" aca="1" ref="B926" ca="1">_FV(Table41[[#This Row],[Asset Name]],"Ticker symbol",TRUE)</f>
        <v>ON</v>
      </c>
      <c r="C926" s="4">
        <f>SUMIF(Table20[Asset],Table41[[#This Row],[Asset Name]],Table20[realized_profit])</f>
        <v>1055.92</v>
      </c>
      <c r="D926" s="4">
        <f>SUMIFS(Table20[realized_profit],Table20[Asset],Table41[[#This Row],[Asset Name]],Table20[date_purchased],"&gt;"&amp;$C$872,Table20[date_purchased],"&lt;"&amp;$E$872)</f>
        <v>-807.99999999999955</v>
      </c>
      <c r="E926" s="4">
        <f>SUMIFS(Table20[realized_profit],Table20[Asset],Table41[[#This Row],[Asset Name]],Table20[Bullish or Bearish],"Bullish",Table20[date_purchased],"&gt;"&amp;$C$872,Table20[date_purchased],"&lt;"&amp;$E$872)</f>
        <v>-807.99999999999955</v>
      </c>
      <c r="F926" s="4">
        <f>SUMIFS(Table20[realized_profit],Table20[Asset],Table41[[#This Row],[Asset Name]],Table20[Bullish or Bearish],"Bearish",Table20[date_purchased],"&gt;"&amp;$C$872,Table20[date_purchased],"&lt;"&amp;$E$872)</f>
        <v>0</v>
      </c>
      <c r="G926" s="4">
        <f>SUMIFS(Table20[realized_profit],Table20[Asset],Table41[[#This Row],[Asset Name]],Table20[Strategy],"call",Table20[date_purchased],"&gt;"&amp;$C$872,Table20[date_purchased],"&lt;"&amp;$E$872)</f>
        <v>0</v>
      </c>
      <c r="H926" s="4">
        <f>SUMIFS(Table20[realized_profit],Table20[Asset],Table41[[#This Row],[Asset Name]],Table20[Strategy],"put",Table20[date_purchased],"&gt;"&amp;$C$872,Table20[date_purchased],"&lt;"&amp;$E$872)</f>
        <v>0</v>
      </c>
      <c r="I926" s="4">
        <f>SUMIFS(Table20[realized_profit],Table20[Asset],Table41[[#This Row],[Asset Name]],Table20[Strategy],"calendar spread",Table20[date_purchased],"&gt;"&amp;$C$872,Table20[date_purchased],"&lt;"&amp;$E$872)</f>
        <v>-48.000000000000014</v>
      </c>
      <c r="J926" s="4">
        <f>SUMIFS(Table20[realized_profit],Table20[Asset],Table41[[#This Row],[Asset Name]],Table20[Strategy],"put calendar spread",Table20[date_purchased],"&gt;"&amp;$C$872,Table20[date_purchased],"&lt;"&amp;$E$872)</f>
        <v>0</v>
      </c>
      <c r="K926" s="4">
        <f>SUMIFS(Table20[realized_profit],Table20[Asset],Table41[[#This Row],[Asset Name]],Table20[Strategy],"put spread",Table20[date_purchased],"&gt;"&amp;$C$872,Table20[date_purchased],"&lt;"&amp;$E$872)</f>
        <v>0</v>
      </c>
      <c r="L926" s="4">
        <f>SUMIFS(Table20[Invested],Table20[Asset],Table41[[#This Row],[Asset Name]],Table20[date_purchased],"&gt;"&amp;$C$872,Table20[date_purchased],"&lt;"&amp;$E$872)</f>
        <v>-90.000000000000909</v>
      </c>
      <c r="M926" s="14">
        <f>IFERROR(Table41[[#This Row],[Within timeline]]/Table41[[#This Row],[Invested]],0)</f>
        <v>8.9777777777776819</v>
      </c>
      <c r="N926" s="187">
        <v>70</v>
      </c>
      <c r="O926" s="9" cm="1">
        <f t="array" aca="1" ref="O926" ca="1">_FV(Table41[[#This Row],[Asset Name]],"Price")</f>
        <v>63.68</v>
      </c>
      <c r="P926" s="188">
        <v>80</v>
      </c>
      <c r="Q926" t="b">
        <f ca="1">IF(Table41[[#This Row],[Current Price]]&lt;Table41[[#This Row],[Put wall]]*1.02,TRUE,FALSE)</f>
        <v>1</v>
      </c>
      <c r="R926" t="b">
        <f ca="1">IF(Table41[[#This Row],[Current Price]]&gt;Table41[[#This Row],[Call wall]]*0.98,TRUE,FALSE)</f>
        <v>0</v>
      </c>
      <c r="S926" s="4">
        <f ca="1">SUMIF(Table20[Asset],Table41[[#This Row],[Asset Name]],Table20[delta_exposure])</f>
        <v>0</v>
      </c>
      <c r="T926" s="36" t="str" cm="1">
        <f t="array" aca="1" ref="T926" ca="1">_FV(Table41[[#This Row],[Asset Name]],"Instrument type",TRUE)</f>
        <v>Stock</v>
      </c>
      <c r="U926" s="183">
        <v>45593</v>
      </c>
      <c r="V926" t="str">
        <f>VLOOKUP(Table41[[#This Row],[Asset Name]],Table19[#All],3,FALSE)</f>
        <v>Semiconductor</v>
      </c>
      <c r="X926" t="str">
        <f>VLOOKUP(Table41[[#This Row],[Asset Name]],Table19[#All],4,FALSE)</f>
        <v>Auto</v>
      </c>
      <c r="Y926" s="147" t="str">
        <f ca="1">IF(Table41[[#This Row],[Current Price]]&lt;Table41[[#This Row],[Put wall]]*1.02,"✅",IF(Table41[[#This Row],[Current Price]]&gt;Table41[[#This Row],[Call wall]]*0.98,"🔻",""))</f>
        <v>✅</v>
      </c>
      <c r="Z926" s="203">
        <f ca="1">Table41[[#This Row],[Current Price]]/Table41[[#This Row],[Put wall]]-1</f>
        <v>-9.0285714285714302E-2</v>
      </c>
      <c r="AA926" s="206">
        <f ca="1">Table41[[#This Row],[Current Price]]/Table41[[#This Row],[Call wall]]-1</f>
        <v>-0.20399999999999996</v>
      </c>
    </row>
    <row r="927" spans="1:32" hidden="1">
      <c r="A927" s="194" t="e" vm="85">
        <v>#VALUE!</v>
      </c>
      <c r="B927" s="189" t="str" cm="1">
        <f t="array" aca="1" ref="B927" ca="1">_FV(Table41[[#This Row],[Asset Name]],"Ticker symbol",TRUE)</f>
        <v>HOOD</v>
      </c>
      <c r="C927" s="4">
        <f>SUMIF(Table20[Asset],Table41[[#This Row],[Asset Name]],Table20[realized_profit])</f>
        <v>-371</v>
      </c>
      <c r="D927" s="4">
        <f>SUMIFS(Table20[realized_profit],Table20[Asset],Table41[[#This Row],[Asset Name]],Table20[date_purchased],"&gt;"&amp;$C$872,Table20[date_purchased],"&lt;"&amp;$E$872)</f>
        <v>0</v>
      </c>
      <c r="E927" s="4">
        <f>SUMIFS(Table20[realized_profit],Table20[Asset],Table41[[#This Row],[Asset Name]],Table20[Bullish or Bearish],"Bullish",Table20[date_purchased],"&gt;"&amp;$C$872,Table20[date_purchased],"&lt;"&amp;$E$872)</f>
        <v>0</v>
      </c>
      <c r="F927" s="4">
        <f>SUMIFS(Table20[realized_profit],Table20[Asset],Table41[[#This Row],[Asset Name]],Table20[Bullish or Bearish],"Bearish",Table20[date_purchased],"&gt;"&amp;$C$872,Table20[date_purchased],"&lt;"&amp;$E$872)</f>
        <v>0</v>
      </c>
      <c r="G927" s="4">
        <f>SUMIFS(Table20[realized_profit],Table20[Asset],Table41[[#This Row],[Asset Name]],Table20[Strategy],"call",Table20[date_purchased],"&gt;"&amp;$C$872,Table20[date_purchased],"&lt;"&amp;$E$872)</f>
        <v>0</v>
      </c>
      <c r="H927" s="4">
        <f>SUMIFS(Table20[realized_profit],Table20[Asset],Table41[[#This Row],[Asset Name]],Table20[Strategy],"put",Table20[date_purchased],"&gt;"&amp;$C$872,Table20[date_purchased],"&lt;"&amp;$E$872)</f>
        <v>0</v>
      </c>
      <c r="I927" s="4">
        <f>SUMIFS(Table20[realized_profit],Table20[Asset],Table41[[#This Row],[Asset Name]],Table20[Strategy],"calendar spread",Table20[date_purchased],"&gt;"&amp;$C$872,Table20[date_purchased],"&lt;"&amp;$E$872)</f>
        <v>0</v>
      </c>
      <c r="J927" s="4">
        <f>SUMIFS(Table20[realized_profit],Table20[Asset],Table41[[#This Row],[Asset Name]],Table20[Strategy],"put calendar spread",Table20[date_purchased],"&gt;"&amp;$C$872,Table20[date_purchased],"&lt;"&amp;$E$872)</f>
        <v>0</v>
      </c>
      <c r="K927" s="4">
        <f>SUMIFS(Table20[realized_profit],Table20[Asset],Table41[[#This Row],[Asset Name]],Table20[Strategy],"put spread",Table20[date_purchased],"&gt;"&amp;$C$872,Table20[date_purchased],"&lt;"&amp;$E$872)</f>
        <v>0</v>
      </c>
      <c r="L927" s="4">
        <f>SUMIFS(Table20[Invested],Table20[Asset],Table41[[#This Row],[Asset Name]],Table20[date_purchased],"&gt;"&amp;$C$872,Table20[date_purchased],"&lt;"&amp;$E$872)</f>
        <v>0</v>
      </c>
      <c r="M927" s="14">
        <f>IFERROR(Table41[[#This Row],[Within timeline]]/Table41[[#This Row],[Invested]],0)</f>
        <v>0</v>
      </c>
      <c r="N927" s="187">
        <v>23</v>
      </c>
      <c r="O927" s="179" cm="1">
        <f t="array" aca="1" ref="O927" ca="1">_FV(Table41[[#This Row],[Asset Name]],"Price")</f>
        <v>73.7517</v>
      </c>
      <c r="P927" s="188">
        <v>25</v>
      </c>
      <c r="Q927" t="b">
        <f ca="1">IF(Table41[[#This Row],[Current Price]]&lt;Table41[[#This Row],[Put wall]]*1.02,TRUE,FALSE)</f>
        <v>0</v>
      </c>
      <c r="R927" t="b">
        <f ca="1">IF(Table41[[#This Row],[Current Price]]&gt;Table41[[#This Row],[Call wall]]*0.98,TRUE,FALSE)</f>
        <v>1</v>
      </c>
      <c r="S927" s="4">
        <f ca="1">SUMIF(Table20[Asset],Table41[[#This Row],[Asset Name]],Table20[delta_exposure])</f>
        <v>0</v>
      </c>
      <c r="T927" s="36" t="str" cm="1">
        <f t="array" aca="1" ref="T927" ca="1">_FV(Table41[[#This Row],[Asset Name]],"Instrument type",TRUE)</f>
        <v>Stock</v>
      </c>
      <c r="U927" s="183">
        <v>45587</v>
      </c>
      <c r="V927" t="str">
        <f>VLOOKUP(Table41[[#This Row],[Asset Name]],Table19[#All],3,FALSE)</f>
        <v>Financials</v>
      </c>
      <c r="X927" t="str">
        <f>VLOOKUP(Table41[[#This Row],[Asset Name]],Table19[#All],4,FALSE)</f>
        <v>Crypto</v>
      </c>
      <c r="Y927" s="147" t="str">
        <f ca="1">IF(Table41[[#This Row],[Current Price]]&lt;Table41[[#This Row],[Put wall]]*1.02,"✅",IF(Table41[[#This Row],[Current Price]]&gt;Table41[[#This Row],[Call wall]]*0.98,"🔻",""))</f>
        <v>🔻</v>
      </c>
      <c r="Z927" s="203">
        <f ca="1">Table41[[#This Row],[Current Price]]/Table41[[#This Row],[Put wall]]-1</f>
        <v>2.2065956521739132</v>
      </c>
      <c r="AA927" s="206">
        <f ca="1">Table41[[#This Row],[Current Price]]/Table41[[#This Row],[Call wall]]-1</f>
        <v>1.9500679999999999</v>
      </c>
    </row>
    <row r="928" spans="1:32" hidden="1">
      <c r="A928" s="194" t="e" vm="33">
        <v>#VALUE!</v>
      </c>
      <c r="B928" s="189" t="str" cm="1">
        <f t="array" aca="1" ref="B928" ca="1">_FV(Table41[[#This Row],[Asset Name]],"Ticker symbol",TRUE)</f>
        <v>CRDO</v>
      </c>
      <c r="C928" s="4">
        <f>SUMIF(Table20[Asset],Table41[[#This Row],[Asset Name]],Table20[realized_profit])</f>
        <v>306.99999999999994</v>
      </c>
      <c r="D928" s="4">
        <f>SUMIFS(Table20[realized_profit],Table20[Asset],Table41[[#This Row],[Asset Name]],Table20[date_purchased],"&gt;"&amp;$C$872,Table20[date_purchased],"&lt;"&amp;$E$872)</f>
        <v>0</v>
      </c>
      <c r="E928" s="4">
        <f>SUMIFS(Table20[realized_profit],Table20[Asset],Table41[[#This Row],[Asset Name]],Table20[Bullish or Bearish],"Bullish",Table20[date_purchased],"&gt;"&amp;$C$872,Table20[date_purchased],"&lt;"&amp;$E$872)</f>
        <v>0</v>
      </c>
      <c r="F928" s="4">
        <f>SUMIFS(Table20[realized_profit],Table20[Asset],Table41[[#This Row],[Asset Name]],Table20[Bullish or Bearish],"Bearish",Table20[date_purchased],"&gt;"&amp;$C$872,Table20[date_purchased],"&lt;"&amp;$E$872)</f>
        <v>0</v>
      </c>
      <c r="G928" s="4">
        <f>SUMIFS(Table20[realized_profit],Table20[Asset],Table41[[#This Row],[Asset Name]],Table20[Strategy],"call",Table20[date_purchased],"&gt;"&amp;$C$872,Table20[date_purchased],"&lt;"&amp;$E$872)</f>
        <v>0</v>
      </c>
      <c r="H928" s="4">
        <f>SUMIFS(Table20[realized_profit],Table20[Asset],Table41[[#This Row],[Asset Name]],Table20[Strategy],"put",Table20[date_purchased],"&gt;"&amp;$C$872,Table20[date_purchased],"&lt;"&amp;$E$872)</f>
        <v>0</v>
      </c>
      <c r="I928" s="4">
        <f>SUMIFS(Table20[realized_profit],Table20[Asset],Table41[[#This Row],[Asset Name]],Table20[Strategy],"calendar spread",Table20[date_purchased],"&gt;"&amp;$C$872,Table20[date_purchased],"&lt;"&amp;$E$872)</f>
        <v>0</v>
      </c>
      <c r="J928" s="4">
        <f>SUMIFS(Table20[realized_profit],Table20[Asset],Table41[[#This Row],[Asset Name]],Table20[Strategy],"put calendar spread",Table20[date_purchased],"&gt;"&amp;$C$872,Table20[date_purchased],"&lt;"&amp;$E$872)</f>
        <v>0</v>
      </c>
      <c r="K928" s="4">
        <f>SUMIFS(Table20[realized_profit],Table20[Asset],Table41[[#This Row],[Asset Name]],Table20[Strategy],"put spread",Table20[date_purchased],"&gt;"&amp;$C$872,Table20[date_purchased],"&lt;"&amp;$E$872)</f>
        <v>0</v>
      </c>
      <c r="L928" s="4">
        <f>SUMIFS(Table20[Invested],Table20[Asset],Table41[[#This Row],[Asset Name]],Table20[date_purchased],"&gt;"&amp;$C$872,Table20[date_purchased],"&lt;"&amp;$E$872)</f>
        <v>0</v>
      </c>
      <c r="M928" s="14">
        <f>IFERROR(Table41[[#This Row],[Within timeline]]/Table41[[#This Row],[Invested]],0)</f>
        <v>0</v>
      </c>
      <c r="N928" s="187">
        <v>25</v>
      </c>
      <c r="O928" s="179" cm="1">
        <f t="array" aca="1" ref="O928" ca="1">_FV(Table41[[#This Row],[Asset Name]],"Price")</f>
        <v>103.09</v>
      </c>
      <c r="P928" s="188">
        <v>40</v>
      </c>
      <c r="Q928" t="b">
        <f ca="1">IF(Table41[[#This Row],[Current Price]]&lt;Table41[[#This Row],[Put wall]]*1.02,TRUE,FALSE)</f>
        <v>0</v>
      </c>
      <c r="R928" t="b">
        <f ca="1">IF(Table41[[#This Row],[Current Price]]&gt;Table41[[#This Row],[Call wall]]*0.98,TRUE,FALSE)</f>
        <v>1</v>
      </c>
      <c r="S928" s="4">
        <f ca="1">SUMIF(Table20[Asset],Table41[[#This Row],[Asset Name]],Table20[delta_exposure])</f>
        <v>0</v>
      </c>
      <c r="T928" s="36" t="str" cm="1">
        <f t="array" aca="1" ref="T928" ca="1">_FV(Table41[[#This Row],[Asset Name]],"Instrument type",TRUE)</f>
        <v>Stock</v>
      </c>
      <c r="U928" s="183">
        <v>45623</v>
      </c>
      <c r="V928" t="str">
        <f>VLOOKUP(Table41[[#This Row],[Asset Name]],Table19[#All],3,FALSE)</f>
        <v>AI</v>
      </c>
      <c r="X928" t="str">
        <f>VLOOKUP(Table41[[#This Row],[Asset Name]],Table19[#All],4,FALSE)</f>
        <v>Semiconductor</v>
      </c>
      <c r="Y928" s="147" t="str">
        <f ca="1">IF(Table41[[#This Row],[Current Price]]&lt;Table41[[#This Row],[Put wall]]*1.02,"✅",IF(Table41[[#This Row],[Current Price]]&gt;Table41[[#This Row],[Call wall]]*0.98,"🔻",""))</f>
        <v>🔻</v>
      </c>
      <c r="Z928" s="203">
        <f ca="1">Table41[[#This Row],[Current Price]]/Table41[[#This Row],[Put wall]]-1</f>
        <v>3.1235999999999997</v>
      </c>
      <c r="AA928" s="206">
        <f ca="1">Table41[[#This Row],[Current Price]]/Table41[[#This Row],[Call wall]]-1</f>
        <v>1.5772500000000003</v>
      </c>
    </row>
    <row r="929" spans="1:27" hidden="1">
      <c r="A929" s="194" t="e" vm="111">
        <v>#VALUE!</v>
      </c>
      <c r="B929" s="189" t="str" cm="1">
        <f t="array" aca="1" ref="B929" ca="1">_FV(Table41[[#This Row],[Asset Name]],"Ticker symbol",TRUE)</f>
        <v>SMH</v>
      </c>
      <c r="C929" s="4">
        <f>SUMIF(Table20[Asset],Table41[[#This Row],[Asset Name]],Table20[realized_profit])</f>
        <v>259.00000000000006</v>
      </c>
      <c r="D929" s="4">
        <f>SUMIFS(Table20[realized_profit],Table20[Asset],Table41[[#This Row],[Asset Name]],Table20[date_purchased],"&gt;"&amp;$C$872,Table20[date_purchased],"&lt;"&amp;$E$872)</f>
        <v>0</v>
      </c>
      <c r="E929" s="4">
        <f>SUMIFS(Table20[realized_profit],Table20[Asset],Table41[[#This Row],[Asset Name]],Table20[Bullish or Bearish],"Bullish",Table20[date_purchased],"&gt;"&amp;$C$872,Table20[date_purchased],"&lt;"&amp;$E$872)</f>
        <v>0</v>
      </c>
      <c r="F929" s="4">
        <f>SUMIFS(Table20[realized_profit],Table20[Asset],Table41[[#This Row],[Asset Name]],Table20[Bullish or Bearish],"Bearish",Table20[date_purchased],"&gt;"&amp;$C$872,Table20[date_purchased],"&lt;"&amp;$E$872)</f>
        <v>0</v>
      </c>
      <c r="G929" s="4">
        <f>SUMIFS(Table20[realized_profit],Table20[Asset],Table41[[#This Row],[Asset Name]],Table20[Strategy],"call",Table20[date_purchased],"&gt;"&amp;$C$872,Table20[date_purchased],"&lt;"&amp;$E$872)</f>
        <v>0</v>
      </c>
      <c r="H929" s="4">
        <f>SUMIFS(Table20[realized_profit],Table20[Asset],Table41[[#This Row],[Asset Name]],Table20[Strategy],"put",Table20[date_purchased],"&gt;"&amp;$C$872,Table20[date_purchased],"&lt;"&amp;$E$872)</f>
        <v>0</v>
      </c>
      <c r="I929" s="4">
        <f>SUMIFS(Table20[realized_profit],Table20[Asset],Table41[[#This Row],[Asset Name]],Table20[Strategy],"calendar spread",Table20[date_purchased],"&gt;"&amp;$C$872,Table20[date_purchased],"&lt;"&amp;$E$872)</f>
        <v>0</v>
      </c>
      <c r="J929" s="4">
        <f>SUMIFS(Table20[realized_profit],Table20[Asset],Table41[[#This Row],[Asset Name]],Table20[Strategy],"put calendar spread",Table20[date_purchased],"&gt;"&amp;$C$872,Table20[date_purchased],"&lt;"&amp;$E$872)</f>
        <v>0</v>
      </c>
      <c r="K929" s="4">
        <f>SUMIFS(Table20[realized_profit],Table20[Asset],Table41[[#This Row],[Asset Name]],Table20[Strategy],"put spread",Table20[date_purchased],"&gt;"&amp;$C$872,Table20[date_purchased],"&lt;"&amp;$E$872)</f>
        <v>0</v>
      </c>
      <c r="L929" s="4">
        <f>SUMIFS(Table20[Invested],Table20[Asset],Table41[[#This Row],[Asset Name]],Table20[date_purchased],"&gt;"&amp;$C$872,Table20[date_purchased],"&lt;"&amp;$E$872)</f>
        <v>0</v>
      </c>
      <c r="M929" s="14">
        <f>IFERROR(Table41[[#This Row],[Within timeline]]/Table41[[#This Row],[Invested]],0)</f>
        <v>0</v>
      </c>
      <c r="N929" s="187">
        <v>240</v>
      </c>
      <c r="O929" s="179" cm="1">
        <f t="array" aca="1" ref="O929" ca="1">_FV(Table41[[#This Row],[Asset Name]],"Price")</f>
        <v>401.41500000000002</v>
      </c>
      <c r="P929" s="188">
        <v>260</v>
      </c>
      <c r="Q929" t="b">
        <f ca="1">IF(Table41[[#This Row],[Current Price]]&lt;Table41[[#This Row],[Put wall]]*1.02,TRUE,FALSE)</f>
        <v>0</v>
      </c>
      <c r="R929" t="b">
        <f ca="1">IF(Table41[[#This Row],[Current Price]]&gt;Table41[[#This Row],[Call wall]]*0.98,TRUE,FALSE)</f>
        <v>1</v>
      </c>
      <c r="S929" s="4">
        <f ca="1">SUMIF(Table20[Asset],Table41[[#This Row],[Asset Name]],Table20[delta_exposure])</f>
        <v>0</v>
      </c>
      <c r="T929" s="36" t="str" cm="1">
        <f t="array" aca="1" ref="T929" ca="1">_FV(Table41[[#This Row],[Asset Name]],"Instrument type",TRUE)</f>
        <v>ETF</v>
      </c>
      <c r="U929" s="183"/>
      <c r="V929" t="str">
        <f>VLOOKUP(Table41[[#This Row],[Asset Name]],Table19[#All],3,FALSE)</f>
        <v>AI</v>
      </c>
      <c r="X929" t="str">
        <f>VLOOKUP(Table41[[#This Row],[Asset Name]],Table19[#All],4,FALSE)</f>
        <v>Semiconductor</v>
      </c>
      <c r="Y929" s="147" t="str">
        <f ca="1">IF(Table41[[#This Row],[Current Price]]&lt;Table41[[#This Row],[Put wall]]*1.02,"✅",IF(Table41[[#This Row],[Current Price]]&gt;Table41[[#This Row],[Call wall]]*0.98,"🔻",""))</f>
        <v>🔻</v>
      </c>
      <c r="Z929" s="203">
        <f ca="1">Table41[[#This Row],[Current Price]]/Table41[[#This Row],[Put wall]]-1</f>
        <v>0.67256250000000017</v>
      </c>
      <c r="AA929" s="206">
        <f ca="1">Table41[[#This Row],[Current Price]]/Table41[[#This Row],[Call wall]]-1</f>
        <v>0.54390384615384613</v>
      </c>
    </row>
    <row r="930" spans="1:27" hidden="1">
      <c r="A930" s="194" t="e" vm="112">
        <v>#VALUE!</v>
      </c>
      <c r="B930" s="189" t="str" cm="1">
        <f t="array" aca="1" ref="B930" ca="1">_FV(Table41[[#This Row],[Asset Name]],"Ticker symbol",TRUE)</f>
        <v>AMLP</v>
      </c>
      <c r="C930" s="4">
        <f>SUMIF(Table20[Asset],Table41[[#This Row],[Asset Name]],Table20[realized_profit])</f>
        <v>0</v>
      </c>
      <c r="D930" s="4">
        <f>SUMIFS(Table20[realized_profit],Table20[Asset],Table41[[#This Row],[Asset Name]],Table20[date_purchased],"&gt;"&amp;$C$872,Table20[date_purchased],"&lt;"&amp;$E$872)</f>
        <v>0</v>
      </c>
      <c r="E930" s="4">
        <f>SUMIFS(Table20[realized_profit],Table20[Asset],Table41[[#This Row],[Asset Name]],Table20[Bullish or Bearish],"Bullish",Table20[date_purchased],"&gt;"&amp;$C$872,Table20[date_purchased],"&lt;"&amp;$E$872)</f>
        <v>0</v>
      </c>
      <c r="F930" s="4">
        <f>SUMIFS(Table20[realized_profit],Table20[Asset],Table41[[#This Row],[Asset Name]],Table20[Bullish or Bearish],"Bearish",Table20[date_purchased],"&gt;"&amp;$C$872,Table20[date_purchased],"&lt;"&amp;$E$872)</f>
        <v>0</v>
      </c>
      <c r="G930" s="4">
        <f>SUMIFS(Table20[realized_profit],Table20[Asset],Table41[[#This Row],[Asset Name]],Table20[Strategy],"call",Table20[date_purchased],"&gt;"&amp;$C$872,Table20[date_purchased],"&lt;"&amp;$E$872)</f>
        <v>0</v>
      </c>
      <c r="H930" s="4">
        <f>SUMIFS(Table20[realized_profit],Table20[Asset],Table41[[#This Row],[Asset Name]],Table20[Strategy],"put",Table20[date_purchased],"&gt;"&amp;$C$872,Table20[date_purchased],"&lt;"&amp;$E$872)</f>
        <v>0</v>
      </c>
      <c r="I930" s="4">
        <f>SUMIFS(Table20[realized_profit],Table20[Asset],Table41[[#This Row],[Asset Name]],Table20[Strategy],"calendar spread",Table20[date_purchased],"&gt;"&amp;$C$872,Table20[date_purchased],"&lt;"&amp;$E$872)</f>
        <v>0</v>
      </c>
      <c r="J930" s="4">
        <f>SUMIFS(Table20[realized_profit],Table20[Asset],Table41[[#This Row],[Asset Name]],Table20[Strategy],"put calendar spread",Table20[date_purchased],"&gt;"&amp;$C$872,Table20[date_purchased],"&lt;"&amp;$E$872)</f>
        <v>0</v>
      </c>
      <c r="K930" s="4">
        <f>SUMIFS(Table20[realized_profit],Table20[Asset],Table41[[#This Row],[Asset Name]],Table20[Strategy],"put spread",Table20[date_purchased],"&gt;"&amp;$C$872,Table20[date_purchased],"&lt;"&amp;$E$872)</f>
        <v>0</v>
      </c>
      <c r="L930" s="4">
        <f>SUMIFS(Table20[Invested],Table20[Asset],Table41[[#This Row],[Asset Name]],Table20[date_purchased],"&gt;"&amp;$C$872,Table20[date_purchased],"&lt;"&amp;$E$872)</f>
        <v>0</v>
      </c>
      <c r="M930" s="14">
        <f>IFERROR(Table41[[#This Row],[Within timeline]]/Table41[[#This Row],[Invested]],0)</f>
        <v>0</v>
      </c>
      <c r="N930" s="187">
        <v>43</v>
      </c>
      <c r="O930" s="179" cm="1">
        <f t="array" aca="1" ref="O930" ca="1">_FV(Table41[[#This Row],[Asset Name]],"Price")</f>
        <v>53.47</v>
      </c>
      <c r="P930" s="188">
        <v>47</v>
      </c>
      <c r="Q930" t="b">
        <f ca="1">IF(Table41[[#This Row],[Current Price]]&lt;Table41[[#This Row],[Put wall]]*1.02,TRUE,FALSE)</f>
        <v>0</v>
      </c>
      <c r="R930" t="b">
        <f ca="1">IF(Table41[[#This Row],[Current Price]]&gt;Table41[[#This Row],[Call wall]]*0.98,TRUE,FALSE)</f>
        <v>1</v>
      </c>
      <c r="S930" s="4">
        <f>SUMIF(Table20[Asset],Table41[[#This Row],[Asset Name]],Table20[delta_exposure])</f>
        <v>0</v>
      </c>
      <c r="T930" s="36" t="str" cm="1">
        <f t="array" aca="1" ref="T930" ca="1">_FV(Table41[[#This Row],[Asset Name]],"Instrument type",TRUE)</f>
        <v>ETF</v>
      </c>
      <c r="U930" s="183"/>
      <c r="V930" t="str">
        <f>VLOOKUP(Table41[[#This Row],[Asset Name]],Table19[#All],3,FALSE)</f>
        <v>Energy</v>
      </c>
      <c r="X930" t="str">
        <f>VLOOKUP(Table41[[#This Row],[Asset Name]],Table19[#All],4,FALSE)</f>
        <v>Energy</v>
      </c>
      <c r="Y930" s="147" t="str">
        <f ca="1">IF(Table41[[#This Row],[Current Price]]&lt;Table41[[#This Row],[Put wall]]*1.02,"✅",IF(Table41[[#This Row],[Current Price]]&gt;Table41[[#This Row],[Call wall]]*0.98,"🔻",""))</f>
        <v>🔻</v>
      </c>
      <c r="Z930" s="203">
        <f ca="1">Table41[[#This Row],[Current Price]]/Table41[[#This Row],[Put wall]]-1</f>
        <v>0.24348837209302321</v>
      </c>
      <c r="AA930" s="206">
        <f ca="1">Table41[[#This Row],[Current Price]]/Table41[[#This Row],[Call wall]]-1</f>
        <v>0.13765957446808508</v>
      </c>
    </row>
    <row r="931" spans="1:27" hidden="1">
      <c r="A931" s="194" t="e" vm="113">
        <v>#VALUE!</v>
      </c>
      <c r="B931" s="13" t="str" cm="1">
        <f t="array" aca="1" ref="B931" ca="1">_FV(Table41[[#This Row],[Asset Name]],"Ticker symbol",TRUE)</f>
        <v>XME</v>
      </c>
      <c r="C931" s="4">
        <f>SUMIF(Table20[Asset],Table41[[#This Row],[Asset Name]],Table20[realized_profit])</f>
        <v>0</v>
      </c>
      <c r="D931" s="4">
        <f>SUMIFS(Table20[realized_profit],Table20[Asset],Table41[[#This Row],[Asset Name]],Table20[date_purchased],"&gt;"&amp;$C$872,Table20[date_purchased],"&lt;"&amp;$E$872)</f>
        <v>0</v>
      </c>
      <c r="E931" s="4">
        <f>SUMIFS(Table20[realized_profit],Table20[Asset],Table41[[#This Row],[Asset Name]],Table20[Bullish or Bearish],"Bullish",Table20[date_purchased],"&gt;"&amp;$C$872,Table20[date_purchased],"&lt;"&amp;$E$872)</f>
        <v>0</v>
      </c>
      <c r="F931" s="4">
        <f>SUMIFS(Table20[realized_profit],Table20[Asset],Table41[[#This Row],[Asset Name]],Table20[Bullish or Bearish],"Bearish",Table20[date_purchased],"&gt;"&amp;$C$872,Table20[date_purchased],"&lt;"&amp;$E$872)</f>
        <v>0</v>
      </c>
      <c r="G931" s="4">
        <f>SUMIFS(Table20[realized_profit],Table20[Asset],Table41[[#This Row],[Asset Name]],Table20[Strategy],"call",Table20[date_purchased],"&gt;"&amp;$C$872,Table20[date_purchased],"&lt;"&amp;$E$872)</f>
        <v>0</v>
      </c>
      <c r="H931" s="4">
        <f>SUMIFS(Table20[realized_profit],Table20[Asset],Table41[[#This Row],[Asset Name]],Table20[Strategy],"put",Table20[date_purchased],"&gt;"&amp;$C$872,Table20[date_purchased],"&lt;"&amp;$E$872)</f>
        <v>0</v>
      </c>
      <c r="I931" s="4">
        <f>SUMIFS(Table20[realized_profit],Table20[Asset],Table41[[#This Row],[Asset Name]],Table20[Strategy],"calendar spread",Table20[date_purchased],"&gt;"&amp;$C$872,Table20[date_purchased],"&lt;"&amp;$E$872)</f>
        <v>0</v>
      </c>
      <c r="J931" s="4">
        <f>SUMIFS(Table20[realized_profit],Table20[Asset],Table41[[#This Row],[Asset Name]],Table20[Strategy],"put calendar spread",Table20[date_purchased],"&gt;"&amp;$C$872,Table20[date_purchased],"&lt;"&amp;$E$872)</f>
        <v>0</v>
      </c>
      <c r="K931" s="4">
        <f>SUMIFS(Table20[realized_profit],Table20[Asset],Table41[[#This Row],[Asset Name]],Table20[Strategy],"put spread",Table20[date_purchased],"&gt;"&amp;$C$872,Table20[date_purchased],"&lt;"&amp;$E$872)</f>
        <v>0</v>
      </c>
      <c r="L931" s="4">
        <f>SUMIFS(Table20[Invested],Table20[Asset],Table41[[#This Row],[Asset Name]],Table20[date_purchased],"&gt;"&amp;$C$872,Table20[date_purchased],"&lt;"&amp;$E$872)</f>
        <v>0</v>
      </c>
      <c r="M931" s="14">
        <f>IFERROR(Table41[[#This Row],[Within timeline]]/Table41[[#This Row],[Invested]],0)</f>
        <v>0</v>
      </c>
      <c r="N931" s="187">
        <v>54</v>
      </c>
      <c r="O931" s="179" cm="1">
        <f t="array" aca="1" ref="O931" ca="1">_FV(Table41[[#This Row],[Asset Name]],"Price")</f>
        <v>108.85</v>
      </c>
      <c r="P931" s="188">
        <v>65</v>
      </c>
      <c r="Q931" t="b">
        <f ca="1">IF(Table41[[#This Row],[Current Price]]&lt;Table41[[#This Row],[Put wall]]*1.02,TRUE,FALSE)</f>
        <v>0</v>
      </c>
      <c r="R931" t="b">
        <f ca="1">IF(Table41[[#This Row],[Current Price]]&gt;Table41[[#This Row],[Call wall]]*0.98,TRUE,FALSE)</f>
        <v>1</v>
      </c>
      <c r="S931" s="4">
        <f>SUMIF(Table20[Asset],Table41[[#This Row],[Asset Name]],Table20[delta_exposure])</f>
        <v>0</v>
      </c>
      <c r="T931" s="36" t="str" cm="1">
        <f t="array" aca="1" ref="T931" ca="1">_FV(Table41[[#This Row],[Asset Name]],"Instrument type",TRUE)</f>
        <v>ETF</v>
      </c>
      <c r="U931" s="183"/>
      <c r="V931" t="str">
        <f>VLOOKUP(Table41[[#This Row],[Asset Name]],Table19[#All],3,FALSE)</f>
        <v>Gold and Silver</v>
      </c>
      <c r="X931" t="str">
        <f>VLOOKUP(Table41[[#This Row],[Asset Name]],Table19[#All],4,FALSE)</f>
        <v>Commodity</v>
      </c>
      <c r="Y931" s="189" t="str">
        <f ca="1">IF(Table41[[#This Row],[Current Price]]&lt;Table41[[#This Row],[Put wall]]*1.02,"✅",IF(Table41[[#This Row],[Current Price]]&gt;Table41[[#This Row],[Call wall]]*0.98,"🔻",""))</f>
        <v>🔻</v>
      </c>
      <c r="Z931" s="204"/>
      <c r="AA931" s="207">
        <f ca="1">Table41[[#This Row],[Current Price]]/Table41[[#This Row],[Call wall]]-1</f>
        <v>0.67461538461538462</v>
      </c>
    </row>
    <row r="932" spans="1:27" hidden="1">
      <c r="A932" s="194" t="e" vm="114">
        <v>#VALUE!</v>
      </c>
      <c r="B932" s="220" t="str" cm="1">
        <f t="array" aca="1" ref="B932" ca="1">_FV(Table41[[#This Row],[Asset Name]],"Ticker symbol",TRUE)</f>
        <v>LRCX</v>
      </c>
      <c r="C932" s="221">
        <f>SUMIF(Table20[Asset],Table41[[#This Row],[Asset Name]],Table20[realized_profit])</f>
        <v>0</v>
      </c>
      <c r="D932" s="221">
        <f>SUMIFS(Table20[realized_profit],Table20[Asset],Table41[[#This Row],[Asset Name]],Table20[date_purchased],"&gt;"&amp;$C$872,Table20[date_purchased],"&lt;"&amp;$E$872)</f>
        <v>0</v>
      </c>
      <c r="E932" s="221">
        <f>SUMIFS(Table20[realized_profit],Table20[Asset],Table41[[#This Row],[Asset Name]],Table20[Bullish or Bearish],"Bullish",Table20[date_purchased],"&gt;"&amp;$C$872,Table20[date_purchased],"&lt;"&amp;$E$872)</f>
        <v>0</v>
      </c>
      <c r="F932" s="221">
        <f>SUMIFS(Table20[realized_profit],Table20[Asset],Table41[[#This Row],[Asset Name]],Table20[Bullish or Bearish],"Bearish",Table20[date_purchased],"&gt;"&amp;$C$872,Table20[date_purchased],"&lt;"&amp;$E$872)</f>
        <v>0</v>
      </c>
      <c r="G932" s="221">
        <f>SUMIFS(Table20[realized_profit],Table20[Asset],Table41[[#This Row],[Asset Name]],Table20[Strategy],"call",Table20[date_purchased],"&gt;"&amp;$C$872,Table20[date_purchased],"&lt;"&amp;$E$872)</f>
        <v>0</v>
      </c>
      <c r="H932" s="221">
        <f>SUMIFS(Table20[realized_profit],Table20[Asset],Table41[[#This Row],[Asset Name]],Table20[Strategy],"put",Table20[date_purchased],"&gt;"&amp;$C$872,Table20[date_purchased],"&lt;"&amp;$E$872)</f>
        <v>0</v>
      </c>
      <c r="I932" s="221">
        <f>SUMIFS(Table20[realized_profit],Table20[Asset],Table41[[#This Row],[Asset Name]],Table20[Strategy],"calendar spread",Table20[date_purchased],"&gt;"&amp;$C$872,Table20[date_purchased],"&lt;"&amp;$E$872)</f>
        <v>0</v>
      </c>
      <c r="J932" s="4">
        <f>SUMIFS(Table20[realized_profit],Table20[Asset],Table41[[#This Row],[Asset Name]],Table20[Strategy],"put calendar spread",Table20[date_purchased],"&gt;"&amp;$C$872,Table20[date_purchased],"&lt;"&amp;$E$872)</f>
        <v>0</v>
      </c>
      <c r="K932" s="4">
        <f>SUMIFS(Table20[realized_profit],Table20[Asset],Table41[[#This Row],[Asset Name]],Table20[Strategy],"put spread",Table20[date_purchased],"&gt;"&amp;$C$872,Table20[date_purchased],"&lt;"&amp;$E$872)</f>
        <v>0</v>
      </c>
      <c r="L932" s="221">
        <f>SUMIFS(Table20[Invested],Table20[Asset],Table41[[#This Row],[Asset Name]],Table20[date_purchased],"&gt;"&amp;$C$872,Table20[date_purchased],"&lt;"&amp;$E$872)</f>
        <v>0</v>
      </c>
      <c r="M932" s="222">
        <f>IFERROR(Table41[[#This Row],[Within timeline]]/Table41[[#This Row],[Invested]],0)</f>
        <v>0</v>
      </c>
      <c r="N932" s="223">
        <v>70</v>
      </c>
      <c r="O932" s="179" cm="1">
        <f t="array" aca="1" ref="O932" ca="1">_FV(Table41[[#This Row],[Asset Name]],"Price")</f>
        <v>235.46</v>
      </c>
      <c r="P932" s="225">
        <v>77</v>
      </c>
      <c r="Q932" s="219" t="b">
        <f ca="1">IF(Table41[[#This Row],[Current Price]]&lt;Table41[[#This Row],[Put wall]]*1.02,TRUE,FALSE)</f>
        <v>0</v>
      </c>
      <c r="R932" s="219" t="b">
        <f ca="1">IF(Table41[[#This Row],[Current Price]]&gt;Table41[[#This Row],[Call wall]]*0.98,TRUE,FALSE)</f>
        <v>1</v>
      </c>
      <c r="S932" s="221">
        <f>SUMIF(Table20[Asset],Table41[[#This Row],[Asset Name]],Table20[delta_exposure])</f>
        <v>0</v>
      </c>
      <c r="T932" s="36" t="str" cm="1">
        <f t="array" aca="1" ref="T932" ca="1">_FV(Table41[[#This Row],[Asset Name]],"Instrument type",TRUE)</f>
        <v>Stock</v>
      </c>
      <c r="U932" s="227">
        <v>45679</v>
      </c>
      <c r="V932" s="219" t="str">
        <f>VLOOKUP(Table41[[#This Row],[Asset Name]],Table19[#All],3,FALSE)</f>
        <v>Semiconductor</v>
      </c>
      <c r="X932" s="219" t="str">
        <f>VLOOKUP(Table41[[#This Row],[Asset Name]],Table19[#All],4,FALSE)</f>
        <v>Semiconductor</v>
      </c>
      <c r="Y932" s="189" t="str">
        <f ca="1">IF(Table41[[#This Row],[Current Price]]&lt;Table41[[#This Row],[Put wall]]*1.02,"✅",IF(Table41[[#This Row],[Current Price]]&gt;Table41[[#This Row],[Call wall]]*0.98,"🔻",""))</f>
        <v>🔻</v>
      </c>
      <c r="Z932" s="204"/>
      <c r="AA932" s="207">
        <f ca="1">Table41[[#This Row],[Current Price]]/Table41[[#This Row],[Call wall]]-1</f>
        <v>2.0579220779220782</v>
      </c>
    </row>
    <row r="933" spans="1:27" hidden="1">
      <c r="A933" s="194" t="e" vm="115">
        <v>#VALUE!</v>
      </c>
      <c r="B933" s="13" t="str" cm="1">
        <f t="array" aca="1" ref="B933" ca="1">_FV(Table41[[#This Row],[Asset Name]],"Ticker symbol",TRUE)</f>
        <v>QQQ</v>
      </c>
      <c r="C933" s="4">
        <f>SUMIF(Table20[Asset],Table41[[#This Row],[Asset Name]],Table20[realized_profit])</f>
        <v>-1212</v>
      </c>
      <c r="D933" s="4">
        <f>SUMIFS(Table20[realized_profit],Table20[Asset],Table41[[#This Row],[Asset Name]],Table20[date_purchased],"&gt;"&amp;$C$872,Table20[date_purchased],"&lt;"&amp;$E$872)</f>
        <v>0</v>
      </c>
      <c r="E933" s="4">
        <f>SUMIFS(Table20[realized_profit],Table20[Asset],Table41[[#This Row],[Asset Name]],Table20[Bullish or Bearish],"Bullish",Table20[date_purchased],"&gt;"&amp;$C$872,Table20[date_purchased],"&lt;"&amp;$E$872)</f>
        <v>0</v>
      </c>
      <c r="F933" s="4">
        <f>SUMIFS(Table20[realized_profit],Table20[Asset],Table41[[#This Row],[Asset Name]],Table20[Bullish or Bearish],"Bearish",Table20[date_purchased],"&gt;"&amp;$C$872,Table20[date_purchased],"&lt;"&amp;$E$872)</f>
        <v>0</v>
      </c>
      <c r="G933" s="4">
        <f>SUMIFS(Table20[realized_profit],Table20[Asset],Table41[[#This Row],[Asset Name]],Table20[Strategy],"call",Table20[date_purchased],"&gt;"&amp;$C$872,Table20[date_purchased],"&lt;"&amp;$E$872)</f>
        <v>0</v>
      </c>
      <c r="H933" s="4">
        <f>SUMIFS(Table20[realized_profit],Table20[Asset],Table41[[#This Row],[Asset Name]],Table20[Strategy],"put",Table20[date_purchased],"&gt;"&amp;$C$872,Table20[date_purchased],"&lt;"&amp;$E$872)</f>
        <v>0</v>
      </c>
      <c r="I933" s="4">
        <f>SUMIFS(Table20[realized_profit],Table20[Asset],Table41[[#This Row],[Asset Name]],Table20[Strategy],"calendar spread",Table20[date_purchased],"&gt;"&amp;$C$872,Table20[date_purchased],"&lt;"&amp;$E$872)</f>
        <v>0</v>
      </c>
      <c r="J933" s="4">
        <f>SUMIFS(Table20[realized_profit],Table20[Asset],Table41[[#This Row],[Asset Name]],Table20[Strategy],"put calendar spread",Table20[date_purchased],"&gt;"&amp;$C$872,Table20[date_purchased],"&lt;"&amp;$E$872)</f>
        <v>0</v>
      </c>
      <c r="K933" s="4">
        <f>SUMIFS(Table20[realized_profit],Table20[Asset],Table41[[#This Row],[Asset Name]],Table20[Strategy],"put spread",Table20[date_purchased],"&gt;"&amp;$C$872,Table20[date_purchased],"&lt;"&amp;$E$872)</f>
        <v>0</v>
      </c>
      <c r="L933" s="4">
        <f>SUMIFS(Table20[Invested],Table20[Asset],Table41[[#This Row],[Asset Name]],Table20[date_purchased],"&gt;"&amp;$C$872,Table20[date_purchased],"&lt;"&amp;$E$872)</f>
        <v>0</v>
      </c>
      <c r="M933" s="14">
        <f>IFERROR(Table41[[#This Row],[Within timeline]]/Table41[[#This Row],[Invested]],0)</f>
        <v>0</v>
      </c>
      <c r="N933" s="187">
        <v>465</v>
      </c>
      <c r="O933" s="9" cm="1">
        <f t="array" aca="1" ref="O933" ca="1">_FV(Table41[[#This Row],[Asset Name]],"Price")</f>
        <v>590.62</v>
      </c>
      <c r="P933" s="188">
        <v>500</v>
      </c>
      <c r="Q933" t="b">
        <f ca="1">IF(Table41[[#This Row],[Current Price]]&lt;Table41[[#This Row],[Put wall]]*1.02,TRUE,FALSE)</f>
        <v>0</v>
      </c>
      <c r="R933" t="b">
        <f ca="1">IF(Table41[[#This Row],[Current Price]]&gt;Table41[[#This Row],[Call wall]]*0.98,TRUE,FALSE)</f>
        <v>1</v>
      </c>
      <c r="S933" s="4">
        <f ca="1">SUMIF(Table20[Asset],Table41[[#This Row],[Asset Name]],Table20[delta_exposure])</f>
        <v>0</v>
      </c>
      <c r="T933" s="36" t="str" cm="1">
        <f t="array" aca="1" ref="T933" ca="1">_FV(Table41[[#This Row],[Asset Name]],"Instrument type",TRUE)</f>
        <v>ETF</v>
      </c>
      <c r="U933" s="183"/>
      <c r="V933" t="str">
        <f>VLOOKUP(Table41[[#This Row],[Asset Name]],Table19[#All],3,FALSE)</f>
        <v>Market</v>
      </c>
      <c r="X933" t="str">
        <f>VLOOKUP(Table41[[#This Row],[Asset Name]],Table19[#All],4,FALSE)</f>
        <v>Market</v>
      </c>
      <c r="Y933" s="147" t="str">
        <f ca="1">IF(Table41[[#This Row],[Current Price]]&lt;Table41[[#This Row],[Put wall]]*1.02,"✅",IF(Table41[[#This Row],[Current Price]]&gt;Table41[[#This Row],[Call wall]]*0.98,"🔻",""))</f>
        <v>🔻</v>
      </c>
      <c r="Z933" s="203">
        <f ca="1">Table41[[#This Row],[Current Price]]/Table41[[#This Row],[Put wall]]-1</f>
        <v>0.27015053763440866</v>
      </c>
      <c r="AA933" s="206">
        <f ca="1">Table41[[#This Row],[Current Price]]/Table41[[#This Row],[Call wall]]-1</f>
        <v>0.18124000000000007</v>
      </c>
    </row>
    <row r="934" spans="1:27">
      <c r="A934" s="194" t="e" vm="116">
        <v>#VALUE!</v>
      </c>
      <c r="B934" s="13" t="str" cm="1">
        <f t="array" aca="1" ref="B934" ca="1">_FV(Table41[[#This Row],[Asset Name]],"Ticker symbol",TRUE)</f>
        <v>MPC</v>
      </c>
      <c r="C934" s="4">
        <f>SUMIF(Table20[Asset],Table41[[#This Row],[Asset Name]],Table20[realized_profit])</f>
        <v>-482.00000000000006</v>
      </c>
      <c r="D934" s="4">
        <f>SUMIFS(Table20[realized_profit],Table20[Asset],Table41[[#This Row],[Asset Name]],Table20[date_purchased],"&gt;"&amp;$C$872,Table20[date_purchased],"&lt;"&amp;$E$872)</f>
        <v>-482.00000000000006</v>
      </c>
      <c r="E934" s="4">
        <f>SUMIFS(Table20[realized_profit],Table20[Asset],Table41[[#This Row],[Asset Name]],Table20[Bullish or Bearish],"Bullish",Table20[date_purchased],"&gt;"&amp;$C$872,Table20[date_purchased],"&lt;"&amp;$E$872)</f>
        <v>-482.00000000000006</v>
      </c>
      <c r="F934" s="4">
        <f>SUMIFS(Table20[realized_profit],Table20[Asset],Table41[[#This Row],[Asset Name]],Table20[Bullish or Bearish],"Bearish",Table20[date_purchased],"&gt;"&amp;$C$872,Table20[date_purchased],"&lt;"&amp;$E$872)</f>
        <v>0</v>
      </c>
      <c r="G934" s="4">
        <f>SUMIFS(Table20[realized_profit],Table20[Asset],Table41[[#This Row],[Asset Name]],Table20[Strategy],"call",Table20[date_purchased],"&gt;"&amp;$C$872,Table20[date_purchased],"&lt;"&amp;$E$872)</f>
        <v>0</v>
      </c>
      <c r="H934" s="4">
        <f>SUMIFS(Table20[realized_profit],Table20[Asset],Table41[[#This Row],[Asset Name]],Table20[Strategy],"put",Table20[date_purchased],"&gt;"&amp;$C$872,Table20[date_purchased],"&lt;"&amp;$E$872)</f>
        <v>0</v>
      </c>
      <c r="I934" s="4">
        <f>SUMIFS(Table20[realized_profit],Table20[Asset],Table41[[#This Row],[Asset Name]],Table20[Strategy],"calendar spread",Table20[date_purchased],"&gt;"&amp;$C$872,Table20[date_purchased],"&lt;"&amp;$E$872)</f>
        <v>0</v>
      </c>
      <c r="J934" s="4">
        <f>SUMIFS(Table20[realized_profit],Table20[Asset],Table41[[#This Row],[Asset Name]],Table20[Strategy],"put calendar spread",Table20[date_purchased],"&gt;"&amp;$C$872,Table20[date_purchased],"&lt;"&amp;$E$872)</f>
        <v>0</v>
      </c>
      <c r="K934" s="4">
        <f>SUMIFS(Table20[realized_profit],Table20[Asset],Table41[[#This Row],[Asset Name]],Table20[Strategy],"put spread",Table20[date_purchased],"&gt;"&amp;$C$872,Table20[date_purchased],"&lt;"&amp;$E$872)</f>
        <v>0</v>
      </c>
      <c r="L934" s="4">
        <f>SUMIFS(Table20[Invested],Table20[Asset],Table41[[#This Row],[Asset Name]],Table20[date_purchased],"&gt;"&amp;$C$872,Table20[date_purchased],"&lt;"&amp;$E$872)</f>
        <v>-518</v>
      </c>
      <c r="M934" s="14">
        <f>IFERROR(Table41[[#This Row],[Within timeline]]/Table41[[#This Row],[Invested]],0)</f>
        <v>0.93050193050193064</v>
      </c>
      <c r="N934" s="187">
        <v>155</v>
      </c>
      <c r="O934" s="179" cm="1">
        <f t="array" aca="1" ref="O934" ca="1">_FV(Table41[[#This Row],[Asset Name]],"Price")</f>
        <v>244</v>
      </c>
      <c r="P934" s="188">
        <v>180</v>
      </c>
      <c r="Q934" t="b">
        <f ca="1">IF(Table41[[#This Row],[Current Price]]&lt;Table41[[#This Row],[Put wall]]*1.02,TRUE,FALSE)</f>
        <v>0</v>
      </c>
      <c r="R934" t="b">
        <f ca="1">IF(Table41[[#This Row],[Current Price]]&gt;Table41[[#This Row],[Call wall]]*0.98,TRUE,FALSE)</f>
        <v>1</v>
      </c>
      <c r="S934" s="4">
        <f ca="1">SUMIF(Table20[Asset],Table41[[#This Row],[Asset Name]],Table20[delta_exposure])</f>
        <v>0</v>
      </c>
      <c r="T934" s="36" t="str" cm="1">
        <f t="array" aca="1" ref="T934" ca="1">_FV(Table41[[#This Row],[Asset Name]],"Instrument type",TRUE)</f>
        <v>Stock</v>
      </c>
      <c r="U934" s="183">
        <v>45601</v>
      </c>
      <c r="V934" t="str">
        <f>VLOOKUP(Table41[[#This Row],[Asset Name]],Table19[#All],3,FALSE)</f>
        <v>Energy</v>
      </c>
      <c r="X934" t="str">
        <f>VLOOKUP(Table41[[#This Row],[Asset Name]],Table19[#All],4,FALSE)</f>
        <v>Refinery</v>
      </c>
      <c r="Y934" s="147" t="str">
        <f ca="1">IF(Table41[[#This Row],[Current Price]]&lt;Table41[[#This Row],[Put wall]]*1.02,"✅",IF(Table41[[#This Row],[Current Price]]&gt;Table41[[#This Row],[Call wall]]*0.98,"🔻",""))</f>
        <v>🔻</v>
      </c>
      <c r="Z934" s="203">
        <f ca="1">Table41[[#This Row],[Current Price]]/Table41[[#This Row],[Put wall]]-1</f>
        <v>0.5741935483870968</v>
      </c>
      <c r="AA934" s="206">
        <f ca="1">Table41[[#This Row],[Current Price]]/Table41[[#This Row],[Call wall]]-1</f>
        <v>0.35555555555555562</v>
      </c>
    </row>
    <row r="935" spans="1:27" hidden="1">
      <c r="A935" s="194" t="e" vm="117">
        <v>#VALUE!</v>
      </c>
      <c r="B935" s="189" t="str" cm="1">
        <f t="array" aca="1" ref="B935" ca="1">_FV(Table41[[#This Row],[Asset Name]],"Ticker symbol",TRUE)</f>
        <v>TXN</v>
      </c>
      <c r="C935" s="4">
        <f>SUMIF(Table20[Asset],Table41[[#This Row],[Asset Name]],Table20[realized_profit])</f>
        <v>0</v>
      </c>
      <c r="D935" s="4">
        <f>SUMIFS(Table20[realized_profit],Table20[Asset],Table41[[#This Row],[Asset Name]],Table20[date_purchased],"&gt;"&amp;$C$872,Table20[date_purchased],"&lt;"&amp;$E$872)</f>
        <v>0</v>
      </c>
      <c r="E935" s="4">
        <f>SUMIFS(Table20[realized_profit],Table20[Asset],Table41[[#This Row],[Asset Name]],Table20[Bullish or Bearish],"Bullish",Table20[date_purchased],"&gt;"&amp;$C$872,Table20[date_purchased],"&lt;"&amp;$E$872)</f>
        <v>0</v>
      </c>
      <c r="F935" s="4">
        <f>SUMIFS(Table20[realized_profit],Table20[Asset],Table41[[#This Row],[Asset Name]],Table20[Bullish or Bearish],"Bearish",Table20[date_purchased],"&gt;"&amp;$C$872,Table20[date_purchased],"&lt;"&amp;$E$872)</f>
        <v>0</v>
      </c>
      <c r="G935" s="4">
        <f>SUMIFS(Table20[realized_profit],Table20[Asset],Table41[[#This Row],[Asset Name]],Table20[Strategy],"call",Table20[date_purchased],"&gt;"&amp;$C$872,Table20[date_purchased],"&lt;"&amp;$E$872)</f>
        <v>0</v>
      </c>
      <c r="H935" s="4">
        <f>SUMIFS(Table20[realized_profit],Table20[Asset],Table41[[#This Row],[Asset Name]],Table20[Strategy],"put",Table20[date_purchased],"&gt;"&amp;$C$872,Table20[date_purchased],"&lt;"&amp;$E$872)</f>
        <v>0</v>
      </c>
      <c r="I935" s="4">
        <f>SUMIFS(Table20[realized_profit],Table20[Asset],Table41[[#This Row],[Asset Name]],Table20[Strategy],"calendar spread",Table20[date_purchased],"&gt;"&amp;$C$872,Table20[date_purchased],"&lt;"&amp;$E$872)</f>
        <v>0</v>
      </c>
      <c r="J935" s="4">
        <f>SUMIFS(Table20[realized_profit],Table20[Asset],Table41[[#This Row],[Asset Name]],Table20[Strategy],"put calendar spread",Table20[date_purchased],"&gt;"&amp;$C$872,Table20[date_purchased],"&lt;"&amp;$E$872)</f>
        <v>0</v>
      </c>
      <c r="K935" s="4">
        <f>SUMIFS(Table20[realized_profit],Table20[Asset],Table41[[#This Row],[Asset Name]],Table20[Strategy],"put spread",Table20[date_purchased],"&gt;"&amp;$C$872,Table20[date_purchased],"&lt;"&amp;$E$872)</f>
        <v>0</v>
      </c>
      <c r="L935" s="4">
        <f>SUMIFS(Table20[Invested],Table20[Asset],Table41[[#This Row],[Asset Name]],Table20[date_purchased],"&gt;"&amp;$C$872,Table20[date_purchased],"&lt;"&amp;$E$872)</f>
        <v>0</v>
      </c>
      <c r="M935" s="14">
        <f>IFERROR(Table41[[#This Row],[Within timeline]]/Table41[[#This Row],[Invested]],0)</f>
        <v>0</v>
      </c>
      <c r="N935" s="187">
        <v>195</v>
      </c>
      <c r="O935" s="179" cm="1">
        <f t="array" aca="1" ref="O935" ca="1">_FV(Table41[[#This Row],[Asset Name]],"Price")</f>
        <v>196.63</v>
      </c>
      <c r="P935" s="188">
        <v>210</v>
      </c>
      <c r="Q935" t="b">
        <f ca="1">IF(Table41[[#This Row],[Current Price]]&lt;Table41[[#This Row],[Put wall]]*1.02,TRUE,FALSE)</f>
        <v>1</v>
      </c>
      <c r="R935" t="b">
        <f ca="1">IF(Table41[[#This Row],[Current Price]]&gt;Table41[[#This Row],[Call wall]]*0.98,TRUE,FALSE)</f>
        <v>0</v>
      </c>
      <c r="S935" s="4">
        <f>SUMIF(Table20[Asset],Table41[[#This Row],[Asset Name]],Table20[delta_exposure])</f>
        <v>0</v>
      </c>
      <c r="T935" s="36" t="str" cm="1">
        <f t="array" aca="1" ref="T935" ca="1">_FV(Table41[[#This Row],[Asset Name]],"Instrument type",TRUE)</f>
        <v>Stock</v>
      </c>
      <c r="U935" s="183">
        <v>45685</v>
      </c>
      <c r="V935" t="str">
        <f>VLOOKUP(Table41[[#This Row],[Asset Name]],Table19[#All],3,FALSE)</f>
        <v>AI</v>
      </c>
      <c r="X935" s="194" t="str">
        <f>VLOOKUP(Table41[[#This Row],[Asset Name]],Table19[#All],4,FALSE)</f>
        <v>Semiconductor</v>
      </c>
      <c r="Y935" s="189" t="str">
        <f ca="1">IF(Table41[[#This Row],[Current Price]]&lt;Table41[[#This Row],[Put wall]]*1.02,"✅",IF(Table41[[#This Row],[Current Price]]&gt;Table41[[#This Row],[Call wall]]*0.98,"🔻",""))</f>
        <v>✅</v>
      </c>
      <c r="Z935" s="204"/>
      <c r="AA935" s="207">
        <f ca="1">Table41[[#This Row],[Current Price]]/Table41[[#This Row],[Call wall]]-1</f>
        <v>-6.3666666666666649E-2</v>
      </c>
    </row>
    <row r="936" spans="1:27" hidden="1">
      <c r="A936" s="194" t="e" vm="118">
        <v>#VALUE!</v>
      </c>
      <c r="B936" s="13" t="str" cm="1">
        <f t="array" aca="1" ref="B936" ca="1">_FV(Table41[[#This Row],[Asset Name]],"Ticker symbol",TRUE)</f>
        <v>ANET</v>
      </c>
      <c r="C936" s="4">
        <f>SUMIF(Table20[Asset],Table41[[#This Row],[Asset Name]],Table20[realized_profit])</f>
        <v>0</v>
      </c>
      <c r="D936" s="4">
        <f>SUMIFS(Table20[realized_profit],Table20[Asset],Table41[[#This Row],[Asset Name]],Table20[date_purchased],"&gt;"&amp;$C$872,Table20[date_purchased],"&lt;"&amp;$E$872)</f>
        <v>0</v>
      </c>
      <c r="E936" s="4">
        <f>SUMIFS(Table20[realized_profit],Table20[Asset],Table41[[#This Row],[Asset Name]],Table20[Bullish or Bearish],"Bullish",Table20[date_purchased],"&gt;"&amp;$C$872,Table20[date_purchased],"&lt;"&amp;$E$872)</f>
        <v>0</v>
      </c>
      <c r="F936" s="4">
        <f>SUMIFS(Table20[realized_profit],Table20[Asset],Table41[[#This Row],[Asset Name]],Table20[Bullish or Bearish],"Bearish",Table20[date_purchased],"&gt;"&amp;$C$872,Table20[date_purchased],"&lt;"&amp;$E$872)</f>
        <v>0</v>
      </c>
      <c r="G936" s="4">
        <f>SUMIFS(Table20[realized_profit],Table20[Asset],Table41[[#This Row],[Asset Name]],Table20[Strategy],"call",Table20[date_purchased],"&gt;"&amp;$C$872,Table20[date_purchased],"&lt;"&amp;$E$872)</f>
        <v>0</v>
      </c>
      <c r="H936" s="4">
        <f>SUMIFS(Table20[realized_profit],Table20[Asset],Table41[[#This Row],[Asset Name]],Table20[Strategy],"put",Table20[date_purchased],"&gt;"&amp;$C$872,Table20[date_purchased],"&lt;"&amp;$E$872)</f>
        <v>0</v>
      </c>
      <c r="I936" s="4">
        <f>SUMIFS(Table20[realized_profit],Table20[Asset],Table41[[#This Row],[Asset Name]],Table20[Strategy],"calendar spread",Table20[date_purchased],"&gt;"&amp;$C$872,Table20[date_purchased],"&lt;"&amp;$E$872)</f>
        <v>0</v>
      </c>
      <c r="J936" s="4">
        <f>SUMIFS(Table20[realized_profit],Table20[Asset],Table41[[#This Row],[Asset Name]],Table20[Strategy],"put calendar spread",Table20[date_purchased],"&gt;"&amp;$C$872,Table20[date_purchased],"&lt;"&amp;$E$872)</f>
        <v>0</v>
      </c>
      <c r="K936" s="4">
        <f>SUMIFS(Table20[realized_profit],Table20[Asset],Table41[[#This Row],[Asset Name]],Table20[Strategy],"put spread",Table20[date_purchased],"&gt;"&amp;$C$872,Table20[date_purchased],"&lt;"&amp;$E$872)</f>
        <v>0</v>
      </c>
      <c r="L936" s="4">
        <f>SUMIFS(Table20[Invested],Table20[Asset],Table41[[#This Row],[Asset Name]],Table20[date_purchased],"&gt;"&amp;$C$872,Table20[date_purchased],"&lt;"&amp;$E$872)</f>
        <v>0</v>
      </c>
      <c r="M936" s="14">
        <f>IFERROR(Table41[[#This Row],[Within timeline]]/Table41[[#This Row],[Invested]],0)</f>
        <v>0</v>
      </c>
      <c r="N936" s="187">
        <v>360</v>
      </c>
      <c r="O936" s="179" cm="1">
        <f t="array" aca="1" ref="O936" ca="1">_FV(Table41[[#This Row],[Asset Name]],"Price")</f>
        <v>132.87</v>
      </c>
      <c r="P936" s="188">
        <v>410</v>
      </c>
      <c r="Q936" t="b">
        <f ca="1">IF(Table41[[#This Row],[Current Price]]&lt;Table41[[#This Row],[Put wall]]*1.02,TRUE,FALSE)</f>
        <v>1</v>
      </c>
      <c r="R936" t="b">
        <f ca="1">IF(Table41[[#This Row],[Current Price]]&gt;Table41[[#This Row],[Call wall]]*0.98,TRUE,FALSE)</f>
        <v>0</v>
      </c>
      <c r="S936" s="4">
        <f>SUMIF(Table20[Asset],Table41[[#This Row],[Asset Name]],Table20[delta_exposure])</f>
        <v>0</v>
      </c>
      <c r="T936" s="36" t="str" cm="1">
        <f t="array" aca="1" ref="T936" ca="1">_FV(Table41[[#This Row],[Asset Name]],"Instrument type",TRUE)</f>
        <v>Stock</v>
      </c>
      <c r="U936" s="183">
        <v>45593</v>
      </c>
      <c r="V936" t="str">
        <f>VLOOKUP(Table41[[#This Row],[Asset Name]],Table19[#All],3,FALSE)</f>
        <v>Connectivity</v>
      </c>
      <c r="X936" t="str">
        <f>VLOOKUP(Table41[[#This Row],[Asset Name]],Table19[#All],4,FALSE)</f>
        <v>Technology</v>
      </c>
      <c r="Y936" s="147" t="str">
        <f ca="1">IF(Table41[[#This Row],[Current Price]]&lt;Table41[[#This Row],[Put wall]]*1.02,"✅",IF(Table41[[#This Row],[Current Price]]&gt;Table41[[#This Row],[Call wall]]*0.98,"🔻",""))</f>
        <v>✅</v>
      </c>
      <c r="Z936" s="203">
        <f ca="1">Table41[[#This Row],[Current Price]]/Table41[[#This Row],[Put wall]]-1</f>
        <v>-0.63091666666666668</v>
      </c>
      <c r="AA936" s="206">
        <f ca="1">Table41[[#This Row],[Current Price]]/Table41[[#This Row],[Call wall]]-1</f>
        <v>-0.67592682926829273</v>
      </c>
    </row>
    <row r="937" spans="1:27">
      <c r="A937" s="194" t="e" vm="119">
        <v>#VALUE!</v>
      </c>
      <c r="B937" s="189" t="str" cm="1">
        <f t="array" aca="1" ref="B937" ca="1">_FV(Table41[[#This Row],[Asset Name]],"Ticker symbol",TRUE)</f>
        <v>UAL</v>
      </c>
      <c r="C937" s="4">
        <f>SUMIF(Table20[Asset],Table41[[#This Row],[Asset Name]],Table20[realized_profit])</f>
        <v>-417</v>
      </c>
      <c r="D937" s="4">
        <f>SUMIFS(Table20[realized_profit],Table20[Asset],Table41[[#This Row],[Asset Name]],Table20[date_purchased],"&gt;"&amp;$C$872,Table20[date_purchased],"&lt;"&amp;$E$872)</f>
        <v>-417</v>
      </c>
      <c r="E937" s="4">
        <f>SUMIFS(Table20[realized_profit],Table20[Asset],Table41[[#This Row],[Asset Name]],Table20[Bullish or Bearish],"Bullish",Table20[date_purchased],"&gt;"&amp;$C$872,Table20[date_purchased],"&lt;"&amp;$E$872)</f>
        <v>0</v>
      </c>
      <c r="F937" s="4">
        <f>SUMIFS(Table20[realized_profit],Table20[Asset],Table41[[#This Row],[Asset Name]],Table20[Bullish or Bearish],"Bearish",Table20[date_purchased],"&gt;"&amp;$C$872,Table20[date_purchased],"&lt;"&amp;$E$872)</f>
        <v>-417</v>
      </c>
      <c r="G937" s="4">
        <f>SUMIFS(Table20[realized_profit],Table20[Asset],Table41[[#This Row],[Asset Name]],Table20[Strategy],"call",Table20[date_purchased],"&gt;"&amp;$C$872,Table20[date_purchased],"&lt;"&amp;$E$872)</f>
        <v>0</v>
      </c>
      <c r="H937" s="4">
        <f>SUMIFS(Table20[realized_profit],Table20[Asset],Table41[[#This Row],[Asset Name]],Table20[Strategy],"put",Table20[date_purchased],"&gt;"&amp;$C$872,Table20[date_purchased],"&lt;"&amp;$E$872)</f>
        <v>-417</v>
      </c>
      <c r="I937" s="4">
        <f>SUMIFS(Table20[realized_profit],Table20[Asset],Table41[[#This Row],[Asset Name]],Table20[Strategy],"calendar spread",Table20[date_purchased],"&gt;"&amp;$C$872,Table20[date_purchased],"&lt;"&amp;$E$872)</f>
        <v>0</v>
      </c>
      <c r="J937" s="4">
        <f>SUMIFS(Table20[realized_profit],Table20[Asset],Table41[[#This Row],[Asset Name]],Table20[Strategy],"put calendar spread",Table20[date_purchased],"&gt;"&amp;$C$872,Table20[date_purchased],"&lt;"&amp;$E$872)</f>
        <v>0</v>
      </c>
      <c r="K937" s="4">
        <f>SUMIFS(Table20[realized_profit],Table20[Asset],Table41[[#This Row],[Asset Name]],Table20[Strategy],"put spread",Table20[date_purchased],"&gt;"&amp;$C$872,Table20[date_purchased],"&lt;"&amp;$E$872)</f>
        <v>0</v>
      </c>
      <c r="L937" s="4">
        <f>SUMIFS(Table20[Invested],Table20[Asset],Table41[[#This Row],[Asset Name]],Table20[date_purchased],"&gt;"&amp;$C$872,Table20[date_purchased],"&lt;"&amp;$E$872)</f>
        <v>429</v>
      </c>
      <c r="M937" s="14">
        <f>IFERROR(Table41[[#This Row],[Within timeline]]/Table41[[#This Row],[Invested]],0)</f>
        <v>-0.97202797202797198</v>
      </c>
      <c r="N937" s="187">
        <v>74</v>
      </c>
      <c r="O937" s="179" cm="1">
        <f t="array" aca="1" ref="O937" ca="1">_FV(Table41[[#This Row],[Asset Name]],"Price")</f>
        <v>96.894999999999996</v>
      </c>
      <c r="P937" s="188">
        <v>80</v>
      </c>
      <c r="Q937" t="b">
        <f ca="1">IF(Table41[[#This Row],[Current Price]]&lt;Table41[[#This Row],[Put wall]]*1.02,TRUE,FALSE)</f>
        <v>0</v>
      </c>
      <c r="R937" t="b">
        <f ca="1">IF(Table41[[#This Row],[Current Price]]&gt;Table41[[#This Row],[Call wall]]*0.98,TRUE,FALSE)</f>
        <v>1</v>
      </c>
      <c r="S937" s="4">
        <f ca="1">SUMIF(Table20[Asset],Table41[[#This Row],[Asset Name]],Table20[delta_exposure])</f>
        <v>0</v>
      </c>
      <c r="T937" s="36" t="str" cm="1">
        <f t="array" aca="1" ref="T937" ca="1">_FV(Table41[[#This Row],[Asset Name]],"Instrument type",TRUE)</f>
        <v>Stock</v>
      </c>
      <c r="U937" s="183"/>
      <c r="V937" t="str">
        <f>VLOOKUP(Table41[[#This Row],[Asset Name]],Table19[#All],3,FALSE)</f>
        <v>Industrials</v>
      </c>
      <c r="X937" s="194" t="str">
        <f>VLOOKUP(Table41[[#This Row],[Asset Name]],Table19[#All],4,FALSE)</f>
        <v>Airline</v>
      </c>
      <c r="Y937" s="189" t="str">
        <f ca="1">IF(Table41[[#This Row],[Current Price]]&lt;Table41[[#This Row],[Put wall]]*1.02,"✅",IF(Table41[[#This Row],[Current Price]]&gt;Table41[[#This Row],[Call wall]]*0.98,"🔻",""))</f>
        <v>🔻</v>
      </c>
      <c r="Z937" s="204"/>
      <c r="AA937" s="207">
        <f ca="1">Table41[[#This Row],[Current Price]]/Table41[[#This Row],[Call wall]]-1</f>
        <v>0.21118749999999986</v>
      </c>
    </row>
    <row r="938" spans="1:27" hidden="1">
      <c r="A938" s="194" t="e" vm="120">
        <v>#VALUE!</v>
      </c>
      <c r="B938" s="189" t="str" cm="1">
        <f t="array" aca="1" ref="B938" ca="1">_FV(Table41[[#This Row],[Asset Name]],"Ticker symbol",TRUE)</f>
        <v>REPX</v>
      </c>
      <c r="C938" s="4">
        <f>SUMIF(Table20[Asset],Table41[[#This Row],[Asset Name]],Table20[realized_profit])</f>
        <v>0</v>
      </c>
      <c r="D938" s="4">
        <f>SUMIFS(Table20[realized_profit],Table20[Asset],Table41[[#This Row],[Asset Name]],Table20[date_purchased],"&gt;"&amp;$C$872,Table20[date_purchased],"&lt;"&amp;$E$872)</f>
        <v>0</v>
      </c>
      <c r="E938" s="4">
        <f>SUMIFS(Table20[realized_profit],Table20[Asset],Table41[[#This Row],[Asset Name]],Table20[Bullish or Bearish],"Bullish",Table20[date_purchased],"&gt;"&amp;$C$872,Table20[date_purchased],"&lt;"&amp;$E$872)</f>
        <v>0</v>
      </c>
      <c r="F938" s="4">
        <f>SUMIFS(Table20[realized_profit],Table20[Asset],Table41[[#This Row],[Asset Name]],Table20[Bullish or Bearish],"Bearish",Table20[date_purchased],"&gt;"&amp;$C$872,Table20[date_purchased],"&lt;"&amp;$E$872)</f>
        <v>0</v>
      </c>
      <c r="G938" s="4">
        <f>SUMIFS(Table20[realized_profit],Table20[Asset],Table41[[#This Row],[Asset Name]],Table20[Strategy],"call",Table20[date_purchased],"&gt;"&amp;$C$872,Table20[date_purchased],"&lt;"&amp;$E$872)</f>
        <v>0</v>
      </c>
      <c r="H938" s="4">
        <f>SUMIFS(Table20[realized_profit],Table20[Asset],Table41[[#This Row],[Asset Name]],Table20[Strategy],"put",Table20[date_purchased],"&gt;"&amp;$C$872,Table20[date_purchased],"&lt;"&amp;$E$872)</f>
        <v>0</v>
      </c>
      <c r="I938" s="4">
        <f>SUMIFS(Table20[realized_profit],Table20[Asset],Table41[[#This Row],[Asset Name]],Table20[Strategy],"calendar spread",Table20[date_purchased],"&gt;"&amp;$C$872,Table20[date_purchased],"&lt;"&amp;$E$872)</f>
        <v>0</v>
      </c>
      <c r="J938" s="4">
        <f>SUMIFS(Table20[realized_profit],Table20[Asset],Table41[[#This Row],[Asset Name]],Table20[Strategy],"put calendar spread",Table20[date_purchased],"&gt;"&amp;$C$872,Table20[date_purchased],"&lt;"&amp;$E$872)</f>
        <v>0</v>
      </c>
      <c r="K938" s="4">
        <f>SUMIFS(Table20[realized_profit],Table20[Asset],Table41[[#This Row],[Asset Name]],Table20[Strategy],"put spread",Table20[date_purchased],"&gt;"&amp;$C$872,Table20[date_purchased],"&lt;"&amp;$E$872)</f>
        <v>0</v>
      </c>
      <c r="L938" s="4">
        <f>SUMIFS(Table20[Invested],Table20[Asset],Table41[[#This Row],[Asset Name]],Table20[date_purchased],"&gt;"&amp;$C$872,Table20[date_purchased],"&lt;"&amp;$E$872)</f>
        <v>0</v>
      </c>
      <c r="M938" s="14">
        <f>IFERROR(Table41[[#This Row],[Within timeline]]/Table41[[#This Row],[Invested]],0)</f>
        <v>0</v>
      </c>
      <c r="N938" s="187">
        <v>22.5</v>
      </c>
      <c r="O938" s="179" cm="1">
        <f t="array" aca="1" ref="O938" ca="1">_FV(Table41[[#This Row],[Asset Name]],"Price")</f>
        <v>36.01</v>
      </c>
      <c r="P938" s="188">
        <v>27.5</v>
      </c>
      <c r="Q938" t="b">
        <f ca="1">IF(Table41[[#This Row],[Current Price]]&lt;Table41[[#This Row],[Put wall]]*1.02,TRUE,FALSE)</f>
        <v>0</v>
      </c>
      <c r="R938" t="b">
        <f ca="1">IF(Table41[[#This Row],[Current Price]]&gt;Table41[[#This Row],[Call wall]]*0.98,TRUE,FALSE)</f>
        <v>1</v>
      </c>
      <c r="S938" s="4">
        <f>SUMIF(Table20[Asset],Table41[[#This Row],[Asset Name]],Table20[delta_exposure])</f>
        <v>0</v>
      </c>
      <c r="T938" s="36" t="str" cm="1">
        <f t="array" aca="1" ref="T938" ca="1">_FV(Table41[[#This Row],[Asset Name]],"Instrument type",TRUE)</f>
        <v>Stock</v>
      </c>
      <c r="U938" s="183">
        <v>45607</v>
      </c>
      <c r="V938" t="str">
        <f>VLOOKUP(Table41[[#This Row],[Asset Name]],Table19[#All],3,FALSE)</f>
        <v>Energy</v>
      </c>
      <c r="X938" t="str">
        <f>VLOOKUP(Table41[[#This Row],[Asset Name]],Table19[#All],4,FALSE)</f>
        <v>Energy</v>
      </c>
      <c r="Y938" s="147" t="str">
        <f ca="1">IF(Table41[[#This Row],[Current Price]]&lt;Table41[[#This Row],[Put wall]]*1.02,"✅",IF(Table41[[#This Row],[Current Price]]&gt;Table41[[#This Row],[Call wall]]*0.98,"🔻",""))</f>
        <v>🔻</v>
      </c>
      <c r="Z938" s="203">
        <f ca="1">Table41[[#This Row],[Current Price]]/Table41[[#This Row],[Put wall]]-1</f>
        <v>0.60044444444444434</v>
      </c>
      <c r="AA938" s="206">
        <f ca="1">Table41[[#This Row],[Current Price]]/Table41[[#This Row],[Call wall]]-1</f>
        <v>0.30945454545454543</v>
      </c>
    </row>
    <row r="939" spans="1:27">
      <c r="A939" s="194" t="e" vm="34">
        <v>#VALUE!</v>
      </c>
      <c r="B939" s="13" t="str" cm="1">
        <f t="array" aca="1" ref="B939" ca="1">_FV(Table41[[#This Row],[Asset Name]],"Ticker symbol",TRUE)</f>
        <v>TSM</v>
      </c>
      <c r="C939" s="4">
        <f>SUMIF(Table20[Asset],Table41[[#This Row],[Asset Name]],Table20[realized_profit])</f>
        <v>-444.99999999999977</v>
      </c>
      <c r="D939" s="4">
        <f>SUMIFS(Table20[realized_profit],Table20[Asset],Table41[[#This Row],[Asset Name]],Table20[date_purchased],"&gt;"&amp;$C$872,Table20[date_purchased],"&lt;"&amp;$E$872)</f>
        <v>-582</v>
      </c>
      <c r="E939" s="4">
        <f>SUMIFS(Table20[realized_profit],Table20[Asset],Table41[[#This Row],[Asset Name]],Table20[Bullish or Bearish],"Bullish",Table20[date_purchased],"&gt;"&amp;$C$872,Table20[date_purchased],"&lt;"&amp;$E$872)</f>
        <v>-206</v>
      </c>
      <c r="F939" s="4">
        <f>SUMIFS(Table20[realized_profit],Table20[Asset],Table41[[#This Row],[Asset Name]],Table20[Bullish or Bearish],"Bearish",Table20[date_purchased],"&gt;"&amp;$C$872,Table20[date_purchased],"&lt;"&amp;$E$872)</f>
        <v>-376.00000000000006</v>
      </c>
      <c r="G939" s="4">
        <f>SUMIFS(Table20[realized_profit],Table20[Asset],Table41[[#This Row],[Asset Name]],Table20[Strategy],"call",Table20[date_purchased],"&gt;"&amp;$C$872,Table20[date_purchased],"&lt;"&amp;$E$872)</f>
        <v>-206</v>
      </c>
      <c r="H939" s="4">
        <f>SUMIFS(Table20[realized_profit],Table20[Asset],Table41[[#This Row],[Asset Name]],Table20[Strategy],"put",Table20[date_purchased],"&gt;"&amp;$C$872,Table20[date_purchased],"&lt;"&amp;$E$872)</f>
        <v>0</v>
      </c>
      <c r="I939" s="4">
        <f>SUMIFS(Table20[realized_profit],Table20[Asset],Table41[[#This Row],[Asset Name]],Table20[Strategy],"calendar spread",Table20[date_purchased],"&gt;"&amp;$C$872,Table20[date_purchased],"&lt;"&amp;$E$872)</f>
        <v>0</v>
      </c>
      <c r="J939" s="4">
        <f>SUMIFS(Table20[realized_profit],Table20[Asset],Table41[[#This Row],[Asset Name]],Table20[Strategy],"put calendar spread",Table20[date_purchased],"&gt;"&amp;$C$872,Table20[date_purchased],"&lt;"&amp;$E$872)</f>
        <v>0</v>
      </c>
      <c r="K939" s="4">
        <f>SUMIFS(Table20[realized_profit],Table20[Asset],Table41[[#This Row],[Asset Name]],Table20[Strategy],"put spread",Table20[date_purchased],"&gt;"&amp;$C$872,Table20[date_purchased],"&lt;"&amp;$E$872)</f>
        <v>-376.00000000000006</v>
      </c>
      <c r="L939" s="4">
        <f>SUMIFS(Table20[Invested],Table20[Asset],Table41[[#This Row],[Asset Name]],Table20[date_purchased],"&gt;"&amp;$C$872,Table20[date_purchased],"&lt;"&amp;$E$872)</f>
        <v>972</v>
      </c>
      <c r="M939" s="14">
        <f>IFERROR(Table41[[#This Row],[Within timeline]]/Table41[[#This Row],[Invested]],0)</f>
        <v>-0.59876543209876543</v>
      </c>
      <c r="N939" s="187">
        <v>160</v>
      </c>
      <c r="O939" s="9" cm="1">
        <f t="array" aca="1" ref="O939" ca="1">_FV(Table41[[#This Row],[Asset Name]],"Price")</f>
        <v>348.52499999999998</v>
      </c>
      <c r="P939" s="188">
        <v>195</v>
      </c>
      <c r="Q939" t="b">
        <f ca="1">IF(Table41[[#This Row],[Current Price]]&lt;Table41[[#This Row],[Put wall]]*1.02,TRUE,FALSE)</f>
        <v>0</v>
      </c>
      <c r="R939" t="b">
        <f ca="1">IF(Table41[[#This Row],[Current Price]]&gt;Table41[[#This Row],[Call wall]]*0.98,TRUE,FALSE)</f>
        <v>1</v>
      </c>
      <c r="S939" s="4">
        <f ca="1">SUMIF(Table20[Asset],Table41[[#This Row],[Asset Name]],Table20[delta_exposure])</f>
        <v>0</v>
      </c>
      <c r="T939" s="36" t="str" cm="1">
        <f t="array" aca="1" ref="T939" ca="1">_FV(Table41[[#This Row],[Asset Name]],"Instrument type",TRUE)</f>
        <v>Stock</v>
      </c>
      <c r="U939" s="183">
        <v>45582</v>
      </c>
      <c r="V939" t="str">
        <f>VLOOKUP(Table41[[#This Row],[Asset Name]],Table19[#All],3,FALSE)</f>
        <v>AI</v>
      </c>
      <c r="X939" t="str">
        <f>VLOOKUP(Table41[[#This Row],[Asset Name]],Table19[#All],4,FALSE)</f>
        <v>Semiconductor</v>
      </c>
      <c r="Y939" s="147" t="str">
        <f ca="1">IF(Table41[[#This Row],[Current Price]]&lt;Table41[[#This Row],[Put wall]]*1.02,"✅",IF(Table41[[#This Row],[Current Price]]&gt;Table41[[#This Row],[Call wall]]*0.98,"🔻",""))</f>
        <v>🔻</v>
      </c>
      <c r="Z939" s="203">
        <f ca="1">Table41[[#This Row],[Current Price]]/Table41[[#This Row],[Put wall]]-1</f>
        <v>1.1782812499999999</v>
      </c>
      <c r="AA939" s="206">
        <f ca="1">Table41[[#This Row],[Current Price]]/Table41[[#This Row],[Call wall]]-1</f>
        <v>0.78730769230769226</v>
      </c>
    </row>
    <row r="940" spans="1:27" hidden="1">
      <c r="A940" s="194" t="e" vm="26">
        <v>#VALUE!</v>
      </c>
      <c r="B940" s="13" t="str" cm="1">
        <f t="array" aca="1" ref="B940" ca="1">_FV(Table41[[#This Row],[Asset Name]],"Ticker symbol",TRUE)</f>
        <v>AEHR</v>
      </c>
      <c r="C940" s="4">
        <f>SUMIF(Table20[Asset],Table41[[#This Row],[Asset Name]],Table20[realized_profit])</f>
        <v>0</v>
      </c>
      <c r="D940" s="4">
        <f>SUMIFS(Table20[realized_profit],Table20[Asset],Table41[[#This Row],[Asset Name]],Table20[date_purchased],"&gt;"&amp;$C$872,Table20[date_purchased],"&lt;"&amp;$E$872)</f>
        <v>0</v>
      </c>
      <c r="E940" s="4">
        <f>SUMIFS(Table20[realized_profit],Table20[Asset],Table41[[#This Row],[Asset Name]],Table20[Bullish or Bearish],"Bullish",Table20[date_purchased],"&gt;"&amp;$C$872,Table20[date_purchased],"&lt;"&amp;$E$872)</f>
        <v>0</v>
      </c>
      <c r="F940" s="4">
        <f>SUMIFS(Table20[realized_profit],Table20[Asset],Table41[[#This Row],[Asset Name]],Table20[Bullish or Bearish],"Bearish",Table20[date_purchased],"&gt;"&amp;$C$872,Table20[date_purchased],"&lt;"&amp;$E$872)</f>
        <v>0</v>
      </c>
      <c r="G940" s="4">
        <f>SUMIFS(Table20[realized_profit],Table20[Asset],Table41[[#This Row],[Asset Name]],Table20[Strategy],"call",Table20[date_purchased],"&gt;"&amp;$C$872,Table20[date_purchased],"&lt;"&amp;$E$872)</f>
        <v>0</v>
      </c>
      <c r="H940" s="4">
        <f>SUMIFS(Table20[realized_profit],Table20[Asset],Table41[[#This Row],[Asset Name]],Table20[Strategy],"put",Table20[date_purchased],"&gt;"&amp;$C$872,Table20[date_purchased],"&lt;"&amp;$E$872)</f>
        <v>0</v>
      </c>
      <c r="I940" s="4">
        <f>SUMIFS(Table20[realized_profit],Table20[Asset],Table41[[#This Row],[Asset Name]],Table20[Strategy],"calendar spread",Table20[date_purchased],"&gt;"&amp;$C$872,Table20[date_purchased],"&lt;"&amp;$E$872)</f>
        <v>0</v>
      </c>
      <c r="J940" s="4">
        <f>SUMIFS(Table20[realized_profit],Table20[Asset],Table41[[#This Row],[Asset Name]],Table20[Strategy],"put calendar spread",Table20[date_purchased],"&gt;"&amp;$C$872,Table20[date_purchased],"&lt;"&amp;$E$872)</f>
        <v>0</v>
      </c>
      <c r="K940" s="4">
        <f>SUMIFS(Table20[realized_profit],Table20[Asset],Table41[[#This Row],[Asset Name]],Table20[Strategy],"put spread",Table20[date_purchased],"&gt;"&amp;$C$872,Table20[date_purchased],"&lt;"&amp;$E$872)</f>
        <v>0</v>
      </c>
      <c r="L940" s="4">
        <f>SUMIFS(Table20[Invested],Table20[Asset],Table41[[#This Row],[Asset Name]],Table20[date_purchased],"&gt;"&amp;$C$872,Table20[date_purchased],"&lt;"&amp;$E$872)</f>
        <v>0</v>
      </c>
      <c r="M940" s="14">
        <f>IFERROR(Table41[[#This Row],[Within timeline]]/Table41[[#This Row],[Invested]],0)</f>
        <v>0</v>
      </c>
      <c r="N940" s="187">
        <v>12.5</v>
      </c>
      <c r="O940" s="179" cm="1">
        <f t="array" aca="1" ref="O940" ca="1">_FV(Table41[[#This Row],[Asset Name]],"Price")</f>
        <v>40.729999999999997</v>
      </c>
      <c r="P940" s="188">
        <v>15</v>
      </c>
      <c r="Q940" t="b">
        <f ca="1">IF(Table41[[#This Row],[Current Price]]&lt;Table41[[#This Row],[Put wall]]*1.02,TRUE,FALSE)</f>
        <v>0</v>
      </c>
      <c r="R940" t="b">
        <f ca="1">IF(Table41[[#This Row],[Current Price]]&gt;Table41[[#This Row],[Call wall]]*0.98,TRUE,FALSE)</f>
        <v>1</v>
      </c>
      <c r="S940" s="4">
        <f>SUMIF(Table20[Asset],Table41[[#This Row],[Asset Name]],Table20[delta_exposure])</f>
        <v>0</v>
      </c>
      <c r="T940" s="36" t="str" cm="1">
        <f t="array" aca="1" ref="T940" ca="1">_FV(Table41[[#This Row],[Asset Name]],"Instrument type",TRUE)</f>
        <v>Stock</v>
      </c>
      <c r="U940" s="183">
        <v>45666</v>
      </c>
      <c r="V940" t="str">
        <f>VLOOKUP(Table41[[#This Row],[Asset Name]],Table19[#All],3,FALSE)</f>
        <v>Semiconductor</v>
      </c>
      <c r="X940" t="str">
        <f>VLOOKUP(Table41[[#This Row],[Asset Name]],Table19[#All],4,FALSE)</f>
        <v>Auto</v>
      </c>
      <c r="Y940" s="147" t="str">
        <f ca="1">IF(Table41[[#This Row],[Current Price]]&lt;Table41[[#This Row],[Put wall]]*1.02,"✅",IF(Table41[[#This Row],[Current Price]]&gt;Table41[[#This Row],[Call wall]]*0.98,"🔻",""))</f>
        <v>🔻</v>
      </c>
      <c r="Z940" s="203">
        <f ca="1">Table41[[#This Row],[Current Price]]/Table41[[#This Row],[Put wall]]-1</f>
        <v>2.2584</v>
      </c>
      <c r="AA940" s="206">
        <f ca="1">Table41[[#This Row],[Current Price]]/Table41[[#This Row],[Call wall]]-1</f>
        <v>1.7153333333333332</v>
      </c>
    </row>
    <row r="941" spans="1:27" hidden="1">
      <c r="A941" s="194" t="e" vm="121">
        <v>#VALUE!</v>
      </c>
      <c r="B941" s="13" t="str" cm="1">
        <f t="array" aca="1" ref="B941" ca="1">_FV(Table41[[#This Row],[Asset Name]],"Ticker symbol",TRUE)</f>
        <v>IWM</v>
      </c>
      <c r="C941" s="4">
        <f>SUMIF(Table20[Asset],Table41[[#This Row],[Asset Name]],Table20[realized_profit])</f>
        <v>-331.99999999999994</v>
      </c>
      <c r="D941" s="4">
        <f>SUMIFS(Table20[realized_profit],Table20[Asset],Table41[[#This Row],[Asset Name]],Table20[date_purchased],"&gt;"&amp;$C$872,Table20[date_purchased],"&lt;"&amp;$E$872)</f>
        <v>0</v>
      </c>
      <c r="E941" s="4">
        <f>SUMIFS(Table20[realized_profit],Table20[Asset],Table41[[#This Row],[Asset Name]],Table20[Bullish or Bearish],"Bullish",Table20[date_purchased],"&gt;"&amp;$C$872,Table20[date_purchased],"&lt;"&amp;$E$872)</f>
        <v>0</v>
      </c>
      <c r="F941" s="4">
        <f>SUMIFS(Table20[realized_profit],Table20[Asset],Table41[[#This Row],[Asset Name]],Table20[Bullish or Bearish],"Bearish",Table20[date_purchased],"&gt;"&amp;$C$872,Table20[date_purchased],"&lt;"&amp;$E$872)</f>
        <v>0</v>
      </c>
      <c r="G941" s="4">
        <f>SUMIFS(Table20[realized_profit],Table20[Asset],Table41[[#This Row],[Asset Name]],Table20[Strategy],"call",Table20[date_purchased],"&gt;"&amp;$C$872,Table20[date_purchased],"&lt;"&amp;$E$872)</f>
        <v>0</v>
      </c>
      <c r="H941" s="4">
        <f>SUMIFS(Table20[realized_profit],Table20[Asset],Table41[[#This Row],[Asset Name]],Table20[Strategy],"put",Table20[date_purchased],"&gt;"&amp;$C$872,Table20[date_purchased],"&lt;"&amp;$E$872)</f>
        <v>0</v>
      </c>
      <c r="I941" s="4">
        <f>SUMIFS(Table20[realized_profit],Table20[Asset],Table41[[#This Row],[Asset Name]],Table20[Strategy],"calendar spread",Table20[date_purchased],"&gt;"&amp;$C$872,Table20[date_purchased],"&lt;"&amp;$E$872)</f>
        <v>0</v>
      </c>
      <c r="J941" s="4">
        <f>SUMIFS(Table20[realized_profit],Table20[Asset],Table41[[#This Row],[Asset Name]],Table20[Strategy],"put calendar spread",Table20[date_purchased],"&gt;"&amp;$C$872,Table20[date_purchased],"&lt;"&amp;$E$872)</f>
        <v>0</v>
      </c>
      <c r="K941" s="4">
        <f>SUMIFS(Table20[realized_profit],Table20[Asset],Table41[[#This Row],[Asset Name]],Table20[Strategy],"put spread",Table20[date_purchased],"&gt;"&amp;$C$872,Table20[date_purchased],"&lt;"&amp;$E$872)</f>
        <v>0</v>
      </c>
      <c r="L941" s="4">
        <f>SUMIFS(Table20[Invested],Table20[Asset],Table41[[#This Row],[Asset Name]],Table20[date_purchased],"&gt;"&amp;$C$872,Table20[date_purchased],"&lt;"&amp;$E$872)</f>
        <v>0</v>
      </c>
      <c r="M941" s="14">
        <f>IFERROR(Table41[[#This Row],[Within timeline]]/Table41[[#This Row],[Invested]],0)</f>
        <v>0</v>
      </c>
      <c r="N941" s="187">
        <v>210</v>
      </c>
      <c r="O941" s="9" cm="1">
        <f t="array" aca="1" ref="O941" ca="1">_FV(Table41[[#This Row],[Asset Name]],"Price")</f>
        <v>252.46010000000001</v>
      </c>
      <c r="P941" s="188">
        <v>230</v>
      </c>
      <c r="Q941" t="b">
        <f ca="1">IF(Table41[[#This Row],[Current Price]]&lt;Table41[[#This Row],[Put wall]]*1.02,TRUE,FALSE)</f>
        <v>0</v>
      </c>
      <c r="R941" t="b">
        <f ca="1">IF(Table41[[#This Row],[Current Price]]&gt;Table41[[#This Row],[Call wall]]*0.98,TRUE,FALSE)</f>
        <v>1</v>
      </c>
      <c r="S941" s="4">
        <f ca="1">SUMIF(Table20[Asset],Table41[[#This Row],[Asset Name]],Table20[delta_exposure])</f>
        <v>0</v>
      </c>
      <c r="T941" s="36" t="str" cm="1">
        <f t="array" aca="1" ref="T941" ca="1">_FV(Table41[[#This Row],[Asset Name]],"Instrument type",TRUE)</f>
        <v>ETF</v>
      </c>
      <c r="U941" s="183"/>
      <c r="V941" t="str">
        <f>VLOOKUP(Table41[[#This Row],[Asset Name]],Table19[#All],3,FALSE)</f>
        <v>Market</v>
      </c>
      <c r="X941" t="str">
        <f>VLOOKUP(Table41[[#This Row],[Asset Name]],Table19[#All],4,FALSE)</f>
        <v>Market</v>
      </c>
      <c r="Y941" s="147" t="str">
        <f ca="1">IF(Table41[[#This Row],[Current Price]]&lt;Table41[[#This Row],[Put wall]]*1.02,"✅",IF(Table41[[#This Row],[Current Price]]&gt;Table41[[#This Row],[Call wall]]*0.98,"🔻",""))</f>
        <v>🔻</v>
      </c>
      <c r="Z941" s="203">
        <f ca="1">Table41[[#This Row],[Current Price]]/Table41[[#This Row],[Put wall]]-1</f>
        <v>0.20219095238095242</v>
      </c>
      <c r="AA941" s="206">
        <f ca="1">Table41[[#This Row],[Current Price]]/Table41[[#This Row],[Call wall]]-1</f>
        <v>9.7652608695652177E-2</v>
      </c>
    </row>
    <row r="942" spans="1:27" hidden="1">
      <c r="A942" s="194" t="e" vm="58">
        <v>#VALUE!</v>
      </c>
      <c r="B942" s="189" t="str" cm="1">
        <f t="array" aca="1" ref="B942" ca="1">_FV(Table41[[#This Row],[Asset Name]],"Ticker symbol",TRUE)</f>
        <v>LNG</v>
      </c>
      <c r="C942" s="4">
        <f>SUMIF(Table20[Asset],Table41[[#This Row],[Asset Name]],Table20[realized_profit])</f>
        <v>0</v>
      </c>
      <c r="D942" s="4">
        <f>SUMIFS(Table20[realized_profit],Table20[Asset],Table41[[#This Row],[Asset Name]],Table20[date_purchased],"&gt;"&amp;$C$872,Table20[date_purchased],"&lt;"&amp;$E$872)</f>
        <v>0</v>
      </c>
      <c r="E942" s="4">
        <f>SUMIFS(Table20[realized_profit],Table20[Asset],Table41[[#This Row],[Asset Name]],Table20[Bullish or Bearish],"Bullish",Table20[date_purchased],"&gt;"&amp;$C$872,Table20[date_purchased],"&lt;"&amp;$E$872)</f>
        <v>0</v>
      </c>
      <c r="F942" s="4">
        <f>SUMIFS(Table20[realized_profit],Table20[Asset],Table41[[#This Row],[Asset Name]],Table20[Bullish or Bearish],"Bearish",Table20[date_purchased],"&gt;"&amp;$C$872,Table20[date_purchased],"&lt;"&amp;$E$872)</f>
        <v>0</v>
      </c>
      <c r="G942" s="4">
        <f>SUMIFS(Table20[realized_profit],Table20[Asset],Table41[[#This Row],[Asset Name]],Table20[Strategy],"call",Table20[date_purchased],"&gt;"&amp;$C$872,Table20[date_purchased],"&lt;"&amp;$E$872)</f>
        <v>0</v>
      </c>
      <c r="H942" s="4">
        <f>SUMIFS(Table20[realized_profit],Table20[Asset],Table41[[#This Row],[Asset Name]],Table20[Strategy],"put",Table20[date_purchased],"&gt;"&amp;$C$872,Table20[date_purchased],"&lt;"&amp;$E$872)</f>
        <v>0</v>
      </c>
      <c r="I942" s="4">
        <f>SUMIFS(Table20[realized_profit],Table20[Asset],Table41[[#This Row],[Asset Name]],Table20[Strategy],"calendar spread",Table20[date_purchased],"&gt;"&amp;$C$872,Table20[date_purchased],"&lt;"&amp;$E$872)</f>
        <v>0</v>
      </c>
      <c r="J942" s="4">
        <f>SUMIFS(Table20[realized_profit],Table20[Asset],Table41[[#This Row],[Asset Name]],Table20[Strategy],"put calendar spread",Table20[date_purchased],"&gt;"&amp;$C$872,Table20[date_purchased],"&lt;"&amp;$E$872)</f>
        <v>0</v>
      </c>
      <c r="K942" s="4">
        <f>SUMIFS(Table20[realized_profit],Table20[Asset],Table41[[#This Row],[Asset Name]],Table20[Strategy],"put spread",Table20[date_purchased],"&gt;"&amp;$C$872,Table20[date_purchased],"&lt;"&amp;$E$872)</f>
        <v>0</v>
      </c>
      <c r="L942" s="4">
        <f>SUMIFS(Table20[Invested],Table20[Asset],Table41[[#This Row],[Asset Name]],Table20[date_purchased],"&gt;"&amp;$C$872,Table20[date_purchased],"&lt;"&amp;$E$872)</f>
        <v>0</v>
      </c>
      <c r="M942" s="14">
        <f>IFERROR(Table41[[#This Row],[Within timeline]]/Table41[[#This Row],[Invested]],0)</f>
        <v>0</v>
      </c>
      <c r="N942" s="187">
        <v>160</v>
      </c>
      <c r="O942" s="179" cm="1">
        <f t="array" aca="1" ref="O942" ca="1">_FV(Table41[[#This Row],[Asset Name]],"Price")</f>
        <v>284.95</v>
      </c>
      <c r="P942" s="188">
        <v>185</v>
      </c>
      <c r="Q942" t="b">
        <f ca="1">IF(Table41[[#This Row],[Current Price]]&lt;Table41[[#This Row],[Put wall]]*1.02,TRUE,FALSE)</f>
        <v>0</v>
      </c>
      <c r="R942" t="b">
        <f ca="1">IF(Table41[[#This Row],[Current Price]]&gt;Table41[[#This Row],[Call wall]]*0.98,TRUE,FALSE)</f>
        <v>1</v>
      </c>
      <c r="S942" s="4">
        <f>SUMIF(Table20[Asset],Table41[[#This Row],[Asset Name]],Table20[delta_exposure])</f>
        <v>0</v>
      </c>
      <c r="T942" s="36" t="str" cm="1">
        <f t="array" aca="1" ref="T942" ca="1">_FV(Table41[[#This Row],[Asset Name]],"Instrument type",TRUE)</f>
        <v>Stock</v>
      </c>
      <c r="U942" s="183">
        <v>45596</v>
      </c>
      <c r="V942" t="str">
        <f>VLOOKUP(Table41[[#This Row],[Asset Name]],Table19[#All],3,FALSE)</f>
        <v>Energy</v>
      </c>
      <c r="X942" t="str">
        <f>VLOOKUP(Table41[[#This Row],[Asset Name]],Table19[#All],4,FALSE)</f>
        <v>Energy</v>
      </c>
      <c r="Y942" s="147" t="str">
        <f ca="1">IF(Table41[[#This Row],[Current Price]]&lt;Table41[[#This Row],[Put wall]]*1.02,"✅",IF(Table41[[#This Row],[Current Price]]&gt;Table41[[#This Row],[Call wall]]*0.98,"🔻",""))</f>
        <v>🔻</v>
      </c>
      <c r="Z942" s="203">
        <f ca="1">Table41[[#This Row],[Current Price]]/Table41[[#This Row],[Put wall]]-1</f>
        <v>0.78093749999999984</v>
      </c>
      <c r="AA942" s="206">
        <f ca="1">Table41[[#This Row],[Current Price]]/Table41[[#This Row],[Call wall]]-1</f>
        <v>0.54027027027027019</v>
      </c>
    </row>
    <row r="943" spans="1:27" hidden="1">
      <c r="A943" s="194" t="e" vm="122">
        <v>#VALUE!</v>
      </c>
      <c r="B943" s="13" t="str" cm="1">
        <f t="array" aca="1" ref="B943" ca="1">_FV(Table41[[#This Row],[Asset Name]],"Ticker symbol",TRUE)</f>
        <v>AVGO</v>
      </c>
      <c r="C943" s="4">
        <f>SUMIF(Table20[Asset],Table41[[#This Row],[Asset Name]],Table20[realized_profit])</f>
        <v>-87.000000000000909</v>
      </c>
      <c r="D943" s="4">
        <f>SUMIFS(Table20[realized_profit],Table20[Asset],Table41[[#This Row],[Asset Name]],Table20[date_purchased],"&gt;"&amp;$C$872,Table20[date_purchased],"&lt;"&amp;$E$872)</f>
        <v>-87.000000000000909</v>
      </c>
      <c r="E943" s="4">
        <f>SUMIFS(Table20[realized_profit],Table20[Asset],Table41[[#This Row],[Asset Name]],Table20[Bullish or Bearish],"Bullish",Table20[date_purchased],"&gt;"&amp;$C$872,Table20[date_purchased],"&lt;"&amp;$E$872)</f>
        <v>-87.000000000000909</v>
      </c>
      <c r="F943" s="4">
        <f>SUMIFS(Table20[realized_profit],Table20[Asset],Table41[[#This Row],[Asset Name]],Table20[Bullish or Bearish],"Bearish",Table20[date_purchased],"&gt;"&amp;$C$872,Table20[date_purchased],"&lt;"&amp;$E$872)</f>
        <v>0</v>
      </c>
      <c r="G943" s="4">
        <f>SUMIFS(Table20[realized_profit],Table20[Asset],Table41[[#This Row],[Asset Name]],Table20[Strategy],"call",Table20[date_purchased],"&gt;"&amp;$C$872,Table20[date_purchased],"&lt;"&amp;$E$872)</f>
        <v>0</v>
      </c>
      <c r="H943" s="4">
        <f>SUMIFS(Table20[realized_profit],Table20[Asset],Table41[[#This Row],[Asset Name]],Table20[Strategy],"put",Table20[date_purchased],"&gt;"&amp;$C$872,Table20[date_purchased],"&lt;"&amp;$E$872)</f>
        <v>0</v>
      </c>
      <c r="I943" s="4">
        <f>SUMIFS(Table20[realized_profit],Table20[Asset],Table41[[#This Row],[Asset Name]],Table20[Strategy],"calendar spread",Table20[date_purchased],"&gt;"&amp;$C$872,Table20[date_purchased],"&lt;"&amp;$E$872)</f>
        <v>-87.000000000000909</v>
      </c>
      <c r="J943" s="4">
        <f>SUMIFS(Table20[realized_profit],Table20[Asset],Table41[[#This Row],[Asset Name]],Table20[Strategy],"put calendar spread",Table20[date_purchased],"&gt;"&amp;$C$872,Table20[date_purchased],"&lt;"&amp;$E$872)</f>
        <v>0</v>
      </c>
      <c r="K943" s="4">
        <f>SUMIFS(Table20[realized_profit],Table20[Asset],Table41[[#This Row],[Asset Name]],Table20[Strategy],"put spread",Table20[date_purchased],"&gt;"&amp;$C$872,Table20[date_purchased],"&lt;"&amp;$E$872)</f>
        <v>0</v>
      </c>
      <c r="L943" s="4">
        <f>SUMIFS(Table20[Invested],Table20[Asset],Table41[[#This Row],[Asset Name]],Table20[date_purchased],"&gt;"&amp;$C$872,Table20[date_purchased],"&lt;"&amp;$E$872)</f>
        <v>312</v>
      </c>
      <c r="M943" s="14">
        <f>IFERROR(Table41[[#This Row],[Within timeline]]/Table41[[#This Row],[Invested]],0)</f>
        <v>-0.27884615384615674</v>
      </c>
      <c r="N943" s="187">
        <v>140</v>
      </c>
      <c r="O943" s="9" cm="1">
        <f t="array" aca="1" ref="O943" ca="1">_FV(Table41[[#This Row],[Asset Name]],"Price")</f>
        <v>321.02</v>
      </c>
      <c r="P943" s="188">
        <v>180</v>
      </c>
      <c r="Q943" t="b">
        <f ca="1">IF(Table41[[#This Row],[Current Price]]&lt;Table41[[#This Row],[Put wall]]*1.02,TRUE,FALSE)</f>
        <v>0</v>
      </c>
      <c r="R943" t="b">
        <f ca="1">IF(Table41[[#This Row],[Current Price]]&gt;Table41[[#This Row],[Call wall]]*0.98,TRUE,FALSE)</f>
        <v>1</v>
      </c>
      <c r="S943" s="4">
        <f ca="1">SUMIF(Table20[Asset],Table41[[#This Row],[Asset Name]],Table20[delta_exposure])</f>
        <v>0</v>
      </c>
      <c r="T943" s="36" t="str" cm="1">
        <f t="array" aca="1" ref="T943" ca="1">_FV(Table41[[#This Row],[Asset Name]],"Instrument type",TRUE)</f>
        <v>Stock</v>
      </c>
      <c r="U943" s="183">
        <v>45631</v>
      </c>
      <c r="V943" t="str">
        <f>VLOOKUP(Table41[[#This Row],[Asset Name]],Table19[#All],3,FALSE)</f>
        <v>AI</v>
      </c>
      <c r="X943" t="str">
        <f>VLOOKUP(Table41[[#This Row],[Asset Name]],Table19[#All],4,FALSE)</f>
        <v>Semiconductor</v>
      </c>
      <c r="Y943" s="147" t="str">
        <f ca="1">IF(Table41[[#This Row],[Current Price]]&lt;Table41[[#This Row],[Put wall]]*1.02,"✅",IF(Table41[[#This Row],[Current Price]]&gt;Table41[[#This Row],[Call wall]]*0.98,"🔻",""))</f>
        <v>🔻</v>
      </c>
      <c r="Z943" s="203">
        <f ca="1">Table41[[#This Row],[Current Price]]/Table41[[#This Row],[Put wall]]-1</f>
        <v>1.2929999999999997</v>
      </c>
      <c r="AA943" s="206">
        <f ca="1">Table41[[#This Row],[Current Price]]/Table41[[#This Row],[Call wall]]-1</f>
        <v>0.78344444444444439</v>
      </c>
    </row>
    <row r="944" spans="1:27" hidden="1">
      <c r="A944" s="194" t="e" vm="123">
        <v>#VALUE!</v>
      </c>
      <c r="B944" s="13" t="str" cm="1">
        <f t="array" aca="1" ref="B944" ca="1">_FV(Table41[[#This Row],[Asset Name]],"Ticker symbol",TRUE)</f>
        <v>GLW</v>
      </c>
      <c r="C944" s="4">
        <f>SUMIF(Table20[Asset],Table41[[#This Row],[Asset Name]],Table20[realized_profit])</f>
        <v>0</v>
      </c>
      <c r="D944" s="4">
        <f>SUMIFS(Table20[realized_profit],Table20[Asset],Table41[[#This Row],[Asset Name]],Table20[date_purchased],"&gt;"&amp;$C$872,Table20[date_purchased],"&lt;"&amp;$E$872)</f>
        <v>0</v>
      </c>
      <c r="E944" s="4">
        <f>SUMIFS(Table20[realized_profit],Table20[Asset],Table41[[#This Row],[Asset Name]],Table20[Bullish or Bearish],"Bullish",Table20[date_purchased],"&gt;"&amp;$C$872,Table20[date_purchased],"&lt;"&amp;$E$872)</f>
        <v>0</v>
      </c>
      <c r="F944" s="4">
        <f>SUMIFS(Table20[realized_profit],Table20[Asset],Table41[[#This Row],[Asset Name]],Table20[Bullish or Bearish],"Bearish",Table20[date_purchased],"&gt;"&amp;$C$872,Table20[date_purchased],"&lt;"&amp;$E$872)</f>
        <v>0</v>
      </c>
      <c r="G944" s="4">
        <f>SUMIFS(Table20[realized_profit],Table20[Asset],Table41[[#This Row],[Asset Name]],Table20[Strategy],"call",Table20[date_purchased],"&gt;"&amp;$C$872,Table20[date_purchased],"&lt;"&amp;$E$872)</f>
        <v>0</v>
      </c>
      <c r="H944" s="4">
        <f>SUMIFS(Table20[realized_profit],Table20[Asset],Table41[[#This Row],[Asset Name]],Table20[Strategy],"put",Table20[date_purchased],"&gt;"&amp;$C$872,Table20[date_purchased],"&lt;"&amp;$E$872)</f>
        <v>0</v>
      </c>
      <c r="I944" s="4">
        <f>SUMIFS(Table20[realized_profit],Table20[Asset],Table41[[#This Row],[Asset Name]],Table20[Strategy],"calendar spread",Table20[date_purchased],"&gt;"&amp;$C$872,Table20[date_purchased],"&lt;"&amp;$E$872)</f>
        <v>0</v>
      </c>
      <c r="J944" s="4">
        <f>SUMIFS(Table20[realized_profit],Table20[Asset],Table41[[#This Row],[Asset Name]],Table20[Strategy],"put calendar spread",Table20[date_purchased],"&gt;"&amp;$C$872,Table20[date_purchased],"&lt;"&amp;$E$872)</f>
        <v>0</v>
      </c>
      <c r="K944" s="4">
        <f>SUMIFS(Table20[realized_profit],Table20[Asset],Table41[[#This Row],[Asset Name]],Table20[Strategy],"put spread",Table20[date_purchased],"&gt;"&amp;$C$872,Table20[date_purchased],"&lt;"&amp;$E$872)</f>
        <v>0</v>
      </c>
      <c r="L944" s="4">
        <f>SUMIFS(Table20[Invested],Table20[Asset],Table41[[#This Row],[Asset Name]],Table20[date_purchased],"&gt;"&amp;$C$872,Table20[date_purchased],"&lt;"&amp;$E$872)</f>
        <v>0</v>
      </c>
      <c r="M944" s="14">
        <f>IFERROR(Table41[[#This Row],[Within timeline]]/Table41[[#This Row],[Invested]],0)</f>
        <v>0</v>
      </c>
      <c r="N944" s="187">
        <v>43</v>
      </c>
      <c r="O944" s="179" cm="1">
        <f t="array" aca="1" ref="O944" ca="1">_FV(Table41[[#This Row],[Asset Name]],"Price")</f>
        <v>149.19999999999999</v>
      </c>
      <c r="P944" s="188">
        <v>49</v>
      </c>
      <c r="Q944" t="b">
        <f ca="1">IF(Table41[[#This Row],[Current Price]]&lt;Table41[[#This Row],[Put wall]]*1.02,TRUE,FALSE)</f>
        <v>0</v>
      </c>
      <c r="R944" t="b">
        <f ca="1">IF(Table41[[#This Row],[Current Price]]&gt;Table41[[#This Row],[Call wall]]*0.98,TRUE,FALSE)</f>
        <v>1</v>
      </c>
      <c r="S944" s="4">
        <f>SUMIF(Table20[Asset],Table41[[#This Row],[Asset Name]],Table20[delta_exposure])</f>
        <v>0</v>
      </c>
      <c r="T944" s="36" t="str" cm="1">
        <f t="array" aca="1" ref="T944" ca="1">_FV(Table41[[#This Row],[Asset Name]],"Instrument type",TRUE)</f>
        <v>Stock</v>
      </c>
      <c r="U944" s="183">
        <v>45587</v>
      </c>
      <c r="V944" t="str">
        <f>VLOOKUP(Table41[[#This Row],[Asset Name]],Table19[#All],3,FALSE)</f>
        <v>Connectivity</v>
      </c>
      <c r="X944" t="str">
        <f>VLOOKUP(Table41[[#This Row],[Asset Name]],Table19[#All],4,FALSE)</f>
        <v>Technology</v>
      </c>
      <c r="Y944" s="147" t="str">
        <f ca="1">IF(Table41[[#This Row],[Current Price]]&lt;Table41[[#This Row],[Put wall]]*1.02,"✅",IF(Table41[[#This Row],[Current Price]]&gt;Table41[[#This Row],[Call wall]]*0.98,"🔻",""))</f>
        <v>🔻</v>
      </c>
      <c r="Z944" s="203">
        <f ca="1">Table41[[#This Row],[Current Price]]/Table41[[#This Row],[Put wall]]-1</f>
        <v>2.4697674418604647</v>
      </c>
      <c r="AA944" s="206">
        <f ca="1">Table41[[#This Row],[Current Price]]/Table41[[#This Row],[Call wall]]-1</f>
        <v>2.0448979591836731</v>
      </c>
    </row>
    <row r="945" spans="1:27" hidden="1">
      <c r="A945" s="194" t="e" vm="124">
        <v>#VALUE!</v>
      </c>
      <c r="B945" s="189" t="str" cm="1">
        <f t="array" aca="1" ref="B945" ca="1">_FV(Table41[[#This Row],[Asset Name]],"Ticker symbol",TRUE)</f>
        <v>S</v>
      </c>
      <c r="C945" s="4">
        <f>SUMIF(Table20[Asset],Table41[[#This Row],[Asset Name]],Table20[realized_profit])</f>
        <v>-185</v>
      </c>
      <c r="D945" s="4">
        <f>SUMIFS(Table20[realized_profit],Table20[Asset],Table41[[#This Row],[Asset Name]],Table20[date_purchased],"&gt;"&amp;$C$872,Table20[date_purchased],"&lt;"&amp;$E$872)</f>
        <v>0</v>
      </c>
      <c r="E945" s="4">
        <f>SUMIFS(Table20[realized_profit],Table20[Asset],Table41[[#This Row],[Asset Name]],Table20[Bullish or Bearish],"Bullish",Table20[date_purchased],"&gt;"&amp;$C$872,Table20[date_purchased],"&lt;"&amp;$E$872)</f>
        <v>0</v>
      </c>
      <c r="F945" s="4">
        <f>SUMIFS(Table20[realized_profit],Table20[Asset],Table41[[#This Row],[Asset Name]],Table20[Bullish or Bearish],"Bearish",Table20[date_purchased],"&gt;"&amp;$C$872,Table20[date_purchased],"&lt;"&amp;$E$872)</f>
        <v>0</v>
      </c>
      <c r="G945" s="4">
        <f>SUMIFS(Table20[realized_profit],Table20[Asset],Table41[[#This Row],[Asset Name]],Table20[Strategy],"call",Table20[date_purchased],"&gt;"&amp;$C$872,Table20[date_purchased],"&lt;"&amp;$E$872)</f>
        <v>0</v>
      </c>
      <c r="H945" s="4">
        <f>SUMIFS(Table20[realized_profit],Table20[Asset],Table41[[#This Row],[Asset Name]],Table20[Strategy],"put",Table20[date_purchased],"&gt;"&amp;$C$872,Table20[date_purchased],"&lt;"&amp;$E$872)</f>
        <v>0</v>
      </c>
      <c r="I945" s="4">
        <f>SUMIFS(Table20[realized_profit],Table20[Asset],Table41[[#This Row],[Asset Name]],Table20[Strategy],"calendar spread",Table20[date_purchased],"&gt;"&amp;$C$872,Table20[date_purchased],"&lt;"&amp;$E$872)</f>
        <v>0</v>
      </c>
      <c r="J945" s="4">
        <f>SUMIFS(Table20[realized_profit],Table20[Asset],Table41[[#This Row],[Asset Name]],Table20[Strategy],"put calendar spread",Table20[date_purchased],"&gt;"&amp;$C$872,Table20[date_purchased],"&lt;"&amp;$E$872)</f>
        <v>0</v>
      </c>
      <c r="K945" s="4">
        <f>SUMIFS(Table20[realized_profit],Table20[Asset],Table41[[#This Row],[Asset Name]],Table20[Strategy],"put spread",Table20[date_purchased],"&gt;"&amp;$C$872,Table20[date_purchased],"&lt;"&amp;$E$872)</f>
        <v>0</v>
      </c>
      <c r="L945" s="4">
        <f>SUMIFS(Table20[Invested],Table20[Asset],Table41[[#This Row],[Asset Name]],Table20[date_purchased],"&gt;"&amp;$C$872,Table20[date_purchased],"&lt;"&amp;$E$872)</f>
        <v>0</v>
      </c>
      <c r="M945" s="14">
        <f>IFERROR(Table41[[#This Row],[Within timeline]]/Table41[[#This Row],[Invested]],0)</f>
        <v>0</v>
      </c>
      <c r="N945" s="187">
        <v>21</v>
      </c>
      <c r="O945" s="179" cm="1">
        <f t="array" aca="1" ref="O945" ca="1">_FV(Table41[[#This Row],[Asset Name]],"Price")</f>
        <v>13.605</v>
      </c>
      <c r="P945" s="188">
        <v>27</v>
      </c>
      <c r="Q945" t="b">
        <f ca="1">IF(Table41[[#This Row],[Current Price]]&lt;Table41[[#This Row],[Put wall]]*1.02,TRUE,FALSE)</f>
        <v>1</v>
      </c>
      <c r="R945" t="b">
        <f ca="1">IF(Table41[[#This Row],[Current Price]]&gt;Table41[[#This Row],[Call wall]]*0.98,TRUE,FALSE)</f>
        <v>0</v>
      </c>
      <c r="S945" s="4">
        <f ca="1">SUMIF(Table20[Asset],Table41[[#This Row],[Asset Name]],Table20[delta_exposure])</f>
        <v>0</v>
      </c>
      <c r="T945" s="36" t="str" cm="1">
        <f t="array" aca="1" ref="T945" ca="1">_FV(Table41[[#This Row],[Asset Name]],"Instrument type",TRUE)</f>
        <v>Stock</v>
      </c>
      <c r="U945" s="183">
        <v>45630</v>
      </c>
      <c r="V945" t="str">
        <f>VLOOKUP(Table41[[#This Row],[Asset Name]],Table19[#All],3,FALSE)</f>
        <v>Technology</v>
      </c>
      <c r="X945" s="194" t="str">
        <f>VLOOKUP(Table41[[#This Row],[Asset Name]],Table19[#All],4,FALSE)</f>
        <v>Cyber Security</v>
      </c>
      <c r="Y945" s="189" t="str">
        <f ca="1">IF(Table41[[#This Row],[Current Price]]&lt;Table41[[#This Row],[Put wall]]*1.02,"✅",IF(Table41[[#This Row],[Current Price]]&gt;Table41[[#This Row],[Call wall]]*0.98,"🔻",""))</f>
        <v>✅</v>
      </c>
      <c r="Z945" s="203">
        <f ca="1">Table41[[#This Row],[Current Price]]/Table41[[#This Row],[Put wall]]-1</f>
        <v>-0.35214285714285709</v>
      </c>
      <c r="AA945" s="207">
        <f ca="1">Table41[[#This Row],[Current Price]]/Table41[[#This Row],[Call wall]]-1</f>
        <v>-0.49611111111111106</v>
      </c>
    </row>
    <row r="946" spans="1:27" hidden="1">
      <c r="A946" s="217" t="e" vm="72">
        <v>#VALUE!</v>
      </c>
      <c r="B946" s="189" t="str" cm="1">
        <f t="array" aca="1" ref="B946" ca="1">_FV(Table41[[#This Row],[Asset Name]],"Ticker symbol",TRUE)</f>
        <v>AIRS</v>
      </c>
      <c r="C946" s="4">
        <f>SUMIF(Table20[Asset],Table41[[#This Row],[Asset Name]],Table20[realized_profit])</f>
        <v>0</v>
      </c>
      <c r="D946" s="4">
        <f>SUMIFS(Table20[realized_profit],Table20[Asset],Table41[[#This Row],[Asset Name]],Table20[date_purchased],"&gt;"&amp;$C$872,Table20[date_purchased],"&lt;"&amp;$E$872)</f>
        <v>0</v>
      </c>
      <c r="E946" s="4">
        <f>SUMIFS(Table20[realized_profit],Table20[Asset],Table41[[#This Row],[Asset Name]],Table20[Bullish or Bearish],"Bullish",Table20[date_purchased],"&gt;"&amp;$C$872,Table20[date_purchased],"&lt;"&amp;$E$872)</f>
        <v>0</v>
      </c>
      <c r="F946" s="4">
        <f>SUMIFS(Table20[realized_profit],Table20[Asset],Table41[[#This Row],[Asset Name]],Table20[Bullish or Bearish],"Bearish",Table20[date_purchased],"&gt;"&amp;$C$872,Table20[date_purchased],"&lt;"&amp;$E$872)</f>
        <v>0</v>
      </c>
      <c r="G946" s="4">
        <f>SUMIFS(Table20[realized_profit],Table20[Asset],Table41[[#This Row],[Asset Name]],Table20[Strategy],"call",Table20[date_purchased],"&gt;"&amp;$C$872,Table20[date_purchased],"&lt;"&amp;$E$872)</f>
        <v>0</v>
      </c>
      <c r="H946" s="4">
        <f>SUMIFS(Table20[realized_profit],Table20[Asset],Table41[[#This Row],[Asset Name]],Table20[Strategy],"put",Table20[date_purchased],"&gt;"&amp;$C$872,Table20[date_purchased],"&lt;"&amp;$E$872)</f>
        <v>0</v>
      </c>
      <c r="I946" s="4">
        <f>SUMIFS(Table20[realized_profit],Table20[Asset],Table41[[#This Row],[Asset Name]],Table20[Strategy],"calendar spread",Table20[date_purchased],"&gt;"&amp;$C$872,Table20[date_purchased],"&lt;"&amp;$E$872)</f>
        <v>0</v>
      </c>
      <c r="J946" s="4">
        <f>SUMIFS(Table20[realized_profit],Table20[Asset],Table41[[#This Row],[Asset Name]],Table20[Strategy],"put calendar spread",Table20[date_purchased],"&gt;"&amp;$C$872,Table20[date_purchased],"&lt;"&amp;$E$872)</f>
        <v>0</v>
      </c>
      <c r="K946" s="4">
        <f>SUMIFS(Table20[realized_profit],Table20[Asset],Table41[[#This Row],[Asset Name]],Table20[Strategy],"put spread",Table20[date_purchased],"&gt;"&amp;$C$872,Table20[date_purchased],"&lt;"&amp;$E$872)</f>
        <v>0</v>
      </c>
      <c r="L946" s="4">
        <f>SUMIFS(Table20[Invested],Table20[Asset],Table41[[#This Row],[Asset Name]],Table20[date_purchased],"&gt;"&amp;$C$872,Table20[date_purchased],"&lt;"&amp;$E$872)</f>
        <v>0</v>
      </c>
      <c r="M946" s="14">
        <f>IFERROR(Table41[[#This Row],[Within timeline]]/Table41[[#This Row],[Invested]],0)</f>
        <v>0</v>
      </c>
      <c r="N946" s="187">
        <v>4</v>
      </c>
      <c r="O946" s="179" cm="1">
        <f t="array" aca="1" ref="O946" ca="1">_FV(Table41[[#This Row],[Asset Name]],"Price")</f>
        <v>2.85</v>
      </c>
      <c r="P946" s="188">
        <v>9</v>
      </c>
      <c r="Q946" t="b">
        <f ca="1">IF(Table41[[#This Row],[Current Price]]&lt;Table41[[#This Row],[Put wall]]*1.02,TRUE,FALSE)</f>
        <v>1</v>
      </c>
      <c r="R946" t="b">
        <f ca="1">IF(Table41[[#This Row],[Current Price]]&gt;Table41[[#This Row],[Call wall]]*0.98,TRUE,FALSE)</f>
        <v>0</v>
      </c>
      <c r="S946" s="4">
        <f>SUMIF(Table20[Asset],Table41[[#This Row],[Asset Name]],Table20[delta_exposure])</f>
        <v>0</v>
      </c>
      <c r="T946" s="36" t="str" cm="1">
        <f t="array" aca="1" ref="T946" ca="1">_FV(Table41[[#This Row],[Asset Name]],"Instrument type",TRUE)</f>
        <v>Stock</v>
      </c>
      <c r="U946" s="183">
        <v>45604</v>
      </c>
      <c r="V946" t="str">
        <f>VLOOKUP(Table41[[#This Row],[Asset Name]],Table19[#All],3,FALSE)</f>
        <v>Health Care</v>
      </c>
      <c r="X946" s="194" t="str">
        <f>VLOOKUP(Table41[[#This Row],[Asset Name]],Table19[#All],4,FALSE)</f>
        <v>Health Care: Value Care</v>
      </c>
      <c r="Y946" s="189" t="str">
        <f ca="1">IF(Table41[[#This Row],[Current Price]]&lt;Table41[[#This Row],[Put wall]]*1.02,"✅",IF(Table41[[#This Row],[Current Price]]&gt;Table41[[#This Row],[Call wall]]*0.98,"🔻",""))</f>
        <v>✅</v>
      </c>
      <c r="Z946" s="204"/>
      <c r="AA946" s="207">
        <f ca="1">Table41[[#This Row],[Current Price]]/Table41[[#This Row],[Call wall]]-1</f>
        <v>-0.68333333333333335</v>
      </c>
    </row>
    <row r="947" spans="1:27" hidden="1">
      <c r="A947" s="194" t="e" vm="16">
        <v>#VALUE!</v>
      </c>
      <c r="B947" s="13" t="str" cm="1">
        <f t="array" aca="1" ref="B947" ca="1">_FV(Table41[[#This Row],[Asset Name]],"Ticker symbol",TRUE)</f>
        <v>GOOG</v>
      </c>
      <c r="C947" s="4">
        <f>SUMIF(Table20[Asset],Table41[[#This Row],[Asset Name]],Table20[realized_profit])</f>
        <v>4148.03</v>
      </c>
      <c r="D947" s="4">
        <f>SUMIFS(Table20[realized_profit],Table20[Asset],Table41[[#This Row],[Asset Name]],Table20[date_purchased],"&gt;"&amp;$C$872,Table20[date_purchased],"&lt;"&amp;$E$872)</f>
        <v>0</v>
      </c>
      <c r="E947" s="4">
        <f>SUMIFS(Table20[realized_profit],Table20[Asset],Table41[[#This Row],[Asset Name]],Table20[Bullish or Bearish],"Bullish",Table20[date_purchased],"&gt;"&amp;$C$872,Table20[date_purchased],"&lt;"&amp;$E$872)</f>
        <v>0</v>
      </c>
      <c r="F947" s="4">
        <f>SUMIFS(Table20[realized_profit],Table20[Asset],Table41[[#This Row],[Asset Name]],Table20[Bullish or Bearish],"Bearish",Table20[date_purchased],"&gt;"&amp;$C$872,Table20[date_purchased],"&lt;"&amp;$E$872)</f>
        <v>0</v>
      </c>
      <c r="G947" s="4">
        <f>SUMIFS(Table20[realized_profit],Table20[Asset],Table41[[#This Row],[Asset Name]],Table20[Strategy],"call",Table20[date_purchased],"&gt;"&amp;$C$872,Table20[date_purchased],"&lt;"&amp;$E$872)</f>
        <v>0</v>
      </c>
      <c r="H947" s="4">
        <f>SUMIFS(Table20[realized_profit],Table20[Asset],Table41[[#This Row],[Asset Name]],Table20[Strategy],"put",Table20[date_purchased],"&gt;"&amp;$C$872,Table20[date_purchased],"&lt;"&amp;$E$872)</f>
        <v>0</v>
      </c>
      <c r="I947" s="4">
        <f>SUMIFS(Table20[realized_profit],Table20[Asset],Table41[[#This Row],[Asset Name]],Table20[Strategy],"calendar spread",Table20[date_purchased],"&gt;"&amp;$C$872,Table20[date_purchased],"&lt;"&amp;$E$872)</f>
        <v>0</v>
      </c>
      <c r="J947" s="4">
        <f>SUMIFS(Table20[realized_profit],Table20[Asset],Table41[[#This Row],[Asset Name]],Table20[Strategy],"put calendar spread",Table20[date_purchased],"&gt;"&amp;$C$872,Table20[date_purchased],"&lt;"&amp;$E$872)</f>
        <v>0</v>
      </c>
      <c r="K947" s="4">
        <f>SUMIFS(Table20[realized_profit],Table20[Asset],Table41[[#This Row],[Asset Name]],Table20[Strategy],"put spread",Table20[date_purchased],"&gt;"&amp;$C$872,Table20[date_purchased],"&lt;"&amp;$E$872)</f>
        <v>0</v>
      </c>
      <c r="L947" s="4">
        <f>SUMIFS(Table20[Invested],Table20[Asset],Table41[[#This Row],[Asset Name]],Table20[date_purchased],"&gt;"&amp;$C$872,Table20[date_purchased],"&lt;"&amp;$E$872)</f>
        <v>0</v>
      </c>
      <c r="M947" s="14">
        <f>IFERROR(Table41[[#This Row],[Within timeline]]/Table41[[#This Row],[Invested]],0)</f>
        <v>0</v>
      </c>
      <c r="N947" s="187">
        <v>170</v>
      </c>
      <c r="O947" s="9" cm="1">
        <f t="array" aca="1" ref="O947" ca="1">_FV(Table41[[#This Row],[Asset Name]],"Price")</f>
        <v>290.39</v>
      </c>
      <c r="P947" s="188">
        <v>180</v>
      </c>
      <c r="Q947" t="b">
        <f ca="1">IF(Table41[[#This Row],[Current Price]]&lt;Table41[[#This Row],[Put wall]]*1.02,TRUE,FALSE)</f>
        <v>0</v>
      </c>
      <c r="R947" t="b">
        <f ca="1">IF(Table41[[#This Row],[Current Price]]&gt;Table41[[#This Row],[Call wall]]*0.98,TRUE,FALSE)</f>
        <v>1</v>
      </c>
      <c r="S947" s="4">
        <f ca="1">SUMIF(Table20[Asset],Table41[[#This Row],[Asset Name]],Table20[delta_exposure])</f>
        <v>0</v>
      </c>
      <c r="T947" s="36" t="str" cm="1">
        <f t="array" aca="1" ref="T947" ca="1">_FV(Table41[[#This Row],[Asset Name]],"Instrument type",TRUE)</f>
        <v>Stock</v>
      </c>
      <c r="U947" s="183">
        <v>45587</v>
      </c>
      <c r="V947" t="str">
        <f>VLOOKUP(Table41[[#This Row],[Asset Name]],Table19[#All],3,FALSE)</f>
        <v>AI</v>
      </c>
      <c r="X947" t="str">
        <f>VLOOKUP(Table41[[#This Row],[Asset Name]],Table19[#All],4,FALSE)</f>
        <v>Technology</v>
      </c>
      <c r="Y947" s="147" t="str">
        <f ca="1">IF(Table41[[#This Row],[Current Price]]&lt;Table41[[#This Row],[Put wall]]*1.02,"✅",IF(Table41[[#This Row],[Current Price]]&gt;Table41[[#This Row],[Call wall]]*0.98,"🔻",""))</f>
        <v>🔻</v>
      </c>
      <c r="Z947" s="203">
        <f ca="1">Table41[[#This Row],[Current Price]]/Table41[[#This Row],[Put wall]]-1</f>
        <v>0.70817647058823519</v>
      </c>
      <c r="AA947" s="206">
        <f ca="1">Table41[[#This Row],[Current Price]]/Table41[[#This Row],[Call wall]]-1</f>
        <v>0.61327777777777781</v>
      </c>
    </row>
    <row r="948" spans="1:27">
      <c r="A948" s="194" t="e" vm="125">
        <v>#VALUE!</v>
      </c>
      <c r="B948" s="189" t="str" cm="1">
        <f t="array" aca="1" ref="B948" ca="1">_FV(Table41[[#This Row],[Asset Name]],"Ticker symbol",TRUE)</f>
        <v>TEAM</v>
      </c>
      <c r="C948" s="4">
        <f>SUMIF(Table20[Asset],Table41[[#This Row],[Asset Name]],Table20[realized_profit])</f>
        <v>-270</v>
      </c>
      <c r="D948" s="4">
        <f>SUMIFS(Table20[realized_profit],Table20[Asset],Table41[[#This Row],[Asset Name]],Table20[date_purchased],"&gt;"&amp;$C$872,Table20[date_purchased],"&lt;"&amp;$E$872)</f>
        <v>-270</v>
      </c>
      <c r="E948" s="4">
        <f>SUMIFS(Table20[realized_profit],Table20[Asset],Table41[[#This Row],[Asset Name]],Table20[Bullish or Bearish],"Bullish",Table20[date_purchased],"&gt;"&amp;$C$872,Table20[date_purchased],"&lt;"&amp;$E$872)</f>
        <v>0</v>
      </c>
      <c r="F948" s="4">
        <f>SUMIFS(Table20[realized_profit],Table20[Asset],Table41[[#This Row],[Asset Name]],Table20[Bullish or Bearish],"Bearish",Table20[date_purchased],"&gt;"&amp;$C$872,Table20[date_purchased],"&lt;"&amp;$E$872)</f>
        <v>-270</v>
      </c>
      <c r="G948" s="4">
        <f>SUMIFS(Table20[realized_profit],Table20[Asset],Table41[[#This Row],[Asset Name]],Table20[Strategy],"call",Table20[date_purchased],"&gt;"&amp;$C$872,Table20[date_purchased],"&lt;"&amp;$E$872)</f>
        <v>0</v>
      </c>
      <c r="H948" s="4">
        <f>SUMIFS(Table20[realized_profit],Table20[Asset],Table41[[#This Row],[Asset Name]],Table20[Strategy],"put",Table20[date_purchased],"&gt;"&amp;$C$872,Table20[date_purchased],"&lt;"&amp;$E$872)</f>
        <v>-270</v>
      </c>
      <c r="I948" s="4">
        <f>SUMIFS(Table20[realized_profit],Table20[Asset],Table41[[#This Row],[Asset Name]],Table20[Strategy],"calendar spread",Table20[date_purchased],"&gt;"&amp;$C$872,Table20[date_purchased],"&lt;"&amp;$E$872)</f>
        <v>0</v>
      </c>
      <c r="J948" s="4">
        <f>SUMIFS(Table20[realized_profit],Table20[Asset],Table41[[#This Row],[Asset Name]],Table20[Strategy],"put calendar spread",Table20[date_purchased],"&gt;"&amp;$C$872,Table20[date_purchased],"&lt;"&amp;$E$872)</f>
        <v>0</v>
      </c>
      <c r="K948" s="4">
        <f>SUMIFS(Table20[realized_profit],Table20[Asset],Table41[[#This Row],[Asset Name]],Table20[Strategy],"put spread",Table20[date_purchased],"&gt;"&amp;$C$872,Table20[date_purchased],"&lt;"&amp;$E$872)</f>
        <v>0</v>
      </c>
      <c r="L948" s="4">
        <f>SUMIFS(Table20[Invested],Table20[Asset],Table41[[#This Row],[Asset Name]],Table20[date_purchased],"&gt;"&amp;$C$872,Table20[date_purchased],"&lt;"&amp;$E$872)</f>
        <v>270</v>
      </c>
      <c r="M948" s="14">
        <f>IFERROR(Table41[[#This Row],[Within timeline]]/Table41[[#This Row],[Invested]],0)</f>
        <v>-1</v>
      </c>
      <c r="N948" s="187">
        <v>217.5</v>
      </c>
      <c r="O948" s="179" cm="1">
        <f t="array" aca="1" ref="O948" ca="1">_FV(Table41[[#This Row],[Asset Name]],"Price")</f>
        <v>68.885000000000005</v>
      </c>
      <c r="P948" s="188">
        <v>250</v>
      </c>
      <c r="Q948" t="b">
        <f ca="1">IF(Table41[[#This Row],[Current Price]]&lt;Table41[[#This Row],[Put wall]]*1.02,TRUE,FALSE)</f>
        <v>1</v>
      </c>
      <c r="R948" t="b">
        <f ca="1">IF(Table41[[#This Row],[Current Price]]&gt;Table41[[#This Row],[Call wall]]*0.98,TRUE,FALSE)</f>
        <v>0</v>
      </c>
      <c r="S948" s="4">
        <f ca="1">SUMIF(Table20[Asset],Table41[[#This Row],[Asset Name]],Table20[delta_exposure])</f>
        <v>0</v>
      </c>
      <c r="T948" s="36" t="str" cm="1">
        <f t="array" aca="1" ref="T948" ca="1">_FV(Table41[[#This Row],[Asset Name]],"Instrument type",TRUE)</f>
        <v>Stock</v>
      </c>
      <c r="U948" s="183"/>
      <c r="V948" t="str">
        <f>VLOOKUP(Table41[[#This Row],[Asset Name]],Table19[#All],3,FALSE)</f>
        <v>Technology</v>
      </c>
      <c r="X948" s="194" t="str">
        <f>VLOOKUP(Table41[[#This Row],[Asset Name]],Table19[#All],4,FALSE)</f>
        <v>Software</v>
      </c>
      <c r="Y948" s="189" t="str">
        <f ca="1">IF(Table41[[#This Row],[Current Price]]&lt;Table41[[#This Row],[Put wall]]*1.02,"✅",IF(Table41[[#This Row],[Current Price]]&gt;Table41[[#This Row],[Call wall]]*0.98,"🔻",""))</f>
        <v>✅</v>
      </c>
      <c r="Z948" s="203">
        <f ca="1">Table41[[#This Row],[Current Price]]/Table41[[#This Row],[Put wall]]-1</f>
        <v>-0.68328735632183912</v>
      </c>
      <c r="AA948" s="207">
        <f ca="1">Table41[[#This Row],[Current Price]]/Table41[[#This Row],[Call wall]]-1</f>
        <v>-0.72445999999999999</v>
      </c>
    </row>
    <row r="949" spans="1:27" hidden="1">
      <c r="A949" s="194" t="e" vm="126">
        <v>#VALUE!</v>
      </c>
      <c r="B949" s="13" t="str" cm="1">
        <f t="array" aca="1" ref="B949" ca="1">_FV(Table41[[#This Row],[Asset Name]],"Ticker symbol",TRUE)</f>
        <v>XLRE</v>
      </c>
      <c r="C949" s="4">
        <f>SUMIF(Table20[Asset],Table41[[#This Row],[Asset Name]],Table20[realized_profit])</f>
        <v>0</v>
      </c>
      <c r="D949" s="4">
        <f>SUMIFS(Table20[realized_profit],Table20[Asset],Table41[[#This Row],[Asset Name]],Table20[date_purchased],"&gt;"&amp;$C$872,Table20[date_purchased],"&lt;"&amp;$E$872)</f>
        <v>0</v>
      </c>
      <c r="E949" s="4">
        <f>SUMIFS(Table20[realized_profit],Table20[Asset],Table41[[#This Row],[Asset Name]],Table20[Bullish or Bearish],"Bullish",Table20[date_purchased],"&gt;"&amp;$C$872,Table20[date_purchased],"&lt;"&amp;$E$872)</f>
        <v>0</v>
      </c>
      <c r="F949" s="4">
        <f>SUMIFS(Table20[realized_profit],Table20[Asset],Table41[[#This Row],[Asset Name]],Table20[Bullish or Bearish],"Bearish",Table20[date_purchased],"&gt;"&amp;$C$872,Table20[date_purchased],"&lt;"&amp;$E$872)</f>
        <v>0</v>
      </c>
      <c r="G949" s="4">
        <f>SUMIFS(Table20[realized_profit],Table20[Asset],Table41[[#This Row],[Asset Name]],Table20[Strategy],"call",Table20[date_purchased],"&gt;"&amp;$C$872,Table20[date_purchased],"&lt;"&amp;$E$872)</f>
        <v>0</v>
      </c>
      <c r="H949" s="4">
        <f>SUMIFS(Table20[realized_profit],Table20[Asset],Table41[[#This Row],[Asset Name]],Table20[Strategy],"put",Table20[date_purchased],"&gt;"&amp;$C$872,Table20[date_purchased],"&lt;"&amp;$E$872)</f>
        <v>0</v>
      </c>
      <c r="I949" s="4">
        <f>SUMIFS(Table20[realized_profit],Table20[Asset],Table41[[#This Row],[Asset Name]],Table20[Strategy],"calendar spread",Table20[date_purchased],"&gt;"&amp;$C$872,Table20[date_purchased],"&lt;"&amp;$E$872)</f>
        <v>0</v>
      </c>
      <c r="J949" s="4">
        <f>SUMIFS(Table20[realized_profit],Table20[Asset],Table41[[#This Row],[Asset Name]],Table20[Strategy],"put calendar spread",Table20[date_purchased],"&gt;"&amp;$C$872,Table20[date_purchased],"&lt;"&amp;$E$872)</f>
        <v>0</v>
      </c>
      <c r="K949" s="4">
        <f>SUMIFS(Table20[realized_profit],Table20[Asset],Table41[[#This Row],[Asset Name]],Table20[Strategy],"put spread",Table20[date_purchased],"&gt;"&amp;$C$872,Table20[date_purchased],"&lt;"&amp;$E$872)</f>
        <v>0</v>
      </c>
      <c r="L949" s="4">
        <f>SUMIFS(Table20[Invested],Table20[Asset],Table41[[#This Row],[Asset Name]],Table20[date_purchased],"&gt;"&amp;$C$872,Table20[date_purchased],"&lt;"&amp;$E$872)</f>
        <v>0</v>
      </c>
      <c r="M949" s="14">
        <f>IFERROR(Table41[[#This Row],[Within timeline]]/Table41[[#This Row],[Invested]],0)</f>
        <v>0</v>
      </c>
      <c r="N949" s="187">
        <v>44</v>
      </c>
      <c r="O949" s="179" cm="1">
        <f t="array" aca="1" ref="O949" ca="1">_FV(Table41[[#This Row],[Asset Name]],"Price")</f>
        <v>40.295000000000002</v>
      </c>
      <c r="P949" s="188">
        <v>45</v>
      </c>
      <c r="Q949" t="b">
        <f ca="1">IF(Table41[[#This Row],[Current Price]]&lt;Table41[[#This Row],[Put wall]]*1.02,TRUE,FALSE)</f>
        <v>1</v>
      </c>
      <c r="R949" t="b">
        <f ca="1">IF(Table41[[#This Row],[Current Price]]&gt;Table41[[#This Row],[Call wall]]*0.98,TRUE,FALSE)</f>
        <v>0</v>
      </c>
      <c r="S949" s="4">
        <f>SUMIF(Table20[Asset],Table41[[#This Row],[Asset Name]],Table20[delta_exposure])</f>
        <v>0</v>
      </c>
      <c r="T949" s="36" t="str" cm="1">
        <f t="array" aca="1" ref="T949" ca="1">_FV(Table41[[#This Row],[Asset Name]],"Instrument type",TRUE)</f>
        <v>ETF</v>
      </c>
      <c r="U949" s="183"/>
      <c r="V949" t="str">
        <f>VLOOKUP(Table41[[#This Row],[Asset Name]],Table19[#All],3,FALSE)</f>
        <v>Real estate</v>
      </c>
      <c r="X949" t="str">
        <f>VLOOKUP(Table41[[#This Row],[Asset Name]],Table19[#All],4,FALSE)</f>
        <v>Real estate</v>
      </c>
      <c r="Y949" s="147" t="str">
        <f ca="1">IF(Table41[[#This Row],[Current Price]]&lt;Table41[[#This Row],[Put wall]]*1.02,"✅",IF(Table41[[#This Row],[Current Price]]&gt;Table41[[#This Row],[Call wall]]*0.98,"🔻",""))</f>
        <v>✅</v>
      </c>
      <c r="Z949" s="203">
        <f ca="1">Table41[[#This Row],[Current Price]]/Table41[[#This Row],[Put wall]]-1</f>
        <v>-8.4204545454545365E-2</v>
      </c>
      <c r="AA949" s="206">
        <f ca="1">Table41[[#This Row],[Current Price]]/Table41[[#This Row],[Call wall]]-1</f>
        <v>-0.10455555555555551</v>
      </c>
    </row>
    <row r="950" spans="1:27" hidden="1">
      <c r="A950" s="194" t="e" vm="127">
        <v>#VALUE!</v>
      </c>
      <c r="B950" s="13" t="str" cm="1">
        <f t="array" aca="1" ref="B950" ca="1">_FV(Table41[[#This Row],[Asset Name]],"Ticker symbol",TRUE)</f>
        <v>COST</v>
      </c>
      <c r="C950" s="4">
        <f>SUMIF(Table20[Asset],Table41[[#This Row],[Asset Name]],Table20[realized_profit])</f>
        <v>1200.0000000000005</v>
      </c>
      <c r="D950" s="4">
        <f>SUMIFS(Table20[realized_profit],Table20[Asset],Table41[[#This Row],[Asset Name]],Table20[date_purchased],"&gt;"&amp;$C$872,Table20[date_purchased],"&lt;"&amp;$E$872)</f>
        <v>0</v>
      </c>
      <c r="E950" s="4">
        <f>SUMIFS(Table20[realized_profit],Table20[Asset],Table41[[#This Row],[Asset Name]],Table20[Bullish or Bearish],"Bullish",Table20[date_purchased],"&gt;"&amp;$C$872,Table20[date_purchased],"&lt;"&amp;$E$872)</f>
        <v>0</v>
      </c>
      <c r="F950" s="4">
        <f>SUMIFS(Table20[realized_profit],Table20[Asset],Table41[[#This Row],[Asset Name]],Table20[Bullish or Bearish],"Bearish",Table20[date_purchased],"&gt;"&amp;$C$872,Table20[date_purchased],"&lt;"&amp;$E$872)</f>
        <v>0</v>
      </c>
      <c r="G950" s="4">
        <f>SUMIFS(Table20[realized_profit],Table20[Asset],Table41[[#This Row],[Asset Name]],Table20[Strategy],"call",Table20[date_purchased],"&gt;"&amp;$C$872,Table20[date_purchased],"&lt;"&amp;$E$872)</f>
        <v>0</v>
      </c>
      <c r="H950" s="4">
        <f>SUMIFS(Table20[realized_profit],Table20[Asset],Table41[[#This Row],[Asset Name]],Table20[Strategy],"put",Table20[date_purchased],"&gt;"&amp;$C$872,Table20[date_purchased],"&lt;"&amp;$E$872)</f>
        <v>0</v>
      </c>
      <c r="I950" s="4">
        <f>SUMIFS(Table20[realized_profit],Table20[Asset],Table41[[#This Row],[Asset Name]],Table20[Strategy],"calendar spread",Table20[date_purchased],"&gt;"&amp;$C$872,Table20[date_purchased],"&lt;"&amp;$E$872)</f>
        <v>0</v>
      </c>
      <c r="J950" s="4">
        <f>SUMIFS(Table20[realized_profit],Table20[Asset],Table41[[#This Row],[Asset Name]],Table20[Strategy],"put calendar spread",Table20[date_purchased],"&gt;"&amp;$C$872,Table20[date_purchased],"&lt;"&amp;$E$872)</f>
        <v>0</v>
      </c>
      <c r="K950" s="4">
        <f>SUMIFS(Table20[realized_profit],Table20[Asset],Table41[[#This Row],[Asset Name]],Table20[Strategy],"put spread",Table20[date_purchased],"&gt;"&amp;$C$872,Table20[date_purchased],"&lt;"&amp;$E$872)</f>
        <v>0</v>
      </c>
      <c r="L950" s="4">
        <f>SUMIFS(Table20[Invested],Table20[Asset],Table41[[#This Row],[Asset Name]],Table20[date_purchased],"&gt;"&amp;$C$872,Table20[date_purchased],"&lt;"&amp;$E$872)</f>
        <v>0</v>
      </c>
      <c r="M950" s="14">
        <f>IFERROR(Table41[[#This Row],[Within timeline]]/Table41[[#This Row],[Invested]],0)</f>
        <v>0</v>
      </c>
      <c r="N950" s="187">
        <v>872.5</v>
      </c>
      <c r="O950" s="179" cm="1">
        <f t="array" aca="1" ref="O950" ca="1">_FV(Table41[[#This Row],[Asset Name]],"Price")</f>
        <v>970.86</v>
      </c>
      <c r="P950" s="188">
        <v>900</v>
      </c>
      <c r="Q950" t="b">
        <f ca="1">IF(Table41[[#This Row],[Current Price]]&lt;Table41[[#This Row],[Put wall]]*1.02,TRUE,FALSE)</f>
        <v>0</v>
      </c>
      <c r="R950" t="b">
        <f ca="1">IF(Table41[[#This Row],[Current Price]]&gt;Table41[[#This Row],[Call wall]]*0.98,TRUE,FALSE)</f>
        <v>1</v>
      </c>
      <c r="S950" s="4">
        <f ca="1">SUMIF(Table20[Asset],Table41[[#This Row],[Asset Name]],Table20[delta_exposure])</f>
        <v>0</v>
      </c>
      <c r="T950" s="36" t="str" cm="1">
        <f t="array" aca="1" ref="T950" ca="1">_FV(Table41[[#This Row],[Asset Name]],"Instrument type",TRUE)</f>
        <v>Stock</v>
      </c>
      <c r="U950" s="183">
        <v>45638</v>
      </c>
      <c r="V950" t="str">
        <f>VLOOKUP(Table41[[#This Row],[Asset Name]],Table19[#All],3,FALSE)</f>
        <v>Consumer Staples</v>
      </c>
      <c r="X950" t="str">
        <f>VLOOKUP(Table41[[#This Row],[Asset Name]],Table19[#All],4,FALSE)</f>
        <v>Consumer Staples</v>
      </c>
      <c r="Y950" s="147" t="str">
        <f ca="1">IF(Table41[[#This Row],[Current Price]]&lt;Table41[[#This Row],[Put wall]]*1.02,"✅",IF(Table41[[#This Row],[Current Price]]&gt;Table41[[#This Row],[Call wall]]*0.98,"🔻",""))</f>
        <v>🔻</v>
      </c>
      <c r="Z950" s="203">
        <f ca="1">Table41[[#This Row],[Current Price]]/Table41[[#This Row],[Put wall]]-1</f>
        <v>0.11273352435530093</v>
      </c>
      <c r="AA950" s="206">
        <f ca="1">Table41[[#This Row],[Current Price]]/Table41[[#This Row],[Call wall]]-1</f>
        <v>7.8733333333333322E-2</v>
      </c>
    </row>
    <row r="951" spans="1:27" hidden="1">
      <c r="A951" s="194" t="e" vm="128">
        <v>#VALUE!</v>
      </c>
      <c r="B951" s="13" t="str" cm="1">
        <f t="array" aca="1" ref="B951" ca="1">_FV(Table41[[#This Row],[Asset Name]],"Ticker symbol",TRUE)</f>
        <v>AXON</v>
      </c>
      <c r="C951" s="4">
        <f>SUMIF(Table20[Asset],Table41[[#This Row],[Asset Name]],Table20[realized_profit])</f>
        <v>0</v>
      </c>
      <c r="D951" s="4">
        <f>SUMIFS(Table20[realized_profit],Table20[Asset],Table41[[#This Row],[Asset Name]],Table20[date_purchased],"&gt;"&amp;$C$872,Table20[date_purchased],"&lt;"&amp;$E$872)</f>
        <v>0</v>
      </c>
      <c r="E951" s="4">
        <f>SUMIFS(Table20[realized_profit],Table20[Asset],Table41[[#This Row],[Asset Name]],Table20[Bullish or Bearish],"Bullish",Table20[date_purchased],"&gt;"&amp;$C$872,Table20[date_purchased],"&lt;"&amp;$E$872)</f>
        <v>0</v>
      </c>
      <c r="F951" s="4">
        <f>SUMIFS(Table20[realized_profit],Table20[Asset],Table41[[#This Row],[Asset Name]],Table20[Bullish or Bearish],"Bearish",Table20[date_purchased],"&gt;"&amp;$C$872,Table20[date_purchased],"&lt;"&amp;$E$872)</f>
        <v>0</v>
      </c>
      <c r="G951" s="4">
        <f>SUMIFS(Table20[realized_profit],Table20[Asset],Table41[[#This Row],[Asset Name]],Table20[Strategy],"call",Table20[date_purchased],"&gt;"&amp;$C$872,Table20[date_purchased],"&lt;"&amp;$E$872)</f>
        <v>0</v>
      </c>
      <c r="H951" s="4">
        <f>SUMIFS(Table20[realized_profit],Table20[Asset],Table41[[#This Row],[Asset Name]],Table20[Strategy],"put",Table20[date_purchased],"&gt;"&amp;$C$872,Table20[date_purchased],"&lt;"&amp;$E$872)</f>
        <v>0</v>
      </c>
      <c r="I951" s="4">
        <f>SUMIFS(Table20[realized_profit],Table20[Asset],Table41[[#This Row],[Asset Name]],Table20[Strategy],"calendar spread",Table20[date_purchased],"&gt;"&amp;$C$872,Table20[date_purchased],"&lt;"&amp;$E$872)</f>
        <v>0</v>
      </c>
      <c r="J951" s="4">
        <f>SUMIFS(Table20[realized_profit],Table20[Asset],Table41[[#This Row],[Asset Name]],Table20[Strategy],"put calendar spread",Table20[date_purchased],"&gt;"&amp;$C$872,Table20[date_purchased],"&lt;"&amp;$E$872)</f>
        <v>0</v>
      </c>
      <c r="K951" s="4">
        <f>SUMIFS(Table20[realized_profit],Table20[Asset],Table41[[#This Row],[Asset Name]],Table20[Strategy],"put spread",Table20[date_purchased],"&gt;"&amp;$C$872,Table20[date_purchased],"&lt;"&amp;$E$872)</f>
        <v>0</v>
      </c>
      <c r="L951" s="4">
        <f>SUMIFS(Table20[Invested],Table20[Asset],Table41[[#This Row],[Asset Name]],Table20[date_purchased],"&gt;"&amp;$C$872,Table20[date_purchased],"&lt;"&amp;$E$872)</f>
        <v>0</v>
      </c>
      <c r="M951" s="14">
        <f>IFERROR(Table41[[#This Row],[Within timeline]]/Table41[[#This Row],[Invested]],0)</f>
        <v>0</v>
      </c>
      <c r="N951" s="187">
        <v>370</v>
      </c>
      <c r="O951" s="179" cm="1">
        <f t="array" aca="1" ref="O951" ca="1">_FV(Table41[[#This Row],[Asset Name]],"Price")</f>
        <v>467.07499999999999</v>
      </c>
      <c r="P951" s="188">
        <v>450</v>
      </c>
      <c r="Q951" t="b">
        <f ca="1">IF(Table41[[#This Row],[Current Price]]&lt;Table41[[#This Row],[Put wall]]*1.02,TRUE,FALSE)</f>
        <v>0</v>
      </c>
      <c r="R951" t="b">
        <f ca="1">IF(Table41[[#This Row],[Current Price]]&gt;Table41[[#This Row],[Call wall]]*0.98,TRUE,FALSE)</f>
        <v>1</v>
      </c>
      <c r="S951" s="4">
        <f>SUMIF(Table20[Asset],Table41[[#This Row],[Asset Name]],Table20[delta_exposure])</f>
        <v>0</v>
      </c>
      <c r="T951" s="36" t="str" cm="1">
        <f t="array" aca="1" ref="T951" ca="1">_FV(Table41[[#This Row],[Asset Name]],"Instrument type",TRUE)</f>
        <v>Stock</v>
      </c>
      <c r="U951" s="183">
        <v>45603</v>
      </c>
      <c r="V951" t="str">
        <f>VLOOKUP(Table41[[#This Row],[Asset Name]],Table19[#All],3,FALSE)</f>
        <v>Defense</v>
      </c>
      <c r="X951" t="str">
        <f>VLOOKUP(Table41[[#This Row],[Asset Name]],Table19[#All],4,FALSE)</f>
        <v>Defense</v>
      </c>
      <c r="Y951" s="147" t="str">
        <f ca="1">IF(Table41[[#This Row],[Current Price]]&lt;Table41[[#This Row],[Put wall]]*1.02,"✅",IF(Table41[[#This Row],[Current Price]]&gt;Table41[[#This Row],[Call wall]]*0.98,"🔻",""))</f>
        <v>🔻</v>
      </c>
      <c r="Z951" s="203">
        <f ca="1">Table41[[#This Row],[Current Price]]/Table41[[#This Row],[Put wall]]-1</f>
        <v>0.26236486486486488</v>
      </c>
      <c r="AA951" s="206">
        <f ca="1">Table41[[#This Row],[Current Price]]/Table41[[#This Row],[Call wall]]-1</f>
        <v>3.7944444444444336E-2</v>
      </c>
    </row>
    <row r="952" spans="1:27">
      <c r="A952" s="194" t="e" vm="129">
        <v>#VALUE!</v>
      </c>
      <c r="B952" s="13" t="str" cm="1">
        <f t="array" aca="1" ref="B952" ca="1">_FV(Table41[[#This Row],[Asset Name]],"Ticker symbol",TRUE)</f>
        <v>MRVL</v>
      </c>
      <c r="C952" s="4">
        <f>SUMIF(Table20[Asset],Table41[[#This Row],[Asset Name]],Table20[realized_profit])</f>
        <v>-1014.0000000000001</v>
      </c>
      <c r="D952" s="4">
        <f>SUMIFS(Table20[realized_profit],Table20[Asset],Table41[[#This Row],[Asset Name]],Table20[date_purchased],"&gt;"&amp;$C$872,Table20[date_purchased],"&lt;"&amp;$E$872)</f>
        <v>-426</v>
      </c>
      <c r="E952" s="4">
        <f>SUMIFS(Table20[realized_profit],Table20[Asset],Table41[[#This Row],[Asset Name]],Table20[Bullish or Bearish],"Bullish",Table20[date_purchased],"&gt;"&amp;$C$872,Table20[date_purchased],"&lt;"&amp;$E$872)</f>
        <v>-426</v>
      </c>
      <c r="F952" s="4">
        <f>SUMIFS(Table20[realized_profit],Table20[Asset],Table41[[#This Row],[Asset Name]],Table20[Bullish or Bearish],"Bearish",Table20[date_purchased],"&gt;"&amp;$C$872,Table20[date_purchased],"&lt;"&amp;$E$872)</f>
        <v>0</v>
      </c>
      <c r="G952" s="4">
        <f>SUMIFS(Table20[realized_profit],Table20[Asset],Table41[[#This Row],[Asset Name]],Table20[Strategy],"call",Table20[date_purchased],"&gt;"&amp;$C$872,Table20[date_purchased],"&lt;"&amp;$E$872)</f>
        <v>-426</v>
      </c>
      <c r="H952" s="4">
        <f>SUMIFS(Table20[realized_profit],Table20[Asset],Table41[[#This Row],[Asset Name]],Table20[Strategy],"put",Table20[date_purchased],"&gt;"&amp;$C$872,Table20[date_purchased],"&lt;"&amp;$E$872)</f>
        <v>0</v>
      </c>
      <c r="I952" s="4">
        <f>SUMIFS(Table20[realized_profit],Table20[Asset],Table41[[#This Row],[Asset Name]],Table20[Strategy],"calendar spread",Table20[date_purchased],"&gt;"&amp;$C$872,Table20[date_purchased],"&lt;"&amp;$E$872)</f>
        <v>0</v>
      </c>
      <c r="J952" s="4">
        <f>SUMIFS(Table20[realized_profit],Table20[Asset],Table41[[#This Row],[Asset Name]],Table20[Strategy],"put calendar spread",Table20[date_purchased],"&gt;"&amp;$C$872,Table20[date_purchased],"&lt;"&amp;$E$872)</f>
        <v>0</v>
      </c>
      <c r="K952" s="4">
        <f>SUMIFS(Table20[realized_profit],Table20[Asset],Table41[[#This Row],[Asset Name]],Table20[Strategy],"put spread",Table20[date_purchased],"&gt;"&amp;$C$872,Table20[date_purchased],"&lt;"&amp;$E$872)</f>
        <v>0</v>
      </c>
      <c r="L952" s="4">
        <f>SUMIFS(Table20[Invested],Table20[Asset],Table41[[#This Row],[Asset Name]],Table20[date_purchased],"&gt;"&amp;$C$872,Table20[date_purchased],"&lt;"&amp;$E$872)</f>
        <v>509.99999999999994</v>
      </c>
      <c r="M952" s="14">
        <f>IFERROR(Table41[[#This Row],[Within timeline]]/Table41[[#This Row],[Invested]],0)</f>
        <v>-0.83529411764705896</v>
      </c>
      <c r="N952" s="187">
        <v>60</v>
      </c>
      <c r="O952" s="9" cm="1">
        <f t="array" aca="1" ref="O952" ca="1">_FV(Table41[[#This Row],[Asset Name]],"Price")</f>
        <v>96.84</v>
      </c>
      <c r="P952" s="188">
        <v>90</v>
      </c>
      <c r="Q952" t="b">
        <f ca="1">IF(Table41[[#This Row],[Current Price]]&lt;Table41[[#This Row],[Put wall]]*1.02,TRUE,FALSE)</f>
        <v>0</v>
      </c>
      <c r="R952" t="b">
        <f ca="1">IF(Table41[[#This Row],[Current Price]]&gt;Table41[[#This Row],[Call wall]]*0.98,TRUE,FALSE)</f>
        <v>1</v>
      </c>
      <c r="S952" s="4">
        <f ca="1">SUMIF(Table20[Asset],Table41[[#This Row],[Asset Name]],Table20[delta_exposure])</f>
        <v>0</v>
      </c>
      <c r="T952" s="36" t="str" cm="1">
        <f t="array" aca="1" ref="T952" ca="1">_FV(Table41[[#This Row],[Asset Name]],"Instrument type",TRUE)</f>
        <v>Stock</v>
      </c>
      <c r="U952" s="183">
        <v>45623</v>
      </c>
      <c r="V952" t="str">
        <f>VLOOKUP(Table41[[#This Row],[Asset Name]],Table19[#All],3,FALSE)</f>
        <v>AI</v>
      </c>
      <c r="X952" t="str">
        <f>VLOOKUP(Table41[[#This Row],[Asset Name]],Table19[#All],4,FALSE)</f>
        <v>Connectivity</v>
      </c>
      <c r="Y952" s="147" t="str">
        <f ca="1">IF(Table41[[#This Row],[Current Price]]&lt;Table41[[#This Row],[Put wall]]*1.02,"✅",IF(Table41[[#This Row],[Current Price]]&gt;Table41[[#This Row],[Call wall]]*0.98,"🔻",""))</f>
        <v>🔻</v>
      </c>
      <c r="Z952" s="203">
        <f ca="1">Table41[[#This Row],[Current Price]]/Table41[[#This Row],[Put wall]]-1</f>
        <v>0.6140000000000001</v>
      </c>
      <c r="AA952" s="206">
        <f ca="1">Table41[[#This Row],[Current Price]]/Table41[[#This Row],[Call wall]]-1</f>
        <v>7.6000000000000068E-2</v>
      </c>
    </row>
    <row r="953" spans="1:27" hidden="1">
      <c r="A953" s="194" t="e" vm="130">
        <v>#VALUE!</v>
      </c>
      <c r="B953" s="13" t="str" cm="1">
        <f t="array" aca="1" ref="B953" ca="1">_FV(Table41[[#This Row],[Asset Name]],"Ticker symbol",TRUE)</f>
        <v>COHR</v>
      </c>
      <c r="C953" s="4">
        <f>SUMIF(Table20[Asset],Table41[[#This Row],[Asset Name]],Table20[realized_profit])</f>
        <v>0</v>
      </c>
      <c r="D953" s="4">
        <f>SUMIFS(Table20[realized_profit],Table20[Asset],Table41[[#This Row],[Asset Name]],Table20[date_purchased],"&gt;"&amp;$C$872,Table20[date_purchased],"&lt;"&amp;$E$872)</f>
        <v>0</v>
      </c>
      <c r="E953" s="4">
        <f>SUMIFS(Table20[realized_profit],Table20[Asset],Table41[[#This Row],[Asset Name]],Table20[Bullish or Bearish],"Bullish",Table20[date_purchased],"&gt;"&amp;$C$872,Table20[date_purchased],"&lt;"&amp;$E$872)</f>
        <v>0</v>
      </c>
      <c r="F953" s="4">
        <f>SUMIFS(Table20[realized_profit],Table20[Asset],Table41[[#This Row],[Asset Name]],Table20[Bullish or Bearish],"Bearish",Table20[date_purchased],"&gt;"&amp;$C$872,Table20[date_purchased],"&lt;"&amp;$E$872)</f>
        <v>0</v>
      </c>
      <c r="G953" s="4">
        <f>SUMIFS(Table20[realized_profit],Table20[Asset],Table41[[#This Row],[Asset Name]],Table20[Strategy],"call",Table20[date_purchased],"&gt;"&amp;$C$872,Table20[date_purchased],"&lt;"&amp;$E$872)</f>
        <v>0</v>
      </c>
      <c r="H953" s="4">
        <f>SUMIFS(Table20[realized_profit],Table20[Asset],Table41[[#This Row],[Asset Name]],Table20[Strategy],"put",Table20[date_purchased],"&gt;"&amp;$C$872,Table20[date_purchased],"&lt;"&amp;$E$872)</f>
        <v>0</v>
      </c>
      <c r="I953" s="4">
        <f>SUMIFS(Table20[realized_profit],Table20[Asset],Table41[[#This Row],[Asset Name]],Table20[Strategy],"calendar spread",Table20[date_purchased],"&gt;"&amp;$C$872,Table20[date_purchased],"&lt;"&amp;$E$872)</f>
        <v>0</v>
      </c>
      <c r="J953" s="4">
        <f>SUMIFS(Table20[realized_profit],Table20[Asset],Table41[[#This Row],[Asset Name]],Table20[Strategy],"put calendar spread",Table20[date_purchased],"&gt;"&amp;$C$872,Table20[date_purchased],"&lt;"&amp;$E$872)</f>
        <v>0</v>
      </c>
      <c r="K953" s="4">
        <f>SUMIFS(Table20[realized_profit],Table20[Asset],Table41[[#This Row],[Asset Name]],Table20[Strategy],"put spread",Table20[date_purchased],"&gt;"&amp;$C$872,Table20[date_purchased],"&lt;"&amp;$E$872)</f>
        <v>0</v>
      </c>
      <c r="L953" s="4">
        <f>SUMIFS(Table20[Invested],Table20[Asset],Table41[[#This Row],[Asset Name]],Table20[date_purchased],"&gt;"&amp;$C$872,Table20[date_purchased],"&lt;"&amp;$E$872)</f>
        <v>0</v>
      </c>
      <c r="M953" s="14">
        <f>IFERROR(Table41[[#This Row],[Within timeline]]/Table41[[#This Row],[Invested]],0)</f>
        <v>0</v>
      </c>
      <c r="N953" s="187">
        <v>90</v>
      </c>
      <c r="O953" s="179" cm="1">
        <f t="array" aca="1" ref="O953" ca="1">_FV(Table41[[#This Row],[Asset Name]],"Price")</f>
        <v>277.32</v>
      </c>
      <c r="P953" s="188">
        <v>100</v>
      </c>
      <c r="Q953" t="b">
        <f ca="1">IF(Table41[[#This Row],[Current Price]]&lt;Table41[[#This Row],[Put wall]]*1.02,TRUE,FALSE)</f>
        <v>0</v>
      </c>
      <c r="R953" t="b">
        <f ca="1">IF(Table41[[#This Row],[Current Price]]&gt;Table41[[#This Row],[Call wall]]*0.98,TRUE,FALSE)</f>
        <v>1</v>
      </c>
      <c r="S953" s="4">
        <f>SUMIF(Table20[Asset],Table41[[#This Row],[Asset Name]],Table20[delta_exposure])</f>
        <v>0</v>
      </c>
      <c r="T953" s="36" t="str" cm="1">
        <f t="array" aca="1" ref="T953" ca="1">_FV(Table41[[#This Row],[Asset Name]],"Instrument type",TRUE)</f>
        <v>Stock</v>
      </c>
      <c r="U953" s="183">
        <v>45602</v>
      </c>
      <c r="V953" t="str">
        <f>VLOOKUP(Table41[[#This Row],[Asset Name]],Table19[#All],3,FALSE)</f>
        <v>Connectivity</v>
      </c>
      <c r="X953" t="str">
        <f>VLOOKUP(Table41[[#This Row],[Asset Name]],Table19[#All],4,FALSE)</f>
        <v>Technology</v>
      </c>
      <c r="Y953" s="147" t="str">
        <f ca="1">IF(Table41[[#This Row],[Current Price]]&lt;Table41[[#This Row],[Put wall]]*1.02,"✅",IF(Table41[[#This Row],[Current Price]]&gt;Table41[[#This Row],[Call wall]]*0.98,"🔻",""))</f>
        <v>🔻</v>
      </c>
      <c r="Z953" s="203">
        <f ca="1">Table41[[#This Row],[Current Price]]/Table41[[#This Row],[Put wall]]-1</f>
        <v>2.0813333333333333</v>
      </c>
      <c r="AA953" s="206">
        <f ca="1">Table41[[#This Row],[Current Price]]/Table41[[#This Row],[Call wall]]-1</f>
        <v>1.7732000000000001</v>
      </c>
    </row>
    <row r="954" spans="1:27" hidden="1">
      <c r="A954" t="e" vm="131">
        <v>#VALUE!</v>
      </c>
      <c r="B954" s="189" t="str" cm="1">
        <f t="array" aca="1" ref="B954" ca="1">_FV(Table41[[#This Row],[Asset Name]],"Ticker symbol",TRUE)</f>
        <v>INTU</v>
      </c>
      <c r="C954" s="4">
        <f>SUMIF(Table20[Asset],Table41[[#This Row],[Asset Name]],Table20[realized_profit])</f>
        <v>0</v>
      </c>
      <c r="D954" s="4">
        <f>SUMIFS(Table20[realized_profit],Table20[Asset],Table41[[#This Row],[Asset Name]],Table20[date_purchased],"&gt;"&amp;$C$872,Table20[date_purchased],"&lt;"&amp;$E$872)</f>
        <v>0</v>
      </c>
      <c r="E954" s="4">
        <f>SUMIFS(Table20[realized_profit],Table20[Asset],Table41[[#This Row],[Asset Name]],Table20[Bullish or Bearish],"Bullish",Table20[date_purchased],"&gt;"&amp;$C$872,Table20[date_purchased],"&lt;"&amp;$E$872)</f>
        <v>0</v>
      </c>
      <c r="F954" s="4">
        <f>SUMIFS(Table20[realized_profit],Table20[Asset],Table41[[#This Row],[Asset Name]],Table20[Bullish or Bearish],"Bearish",Table20[date_purchased],"&gt;"&amp;$C$872,Table20[date_purchased],"&lt;"&amp;$E$872)</f>
        <v>0</v>
      </c>
      <c r="G954" s="4">
        <f>SUMIFS(Table20[realized_profit],Table20[Asset],Table41[[#This Row],[Asset Name]],Table20[Strategy],"call",Table20[date_purchased],"&gt;"&amp;$C$872,Table20[date_purchased],"&lt;"&amp;$E$872)</f>
        <v>0</v>
      </c>
      <c r="H954" s="4">
        <f>SUMIFS(Table20[realized_profit],Table20[Asset],Table41[[#This Row],[Asset Name]],Table20[Strategy],"put",Table20[date_purchased],"&gt;"&amp;$C$872,Table20[date_purchased],"&lt;"&amp;$E$872)</f>
        <v>0</v>
      </c>
      <c r="I954" s="4">
        <f>SUMIFS(Table20[realized_profit],Table20[Asset],Table41[[#This Row],[Asset Name]],Table20[Strategy],"calendar spread",Table20[date_purchased],"&gt;"&amp;$C$872,Table20[date_purchased],"&lt;"&amp;$E$872)</f>
        <v>0</v>
      </c>
      <c r="J954" s="4">
        <f>SUMIFS(Table20[realized_profit],Table20[Asset],Table41[[#This Row],[Asset Name]],Table20[Strategy],"put calendar spread",Table20[date_purchased],"&gt;"&amp;$C$872,Table20[date_purchased],"&lt;"&amp;$E$872)</f>
        <v>0</v>
      </c>
      <c r="K954" s="4">
        <f>SUMIFS(Table20[realized_profit],Table20[Asset],Table41[[#This Row],[Asset Name]],Table20[Strategy],"put spread",Table20[date_purchased],"&gt;"&amp;$C$872,Table20[date_purchased],"&lt;"&amp;$E$872)</f>
        <v>0</v>
      </c>
      <c r="L954" s="4">
        <f>SUMIFS(Table20[Invested],Table20[Asset],Table41[[#This Row],[Asset Name]],Table20[date_purchased],"&gt;"&amp;$C$872,Table20[date_purchased],"&lt;"&amp;$E$872)</f>
        <v>0</v>
      </c>
      <c r="M954" s="14">
        <f>IFERROR(Table41[[#This Row],[Within timeline]]/Table41[[#This Row],[Invested]],0)</f>
        <v>0</v>
      </c>
      <c r="N954" s="187">
        <v>600</v>
      </c>
      <c r="O954" s="179" cm="1">
        <f t="array" aca="1" ref="O954" ca="1">_FV(Table41[[#This Row],[Asset Name]],"Price")</f>
        <v>426.42</v>
      </c>
      <c r="P954" s="188">
        <v>640</v>
      </c>
      <c r="Q954" t="b">
        <f ca="1">IF(Table41[[#This Row],[Current Price]]&lt;Table41[[#This Row],[Put wall]]*1.02,TRUE,FALSE)</f>
        <v>1</v>
      </c>
      <c r="R954" t="b">
        <f ca="1">IF(Table41[[#This Row],[Current Price]]&gt;Table41[[#This Row],[Call wall]]*0.98,TRUE,FALSE)</f>
        <v>0</v>
      </c>
      <c r="S954" s="4">
        <f>SUMIF(Table20[Asset],Table41[[#This Row],[Asset Name]],Table20[delta_exposure])</f>
        <v>0</v>
      </c>
      <c r="T954" s="36" t="str" cm="1">
        <f t="array" aca="1" ref="T954" ca="1">_FV(Table41[[#This Row],[Asset Name]],"Instrument type",TRUE)</f>
        <v>Stock</v>
      </c>
      <c r="U954" s="183"/>
      <c r="V954" t="str">
        <f>VLOOKUP(Table41[[#This Row],[Asset Name]],Table19[#All],3,FALSE)</f>
        <v>Financials</v>
      </c>
      <c r="X954" s="194" t="str">
        <f>VLOOKUP(Table41[[#This Row],[Asset Name]],Table19[#All],4,FALSE)</f>
        <v>Payments</v>
      </c>
      <c r="Y954" s="189" t="str">
        <f ca="1">IF(Table41[[#This Row],[Current Price]]&lt;Table41[[#This Row],[Put wall]]*1.02,"✅",IF(Table41[[#This Row],[Current Price]]&gt;Table41[[#This Row],[Call wall]]*0.98,"🔻",""))</f>
        <v>✅</v>
      </c>
      <c r="Z954" s="203">
        <f ca="1">Table41[[#This Row],[Current Price]]/Table41[[#This Row],[Put wall]]-1</f>
        <v>-0.2893</v>
      </c>
      <c r="AA954" s="207">
        <f ca="1">Table41[[#This Row],[Current Price]]/Table41[[#This Row],[Call wall]]-1</f>
        <v>-0.33371874999999995</v>
      </c>
    </row>
    <row r="955" spans="1:27" hidden="1">
      <c r="A955" s="194" t="e" vm="132">
        <v>#VALUE!</v>
      </c>
      <c r="B955" s="13" t="str" cm="1">
        <f t="array" aca="1" ref="B955" ca="1">_FV(Table41[[#This Row],[Asset Name]],"Ticker symbol",TRUE)</f>
        <v>XLI</v>
      </c>
      <c r="C955" s="4">
        <f>SUMIF(Table20[Asset],Table41[[#This Row],[Asset Name]],Table20[realized_profit])</f>
        <v>0</v>
      </c>
      <c r="D955" s="4">
        <f>SUMIFS(Table20[realized_profit],Table20[Asset],Table41[[#This Row],[Asset Name]],Table20[date_purchased],"&gt;"&amp;$C$872,Table20[date_purchased],"&lt;"&amp;$E$872)</f>
        <v>0</v>
      </c>
      <c r="E955" s="4">
        <f>SUMIFS(Table20[realized_profit],Table20[Asset],Table41[[#This Row],[Asset Name]],Table20[Bullish or Bearish],"Bullish",Table20[date_purchased],"&gt;"&amp;$C$872,Table20[date_purchased],"&lt;"&amp;$E$872)</f>
        <v>0</v>
      </c>
      <c r="F955" s="4">
        <f>SUMIFS(Table20[realized_profit],Table20[Asset],Table41[[#This Row],[Asset Name]],Table20[Bullish or Bearish],"Bearish",Table20[date_purchased],"&gt;"&amp;$C$872,Table20[date_purchased],"&lt;"&amp;$E$872)</f>
        <v>0</v>
      </c>
      <c r="G955" s="4">
        <f>SUMIFS(Table20[realized_profit],Table20[Asset],Table41[[#This Row],[Asset Name]],Table20[Strategy],"call",Table20[date_purchased],"&gt;"&amp;$C$872,Table20[date_purchased],"&lt;"&amp;$E$872)</f>
        <v>0</v>
      </c>
      <c r="H955" s="4">
        <f>SUMIFS(Table20[realized_profit],Table20[Asset],Table41[[#This Row],[Asset Name]],Table20[Strategy],"put",Table20[date_purchased],"&gt;"&amp;$C$872,Table20[date_purchased],"&lt;"&amp;$E$872)</f>
        <v>0</v>
      </c>
      <c r="I955" s="4">
        <f>SUMIFS(Table20[realized_profit],Table20[Asset],Table41[[#This Row],[Asset Name]],Table20[Strategy],"calendar spread",Table20[date_purchased],"&gt;"&amp;$C$872,Table20[date_purchased],"&lt;"&amp;$E$872)</f>
        <v>0</v>
      </c>
      <c r="J955" s="4">
        <f>SUMIFS(Table20[realized_profit],Table20[Asset],Table41[[#This Row],[Asset Name]],Table20[Strategy],"put calendar spread",Table20[date_purchased],"&gt;"&amp;$C$872,Table20[date_purchased],"&lt;"&amp;$E$872)</f>
        <v>0</v>
      </c>
      <c r="K955" s="4">
        <f>SUMIFS(Table20[realized_profit],Table20[Asset],Table41[[#This Row],[Asset Name]],Table20[Strategy],"put spread",Table20[date_purchased],"&gt;"&amp;$C$872,Table20[date_purchased],"&lt;"&amp;$E$872)</f>
        <v>0</v>
      </c>
      <c r="L955" s="4">
        <f>SUMIFS(Table20[Invested],Table20[Asset],Table41[[#This Row],[Asset Name]],Table20[date_purchased],"&gt;"&amp;$C$872,Table20[date_purchased],"&lt;"&amp;$E$872)</f>
        <v>0</v>
      </c>
      <c r="M955" s="14">
        <f>IFERROR(Table41[[#This Row],[Within timeline]]/Table41[[#This Row],[Invested]],0)</f>
        <v>0</v>
      </c>
      <c r="N955" s="187">
        <v>131</v>
      </c>
      <c r="O955" s="179" cm="1">
        <f t="array" aca="1" ref="O955" ca="1">_FV(Table41[[#This Row],[Asset Name]],"Price")</f>
        <v>165.13</v>
      </c>
      <c r="P955" s="188">
        <v>140</v>
      </c>
      <c r="Q955" t="b">
        <f ca="1">IF(Table41[[#This Row],[Current Price]]&lt;Table41[[#This Row],[Put wall]]*1.02,TRUE,FALSE)</f>
        <v>0</v>
      </c>
      <c r="R955" t="b">
        <f ca="1">IF(Table41[[#This Row],[Current Price]]&gt;Table41[[#This Row],[Call wall]]*0.98,TRUE,FALSE)</f>
        <v>1</v>
      </c>
      <c r="S955" s="4">
        <f>SUMIF(Table20[Asset],Table41[[#This Row],[Asset Name]],Table20[delta_exposure])</f>
        <v>0</v>
      </c>
      <c r="T955" s="36" t="str" cm="1">
        <f t="array" aca="1" ref="T955" ca="1">_FV(Table41[[#This Row],[Asset Name]],"Instrument type",TRUE)</f>
        <v>ETF</v>
      </c>
      <c r="U955" s="183"/>
      <c r="V955" t="str">
        <f>VLOOKUP(Table41[[#This Row],[Asset Name]],Table19[#All],3,FALSE)</f>
        <v>Industrials</v>
      </c>
      <c r="X955" t="str">
        <f>VLOOKUP(Table41[[#This Row],[Asset Name]],Table19[#All],4,FALSE)</f>
        <v>Industrials</v>
      </c>
      <c r="Y955" s="147" t="str">
        <f ca="1">IF(Table41[[#This Row],[Current Price]]&lt;Table41[[#This Row],[Put wall]]*1.02,"✅",IF(Table41[[#This Row],[Current Price]]&gt;Table41[[#This Row],[Call wall]]*0.98,"🔻",""))</f>
        <v>🔻</v>
      </c>
      <c r="Z955" s="203">
        <f ca="1">Table41[[#This Row],[Current Price]]/Table41[[#This Row],[Put wall]]-1</f>
        <v>0.2605343511450382</v>
      </c>
      <c r="AA955" s="206">
        <f ca="1">Table41[[#This Row],[Current Price]]/Table41[[#This Row],[Call wall]]-1</f>
        <v>0.17949999999999999</v>
      </c>
    </row>
    <row r="956" spans="1:27" hidden="1">
      <c r="A956" s="194" t="e" vm="133">
        <v>#VALUE!</v>
      </c>
      <c r="B956" s="189" t="str" cm="1">
        <f t="array" aca="1" ref="B956" ca="1">_FV(Table41[[#This Row],[Asset Name]],"Ticker symbol",TRUE)</f>
        <v>XLU</v>
      </c>
      <c r="C956" s="4">
        <f>SUMIF(Table20[Asset],Table41[[#This Row],[Asset Name]],Table20[realized_profit])</f>
        <v>-202.00000000000006</v>
      </c>
      <c r="D956" s="4">
        <f>SUMIFS(Table20[realized_profit],Table20[Asset],Table41[[#This Row],[Asset Name]],Table20[date_purchased],"&gt;"&amp;$C$872,Table20[date_purchased],"&lt;"&amp;$E$872)</f>
        <v>0</v>
      </c>
      <c r="E956" s="4">
        <f>SUMIFS(Table20[realized_profit],Table20[Asset],Table41[[#This Row],[Asset Name]],Table20[Bullish or Bearish],"Bullish",Table20[date_purchased],"&gt;"&amp;$C$872,Table20[date_purchased],"&lt;"&amp;$E$872)</f>
        <v>0</v>
      </c>
      <c r="F956" s="4">
        <f>SUMIFS(Table20[realized_profit],Table20[Asset],Table41[[#This Row],[Asset Name]],Table20[Bullish or Bearish],"Bearish",Table20[date_purchased],"&gt;"&amp;$C$872,Table20[date_purchased],"&lt;"&amp;$E$872)</f>
        <v>0</v>
      </c>
      <c r="G956" s="4">
        <f>SUMIFS(Table20[realized_profit],Table20[Asset],Table41[[#This Row],[Asset Name]],Table20[Strategy],"call",Table20[date_purchased],"&gt;"&amp;$C$872,Table20[date_purchased],"&lt;"&amp;$E$872)</f>
        <v>0</v>
      </c>
      <c r="H956" s="4">
        <f>SUMIFS(Table20[realized_profit],Table20[Asset],Table41[[#This Row],[Asset Name]],Table20[Strategy],"put",Table20[date_purchased],"&gt;"&amp;$C$872,Table20[date_purchased],"&lt;"&amp;$E$872)</f>
        <v>0</v>
      </c>
      <c r="I956" s="4">
        <f>SUMIFS(Table20[realized_profit],Table20[Asset],Table41[[#This Row],[Asset Name]],Table20[Strategy],"calendar spread",Table20[date_purchased],"&gt;"&amp;$C$872,Table20[date_purchased],"&lt;"&amp;$E$872)</f>
        <v>0</v>
      </c>
      <c r="J956" s="4">
        <f>SUMIFS(Table20[realized_profit],Table20[Asset],Table41[[#This Row],[Asset Name]],Table20[Strategy],"put calendar spread",Table20[date_purchased],"&gt;"&amp;$C$872,Table20[date_purchased],"&lt;"&amp;$E$872)</f>
        <v>0</v>
      </c>
      <c r="K956" s="4">
        <f>SUMIFS(Table20[realized_profit],Table20[Asset],Table41[[#This Row],[Asset Name]],Table20[Strategy],"put spread",Table20[date_purchased],"&gt;"&amp;$C$872,Table20[date_purchased],"&lt;"&amp;$E$872)</f>
        <v>0</v>
      </c>
      <c r="L956" s="4">
        <f>SUMIFS(Table20[Invested],Table20[Asset],Table41[[#This Row],[Asset Name]],Table20[date_purchased],"&gt;"&amp;$C$872,Table20[date_purchased],"&lt;"&amp;$E$872)</f>
        <v>0</v>
      </c>
      <c r="M956" s="14">
        <f>IFERROR(Table41[[#This Row],[Within timeline]]/Table41[[#This Row],[Invested]],0)</f>
        <v>0</v>
      </c>
      <c r="N956" s="187">
        <v>79</v>
      </c>
      <c r="O956" s="179" cm="1">
        <f t="array" aca="1" ref="O956" ca="1">_FV(Table41[[#This Row],[Asset Name]],"Price")</f>
        <v>45.395000000000003</v>
      </c>
      <c r="P956" s="188">
        <v>82</v>
      </c>
      <c r="Q956" t="b">
        <f ca="1">IF(Table41[[#This Row],[Current Price]]&lt;Table41[[#This Row],[Put wall]]*1.02,TRUE,FALSE)</f>
        <v>1</v>
      </c>
      <c r="R956" t="b">
        <f ca="1">IF(Table41[[#This Row],[Current Price]]&gt;Table41[[#This Row],[Call wall]]*0.98,TRUE,FALSE)</f>
        <v>0</v>
      </c>
      <c r="S956" s="4">
        <f ca="1">SUMIF(Table20[Asset],Table41[[#This Row],[Asset Name]],Table20[delta_exposure])</f>
        <v>0</v>
      </c>
      <c r="T956" s="36" t="str" cm="1">
        <f t="array" aca="1" ref="T956" ca="1">_FV(Table41[[#This Row],[Asset Name]],"Instrument type",TRUE)</f>
        <v>ETF</v>
      </c>
      <c r="U956" s="183"/>
      <c r="V956" t="str">
        <f>VLOOKUP(Table41[[#This Row],[Asset Name]],Table19[#All],3,FALSE)</f>
        <v>Utilities</v>
      </c>
      <c r="X956" t="str">
        <f>VLOOKUP(Table41[[#This Row],[Asset Name]],Table19[#All],4,FALSE)</f>
        <v>Utilities</v>
      </c>
      <c r="Y956" s="147" t="str">
        <f ca="1">IF(Table41[[#This Row],[Current Price]]&lt;Table41[[#This Row],[Put wall]]*1.02,"✅",IF(Table41[[#This Row],[Current Price]]&gt;Table41[[#This Row],[Call wall]]*0.98,"🔻",""))</f>
        <v>✅</v>
      </c>
      <c r="Z956" s="203">
        <f ca="1">Table41[[#This Row],[Current Price]]/Table41[[#This Row],[Put wall]]-1</f>
        <v>-0.425379746835443</v>
      </c>
      <c r="AA956" s="206">
        <f ca="1">Table41[[#This Row],[Current Price]]/Table41[[#This Row],[Call wall]]-1</f>
        <v>-0.44640243902439025</v>
      </c>
    </row>
    <row r="957" spans="1:27" hidden="1">
      <c r="A957" s="194" t="e" vm="134">
        <v>#VALUE!</v>
      </c>
      <c r="B957" s="13" t="str" cm="1">
        <f t="array" aca="1" ref="B957" ca="1">_FV(Table41[[#This Row],[Asset Name]],"Ticker symbol",TRUE)</f>
        <v>USO</v>
      </c>
      <c r="C957" s="4">
        <f>SUMIF(Table20[Asset],Table41[[#This Row],[Asset Name]],Table20[realized_profit])</f>
        <v>0</v>
      </c>
      <c r="D957" s="4">
        <f>SUMIFS(Table20[realized_profit],Table20[Asset],Table41[[#This Row],[Asset Name]],Table20[date_purchased],"&gt;"&amp;$C$872,Table20[date_purchased],"&lt;"&amp;$E$872)</f>
        <v>0</v>
      </c>
      <c r="E957" s="4">
        <f>SUMIFS(Table20[realized_profit],Table20[Asset],Table41[[#This Row],[Asset Name]],Table20[Bullish or Bearish],"Bullish",Table20[date_purchased],"&gt;"&amp;$C$872,Table20[date_purchased],"&lt;"&amp;$E$872)</f>
        <v>0</v>
      </c>
      <c r="F957" s="4">
        <f>SUMIFS(Table20[realized_profit],Table20[Asset],Table41[[#This Row],[Asset Name]],Table20[Bullish or Bearish],"Bearish",Table20[date_purchased],"&gt;"&amp;$C$872,Table20[date_purchased],"&lt;"&amp;$E$872)</f>
        <v>0</v>
      </c>
      <c r="G957" s="4">
        <f>SUMIFS(Table20[realized_profit],Table20[Asset],Table41[[#This Row],[Asset Name]],Table20[Strategy],"call",Table20[date_purchased],"&gt;"&amp;$C$872,Table20[date_purchased],"&lt;"&amp;$E$872)</f>
        <v>0</v>
      </c>
      <c r="H957" s="4">
        <f>SUMIFS(Table20[realized_profit],Table20[Asset],Table41[[#This Row],[Asset Name]],Table20[Strategy],"put",Table20[date_purchased],"&gt;"&amp;$C$872,Table20[date_purchased],"&lt;"&amp;$E$872)</f>
        <v>0</v>
      </c>
      <c r="I957" s="4">
        <f>SUMIFS(Table20[realized_profit],Table20[Asset],Table41[[#This Row],[Asset Name]],Table20[Strategy],"calendar spread",Table20[date_purchased],"&gt;"&amp;$C$872,Table20[date_purchased],"&lt;"&amp;$E$872)</f>
        <v>0</v>
      </c>
      <c r="J957" s="4">
        <f>SUMIFS(Table20[realized_profit],Table20[Asset],Table41[[#This Row],[Asset Name]],Table20[Strategy],"put calendar spread",Table20[date_purchased],"&gt;"&amp;$C$872,Table20[date_purchased],"&lt;"&amp;$E$872)</f>
        <v>0</v>
      </c>
      <c r="K957" s="4">
        <f>SUMIFS(Table20[realized_profit],Table20[Asset],Table41[[#This Row],[Asset Name]],Table20[Strategy],"put spread",Table20[date_purchased],"&gt;"&amp;$C$872,Table20[date_purchased],"&lt;"&amp;$E$872)</f>
        <v>0</v>
      </c>
      <c r="L957" s="4">
        <f>SUMIFS(Table20[Invested],Table20[Asset],Table41[[#This Row],[Asset Name]],Table20[date_purchased],"&gt;"&amp;$C$872,Table20[date_purchased],"&lt;"&amp;$E$872)</f>
        <v>0</v>
      </c>
      <c r="M957" s="14">
        <f>IFERROR(Table41[[#This Row],[Within timeline]]/Table41[[#This Row],[Invested]],0)</f>
        <v>0</v>
      </c>
      <c r="N957" s="187">
        <v>71</v>
      </c>
      <c r="O957" s="179" cm="1">
        <f t="array" aca="1" ref="O957" ca="1">_FV(Table41[[#This Row],[Asset Name]],"Price")</f>
        <v>110.69</v>
      </c>
      <c r="P957" s="188">
        <v>74</v>
      </c>
      <c r="Q957" t="b">
        <f ca="1">IF(Table41[[#This Row],[Current Price]]&lt;Table41[[#This Row],[Put wall]]*1.02,TRUE,FALSE)</f>
        <v>0</v>
      </c>
      <c r="R957" t="b">
        <f ca="1">IF(Table41[[#This Row],[Current Price]]&gt;Table41[[#This Row],[Call wall]]*0.98,TRUE,FALSE)</f>
        <v>1</v>
      </c>
      <c r="S957" s="4">
        <f>SUMIF(Table20[Asset],Table41[[#This Row],[Asset Name]],Table20[delta_exposure])</f>
        <v>0</v>
      </c>
      <c r="T957" s="36" t="str" cm="1">
        <f t="array" aca="1" ref="T957" ca="1">_FV(Table41[[#This Row],[Asset Name]],"Instrument type",TRUE)</f>
        <v>ETF</v>
      </c>
      <c r="U957" s="183"/>
      <c r="V957" t="str">
        <f>VLOOKUP(Table41[[#This Row],[Asset Name]],Table19[#All],3,FALSE)</f>
        <v>Energy</v>
      </c>
      <c r="X957" t="str">
        <f>VLOOKUP(Table41[[#This Row],[Asset Name]],Table19[#All],4,FALSE)</f>
        <v>Energy</v>
      </c>
      <c r="Y957" s="147" t="str">
        <f ca="1">IF(Table41[[#This Row],[Current Price]]&lt;Table41[[#This Row],[Put wall]]*1.02,"✅",IF(Table41[[#This Row],[Current Price]]&gt;Table41[[#This Row],[Call wall]]*0.98,"🔻",""))</f>
        <v>🔻</v>
      </c>
      <c r="Z957" s="203">
        <f ca="1">Table41[[#This Row],[Current Price]]/Table41[[#This Row],[Put wall]]-1</f>
        <v>0.55901408450704215</v>
      </c>
      <c r="AA957" s="206">
        <f ca="1">Table41[[#This Row],[Current Price]]/Table41[[#This Row],[Call wall]]-1</f>
        <v>0.4958108108108108</v>
      </c>
    </row>
    <row r="958" spans="1:27">
      <c r="A958" s="194" t="e" vm="64">
        <v>#VALUE!</v>
      </c>
      <c r="B958" s="13" t="str" cm="1">
        <f t="array" aca="1" ref="B958" ca="1">_FV(Table41[[#This Row],[Asset Name]],"Ticker symbol",TRUE)</f>
        <v>LULU</v>
      </c>
      <c r="C958" s="4">
        <f>SUMIF(Table20[Asset],Table41[[#This Row],[Asset Name]],Table20[realized_profit])</f>
        <v>-1317.0000000000002</v>
      </c>
      <c r="D958" s="4">
        <f>SUMIFS(Table20[realized_profit],Table20[Asset],Table41[[#This Row],[Asset Name]],Table20[date_purchased],"&gt;"&amp;$C$872,Table20[date_purchased],"&lt;"&amp;$E$872)</f>
        <v>-248.99999999999989</v>
      </c>
      <c r="E958" s="4">
        <f>SUMIFS(Table20[realized_profit],Table20[Asset],Table41[[#This Row],[Asset Name]],Table20[Bullish or Bearish],"Bullish",Table20[date_purchased],"&gt;"&amp;$C$872,Table20[date_purchased],"&lt;"&amp;$E$872)</f>
        <v>0</v>
      </c>
      <c r="F958" s="4">
        <f>SUMIFS(Table20[realized_profit],Table20[Asset],Table41[[#This Row],[Asset Name]],Table20[Bullish or Bearish],"Bearish",Table20[date_purchased],"&gt;"&amp;$C$872,Table20[date_purchased],"&lt;"&amp;$E$872)</f>
        <v>-248.99999999999989</v>
      </c>
      <c r="G958" s="4">
        <f>SUMIFS(Table20[realized_profit],Table20[Asset],Table41[[#This Row],[Asset Name]],Table20[Strategy],"call",Table20[date_purchased],"&gt;"&amp;$C$872,Table20[date_purchased],"&lt;"&amp;$E$872)</f>
        <v>0</v>
      </c>
      <c r="H958" s="4">
        <f>SUMIFS(Table20[realized_profit],Table20[Asset],Table41[[#This Row],[Asset Name]],Table20[Strategy],"put",Table20[date_purchased],"&gt;"&amp;$C$872,Table20[date_purchased],"&lt;"&amp;$E$872)</f>
        <v>0</v>
      </c>
      <c r="I958" s="4">
        <f>SUMIFS(Table20[realized_profit],Table20[Asset],Table41[[#This Row],[Asset Name]],Table20[Strategy],"calendar spread",Table20[date_purchased],"&gt;"&amp;$C$872,Table20[date_purchased],"&lt;"&amp;$E$872)</f>
        <v>0</v>
      </c>
      <c r="J958" s="4">
        <f>SUMIFS(Table20[realized_profit],Table20[Asset],Table41[[#This Row],[Asset Name]],Table20[Strategy],"put calendar spread",Table20[date_purchased],"&gt;"&amp;$C$872,Table20[date_purchased],"&lt;"&amp;$E$872)</f>
        <v>0</v>
      </c>
      <c r="K958" s="4">
        <f>SUMIFS(Table20[realized_profit],Table20[Asset],Table41[[#This Row],[Asset Name]],Table20[Strategy],"put spread",Table20[date_purchased],"&gt;"&amp;$C$872,Table20[date_purchased],"&lt;"&amp;$E$872)</f>
        <v>0</v>
      </c>
      <c r="L958" s="4">
        <f>SUMIFS(Table20[Invested],Table20[Asset],Table41[[#This Row],[Asset Name]],Table20[date_purchased],"&gt;"&amp;$C$872,Table20[date_purchased],"&lt;"&amp;$E$872)</f>
        <v>-251.00000000000011</v>
      </c>
      <c r="M958" s="14">
        <f>IFERROR(Table41[[#This Row],[Within timeline]]/Table41[[#This Row],[Invested]],0)</f>
        <v>0.99203187250995928</v>
      </c>
      <c r="N958" s="187">
        <v>260</v>
      </c>
      <c r="O958" s="9" cm="1">
        <f t="array" aca="1" ref="O958" ca="1">_FV(Table41[[#This Row],[Asset Name]],"Price")</f>
        <v>159.22</v>
      </c>
      <c r="P958" s="188">
        <v>300</v>
      </c>
      <c r="Q958" t="b">
        <f ca="1">IF(Table41[[#This Row],[Current Price]]&lt;Table41[[#This Row],[Put wall]]*1.02,TRUE,FALSE)</f>
        <v>1</v>
      </c>
      <c r="R958" t="b">
        <f ca="1">IF(Table41[[#This Row],[Current Price]]&gt;Table41[[#This Row],[Call wall]]*0.98,TRUE,FALSE)</f>
        <v>0</v>
      </c>
      <c r="S958" s="4">
        <f ca="1">SUMIF(Table20[Asset],Table41[[#This Row],[Asset Name]],Table20[delta_exposure])</f>
        <v>0</v>
      </c>
      <c r="T958" s="36" t="str" cm="1">
        <f t="array" aca="1" ref="T958" ca="1">_FV(Table41[[#This Row],[Asset Name]],"Instrument type",TRUE)</f>
        <v>Stock</v>
      </c>
      <c r="U958" s="183">
        <v>45589</v>
      </c>
      <c r="V958" t="str">
        <f>VLOOKUP(Table41[[#This Row],[Asset Name]],Table19[#All],3,FALSE)</f>
        <v>Consumer Discretionary</v>
      </c>
      <c r="X958" t="str">
        <f>VLOOKUP(Table41[[#This Row],[Asset Name]],Table19[#All],4,FALSE)</f>
        <v>Fitness</v>
      </c>
      <c r="Y958" s="147" t="str">
        <f ca="1">IF(Table41[[#This Row],[Current Price]]&lt;Table41[[#This Row],[Put wall]]*1.02,"✅",IF(Table41[[#This Row],[Current Price]]&gt;Table41[[#This Row],[Call wall]]*0.98,"🔻",""))</f>
        <v>✅</v>
      </c>
      <c r="Z958" s="203">
        <f ca="1">Table41[[#This Row],[Current Price]]/Table41[[#This Row],[Put wall]]-1</f>
        <v>-0.38761538461538458</v>
      </c>
      <c r="AA958" s="206">
        <f ca="1">Table41[[#This Row],[Current Price]]/Table41[[#This Row],[Call wall]]-1</f>
        <v>-0.46926666666666672</v>
      </c>
    </row>
    <row r="959" spans="1:27" hidden="1">
      <c r="A959" s="194" t="e" vm="62">
        <v>#VALUE!</v>
      </c>
      <c r="B959" s="189" t="str" cm="1">
        <f t="array" aca="1" ref="B959" ca="1">_FV(Table41[[#This Row],[Asset Name]],"Ticker symbol",TRUE)</f>
        <v>EQT</v>
      </c>
      <c r="C959" s="4">
        <f>SUMIF(Table20[Asset],Table41[[#This Row],[Asset Name]],Table20[realized_profit])</f>
        <v>0</v>
      </c>
      <c r="D959" s="4">
        <f>SUMIFS(Table20[realized_profit],Table20[Asset],Table41[[#This Row],[Asset Name]],Table20[date_purchased],"&gt;"&amp;$C$872,Table20[date_purchased],"&lt;"&amp;$E$872)</f>
        <v>0</v>
      </c>
      <c r="E959" s="4">
        <f>SUMIFS(Table20[realized_profit],Table20[Asset],Table41[[#This Row],[Asset Name]],Table20[Bullish or Bearish],"Bullish",Table20[date_purchased],"&gt;"&amp;$C$872,Table20[date_purchased],"&lt;"&amp;$E$872)</f>
        <v>0</v>
      </c>
      <c r="F959" s="4">
        <f>SUMIFS(Table20[realized_profit],Table20[Asset],Table41[[#This Row],[Asset Name]],Table20[Bullish or Bearish],"Bearish",Table20[date_purchased],"&gt;"&amp;$C$872,Table20[date_purchased],"&lt;"&amp;$E$872)</f>
        <v>0</v>
      </c>
      <c r="G959" s="4">
        <f>SUMIFS(Table20[realized_profit],Table20[Asset],Table41[[#This Row],[Asset Name]],Table20[Strategy],"call",Table20[date_purchased],"&gt;"&amp;$C$872,Table20[date_purchased],"&lt;"&amp;$E$872)</f>
        <v>0</v>
      </c>
      <c r="H959" s="4">
        <f>SUMIFS(Table20[realized_profit],Table20[Asset],Table41[[#This Row],[Asset Name]],Table20[Strategy],"put",Table20[date_purchased],"&gt;"&amp;$C$872,Table20[date_purchased],"&lt;"&amp;$E$872)</f>
        <v>0</v>
      </c>
      <c r="I959" s="4">
        <f>SUMIFS(Table20[realized_profit],Table20[Asset],Table41[[#This Row],[Asset Name]],Table20[Strategy],"calendar spread",Table20[date_purchased],"&gt;"&amp;$C$872,Table20[date_purchased],"&lt;"&amp;$E$872)</f>
        <v>0</v>
      </c>
      <c r="J959" s="4">
        <f>SUMIFS(Table20[realized_profit],Table20[Asset],Table41[[#This Row],[Asset Name]],Table20[Strategy],"put calendar spread",Table20[date_purchased],"&gt;"&amp;$C$872,Table20[date_purchased],"&lt;"&amp;$E$872)</f>
        <v>0</v>
      </c>
      <c r="K959" s="4">
        <f>SUMIFS(Table20[realized_profit],Table20[Asset],Table41[[#This Row],[Asset Name]],Table20[Strategy],"put spread",Table20[date_purchased],"&gt;"&amp;$C$872,Table20[date_purchased],"&lt;"&amp;$E$872)</f>
        <v>0</v>
      </c>
      <c r="L959" s="4">
        <f>SUMIFS(Table20[Invested],Table20[Asset],Table41[[#This Row],[Asset Name]],Table20[date_purchased],"&gt;"&amp;$C$872,Table20[date_purchased],"&lt;"&amp;$E$872)</f>
        <v>0</v>
      </c>
      <c r="M959" s="14">
        <f>IFERROR(Table41[[#This Row],[Within timeline]]/Table41[[#This Row],[Invested]],0)</f>
        <v>0</v>
      </c>
      <c r="N959" s="187">
        <v>32</v>
      </c>
      <c r="O959" s="179" cm="1">
        <f t="array" aca="1" ref="O959" ca="1">_FV(Table41[[#This Row],[Asset Name]],"Price")</f>
        <v>66.7</v>
      </c>
      <c r="P959" s="188">
        <v>40</v>
      </c>
      <c r="Q959" t="b">
        <f ca="1">IF(Table41[[#This Row],[Current Price]]&lt;Table41[[#This Row],[Put wall]]*1.02,TRUE,FALSE)</f>
        <v>0</v>
      </c>
      <c r="R959" t="b">
        <f ca="1">IF(Table41[[#This Row],[Current Price]]&gt;Table41[[#This Row],[Call wall]]*0.98,TRUE,FALSE)</f>
        <v>1</v>
      </c>
      <c r="S959" s="4">
        <f ca="1">SUMIF(Table20[Asset],Table41[[#This Row],[Asset Name]],Table20[delta_exposure])</f>
        <v>4766.1975544411871</v>
      </c>
      <c r="T959" s="36" t="str" cm="1">
        <f t="array" aca="1" ref="T959" ca="1">_FV(Table41[[#This Row],[Asset Name]],"Instrument type",TRUE)</f>
        <v>Stock</v>
      </c>
      <c r="U959" s="183">
        <v>45588</v>
      </c>
      <c r="V959" t="str">
        <f>VLOOKUP(Table41[[#This Row],[Asset Name]],Table19[#All],3,FALSE)</f>
        <v>Energy</v>
      </c>
      <c r="X959" t="str">
        <f>VLOOKUP(Table41[[#This Row],[Asset Name]],Table19[#All],4,FALSE)</f>
        <v>Energy</v>
      </c>
      <c r="Y959" s="147" t="str">
        <f ca="1">IF(Table41[[#This Row],[Current Price]]&lt;Table41[[#This Row],[Put wall]]*1.02,"✅",IF(Table41[[#This Row],[Current Price]]&gt;Table41[[#This Row],[Call wall]]*0.98,"🔻",""))</f>
        <v>🔻</v>
      </c>
      <c r="Z959" s="203">
        <f ca="1">Table41[[#This Row],[Current Price]]/Table41[[#This Row],[Put wall]]-1</f>
        <v>1.0843750000000001</v>
      </c>
      <c r="AA959" s="206">
        <f ca="1">Table41[[#This Row],[Current Price]]/Table41[[#This Row],[Call wall]]-1</f>
        <v>0.66749999999999998</v>
      </c>
    </row>
    <row r="960" spans="1:27" hidden="1">
      <c r="A960" s="194" t="e" vm="48">
        <v>#VALUE!</v>
      </c>
      <c r="B960" s="189" t="str" cm="1">
        <f t="array" aca="1" ref="B960" ca="1">_FV(Table41[[#This Row],[Asset Name]],"Ticker symbol",TRUE)</f>
        <v>BWXT</v>
      </c>
      <c r="C960" s="4">
        <f>SUMIF(Table20[Asset],Table41[[#This Row],[Asset Name]],Table20[realized_profit])</f>
        <v>0</v>
      </c>
      <c r="D960" s="4">
        <f>SUMIFS(Table20[realized_profit],Table20[Asset],Table41[[#This Row],[Asset Name]],Table20[date_purchased],"&gt;"&amp;$C$872,Table20[date_purchased],"&lt;"&amp;$E$872)</f>
        <v>0</v>
      </c>
      <c r="E960" s="4">
        <f>SUMIFS(Table20[realized_profit],Table20[Asset],Table41[[#This Row],[Asset Name]],Table20[Bullish or Bearish],"Bullish",Table20[date_purchased],"&gt;"&amp;$C$872,Table20[date_purchased],"&lt;"&amp;$E$872)</f>
        <v>0</v>
      </c>
      <c r="F960" s="4">
        <f>SUMIFS(Table20[realized_profit],Table20[Asset],Table41[[#This Row],[Asset Name]],Table20[Bullish or Bearish],"Bearish",Table20[date_purchased],"&gt;"&amp;$C$872,Table20[date_purchased],"&lt;"&amp;$E$872)</f>
        <v>0</v>
      </c>
      <c r="G960" s="4">
        <f>SUMIFS(Table20[realized_profit],Table20[Asset],Table41[[#This Row],[Asset Name]],Table20[Strategy],"call",Table20[date_purchased],"&gt;"&amp;$C$872,Table20[date_purchased],"&lt;"&amp;$E$872)</f>
        <v>0</v>
      </c>
      <c r="H960" s="4">
        <f>SUMIFS(Table20[realized_profit],Table20[Asset],Table41[[#This Row],[Asset Name]],Table20[Strategy],"put",Table20[date_purchased],"&gt;"&amp;$C$872,Table20[date_purchased],"&lt;"&amp;$E$872)</f>
        <v>0</v>
      </c>
      <c r="I960" s="4">
        <f>SUMIFS(Table20[realized_profit],Table20[Asset],Table41[[#This Row],[Asset Name]],Table20[Strategy],"calendar spread",Table20[date_purchased],"&gt;"&amp;$C$872,Table20[date_purchased],"&lt;"&amp;$E$872)</f>
        <v>0</v>
      </c>
      <c r="J960" s="4">
        <f>SUMIFS(Table20[realized_profit],Table20[Asset],Table41[[#This Row],[Asset Name]],Table20[Strategy],"put calendar spread",Table20[date_purchased],"&gt;"&amp;$C$872,Table20[date_purchased],"&lt;"&amp;$E$872)</f>
        <v>0</v>
      </c>
      <c r="K960" s="4">
        <f>SUMIFS(Table20[realized_profit],Table20[Asset],Table41[[#This Row],[Asset Name]],Table20[Strategy],"put spread",Table20[date_purchased],"&gt;"&amp;$C$872,Table20[date_purchased],"&lt;"&amp;$E$872)</f>
        <v>0</v>
      </c>
      <c r="L960" s="4">
        <f>SUMIFS(Table20[Invested],Table20[Asset],Table41[[#This Row],[Asset Name]],Table20[date_purchased],"&gt;"&amp;$C$872,Table20[date_purchased],"&lt;"&amp;$E$872)</f>
        <v>0</v>
      </c>
      <c r="M960" s="14">
        <f>IFERROR(Table41[[#This Row],[Within timeline]]/Table41[[#This Row],[Invested]],0)</f>
        <v>0</v>
      </c>
      <c r="N960" s="187">
        <v>105</v>
      </c>
      <c r="O960" s="179" cm="1">
        <f t="array" aca="1" ref="O960" ca="1">_FV(Table41[[#This Row],[Asset Name]],"Price")</f>
        <v>215.84</v>
      </c>
      <c r="P960" s="188">
        <v>130</v>
      </c>
      <c r="Q960" t="b">
        <f ca="1">IF(Table41[[#This Row],[Current Price]]&lt;Table41[[#This Row],[Put wall]]*1.02,TRUE,FALSE)</f>
        <v>0</v>
      </c>
      <c r="R960" t="b">
        <f ca="1">IF(Table41[[#This Row],[Current Price]]&gt;Table41[[#This Row],[Call wall]]*0.98,TRUE,FALSE)</f>
        <v>1</v>
      </c>
      <c r="S960" s="4">
        <f>SUMIF(Table20[Asset],Table41[[#This Row],[Asset Name]],Table20[delta_exposure])</f>
        <v>0</v>
      </c>
      <c r="T960" s="36" t="str" cm="1">
        <f t="array" aca="1" ref="T960" ca="1">_FV(Table41[[#This Row],[Asset Name]],"Instrument type",TRUE)</f>
        <v>Stock</v>
      </c>
      <c r="U960" s="183">
        <v>45594</v>
      </c>
      <c r="V960" t="str">
        <f>VLOOKUP(Table41[[#This Row],[Asset Name]],Table19[#All],3,FALSE)</f>
        <v>Nuclear</v>
      </c>
      <c r="X960" s="194" t="str">
        <f>VLOOKUP(Table41[[#This Row],[Asset Name]],Table19[#All],4,FALSE)</f>
        <v>Nuclear</v>
      </c>
      <c r="Y960" s="189" t="str">
        <f ca="1">IF(Table41[[#This Row],[Current Price]]&lt;Table41[[#This Row],[Put wall]]*1.02,"✅",IF(Table41[[#This Row],[Current Price]]&gt;Table41[[#This Row],[Call wall]]*0.98,"🔻",""))</f>
        <v>🔻</v>
      </c>
      <c r="Z960" s="203">
        <f ca="1">Table41[[#This Row],[Current Price]]/Table41[[#This Row],[Put wall]]-1</f>
        <v>1.0556190476190475</v>
      </c>
      <c r="AA960" s="207">
        <f ca="1">Table41[[#This Row],[Current Price]]/Table41[[#This Row],[Call wall]]-1</f>
        <v>0.66030769230769226</v>
      </c>
    </row>
    <row r="961" spans="1:44">
      <c r="A961" s="194" t="e" vm="135">
        <v>#VALUE!</v>
      </c>
      <c r="B961" s="189" t="str" cm="1">
        <f t="array" aca="1" ref="B961" ca="1">_FV(Table41[[#This Row],[Asset Name]],"Ticker symbol",TRUE)</f>
        <v>CRM</v>
      </c>
      <c r="C961" s="4">
        <f>SUMIF(Table20[Asset],Table41[[#This Row],[Asset Name]],Table20[realized_profit])</f>
        <v>-606</v>
      </c>
      <c r="D961" s="4">
        <f>SUMIFS(Table20[realized_profit],Table20[Asset],Table41[[#This Row],[Asset Name]],Table20[date_purchased],"&gt;"&amp;$C$872,Table20[date_purchased],"&lt;"&amp;$E$872)</f>
        <v>-246</v>
      </c>
      <c r="E961" s="4">
        <f>SUMIFS(Table20[realized_profit],Table20[Asset],Table41[[#This Row],[Asset Name]],Table20[Bullish or Bearish],"Bullish",Table20[date_purchased],"&gt;"&amp;$C$872,Table20[date_purchased],"&lt;"&amp;$E$872)</f>
        <v>0</v>
      </c>
      <c r="F961" s="4">
        <f>SUMIFS(Table20[realized_profit],Table20[Asset],Table41[[#This Row],[Asset Name]],Table20[Bullish or Bearish],"Bearish",Table20[date_purchased],"&gt;"&amp;$C$872,Table20[date_purchased],"&lt;"&amp;$E$872)</f>
        <v>-246</v>
      </c>
      <c r="G961" s="4">
        <f>SUMIFS(Table20[realized_profit],Table20[Asset],Table41[[#This Row],[Asset Name]],Table20[Strategy],"call",Table20[date_purchased],"&gt;"&amp;$C$872,Table20[date_purchased],"&lt;"&amp;$E$872)</f>
        <v>0</v>
      </c>
      <c r="H961" s="4">
        <f>SUMIFS(Table20[realized_profit],Table20[Asset],Table41[[#This Row],[Asset Name]],Table20[Strategy],"put",Table20[date_purchased],"&gt;"&amp;$C$872,Table20[date_purchased],"&lt;"&amp;$E$872)</f>
        <v>-174</v>
      </c>
      <c r="I961" s="4">
        <f>SUMIFS(Table20[realized_profit],Table20[Asset],Table41[[#This Row],[Asset Name]],Table20[Strategy],"calendar spread",Table20[date_purchased],"&gt;"&amp;$C$872,Table20[date_purchased],"&lt;"&amp;$E$872)</f>
        <v>0</v>
      </c>
      <c r="J961" s="4">
        <f>SUMIFS(Table20[realized_profit],Table20[Asset],Table41[[#This Row],[Asset Name]],Table20[Strategy],"put calendar spread",Table20[date_purchased],"&gt;"&amp;$C$872,Table20[date_purchased],"&lt;"&amp;$E$872)</f>
        <v>0</v>
      </c>
      <c r="K961" s="4">
        <f>SUMIFS(Table20[realized_profit],Table20[Asset],Table41[[#This Row],[Asset Name]],Table20[Strategy],"put spread",Table20[date_purchased],"&gt;"&amp;$C$872,Table20[date_purchased],"&lt;"&amp;$E$872)</f>
        <v>-72.000000000000014</v>
      </c>
      <c r="L961" s="4">
        <f>SUMIFS(Table20[Invested],Table20[Asset],Table41[[#This Row],[Asset Name]],Table20[date_purchased],"&gt;"&amp;$C$872,Table20[date_purchased],"&lt;"&amp;$E$872)</f>
        <v>617</v>
      </c>
      <c r="M961" s="14">
        <f>IFERROR(Table41[[#This Row],[Within timeline]]/Table41[[#This Row],[Invested]],0)</f>
        <v>-0.39870340356564021</v>
      </c>
      <c r="N961" s="187">
        <v>250</v>
      </c>
      <c r="O961" s="179" cm="1">
        <f t="array" aca="1" ref="O961" ca="1">_FV(Table41[[#This Row],[Asset Name]],"Price")</f>
        <v>183.79</v>
      </c>
      <c r="P961" s="188">
        <v>300</v>
      </c>
      <c r="Q961" t="b">
        <f ca="1">IF(Table41[[#This Row],[Current Price]]&lt;Table41[[#This Row],[Put wall]]*1.02,TRUE,FALSE)</f>
        <v>1</v>
      </c>
      <c r="R961" t="b">
        <f ca="1">IF(Table41[[#This Row],[Current Price]]&gt;Table41[[#This Row],[Call wall]]*0.98,TRUE,FALSE)</f>
        <v>0</v>
      </c>
      <c r="S961" s="4">
        <f ca="1">SUMIF(Table20[Asset],Table41[[#This Row],[Asset Name]],Table20[delta_exposure])</f>
        <v>0</v>
      </c>
      <c r="T961" s="36" t="str" cm="1">
        <f t="array" aca="1" ref="T961" ca="1">_FV(Table41[[#This Row],[Asset Name]],"Instrument type",TRUE)</f>
        <v>Stock</v>
      </c>
      <c r="U961" s="183">
        <v>45623</v>
      </c>
      <c r="V961" t="str">
        <f>VLOOKUP(Table41[[#This Row],[Asset Name]],Table19[#All],3,FALSE)</f>
        <v>Technology</v>
      </c>
      <c r="X961" s="194" t="str">
        <f>VLOOKUP(Table41[[#This Row],[Asset Name]],Table19[#All],4,FALSE)</f>
        <v>Software</v>
      </c>
      <c r="Y961" s="189" t="str">
        <f ca="1">IF(Table41[[#This Row],[Current Price]]&lt;Table41[[#This Row],[Put wall]]*1.02,"✅",IF(Table41[[#This Row],[Current Price]]&gt;Table41[[#This Row],[Call wall]]*0.98,"🔻",""))</f>
        <v>✅</v>
      </c>
      <c r="Z961" s="203">
        <f ca="1">Table41[[#This Row],[Current Price]]/Table41[[#This Row],[Put wall]]-1</f>
        <v>-0.26484000000000008</v>
      </c>
      <c r="AA961" s="207">
        <f ca="1">Table41[[#This Row],[Current Price]]/Table41[[#This Row],[Call wall]]-1</f>
        <v>-0.38736666666666675</v>
      </c>
    </row>
    <row r="962" spans="1:44" hidden="1">
      <c r="A962" s="194" t="e" vm="136">
        <v>#VALUE!</v>
      </c>
      <c r="B962" s="189" t="str" cm="1">
        <f t="array" aca="1" ref="B962" ca="1">_FV(Table41[[#This Row],[Asset Name]],"Ticker symbol",TRUE)</f>
        <v>ADBE</v>
      </c>
      <c r="C962" s="4">
        <f>SUMIF(Table20[Asset],Table41[[#This Row],[Asset Name]],Table20[realized_profit])</f>
        <v>264</v>
      </c>
      <c r="D962" s="4">
        <f>SUMIFS(Table20[realized_profit],Table20[Asset],Table41[[#This Row],[Asset Name]],Table20[date_purchased],"&gt;"&amp;$C$872,Table20[date_purchased],"&lt;"&amp;$E$872)</f>
        <v>0</v>
      </c>
      <c r="E962" s="4">
        <f>SUMIFS(Table20[realized_profit],Table20[Asset],Table41[[#This Row],[Asset Name]],Table20[Bullish or Bearish],"Bullish",Table20[date_purchased],"&gt;"&amp;$C$872,Table20[date_purchased],"&lt;"&amp;$E$872)</f>
        <v>0</v>
      </c>
      <c r="F962" s="4">
        <f>SUMIFS(Table20[realized_profit],Table20[Asset],Table41[[#This Row],[Asset Name]],Table20[Bullish or Bearish],"Bearish",Table20[date_purchased],"&gt;"&amp;$C$872,Table20[date_purchased],"&lt;"&amp;$E$872)</f>
        <v>0</v>
      </c>
      <c r="G962" s="4">
        <f>SUMIFS(Table20[realized_profit],Table20[Asset],Table41[[#This Row],[Asset Name]],Table20[Strategy],"call",Table20[date_purchased],"&gt;"&amp;$C$872,Table20[date_purchased],"&lt;"&amp;$E$872)</f>
        <v>0</v>
      </c>
      <c r="H962" s="4">
        <f>SUMIFS(Table20[realized_profit],Table20[Asset],Table41[[#This Row],[Asset Name]],Table20[Strategy],"put",Table20[date_purchased],"&gt;"&amp;$C$872,Table20[date_purchased],"&lt;"&amp;$E$872)</f>
        <v>0</v>
      </c>
      <c r="I962" s="4">
        <f>SUMIFS(Table20[realized_profit],Table20[Asset],Table41[[#This Row],[Asset Name]],Table20[Strategy],"calendar spread",Table20[date_purchased],"&gt;"&amp;$C$872,Table20[date_purchased],"&lt;"&amp;$E$872)</f>
        <v>0</v>
      </c>
      <c r="J962" s="4">
        <f>SUMIFS(Table20[realized_profit],Table20[Asset],Table41[[#This Row],[Asset Name]],Table20[Strategy],"put calendar spread",Table20[date_purchased],"&gt;"&amp;$C$872,Table20[date_purchased],"&lt;"&amp;$E$872)</f>
        <v>0</v>
      </c>
      <c r="K962" s="4">
        <f>SUMIFS(Table20[realized_profit],Table20[Asset],Table41[[#This Row],[Asset Name]],Table20[Strategy],"put spread",Table20[date_purchased],"&gt;"&amp;$C$872,Table20[date_purchased],"&lt;"&amp;$E$872)</f>
        <v>0</v>
      </c>
      <c r="L962" s="4">
        <f>SUMIFS(Table20[Invested],Table20[Asset],Table41[[#This Row],[Asset Name]],Table20[date_purchased],"&gt;"&amp;$C$872,Table20[date_purchased],"&lt;"&amp;$E$872)</f>
        <v>0</v>
      </c>
      <c r="M962" s="14">
        <f>IFERROR(Table41[[#This Row],[Within timeline]]/Table41[[#This Row],[Invested]],0)</f>
        <v>0</v>
      </c>
      <c r="N962" s="187">
        <v>480</v>
      </c>
      <c r="O962" s="179" cm="1">
        <f t="array" aca="1" ref="O962" ca="1">_FV(Table41[[#This Row],[Asset Name]],"Price")</f>
        <v>237.26</v>
      </c>
      <c r="P962" s="188">
        <v>495</v>
      </c>
      <c r="Q962" t="b">
        <f ca="1">IF(Table41[[#This Row],[Current Price]]&lt;Table41[[#This Row],[Put wall]]*1.02,TRUE,FALSE)</f>
        <v>1</v>
      </c>
      <c r="R962" t="b">
        <f ca="1">IF(Table41[[#This Row],[Current Price]]&gt;Table41[[#This Row],[Call wall]]*0.98,TRUE,FALSE)</f>
        <v>0</v>
      </c>
      <c r="S962" s="4">
        <f ca="1">SUMIF(Table20[Asset],Table41[[#This Row],[Asset Name]],Table20[delta_exposure])</f>
        <v>0</v>
      </c>
      <c r="T962" s="36" t="str" cm="1">
        <f t="array" aca="1" ref="T962" ca="1">_FV(Table41[[#This Row],[Asset Name]],"Instrument type",TRUE)</f>
        <v>Stock</v>
      </c>
      <c r="U962" s="183"/>
      <c r="V962" t="str">
        <f>VLOOKUP(Table41[[#This Row],[Asset Name]],Table19[#All],3,FALSE)</f>
        <v>AI</v>
      </c>
      <c r="X962" s="194" t="str">
        <f>VLOOKUP(Table41[[#This Row],[Asset Name]],Table19[#All],4,FALSE)</f>
        <v>Technology</v>
      </c>
      <c r="Y962" s="189" t="str">
        <f ca="1">IF(Table41[[#This Row],[Current Price]]&lt;Table41[[#This Row],[Put wall]]*1.02,"✅",IF(Table41[[#This Row],[Current Price]]&gt;Table41[[#This Row],[Call wall]]*0.98,"🔻",""))</f>
        <v>✅</v>
      </c>
      <c r="Z962" s="204"/>
      <c r="AA962" s="207">
        <f ca="1">Table41[[#This Row],[Current Price]]/Table41[[#This Row],[Call wall]]-1</f>
        <v>-0.52068686868686864</v>
      </c>
    </row>
    <row r="963" spans="1:44">
      <c r="A963" s="194" t="e" vm="137">
        <v>#VALUE!</v>
      </c>
      <c r="B963" s="189" t="str" cm="1">
        <f t="array" aca="1" ref="B963" ca="1">_FV(Table41[[#This Row],[Asset Name]],"Ticker symbol",TRUE)</f>
        <v>VLO</v>
      </c>
      <c r="C963" s="4">
        <f>SUMIF(Table20[Asset],Table41[[#This Row],[Asset Name]],Table20[realized_profit])</f>
        <v>-244.00000000000006</v>
      </c>
      <c r="D963" s="4">
        <f>SUMIFS(Table20[realized_profit],Table20[Asset],Table41[[#This Row],[Asset Name]],Table20[date_purchased],"&gt;"&amp;$C$872,Table20[date_purchased],"&lt;"&amp;$E$872)</f>
        <v>-244.00000000000006</v>
      </c>
      <c r="E963" s="4">
        <f>SUMIFS(Table20[realized_profit],Table20[Asset],Table41[[#This Row],[Asset Name]],Table20[Bullish or Bearish],"Bullish",Table20[date_purchased],"&gt;"&amp;$C$872,Table20[date_purchased],"&lt;"&amp;$E$872)</f>
        <v>-244.00000000000006</v>
      </c>
      <c r="F963" s="4">
        <f>SUMIFS(Table20[realized_profit],Table20[Asset],Table41[[#This Row],[Asset Name]],Table20[Bullish or Bearish],"Bearish",Table20[date_purchased],"&gt;"&amp;$C$872,Table20[date_purchased],"&lt;"&amp;$E$872)</f>
        <v>0</v>
      </c>
      <c r="G963" s="4">
        <f>SUMIFS(Table20[realized_profit],Table20[Asset],Table41[[#This Row],[Asset Name]],Table20[Strategy],"call",Table20[date_purchased],"&gt;"&amp;$C$872,Table20[date_purchased],"&lt;"&amp;$E$872)</f>
        <v>0</v>
      </c>
      <c r="H963" s="4">
        <f>SUMIFS(Table20[realized_profit],Table20[Asset],Table41[[#This Row],[Asset Name]],Table20[Strategy],"put",Table20[date_purchased],"&gt;"&amp;$C$872,Table20[date_purchased],"&lt;"&amp;$E$872)</f>
        <v>0</v>
      </c>
      <c r="I963" s="4">
        <f>SUMIFS(Table20[realized_profit],Table20[Asset],Table41[[#This Row],[Asset Name]],Table20[Strategy],"calendar spread",Table20[date_purchased],"&gt;"&amp;$C$872,Table20[date_purchased],"&lt;"&amp;$E$872)</f>
        <v>0</v>
      </c>
      <c r="J963" s="4">
        <f>SUMIFS(Table20[realized_profit],Table20[Asset],Table41[[#This Row],[Asset Name]],Table20[Strategy],"put calendar spread",Table20[date_purchased],"&gt;"&amp;$C$872,Table20[date_purchased],"&lt;"&amp;$E$872)</f>
        <v>0</v>
      </c>
      <c r="K963" s="4">
        <f>SUMIFS(Table20[realized_profit],Table20[Asset],Table41[[#This Row],[Asset Name]],Table20[Strategy],"put spread",Table20[date_purchased],"&gt;"&amp;$C$872,Table20[date_purchased],"&lt;"&amp;$E$872)</f>
        <v>0</v>
      </c>
      <c r="L963" s="4">
        <f>SUMIFS(Table20[Invested],Table20[Asset],Table41[[#This Row],[Asset Name]],Table20[date_purchased],"&gt;"&amp;$C$872,Table20[date_purchased],"&lt;"&amp;$E$872)</f>
        <v>464.00000000000011</v>
      </c>
      <c r="M963" s="14">
        <f>IFERROR(Table41[[#This Row],[Within timeline]]/Table41[[#This Row],[Invested]],0)</f>
        <v>-0.52586206896551724</v>
      </c>
      <c r="N963" s="187">
        <v>130</v>
      </c>
      <c r="O963" s="179" cm="1">
        <f t="array" aca="1" ref="O963" ca="1">_FV(Table41[[#This Row],[Asset Name]],"Price")</f>
        <v>241.67009999999999</v>
      </c>
      <c r="P963" s="188">
        <v>150</v>
      </c>
      <c r="Q963" t="b">
        <f ca="1">IF(Table41[[#This Row],[Current Price]]&lt;Table41[[#This Row],[Put wall]]*1.02,TRUE,FALSE)</f>
        <v>0</v>
      </c>
      <c r="R963" t="b">
        <f ca="1">IF(Table41[[#This Row],[Current Price]]&gt;Table41[[#This Row],[Call wall]]*0.98,TRUE,FALSE)</f>
        <v>1</v>
      </c>
      <c r="S963" s="4">
        <f ca="1">SUMIF(Table20[Asset],Table41[[#This Row],[Asset Name]],Table20[delta_exposure])</f>
        <v>0</v>
      </c>
      <c r="T963" s="36" t="str" cm="1">
        <f t="array" aca="1" ref="T963" ca="1">_FV(Table41[[#This Row],[Asset Name]],"Instrument type",TRUE)</f>
        <v>Stock</v>
      </c>
      <c r="U963" s="183">
        <v>45589</v>
      </c>
      <c r="V963" t="str">
        <f>VLOOKUP(Table41[[#This Row],[Asset Name]],Table19[#All],3,FALSE)</f>
        <v>Energy</v>
      </c>
      <c r="X963" s="194" t="str">
        <f>VLOOKUP(Table41[[#This Row],[Asset Name]],Table19[#All],4,FALSE)</f>
        <v>Refinery</v>
      </c>
      <c r="Y963" s="189" t="str">
        <f ca="1">IF(Table41[[#This Row],[Current Price]]&lt;Table41[[#This Row],[Put wall]]*1.02,"✅",IF(Table41[[#This Row],[Current Price]]&gt;Table41[[#This Row],[Call wall]]*0.98,"🔻",""))</f>
        <v>🔻</v>
      </c>
      <c r="Z963" s="203">
        <f ca="1">Table41[[#This Row],[Current Price]]/Table41[[#This Row],[Put wall]]-1</f>
        <v>0.85900076923076907</v>
      </c>
      <c r="AA963" s="207">
        <f ca="1">Table41[[#This Row],[Current Price]]/Table41[[#This Row],[Call wall]]-1</f>
        <v>0.61113399999999984</v>
      </c>
    </row>
    <row r="964" spans="1:44" hidden="1">
      <c r="A964" s="194" t="e" vm="138">
        <v>#VALUE!</v>
      </c>
      <c r="B964" s="189" t="str" cm="1">
        <f t="array" aca="1" ref="B964" ca="1">_FV(Table41[[#This Row],[Asset Name]],"Ticker symbol",TRUE)</f>
        <v>PRGS</v>
      </c>
      <c r="C964" s="4">
        <f>SUMIF(Table20[Asset],Table41[[#This Row],[Asset Name]],Table20[realized_profit])</f>
        <v>0</v>
      </c>
      <c r="D964" s="4">
        <f>SUMIFS(Table20[realized_profit],Table20[Asset],Table41[[#This Row],[Asset Name]],Table20[date_purchased],"&gt;"&amp;$C$872,Table20[date_purchased],"&lt;"&amp;$E$872)</f>
        <v>0</v>
      </c>
      <c r="E964" s="4">
        <f>SUMIFS(Table20[realized_profit],Table20[Asset],Table41[[#This Row],[Asset Name]],Table20[Bullish or Bearish],"Bullish",Table20[date_purchased],"&gt;"&amp;$C$872,Table20[date_purchased],"&lt;"&amp;$E$872)</f>
        <v>0</v>
      </c>
      <c r="F964" s="4">
        <f>SUMIFS(Table20[realized_profit],Table20[Asset],Table41[[#This Row],[Asset Name]],Table20[Bullish or Bearish],"Bearish",Table20[date_purchased],"&gt;"&amp;$C$872,Table20[date_purchased],"&lt;"&amp;$E$872)</f>
        <v>0</v>
      </c>
      <c r="G964" s="4">
        <f>SUMIFS(Table20[realized_profit],Table20[Asset],Table41[[#This Row],[Asset Name]],Table20[Strategy],"call",Table20[date_purchased],"&gt;"&amp;$C$872,Table20[date_purchased],"&lt;"&amp;$E$872)</f>
        <v>0</v>
      </c>
      <c r="H964" s="4">
        <f>SUMIFS(Table20[realized_profit],Table20[Asset],Table41[[#This Row],[Asset Name]],Table20[Strategy],"put",Table20[date_purchased],"&gt;"&amp;$C$872,Table20[date_purchased],"&lt;"&amp;$E$872)</f>
        <v>0</v>
      </c>
      <c r="I964" s="4">
        <f>SUMIFS(Table20[realized_profit],Table20[Asset],Table41[[#This Row],[Asset Name]],Table20[Strategy],"calendar spread",Table20[date_purchased],"&gt;"&amp;$C$872,Table20[date_purchased],"&lt;"&amp;$E$872)</f>
        <v>0</v>
      </c>
      <c r="J964" s="4">
        <f>SUMIFS(Table20[realized_profit],Table20[Asset],Table41[[#This Row],[Asset Name]],Table20[Strategy],"put calendar spread",Table20[date_purchased],"&gt;"&amp;$C$872,Table20[date_purchased],"&lt;"&amp;$E$872)</f>
        <v>0</v>
      </c>
      <c r="K964" s="4">
        <f>SUMIFS(Table20[realized_profit],Table20[Asset],Table41[[#This Row],[Asset Name]],Table20[Strategy],"put spread",Table20[date_purchased],"&gt;"&amp;$C$872,Table20[date_purchased],"&lt;"&amp;$E$872)</f>
        <v>0</v>
      </c>
      <c r="L964" s="4">
        <f>SUMIFS(Table20[Invested],Table20[Asset],Table41[[#This Row],[Asset Name]],Table20[date_purchased],"&gt;"&amp;$C$872,Table20[date_purchased],"&lt;"&amp;$E$872)</f>
        <v>0</v>
      </c>
      <c r="M964" s="14">
        <f>IFERROR(Table41[[#This Row],[Within timeline]]/Table41[[#This Row],[Invested]],0)</f>
        <v>0</v>
      </c>
      <c r="N964" s="187">
        <v>62.5</v>
      </c>
      <c r="O964" s="179" cm="1">
        <f t="array" aca="1" ref="O964" ca="1">_FV(Table41[[#This Row],[Asset Name]],"Price")</f>
        <v>28.2</v>
      </c>
      <c r="P964" s="188">
        <v>67.5</v>
      </c>
      <c r="Q964" t="b">
        <f ca="1">IF(Table41[[#This Row],[Current Price]]&lt;Table41[[#This Row],[Put wall]]*1.02,TRUE,FALSE)</f>
        <v>1</v>
      </c>
      <c r="R964" t="b">
        <f ca="1">IF(Table41[[#This Row],[Current Price]]&gt;Table41[[#This Row],[Call wall]]*0.98,TRUE,FALSE)</f>
        <v>0</v>
      </c>
      <c r="S964" s="4">
        <f>SUMIF(Table20[Asset],Table41[[#This Row],[Asset Name]],Table20[delta_exposure])</f>
        <v>0</v>
      </c>
      <c r="T964" s="36" t="str" cm="1">
        <f t="array" aca="1" ref="T964" ca="1">_FV(Table41[[#This Row],[Asset Name]],"Instrument type",TRUE)</f>
        <v>Stock</v>
      </c>
      <c r="U964" s="183">
        <v>45678</v>
      </c>
      <c r="V964" t="str">
        <f>VLOOKUP(Table41[[#This Row],[Asset Name]],Table19[#All],3,FALSE)</f>
        <v>Technology</v>
      </c>
      <c r="X964" s="194" t="str">
        <f>VLOOKUP(Table41[[#This Row],[Asset Name]],Table19[#All],4,FALSE)</f>
        <v>Software</v>
      </c>
      <c r="Y964" s="189" t="str">
        <f ca="1">IF(Table41[[#This Row],[Current Price]]&lt;Table41[[#This Row],[Put wall]]*1.02,"✅",IF(Table41[[#This Row],[Current Price]]&gt;Table41[[#This Row],[Call wall]]*0.98,"🔻",""))</f>
        <v>✅</v>
      </c>
      <c r="Z964" s="203">
        <f ca="1">Table41[[#This Row],[Current Price]]/Table41[[#This Row],[Put wall]]-1</f>
        <v>-0.54879999999999995</v>
      </c>
      <c r="AA964" s="207">
        <f ca="1">Table41[[#This Row],[Current Price]]/Table41[[#This Row],[Call wall]]-1</f>
        <v>-0.5822222222222222</v>
      </c>
    </row>
    <row r="965" spans="1:44" hidden="1">
      <c r="A965" s="194" t="e" vm="139">
        <v>#VALUE!</v>
      </c>
      <c r="B965" s="189" t="str" cm="1">
        <f t="array" aca="1" ref="B965" ca="1">_FV(Table41[[#This Row],[Asset Name]],"Ticker symbol",TRUE)</f>
        <v>WMT</v>
      </c>
      <c r="C965" s="4">
        <f>SUMIF(Table20[Asset],Table41[[#This Row],[Asset Name]],Table20[realized_profit])</f>
        <v>-838.16</v>
      </c>
      <c r="D965" s="4">
        <f>SUMIFS(Table20[realized_profit],Table20[Asset],Table41[[#This Row],[Asset Name]],Table20[date_purchased],"&gt;"&amp;$C$872,Table20[date_purchased],"&lt;"&amp;$E$872)</f>
        <v>0</v>
      </c>
      <c r="E965" s="4">
        <f>SUMIFS(Table20[realized_profit],Table20[Asset],Table41[[#This Row],[Asset Name]],Table20[Bullish or Bearish],"Bullish",Table20[date_purchased],"&gt;"&amp;$C$872,Table20[date_purchased],"&lt;"&amp;$E$872)</f>
        <v>0</v>
      </c>
      <c r="F965" s="4">
        <f>SUMIFS(Table20[realized_profit],Table20[Asset],Table41[[#This Row],[Asset Name]],Table20[Bullish or Bearish],"Bearish",Table20[date_purchased],"&gt;"&amp;$C$872,Table20[date_purchased],"&lt;"&amp;$E$872)</f>
        <v>0</v>
      </c>
      <c r="G965" s="4">
        <f>SUMIFS(Table20[realized_profit],Table20[Asset],Table41[[#This Row],[Asset Name]],Table20[Strategy],"call",Table20[date_purchased],"&gt;"&amp;$C$872,Table20[date_purchased],"&lt;"&amp;$E$872)</f>
        <v>0</v>
      </c>
      <c r="H965" s="4">
        <f>SUMIFS(Table20[realized_profit],Table20[Asset],Table41[[#This Row],[Asset Name]],Table20[Strategy],"put",Table20[date_purchased],"&gt;"&amp;$C$872,Table20[date_purchased],"&lt;"&amp;$E$872)</f>
        <v>0</v>
      </c>
      <c r="I965" s="4">
        <f>SUMIFS(Table20[realized_profit],Table20[Asset],Table41[[#This Row],[Asset Name]],Table20[Strategy],"calendar spread",Table20[date_purchased],"&gt;"&amp;$C$872,Table20[date_purchased],"&lt;"&amp;$E$872)</f>
        <v>0</v>
      </c>
      <c r="J965" s="4">
        <f>SUMIFS(Table20[realized_profit],Table20[Asset],Table41[[#This Row],[Asset Name]],Table20[Strategy],"put calendar spread",Table20[date_purchased],"&gt;"&amp;$C$872,Table20[date_purchased],"&lt;"&amp;$E$872)</f>
        <v>0</v>
      </c>
      <c r="K965" s="4">
        <f>SUMIFS(Table20[realized_profit],Table20[Asset],Table41[[#This Row],[Asset Name]],Table20[Strategy],"put spread",Table20[date_purchased],"&gt;"&amp;$C$872,Table20[date_purchased],"&lt;"&amp;$E$872)</f>
        <v>0</v>
      </c>
      <c r="L965" s="4">
        <f>SUMIFS(Table20[Invested],Table20[Asset],Table41[[#This Row],[Asset Name]],Table20[date_purchased],"&gt;"&amp;$C$872,Table20[date_purchased],"&lt;"&amp;$E$872)</f>
        <v>0</v>
      </c>
      <c r="M965" s="14">
        <f>IFERROR(Table41[[#This Row],[Within timeline]]/Table41[[#This Row],[Invested]],0)</f>
        <v>0</v>
      </c>
      <c r="N965" s="187">
        <v>72.5</v>
      </c>
      <c r="O965" s="179" cm="1">
        <f t="array" aca="1" ref="O965" ca="1">_FV(Table41[[#This Row],[Asset Name]],"Price")</f>
        <v>122.55500000000001</v>
      </c>
      <c r="P965" s="188">
        <v>85</v>
      </c>
      <c r="Q965" t="b">
        <f ca="1">IF(Table41[[#This Row],[Current Price]]&lt;Table41[[#This Row],[Put wall]]*1.02,TRUE,FALSE)</f>
        <v>0</v>
      </c>
      <c r="R965" t="b">
        <f ca="1">IF(Table41[[#This Row],[Current Price]]&gt;Table41[[#This Row],[Call wall]]*0.98,TRUE,FALSE)</f>
        <v>1</v>
      </c>
      <c r="S965" s="4">
        <f ca="1">SUMIF(Table20[Asset],Table41[[#This Row],[Asset Name]],Table20[delta_exposure])</f>
        <v>0</v>
      </c>
      <c r="T965" s="36" t="str" cm="1">
        <f t="array" aca="1" ref="T965" ca="1">_FV(Table41[[#This Row],[Asset Name]],"Instrument type",TRUE)</f>
        <v>Stock</v>
      </c>
      <c r="U965" s="183">
        <v>45615</v>
      </c>
      <c r="V965" t="str">
        <f>VLOOKUP(Table41[[#This Row],[Asset Name]],Table19[#All],3,FALSE)</f>
        <v>Consumer Staples</v>
      </c>
      <c r="X965" s="194" t="str">
        <f>VLOOKUP(Table41[[#This Row],[Asset Name]],Table19[#All],4,FALSE)</f>
        <v>Consumer Staples</v>
      </c>
      <c r="Y965" s="189" t="str">
        <f ca="1">IF(Table41[[#This Row],[Current Price]]&lt;Table41[[#This Row],[Put wall]]*1.02,"✅",IF(Table41[[#This Row],[Current Price]]&gt;Table41[[#This Row],[Call wall]]*0.98,"🔻",""))</f>
        <v>🔻</v>
      </c>
      <c r="Z965" s="203">
        <f ca="1">Table41[[#This Row],[Current Price]]/Table41[[#This Row],[Put wall]]-1</f>
        <v>0.69041379310344841</v>
      </c>
      <c r="AA965" s="207">
        <f ca="1">Table41[[#This Row],[Current Price]]/Table41[[#This Row],[Call wall]]-1</f>
        <v>0.44182352941176473</v>
      </c>
    </row>
    <row r="966" spans="1:44" hidden="1">
      <c r="A966" s="194" t="e" vm="140">
        <v>#VALUE!</v>
      </c>
      <c r="B966" s="13" t="str" cm="1">
        <f t="array" aca="1" ref="B966" ca="1">_FV(Table41[[#This Row],[Asset Name]],"Ticker symbol",TRUE)</f>
        <v>WDC</v>
      </c>
      <c r="C966" s="4">
        <f>SUMIF(Table20[Asset],Table41[[#This Row],[Asset Name]],Table20[realized_profit])</f>
        <v>0</v>
      </c>
      <c r="D966" s="4">
        <f>SUMIFS(Table20[realized_profit],Table20[Asset],Table41[[#This Row],[Asset Name]],Table20[date_purchased],"&gt;"&amp;$C$872,Table20[date_purchased],"&lt;"&amp;$E$872)</f>
        <v>0</v>
      </c>
      <c r="E966" s="4">
        <f>SUMIFS(Table20[realized_profit],Table20[Asset],Table41[[#This Row],[Asset Name]],Table20[Bullish or Bearish],"Bullish",Table20[date_purchased],"&gt;"&amp;$C$872,Table20[date_purchased],"&lt;"&amp;$E$872)</f>
        <v>0</v>
      </c>
      <c r="F966" s="4">
        <f>SUMIFS(Table20[realized_profit],Table20[Asset],Table41[[#This Row],[Asset Name]],Table20[Bullish or Bearish],"Bearish",Table20[date_purchased],"&gt;"&amp;$C$872,Table20[date_purchased],"&lt;"&amp;$E$872)</f>
        <v>0</v>
      </c>
      <c r="G966" s="4">
        <f>SUMIFS(Table20[realized_profit],Table20[Asset],Table41[[#This Row],[Asset Name]],Table20[Strategy],"call",Table20[date_purchased],"&gt;"&amp;$C$872,Table20[date_purchased],"&lt;"&amp;$E$872)</f>
        <v>0</v>
      </c>
      <c r="H966" s="4">
        <f>SUMIFS(Table20[realized_profit],Table20[Asset],Table41[[#This Row],[Asset Name]],Table20[Strategy],"put",Table20[date_purchased],"&gt;"&amp;$C$872,Table20[date_purchased],"&lt;"&amp;$E$872)</f>
        <v>0</v>
      </c>
      <c r="I966" s="4">
        <f>SUMIFS(Table20[realized_profit],Table20[Asset],Table41[[#This Row],[Asset Name]],Table20[Strategy],"calendar spread",Table20[date_purchased],"&gt;"&amp;$C$872,Table20[date_purchased],"&lt;"&amp;$E$872)</f>
        <v>0</v>
      </c>
      <c r="J966" s="4">
        <f>SUMIFS(Table20[realized_profit],Table20[Asset],Table41[[#This Row],[Asset Name]],Table20[Strategy],"put calendar spread",Table20[date_purchased],"&gt;"&amp;$C$872,Table20[date_purchased],"&lt;"&amp;$E$872)</f>
        <v>0</v>
      </c>
      <c r="K966" s="4">
        <f>SUMIFS(Table20[realized_profit],Table20[Asset],Table41[[#This Row],[Asset Name]],Table20[Strategy],"put spread",Table20[date_purchased],"&gt;"&amp;$C$872,Table20[date_purchased],"&lt;"&amp;$E$872)</f>
        <v>0</v>
      </c>
      <c r="L966" s="4">
        <f>SUMIFS(Table20[Invested],Table20[Asset],Table41[[#This Row],[Asset Name]],Table20[date_purchased],"&gt;"&amp;$C$872,Table20[date_purchased],"&lt;"&amp;$E$872)</f>
        <v>0</v>
      </c>
      <c r="M966" s="14">
        <f>IFERROR(Table41[[#This Row],[Within timeline]]/Table41[[#This Row],[Invested]],0)</f>
        <v>0</v>
      </c>
      <c r="N966" s="187">
        <v>60</v>
      </c>
      <c r="O966" s="179" cm="1">
        <f t="array" aca="1" ref="O966" ca="1">_FV(Table41[[#This Row],[Asset Name]],"Price")</f>
        <v>298.36009999999999</v>
      </c>
      <c r="P966" s="188">
        <v>70</v>
      </c>
      <c r="Q966" t="b">
        <f ca="1">IF(Table41[[#This Row],[Current Price]]&lt;Table41[[#This Row],[Put wall]]*1.02,TRUE,FALSE)</f>
        <v>0</v>
      </c>
      <c r="R966" t="b">
        <f ca="1">IF(Table41[[#This Row],[Current Price]]&gt;Table41[[#This Row],[Call wall]]*0.98,TRUE,FALSE)</f>
        <v>1</v>
      </c>
      <c r="S966" s="4">
        <f>SUMIF(Table20[Asset],Table41[[#This Row],[Asset Name]],Table20[delta_exposure])</f>
        <v>0</v>
      </c>
      <c r="T966" s="36" t="str" cm="1">
        <f t="array" aca="1" ref="T966" ca="1">_FV(Table41[[#This Row],[Asset Name]],"Instrument type",TRUE)</f>
        <v>Stock</v>
      </c>
      <c r="U966" s="183">
        <v>45589</v>
      </c>
      <c r="V966" t="str">
        <f>VLOOKUP(Table41[[#This Row],[Asset Name]],Table19[#All],3,FALSE)</f>
        <v>Data Storage</v>
      </c>
      <c r="X966" t="str">
        <f>VLOOKUP(Table41[[#This Row],[Asset Name]],Table19[#All],4,FALSE)</f>
        <v>Memory</v>
      </c>
      <c r="Y966" s="147" t="str">
        <f ca="1">IF(Table41[[#This Row],[Current Price]]&lt;Table41[[#This Row],[Put wall]]*1.02,"✅",IF(Table41[[#This Row],[Current Price]]&gt;Table41[[#This Row],[Call wall]]*0.98,"🔻",""))</f>
        <v>🔻</v>
      </c>
      <c r="Z966" s="203">
        <f ca="1">Table41[[#This Row],[Current Price]]/Table41[[#This Row],[Put wall]]-1</f>
        <v>3.972668333333333</v>
      </c>
      <c r="AA966" s="206">
        <f ca="1">Table41[[#This Row],[Current Price]]/Table41[[#This Row],[Call wall]]-1</f>
        <v>3.2622871428571427</v>
      </c>
      <c r="AG966" s="4"/>
      <c r="AH966" s="4"/>
      <c r="AI966" s="4"/>
      <c r="AJ966" s="14"/>
      <c r="AK966" s="187"/>
      <c r="AL966" s="179"/>
      <c r="AM966" s="188"/>
      <c r="AP966" s="4"/>
      <c r="AQ966" s="36"/>
      <c r="AR966" s="183"/>
    </row>
    <row r="967" spans="1:44" hidden="1">
      <c r="A967" s="194" t="e" vm="20">
        <v>#VALUE!</v>
      </c>
      <c r="B967" s="13" t="str" cm="1">
        <f t="array" aca="1" ref="B967" ca="1">_FV(Table41[[#This Row],[Asset Name]],"Ticker symbol",TRUE)</f>
        <v>LSCC</v>
      </c>
      <c r="C967" s="4">
        <f>SUMIF(Table20[Asset],Table41[[#This Row],[Asset Name]],Table20[realized_profit])</f>
        <v>0</v>
      </c>
      <c r="D967" s="4">
        <f>SUMIFS(Table20[realized_profit],Table20[Asset],Table41[[#This Row],[Asset Name]],Table20[date_purchased],"&gt;"&amp;$C$872,Table20[date_purchased],"&lt;"&amp;$E$872)</f>
        <v>0</v>
      </c>
      <c r="E967" s="4">
        <f>SUMIFS(Table20[realized_profit],Table20[Asset],Table41[[#This Row],[Asset Name]],Table20[Bullish or Bearish],"Bullish",Table20[date_purchased],"&gt;"&amp;$C$872,Table20[date_purchased],"&lt;"&amp;$E$872)</f>
        <v>0</v>
      </c>
      <c r="F967" s="4">
        <f>SUMIFS(Table20[realized_profit],Table20[Asset],Table41[[#This Row],[Asset Name]],Table20[Bullish or Bearish],"Bearish",Table20[date_purchased],"&gt;"&amp;$C$872,Table20[date_purchased],"&lt;"&amp;$E$872)</f>
        <v>0</v>
      </c>
      <c r="G967" s="4">
        <f>SUMIFS(Table20[realized_profit],Table20[Asset],Table41[[#This Row],[Asset Name]],Table20[Strategy],"call",Table20[date_purchased],"&gt;"&amp;$C$872,Table20[date_purchased],"&lt;"&amp;$E$872)</f>
        <v>0</v>
      </c>
      <c r="H967" s="4">
        <f>SUMIFS(Table20[realized_profit],Table20[Asset],Table41[[#This Row],[Asset Name]],Table20[Strategy],"put",Table20[date_purchased],"&gt;"&amp;$C$872,Table20[date_purchased],"&lt;"&amp;$E$872)</f>
        <v>0</v>
      </c>
      <c r="I967" s="4">
        <f>SUMIFS(Table20[realized_profit],Table20[Asset],Table41[[#This Row],[Asset Name]],Table20[Strategy],"calendar spread",Table20[date_purchased],"&gt;"&amp;$C$872,Table20[date_purchased],"&lt;"&amp;$E$872)</f>
        <v>0</v>
      </c>
      <c r="J967" s="4">
        <f>SUMIFS(Table20[realized_profit],Table20[Asset],Table41[[#This Row],[Asset Name]],Table20[Strategy],"put calendar spread",Table20[date_purchased],"&gt;"&amp;$C$872,Table20[date_purchased],"&lt;"&amp;$E$872)</f>
        <v>0</v>
      </c>
      <c r="K967" s="4">
        <f>SUMIFS(Table20[realized_profit],Table20[Asset],Table41[[#This Row],[Asset Name]],Table20[Strategy],"put spread",Table20[date_purchased],"&gt;"&amp;$C$872,Table20[date_purchased],"&lt;"&amp;$E$872)</f>
        <v>0</v>
      </c>
      <c r="L967" s="4">
        <f>SUMIFS(Table20[Invested],Table20[Asset],Table41[[#This Row],[Asset Name]],Table20[date_purchased],"&gt;"&amp;$C$872,Table20[date_purchased],"&lt;"&amp;$E$872)</f>
        <v>0</v>
      </c>
      <c r="M967" s="14">
        <f>IFERROR(Table41[[#This Row],[Within timeline]]/Table41[[#This Row],[Invested]],0)</f>
        <v>0</v>
      </c>
      <c r="N967" s="187">
        <v>45</v>
      </c>
      <c r="O967" s="179" cm="1">
        <f t="array" aca="1" ref="O967" ca="1">_FV(Table41[[#This Row],[Asset Name]],"Price")</f>
        <v>100.285</v>
      </c>
      <c r="P967" s="188">
        <v>55</v>
      </c>
      <c r="Q967" t="b">
        <f ca="1">IF(Table41[[#This Row],[Current Price]]&lt;Table41[[#This Row],[Put wall]]*1.02,TRUE,FALSE)</f>
        <v>0</v>
      </c>
      <c r="R967" t="b">
        <f ca="1">IF(Table41[[#This Row],[Current Price]]&gt;Table41[[#This Row],[Call wall]]*0.98,TRUE,FALSE)</f>
        <v>1</v>
      </c>
      <c r="S967" s="4">
        <f>SUMIF(Table20[Asset],Table41[[#This Row],[Asset Name]],Table20[delta_exposure])</f>
        <v>0</v>
      </c>
      <c r="T967" s="36" t="str" cm="1">
        <f t="array" aca="1" ref="T967" ca="1">_FV(Table41[[#This Row],[Asset Name]],"Instrument type",TRUE)</f>
        <v>Stock</v>
      </c>
      <c r="U967" s="183">
        <v>45594</v>
      </c>
      <c r="V967" t="str">
        <f>VLOOKUP(Table41[[#This Row],[Asset Name]],Table19[#All],3,FALSE)</f>
        <v>Semiconductor</v>
      </c>
      <c r="X967" t="str">
        <f>VLOOKUP(Table41[[#This Row],[Asset Name]],Table19[#All],4,FALSE)</f>
        <v>Semiconductor</v>
      </c>
      <c r="Y967" s="147" t="str">
        <f ca="1">IF(Table41[[#This Row],[Current Price]]&lt;Table41[[#This Row],[Put wall]]*1.02,"✅",IF(Table41[[#This Row],[Current Price]]&gt;Table41[[#This Row],[Call wall]]*0.98,"🔻",""))</f>
        <v>🔻</v>
      </c>
      <c r="Z967" s="203">
        <f ca="1">Table41[[#This Row],[Current Price]]/Table41[[#This Row],[Put wall]]-1</f>
        <v>1.2285555555555554</v>
      </c>
      <c r="AA967" s="206">
        <f ca="1">Table41[[#This Row],[Current Price]]/Table41[[#This Row],[Call wall]]-1</f>
        <v>0.8233636363636363</v>
      </c>
      <c r="AB967" s="4"/>
      <c r="AC967" s="4"/>
      <c r="AD967" s="4"/>
      <c r="AE967" s="4"/>
      <c r="AF967" s="4"/>
      <c r="AG967" s="4"/>
      <c r="AH967" s="4"/>
      <c r="AI967" s="4"/>
      <c r="AJ967" s="14"/>
      <c r="AK967" s="187"/>
      <c r="AL967" s="179"/>
      <c r="AM967" s="188"/>
      <c r="AP967" s="4"/>
      <c r="AQ967" s="36"/>
      <c r="AR967" s="183"/>
    </row>
    <row r="968" spans="1:44" hidden="1">
      <c r="A968" s="194" t="e" vm="141">
        <v>#VALUE!</v>
      </c>
      <c r="B968" s="220" t="str" cm="1">
        <f t="array" aca="1" ref="B968" ca="1">_FV(Table41[[#This Row],[Asset Name]],"Ticker symbol",TRUE)</f>
        <v>WDAY</v>
      </c>
      <c r="C968" s="221">
        <f>SUMIF(Table20[Asset],Table41[[#This Row],[Asset Name]],Table20[realized_profit])</f>
        <v>0</v>
      </c>
      <c r="D968" s="221">
        <f>SUMIFS(Table20[realized_profit],Table20[Asset],Table41[[#This Row],[Asset Name]],Table20[date_purchased],"&gt;"&amp;$C$872,Table20[date_purchased],"&lt;"&amp;$E$872)</f>
        <v>0</v>
      </c>
      <c r="E968" s="221">
        <f>SUMIFS(Table20[realized_profit],Table20[Asset],Table41[[#This Row],[Asset Name]],Table20[Bullish or Bearish],"Bullish",Table20[date_purchased],"&gt;"&amp;$C$872,Table20[date_purchased],"&lt;"&amp;$E$872)</f>
        <v>0</v>
      </c>
      <c r="F968" s="221">
        <f>SUMIFS(Table20[realized_profit],Table20[Asset],Table41[[#This Row],[Asset Name]],Table20[Bullish or Bearish],"Bearish",Table20[date_purchased],"&gt;"&amp;$C$872,Table20[date_purchased],"&lt;"&amp;$E$872)</f>
        <v>0</v>
      </c>
      <c r="G968" s="221">
        <f>SUMIFS(Table20[realized_profit],Table20[Asset],Table41[[#This Row],[Asset Name]],Table20[Strategy],"call",Table20[date_purchased],"&gt;"&amp;$C$872,Table20[date_purchased],"&lt;"&amp;$E$872)</f>
        <v>0</v>
      </c>
      <c r="H968" s="221">
        <f>SUMIFS(Table20[realized_profit],Table20[Asset],Table41[[#This Row],[Asset Name]],Table20[Strategy],"put",Table20[date_purchased],"&gt;"&amp;$C$872,Table20[date_purchased],"&lt;"&amp;$E$872)</f>
        <v>0</v>
      </c>
      <c r="I968" s="221">
        <f>SUMIFS(Table20[realized_profit],Table20[Asset],Table41[[#This Row],[Asset Name]],Table20[Strategy],"calendar spread",Table20[date_purchased],"&gt;"&amp;$C$872,Table20[date_purchased],"&lt;"&amp;$E$872)</f>
        <v>0</v>
      </c>
      <c r="J968" s="4">
        <f>SUMIFS(Table20[realized_profit],Table20[Asset],Table41[[#This Row],[Asset Name]],Table20[Strategy],"put calendar spread",Table20[date_purchased],"&gt;"&amp;$C$872,Table20[date_purchased],"&lt;"&amp;$E$872)</f>
        <v>0</v>
      </c>
      <c r="K968" s="4">
        <f>SUMIFS(Table20[realized_profit],Table20[Asset],Table41[[#This Row],[Asset Name]],Table20[Strategy],"put spread",Table20[date_purchased],"&gt;"&amp;$C$872,Table20[date_purchased],"&lt;"&amp;$E$872)</f>
        <v>0</v>
      </c>
      <c r="L968" s="221">
        <f>SUMIFS(Table20[Invested],Table20[Asset],Table41[[#This Row],[Asset Name]],Table20[date_purchased],"&gt;"&amp;$C$872,Table20[date_purchased],"&lt;"&amp;$E$872)</f>
        <v>0</v>
      </c>
      <c r="M968" s="222">
        <f>IFERROR(Table41[[#This Row],[Within timeline]]/Table41[[#This Row],[Invested]],0)</f>
        <v>0</v>
      </c>
      <c r="N968" s="223">
        <v>235</v>
      </c>
      <c r="O968" s="179" cm="1">
        <f t="array" aca="1" ref="O968" ca="1">_FV(Table41[[#This Row],[Asset Name]],"Price")</f>
        <v>129.41</v>
      </c>
      <c r="P968" s="225">
        <v>250</v>
      </c>
      <c r="Q968" s="219" t="b">
        <f ca="1">IF(Table41[[#This Row],[Current Price]]&lt;Table41[[#This Row],[Put wall]]*1.02,TRUE,FALSE)</f>
        <v>1</v>
      </c>
      <c r="R968" s="219" t="b">
        <f ca="1">IF(Table41[[#This Row],[Current Price]]&gt;Table41[[#This Row],[Call wall]]*0.98,TRUE,FALSE)</f>
        <v>0</v>
      </c>
      <c r="S968" s="221">
        <f>SUMIF(Table20[Asset],Table41[[#This Row],[Asset Name]],Table20[delta_exposure])</f>
        <v>0</v>
      </c>
      <c r="T968" s="36" t="str" cm="1">
        <f t="array" aca="1" ref="T968" ca="1">_FV(Table41[[#This Row],[Asset Name]],"Instrument type",TRUE)</f>
        <v>Stock</v>
      </c>
      <c r="U968" s="227"/>
      <c r="V968" s="219" t="str">
        <f>VLOOKUP(Table41[[#This Row],[Asset Name]],Table19[#All],3,FALSE)</f>
        <v>Technology</v>
      </c>
      <c r="X968" s="219" t="str">
        <f>VLOOKUP(Table41[[#This Row],[Asset Name]],Table19[#All],4,FALSE)</f>
        <v>Software</v>
      </c>
      <c r="Y968" s="189" t="str">
        <f ca="1">IF(Table41[[#This Row],[Current Price]]&lt;Table41[[#This Row],[Put wall]]*1.02,"✅",IF(Table41[[#This Row],[Current Price]]&gt;Table41[[#This Row],[Call wall]]*0.98,"🔻",""))</f>
        <v>✅</v>
      </c>
      <c r="Z968" s="204"/>
      <c r="AA968" s="207">
        <f ca="1">Table41[[#This Row],[Current Price]]/Table41[[#This Row],[Call wall]]-1</f>
        <v>-0.48236000000000001</v>
      </c>
      <c r="AB968" s="4"/>
      <c r="AC968" s="4"/>
      <c r="AD968" s="4"/>
      <c r="AE968" s="4"/>
      <c r="AF968" s="4"/>
      <c r="AG968" s="4"/>
      <c r="AH968" s="4"/>
      <c r="AI968" s="4"/>
      <c r="AJ968" s="14"/>
      <c r="AK968" s="187"/>
      <c r="AL968" s="179"/>
      <c r="AM968" s="188"/>
      <c r="AP968" s="4"/>
      <c r="AQ968" s="36"/>
      <c r="AR968" s="183"/>
    </row>
    <row r="969" spans="1:44" hidden="1">
      <c r="A969" s="194" t="e" vm="142">
        <v>#VALUE!</v>
      </c>
      <c r="B969" s="13" t="str" cm="1">
        <f t="array" aca="1" ref="B969" ca="1">_FV(Table41[[#This Row],[Asset Name]],"Ticker symbol",TRUE)</f>
        <v>KGC</v>
      </c>
      <c r="C969" s="4">
        <f>SUMIF(Table20[Asset],Table41[[#This Row],[Asset Name]],Table20[realized_profit])</f>
        <v>0</v>
      </c>
      <c r="D969" s="4">
        <f>SUMIFS(Table20[realized_profit],Table20[Asset],Table41[[#This Row],[Asset Name]],Table20[date_purchased],"&gt;"&amp;$C$872,Table20[date_purchased],"&lt;"&amp;$E$872)</f>
        <v>0</v>
      </c>
      <c r="E969" s="4">
        <f>SUMIFS(Table20[realized_profit],Table20[Asset],Table41[[#This Row],[Asset Name]],Table20[Bullish or Bearish],"Bullish",Table20[date_purchased],"&gt;"&amp;$C$872,Table20[date_purchased],"&lt;"&amp;$E$872)</f>
        <v>0</v>
      </c>
      <c r="F969" s="4">
        <f>SUMIFS(Table20[realized_profit],Table20[Asset],Table41[[#This Row],[Asset Name]],Table20[Bullish or Bearish],"Bearish",Table20[date_purchased],"&gt;"&amp;$C$872,Table20[date_purchased],"&lt;"&amp;$E$872)</f>
        <v>0</v>
      </c>
      <c r="G969" s="4">
        <f>SUMIFS(Table20[realized_profit],Table20[Asset],Table41[[#This Row],[Asset Name]],Table20[Strategy],"call",Table20[date_purchased],"&gt;"&amp;$C$872,Table20[date_purchased],"&lt;"&amp;$E$872)</f>
        <v>0</v>
      </c>
      <c r="H969" s="4">
        <f>SUMIFS(Table20[realized_profit],Table20[Asset],Table41[[#This Row],[Asset Name]],Table20[Strategy],"put",Table20[date_purchased],"&gt;"&amp;$C$872,Table20[date_purchased],"&lt;"&amp;$E$872)</f>
        <v>0</v>
      </c>
      <c r="I969" s="4">
        <f>SUMIFS(Table20[realized_profit],Table20[Asset],Table41[[#This Row],[Asset Name]],Table20[Strategy],"calendar spread",Table20[date_purchased],"&gt;"&amp;$C$872,Table20[date_purchased],"&lt;"&amp;$E$872)</f>
        <v>0</v>
      </c>
      <c r="J969" s="4">
        <f>SUMIFS(Table20[realized_profit],Table20[Asset],Table41[[#This Row],[Asset Name]],Table20[Strategy],"put calendar spread",Table20[date_purchased],"&gt;"&amp;$C$872,Table20[date_purchased],"&lt;"&amp;$E$872)</f>
        <v>0</v>
      </c>
      <c r="K969" s="4">
        <f>SUMIFS(Table20[realized_profit],Table20[Asset],Table41[[#This Row],[Asset Name]],Table20[Strategy],"put spread",Table20[date_purchased],"&gt;"&amp;$C$872,Table20[date_purchased],"&lt;"&amp;$E$872)</f>
        <v>0</v>
      </c>
      <c r="L969" s="4">
        <f>SUMIFS(Table20[Invested],Table20[Asset],Table41[[#This Row],[Asset Name]],Table20[date_purchased],"&gt;"&amp;$C$872,Table20[date_purchased],"&lt;"&amp;$E$872)</f>
        <v>0</v>
      </c>
      <c r="M969" s="14">
        <f>IFERROR(Table41[[#This Row],[Within timeline]]/Table41[[#This Row],[Invested]],0)</f>
        <v>0</v>
      </c>
      <c r="N969" s="187">
        <v>8</v>
      </c>
      <c r="O969" s="179" cm="1">
        <f t="array" aca="1" ref="O969" ca="1">_FV(Table41[[#This Row],[Asset Name]],"Price")</f>
        <v>29.33</v>
      </c>
      <c r="P969" s="188">
        <v>11</v>
      </c>
      <c r="Q969" t="b">
        <f ca="1">IF(Table41[[#This Row],[Current Price]]&lt;Table41[[#This Row],[Put wall]]*1.02,TRUE,FALSE)</f>
        <v>0</v>
      </c>
      <c r="R969" t="b">
        <f ca="1">IF(Table41[[#This Row],[Current Price]]&gt;Table41[[#This Row],[Call wall]]*0.98,TRUE,FALSE)</f>
        <v>1</v>
      </c>
      <c r="S969" s="4">
        <f>SUMIF(Table20[Asset],Table41[[#This Row],[Asset Name]],Table20[delta_exposure])</f>
        <v>0</v>
      </c>
      <c r="T969" s="36" t="str" cm="1">
        <f t="array" aca="1" ref="T969" ca="1">_FV(Table41[[#This Row],[Asset Name]],"Instrument type",TRUE)</f>
        <v>Stock</v>
      </c>
      <c r="U969" s="183">
        <v>45601</v>
      </c>
      <c r="V969" t="str">
        <f>VLOOKUP(Table41[[#This Row],[Asset Name]],Table19[#All],3,FALSE)</f>
        <v>Gold and Silver</v>
      </c>
      <c r="X969" t="str">
        <f>VLOOKUP(Table41[[#This Row],[Asset Name]],Table19[#All],4,FALSE)</f>
        <v>Commodity</v>
      </c>
      <c r="Y969" s="147" t="str">
        <f ca="1">IF(Table41[[#This Row],[Current Price]]&lt;Table41[[#This Row],[Put wall]]*1.02,"✅",IF(Table41[[#This Row],[Current Price]]&gt;Table41[[#This Row],[Call wall]]*0.98,"🔻",""))</f>
        <v>🔻</v>
      </c>
      <c r="Z969" s="203">
        <f ca="1">Table41[[#This Row],[Current Price]]/Table41[[#This Row],[Put wall]]-1</f>
        <v>2.6662499999999998</v>
      </c>
      <c r="AA969" s="206">
        <f ca="1">Table41[[#This Row],[Current Price]]/Table41[[#This Row],[Call wall]]-1</f>
        <v>1.666363636363636</v>
      </c>
      <c r="AB969" s="4"/>
      <c r="AC969" s="4"/>
      <c r="AD969" s="4"/>
      <c r="AE969" s="4"/>
      <c r="AF969" s="4"/>
      <c r="AG969" s="4"/>
      <c r="AH969" s="4"/>
      <c r="AI969" s="4"/>
      <c r="AJ969" s="14"/>
      <c r="AK969" s="187"/>
      <c r="AL969" s="179"/>
      <c r="AM969" s="188"/>
      <c r="AP969" s="4"/>
      <c r="AQ969" s="36"/>
      <c r="AR969" s="183"/>
    </row>
    <row r="970" spans="1:44">
      <c r="A970" s="194" t="e" vm="84">
        <v>#VALUE!</v>
      </c>
      <c r="B970" s="13" t="str" cm="1">
        <f t="array" aca="1" ref="B970" ca="1">_FV(Table41[[#This Row],[Asset Name]],"Ticker symbol",TRUE)</f>
        <v>COIN</v>
      </c>
      <c r="C970" s="4">
        <f>SUMIF(Table20[Asset],Table41[[#This Row],[Asset Name]],Table20[realized_profit])</f>
        <v>4035</v>
      </c>
      <c r="D970" s="4">
        <f>SUMIFS(Table20[realized_profit],Table20[Asset],Table41[[#This Row],[Asset Name]],Table20[date_purchased],"&gt;"&amp;$C$872,Table20[date_purchased],"&lt;"&amp;$E$872)</f>
        <v>44.999999999999972</v>
      </c>
      <c r="E970" s="4">
        <f>SUMIFS(Table20[realized_profit],Table20[Asset],Table41[[#This Row],[Asset Name]],Table20[Bullish or Bearish],"Bullish",Table20[date_purchased],"&gt;"&amp;$C$872,Table20[date_purchased],"&lt;"&amp;$E$872)</f>
        <v>158.99999999999997</v>
      </c>
      <c r="F970" s="4">
        <f>SUMIFS(Table20[realized_profit],Table20[Asset],Table41[[#This Row],[Asset Name]],Table20[Bullish or Bearish],"Bearish",Table20[date_purchased],"&gt;"&amp;$C$872,Table20[date_purchased],"&lt;"&amp;$E$872)</f>
        <v>-114</v>
      </c>
      <c r="G970" s="4">
        <f>SUMIFS(Table20[realized_profit],Table20[Asset],Table41[[#This Row],[Asset Name]],Table20[Strategy],"call",Table20[date_purchased],"&gt;"&amp;$C$872,Table20[date_purchased],"&lt;"&amp;$E$872)</f>
        <v>0</v>
      </c>
      <c r="H970" s="4">
        <f>SUMIFS(Table20[realized_profit],Table20[Asset],Table41[[#This Row],[Asset Name]],Table20[Strategy],"put",Table20[date_purchased],"&gt;"&amp;$C$872,Table20[date_purchased],"&lt;"&amp;$E$872)</f>
        <v>0</v>
      </c>
      <c r="I970" s="4">
        <f>SUMIFS(Table20[realized_profit],Table20[Asset],Table41[[#This Row],[Asset Name]],Table20[Strategy],"calendar spread",Table20[date_purchased],"&gt;"&amp;$C$872,Table20[date_purchased],"&lt;"&amp;$E$872)</f>
        <v>158.99999999999997</v>
      </c>
      <c r="J970" s="4">
        <f>SUMIFS(Table20[realized_profit],Table20[Asset],Table41[[#This Row],[Asset Name]],Table20[Strategy],"put calendar spread",Table20[date_purchased],"&gt;"&amp;$C$872,Table20[date_purchased],"&lt;"&amp;$E$872)</f>
        <v>-114</v>
      </c>
      <c r="K970" s="4">
        <f>SUMIFS(Table20[realized_profit],Table20[Asset],Table41[[#This Row],[Asset Name]],Table20[Strategy],"put spread",Table20[date_purchased],"&gt;"&amp;$C$872,Table20[date_purchased],"&lt;"&amp;$E$872)</f>
        <v>0</v>
      </c>
      <c r="L970" s="4">
        <f>SUMIFS(Table20[Invested],Table20[Asset],Table41[[#This Row],[Asset Name]],Table20[date_purchased],"&gt;"&amp;$C$872,Table20[date_purchased],"&lt;"&amp;$E$872)</f>
        <v>588</v>
      </c>
      <c r="M970" s="14">
        <f>IFERROR(Table41[[#This Row],[Within timeline]]/Table41[[#This Row],[Invested]],0)</f>
        <v>7.6530612244897905E-2</v>
      </c>
      <c r="N970" s="187">
        <v>180</v>
      </c>
      <c r="O970" s="179" cm="1">
        <f t="array" aca="1" ref="O970" ca="1">_FV(Table41[[#This Row],[Asset Name]],"Price")</f>
        <v>188</v>
      </c>
      <c r="P970" s="188">
        <v>200</v>
      </c>
      <c r="Q970" t="b">
        <f ca="1">IF(Table41[[#This Row],[Current Price]]&lt;Table41[[#This Row],[Put wall]]*1.02,TRUE,FALSE)</f>
        <v>0</v>
      </c>
      <c r="R970" t="b">
        <f ca="1">IF(Table41[[#This Row],[Current Price]]&gt;Table41[[#This Row],[Call wall]]*0.98,TRUE,FALSE)</f>
        <v>0</v>
      </c>
      <c r="S970" s="4">
        <f ca="1">SUMIF(Table20[Asset],Table41[[#This Row],[Asset Name]],Table20[delta_exposure])</f>
        <v>0</v>
      </c>
      <c r="T970" s="36" t="str" cm="1">
        <f t="array" aca="1" ref="T970" ca="1">_FV(Table41[[#This Row],[Asset Name]],"Instrument type",TRUE)</f>
        <v>Stock</v>
      </c>
      <c r="U970" s="183">
        <v>45596</v>
      </c>
      <c r="V970" t="str">
        <f>VLOOKUP(Table41[[#This Row],[Asset Name]],Table19[#All],3,FALSE)</f>
        <v>Financials</v>
      </c>
      <c r="X970" t="str">
        <f>VLOOKUP(Table41[[#This Row],[Asset Name]],Table19[#All],4,FALSE)</f>
        <v>Crypto</v>
      </c>
      <c r="Y970" s="147" t="str">
        <f ca="1">IF(Table41[[#This Row],[Current Price]]&lt;Table41[[#This Row],[Put wall]]*1.02,"✅",IF(Table41[[#This Row],[Current Price]]&gt;Table41[[#This Row],[Call wall]]*0.98,"🔻",""))</f>
        <v/>
      </c>
      <c r="Z970" s="203">
        <f ca="1">Table41[[#This Row],[Current Price]]/Table41[[#This Row],[Put wall]]-1</f>
        <v>4.4444444444444509E-2</v>
      </c>
      <c r="AA970" s="206">
        <f ca="1">Table41[[#This Row],[Current Price]]/Table41[[#This Row],[Call wall]]-1</f>
        <v>-6.0000000000000053E-2</v>
      </c>
      <c r="AB970" s="4"/>
      <c r="AC970" s="4"/>
      <c r="AD970" s="4"/>
      <c r="AE970" s="4"/>
      <c r="AF970" s="4"/>
      <c r="AG970" s="4"/>
      <c r="AH970" s="4"/>
      <c r="AI970" s="4"/>
      <c r="AJ970" s="14"/>
      <c r="AK970" s="187"/>
      <c r="AL970" s="179"/>
      <c r="AM970" s="188"/>
      <c r="AP970" s="4"/>
      <c r="AQ970" s="36"/>
      <c r="AR970" s="183"/>
    </row>
    <row r="971" spans="1:44" hidden="1">
      <c r="A971" s="194" t="e" vm="143">
        <v>#VALUE!</v>
      </c>
      <c r="B971" s="189" t="str" cm="1">
        <f t="array" aca="1" ref="B971" ca="1">_FV(Table41[[#This Row],[Asset Name]],"Ticker symbol",TRUE)</f>
        <v>CAT</v>
      </c>
      <c r="C971" s="4">
        <f>SUMIF(Table20[Asset],Table41[[#This Row],[Asset Name]],Table20[realized_profit])</f>
        <v>0</v>
      </c>
      <c r="D971" s="4">
        <f>SUMIFS(Table20[realized_profit],Table20[Asset],Table41[[#This Row],[Asset Name]],Table20[date_purchased],"&gt;"&amp;$C$872,Table20[date_purchased],"&lt;"&amp;$E$872)</f>
        <v>0</v>
      </c>
      <c r="E971" s="4">
        <f>SUMIFS(Table20[realized_profit],Table20[Asset],Table41[[#This Row],[Asset Name]],Table20[Bullish or Bearish],"Bullish",Table20[date_purchased],"&gt;"&amp;$C$872,Table20[date_purchased],"&lt;"&amp;$E$872)</f>
        <v>0</v>
      </c>
      <c r="F971" s="4">
        <f>SUMIFS(Table20[realized_profit],Table20[Asset],Table41[[#This Row],[Asset Name]],Table20[Bullish or Bearish],"Bearish",Table20[date_purchased],"&gt;"&amp;$C$872,Table20[date_purchased],"&lt;"&amp;$E$872)</f>
        <v>0</v>
      </c>
      <c r="G971" s="4">
        <f>SUMIFS(Table20[realized_profit],Table20[Asset],Table41[[#This Row],[Asset Name]],Table20[Strategy],"call",Table20[date_purchased],"&gt;"&amp;$C$872,Table20[date_purchased],"&lt;"&amp;$E$872)</f>
        <v>0</v>
      </c>
      <c r="H971" s="4">
        <f>SUMIFS(Table20[realized_profit],Table20[Asset],Table41[[#This Row],[Asset Name]],Table20[Strategy],"put",Table20[date_purchased],"&gt;"&amp;$C$872,Table20[date_purchased],"&lt;"&amp;$E$872)</f>
        <v>0</v>
      </c>
      <c r="I971" s="4">
        <f>SUMIFS(Table20[realized_profit],Table20[Asset],Table41[[#This Row],[Asset Name]],Table20[Strategy],"calendar spread",Table20[date_purchased],"&gt;"&amp;$C$872,Table20[date_purchased],"&lt;"&amp;$E$872)</f>
        <v>0</v>
      </c>
      <c r="J971" s="4">
        <f>SUMIFS(Table20[realized_profit],Table20[Asset],Table41[[#This Row],[Asset Name]],Table20[Strategy],"put calendar spread",Table20[date_purchased],"&gt;"&amp;$C$872,Table20[date_purchased],"&lt;"&amp;$E$872)</f>
        <v>0</v>
      </c>
      <c r="K971" s="4">
        <f>SUMIFS(Table20[realized_profit],Table20[Asset],Table41[[#This Row],[Asset Name]],Table20[Strategy],"put spread",Table20[date_purchased],"&gt;"&amp;$C$872,Table20[date_purchased],"&lt;"&amp;$E$872)</f>
        <v>0</v>
      </c>
      <c r="L971" s="4">
        <f>SUMIFS(Table20[Invested],Table20[Asset],Table41[[#This Row],[Asset Name]],Table20[date_purchased],"&gt;"&amp;$C$872,Table20[date_purchased],"&lt;"&amp;$E$872)</f>
        <v>0</v>
      </c>
      <c r="M971" s="14">
        <f>IFERROR(Table41[[#This Row],[Within timeline]]/Table41[[#This Row],[Invested]],0)</f>
        <v>0</v>
      </c>
      <c r="N971" s="187">
        <v>380</v>
      </c>
      <c r="O971" s="179" cm="1">
        <f t="array" aca="1" ref="O971" ca="1">_FV(Table41[[#This Row],[Asset Name]],"Price")</f>
        <v>724.255</v>
      </c>
      <c r="P971" s="188">
        <v>400</v>
      </c>
      <c r="Q971" t="b">
        <f ca="1">IF(Table41[[#This Row],[Current Price]]&lt;Table41[[#This Row],[Put wall]]*1.02,TRUE,FALSE)</f>
        <v>0</v>
      </c>
      <c r="R971" t="b">
        <f ca="1">IF(Table41[[#This Row],[Current Price]]&gt;Table41[[#This Row],[Call wall]]*0.98,TRUE,FALSE)</f>
        <v>1</v>
      </c>
      <c r="S971" s="4">
        <f>SUMIF(Table20[Asset],Table41[[#This Row],[Asset Name]],Table20[delta_exposure])</f>
        <v>0</v>
      </c>
      <c r="T971" s="36" t="str" cm="1">
        <f t="array" aca="1" ref="T971" ca="1">_FV(Table41[[#This Row],[Asset Name]],"Instrument type",TRUE)</f>
        <v>Stock</v>
      </c>
      <c r="U971" s="183">
        <v>45589</v>
      </c>
      <c r="V971" t="str">
        <f>VLOOKUP(Table41[[#This Row],[Asset Name]],Table19[#All],3,FALSE)</f>
        <v>Industrials</v>
      </c>
      <c r="X971" s="194" t="str">
        <f>VLOOKUP(Table41[[#This Row],[Asset Name]],Table19[#All],4,FALSE)</f>
        <v>Industrials</v>
      </c>
      <c r="Y971" s="189" t="str">
        <f ca="1">IF(Table41[[#This Row],[Current Price]]&lt;Table41[[#This Row],[Put wall]]*1.02,"✅",IF(Table41[[#This Row],[Current Price]]&gt;Table41[[#This Row],[Call wall]]*0.98,"🔻",""))</f>
        <v>🔻</v>
      </c>
      <c r="Z971" s="203">
        <f ca="1">Table41[[#This Row],[Current Price]]/Table41[[#This Row],[Put wall]]-1</f>
        <v>0.90593421052631573</v>
      </c>
      <c r="AA971" s="207">
        <f ca="1">Table41[[#This Row],[Current Price]]/Table41[[#This Row],[Call wall]]-1</f>
        <v>0.8106374999999999</v>
      </c>
      <c r="AB971" s="4"/>
      <c r="AC971" s="4"/>
      <c r="AD971" s="4"/>
      <c r="AE971" s="4"/>
      <c r="AF971" s="4"/>
      <c r="AG971" s="4"/>
      <c r="AH971" s="4"/>
      <c r="AI971" s="4"/>
      <c r="AJ971" s="14"/>
      <c r="AK971" s="187"/>
      <c r="AL971" s="179"/>
      <c r="AM971" s="188"/>
      <c r="AP971" s="4"/>
      <c r="AQ971" s="36"/>
      <c r="AR971" s="183"/>
    </row>
    <row r="972" spans="1:44">
      <c r="A972" s="194" t="e" vm="144">
        <v>#VALUE!</v>
      </c>
      <c r="B972" s="13" t="str" cm="1">
        <f t="array" aca="1" ref="B972" ca="1">_FV(Table41[[#This Row],[Asset Name]],"Ticker symbol",TRUE)</f>
        <v>AAPL</v>
      </c>
      <c r="C972" s="4">
        <f>SUMIF(Table20[Asset],Table41[[#This Row],[Asset Name]],Table20[realized_profit])</f>
        <v>-153.9999999999996</v>
      </c>
      <c r="D972" s="4">
        <f>SUMIFS(Table20[realized_profit],Table20[Asset],Table41[[#This Row],[Asset Name]],Table20[date_purchased],"&gt;"&amp;$C$872,Table20[date_purchased],"&lt;"&amp;$E$872)</f>
        <v>-195.00000000000009</v>
      </c>
      <c r="E972" s="4">
        <f>SUMIFS(Table20[realized_profit],Table20[Asset],Table41[[#This Row],[Asset Name]],Table20[Bullish or Bearish],"Bullish",Table20[date_purchased],"&gt;"&amp;$C$872,Table20[date_purchased],"&lt;"&amp;$E$872)</f>
        <v>-195.00000000000009</v>
      </c>
      <c r="F972" s="4">
        <f>SUMIFS(Table20[realized_profit],Table20[Asset],Table41[[#This Row],[Asset Name]],Table20[Bullish or Bearish],"Bearish",Table20[date_purchased],"&gt;"&amp;$C$872,Table20[date_purchased],"&lt;"&amp;$E$872)</f>
        <v>0</v>
      </c>
      <c r="G972" s="4">
        <f>SUMIFS(Table20[realized_profit],Table20[Asset],Table41[[#This Row],[Asset Name]],Table20[Strategy],"call",Table20[date_purchased],"&gt;"&amp;$C$872,Table20[date_purchased],"&lt;"&amp;$E$872)</f>
        <v>0</v>
      </c>
      <c r="H972" s="4">
        <f>SUMIFS(Table20[realized_profit],Table20[Asset],Table41[[#This Row],[Asset Name]],Table20[Strategy],"put",Table20[date_purchased],"&gt;"&amp;$C$872,Table20[date_purchased],"&lt;"&amp;$E$872)</f>
        <v>0</v>
      </c>
      <c r="I972" s="4">
        <f>SUMIFS(Table20[realized_profit],Table20[Asset],Table41[[#This Row],[Asset Name]],Table20[Strategy],"calendar spread",Table20[date_purchased],"&gt;"&amp;$C$872,Table20[date_purchased],"&lt;"&amp;$E$872)</f>
        <v>0</v>
      </c>
      <c r="J972" s="4">
        <f>SUMIFS(Table20[realized_profit],Table20[Asset],Table41[[#This Row],[Asset Name]],Table20[Strategy],"put calendar spread",Table20[date_purchased],"&gt;"&amp;$C$872,Table20[date_purchased],"&lt;"&amp;$E$872)</f>
        <v>0</v>
      </c>
      <c r="K972" s="4">
        <f>SUMIFS(Table20[realized_profit],Table20[Asset],Table41[[#This Row],[Asset Name]],Table20[Strategy],"put spread",Table20[date_purchased],"&gt;"&amp;$C$872,Table20[date_purchased],"&lt;"&amp;$E$872)</f>
        <v>0</v>
      </c>
      <c r="L972" s="4">
        <f>SUMIFS(Table20[Invested],Table20[Asset],Table41[[#This Row],[Asset Name]],Table20[date_purchased],"&gt;"&amp;$C$872,Table20[date_purchased],"&lt;"&amp;$E$872)</f>
        <v>504</v>
      </c>
      <c r="M972" s="14">
        <f>IFERROR(Table41[[#This Row],[Within timeline]]/Table41[[#This Row],[Invested]],0)</f>
        <v>-0.38690476190476208</v>
      </c>
      <c r="N972" s="187">
        <v>220</v>
      </c>
      <c r="O972" s="9" cm="1">
        <f t="array" aca="1" ref="O972" ca="1">_FV(Table41[[#This Row],[Asset Name]],"Price")</f>
        <v>253.2</v>
      </c>
      <c r="P972" s="188">
        <v>250</v>
      </c>
      <c r="Q972" t="b">
        <f ca="1">IF(Table41[[#This Row],[Current Price]]&lt;Table41[[#This Row],[Put wall]]*1.02,TRUE,FALSE)</f>
        <v>0</v>
      </c>
      <c r="R972" t="b">
        <f ca="1">IF(Table41[[#This Row],[Current Price]]&gt;Table41[[#This Row],[Call wall]]*0.98,TRUE,FALSE)</f>
        <v>1</v>
      </c>
      <c r="S972" s="4">
        <f ca="1">SUMIF(Table20[Asset],Table41[[#This Row],[Asset Name]],Table20[delta_exposure])</f>
        <v>0</v>
      </c>
      <c r="T972" s="36" t="str" cm="1">
        <f t="array" aca="1" ref="T972" ca="1">_FV(Table41[[#This Row],[Asset Name]],"Instrument type",TRUE)</f>
        <v>Stock</v>
      </c>
      <c r="U972" s="183">
        <v>45589</v>
      </c>
      <c r="V972" t="str">
        <f>VLOOKUP(Table41[[#This Row],[Asset Name]],Table19[#All],3,FALSE)</f>
        <v>AI</v>
      </c>
      <c r="X972" t="str">
        <f>VLOOKUP(Table41[[#This Row],[Asset Name]],Table19[#All],4,FALSE)</f>
        <v>Phone</v>
      </c>
      <c r="Y972" s="147" t="str">
        <f ca="1">IF(Table41[[#This Row],[Current Price]]&lt;Table41[[#This Row],[Put wall]]*1.02,"✅",IF(Table41[[#This Row],[Current Price]]&gt;Table41[[#This Row],[Call wall]]*0.98,"🔻",""))</f>
        <v>🔻</v>
      </c>
      <c r="Z972" s="203">
        <f ca="1">Table41[[#This Row],[Current Price]]/Table41[[#This Row],[Put wall]]-1</f>
        <v>0.15090909090909088</v>
      </c>
      <c r="AA972" s="206">
        <f ca="1">Table41[[#This Row],[Current Price]]/Table41[[#This Row],[Call wall]]-1</f>
        <v>1.2799999999999923E-2</v>
      </c>
      <c r="AB972" s="4"/>
      <c r="AC972" s="4"/>
      <c r="AD972" s="4"/>
      <c r="AE972" s="4"/>
      <c r="AF972" s="4"/>
      <c r="AG972" s="4"/>
      <c r="AH972" s="4"/>
      <c r="AI972" s="4"/>
      <c r="AJ972" s="14"/>
      <c r="AK972" s="187"/>
      <c r="AL972" s="179"/>
      <c r="AM972" s="188"/>
      <c r="AP972" s="4"/>
      <c r="AQ972" s="36"/>
      <c r="AR972" s="183"/>
    </row>
    <row r="973" spans="1:44" hidden="1">
      <c r="A973" s="194" t="e" vm="145">
        <v>#VALUE!</v>
      </c>
      <c r="B973" s="220" t="str" cm="1">
        <f t="array" aca="1" ref="B973" ca="1">_FV(Table41[[#This Row],[Asset Name]],"Ticker symbol",TRUE)</f>
        <v>MDB</v>
      </c>
      <c r="C973" s="221">
        <f>SUMIF(Table20[Asset],Table41[[#This Row],[Asset Name]],Table20[realized_profit])</f>
        <v>505.99999999999989</v>
      </c>
      <c r="D973" s="221">
        <f>SUMIFS(Table20[realized_profit],Table20[Asset],Table41[[#This Row],[Asset Name]],Table20[date_purchased],"&gt;"&amp;$C$872,Table20[date_purchased],"&lt;"&amp;$E$872)</f>
        <v>0</v>
      </c>
      <c r="E973" s="221">
        <f>SUMIFS(Table20[realized_profit],Table20[Asset],Table41[[#This Row],[Asset Name]],Table20[Bullish or Bearish],"Bullish",Table20[date_purchased],"&gt;"&amp;$C$872,Table20[date_purchased],"&lt;"&amp;$E$872)</f>
        <v>0</v>
      </c>
      <c r="F973" s="221">
        <f>SUMIFS(Table20[realized_profit],Table20[Asset],Table41[[#This Row],[Asset Name]],Table20[Bullish or Bearish],"Bearish",Table20[date_purchased],"&gt;"&amp;$C$872,Table20[date_purchased],"&lt;"&amp;$E$872)</f>
        <v>0</v>
      </c>
      <c r="G973" s="221">
        <f>SUMIFS(Table20[realized_profit],Table20[Asset],Table41[[#This Row],[Asset Name]],Table20[Strategy],"call",Table20[date_purchased],"&gt;"&amp;$C$872,Table20[date_purchased],"&lt;"&amp;$E$872)</f>
        <v>0</v>
      </c>
      <c r="H973" s="221">
        <f>SUMIFS(Table20[realized_profit],Table20[Asset],Table41[[#This Row],[Asset Name]],Table20[Strategy],"put",Table20[date_purchased],"&gt;"&amp;$C$872,Table20[date_purchased],"&lt;"&amp;$E$872)</f>
        <v>0</v>
      </c>
      <c r="I973" s="221">
        <f>SUMIFS(Table20[realized_profit],Table20[Asset],Table41[[#This Row],[Asset Name]],Table20[Strategy],"calendar spread",Table20[date_purchased],"&gt;"&amp;$C$872,Table20[date_purchased],"&lt;"&amp;$E$872)</f>
        <v>0</v>
      </c>
      <c r="J973" s="4">
        <f>SUMIFS(Table20[realized_profit],Table20[Asset],Table41[[#This Row],[Asset Name]],Table20[Strategy],"put calendar spread",Table20[date_purchased],"&gt;"&amp;$C$872,Table20[date_purchased],"&lt;"&amp;$E$872)</f>
        <v>0</v>
      </c>
      <c r="K973" s="4">
        <f>SUMIFS(Table20[realized_profit],Table20[Asset],Table41[[#This Row],[Asset Name]],Table20[Strategy],"put spread",Table20[date_purchased],"&gt;"&amp;$C$872,Table20[date_purchased],"&lt;"&amp;$E$872)</f>
        <v>0</v>
      </c>
      <c r="L973" s="221">
        <f>SUMIFS(Table20[Invested],Table20[Asset],Table41[[#This Row],[Asset Name]],Table20[date_purchased],"&gt;"&amp;$C$872,Table20[date_purchased],"&lt;"&amp;$E$872)</f>
        <v>0</v>
      </c>
      <c r="M973" s="222">
        <f>IFERROR(Table41[[#This Row],[Within timeline]]/Table41[[#This Row],[Invested]],0)</f>
        <v>0</v>
      </c>
      <c r="N973" s="223">
        <v>200</v>
      </c>
      <c r="O973" s="179" cm="1">
        <f t="array" aca="1" ref="O973" ca="1">_FV(Table41[[#This Row],[Asset Name]],"Price")</f>
        <v>249.61</v>
      </c>
      <c r="P973" s="225">
        <v>300</v>
      </c>
      <c r="Q973" s="219" t="b">
        <f ca="1">IF(Table41[[#This Row],[Current Price]]&lt;Table41[[#This Row],[Put wall]]*1.02,TRUE,FALSE)</f>
        <v>0</v>
      </c>
      <c r="R973" s="219" t="b">
        <f ca="1">IF(Table41[[#This Row],[Current Price]]&gt;Table41[[#This Row],[Call wall]]*0.98,TRUE,FALSE)</f>
        <v>0</v>
      </c>
      <c r="S973" s="221">
        <f ca="1">SUMIF(Table20[Asset],Table41[[#This Row],[Asset Name]],Table20[delta_exposure])</f>
        <v>0</v>
      </c>
      <c r="T973" s="36" t="str" cm="1">
        <f t="array" aca="1" ref="T973" ca="1">_FV(Table41[[#This Row],[Asset Name]],"Instrument type",TRUE)</f>
        <v>Stock</v>
      </c>
      <c r="U973" s="227"/>
      <c r="V973" s="219" t="str">
        <f>VLOOKUP(Table41[[#This Row],[Asset Name]],Table19[#All],3,FALSE)</f>
        <v>Technology</v>
      </c>
      <c r="X973" s="219" t="str">
        <f>VLOOKUP(Table41[[#This Row],[Asset Name]],Table19[#All],4,FALSE)</f>
        <v>Software</v>
      </c>
      <c r="Y973" s="189" t="str">
        <f ca="1">IF(Table41[[#This Row],[Current Price]]&lt;Table41[[#This Row],[Put wall]]*1.02,"✅",IF(Table41[[#This Row],[Current Price]]&gt;Table41[[#This Row],[Call wall]]*0.98,"🔻",""))</f>
        <v/>
      </c>
      <c r="Z973" s="204"/>
      <c r="AA973" s="207">
        <f ca="1">Table41[[#This Row],[Current Price]]/Table41[[#This Row],[Call wall]]-1</f>
        <v>-0.1679666666666666</v>
      </c>
      <c r="AB973" s="4"/>
      <c r="AC973" s="4"/>
      <c r="AD973" s="4"/>
      <c r="AE973" s="4"/>
      <c r="AF973" s="4"/>
    </row>
    <row r="974" spans="1:44" hidden="1">
      <c r="A974" s="217" t="e" vm="28">
        <v>#VALUE!</v>
      </c>
      <c r="B974" s="189" t="str" cm="1">
        <f t="array" aca="1" ref="B974" ca="1">_FV(Table41[[#This Row],[Asset Name]],"Ticker symbol",TRUE)</f>
        <v>NXPI</v>
      </c>
      <c r="C974" s="4">
        <f>SUMIF(Table20[Asset],Table41[[#This Row],[Asset Name]],Table20[realized_profit])</f>
        <v>0</v>
      </c>
      <c r="D974" s="4">
        <f>SUMIFS(Table20[realized_profit],Table20[Asset],Table41[[#This Row],[Asset Name]],Table20[date_purchased],"&gt;"&amp;$C$872,Table20[date_purchased],"&lt;"&amp;$E$872)</f>
        <v>0</v>
      </c>
      <c r="E974" s="4">
        <f>SUMIFS(Table20[realized_profit],Table20[Asset],Table41[[#This Row],[Asset Name]],Table20[Bullish or Bearish],"Bullish",Table20[date_purchased],"&gt;"&amp;$C$872,Table20[date_purchased],"&lt;"&amp;$E$872)</f>
        <v>0</v>
      </c>
      <c r="F974" s="4">
        <f>SUMIFS(Table20[realized_profit],Table20[Asset],Table41[[#This Row],[Asset Name]],Table20[Bullish or Bearish],"Bearish",Table20[date_purchased],"&gt;"&amp;$C$872,Table20[date_purchased],"&lt;"&amp;$E$872)</f>
        <v>0</v>
      </c>
      <c r="G974" s="4">
        <f>SUMIFS(Table20[realized_profit],Table20[Asset],Table41[[#This Row],[Asset Name]],Table20[Strategy],"call",Table20[date_purchased],"&gt;"&amp;$C$872,Table20[date_purchased],"&lt;"&amp;$E$872)</f>
        <v>0</v>
      </c>
      <c r="H974" s="4">
        <f>SUMIFS(Table20[realized_profit],Table20[Asset],Table41[[#This Row],[Asset Name]],Table20[Strategy],"put",Table20[date_purchased],"&gt;"&amp;$C$872,Table20[date_purchased],"&lt;"&amp;$E$872)</f>
        <v>0</v>
      </c>
      <c r="I974" s="4">
        <f>SUMIFS(Table20[realized_profit],Table20[Asset],Table41[[#This Row],[Asset Name]],Table20[Strategy],"calendar spread",Table20[date_purchased],"&gt;"&amp;$C$872,Table20[date_purchased],"&lt;"&amp;$E$872)</f>
        <v>0</v>
      </c>
      <c r="J974" s="4">
        <f>SUMIFS(Table20[realized_profit],Table20[Asset],Table41[[#This Row],[Asset Name]],Table20[Strategy],"put calendar spread",Table20[date_purchased],"&gt;"&amp;$C$872,Table20[date_purchased],"&lt;"&amp;$E$872)</f>
        <v>0</v>
      </c>
      <c r="K974" s="4">
        <f>SUMIFS(Table20[realized_profit],Table20[Asset],Table41[[#This Row],[Asset Name]],Table20[Strategy],"put spread",Table20[date_purchased],"&gt;"&amp;$C$872,Table20[date_purchased],"&lt;"&amp;$E$872)</f>
        <v>0</v>
      </c>
      <c r="L974" s="4">
        <f>SUMIFS(Table20[Invested],Table20[Asset],Table41[[#This Row],[Asset Name]],Table20[date_purchased],"&gt;"&amp;$C$872,Table20[date_purchased],"&lt;"&amp;$E$872)</f>
        <v>0</v>
      </c>
      <c r="M974" s="14">
        <f>IFERROR(Table41[[#This Row],[Within timeline]]/Table41[[#This Row],[Invested]],0)</f>
        <v>0</v>
      </c>
      <c r="N974" s="187">
        <v>220</v>
      </c>
      <c r="O974" s="179" cm="1">
        <f t="array" aca="1" ref="O974" ca="1">_FV(Table41[[#This Row],[Asset Name]],"Price")</f>
        <v>198.83</v>
      </c>
      <c r="P974" s="188">
        <v>260</v>
      </c>
      <c r="Q974" t="b">
        <f ca="1">IF(Table41[[#This Row],[Current Price]]&lt;Table41[[#This Row],[Put wall]]*1.02,TRUE,FALSE)</f>
        <v>1</v>
      </c>
      <c r="R974" t="b">
        <f ca="1">IF(Table41[[#This Row],[Current Price]]&gt;Table41[[#This Row],[Call wall]]*0.98,TRUE,FALSE)</f>
        <v>0</v>
      </c>
      <c r="S974" s="4">
        <f>SUMIF(Table20[Asset],Table41[[#This Row],[Asset Name]],Table20[delta_exposure])</f>
        <v>0</v>
      </c>
      <c r="T974" s="36" t="str" cm="1">
        <f t="array" aca="1" ref="T974" ca="1">_FV(Table41[[#This Row],[Asset Name]],"Instrument type",TRUE)</f>
        <v>Stock</v>
      </c>
      <c r="U974" s="183"/>
      <c r="V974" t="str">
        <f>VLOOKUP(Table41[[#This Row],[Asset Name]],Table19[#All],3,FALSE)</f>
        <v>Semiconductor</v>
      </c>
      <c r="X974" s="194" t="str">
        <f>VLOOKUP(Table41[[#This Row],[Asset Name]],Table19[#All],4,FALSE)</f>
        <v>Auto</v>
      </c>
      <c r="Y974" s="189" t="str">
        <f ca="1">IF(Table41[[#This Row],[Current Price]]&lt;Table41[[#This Row],[Put wall]]*1.02,"✅",IF(Table41[[#This Row],[Current Price]]&gt;Table41[[#This Row],[Call wall]]*0.98,"🔻",""))</f>
        <v>✅</v>
      </c>
      <c r="Z974" s="204"/>
      <c r="AA974" s="207">
        <f ca="1">Table41[[#This Row],[Current Price]]/Table41[[#This Row],[Call wall]]-1</f>
        <v>-0.23526923076923068</v>
      </c>
    </row>
    <row r="975" spans="1:44" hidden="1">
      <c r="A975" s="194" t="e" vm="50">
        <v>#VALUE!</v>
      </c>
      <c r="B975" s="189" t="str" cm="1">
        <f t="array" aca="1" ref="B975" ca="1">_FV(Table41[[#This Row],[Asset Name]],"Ticker symbol",TRUE)</f>
        <v>SO</v>
      </c>
      <c r="C975" s="4">
        <f>SUMIF(Table20[Asset],Table41[[#This Row],[Asset Name]],Table20[realized_profit])</f>
        <v>0</v>
      </c>
      <c r="D975" s="4">
        <f>SUMIFS(Table20[realized_profit],Table20[Asset],Table41[[#This Row],[Asset Name]],Table20[date_purchased],"&gt;"&amp;$C$872,Table20[date_purchased],"&lt;"&amp;$E$872)</f>
        <v>0</v>
      </c>
      <c r="E975" s="4">
        <f>SUMIFS(Table20[realized_profit],Table20[Asset],Table41[[#This Row],[Asset Name]],Table20[Bullish or Bearish],"Bullish",Table20[date_purchased],"&gt;"&amp;$C$872,Table20[date_purchased],"&lt;"&amp;$E$872)</f>
        <v>0</v>
      </c>
      <c r="F975" s="4">
        <f>SUMIFS(Table20[realized_profit],Table20[Asset],Table41[[#This Row],[Asset Name]],Table20[Bullish or Bearish],"Bearish",Table20[date_purchased],"&gt;"&amp;$C$872,Table20[date_purchased],"&lt;"&amp;$E$872)</f>
        <v>0</v>
      </c>
      <c r="G975" s="4">
        <f>SUMIFS(Table20[realized_profit],Table20[Asset],Table41[[#This Row],[Asset Name]],Table20[Strategy],"call",Table20[date_purchased],"&gt;"&amp;$C$872,Table20[date_purchased],"&lt;"&amp;$E$872)</f>
        <v>0</v>
      </c>
      <c r="H975" s="4">
        <f>SUMIFS(Table20[realized_profit],Table20[Asset],Table41[[#This Row],[Asset Name]],Table20[Strategy],"put",Table20[date_purchased],"&gt;"&amp;$C$872,Table20[date_purchased],"&lt;"&amp;$E$872)</f>
        <v>0</v>
      </c>
      <c r="I975" s="4">
        <f>SUMIFS(Table20[realized_profit],Table20[Asset],Table41[[#This Row],[Asset Name]],Table20[Strategy],"calendar spread",Table20[date_purchased],"&gt;"&amp;$C$872,Table20[date_purchased],"&lt;"&amp;$E$872)</f>
        <v>0</v>
      </c>
      <c r="J975" s="4">
        <f>SUMIFS(Table20[realized_profit],Table20[Asset],Table41[[#This Row],[Asset Name]],Table20[Strategy],"put calendar spread",Table20[date_purchased],"&gt;"&amp;$C$872,Table20[date_purchased],"&lt;"&amp;$E$872)</f>
        <v>0</v>
      </c>
      <c r="K975" s="4">
        <f>SUMIFS(Table20[realized_profit],Table20[Asset],Table41[[#This Row],[Asset Name]],Table20[Strategy],"put spread",Table20[date_purchased],"&gt;"&amp;$C$872,Table20[date_purchased],"&lt;"&amp;$E$872)</f>
        <v>0</v>
      </c>
      <c r="L975" s="4">
        <f>SUMIFS(Table20[Invested],Table20[Asset],Table41[[#This Row],[Asset Name]],Table20[date_purchased],"&gt;"&amp;$C$872,Table20[date_purchased],"&lt;"&amp;$E$872)</f>
        <v>0</v>
      </c>
      <c r="M975" s="14">
        <f>IFERROR(Table41[[#This Row],[Within timeline]]/Table41[[#This Row],[Invested]],0)</f>
        <v>0</v>
      </c>
      <c r="N975" s="187">
        <v>87.5</v>
      </c>
      <c r="O975" s="179" cm="1">
        <f t="array" aca="1" ref="O975" ca="1">_FV(Table41[[#This Row],[Asset Name]],"Price")</f>
        <v>94.3</v>
      </c>
      <c r="P975" s="188">
        <v>95</v>
      </c>
      <c r="Q975" t="b">
        <f ca="1">IF(Table41[[#This Row],[Current Price]]&lt;Table41[[#This Row],[Put wall]]*1.02,TRUE,FALSE)</f>
        <v>0</v>
      </c>
      <c r="R975" t="b">
        <f ca="1">IF(Table41[[#This Row],[Current Price]]&gt;Table41[[#This Row],[Call wall]]*0.98,TRUE,FALSE)</f>
        <v>1</v>
      </c>
      <c r="S975" s="4">
        <f>SUMIF(Table20[Asset],Table41[[#This Row],[Asset Name]],Table20[delta_exposure])</f>
        <v>0</v>
      </c>
      <c r="T975" s="36" t="str" cm="1">
        <f t="array" aca="1" ref="T975" ca="1">_FV(Table41[[#This Row],[Asset Name]],"Instrument type",TRUE)</f>
        <v>Stock</v>
      </c>
      <c r="U975" s="183"/>
      <c r="V975" t="str">
        <f>VLOOKUP(Table41[[#This Row],[Asset Name]],Table19[#All],3,FALSE)</f>
        <v>Nuclear</v>
      </c>
      <c r="X975" s="194" t="str">
        <f>VLOOKUP(Table41[[#This Row],[Asset Name]],Table19[#All],4,FALSE)</f>
        <v>Utilities</v>
      </c>
      <c r="Y975" s="189" t="str">
        <f ca="1">IF(Table41[[#This Row],[Current Price]]&lt;Table41[[#This Row],[Put wall]]*1.02,"✅",IF(Table41[[#This Row],[Current Price]]&gt;Table41[[#This Row],[Call wall]]*0.98,"🔻",""))</f>
        <v>🔻</v>
      </c>
      <c r="Z975" s="204"/>
      <c r="AA975" s="207">
        <f ca="1">Table41[[#This Row],[Current Price]]/Table41[[#This Row],[Call wall]]-1</f>
        <v>-7.3684210526315796E-3</v>
      </c>
    </row>
    <row r="976" spans="1:44">
      <c r="A976" s="194" t="e" vm="35">
        <v>#VALUE!</v>
      </c>
      <c r="B976" s="13" t="str" cm="1">
        <f t="array" aca="1" ref="B976" ca="1">_FV(Table41[[#This Row],[Asset Name]],"Ticker symbol",TRUE)</f>
        <v>VRT</v>
      </c>
      <c r="C976" s="4">
        <f>SUMIF(Table20[Asset],Table41[[#This Row],[Asset Name]],Table20[realized_profit])</f>
        <v>-543.00000000000011</v>
      </c>
      <c r="D976" s="4">
        <f>SUMIFS(Table20[realized_profit],Table20[Asset],Table41[[#This Row],[Asset Name]],Table20[date_purchased],"&gt;"&amp;$C$872,Table20[date_purchased],"&lt;"&amp;$E$872)</f>
        <v>219.99999999999989</v>
      </c>
      <c r="E976" s="4">
        <f>SUMIFS(Table20[realized_profit],Table20[Asset],Table41[[#This Row],[Asset Name]],Table20[Bullish or Bearish],"Bullish",Table20[date_purchased],"&gt;"&amp;$C$872,Table20[date_purchased],"&lt;"&amp;$E$872)</f>
        <v>219.99999999999989</v>
      </c>
      <c r="F976" s="4">
        <f>SUMIFS(Table20[realized_profit],Table20[Asset],Table41[[#This Row],[Asset Name]],Table20[Bullish or Bearish],"Bearish",Table20[date_purchased],"&gt;"&amp;$C$872,Table20[date_purchased],"&lt;"&amp;$E$872)</f>
        <v>0</v>
      </c>
      <c r="G976" s="4">
        <f>SUMIFS(Table20[realized_profit],Table20[Asset],Table41[[#This Row],[Asset Name]],Table20[Strategy],"call",Table20[date_purchased],"&gt;"&amp;$C$872,Table20[date_purchased],"&lt;"&amp;$E$872)</f>
        <v>0</v>
      </c>
      <c r="H976" s="4">
        <f>SUMIFS(Table20[realized_profit],Table20[Asset],Table41[[#This Row],[Asset Name]],Table20[Strategy],"put",Table20[date_purchased],"&gt;"&amp;$C$872,Table20[date_purchased],"&lt;"&amp;$E$872)</f>
        <v>0</v>
      </c>
      <c r="I976" s="4">
        <f>SUMIFS(Table20[realized_profit],Table20[Asset],Table41[[#This Row],[Asset Name]],Table20[Strategy],"calendar spread",Table20[date_purchased],"&gt;"&amp;$C$872,Table20[date_purchased],"&lt;"&amp;$E$872)</f>
        <v>0</v>
      </c>
      <c r="J976" s="4">
        <f>SUMIFS(Table20[realized_profit],Table20[Asset],Table41[[#This Row],[Asset Name]],Table20[Strategy],"put calendar spread",Table20[date_purchased],"&gt;"&amp;$C$872,Table20[date_purchased],"&lt;"&amp;$E$872)</f>
        <v>0</v>
      </c>
      <c r="K976" s="4">
        <f>SUMIFS(Table20[realized_profit],Table20[Asset],Table41[[#This Row],[Asset Name]],Table20[Strategy],"put spread",Table20[date_purchased],"&gt;"&amp;$C$872,Table20[date_purchased],"&lt;"&amp;$E$872)</f>
        <v>0</v>
      </c>
      <c r="L976" s="4">
        <f>SUMIFS(Table20[Invested],Table20[Asset],Table41[[#This Row],[Asset Name]],Table20[date_purchased],"&gt;"&amp;$C$872,Table20[date_purchased],"&lt;"&amp;$E$872)</f>
        <v>450</v>
      </c>
      <c r="M976" s="14">
        <f>IFERROR(Table41[[#This Row],[Within timeline]]/Table41[[#This Row],[Invested]],0)</f>
        <v>0.48888888888888865</v>
      </c>
      <c r="N976" s="187">
        <v>107</v>
      </c>
      <c r="O976" s="179" cm="1">
        <f t="array" aca="1" ref="O976" ca="1">_FV(Table41[[#This Row],[Asset Name]],"Price")</f>
        <v>280.42</v>
      </c>
      <c r="P976" s="188">
        <v>120</v>
      </c>
      <c r="Q976" t="b">
        <f ca="1">IF(Table41[[#This Row],[Current Price]]&lt;Table41[[#This Row],[Put wall]]*1.02,TRUE,FALSE)</f>
        <v>0</v>
      </c>
      <c r="R976" t="b">
        <f ca="1">IF(Table41[[#This Row],[Current Price]]&gt;Table41[[#This Row],[Call wall]]*0.98,TRUE,FALSE)</f>
        <v>1</v>
      </c>
      <c r="S976" s="4">
        <f ca="1">SUMIF(Table20[Asset],Table41[[#This Row],[Asset Name]],Table20[delta_exposure])</f>
        <v>0</v>
      </c>
      <c r="T976" s="36" t="str" cm="1">
        <f t="array" aca="1" ref="T976" ca="1">_FV(Table41[[#This Row],[Asset Name]],"Instrument type",TRUE)</f>
        <v>Stock</v>
      </c>
      <c r="U976" s="183">
        <v>45588</v>
      </c>
      <c r="V976" t="str">
        <f>VLOOKUP(Table41[[#This Row],[Asset Name]],Table19[#All],3,FALSE)</f>
        <v>Industrials</v>
      </c>
      <c r="X976" t="str">
        <f>VLOOKUP(Table41[[#This Row],[Asset Name]],Table19[#All],4,FALSE)</f>
        <v>AI</v>
      </c>
      <c r="Y976" s="147" t="str">
        <f ca="1">IF(Table41[[#This Row],[Current Price]]&lt;Table41[[#This Row],[Put wall]]*1.02,"✅",IF(Table41[[#This Row],[Current Price]]&gt;Table41[[#This Row],[Call wall]]*0.98,"🔻",""))</f>
        <v>🔻</v>
      </c>
      <c r="Z976" s="203">
        <f ca="1">Table41[[#This Row],[Current Price]]/Table41[[#This Row],[Put wall]]-1</f>
        <v>1.620747663551402</v>
      </c>
      <c r="AA976" s="206">
        <f ca="1">Table41[[#This Row],[Current Price]]/Table41[[#This Row],[Call wall]]-1</f>
        <v>1.3368333333333333</v>
      </c>
    </row>
    <row r="977" spans="1:27">
      <c r="A977" s="194" t="e" vm="25">
        <v>#VALUE!</v>
      </c>
      <c r="B977" s="13" t="str" cm="1">
        <f t="array" aca="1" ref="B977" ca="1">_FV(Table41[[#This Row],[Asset Name]],"Ticker symbol",TRUE)</f>
        <v>AMAT</v>
      </c>
      <c r="C977" s="4">
        <f>SUMIF(Table20[Asset],Table41[[#This Row],[Asset Name]],Table20[realized_profit])</f>
        <v>-1490.0000000000002</v>
      </c>
      <c r="D977" s="4">
        <f>SUMIFS(Table20[realized_profit],Table20[Asset],Table41[[#This Row],[Asset Name]],Table20[date_purchased],"&gt;"&amp;$C$872,Table20[date_purchased],"&lt;"&amp;$E$872)</f>
        <v>-1490.0000000000002</v>
      </c>
      <c r="E977" s="4">
        <f>SUMIFS(Table20[realized_profit],Table20[Asset],Table41[[#This Row],[Asset Name]],Table20[Bullish or Bearish],"Bullish",Table20[date_purchased],"&gt;"&amp;$C$872,Table20[date_purchased],"&lt;"&amp;$E$872)</f>
        <v>-1370</v>
      </c>
      <c r="F977" s="4">
        <f>SUMIFS(Table20[realized_profit],Table20[Asset],Table41[[#This Row],[Asset Name]],Table20[Bullish or Bearish],"Bearish",Table20[date_purchased],"&gt;"&amp;$C$872,Table20[date_purchased],"&lt;"&amp;$E$872)</f>
        <v>-120.00000000000026</v>
      </c>
      <c r="G977" s="4">
        <f>SUMIFS(Table20[realized_profit],Table20[Asset],Table41[[#This Row],[Asset Name]],Table20[Strategy],"call",Table20[date_purchased],"&gt;"&amp;$C$872,Table20[date_purchased],"&lt;"&amp;$E$872)</f>
        <v>-471</v>
      </c>
      <c r="H977" s="4">
        <f>SUMIFS(Table20[realized_profit],Table20[Asset],Table41[[#This Row],[Asset Name]],Table20[Strategy],"put",Table20[date_purchased],"&gt;"&amp;$C$872,Table20[date_purchased],"&lt;"&amp;$E$872)</f>
        <v>0</v>
      </c>
      <c r="I977" s="4">
        <f>SUMIFS(Table20[realized_profit],Table20[Asset],Table41[[#This Row],[Asset Name]],Table20[Strategy],"calendar spread",Table20[date_purchased],"&gt;"&amp;$C$872,Table20[date_purchased],"&lt;"&amp;$E$872)</f>
        <v>-284</v>
      </c>
      <c r="J977" s="4">
        <f>SUMIFS(Table20[realized_profit],Table20[Asset],Table41[[#This Row],[Asset Name]],Table20[Strategy],"put calendar spread",Table20[date_purchased],"&gt;"&amp;$C$872,Table20[date_purchased],"&lt;"&amp;$E$872)</f>
        <v>0</v>
      </c>
      <c r="K977" s="4">
        <f>SUMIFS(Table20[realized_profit],Table20[Asset],Table41[[#This Row],[Asset Name]],Table20[Strategy],"put spread",Table20[date_purchased],"&gt;"&amp;$C$872,Table20[date_purchased],"&lt;"&amp;$E$872)</f>
        <v>0</v>
      </c>
      <c r="L977" s="4">
        <f>SUMIFS(Table20[Invested],Table20[Asset],Table41[[#This Row],[Asset Name]],Table20[date_purchased],"&gt;"&amp;$C$872,Table20[date_purchased],"&lt;"&amp;$E$872)</f>
        <v>990</v>
      </c>
      <c r="M977" s="14">
        <f>IFERROR(Table41[[#This Row],[Within timeline]]/Table41[[#This Row],[Invested]],0)</f>
        <v>-1.5050505050505052</v>
      </c>
      <c r="N977" s="187">
        <v>195</v>
      </c>
      <c r="O977" s="179" cm="1">
        <f t="array" aca="1" ref="O977" ca="1">_FV(Table41[[#This Row],[Asset Name]],"Price")</f>
        <v>374.08</v>
      </c>
      <c r="P977" s="188">
        <v>220</v>
      </c>
      <c r="Q977" t="b">
        <f ca="1">IF(Table41[[#This Row],[Current Price]]&lt;Table41[[#This Row],[Put wall]]*1.02,TRUE,FALSE)</f>
        <v>0</v>
      </c>
      <c r="R977" t="b">
        <f ca="1">IF(Table41[[#This Row],[Current Price]]&gt;Table41[[#This Row],[Call wall]]*0.98,TRUE,FALSE)</f>
        <v>1</v>
      </c>
      <c r="S977" s="4">
        <f ca="1">SUMIF(Table20[Asset],Table41[[#This Row],[Asset Name]],Table20[delta_exposure])</f>
        <v>0</v>
      </c>
      <c r="T977" s="36" t="str" cm="1">
        <f t="array" aca="1" ref="T977" ca="1">_FV(Table41[[#This Row],[Asset Name]],"Instrument type",TRUE)</f>
        <v>Stock</v>
      </c>
      <c r="U977" s="183">
        <v>45610</v>
      </c>
      <c r="V977" t="str">
        <f>VLOOKUP(Table41[[#This Row],[Asset Name]],Table19[#All],3,FALSE)</f>
        <v>Semiconductor</v>
      </c>
      <c r="X977" t="str">
        <f>VLOOKUP(Table41[[#This Row],[Asset Name]],Table19[#All],4,FALSE)</f>
        <v>Semiconductor</v>
      </c>
      <c r="Y977" s="147" t="str">
        <f ca="1">IF(Table41[[#This Row],[Current Price]]&lt;Table41[[#This Row],[Put wall]]*1.02,"✅",IF(Table41[[#This Row],[Current Price]]&gt;Table41[[#This Row],[Call wall]]*0.98,"🔻",""))</f>
        <v>🔻</v>
      </c>
      <c r="Z977" s="203">
        <f ca="1">Table41[[#This Row],[Current Price]]/Table41[[#This Row],[Put wall]]-1</f>
        <v>0.91835897435897418</v>
      </c>
      <c r="AA977" s="206">
        <f ca="1">Table41[[#This Row],[Current Price]]/Table41[[#This Row],[Call wall]]-1</f>
        <v>0.7003636363636363</v>
      </c>
    </row>
    <row r="978" spans="1:27" hidden="1">
      <c r="A978" s="194" t="e" vm="146">
        <v>#VALUE!</v>
      </c>
      <c r="B978" s="189" t="str" cm="1">
        <f t="array" aca="1" ref="B978" ca="1">_FV(Table41[[#This Row],[Asset Name]],"Ticker symbol",TRUE)</f>
        <v>TRP</v>
      </c>
      <c r="C978" s="4">
        <f>SUMIF(Table20[Asset],Table41[[#This Row],[Asset Name]],Table20[realized_profit])</f>
        <v>0</v>
      </c>
      <c r="D978" s="4">
        <f>SUMIFS(Table20[realized_profit],Table20[Asset],Table41[[#This Row],[Asset Name]],Table20[date_purchased],"&gt;"&amp;$C$872,Table20[date_purchased],"&lt;"&amp;$E$872)</f>
        <v>0</v>
      </c>
      <c r="E978" s="4">
        <f>SUMIFS(Table20[realized_profit],Table20[Asset],Table41[[#This Row],[Asset Name]],Table20[Bullish or Bearish],"Bullish",Table20[date_purchased],"&gt;"&amp;$C$872,Table20[date_purchased],"&lt;"&amp;$E$872)</f>
        <v>0</v>
      </c>
      <c r="F978" s="4">
        <f>SUMIFS(Table20[realized_profit],Table20[Asset],Table41[[#This Row],[Asset Name]],Table20[Bullish or Bearish],"Bearish",Table20[date_purchased],"&gt;"&amp;$C$872,Table20[date_purchased],"&lt;"&amp;$E$872)</f>
        <v>0</v>
      </c>
      <c r="G978" s="4">
        <f>SUMIFS(Table20[realized_profit],Table20[Asset],Table41[[#This Row],[Asset Name]],Table20[Strategy],"call",Table20[date_purchased],"&gt;"&amp;$C$872,Table20[date_purchased],"&lt;"&amp;$E$872)</f>
        <v>0</v>
      </c>
      <c r="H978" s="4">
        <f>SUMIFS(Table20[realized_profit],Table20[Asset],Table41[[#This Row],[Asset Name]],Table20[Strategy],"put",Table20[date_purchased],"&gt;"&amp;$C$872,Table20[date_purchased],"&lt;"&amp;$E$872)</f>
        <v>0</v>
      </c>
      <c r="I978" s="4">
        <f>SUMIFS(Table20[realized_profit],Table20[Asset],Table41[[#This Row],[Asset Name]],Table20[Strategy],"calendar spread",Table20[date_purchased],"&gt;"&amp;$C$872,Table20[date_purchased],"&lt;"&amp;$E$872)</f>
        <v>0</v>
      </c>
      <c r="J978" s="4">
        <f>SUMIFS(Table20[realized_profit],Table20[Asset],Table41[[#This Row],[Asset Name]],Table20[Strategy],"put calendar spread",Table20[date_purchased],"&gt;"&amp;$C$872,Table20[date_purchased],"&lt;"&amp;$E$872)</f>
        <v>0</v>
      </c>
      <c r="K978" s="4">
        <f>SUMIFS(Table20[realized_profit],Table20[Asset],Table41[[#This Row],[Asset Name]],Table20[Strategy],"put spread",Table20[date_purchased],"&gt;"&amp;$C$872,Table20[date_purchased],"&lt;"&amp;$E$872)</f>
        <v>0</v>
      </c>
      <c r="L978" s="4">
        <f>SUMIFS(Table20[Invested],Table20[Asset],Table41[[#This Row],[Asset Name]],Table20[date_purchased],"&gt;"&amp;$C$872,Table20[date_purchased],"&lt;"&amp;$E$872)</f>
        <v>0</v>
      </c>
      <c r="M978" s="14">
        <f>IFERROR(Table41[[#This Row],[Within timeline]]/Table41[[#This Row],[Invested]],0)</f>
        <v>0</v>
      </c>
      <c r="N978" s="187">
        <v>42.5</v>
      </c>
      <c r="O978" s="179" cm="1">
        <f t="array" aca="1" ref="O978" ca="1">_FV(Table41[[#This Row],[Asset Name]],"Price")</f>
        <v>64.010000000000005</v>
      </c>
      <c r="P978" s="188">
        <v>50</v>
      </c>
      <c r="Q978" t="b">
        <f ca="1">IF(Table41[[#This Row],[Current Price]]&lt;Table41[[#This Row],[Put wall]]*1.02,TRUE,FALSE)</f>
        <v>0</v>
      </c>
      <c r="R978" t="b">
        <f ca="1">IF(Table41[[#This Row],[Current Price]]&gt;Table41[[#This Row],[Call wall]]*0.98,TRUE,FALSE)</f>
        <v>1</v>
      </c>
      <c r="S978" s="4">
        <f>SUMIF(Table20[Asset],Table41[[#This Row],[Asset Name]],Table20[delta_exposure])</f>
        <v>0</v>
      </c>
      <c r="T978" s="36" t="str" cm="1">
        <f t="array" aca="1" ref="T978" ca="1">_FV(Table41[[#This Row],[Asset Name]],"Instrument type",TRUE)</f>
        <v>Stock</v>
      </c>
      <c r="U978" s="183">
        <v>45603</v>
      </c>
      <c r="V978" t="str">
        <f>VLOOKUP(Table41[[#This Row],[Asset Name]],Table19[#All],3,FALSE)</f>
        <v>Energy</v>
      </c>
      <c r="X978" t="str">
        <f>VLOOKUP(Table41[[#This Row],[Asset Name]],Table19[#All],4,FALSE)</f>
        <v>Natural Gas</v>
      </c>
      <c r="Y978" s="147" t="str">
        <f ca="1">IF(Table41[[#This Row],[Current Price]]&lt;Table41[[#This Row],[Put wall]]*1.02,"✅",IF(Table41[[#This Row],[Current Price]]&gt;Table41[[#This Row],[Call wall]]*0.98,"🔻",""))</f>
        <v>🔻</v>
      </c>
      <c r="Z978" s="203">
        <f ca="1">Table41[[#This Row],[Current Price]]/Table41[[#This Row],[Put wall]]-1</f>
        <v>0.50611764705882356</v>
      </c>
      <c r="AA978" s="206">
        <f ca="1">Table41[[#This Row],[Current Price]]/Table41[[#This Row],[Call wall]]-1</f>
        <v>0.2802</v>
      </c>
    </row>
    <row r="979" spans="1:27" hidden="1">
      <c r="A979" s="194" t="e" vm="29">
        <v>#VALUE!</v>
      </c>
      <c r="B979" s="13" t="str" cm="1">
        <f t="array" aca="1" ref="B979" ca="1">_FV(Table41[[#This Row],[Asset Name]],"Ticker symbol",TRUE)</f>
        <v>NVDA</v>
      </c>
      <c r="C979" s="4">
        <f>SUMIF(Table20[Asset],Table41[[#This Row],[Asset Name]],Table20[realized_profit])</f>
        <v>-637.99999999999955</v>
      </c>
      <c r="D979" s="4">
        <f>SUMIFS(Table20[realized_profit],Table20[Asset],Table41[[#This Row],[Asset Name]],Table20[date_purchased],"&gt;"&amp;$C$872,Table20[date_purchased],"&lt;"&amp;$E$872)</f>
        <v>0</v>
      </c>
      <c r="E979" s="4">
        <f>SUMIFS(Table20[realized_profit],Table20[Asset],Table41[[#This Row],[Asset Name]],Table20[Bullish or Bearish],"Bullish",Table20[date_purchased],"&gt;"&amp;$C$872,Table20[date_purchased],"&lt;"&amp;$E$872)</f>
        <v>0</v>
      </c>
      <c r="F979" s="4">
        <f>SUMIFS(Table20[realized_profit],Table20[Asset],Table41[[#This Row],[Asset Name]],Table20[Bullish or Bearish],"Bearish",Table20[date_purchased],"&gt;"&amp;$C$872,Table20[date_purchased],"&lt;"&amp;$E$872)</f>
        <v>0</v>
      </c>
      <c r="G979" s="4">
        <f>SUMIFS(Table20[realized_profit],Table20[Asset],Table41[[#This Row],[Asset Name]],Table20[Strategy],"call",Table20[date_purchased],"&gt;"&amp;$C$872,Table20[date_purchased],"&lt;"&amp;$E$872)</f>
        <v>0</v>
      </c>
      <c r="H979" s="4">
        <f>SUMIFS(Table20[realized_profit],Table20[Asset],Table41[[#This Row],[Asset Name]],Table20[Strategy],"put",Table20[date_purchased],"&gt;"&amp;$C$872,Table20[date_purchased],"&lt;"&amp;$E$872)</f>
        <v>0</v>
      </c>
      <c r="I979" s="4">
        <f>SUMIFS(Table20[realized_profit],Table20[Asset],Table41[[#This Row],[Asset Name]],Table20[Strategy],"calendar spread",Table20[date_purchased],"&gt;"&amp;$C$872,Table20[date_purchased],"&lt;"&amp;$E$872)</f>
        <v>0</v>
      </c>
      <c r="J979" s="4">
        <f>SUMIFS(Table20[realized_profit],Table20[Asset],Table41[[#This Row],[Asset Name]],Table20[Strategy],"put calendar spread",Table20[date_purchased],"&gt;"&amp;$C$872,Table20[date_purchased],"&lt;"&amp;$E$872)</f>
        <v>0</v>
      </c>
      <c r="K979" s="4">
        <f>SUMIFS(Table20[realized_profit],Table20[Asset],Table41[[#This Row],[Asset Name]],Table20[Strategy],"put spread",Table20[date_purchased],"&gt;"&amp;$C$872,Table20[date_purchased],"&lt;"&amp;$E$872)</f>
        <v>0</v>
      </c>
      <c r="L979" s="4">
        <f>SUMIFS(Table20[Invested],Table20[Asset],Table41[[#This Row],[Asset Name]],Table20[date_purchased],"&gt;"&amp;$C$872,Table20[date_purchased],"&lt;"&amp;$E$872)</f>
        <v>0</v>
      </c>
      <c r="M979" s="14">
        <f>IFERROR(Table41[[#This Row],[Within timeline]]/Table41[[#This Row],[Invested]],0)</f>
        <v>0</v>
      </c>
      <c r="N979" s="187">
        <v>100</v>
      </c>
      <c r="O979" s="9" cm="1">
        <f t="array" aca="1" ref="O979" ca="1">_FV(Table41[[#This Row],[Asset Name]],"Price")</f>
        <v>180.405</v>
      </c>
      <c r="P979" s="188">
        <v>140</v>
      </c>
      <c r="Q979" t="b">
        <f ca="1">IF(Table41[[#This Row],[Current Price]]&lt;Table41[[#This Row],[Put wall]]*1.02,TRUE,FALSE)</f>
        <v>0</v>
      </c>
      <c r="R979" t="b">
        <f ca="1">IF(Table41[[#This Row],[Current Price]]&gt;Table41[[#This Row],[Call wall]]*0.98,TRUE,FALSE)</f>
        <v>1</v>
      </c>
      <c r="S979" s="4">
        <f ca="1">SUMIF(Table20[Asset],Table41[[#This Row],[Asset Name]],Table20[delta_exposure])</f>
        <v>0</v>
      </c>
      <c r="T979" s="36" t="str" cm="1">
        <f t="array" aca="1" ref="T979" ca="1">_FV(Table41[[#This Row],[Asset Name]],"Instrument type",TRUE)</f>
        <v>Stock</v>
      </c>
      <c r="U979" s="183">
        <v>45610</v>
      </c>
      <c r="V979" t="str">
        <f>VLOOKUP(Table41[[#This Row],[Asset Name]],Table19[#All],3,FALSE)</f>
        <v>AI</v>
      </c>
      <c r="X979" t="str">
        <f>VLOOKUP(Table41[[#This Row],[Asset Name]],Table19[#All],4,FALSE)</f>
        <v>Semiconductor</v>
      </c>
      <c r="Y979" s="147" t="str">
        <f ca="1">IF(Table41[[#This Row],[Current Price]]&lt;Table41[[#This Row],[Put wall]]*1.02,"✅",IF(Table41[[#This Row],[Current Price]]&gt;Table41[[#This Row],[Call wall]]*0.98,"🔻",""))</f>
        <v>🔻</v>
      </c>
      <c r="Z979" s="203">
        <f ca="1">Table41[[#This Row],[Current Price]]/Table41[[#This Row],[Put wall]]-1</f>
        <v>0.80404999999999993</v>
      </c>
      <c r="AA979" s="206">
        <f ca="1">Table41[[#This Row],[Current Price]]/Table41[[#This Row],[Call wall]]-1</f>
        <v>0.28860714285714284</v>
      </c>
    </row>
    <row r="980" spans="1:27" hidden="1">
      <c r="A980" s="194" t="e" vm="37">
        <v>#VALUE!</v>
      </c>
      <c r="B980" s="13" t="str" cm="1">
        <f t="array" aca="1" ref="B980" ca="1">_FV(Table41[[#This Row],[Asset Name]],"Ticker symbol",TRUE)</f>
        <v>AMD</v>
      </c>
      <c r="C980" s="4">
        <f>SUMIF(Table20[Asset],Table41[[#This Row],[Asset Name]],Table20[realized_profit])</f>
        <v>1567</v>
      </c>
      <c r="D980" s="4">
        <f>SUMIFS(Table20[realized_profit],Table20[Asset],Table41[[#This Row],[Asset Name]],Table20[date_purchased],"&gt;"&amp;$C$872,Table20[date_purchased],"&lt;"&amp;$E$872)</f>
        <v>0</v>
      </c>
      <c r="E980" s="4">
        <f>SUMIFS(Table20[realized_profit],Table20[Asset],Table41[[#This Row],[Asset Name]],Table20[Bullish or Bearish],"Bullish",Table20[date_purchased],"&gt;"&amp;$C$872,Table20[date_purchased],"&lt;"&amp;$E$872)</f>
        <v>0</v>
      </c>
      <c r="F980" s="4">
        <f>SUMIFS(Table20[realized_profit],Table20[Asset],Table41[[#This Row],[Asset Name]],Table20[Bullish or Bearish],"Bearish",Table20[date_purchased],"&gt;"&amp;$C$872,Table20[date_purchased],"&lt;"&amp;$E$872)</f>
        <v>0</v>
      </c>
      <c r="G980" s="4">
        <f>SUMIFS(Table20[realized_profit],Table20[Asset],Table41[[#This Row],[Asset Name]],Table20[Strategy],"call",Table20[date_purchased],"&gt;"&amp;$C$872,Table20[date_purchased],"&lt;"&amp;$E$872)</f>
        <v>0</v>
      </c>
      <c r="H980" s="4">
        <f>SUMIFS(Table20[realized_profit],Table20[Asset],Table41[[#This Row],[Asset Name]],Table20[Strategy],"put",Table20[date_purchased],"&gt;"&amp;$C$872,Table20[date_purchased],"&lt;"&amp;$E$872)</f>
        <v>0</v>
      </c>
      <c r="I980" s="4">
        <f>SUMIFS(Table20[realized_profit],Table20[Asset],Table41[[#This Row],[Asset Name]],Table20[Strategy],"calendar spread",Table20[date_purchased],"&gt;"&amp;$C$872,Table20[date_purchased],"&lt;"&amp;$E$872)</f>
        <v>0</v>
      </c>
      <c r="J980" s="4">
        <f>SUMIFS(Table20[realized_profit],Table20[Asset],Table41[[#This Row],[Asset Name]],Table20[Strategy],"put calendar spread",Table20[date_purchased],"&gt;"&amp;$C$872,Table20[date_purchased],"&lt;"&amp;$E$872)</f>
        <v>0</v>
      </c>
      <c r="K980" s="4">
        <f>SUMIFS(Table20[realized_profit],Table20[Asset],Table41[[#This Row],[Asset Name]],Table20[Strategy],"put spread",Table20[date_purchased],"&gt;"&amp;$C$872,Table20[date_purchased],"&lt;"&amp;$E$872)</f>
        <v>0</v>
      </c>
      <c r="L980" s="4">
        <f>SUMIFS(Table20[Invested],Table20[Asset],Table41[[#This Row],[Asset Name]],Table20[date_purchased],"&gt;"&amp;$C$872,Table20[date_purchased],"&lt;"&amp;$E$872)</f>
        <v>0</v>
      </c>
      <c r="M980" s="14">
        <f>IFERROR(Table41[[#This Row],[Within timeline]]/Table41[[#This Row],[Invested]],0)</f>
        <v>0</v>
      </c>
      <c r="N980" s="187">
        <v>140</v>
      </c>
      <c r="O980" s="179" cm="1">
        <f t="array" aca="1" ref="O980" ca="1">_FV(Table41[[#This Row],[Asset Name]],"Price")</f>
        <v>218.91</v>
      </c>
      <c r="P980" s="188">
        <v>180</v>
      </c>
      <c r="Q980" t="b">
        <f ca="1">IF(Table41[[#This Row],[Current Price]]&lt;Table41[[#This Row],[Put wall]]*1.02,TRUE,FALSE)</f>
        <v>0</v>
      </c>
      <c r="R980" t="b">
        <f ca="1">IF(Table41[[#This Row],[Current Price]]&gt;Table41[[#This Row],[Call wall]]*0.98,TRUE,FALSE)</f>
        <v>1</v>
      </c>
      <c r="S980" s="4">
        <f ca="1">SUMIF(Table20[Asset],Table41[[#This Row],[Asset Name]],Table20[delta_exposure])</f>
        <v>0</v>
      </c>
      <c r="T980" s="36" t="str" cm="1">
        <f t="array" aca="1" ref="T980" ca="1">_FV(Table41[[#This Row],[Asset Name]],"Instrument type",TRUE)</f>
        <v>Stock</v>
      </c>
      <c r="U980" s="183">
        <v>45594</v>
      </c>
      <c r="V980" t="str">
        <f>VLOOKUP(Table41[[#This Row],[Asset Name]],Table19[#All],3,FALSE)</f>
        <v>AI</v>
      </c>
      <c r="X980" t="str">
        <f>VLOOKUP(Table41[[#This Row],[Asset Name]],Table19[#All],4,FALSE)</f>
        <v>AI inference</v>
      </c>
      <c r="Y980" s="147" t="str">
        <f ca="1">IF(Table41[[#This Row],[Current Price]]&lt;Table41[[#This Row],[Put wall]]*1.02,"✅",IF(Table41[[#This Row],[Current Price]]&gt;Table41[[#This Row],[Call wall]]*0.98,"🔻",""))</f>
        <v>🔻</v>
      </c>
      <c r="Z980" s="203">
        <f ca="1">Table41[[#This Row],[Current Price]]/Table41[[#This Row],[Put wall]]-1</f>
        <v>0.56364285714285711</v>
      </c>
      <c r="AA980" s="206">
        <f ca="1">Table41[[#This Row],[Current Price]]/Table41[[#This Row],[Call wall]]-1</f>
        <v>0.21616666666666662</v>
      </c>
    </row>
    <row r="981" spans="1:27" hidden="1">
      <c r="A981" s="194" t="e" vm="147">
        <v>#VALUE!</v>
      </c>
      <c r="B981" s="13" t="str" cm="1">
        <f t="array" aca="1" ref="B981" ca="1">_FV(Table41[[#This Row],[Asset Name]],"Ticker symbol",TRUE)</f>
        <v>XLE</v>
      </c>
      <c r="C981" s="4">
        <f>SUMIF(Table20[Asset],Table41[[#This Row],[Asset Name]],Table20[realized_profit])</f>
        <v>0</v>
      </c>
      <c r="D981" s="4">
        <f>SUMIFS(Table20[realized_profit],Table20[Asset],Table41[[#This Row],[Asset Name]],Table20[date_purchased],"&gt;"&amp;$C$872,Table20[date_purchased],"&lt;"&amp;$E$872)</f>
        <v>0</v>
      </c>
      <c r="E981" s="4">
        <f>SUMIFS(Table20[realized_profit],Table20[Asset],Table41[[#This Row],[Asset Name]],Table20[Bullish or Bearish],"Bullish",Table20[date_purchased],"&gt;"&amp;$C$872,Table20[date_purchased],"&lt;"&amp;$E$872)</f>
        <v>0</v>
      </c>
      <c r="F981" s="4">
        <f>SUMIFS(Table20[realized_profit],Table20[Asset],Table41[[#This Row],[Asset Name]],Table20[Bullish or Bearish],"Bearish",Table20[date_purchased],"&gt;"&amp;$C$872,Table20[date_purchased],"&lt;"&amp;$E$872)</f>
        <v>0</v>
      </c>
      <c r="G981" s="4">
        <f>SUMIFS(Table20[realized_profit],Table20[Asset],Table41[[#This Row],[Asset Name]],Table20[Strategy],"call",Table20[date_purchased],"&gt;"&amp;$C$872,Table20[date_purchased],"&lt;"&amp;$E$872)</f>
        <v>0</v>
      </c>
      <c r="H981" s="4">
        <f>SUMIFS(Table20[realized_profit],Table20[Asset],Table41[[#This Row],[Asset Name]],Table20[Strategy],"put",Table20[date_purchased],"&gt;"&amp;$C$872,Table20[date_purchased],"&lt;"&amp;$E$872)</f>
        <v>0</v>
      </c>
      <c r="I981" s="4">
        <f>SUMIFS(Table20[realized_profit],Table20[Asset],Table41[[#This Row],[Asset Name]],Table20[Strategy],"calendar spread",Table20[date_purchased],"&gt;"&amp;$C$872,Table20[date_purchased],"&lt;"&amp;$E$872)</f>
        <v>0</v>
      </c>
      <c r="J981" s="4">
        <f>SUMIFS(Table20[realized_profit],Table20[Asset],Table41[[#This Row],[Asset Name]],Table20[Strategy],"put calendar spread",Table20[date_purchased],"&gt;"&amp;$C$872,Table20[date_purchased],"&lt;"&amp;$E$872)</f>
        <v>0</v>
      </c>
      <c r="K981" s="4">
        <f>SUMIFS(Table20[realized_profit],Table20[Asset],Table41[[#This Row],[Asset Name]],Table20[Strategy],"put spread",Table20[date_purchased],"&gt;"&amp;$C$872,Table20[date_purchased],"&lt;"&amp;$E$872)</f>
        <v>0</v>
      </c>
      <c r="L981" s="4">
        <f>SUMIFS(Table20[Invested],Table20[Asset],Table41[[#This Row],[Asset Name]],Table20[date_purchased],"&gt;"&amp;$C$872,Table20[date_purchased],"&lt;"&amp;$E$872)</f>
        <v>0</v>
      </c>
      <c r="M981" s="14">
        <f>IFERROR(Table41[[#This Row],[Within timeline]]/Table41[[#This Row],[Invested]],0)</f>
        <v>0</v>
      </c>
      <c r="N981" s="187">
        <v>82</v>
      </c>
      <c r="O981" s="179" cm="1">
        <f t="array" aca="1" ref="O981" ca="1">_FV(Table41[[#This Row],[Asset Name]],"Price")</f>
        <v>60.634999999999998</v>
      </c>
      <c r="P981" s="188">
        <v>95</v>
      </c>
      <c r="Q981" t="b">
        <f ca="1">IF(Table41[[#This Row],[Current Price]]&lt;Table41[[#This Row],[Put wall]]*1.02,TRUE,FALSE)</f>
        <v>1</v>
      </c>
      <c r="R981" t="b">
        <f ca="1">IF(Table41[[#This Row],[Current Price]]&gt;Table41[[#This Row],[Call wall]]*0.98,TRUE,FALSE)</f>
        <v>0</v>
      </c>
      <c r="S981" s="4">
        <f>SUMIF(Table20[Asset],Table41[[#This Row],[Asset Name]],Table20[delta_exposure])</f>
        <v>0</v>
      </c>
      <c r="T981" s="36" t="str" cm="1">
        <f t="array" aca="1" ref="T981" ca="1">_FV(Table41[[#This Row],[Asset Name]],"Instrument type",TRUE)</f>
        <v>ETF</v>
      </c>
      <c r="U981" s="183"/>
      <c r="V981" t="str">
        <f>VLOOKUP(Table41[[#This Row],[Asset Name]],Table19[#All],3,FALSE)</f>
        <v>Energy</v>
      </c>
      <c r="X981" t="str">
        <f>VLOOKUP(Table41[[#This Row],[Asset Name]],Table19[#All],4,FALSE)</f>
        <v>Energy</v>
      </c>
      <c r="Y981" s="147" t="str">
        <f ca="1">IF(Table41[[#This Row],[Current Price]]&lt;Table41[[#This Row],[Put wall]]*1.02,"✅",IF(Table41[[#This Row],[Current Price]]&gt;Table41[[#This Row],[Call wall]]*0.98,"🔻",""))</f>
        <v>✅</v>
      </c>
      <c r="Z981" s="203">
        <f ca="1">Table41[[#This Row],[Current Price]]/Table41[[#This Row],[Put wall]]-1</f>
        <v>-0.26054878048780494</v>
      </c>
      <c r="AA981" s="206">
        <f ca="1">Table41[[#This Row],[Current Price]]/Table41[[#This Row],[Call wall]]-1</f>
        <v>-0.36173684210526313</v>
      </c>
    </row>
    <row r="982" spans="1:27">
      <c r="A982" s="194" t="e" vm="148">
        <v>#VALUE!</v>
      </c>
      <c r="B982" s="13" t="str" cm="1">
        <f t="array" aca="1" ref="B982" ca="1">_FV(Table41[[#This Row],[Asset Name]],"Ticker symbol",TRUE)</f>
        <v>META</v>
      </c>
      <c r="C982" s="4">
        <f>SUMIF(Table20[Asset],Table41[[#This Row],[Asset Name]],Table20[realized_profit])</f>
        <v>2450</v>
      </c>
      <c r="D982" s="4">
        <f>SUMIFS(Table20[realized_profit],Table20[Asset],Table41[[#This Row],[Asset Name]],Table20[date_purchased],"&gt;"&amp;$C$872,Table20[date_purchased],"&lt;"&amp;$E$872)</f>
        <v>-63</v>
      </c>
      <c r="E982" s="4">
        <f>SUMIFS(Table20[realized_profit],Table20[Asset],Table41[[#This Row],[Asset Name]],Table20[Bullish or Bearish],"Bullish",Table20[date_purchased],"&gt;"&amp;$C$872,Table20[date_purchased],"&lt;"&amp;$E$872)</f>
        <v>0</v>
      </c>
      <c r="F982" s="4">
        <f>SUMIFS(Table20[realized_profit],Table20[Asset],Table41[[#This Row],[Asset Name]],Table20[Bullish or Bearish],"Bearish",Table20[date_purchased],"&gt;"&amp;$C$872,Table20[date_purchased],"&lt;"&amp;$E$872)</f>
        <v>-63</v>
      </c>
      <c r="G982" s="4">
        <f>SUMIFS(Table20[realized_profit],Table20[Asset],Table41[[#This Row],[Asset Name]],Table20[Strategy],"call",Table20[date_purchased],"&gt;"&amp;$C$872,Table20[date_purchased],"&lt;"&amp;$E$872)</f>
        <v>0</v>
      </c>
      <c r="H982" s="4">
        <f>SUMIFS(Table20[realized_profit],Table20[Asset],Table41[[#This Row],[Asset Name]],Table20[Strategy],"put",Table20[date_purchased],"&gt;"&amp;$C$872,Table20[date_purchased],"&lt;"&amp;$E$872)</f>
        <v>0</v>
      </c>
      <c r="I982" s="4">
        <f>SUMIFS(Table20[realized_profit],Table20[Asset],Table41[[#This Row],[Asset Name]],Table20[Strategy],"calendar spread",Table20[date_purchased],"&gt;"&amp;$C$872,Table20[date_purchased],"&lt;"&amp;$E$872)</f>
        <v>0</v>
      </c>
      <c r="J982" s="4">
        <f>SUMIFS(Table20[realized_profit],Table20[Asset],Table41[[#This Row],[Asset Name]],Table20[Strategy],"put calendar spread",Table20[date_purchased],"&gt;"&amp;$C$872,Table20[date_purchased],"&lt;"&amp;$E$872)</f>
        <v>-63</v>
      </c>
      <c r="K982" s="4">
        <f>SUMIFS(Table20[realized_profit],Table20[Asset],Table41[[#This Row],[Asset Name]],Table20[Strategy],"put spread",Table20[date_purchased],"&gt;"&amp;$C$872,Table20[date_purchased],"&lt;"&amp;$E$872)</f>
        <v>0</v>
      </c>
      <c r="L982" s="4">
        <f>SUMIFS(Table20[Invested],Table20[Asset],Table41[[#This Row],[Asset Name]],Table20[date_purchased],"&gt;"&amp;$C$872,Table20[date_purchased],"&lt;"&amp;$E$872)</f>
        <v>75</v>
      </c>
      <c r="M982" s="14">
        <f>IFERROR(Table41[[#This Row],[Within timeline]]/Table41[[#This Row],[Invested]],0)</f>
        <v>-0.84</v>
      </c>
      <c r="N982" s="187">
        <v>565</v>
      </c>
      <c r="O982" s="9" cm="1">
        <f t="array" aca="1" ref="O982" ca="1">_FV(Table41[[#This Row],[Asset Name]],"Price")</f>
        <v>599.32000000000005</v>
      </c>
      <c r="P982" s="188">
        <v>600</v>
      </c>
      <c r="Q982" t="b">
        <f ca="1">IF(Table41[[#This Row],[Current Price]]&lt;Table41[[#This Row],[Put wall]]*1.02,TRUE,FALSE)</f>
        <v>0</v>
      </c>
      <c r="R982" t="b">
        <f ca="1">IF(Table41[[#This Row],[Current Price]]&gt;Table41[[#This Row],[Call wall]]*0.98,TRUE,FALSE)</f>
        <v>1</v>
      </c>
      <c r="S982" s="4">
        <f ca="1">SUMIF(Table20[Asset],Table41[[#This Row],[Asset Name]],Table20[delta_exposure])</f>
        <v>0</v>
      </c>
      <c r="T982" s="36" t="str" cm="1">
        <f t="array" aca="1" ref="T982" ca="1">_FV(Table41[[#This Row],[Asset Name]],"Instrument type",TRUE)</f>
        <v>Stock</v>
      </c>
      <c r="U982" s="183">
        <v>45611</v>
      </c>
      <c r="V982" t="str">
        <f>VLOOKUP(Table41[[#This Row],[Asset Name]],Table19[#All],3,FALSE)</f>
        <v>AI</v>
      </c>
      <c r="X982" t="str">
        <f>VLOOKUP(Table41[[#This Row],[Asset Name]],Table19[#All],4,FALSE)</f>
        <v>Technology</v>
      </c>
      <c r="Y982" s="147" t="str">
        <f ca="1">IF(Table41[[#This Row],[Current Price]]&lt;Table41[[#This Row],[Put wall]]*1.02,"✅",IF(Table41[[#This Row],[Current Price]]&gt;Table41[[#This Row],[Call wall]]*0.98,"🔻",""))</f>
        <v>🔻</v>
      </c>
      <c r="Z982" s="203">
        <f ca="1">Table41[[#This Row],[Current Price]]/Table41[[#This Row],[Put wall]]-1</f>
        <v>6.0743362831858549E-2</v>
      </c>
      <c r="AA982" s="206">
        <f ca="1">Table41[[#This Row],[Current Price]]/Table41[[#This Row],[Call wall]]-1</f>
        <v>-1.1333333333332085E-3</v>
      </c>
    </row>
    <row r="983" spans="1:27" hidden="1">
      <c r="A983" s="194" t="e" vm="149">
        <v>#VALUE!</v>
      </c>
      <c r="B983" s="13" t="str" cm="1">
        <f t="array" aca="1" ref="B983" ca="1">_FV(Table41[[#This Row],[Asset Name]],"Ticker symbol",TRUE)</f>
        <v>XLV</v>
      </c>
      <c r="C983" s="4">
        <f>SUMIF(Table20[Asset],Table41[[#This Row],[Asset Name]],Table20[realized_profit])</f>
        <v>0</v>
      </c>
      <c r="D983" s="4">
        <f>SUMIFS(Table20[realized_profit],Table20[Asset],Table41[[#This Row],[Asset Name]],Table20[date_purchased],"&gt;"&amp;$C$872,Table20[date_purchased],"&lt;"&amp;$E$872)</f>
        <v>0</v>
      </c>
      <c r="E983" s="4">
        <f>SUMIFS(Table20[realized_profit],Table20[Asset],Table41[[#This Row],[Asset Name]],Table20[Bullish or Bearish],"Bullish",Table20[date_purchased],"&gt;"&amp;$C$872,Table20[date_purchased],"&lt;"&amp;$E$872)</f>
        <v>0</v>
      </c>
      <c r="F983" s="4">
        <f>SUMIFS(Table20[realized_profit],Table20[Asset],Table41[[#This Row],[Asset Name]],Table20[Bullish or Bearish],"Bearish",Table20[date_purchased],"&gt;"&amp;$C$872,Table20[date_purchased],"&lt;"&amp;$E$872)</f>
        <v>0</v>
      </c>
      <c r="G983" s="4">
        <f>SUMIFS(Table20[realized_profit],Table20[Asset],Table41[[#This Row],[Asset Name]],Table20[Strategy],"call",Table20[date_purchased],"&gt;"&amp;$C$872,Table20[date_purchased],"&lt;"&amp;$E$872)</f>
        <v>0</v>
      </c>
      <c r="H983" s="4">
        <f>SUMIFS(Table20[realized_profit],Table20[Asset],Table41[[#This Row],[Asset Name]],Table20[Strategy],"put",Table20[date_purchased],"&gt;"&amp;$C$872,Table20[date_purchased],"&lt;"&amp;$E$872)</f>
        <v>0</v>
      </c>
      <c r="I983" s="4">
        <f>SUMIFS(Table20[realized_profit],Table20[Asset],Table41[[#This Row],[Asset Name]],Table20[Strategy],"calendar spread",Table20[date_purchased],"&gt;"&amp;$C$872,Table20[date_purchased],"&lt;"&amp;$E$872)</f>
        <v>0</v>
      </c>
      <c r="J983" s="4">
        <f>SUMIFS(Table20[realized_profit],Table20[Asset],Table41[[#This Row],[Asset Name]],Table20[Strategy],"put calendar spread",Table20[date_purchased],"&gt;"&amp;$C$872,Table20[date_purchased],"&lt;"&amp;$E$872)</f>
        <v>0</v>
      </c>
      <c r="K983" s="4">
        <f>SUMIFS(Table20[realized_profit],Table20[Asset],Table41[[#This Row],[Asset Name]],Table20[Strategy],"put spread",Table20[date_purchased],"&gt;"&amp;$C$872,Table20[date_purchased],"&lt;"&amp;$E$872)</f>
        <v>0</v>
      </c>
      <c r="L983" s="4">
        <f>SUMIFS(Table20[Invested],Table20[Asset],Table41[[#This Row],[Asset Name]],Table20[date_purchased],"&gt;"&amp;$C$872,Table20[date_purchased],"&lt;"&amp;$E$872)</f>
        <v>0</v>
      </c>
      <c r="M983" s="14">
        <f>IFERROR(Table41[[#This Row],[Within timeline]]/Table41[[#This Row],[Invested]],0)</f>
        <v>0</v>
      </c>
      <c r="N983" s="187">
        <v>145</v>
      </c>
      <c r="O983" s="179" cm="1">
        <f t="array" aca="1" ref="O983" ca="1">_FV(Table41[[#This Row],[Asset Name]],"Price")</f>
        <v>146</v>
      </c>
      <c r="P983" s="188">
        <v>160</v>
      </c>
      <c r="Q983" t="b">
        <f ca="1">IF(Table41[[#This Row],[Current Price]]&lt;Table41[[#This Row],[Put wall]]*1.02,TRUE,FALSE)</f>
        <v>1</v>
      </c>
      <c r="R983" t="b">
        <f ca="1">IF(Table41[[#This Row],[Current Price]]&gt;Table41[[#This Row],[Call wall]]*0.98,TRUE,FALSE)</f>
        <v>0</v>
      </c>
      <c r="S983" s="4">
        <f>SUMIF(Table20[Asset],Table41[[#This Row],[Asset Name]],Table20[delta_exposure])</f>
        <v>0</v>
      </c>
      <c r="T983" s="36" t="str" cm="1">
        <f t="array" aca="1" ref="T983" ca="1">_FV(Table41[[#This Row],[Asset Name]],"Instrument type",TRUE)</f>
        <v>ETF</v>
      </c>
      <c r="U983" s="183"/>
      <c r="V983" t="str">
        <f>VLOOKUP(Table41[[#This Row],[Asset Name]],Table19[#All],3,FALSE)</f>
        <v>Health Care</v>
      </c>
      <c r="X983" t="str">
        <f>VLOOKUP(Table41[[#This Row],[Asset Name]],Table19[#All],4,FALSE)</f>
        <v>Health Care</v>
      </c>
      <c r="Y983" s="147" t="str">
        <f ca="1">IF(Table41[[#This Row],[Current Price]]&lt;Table41[[#This Row],[Put wall]]*1.02,"✅",IF(Table41[[#This Row],[Current Price]]&gt;Table41[[#This Row],[Call wall]]*0.98,"🔻",""))</f>
        <v>✅</v>
      </c>
      <c r="Z983" s="203">
        <f ca="1">Table41[[#This Row],[Current Price]]/Table41[[#This Row],[Put wall]]-1</f>
        <v>6.8965517241379448E-3</v>
      </c>
      <c r="AA983" s="206">
        <f ca="1">Table41[[#This Row],[Current Price]]/Table41[[#This Row],[Call wall]]-1</f>
        <v>-8.7500000000000022E-2</v>
      </c>
    </row>
    <row r="984" spans="1:27" hidden="1">
      <c r="A984" s="194" t="e" vm="42">
        <v>#VALUE!</v>
      </c>
      <c r="B984" s="189" t="str" cm="1">
        <f t="array" aca="1" ref="B984" ca="1">_FV(Table41[[#This Row],[Asset Name]],"Ticker symbol",TRUE)</f>
        <v>FLR</v>
      </c>
      <c r="C984" s="4">
        <f>SUMIF(Table20[Asset],Table41[[#This Row],[Asset Name]],Table20[realized_profit])</f>
        <v>0</v>
      </c>
      <c r="D984" s="4">
        <f>SUMIFS(Table20[realized_profit],Table20[Asset],Table41[[#This Row],[Asset Name]],Table20[date_purchased],"&gt;"&amp;$C$872,Table20[date_purchased],"&lt;"&amp;$E$872)</f>
        <v>0</v>
      </c>
      <c r="E984" s="4">
        <f>SUMIFS(Table20[realized_profit],Table20[Asset],Table41[[#This Row],[Asset Name]],Table20[Bullish or Bearish],"Bullish",Table20[date_purchased],"&gt;"&amp;$C$872,Table20[date_purchased],"&lt;"&amp;$E$872)</f>
        <v>0</v>
      </c>
      <c r="F984" s="4">
        <f>SUMIFS(Table20[realized_profit],Table20[Asset],Table41[[#This Row],[Asset Name]],Table20[Bullish or Bearish],"Bearish",Table20[date_purchased],"&gt;"&amp;$C$872,Table20[date_purchased],"&lt;"&amp;$E$872)</f>
        <v>0</v>
      </c>
      <c r="G984" s="4">
        <f>SUMIFS(Table20[realized_profit],Table20[Asset],Table41[[#This Row],[Asset Name]],Table20[Strategy],"call",Table20[date_purchased],"&gt;"&amp;$C$872,Table20[date_purchased],"&lt;"&amp;$E$872)</f>
        <v>0</v>
      </c>
      <c r="H984" s="4">
        <f>SUMIFS(Table20[realized_profit],Table20[Asset],Table41[[#This Row],[Asset Name]],Table20[Strategy],"put",Table20[date_purchased],"&gt;"&amp;$C$872,Table20[date_purchased],"&lt;"&amp;$E$872)</f>
        <v>0</v>
      </c>
      <c r="I984" s="4">
        <f>SUMIFS(Table20[realized_profit],Table20[Asset],Table41[[#This Row],[Asset Name]],Table20[Strategy],"calendar spread",Table20[date_purchased],"&gt;"&amp;$C$872,Table20[date_purchased],"&lt;"&amp;$E$872)</f>
        <v>0</v>
      </c>
      <c r="J984" s="4">
        <f>SUMIFS(Table20[realized_profit],Table20[Asset],Table41[[#This Row],[Asset Name]],Table20[Strategy],"put calendar spread",Table20[date_purchased],"&gt;"&amp;$C$872,Table20[date_purchased],"&lt;"&amp;$E$872)</f>
        <v>0</v>
      </c>
      <c r="K984" s="4">
        <f>SUMIFS(Table20[realized_profit],Table20[Asset],Table41[[#This Row],[Asset Name]],Table20[Strategy],"put spread",Table20[date_purchased],"&gt;"&amp;$C$872,Table20[date_purchased],"&lt;"&amp;$E$872)</f>
        <v>0</v>
      </c>
      <c r="L984" s="4">
        <f>SUMIFS(Table20[Invested],Table20[Asset],Table41[[#This Row],[Asset Name]],Table20[date_purchased],"&gt;"&amp;$C$872,Table20[date_purchased],"&lt;"&amp;$E$872)</f>
        <v>0</v>
      </c>
      <c r="M984" s="14">
        <f>IFERROR(Table41[[#This Row],[Within timeline]]/Table41[[#This Row],[Invested]],0)</f>
        <v>0</v>
      </c>
      <c r="N984" s="187">
        <v>45</v>
      </c>
      <c r="O984" s="179" cm="1">
        <f t="array" aca="1" ref="O984" ca="1">_FV(Table41[[#This Row],[Asset Name]],"Price")</f>
        <v>48.72</v>
      </c>
      <c r="P984" s="188">
        <v>57.5</v>
      </c>
      <c r="Q984" t="b">
        <f ca="1">IF(Table41[[#This Row],[Current Price]]&lt;Table41[[#This Row],[Put wall]]*1.02,TRUE,FALSE)</f>
        <v>0</v>
      </c>
      <c r="R984" t="b">
        <f ca="1">IF(Table41[[#This Row],[Current Price]]&gt;Table41[[#This Row],[Call wall]]*0.98,TRUE,FALSE)</f>
        <v>0</v>
      </c>
      <c r="S984" s="4">
        <f>SUMIF(Table20[Asset],Table41[[#This Row],[Asset Name]],Table20[delta_exposure])</f>
        <v>0</v>
      </c>
      <c r="T984" s="36" t="str" cm="1">
        <f t="array" aca="1" ref="T984" ca="1">_FV(Table41[[#This Row],[Asset Name]],"Instrument type",TRUE)</f>
        <v>Stock</v>
      </c>
      <c r="U984" s="183">
        <v>45604</v>
      </c>
      <c r="V984" t="str">
        <f>VLOOKUP(Table41[[#This Row],[Asset Name]],Table19[#All],3,FALSE)</f>
        <v>Industrials</v>
      </c>
      <c r="X984" s="194" t="str">
        <f>VLOOKUP(Table41[[#This Row],[Asset Name]],Table19[#All],4,FALSE)</f>
        <v>Industrials</v>
      </c>
      <c r="Y984" s="189" t="str">
        <f ca="1">IF(Table41[[#This Row],[Current Price]]&lt;Table41[[#This Row],[Put wall]]*1.02,"✅",IF(Table41[[#This Row],[Current Price]]&gt;Table41[[#This Row],[Call wall]]*0.98,"🔻",""))</f>
        <v/>
      </c>
      <c r="Z984" s="203">
        <f ca="1">Table41[[#This Row],[Current Price]]/Table41[[#This Row],[Put wall]]-1</f>
        <v>8.2666666666666666E-2</v>
      </c>
      <c r="AA984" s="207">
        <f ca="1">Table41[[#This Row],[Current Price]]/Table41[[#This Row],[Call wall]]-1</f>
        <v>-0.15269565217391301</v>
      </c>
    </row>
    <row r="985" spans="1:27" hidden="1">
      <c r="A985" s="194" t="e" vm="150">
        <v>#VALUE!</v>
      </c>
      <c r="B985" s="189" t="str" cm="1">
        <f t="array" aca="1" ref="B985" ca="1">_FV(Table41[[#This Row],[Asset Name]],"Ticker symbol",TRUE)</f>
        <v>CIEN</v>
      </c>
      <c r="C985" s="4">
        <f>SUMIF(Table20[Asset],Table41[[#This Row],[Asset Name]],Table20[realized_profit])</f>
        <v>0</v>
      </c>
      <c r="D985" s="4">
        <f>SUMIFS(Table20[realized_profit],Table20[Asset],Table41[[#This Row],[Asset Name]],Table20[date_purchased],"&gt;"&amp;$C$872,Table20[date_purchased],"&lt;"&amp;$E$872)</f>
        <v>0</v>
      </c>
      <c r="E985" s="4">
        <f>SUMIFS(Table20[realized_profit],Table20[Asset],Table41[[#This Row],[Asset Name]],Table20[Bullish or Bearish],"Bullish",Table20[date_purchased],"&gt;"&amp;$C$872,Table20[date_purchased],"&lt;"&amp;$E$872)</f>
        <v>0</v>
      </c>
      <c r="F985" s="4">
        <f>SUMIFS(Table20[realized_profit],Table20[Asset],Table41[[#This Row],[Asset Name]],Table20[Bullish or Bearish],"Bearish",Table20[date_purchased],"&gt;"&amp;$C$872,Table20[date_purchased],"&lt;"&amp;$E$872)</f>
        <v>0</v>
      </c>
      <c r="G985" s="4">
        <f>SUMIFS(Table20[realized_profit],Table20[Asset],Table41[[#This Row],[Asset Name]],Table20[Strategy],"call",Table20[date_purchased],"&gt;"&amp;$C$872,Table20[date_purchased],"&lt;"&amp;$E$872)</f>
        <v>0</v>
      </c>
      <c r="H985" s="4">
        <f>SUMIFS(Table20[realized_profit],Table20[Asset],Table41[[#This Row],[Asset Name]],Table20[Strategy],"put",Table20[date_purchased],"&gt;"&amp;$C$872,Table20[date_purchased],"&lt;"&amp;$E$872)</f>
        <v>0</v>
      </c>
      <c r="I985" s="4">
        <f>SUMIFS(Table20[realized_profit],Table20[Asset],Table41[[#This Row],[Asset Name]],Table20[Strategy],"calendar spread",Table20[date_purchased],"&gt;"&amp;$C$872,Table20[date_purchased],"&lt;"&amp;$E$872)</f>
        <v>0</v>
      </c>
      <c r="J985" s="4">
        <f>SUMIFS(Table20[realized_profit],Table20[Asset],Table41[[#This Row],[Asset Name]],Table20[Strategy],"put calendar spread",Table20[date_purchased],"&gt;"&amp;$C$872,Table20[date_purchased],"&lt;"&amp;$E$872)</f>
        <v>0</v>
      </c>
      <c r="K985" s="4">
        <f>SUMIFS(Table20[realized_profit],Table20[Asset],Table41[[#This Row],[Asset Name]],Table20[Strategy],"put spread",Table20[date_purchased],"&gt;"&amp;$C$872,Table20[date_purchased],"&lt;"&amp;$E$872)</f>
        <v>0</v>
      </c>
      <c r="L985" s="4">
        <f>SUMIFS(Table20[Invested],Table20[Asset],Table41[[#This Row],[Asset Name]],Table20[date_purchased],"&gt;"&amp;$C$872,Table20[date_purchased],"&lt;"&amp;$E$872)</f>
        <v>0</v>
      </c>
      <c r="M985" s="14">
        <f>IFERROR(Table41[[#This Row],[Within timeline]]/Table41[[#This Row],[Invested]],0)</f>
        <v>0</v>
      </c>
      <c r="N985" s="187">
        <v>65</v>
      </c>
      <c r="O985" s="179" cm="1">
        <f t="array" aca="1" ref="O985" ca="1">_FV(Table41[[#This Row],[Asset Name]],"Price")</f>
        <v>444.16680000000002</v>
      </c>
      <c r="P985" s="188">
        <v>70</v>
      </c>
      <c r="Q985" t="b">
        <f ca="1">IF(Table41[[#This Row],[Current Price]]&lt;Table41[[#This Row],[Put wall]]*1.02,TRUE,FALSE)</f>
        <v>0</v>
      </c>
      <c r="R985" t="b">
        <f ca="1">IF(Table41[[#This Row],[Current Price]]&gt;Table41[[#This Row],[Call wall]]*0.98,TRUE,FALSE)</f>
        <v>1</v>
      </c>
      <c r="S985" s="4">
        <f>SUMIF(Table20[Asset],Table41[[#This Row],[Asset Name]],Table20[delta_exposure])</f>
        <v>0</v>
      </c>
      <c r="T985" s="36" t="str" cm="1">
        <f t="array" aca="1" ref="T985" ca="1">_FV(Table41[[#This Row],[Asset Name]],"Instrument type",TRUE)</f>
        <v>Stock</v>
      </c>
      <c r="U985" s="183"/>
      <c r="V985" t="str">
        <f>VLOOKUP(Table41[[#This Row],[Asset Name]],Table19[#All],3,FALSE)</f>
        <v>Connectivity</v>
      </c>
      <c r="X985" s="194" t="str">
        <f>VLOOKUP(Table41[[#This Row],[Asset Name]],Table19[#All],4,FALSE)</f>
        <v>Technology</v>
      </c>
      <c r="Y985" s="189" t="str">
        <f ca="1">IF(Table41[[#This Row],[Current Price]]&lt;Table41[[#This Row],[Put wall]]*1.02,"✅",IF(Table41[[#This Row],[Current Price]]&gt;Table41[[#This Row],[Call wall]]*0.98,"🔻",""))</f>
        <v>🔻</v>
      </c>
      <c r="Z985" s="204"/>
      <c r="AA985" s="207">
        <f ca="1">Table41[[#This Row],[Current Price]]/Table41[[#This Row],[Call wall]]-1</f>
        <v>5.3452400000000004</v>
      </c>
    </row>
    <row r="986" spans="1:27" hidden="1">
      <c r="A986" s="194" t="e" vm="151">
        <v>#VALUE!</v>
      </c>
      <c r="B986" s="13" t="str" cm="1">
        <f t="array" aca="1" ref="B986" ca="1">_FV(Table41[[#This Row],[Asset Name]],"Ticker symbol",TRUE)</f>
        <v>TLT</v>
      </c>
      <c r="C986" s="4">
        <f>SUMIF(Table20[Asset],Table41[[#This Row],[Asset Name]],Table20[realized_profit])</f>
        <v>-3328.3599999999997</v>
      </c>
      <c r="D986" s="4">
        <f>SUMIFS(Table20[realized_profit],Table20[Asset],Table41[[#This Row],[Asset Name]],Table20[date_purchased],"&gt;"&amp;$C$872,Table20[date_purchased],"&lt;"&amp;$E$872)</f>
        <v>-1926.0000000000002</v>
      </c>
      <c r="E986" s="4">
        <f>SUMIFS(Table20[realized_profit],Table20[Asset],Table41[[#This Row],[Asset Name]],Table20[Bullish or Bearish],"Bullish",Table20[date_purchased],"&gt;"&amp;$C$872,Table20[date_purchased],"&lt;"&amp;$E$872)</f>
        <v>-1926.0000000000002</v>
      </c>
      <c r="F986" s="4">
        <f>SUMIFS(Table20[realized_profit],Table20[Asset],Table41[[#This Row],[Asset Name]],Table20[Bullish or Bearish],"Bearish",Table20[date_purchased],"&gt;"&amp;$C$872,Table20[date_purchased],"&lt;"&amp;$E$872)</f>
        <v>0</v>
      </c>
      <c r="G986" s="4">
        <f>SUMIFS(Table20[realized_profit],Table20[Asset],Table41[[#This Row],[Asset Name]],Table20[Strategy],"call",Table20[date_purchased],"&gt;"&amp;$C$872,Table20[date_purchased],"&lt;"&amp;$E$872)</f>
        <v>-1926.0000000000002</v>
      </c>
      <c r="H986" s="4">
        <f>SUMIFS(Table20[realized_profit],Table20[Asset],Table41[[#This Row],[Asset Name]],Table20[Strategy],"put",Table20[date_purchased],"&gt;"&amp;$C$872,Table20[date_purchased],"&lt;"&amp;$E$872)</f>
        <v>0</v>
      </c>
      <c r="I986" s="4">
        <f>SUMIFS(Table20[realized_profit],Table20[Asset],Table41[[#This Row],[Asset Name]],Table20[Strategy],"calendar spread",Table20[date_purchased],"&gt;"&amp;$C$872,Table20[date_purchased],"&lt;"&amp;$E$872)</f>
        <v>0</v>
      </c>
      <c r="J986" s="4">
        <f>SUMIFS(Table20[realized_profit],Table20[Asset],Table41[[#This Row],[Asset Name]],Table20[Strategy],"put calendar spread",Table20[date_purchased],"&gt;"&amp;$C$872,Table20[date_purchased],"&lt;"&amp;$E$872)</f>
        <v>0</v>
      </c>
      <c r="K986" s="4">
        <f>SUMIFS(Table20[realized_profit],Table20[Asset],Table41[[#This Row],[Asset Name]],Table20[Strategy],"put spread",Table20[date_purchased],"&gt;"&amp;$C$872,Table20[date_purchased],"&lt;"&amp;$E$872)</f>
        <v>0</v>
      </c>
      <c r="L986" s="4">
        <f>SUMIFS(Table20[Invested],Table20[Asset],Table41[[#This Row],[Asset Name]],Table20[date_purchased],"&gt;"&amp;$C$872,Table20[date_purchased],"&lt;"&amp;$E$872)</f>
        <v>1926.0000000000002</v>
      </c>
      <c r="M986" s="14">
        <f>IFERROR(Table41[[#This Row],[Within timeline]]/Table41[[#This Row],[Invested]],0)</f>
        <v>-1</v>
      </c>
      <c r="N986" s="187">
        <v>90</v>
      </c>
      <c r="O986" s="9" cm="1">
        <f t="array" aca="1" ref="O986" ca="1">_FV(Table41[[#This Row],[Asset Name]],"Price")</f>
        <v>86.743499999999997</v>
      </c>
      <c r="P986" s="188">
        <v>100</v>
      </c>
      <c r="Q986" t="b">
        <f ca="1">IF(Table41[[#This Row],[Current Price]]&lt;Table41[[#This Row],[Put wall]]*1.02,TRUE,FALSE)</f>
        <v>1</v>
      </c>
      <c r="R986" t="b">
        <f ca="1">IF(Table41[[#This Row],[Current Price]]&gt;Table41[[#This Row],[Call wall]]*0.98,TRUE,FALSE)</f>
        <v>0</v>
      </c>
      <c r="S986" s="4">
        <f ca="1">SUMIF(Table20[Asset],Table41[[#This Row],[Asset Name]],Table20[delta_exposure])</f>
        <v>15778.905685450125</v>
      </c>
      <c r="T986" s="36" t="str" cm="1">
        <f t="array" aca="1" ref="T986" ca="1">_FV(Table41[[#This Row],[Asset Name]],"Instrument type",TRUE)</f>
        <v>ETF</v>
      </c>
      <c r="U986" s="183"/>
      <c r="V986" t="str">
        <f>VLOOKUP(Table41[[#This Row],[Asset Name]],Table19[#All],3,FALSE)</f>
        <v>Market</v>
      </c>
      <c r="X986" t="str">
        <f>VLOOKUP(Table41[[#This Row],[Asset Name]],Table19[#All],4,FALSE)</f>
        <v>Treasury</v>
      </c>
      <c r="Y986" s="147" t="str">
        <f ca="1">IF(Table41[[#This Row],[Current Price]]&lt;Table41[[#This Row],[Put wall]]*1.02,"✅",IF(Table41[[#This Row],[Current Price]]&gt;Table41[[#This Row],[Call wall]]*0.98,"🔻",""))</f>
        <v>✅</v>
      </c>
      <c r="Z986" s="203">
        <f ca="1">Table41[[#This Row],[Current Price]]/Table41[[#This Row],[Put wall]]-1</f>
        <v>-3.6183333333333345E-2</v>
      </c>
      <c r="AA986" s="206">
        <f ca="1">Table41[[#This Row],[Current Price]]/Table41[[#This Row],[Call wall]]-1</f>
        <v>-0.13256500000000004</v>
      </c>
    </row>
    <row r="987" spans="1:27">
      <c r="A987" s="194" t="e" vm="32">
        <v>#VALUE!</v>
      </c>
      <c r="B987" s="13" t="str" cm="1">
        <f t="array" aca="1" ref="B987" ca="1">_FV(Table41[[#This Row],[Asset Name]],"Ticker symbol",TRUE)</f>
        <v>MU</v>
      </c>
      <c r="C987" s="4">
        <f>SUMIF(Table20[Asset],Table41[[#This Row],[Asset Name]],Table20[realized_profit])</f>
        <v>-4181</v>
      </c>
      <c r="D987" s="4">
        <f>SUMIFS(Table20[realized_profit],Table20[Asset],Table41[[#This Row],[Asset Name]],Table20[date_purchased],"&gt;"&amp;$C$872,Table20[date_purchased],"&lt;"&amp;$E$872)</f>
        <v>-478</v>
      </c>
      <c r="E987" s="4">
        <f>SUMIFS(Table20[realized_profit],Table20[Asset],Table41[[#This Row],[Asset Name]],Table20[Bullish or Bearish],"Bullish",Table20[date_purchased],"&gt;"&amp;$C$872,Table20[date_purchased],"&lt;"&amp;$E$872)</f>
        <v>-478</v>
      </c>
      <c r="F987" s="4">
        <f>SUMIFS(Table20[realized_profit],Table20[Asset],Table41[[#This Row],[Asset Name]],Table20[Bullish or Bearish],"Bearish",Table20[date_purchased],"&gt;"&amp;$C$872,Table20[date_purchased],"&lt;"&amp;$E$872)</f>
        <v>0</v>
      </c>
      <c r="G987" s="4">
        <f>SUMIFS(Table20[realized_profit],Table20[Asset],Table41[[#This Row],[Asset Name]],Table20[Strategy],"call",Table20[date_purchased],"&gt;"&amp;$C$872,Table20[date_purchased],"&lt;"&amp;$E$872)</f>
        <v>-478</v>
      </c>
      <c r="H987" s="4">
        <f>SUMIFS(Table20[realized_profit],Table20[Asset],Table41[[#This Row],[Asset Name]],Table20[Strategy],"put",Table20[date_purchased],"&gt;"&amp;$C$872,Table20[date_purchased],"&lt;"&amp;$E$872)</f>
        <v>0</v>
      </c>
      <c r="I987" s="4">
        <f>SUMIFS(Table20[realized_profit],Table20[Asset],Table41[[#This Row],[Asset Name]],Table20[Strategy],"calendar spread",Table20[date_purchased],"&gt;"&amp;$C$872,Table20[date_purchased],"&lt;"&amp;$E$872)</f>
        <v>0</v>
      </c>
      <c r="J987" s="4">
        <f>SUMIFS(Table20[realized_profit],Table20[Asset],Table41[[#This Row],[Asset Name]],Table20[Strategy],"put calendar spread",Table20[date_purchased],"&gt;"&amp;$C$872,Table20[date_purchased],"&lt;"&amp;$E$872)</f>
        <v>0</v>
      </c>
      <c r="K987" s="4">
        <f>SUMIFS(Table20[realized_profit],Table20[Asset],Table41[[#This Row],[Asset Name]],Table20[Strategy],"put spread",Table20[date_purchased],"&gt;"&amp;$C$872,Table20[date_purchased],"&lt;"&amp;$E$872)</f>
        <v>0</v>
      </c>
      <c r="L987" s="4">
        <f>SUMIFS(Table20[Invested],Table20[Asset],Table41[[#This Row],[Asset Name]],Table20[date_purchased],"&gt;"&amp;$C$872,Table20[date_purchased],"&lt;"&amp;$E$872)</f>
        <v>820</v>
      </c>
      <c r="M987" s="14">
        <f>IFERROR(Table41[[#This Row],[Within timeline]]/Table41[[#This Row],[Invested]],0)</f>
        <v>-0.58292682926829265</v>
      </c>
      <c r="N987" s="187">
        <v>95</v>
      </c>
      <c r="O987" s="9" cm="1">
        <f t="array" aca="1" ref="O987" ca="1">_FV(Table41[[#This Row],[Asset Name]],"Price")</f>
        <v>381.57</v>
      </c>
      <c r="P987" s="188">
        <v>115</v>
      </c>
      <c r="Q987" t="b">
        <f ca="1">IF(Table41[[#This Row],[Current Price]]&lt;Table41[[#This Row],[Put wall]]*1.02,TRUE,FALSE)</f>
        <v>0</v>
      </c>
      <c r="R987" t="b">
        <f ca="1">IF(Table41[[#This Row],[Current Price]]&gt;Table41[[#This Row],[Call wall]]*0.98,TRUE,FALSE)</f>
        <v>1</v>
      </c>
      <c r="S987" s="4">
        <f ca="1">SUMIF(Table20[Asset],Table41[[#This Row],[Asset Name]],Table20[delta_exposure])</f>
        <v>0</v>
      </c>
      <c r="T987" s="36" t="str" cm="1">
        <f t="array" aca="1" ref="T987" ca="1">_FV(Table41[[#This Row],[Asset Name]],"Instrument type",TRUE)</f>
        <v>Stock</v>
      </c>
      <c r="U987" s="183">
        <v>45644</v>
      </c>
      <c r="V987" t="str">
        <f>VLOOKUP(Table41[[#This Row],[Asset Name]],Table19[#All],3,FALSE)</f>
        <v>AI</v>
      </c>
      <c r="X987" t="str">
        <f>VLOOKUP(Table41[[#This Row],[Asset Name]],Table19[#All],4,FALSE)</f>
        <v>Memory</v>
      </c>
      <c r="Y987" s="147" t="str">
        <f ca="1">IF(Table41[[#This Row],[Current Price]]&lt;Table41[[#This Row],[Put wall]]*1.02,"✅",IF(Table41[[#This Row],[Current Price]]&gt;Table41[[#This Row],[Call wall]]*0.98,"🔻",""))</f>
        <v>🔻</v>
      </c>
      <c r="Z987" s="203">
        <f ca="1">Table41[[#This Row],[Current Price]]/Table41[[#This Row],[Put wall]]-1</f>
        <v>3.0165263157894735</v>
      </c>
      <c r="AA987" s="206">
        <f ca="1">Table41[[#This Row],[Current Price]]/Table41[[#This Row],[Call wall]]-1</f>
        <v>2.3180000000000001</v>
      </c>
    </row>
    <row r="988" spans="1:27" hidden="1">
      <c r="A988" s="218" t="e" vm="152">
        <v>#VALUE!</v>
      </c>
      <c r="B988" s="189" t="str" cm="1">
        <f t="array" aca="1" ref="B988" ca="1">_FV(Table41[[#This Row],[Asset Name]],"Ticker symbol",TRUE)</f>
        <v>STM</v>
      </c>
      <c r="C988" s="4">
        <f>SUMIF(Table20[Asset],Table41[[#This Row],[Asset Name]],Table20[realized_profit])</f>
        <v>0</v>
      </c>
      <c r="D988" s="4">
        <f>SUMIFS(Table20[realized_profit],Table20[Asset],Table41[[#This Row],[Asset Name]],Table20[date_purchased],"&gt;"&amp;$C$872,Table20[date_purchased],"&lt;"&amp;$E$872)</f>
        <v>0</v>
      </c>
      <c r="E988" s="4">
        <f>SUMIFS(Table20[realized_profit],Table20[Asset],Table41[[#This Row],[Asset Name]],Table20[Bullish or Bearish],"Bullish",Table20[date_purchased],"&gt;"&amp;$C$872,Table20[date_purchased],"&lt;"&amp;$E$872)</f>
        <v>0</v>
      </c>
      <c r="F988" s="4">
        <f>SUMIFS(Table20[realized_profit],Table20[Asset],Table41[[#This Row],[Asset Name]],Table20[Bullish or Bearish],"Bearish",Table20[date_purchased],"&gt;"&amp;$C$872,Table20[date_purchased],"&lt;"&amp;$E$872)</f>
        <v>0</v>
      </c>
      <c r="G988" s="4">
        <f>SUMIFS(Table20[realized_profit],Table20[Asset],Table41[[#This Row],[Asset Name]],Table20[Strategy],"call",Table20[date_purchased],"&gt;"&amp;$C$872,Table20[date_purchased],"&lt;"&amp;$E$872)</f>
        <v>0</v>
      </c>
      <c r="H988" s="4">
        <f>SUMIFS(Table20[realized_profit],Table20[Asset],Table41[[#This Row],[Asset Name]],Table20[Strategy],"put",Table20[date_purchased],"&gt;"&amp;$C$872,Table20[date_purchased],"&lt;"&amp;$E$872)</f>
        <v>0</v>
      </c>
      <c r="I988" s="4">
        <f>SUMIFS(Table20[realized_profit],Table20[Asset],Table41[[#This Row],[Asset Name]],Table20[Strategy],"calendar spread",Table20[date_purchased],"&gt;"&amp;$C$872,Table20[date_purchased],"&lt;"&amp;$E$872)</f>
        <v>0</v>
      </c>
      <c r="J988" s="4">
        <f>SUMIFS(Table20[realized_profit],Table20[Asset],Table41[[#This Row],[Asset Name]],Table20[Strategy],"put calendar spread",Table20[date_purchased],"&gt;"&amp;$C$872,Table20[date_purchased],"&lt;"&amp;$E$872)</f>
        <v>0</v>
      </c>
      <c r="K988" s="4">
        <f>SUMIFS(Table20[realized_profit],Table20[Asset],Table41[[#This Row],[Asset Name]],Table20[Strategy],"put spread",Table20[date_purchased],"&gt;"&amp;$C$872,Table20[date_purchased],"&lt;"&amp;$E$872)</f>
        <v>0</v>
      </c>
      <c r="L988" s="4">
        <f>SUMIFS(Table20[Invested],Table20[Asset],Table41[[#This Row],[Asset Name]],Table20[date_purchased],"&gt;"&amp;$C$872,Table20[date_purchased],"&lt;"&amp;$E$872)</f>
        <v>0</v>
      </c>
      <c r="M988" s="14">
        <f>IFERROR(Table41[[#This Row],[Within timeline]]/Table41[[#This Row],[Invested]],0)</f>
        <v>0</v>
      </c>
      <c r="N988" s="187">
        <v>28</v>
      </c>
      <c r="O988" s="179" cm="1">
        <f t="array" aca="1" ref="O988" ca="1">_FV(Table41[[#This Row],[Asset Name]],"Price")</f>
        <v>33.4</v>
      </c>
      <c r="P988" s="188">
        <v>30</v>
      </c>
      <c r="Q988" t="b">
        <f ca="1">IF(Table41[[#This Row],[Current Price]]&lt;Table41[[#This Row],[Put wall]]*1.02,TRUE,FALSE)</f>
        <v>0</v>
      </c>
      <c r="R988" t="b">
        <f ca="1">IF(Table41[[#This Row],[Current Price]]&gt;Table41[[#This Row],[Call wall]]*0.98,TRUE,FALSE)</f>
        <v>1</v>
      </c>
      <c r="S988" s="4">
        <f>SUMIF(Table20[Asset],Table41[[#This Row],[Asset Name]],Table20[delta_exposure])</f>
        <v>0</v>
      </c>
      <c r="T988" s="36" t="str" cm="1">
        <f t="array" aca="1" ref="T988" ca="1">_FV(Table41[[#This Row],[Asset Name]],"Instrument type",TRUE)</f>
        <v>Stock</v>
      </c>
      <c r="U988" s="183"/>
      <c r="V988" t="str">
        <f>VLOOKUP(Table41[[#This Row],[Asset Name]],Table19[#All],3,FALSE)</f>
        <v>Semiconductor</v>
      </c>
      <c r="X988" s="194" t="str">
        <f>VLOOKUP(Table41[[#This Row],[Asset Name]],Table19[#All],4,FALSE)</f>
        <v>Auto</v>
      </c>
      <c r="Y988" s="189" t="str">
        <f ca="1">IF(Table41[[#This Row],[Current Price]]&lt;Table41[[#This Row],[Put wall]]*1.02,"✅",IF(Table41[[#This Row],[Current Price]]&gt;Table41[[#This Row],[Call wall]]*0.98,"🔻",""))</f>
        <v>🔻</v>
      </c>
      <c r="Z988" s="204"/>
      <c r="AA988" s="207">
        <f ca="1">Table41[[#This Row],[Current Price]]/Table41[[#This Row],[Call wall]]-1</f>
        <v>0.11333333333333329</v>
      </c>
    </row>
    <row r="989" spans="1:27" hidden="1">
      <c r="A989" s="194" t="e" vm="153">
        <v>#VALUE!</v>
      </c>
      <c r="B989" s="189" t="str" cm="1">
        <f t="array" aca="1" ref="B989" ca="1">_FV(Table41[[#This Row],[Asset Name]],"Ticker symbol",TRUE)</f>
        <v>DDOG</v>
      </c>
      <c r="C989" s="4">
        <f>SUMIF(Table20[Asset],Table41[[#This Row],[Asset Name]],Table20[realized_profit])</f>
        <v>0</v>
      </c>
      <c r="D989" s="4">
        <f>SUMIFS(Table20[realized_profit],Table20[Asset],Table41[[#This Row],[Asset Name]],Table20[date_purchased],"&gt;"&amp;$C$872,Table20[date_purchased],"&lt;"&amp;$E$872)</f>
        <v>0</v>
      </c>
      <c r="E989" s="4">
        <f>SUMIFS(Table20[realized_profit],Table20[Asset],Table41[[#This Row],[Asset Name]],Table20[Bullish or Bearish],"Bullish",Table20[date_purchased],"&gt;"&amp;$C$872,Table20[date_purchased],"&lt;"&amp;$E$872)</f>
        <v>0</v>
      </c>
      <c r="F989" s="4">
        <f>SUMIFS(Table20[realized_profit],Table20[Asset],Table41[[#This Row],[Asset Name]],Table20[Bullish or Bearish],"Bearish",Table20[date_purchased],"&gt;"&amp;$C$872,Table20[date_purchased],"&lt;"&amp;$E$872)</f>
        <v>0</v>
      </c>
      <c r="G989" s="4">
        <f>SUMIFS(Table20[realized_profit],Table20[Asset],Table41[[#This Row],[Asset Name]],Table20[Strategy],"call",Table20[date_purchased],"&gt;"&amp;$C$872,Table20[date_purchased],"&lt;"&amp;$E$872)</f>
        <v>0</v>
      </c>
      <c r="H989" s="4">
        <f>SUMIFS(Table20[realized_profit],Table20[Asset],Table41[[#This Row],[Asset Name]],Table20[Strategy],"put",Table20[date_purchased],"&gt;"&amp;$C$872,Table20[date_purchased],"&lt;"&amp;$E$872)</f>
        <v>0</v>
      </c>
      <c r="I989" s="4">
        <f>SUMIFS(Table20[realized_profit],Table20[Asset],Table41[[#This Row],[Asset Name]],Table20[Strategy],"calendar spread",Table20[date_purchased],"&gt;"&amp;$C$872,Table20[date_purchased],"&lt;"&amp;$E$872)</f>
        <v>0</v>
      </c>
      <c r="J989" s="4">
        <f>SUMIFS(Table20[realized_profit],Table20[Asset],Table41[[#This Row],[Asset Name]],Table20[Strategy],"put calendar spread",Table20[date_purchased],"&gt;"&amp;$C$872,Table20[date_purchased],"&lt;"&amp;$E$872)</f>
        <v>0</v>
      </c>
      <c r="K989" s="4">
        <f>SUMIFS(Table20[realized_profit],Table20[Asset],Table41[[#This Row],[Asset Name]],Table20[Strategy],"put spread",Table20[date_purchased],"&gt;"&amp;$C$872,Table20[date_purchased],"&lt;"&amp;$E$872)</f>
        <v>0</v>
      </c>
      <c r="L989" s="4">
        <f>SUMIFS(Table20[Invested],Table20[Asset],Table41[[#This Row],[Asset Name]],Table20[date_purchased],"&gt;"&amp;$C$872,Table20[date_purchased],"&lt;"&amp;$E$872)</f>
        <v>0</v>
      </c>
      <c r="M989" s="14">
        <f>IFERROR(Table41[[#This Row],[Within timeline]]/Table41[[#This Row],[Invested]],0)</f>
        <v>0</v>
      </c>
      <c r="N989" s="187">
        <v>100</v>
      </c>
      <c r="O989" s="179" cm="1">
        <f t="array" aca="1" ref="O989" ca="1">_FV(Table41[[#This Row],[Asset Name]],"Price")</f>
        <v>126.12</v>
      </c>
      <c r="P989" s="188">
        <v>140</v>
      </c>
      <c r="Q989" t="b">
        <f ca="1">IF(Table41[[#This Row],[Current Price]]&lt;Table41[[#This Row],[Put wall]]*1.02,TRUE,FALSE)</f>
        <v>0</v>
      </c>
      <c r="R989" t="b">
        <f ca="1">IF(Table41[[#This Row],[Current Price]]&gt;Table41[[#This Row],[Call wall]]*0.98,TRUE,FALSE)</f>
        <v>0</v>
      </c>
      <c r="S989" s="4">
        <f>SUMIF(Table20[Asset],Table41[[#This Row],[Asset Name]],Table20[delta_exposure])</f>
        <v>0</v>
      </c>
      <c r="T989" s="36" t="str" cm="1">
        <f t="array" aca="1" ref="T989" ca="1">_FV(Table41[[#This Row],[Asset Name]],"Instrument type",TRUE)</f>
        <v>Stock</v>
      </c>
      <c r="U989" s="183"/>
      <c r="V989" t="str">
        <f>VLOOKUP(Table41[[#This Row],[Asset Name]],Table19[#All],3,FALSE)</f>
        <v>Technology</v>
      </c>
      <c r="X989" s="194" t="str">
        <f>VLOOKUP(Table41[[#This Row],[Asset Name]],Table19[#All],4,FALSE)</f>
        <v>Software</v>
      </c>
      <c r="Y989" s="189" t="str">
        <f ca="1">IF(Table41[[#This Row],[Current Price]]&lt;Table41[[#This Row],[Put wall]]*1.02,"✅",IF(Table41[[#This Row],[Current Price]]&gt;Table41[[#This Row],[Call wall]]*0.98,"🔻",""))</f>
        <v/>
      </c>
      <c r="Z989" s="203">
        <f ca="1">Table41[[#This Row],[Current Price]]/Table41[[#This Row],[Put wall]]-1</f>
        <v>0.2612000000000001</v>
      </c>
      <c r="AA989" s="207">
        <f ca="1">Table41[[#This Row],[Current Price]]/Table41[[#This Row],[Call wall]]-1</f>
        <v>-9.9142857142857088E-2</v>
      </c>
    </row>
    <row r="990" spans="1:27" hidden="1">
      <c r="A990" s="194" t="e" vm="154">
        <v>#VALUE!</v>
      </c>
      <c r="B990" s="189" t="str" cm="1">
        <f t="array" aca="1" ref="B990" ca="1">_FV(Table41[[#This Row],[Asset Name]],"Ticker symbol",TRUE)</f>
        <v>B</v>
      </c>
      <c r="C990" s="4">
        <f>SUMIF(Table20[Asset],Table41[[#This Row],[Asset Name]],Table20[realized_profit])</f>
        <v>0</v>
      </c>
      <c r="D990" s="4">
        <f>SUMIFS(Table20[realized_profit],Table20[Asset],Table41[[#This Row],[Asset Name]],Table20[date_purchased],"&gt;"&amp;$C$872,Table20[date_purchased],"&lt;"&amp;$E$872)</f>
        <v>0</v>
      </c>
      <c r="E990" s="4">
        <f>SUMIFS(Table20[realized_profit],Table20[Asset],Table41[[#This Row],[Asset Name]],Table20[Bullish or Bearish],"Bullish",Table20[date_purchased],"&gt;"&amp;$C$872,Table20[date_purchased],"&lt;"&amp;$E$872)</f>
        <v>0</v>
      </c>
      <c r="F990" s="4">
        <f>SUMIFS(Table20[realized_profit],Table20[Asset],Table41[[#This Row],[Asset Name]],Table20[Bullish or Bearish],"Bearish",Table20[date_purchased],"&gt;"&amp;$C$872,Table20[date_purchased],"&lt;"&amp;$E$872)</f>
        <v>0</v>
      </c>
      <c r="G990" s="4">
        <f>SUMIFS(Table20[realized_profit],Table20[Asset],Table41[[#This Row],[Asset Name]],Table20[Strategy],"call",Table20[date_purchased],"&gt;"&amp;$C$872,Table20[date_purchased],"&lt;"&amp;$E$872)</f>
        <v>0</v>
      </c>
      <c r="H990" s="4">
        <f>SUMIFS(Table20[realized_profit],Table20[Asset],Table41[[#This Row],[Asset Name]],Table20[Strategy],"put",Table20[date_purchased],"&gt;"&amp;$C$872,Table20[date_purchased],"&lt;"&amp;$E$872)</f>
        <v>0</v>
      </c>
      <c r="I990" s="4">
        <f>SUMIFS(Table20[realized_profit],Table20[Asset],Table41[[#This Row],[Asset Name]],Table20[Strategy],"calendar spread",Table20[date_purchased],"&gt;"&amp;$C$872,Table20[date_purchased],"&lt;"&amp;$E$872)</f>
        <v>0</v>
      </c>
      <c r="J990" s="4">
        <f>SUMIFS(Table20[realized_profit],Table20[Asset],Table41[[#This Row],[Asset Name]],Table20[Strategy],"put calendar spread",Table20[date_purchased],"&gt;"&amp;$C$872,Table20[date_purchased],"&lt;"&amp;$E$872)</f>
        <v>0</v>
      </c>
      <c r="K990" s="4">
        <f>SUMIFS(Table20[realized_profit],Table20[Asset],Table41[[#This Row],[Asset Name]],Table20[Strategy],"put spread",Table20[date_purchased],"&gt;"&amp;$C$872,Table20[date_purchased],"&lt;"&amp;$E$872)</f>
        <v>0</v>
      </c>
      <c r="L990" s="4">
        <f>SUMIFS(Table20[Invested],Table20[Asset],Table41[[#This Row],[Asset Name]],Table20[date_purchased],"&gt;"&amp;$C$872,Table20[date_purchased],"&lt;"&amp;$E$872)</f>
        <v>0</v>
      </c>
      <c r="M990" s="14">
        <f>IFERROR(Table41[[#This Row],[Within timeline]]/Table41[[#This Row],[Invested]],0)</f>
        <v>0</v>
      </c>
      <c r="N990" s="187">
        <v>17</v>
      </c>
      <c r="O990" s="179" cm="1">
        <f t="array" aca="1" ref="O990" ca="1">_FV(Table41[[#This Row],[Asset Name]],"Price")</f>
        <v>39.325000000000003</v>
      </c>
      <c r="P990" s="188">
        <v>22</v>
      </c>
      <c r="Q990" t="b">
        <f ca="1">IF(Table41[[#This Row],[Current Price]]&lt;Table41[[#This Row],[Put wall]]*1.02,TRUE,FALSE)</f>
        <v>0</v>
      </c>
      <c r="R990" t="b">
        <f ca="1">IF(Table41[[#This Row],[Current Price]]&gt;Table41[[#This Row],[Call wall]]*0.98,TRUE,FALSE)</f>
        <v>1</v>
      </c>
      <c r="S990" s="4">
        <f>SUMIF(Table20[Asset],Table41[[#This Row],[Asset Name]],Table20[delta_exposure])</f>
        <v>0</v>
      </c>
      <c r="T990" s="36" t="str" cm="1">
        <f t="array" aca="1" ref="T990" ca="1">_FV(Table41[[#This Row],[Asset Name]],"Instrument type",TRUE)</f>
        <v>Stock</v>
      </c>
      <c r="U990" s="183"/>
      <c r="V990" t="str">
        <f>VLOOKUP(Table41[[#This Row],[Asset Name]],Table19[#All],3,FALSE)</f>
        <v>Gold and Silver</v>
      </c>
      <c r="X990" s="194" t="str">
        <f>VLOOKUP(Table41[[#This Row],[Asset Name]],Table19[#All],4,FALSE)</f>
        <v>Royalty</v>
      </c>
      <c r="Y990" s="189" t="str">
        <f ca="1">IF(Table41[[#This Row],[Current Price]]&lt;Table41[[#This Row],[Put wall]]*1.02,"✅",IF(Table41[[#This Row],[Current Price]]&gt;Table41[[#This Row],[Call wall]]*0.98,"🔻",""))</f>
        <v>🔻</v>
      </c>
      <c r="Z990" s="204"/>
      <c r="AA990" s="207">
        <f ca="1">Table41[[#This Row],[Current Price]]/Table41[[#This Row],[Call wall]]-1</f>
        <v>0.78750000000000009</v>
      </c>
    </row>
    <row r="991" spans="1:27" hidden="1">
      <c r="A991" s="194" t="e" vm="155">
        <v>#VALUE!</v>
      </c>
      <c r="B991" s="13" t="str" cm="1">
        <f t="array" aca="1" ref="B991" ca="1">_FV(Table41[[#This Row],[Asset Name]],"Ticker symbol",TRUE)</f>
        <v>STX</v>
      </c>
      <c r="C991" s="4">
        <f>SUMIF(Table20[Asset],Table41[[#This Row],[Asset Name]],Table20[realized_profit])</f>
        <v>0</v>
      </c>
      <c r="D991" s="4">
        <f>SUMIFS(Table20[realized_profit],Table20[Asset],Table41[[#This Row],[Asset Name]],Table20[date_purchased],"&gt;"&amp;$C$872,Table20[date_purchased],"&lt;"&amp;$E$872)</f>
        <v>0</v>
      </c>
      <c r="E991" s="4">
        <f>SUMIFS(Table20[realized_profit],Table20[Asset],Table41[[#This Row],[Asset Name]],Table20[Bullish or Bearish],"Bullish",Table20[date_purchased],"&gt;"&amp;$C$872,Table20[date_purchased],"&lt;"&amp;$E$872)</f>
        <v>0</v>
      </c>
      <c r="F991" s="4">
        <f>SUMIFS(Table20[realized_profit],Table20[Asset],Table41[[#This Row],[Asset Name]],Table20[Bullish or Bearish],"Bearish",Table20[date_purchased],"&gt;"&amp;$C$872,Table20[date_purchased],"&lt;"&amp;$E$872)</f>
        <v>0</v>
      </c>
      <c r="G991" s="4">
        <f>SUMIFS(Table20[realized_profit],Table20[Asset],Table41[[#This Row],[Asset Name]],Table20[Strategy],"call",Table20[date_purchased],"&gt;"&amp;$C$872,Table20[date_purchased],"&lt;"&amp;$E$872)</f>
        <v>0</v>
      </c>
      <c r="H991" s="4">
        <f>SUMIFS(Table20[realized_profit],Table20[Asset],Table41[[#This Row],[Asset Name]],Table20[Strategy],"put",Table20[date_purchased],"&gt;"&amp;$C$872,Table20[date_purchased],"&lt;"&amp;$E$872)</f>
        <v>0</v>
      </c>
      <c r="I991" s="4">
        <f>SUMIFS(Table20[realized_profit],Table20[Asset],Table41[[#This Row],[Asset Name]],Table20[Strategy],"calendar spread",Table20[date_purchased],"&gt;"&amp;$C$872,Table20[date_purchased],"&lt;"&amp;$E$872)</f>
        <v>0</v>
      </c>
      <c r="J991" s="4">
        <f>SUMIFS(Table20[realized_profit],Table20[Asset],Table41[[#This Row],[Asset Name]],Table20[Strategy],"put calendar spread",Table20[date_purchased],"&gt;"&amp;$C$872,Table20[date_purchased],"&lt;"&amp;$E$872)</f>
        <v>0</v>
      </c>
      <c r="K991" s="4">
        <f>SUMIFS(Table20[realized_profit],Table20[Asset],Table41[[#This Row],[Asset Name]],Table20[Strategy],"put spread",Table20[date_purchased],"&gt;"&amp;$C$872,Table20[date_purchased],"&lt;"&amp;$E$872)</f>
        <v>0</v>
      </c>
      <c r="L991" s="4">
        <f>SUMIFS(Table20[Invested],Table20[Asset],Table41[[#This Row],[Asset Name]],Table20[date_purchased],"&gt;"&amp;$C$872,Table20[date_purchased],"&lt;"&amp;$E$872)</f>
        <v>0</v>
      </c>
      <c r="M991" s="14">
        <f>IFERROR(Table41[[#This Row],[Within timeline]]/Table41[[#This Row],[Invested]],0)</f>
        <v>0</v>
      </c>
      <c r="N991" s="187">
        <v>100</v>
      </c>
      <c r="O991" s="179" cm="1">
        <f t="array" aca="1" ref="O991" ca="1">_FV(Table41[[#This Row],[Asset Name]],"Price")</f>
        <v>417.24</v>
      </c>
      <c r="P991" s="188">
        <v>110</v>
      </c>
      <c r="Q991" t="b">
        <f ca="1">IF(Table41[[#This Row],[Current Price]]&lt;Table41[[#This Row],[Put wall]]*1.02,TRUE,FALSE)</f>
        <v>0</v>
      </c>
      <c r="R991" t="b">
        <f ca="1">IF(Table41[[#This Row],[Current Price]]&gt;Table41[[#This Row],[Call wall]]*0.98,TRUE,FALSE)</f>
        <v>1</v>
      </c>
      <c r="S991" s="4">
        <f>SUMIF(Table20[Asset],Table41[[#This Row],[Asset Name]],Table20[delta_exposure])</f>
        <v>0</v>
      </c>
      <c r="T991" s="36" t="str" cm="1">
        <f t="array" aca="1" ref="T991" ca="1">_FV(Table41[[#This Row],[Asset Name]],"Instrument type",TRUE)</f>
        <v>Stock</v>
      </c>
      <c r="U991" s="183">
        <v>45589</v>
      </c>
      <c r="V991" t="str">
        <f>VLOOKUP(Table41[[#This Row],[Asset Name]],Table19[#All],3,FALSE)</f>
        <v>Data Storage</v>
      </c>
      <c r="X991" t="str">
        <f>VLOOKUP(Table41[[#This Row],[Asset Name]],Table19[#All],4,FALSE)</f>
        <v>Memory</v>
      </c>
      <c r="Y991" s="147" t="str">
        <f ca="1">IF(Table41[[#This Row],[Current Price]]&lt;Table41[[#This Row],[Put wall]]*1.02,"✅",IF(Table41[[#This Row],[Current Price]]&gt;Table41[[#This Row],[Call wall]]*0.98,"🔻",""))</f>
        <v>🔻</v>
      </c>
      <c r="Z991" s="203">
        <f ca="1">Table41[[#This Row],[Current Price]]/Table41[[#This Row],[Put wall]]-1</f>
        <v>3.1723999999999997</v>
      </c>
      <c r="AA991" s="206">
        <f ca="1">Table41[[#This Row],[Current Price]]/Table41[[#This Row],[Call wall]]-1</f>
        <v>2.7930909090909091</v>
      </c>
    </row>
    <row r="992" spans="1:27">
      <c r="A992" s="194" t="e" vm="80">
        <v>#VALUE!</v>
      </c>
      <c r="B992" s="13" t="str" cm="1">
        <f t="array" aca="1" ref="B992" ca="1">_FV(Table41[[#This Row],[Asset Name]],"Ticker symbol",TRUE)</f>
        <v>PYPL</v>
      </c>
      <c r="C992" s="4">
        <f>SUMIF(Table20[Asset],Table41[[#This Row],[Asset Name]],Table20[realized_profit])</f>
        <v>208.99999999999997</v>
      </c>
      <c r="D992" s="4">
        <f>SUMIFS(Table20[realized_profit],Table20[Asset],Table41[[#This Row],[Asset Name]],Table20[date_purchased],"&gt;"&amp;$C$872,Table20[date_purchased],"&lt;"&amp;$E$872)</f>
        <v>-41.999999999999993</v>
      </c>
      <c r="E992" s="4">
        <f>SUMIFS(Table20[realized_profit],Table20[Asset],Table41[[#This Row],[Asset Name]],Table20[Bullish or Bearish],"Bullish",Table20[date_purchased],"&gt;"&amp;$C$872,Table20[date_purchased],"&lt;"&amp;$E$872)</f>
        <v>0</v>
      </c>
      <c r="F992" s="4">
        <f>SUMIFS(Table20[realized_profit],Table20[Asset],Table41[[#This Row],[Asset Name]],Table20[Bullish or Bearish],"Bearish",Table20[date_purchased],"&gt;"&amp;$C$872,Table20[date_purchased],"&lt;"&amp;$E$872)</f>
        <v>-41.999999999999993</v>
      </c>
      <c r="G992" s="4">
        <f>SUMIFS(Table20[realized_profit],Table20[Asset],Table41[[#This Row],[Asset Name]],Table20[Strategy],"call",Table20[date_purchased],"&gt;"&amp;$C$872,Table20[date_purchased],"&lt;"&amp;$E$872)</f>
        <v>0</v>
      </c>
      <c r="H992" s="4">
        <f>SUMIFS(Table20[realized_profit],Table20[Asset],Table41[[#This Row],[Asset Name]],Table20[Strategy],"put",Table20[date_purchased],"&gt;"&amp;$C$872,Table20[date_purchased],"&lt;"&amp;$E$872)</f>
        <v>-41.999999999999993</v>
      </c>
      <c r="I992" s="4">
        <f>SUMIFS(Table20[realized_profit],Table20[Asset],Table41[[#This Row],[Asset Name]],Table20[Strategy],"calendar spread",Table20[date_purchased],"&gt;"&amp;$C$872,Table20[date_purchased],"&lt;"&amp;$E$872)</f>
        <v>0</v>
      </c>
      <c r="J992" s="4">
        <f>SUMIFS(Table20[realized_profit],Table20[Asset],Table41[[#This Row],[Asset Name]],Table20[Strategy],"put calendar spread",Table20[date_purchased],"&gt;"&amp;$C$872,Table20[date_purchased],"&lt;"&amp;$E$872)</f>
        <v>0</v>
      </c>
      <c r="K992" s="4">
        <f>SUMIFS(Table20[realized_profit],Table20[Asset],Table41[[#This Row],[Asset Name]],Table20[Strategy],"put spread",Table20[date_purchased],"&gt;"&amp;$C$872,Table20[date_purchased],"&lt;"&amp;$E$872)</f>
        <v>0</v>
      </c>
      <c r="L992" s="4">
        <f>SUMIFS(Table20[Invested],Table20[Asset],Table41[[#This Row],[Asset Name]],Table20[date_purchased],"&gt;"&amp;$C$872,Table20[date_purchased],"&lt;"&amp;$E$872)</f>
        <v>110.99999999999999</v>
      </c>
      <c r="M992" s="14">
        <f>IFERROR(Table41[[#This Row],[Within timeline]]/Table41[[#This Row],[Invested]],0)</f>
        <v>-0.37837837837837834</v>
      </c>
      <c r="N992" s="187">
        <v>78</v>
      </c>
      <c r="O992" s="9" cm="1">
        <f t="array" aca="1" ref="O992" ca="1">_FV(Table41[[#This Row],[Asset Name]],"Price")</f>
        <v>45.11</v>
      </c>
      <c r="P992" s="188">
        <v>80</v>
      </c>
      <c r="Q992" t="b">
        <f ca="1">IF(Table41[[#This Row],[Current Price]]&lt;Table41[[#This Row],[Put wall]]*1.02,TRUE,FALSE)</f>
        <v>1</v>
      </c>
      <c r="R992" t="b">
        <f ca="1">IF(Table41[[#This Row],[Current Price]]&gt;Table41[[#This Row],[Call wall]]*0.98,TRUE,FALSE)</f>
        <v>0</v>
      </c>
      <c r="S992" s="4">
        <f ca="1">SUMIF(Table20[Asset],Table41[[#This Row],[Asset Name]],Table20[delta_exposure])</f>
        <v>0</v>
      </c>
      <c r="T992" s="36" t="str" cm="1">
        <f t="array" aca="1" ref="T992" ca="1">_FV(Table41[[#This Row],[Asset Name]],"Instrument type",TRUE)</f>
        <v>Stock</v>
      </c>
      <c r="U992" s="183">
        <v>45594</v>
      </c>
      <c r="V992" t="str">
        <f>VLOOKUP(Table41[[#This Row],[Asset Name]],Table19[#All],3,FALSE)</f>
        <v>Financials</v>
      </c>
      <c r="X992" t="str">
        <f>VLOOKUP(Table41[[#This Row],[Asset Name]],Table19[#All],4,FALSE)</f>
        <v>Payments</v>
      </c>
      <c r="Y992" s="147" t="str">
        <f ca="1">IF(Table41[[#This Row],[Current Price]]&lt;Table41[[#This Row],[Put wall]]*1.02,"✅",IF(Table41[[#This Row],[Current Price]]&gt;Table41[[#This Row],[Call wall]]*0.98,"🔻",""))</f>
        <v>✅</v>
      </c>
      <c r="Z992" s="203">
        <f ca="1">Table41[[#This Row],[Current Price]]/Table41[[#This Row],[Put wall]]-1</f>
        <v>-0.42166666666666663</v>
      </c>
      <c r="AA992" s="206">
        <f ca="1">Table41[[#This Row],[Current Price]]/Table41[[#This Row],[Call wall]]-1</f>
        <v>-0.43612499999999998</v>
      </c>
    </row>
    <row r="993" spans="1:27">
      <c r="A993" s="194" t="e" vm="156">
        <v>#VALUE!</v>
      </c>
      <c r="B993" s="189" t="str" cm="1">
        <f t="array" aca="1" ref="B993" ca="1">_FV(Table41[[#This Row],[Asset Name]],"Ticker symbol",TRUE)</f>
        <v>FROG</v>
      </c>
      <c r="C993" s="4">
        <f>SUMIF(Table20[Asset],Table41[[#This Row],[Asset Name]],Table20[realized_profit])</f>
        <v>19.999999999999996</v>
      </c>
      <c r="D993" s="4">
        <f>SUMIFS(Table20[realized_profit],Table20[Asset],Table41[[#This Row],[Asset Name]],Table20[date_purchased],"&gt;"&amp;$C$872,Table20[date_purchased],"&lt;"&amp;$E$872)</f>
        <v>-30.000000000000004</v>
      </c>
      <c r="E993" s="4">
        <f>SUMIFS(Table20[realized_profit],Table20[Asset],Table41[[#This Row],[Asset Name]],Table20[Bullish or Bearish],"Bullish",Table20[date_purchased],"&gt;"&amp;$C$872,Table20[date_purchased],"&lt;"&amp;$E$872)</f>
        <v>0</v>
      </c>
      <c r="F993" s="4">
        <f>SUMIFS(Table20[realized_profit],Table20[Asset],Table41[[#This Row],[Asset Name]],Table20[Bullish or Bearish],"Bearish",Table20[date_purchased],"&gt;"&amp;$C$872,Table20[date_purchased],"&lt;"&amp;$E$872)</f>
        <v>-30.000000000000004</v>
      </c>
      <c r="G993" s="4">
        <f>SUMIFS(Table20[realized_profit],Table20[Asset],Table41[[#This Row],[Asset Name]],Table20[Strategy],"call",Table20[date_purchased],"&gt;"&amp;$C$872,Table20[date_purchased],"&lt;"&amp;$E$872)</f>
        <v>0</v>
      </c>
      <c r="H993" s="4">
        <f>SUMIFS(Table20[realized_profit],Table20[Asset],Table41[[#This Row],[Asset Name]],Table20[Strategy],"put",Table20[date_purchased],"&gt;"&amp;$C$872,Table20[date_purchased],"&lt;"&amp;$E$872)</f>
        <v>-30.000000000000004</v>
      </c>
      <c r="I993" s="4">
        <f>SUMIFS(Table20[realized_profit],Table20[Asset],Table41[[#This Row],[Asset Name]],Table20[Strategy],"calendar spread",Table20[date_purchased],"&gt;"&amp;$C$872,Table20[date_purchased],"&lt;"&amp;$E$872)</f>
        <v>0</v>
      </c>
      <c r="J993" s="4">
        <f>SUMIFS(Table20[realized_profit],Table20[Asset],Table41[[#This Row],[Asset Name]],Table20[Strategy],"put calendar spread",Table20[date_purchased],"&gt;"&amp;$C$872,Table20[date_purchased],"&lt;"&amp;$E$872)</f>
        <v>0</v>
      </c>
      <c r="K993" s="4">
        <f>SUMIFS(Table20[realized_profit],Table20[Asset],Table41[[#This Row],[Asset Name]],Table20[Strategy],"put spread",Table20[date_purchased],"&gt;"&amp;$C$872,Table20[date_purchased],"&lt;"&amp;$E$872)</f>
        <v>0</v>
      </c>
      <c r="L993" s="4">
        <f>SUMIFS(Table20[Invested],Table20[Asset],Table41[[#This Row],[Asset Name]],Table20[date_purchased],"&gt;"&amp;$C$872,Table20[date_purchased],"&lt;"&amp;$E$872)</f>
        <v>200</v>
      </c>
      <c r="M993" s="14">
        <f>IFERROR(Table41[[#This Row],[Within timeline]]/Table41[[#This Row],[Invested]],0)</f>
        <v>-0.15000000000000002</v>
      </c>
      <c r="N993" s="187">
        <v>22.5</v>
      </c>
      <c r="O993" s="179" cm="1">
        <f t="array" aca="1" ref="O993" ca="1">_FV(Table41[[#This Row],[Asset Name]],"Price")</f>
        <v>47.490099999999998</v>
      </c>
      <c r="P993" s="188">
        <v>32.5</v>
      </c>
      <c r="Q993" t="b">
        <f ca="1">IF(Table41[[#This Row],[Current Price]]&lt;Table41[[#This Row],[Put wall]]*1.02,TRUE,FALSE)</f>
        <v>0</v>
      </c>
      <c r="R993" t="b">
        <f ca="1">IF(Table41[[#This Row],[Current Price]]&gt;Table41[[#This Row],[Call wall]]*0.98,TRUE,FALSE)</f>
        <v>1</v>
      </c>
      <c r="S993" s="4">
        <f ca="1">SUMIF(Table20[Asset],Table41[[#This Row],[Asset Name]],Table20[delta_exposure])</f>
        <v>0</v>
      </c>
      <c r="T993" s="36" t="str" cm="1">
        <f t="array" aca="1" ref="T993" ca="1">_FV(Table41[[#This Row],[Asset Name]],"Instrument type",TRUE)</f>
        <v>Stock</v>
      </c>
      <c r="U993" s="183"/>
      <c r="V993" t="str">
        <f>VLOOKUP(Table41[[#This Row],[Asset Name]],Table19[#All],3,FALSE)</f>
        <v>Technology</v>
      </c>
      <c r="X993" s="194" t="str">
        <f>VLOOKUP(Table41[[#This Row],[Asset Name]],Table19[#All],4,FALSE)</f>
        <v>Software</v>
      </c>
      <c r="Y993" s="189" t="str">
        <f ca="1">IF(Table41[[#This Row],[Current Price]]&lt;Table41[[#This Row],[Put wall]]*1.02,"✅",IF(Table41[[#This Row],[Current Price]]&gt;Table41[[#This Row],[Call wall]]*0.98,"🔻",""))</f>
        <v>🔻</v>
      </c>
      <c r="Z993" s="203">
        <f ca="1">Table41[[#This Row],[Current Price]]/Table41[[#This Row],[Put wall]]-1</f>
        <v>1.1106711111111109</v>
      </c>
      <c r="AA993" s="207">
        <f ca="1">Table41[[#This Row],[Current Price]]/Table41[[#This Row],[Call wall]]-1</f>
        <v>0.46123384615384611</v>
      </c>
    </row>
    <row r="994" spans="1:27" hidden="1">
      <c r="A994" s="194" t="e" vm="47">
        <v>#VALUE!</v>
      </c>
      <c r="B994" s="189" t="str" cm="1">
        <f t="array" aca="1" ref="B994" ca="1">_FV(Table41[[#This Row],[Asset Name]],"Ticker symbol",TRUE)</f>
        <v>CCJ</v>
      </c>
      <c r="C994" s="4">
        <f>SUMIF(Table20[Asset],Table41[[#This Row],[Asset Name]],Table20[realized_profit])</f>
        <v>0</v>
      </c>
      <c r="D994" s="4">
        <f>SUMIFS(Table20[realized_profit],Table20[Asset],Table41[[#This Row],[Asset Name]],Table20[date_purchased],"&gt;"&amp;$C$872,Table20[date_purchased],"&lt;"&amp;$E$872)</f>
        <v>0</v>
      </c>
      <c r="E994" s="4">
        <f>SUMIFS(Table20[realized_profit],Table20[Asset],Table41[[#This Row],[Asset Name]],Table20[Bullish or Bearish],"Bullish",Table20[date_purchased],"&gt;"&amp;$C$872,Table20[date_purchased],"&lt;"&amp;$E$872)</f>
        <v>0</v>
      </c>
      <c r="F994" s="4">
        <f>SUMIFS(Table20[realized_profit],Table20[Asset],Table41[[#This Row],[Asset Name]],Table20[Bullish or Bearish],"Bearish",Table20[date_purchased],"&gt;"&amp;$C$872,Table20[date_purchased],"&lt;"&amp;$E$872)</f>
        <v>0</v>
      </c>
      <c r="G994" s="4">
        <f>SUMIFS(Table20[realized_profit],Table20[Asset],Table41[[#This Row],[Asset Name]],Table20[Strategy],"call",Table20[date_purchased],"&gt;"&amp;$C$872,Table20[date_purchased],"&lt;"&amp;$E$872)</f>
        <v>0</v>
      </c>
      <c r="H994" s="4">
        <f>SUMIFS(Table20[realized_profit],Table20[Asset],Table41[[#This Row],[Asset Name]],Table20[Strategy],"put",Table20[date_purchased],"&gt;"&amp;$C$872,Table20[date_purchased],"&lt;"&amp;$E$872)</f>
        <v>0</v>
      </c>
      <c r="I994" s="4">
        <f>SUMIFS(Table20[realized_profit],Table20[Asset],Table41[[#This Row],[Asset Name]],Table20[Strategy],"calendar spread",Table20[date_purchased],"&gt;"&amp;$C$872,Table20[date_purchased],"&lt;"&amp;$E$872)</f>
        <v>0</v>
      </c>
      <c r="J994" s="4">
        <f>SUMIFS(Table20[realized_profit],Table20[Asset],Table41[[#This Row],[Asset Name]],Table20[Strategy],"put calendar spread",Table20[date_purchased],"&gt;"&amp;$C$872,Table20[date_purchased],"&lt;"&amp;$E$872)</f>
        <v>0</v>
      </c>
      <c r="K994" s="4">
        <f>SUMIFS(Table20[realized_profit],Table20[Asset],Table41[[#This Row],[Asset Name]],Table20[Strategy],"put spread",Table20[date_purchased],"&gt;"&amp;$C$872,Table20[date_purchased],"&lt;"&amp;$E$872)</f>
        <v>0</v>
      </c>
      <c r="L994" s="4">
        <f>SUMIFS(Table20[Invested],Table20[Asset],Table41[[#This Row],[Asset Name]],Table20[date_purchased],"&gt;"&amp;$C$872,Table20[date_purchased],"&lt;"&amp;$E$872)</f>
        <v>0</v>
      </c>
      <c r="M994" s="14">
        <f>IFERROR(Table41[[#This Row],[Within timeline]]/Table41[[#This Row],[Invested]],0)</f>
        <v>0</v>
      </c>
      <c r="N994" s="187">
        <v>46</v>
      </c>
      <c r="O994" s="179" cm="1">
        <f t="array" aca="1" ref="O994" ca="1">_FV(Table41[[#This Row],[Asset Name]],"Price")</f>
        <v>110.85</v>
      </c>
      <c r="P994" s="188">
        <v>60</v>
      </c>
      <c r="Q994" t="b">
        <f ca="1">IF(Table41[[#This Row],[Current Price]]&lt;Table41[[#This Row],[Put wall]]*1.02,TRUE,FALSE)</f>
        <v>0</v>
      </c>
      <c r="R994" t="b">
        <f ca="1">IF(Table41[[#This Row],[Current Price]]&gt;Table41[[#This Row],[Call wall]]*0.98,TRUE,FALSE)</f>
        <v>1</v>
      </c>
      <c r="S994" s="4">
        <f>SUMIF(Table20[Asset],Table41[[#This Row],[Asset Name]],Table20[delta_exposure])</f>
        <v>0</v>
      </c>
      <c r="T994" s="36" t="str" cm="1">
        <f t="array" aca="1" ref="T994" ca="1">_FV(Table41[[#This Row],[Asset Name]],"Instrument type",TRUE)</f>
        <v>Stock</v>
      </c>
      <c r="U994" s="183">
        <v>45603</v>
      </c>
      <c r="V994" t="str">
        <f>VLOOKUP(Table41[[#This Row],[Asset Name]],Table19[#All],3,FALSE)</f>
        <v>Nuclear</v>
      </c>
      <c r="X994" s="194" t="str">
        <f>VLOOKUP(Table41[[#This Row],[Asset Name]],Table19[#All],4,FALSE)</f>
        <v>Nuclear</v>
      </c>
      <c r="Y994" s="189" t="str">
        <f ca="1">IF(Table41[[#This Row],[Current Price]]&lt;Table41[[#This Row],[Put wall]]*1.02,"✅",IF(Table41[[#This Row],[Current Price]]&gt;Table41[[#This Row],[Call wall]]*0.98,"🔻",""))</f>
        <v>🔻</v>
      </c>
      <c r="Z994" s="203">
        <f ca="1">Table41[[#This Row],[Current Price]]/Table41[[#This Row],[Put wall]]-1</f>
        <v>1.409782608695652</v>
      </c>
      <c r="AA994" s="207">
        <f ca="1">Table41[[#This Row],[Current Price]]/Table41[[#This Row],[Call wall]]-1</f>
        <v>0.84749999999999992</v>
      </c>
    </row>
    <row r="995" spans="1:27" hidden="1">
      <c r="A995" s="194" t="e" vm="60">
        <v>#VALUE!</v>
      </c>
      <c r="B995" s="13" t="str" cm="1">
        <f t="array" aca="1" ref="B995" ca="1">_FV(Table41[[#This Row],[Asset Name]],"Ticker symbol",TRUE)</f>
        <v>XOM</v>
      </c>
      <c r="C995" s="4">
        <f>SUMIF(Table20[Asset],Table41[[#This Row],[Asset Name]],Table20[realized_profit])</f>
        <v>0</v>
      </c>
      <c r="D995" s="4">
        <f>SUMIFS(Table20[realized_profit],Table20[Asset],Table41[[#This Row],[Asset Name]],Table20[date_purchased],"&gt;"&amp;$C$872,Table20[date_purchased],"&lt;"&amp;$E$872)</f>
        <v>0</v>
      </c>
      <c r="E995" s="4">
        <f>SUMIFS(Table20[realized_profit],Table20[Asset],Table41[[#This Row],[Asset Name]],Table20[Bullish or Bearish],"Bullish",Table20[date_purchased],"&gt;"&amp;$C$872,Table20[date_purchased],"&lt;"&amp;$E$872)</f>
        <v>0</v>
      </c>
      <c r="F995" s="4">
        <f>SUMIFS(Table20[realized_profit],Table20[Asset],Table41[[#This Row],[Asset Name]],Table20[Bullish or Bearish],"Bearish",Table20[date_purchased],"&gt;"&amp;$C$872,Table20[date_purchased],"&lt;"&amp;$E$872)</f>
        <v>0</v>
      </c>
      <c r="G995" s="4">
        <f>SUMIFS(Table20[realized_profit],Table20[Asset],Table41[[#This Row],[Asset Name]],Table20[Strategy],"call",Table20[date_purchased],"&gt;"&amp;$C$872,Table20[date_purchased],"&lt;"&amp;$E$872)</f>
        <v>0</v>
      </c>
      <c r="H995" s="4">
        <f>SUMIFS(Table20[realized_profit],Table20[Asset],Table41[[#This Row],[Asset Name]],Table20[Strategy],"put",Table20[date_purchased],"&gt;"&amp;$C$872,Table20[date_purchased],"&lt;"&amp;$E$872)</f>
        <v>0</v>
      </c>
      <c r="I995" s="4">
        <f>SUMIFS(Table20[realized_profit],Table20[Asset],Table41[[#This Row],[Asset Name]],Table20[Strategy],"calendar spread",Table20[date_purchased],"&gt;"&amp;$C$872,Table20[date_purchased],"&lt;"&amp;$E$872)</f>
        <v>0</v>
      </c>
      <c r="J995" s="4">
        <f>SUMIFS(Table20[realized_profit],Table20[Asset],Table41[[#This Row],[Asset Name]],Table20[Strategy],"put calendar spread",Table20[date_purchased],"&gt;"&amp;$C$872,Table20[date_purchased],"&lt;"&amp;$E$872)</f>
        <v>0</v>
      </c>
      <c r="K995" s="4">
        <f>SUMIFS(Table20[realized_profit],Table20[Asset],Table41[[#This Row],[Asset Name]],Table20[Strategy],"put spread",Table20[date_purchased],"&gt;"&amp;$C$872,Table20[date_purchased],"&lt;"&amp;$E$872)</f>
        <v>0</v>
      </c>
      <c r="L995" s="4">
        <f>SUMIFS(Table20[Invested],Table20[Asset],Table41[[#This Row],[Asset Name]],Table20[date_purchased],"&gt;"&amp;$C$872,Table20[date_purchased],"&lt;"&amp;$E$872)</f>
        <v>0</v>
      </c>
      <c r="M995" s="14">
        <f>IFERROR(Table41[[#This Row],[Within timeline]]/Table41[[#This Row],[Invested]],0)</f>
        <v>0</v>
      </c>
      <c r="N995" s="187">
        <v>110</v>
      </c>
      <c r="O995" s="179" cm="1">
        <f t="array" aca="1" ref="O995" ca="1">_FV(Table41[[#This Row],[Asset Name]],"Price")</f>
        <v>163.71</v>
      </c>
      <c r="P995" s="188">
        <v>130</v>
      </c>
      <c r="Q995" t="b">
        <f ca="1">IF(Table41[[#This Row],[Current Price]]&lt;Table41[[#This Row],[Put wall]]*1.02,TRUE,FALSE)</f>
        <v>0</v>
      </c>
      <c r="R995" t="b">
        <f ca="1">IF(Table41[[#This Row],[Current Price]]&gt;Table41[[#This Row],[Call wall]]*0.98,TRUE,FALSE)</f>
        <v>1</v>
      </c>
      <c r="S995" s="4">
        <f>SUMIF(Table20[Asset],Table41[[#This Row],[Asset Name]],Table20[delta_exposure])</f>
        <v>0</v>
      </c>
      <c r="T995" s="36" t="str" cm="1">
        <f t="array" aca="1" ref="T995" ca="1">_FV(Table41[[#This Row],[Asset Name]],"Instrument type",TRUE)</f>
        <v>Stock</v>
      </c>
      <c r="U995" s="183">
        <v>45590</v>
      </c>
      <c r="V995" t="str">
        <f>VLOOKUP(Table41[[#This Row],[Asset Name]],Table19[#All],3,FALSE)</f>
        <v>Energy</v>
      </c>
      <c r="X995" t="str">
        <f>VLOOKUP(Table41[[#This Row],[Asset Name]],Table19[#All],4,FALSE)</f>
        <v>Energy</v>
      </c>
      <c r="Y995" s="147" t="str">
        <f ca="1">IF(Table41[[#This Row],[Current Price]]&lt;Table41[[#This Row],[Put wall]]*1.02,"✅",IF(Table41[[#This Row],[Current Price]]&gt;Table41[[#This Row],[Call wall]]*0.98,"🔻",""))</f>
        <v>🔻</v>
      </c>
      <c r="Z995" s="203">
        <f ca="1">Table41[[#This Row],[Current Price]]/Table41[[#This Row],[Put wall]]-1</f>
        <v>0.48827272727272741</v>
      </c>
      <c r="AA995" s="206">
        <f ca="1">Table41[[#This Row],[Current Price]]/Table41[[#This Row],[Call wall]]-1</f>
        <v>0.25930769230769246</v>
      </c>
    </row>
    <row r="996" spans="1:27" hidden="1">
      <c r="A996" s="194" t="e" vm="157">
        <v>#VALUE!</v>
      </c>
      <c r="B996" s="189" t="str" cm="1">
        <f t="array" aca="1" ref="B996" ca="1">_FV(Table41[[#This Row],[Asset Name]],"Ticker symbol",TRUE)</f>
        <v>HAL</v>
      </c>
      <c r="C996" s="4">
        <f>SUMIF(Table20[Asset],Table41[[#This Row],[Asset Name]],Table20[realized_profit])</f>
        <v>0</v>
      </c>
      <c r="D996" s="4">
        <f>SUMIFS(Table20[realized_profit],Table20[Asset],Table41[[#This Row],[Asset Name]],Table20[date_purchased],"&gt;"&amp;$C$872,Table20[date_purchased],"&lt;"&amp;$E$872)</f>
        <v>0</v>
      </c>
      <c r="E996" s="4">
        <f>SUMIFS(Table20[realized_profit],Table20[Asset],Table41[[#This Row],[Asset Name]],Table20[Bullish or Bearish],"Bullish",Table20[date_purchased],"&gt;"&amp;$C$872,Table20[date_purchased],"&lt;"&amp;$E$872)</f>
        <v>0</v>
      </c>
      <c r="F996" s="4">
        <f>SUMIFS(Table20[realized_profit],Table20[Asset],Table41[[#This Row],[Asset Name]],Table20[Bullish or Bearish],"Bearish",Table20[date_purchased],"&gt;"&amp;$C$872,Table20[date_purchased],"&lt;"&amp;$E$872)</f>
        <v>0</v>
      </c>
      <c r="G996" s="4">
        <f>SUMIFS(Table20[realized_profit],Table20[Asset],Table41[[#This Row],[Asset Name]],Table20[Strategy],"call",Table20[date_purchased],"&gt;"&amp;$C$872,Table20[date_purchased],"&lt;"&amp;$E$872)</f>
        <v>0</v>
      </c>
      <c r="H996" s="4">
        <f>SUMIFS(Table20[realized_profit],Table20[Asset],Table41[[#This Row],[Asset Name]],Table20[Strategy],"put",Table20[date_purchased],"&gt;"&amp;$C$872,Table20[date_purchased],"&lt;"&amp;$E$872)</f>
        <v>0</v>
      </c>
      <c r="I996" s="4">
        <f>SUMIFS(Table20[realized_profit],Table20[Asset],Table41[[#This Row],[Asset Name]],Table20[Strategy],"calendar spread",Table20[date_purchased],"&gt;"&amp;$C$872,Table20[date_purchased],"&lt;"&amp;$E$872)</f>
        <v>0</v>
      </c>
      <c r="J996" s="4">
        <f>SUMIFS(Table20[realized_profit],Table20[Asset],Table41[[#This Row],[Asset Name]],Table20[Strategy],"put calendar spread",Table20[date_purchased],"&gt;"&amp;$C$872,Table20[date_purchased],"&lt;"&amp;$E$872)</f>
        <v>0</v>
      </c>
      <c r="K996" s="4">
        <f>SUMIFS(Table20[realized_profit],Table20[Asset],Table41[[#This Row],[Asset Name]],Table20[Strategy],"put spread",Table20[date_purchased],"&gt;"&amp;$C$872,Table20[date_purchased],"&lt;"&amp;$E$872)</f>
        <v>0</v>
      </c>
      <c r="L996" s="4">
        <f>SUMIFS(Table20[Invested],Table20[Asset],Table41[[#This Row],[Asset Name]],Table20[date_purchased],"&gt;"&amp;$C$872,Table20[date_purchased],"&lt;"&amp;$E$872)</f>
        <v>0</v>
      </c>
      <c r="M996" s="14">
        <f>IFERROR(Table41[[#This Row],[Within timeline]]/Table41[[#This Row],[Invested]],0)</f>
        <v>0</v>
      </c>
      <c r="N996" s="187">
        <v>27</v>
      </c>
      <c r="O996" s="179" cm="1">
        <f t="array" aca="1" ref="O996" ca="1">_FV(Table41[[#This Row],[Asset Name]],"Price")</f>
        <v>38.590000000000003</v>
      </c>
      <c r="P996" s="188">
        <v>31</v>
      </c>
      <c r="Q996" t="b">
        <f ca="1">IF(Table41[[#This Row],[Current Price]]&lt;Table41[[#This Row],[Put wall]]*1.02,TRUE,FALSE)</f>
        <v>0</v>
      </c>
      <c r="R996" t="b">
        <f ca="1">IF(Table41[[#This Row],[Current Price]]&gt;Table41[[#This Row],[Call wall]]*0.98,TRUE,FALSE)</f>
        <v>1</v>
      </c>
      <c r="S996" s="4">
        <f>SUMIF(Table20[Asset],Table41[[#This Row],[Asset Name]],Table20[delta_exposure])</f>
        <v>0</v>
      </c>
      <c r="T996" s="36" t="str" cm="1">
        <f t="array" aca="1" ref="T996" ca="1">_FV(Table41[[#This Row],[Asset Name]],"Instrument type",TRUE)</f>
        <v>Stock</v>
      </c>
      <c r="U996" s="183">
        <v>45603</v>
      </c>
      <c r="V996" t="str">
        <f>VLOOKUP(Table41[[#This Row],[Asset Name]],Table19[#All],3,FALSE)</f>
        <v>Energy</v>
      </c>
      <c r="X996" t="str">
        <f>VLOOKUP(Table41[[#This Row],[Asset Name]],Table19[#All],4,FALSE)</f>
        <v>Energy</v>
      </c>
      <c r="Y996" s="147" t="str">
        <f ca="1">IF(Table41[[#This Row],[Current Price]]&lt;Table41[[#This Row],[Put wall]]*1.02,"✅",IF(Table41[[#This Row],[Current Price]]&gt;Table41[[#This Row],[Call wall]]*0.98,"🔻",""))</f>
        <v>🔻</v>
      </c>
      <c r="Z996" s="203">
        <f ca="1">Table41[[#This Row],[Current Price]]/Table41[[#This Row],[Put wall]]-1</f>
        <v>0.42925925925925945</v>
      </c>
      <c r="AA996" s="206">
        <f ca="1">Table41[[#This Row],[Current Price]]/Table41[[#This Row],[Call wall]]-1</f>
        <v>0.24483870967741939</v>
      </c>
    </row>
    <row r="997" spans="1:27" hidden="1">
      <c r="A997" s="194" t="e" vm="21">
        <v>#VALUE!</v>
      </c>
      <c r="B997" s="13" t="str" cm="1">
        <f t="array" aca="1" ref="B997" ca="1">_FV(Table41[[#This Row],[Asset Name]],"Ticker symbol",TRUE)</f>
        <v>INTC</v>
      </c>
      <c r="C997" s="4">
        <f>SUMIF(Table20[Asset],Table41[[#This Row],[Asset Name]],Table20[realized_profit])</f>
        <v>4779</v>
      </c>
      <c r="D997" s="4">
        <f>SUMIFS(Table20[realized_profit],Table20[Asset],Table41[[#This Row],[Asset Name]],Table20[date_purchased],"&gt;"&amp;$C$872,Table20[date_purchased],"&lt;"&amp;$E$872)</f>
        <v>0</v>
      </c>
      <c r="E997" s="4">
        <f>SUMIFS(Table20[realized_profit],Table20[Asset],Table41[[#This Row],[Asset Name]],Table20[Bullish or Bearish],"Bullish",Table20[date_purchased],"&gt;"&amp;$C$872,Table20[date_purchased],"&lt;"&amp;$E$872)</f>
        <v>0</v>
      </c>
      <c r="F997" s="4">
        <f>SUMIFS(Table20[realized_profit],Table20[Asset],Table41[[#This Row],[Asset Name]],Table20[Bullish or Bearish],"Bearish",Table20[date_purchased],"&gt;"&amp;$C$872,Table20[date_purchased],"&lt;"&amp;$E$872)</f>
        <v>0</v>
      </c>
      <c r="G997" s="4">
        <f>SUMIFS(Table20[realized_profit],Table20[Asset],Table41[[#This Row],[Asset Name]],Table20[Strategy],"call",Table20[date_purchased],"&gt;"&amp;$C$872,Table20[date_purchased],"&lt;"&amp;$E$872)</f>
        <v>0</v>
      </c>
      <c r="H997" s="4">
        <f>SUMIFS(Table20[realized_profit],Table20[Asset],Table41[[#This Row],[Asset Name]],Table20[Strategy],"put",Table20[date_purchased],"&gt;"&amp;$C$872,Table20[date_purchased],"&lt;"&amp;$E$872)</f>
        <v>0</v>
      </c>
      <c r="I997" s="4">
        <f>SUMIFS(Table20[realized_profit],Table20[Asset],Table41[[#This Row],[Asset Name]],Table20[Strategy],"calendar spread",Table20[date_purchased],"&gt;"&amp;$C$872,Table20[date_purchased],"&lt;"&amp;$E$872)</f>
        <v>0</v>
      </c>
      <c r="J997" s="4">
        <f>SUMIFS(Table20[realized_profit],Table20[Asset],Table41[[#This Row],[Asset Name]],Table20[Strategy],"put calendar spread",Table20[date_purchased],"&gt;"&amp;$C$872,Table20[date_purchased],"&lt;"&amp;$E$872)</f>
        <v>0</v>
      </c>
      <c r="K997" s="4">
        <f>SUMIFS(Table20[realized_profit],Table20[Asset],Table41[[#This Row],[Asset Name]],Table20[Strategy],"put spread",Table20[date_purchased],"&gt;"&amp;$C$872,Table20[date_purchased],"&lt;"&amp;$E$872)</f>
        <v>0</v>
      </c>
      <c r="L997" s="4">
        <f>SUMIFS(Table20[Invested],Table20[Asset],Table41[[#This Row],[Asset Name]],Table20[date_purchased],"&gt;"&amp;$C$872,Table20[date_purchased],"&lt;"&amp;$E$872)</f>
        <v>0</v>
      </c>
      <c r="M997" s="14">
        <f>IFERROR(Table41[[#This Row],[Within timeline]]/Table41[[#This Row],[Invested]],0)</f>
        <v>0</v>
      </c>
      <c r="N997" s="187">
        <v>20</v>
      </c>
      <c r="O997" s="179" cm="1">
        <f t="array" aca="1" ref="O997" ca="1">_FV(Table41[[#This Row],[Asset Name]],"Price")</f>
        <v>47.290100000000002</v>
      </c>
      <c r="P997" s="188">
        <v>25</v>
      </c>
      <c r="Q997" t="b">
        <f ca="1">IF(Table41[[#This Row],[Current Price]]&lt;Table41[[#This Row],[Put wall]]*1.02,TRUE,FALSE)</f>
        <v>0</v>
      </c>
      <c r="R997" t="b">
        <f ca="1">IF(Table41[[#This Row],[Current Price]]&gt;Table41[[#This Row],[Call wall]]*0.98,TRUE,FALSE)</f>
        <v>1</v>
      </c>
      <c r="S997" s="4">
        <f ca="1">SUMIF(Table20[Asset],Table41[[#This Row],[Asset Name]],Table20[delta_exposure])</f>
        <v>7135.6591797425681</v>
      </c>
      <c r="T997" s="36" t="str" cm="1">
        <f t="array" aca="1" ref="T997" ca="1">_FV(Table41[[#This Row],[Asset Name]],"Instrument type",TRUE)</f>
        <v>Stock</v>
      </c>
      <c r="U997" s="183">
        <v>45589</v>
      </c>
      <c r="V997" t="str">
        <f>VLOOKUP(Table41[[#This Row],[Asset Name]],Table19[#All],3,FALSE)</f>
        <v>AI</v>
      </c>
      <c r="X997" t="str">
        <f>VLOOKUP(Table41[[#This Row],[Asset Name]],Table19[#All],4,FALSE)</f>
        <v>Semiconductor</v>
      </c>
      <c r="Y997" s="147" t="str">
        <f ca="1">IF(Table41[[#This Row],[Current Price]]&lt;Table41[[#This Row],[Put wall]]*1.02,"✅",IF(Table41[[#This Row],[Current Price]]&gt;Table41[[#This Row],[Call wall]]*0.98,"🔻",""))</f>
        <v>🔻</v>
      </c>
      <c r="Z997" s="203">
        <f ca="1">Table41[[#This Row],[Current Price]]/Table41[[#This Row],[Put wall]]-1</f>
        <v>1.3645050000000003</v>
      </c>
      <c r="AA997" s="206">
        <f ca="1">Table41[[#This Row],[Current Price]]/Table41[[#This Row],[Call wall]]-1</f>
        <v>0.89160400000000006</v>
      </c>
    </row>
    <row r="998" spans="1:27" hidden="1">
      <c r="A998" s="194" t="e" vm="158">
        <v>#VALUE!</v>
      </c>
      <c r="B998" s="13" t="str" cm="1">
        <f t="array" aca="1" ref="B998" ca="1">_FV(Table41[[#This Row],[Asset Name]],"Ticker symbol",TRUE)</f>
        <v>COPX</v>
      </c>
      <c r="C998" s="4">
        <f>SUMIF(Table20[Asset],Table41[[#This Row],[Asset Name]],Table20[realized_profit])</f>
        <v>0</v>
      </c>
      <c r="D998" s="4">
        <f>SUMIFS(Table20[realized_profit],Table20[Asset],Table41[[#This Row],[Asset Name]],Table20[date_purchased],"&gt;"&amp;$C$872,Table20[date_purchased],"&lt;"&amp;$E$872)</f>
        <v>0</v>
      </c>
      <c r="E998" s="4">
        <f>SUMIFS(Table20[realized_profit],Table20[Asset],Table41[[#This Row],[Asset Name]],Table20[Bullish or Bearish],"Bullish",Table20[date_purchased],"&gt;"&amp;$C$872,Table20[date_purchased],"&lt;"&amp;$E$872)</f>
        <v>0</v>
      </c>
      <c r="F998" s="4">
        <f>SUMIFS(Table20[realized_profit],Table20[Asset],Table41[[#This Row],[Asset Name]],Table20[Bullish or Bearish],"Bearish",Table20[date_purchased],"&gt;"&amp;$C$872,Table20[date_purchased],"&lt;"&amp;$E$872)</f>
        <v>0</v>
      </c>
      <c r="G998" s="4">
        <f>SUMIFS(Table20[realized_profit],Table20[Asset],Table41[[#This Row],[Asset Name]],Table20[Strategy],"call",Table20[date_purchased],"&gt;"&amp;$C$872,Table20[date_purchased],"&lt;"&amp;$E$872)</f>
        <v>0</v>
      </c>
      <c r="H998" s="4">
        <f>SUMIFS(Table20[realized_profit],Table20[Asset],Table41[[#This Row],[Asset Name]],Table20[Strategy],"put",Table20[date_purchased],"&gt;"&amp;$C$872,Table20[date_purchased],"&lt;"&amp;$E$872)</f>
        <v>0</v>
      </c>
      <c r="I998" s="4">
        <f>SUMIFS(Table20[realized_profit],Table20[Asset],Table41[[#This Row],[Asset Name]],Table20[Strategy],"calendar spread",Table20[date_purchased],"&gt;"&amp;$C$872,Table20[date_purchased],"&lt;"&amp;$E$872)</f>
        <v>0</v>
      </c>
      <c r="J998" s="4">
        <f>SUMIFS(Table20[realized_profit],Table20[Asset],Table41[[#This Row],[Asset Name]],Table20[Strategy],"put calendar spread",Table20[date_purchased],"&gt;"&amp;$C$872,Table20[date_purchased],"&lt;"&amp;$E$872)</f>
        <v>0</v>
      </c>
      <c r="K998" s="4">
        <f>SUMIFS(Table20[realized_profit],Table20[Asset],Table41[[#This Row],[Asset Name]],Table20[Strategy],"put spread",Table20[date_purchased],"&gt;"&amp;$C$872,Table20[date_purchased],"&lt;"&amp;$E$872)</f>
        <v>0</v>
      </c>
      <c r="L998" s="4">
        <f>SUMIFS(Table20[Invested],Table20[Asset],Table41[[#This Row],[Asset Name]],Table20[date_purchased],"&gt;"&amp;$C$872,Table20[date_purchased],"&lt;"&amp;$E$872)</f>
        <v>0</v>
      </c>
      <c r="M998" s="14">
        <f>IFERROR(Table41[[#This Row],[Within timeline]]/Table41[[#This Row],[Invested]],0)</f>
        <v>0</v>
      </c>
      <c r="N998" s="187">
        <v>45</v>
      </c>
      <c r="O998" s="179" cm="1">
        <f t="array" aca="1" ref="O998" ca="1">_FV(Table41[[#This Row],[Asset Name]],"Price")</f>
        <v>75.680000000000007</v>
      </c>
      <c r="P998" s="188">
        <v>50</v>
      </c>
      <c r="Q998" t="b">
        <f ca="1">IF(Table41[[#This Row],[Current Price]]&lt;Table41[[#This Row],[Put wall]]*1.02,TRUE,FALSE)</f>
        <v>0</v>
      </c>
      <c r="R998" t="b">
        <f ca="1">IF(Table41[[#This Row],[Current Price]]&gt;Table41[[#This Row],[Call wall]]*0.98,TRUE,FALSE)</f>
        <v>1</v>
      </c>
      <c r="S998" s="4">
        <f>SUMIF(Table20[Asset],Table41[[#This Row],[Asset Name]],Table20[delta_exposure])</f>
        <v>0</v>
      </c>
      <c r="T998" s="36" t="str" cm="1">
        <f t="array" aca="1" ref="T998" ca="1">_FV(Table41[[#This Row],[Asset Name]],"Instrument type",TRUE)</f>
        <v>ETF</v>
      </c>
      <c r="U998" s="183"/>
      <c r="V998" t="str">
        <f>VLOOKUP(Table41[[#This Row],[Asset Name]],Table19[#All],3,FALSE)</f>
        <v>Commodity</v>
      </c>
      <c r="X998" t="str">
        <f>VLOOKUP(Table41[[#This Row],[Asset Name]],Table19[#All],4,FALSE)</f>
        <v>Commodity</v>
      </c>
      <c r="Y998" s="189" t="str">
        <f ca="1">IF(Table41[[#This Row],[Current Price]]&lt;Table41[[#This Row],[Put wall]]*1.02,"✅",IF(Table41[[#This Row],[Current Price]]&gt;Table41[[#This Row],[Call wall]]*0.98,"🔻",""))</f>
        <v>🔻</v>
      </c>
      <c r="Z998" s="204"/>
      <c r="AA998" s="207">
        <f ca="1">Table41[[#This Row],[Current Price]]/Table41[[#This Row],[Call wall]]-1</f>
        <v>0.51360000000000006</v>
      </c>
    </row>
    <row r="999" spans="1:27" hidden="1">
      <c r="A999" s="194" t="e" vm="59">
        <v>#VALUE!</v>
      </c>
      <c r="B999" s="189" t="str" cm="1">
        <f t="array" aca="1" ref="B999" ca="1">_FV(Table41[[#This Row],[Asset Name]],"Ticker symbol",TRUE)</f>
        <v>EOG</v>
      </c>
      <c r="C999" s="4">
        <f>SUMIF(Table20[Asset],Table41[[#This Row],[Asset Name]],Table20[realized_profit])</f>
        <v>268</v>
      </c>
      <c r="D999" s="4">
        <f>SUMIFS(Table20[realized_profit],Table20[Asset],Table41[[#This Row],[Asset Name]],Table20[date_purchased],"&gt;"&amp;$C$872,Table20[date_purchased],"&lt;"&amp;$E$872)</f>
        <v>0</v>
      </c>
      <c r="E999" s="4">
        <f>SUMIFS(Table20[realized_profit],Table20[Asset],Table41[[#This Row],[Asset Name]],Table20[Bullish or Bearish],"Bullish",Table20[date_purchased],"&gt;"&amp;$C$872,Table20[date_purchased],"&lt;"&amp;$E$872)</f>
        <v>0</v>
      </c>
      <c r="F999" s="4">
        <f>SUMIFS(Table20[realized_profit],Table20[Asset],Table41[[#This Row],[Asset Name]],Table20[Bullish or Bearish],"Bearish",Table20[date_purchased],"&gt;"&amp;$C$872,Table20[date_purchased],"&lt;"&amp;$E$872)</f>
        <v>0</v>
      </c>
      <c r="G999" s="4">
        <f>SUMIFS(Table20[realized_profit],Table20[Asset],Table41[[#This Row],[Asset Name]],Table20[Strategy],"call",Table20[date_purchased],"&gt;"&amp;$C$872,Table20[date_purchased],"&lt;"&amp;$E$872)</f>
        <v>0</v>
      </c>
      <c r="H999" s="4">
        <f>SUMIFS(Table20[realized_profit],Table20[Asset],Table41[[#This Row],[Asset Name]],Table20[Strategy],"put",Table20[date_purchased],"&gt;"&amp;$C$872,Table20[date_purchased],"&lt;"&amp;$E$872)</f>
        <v>0</v>
      </c>
      <c r="I999" s="4">
        <f>SUMIFS(Table20[realized_profit],Table20[Asset],Table41[[#This Row],[Asset Name]],Table20[Strategy],"calendar spread",Table20[date_purchased],"&gt;"&amp;$C$872,Table20[date_purchased],"&lt;"&amp;$E$872)</f>
        <v>0</v>
      </c>
      <c r="J999" s="4">
        <f>SUMIFS(Table20[realized_profit],Table20[Asset],Table41[[#This Row],[Asset Name]],Table20[Strategy],"put calendar spread",Table20[date_purchased],"&gt;"&amp;$C$872,Table20[date_purchased],"&lt;"&amp;$E$872)</f>
        <v>0</v>
      </c>
      <c r="K999" s="4">
        <f>SUMIFS(Table20[realized_profit],Table20[Asset],Table41[[#This Row],[Asset Name]],Table20[Strategy],"put spread",Table20[date_purchased],"&gt;"&amp;$C$872,Table20[date_purchased],"&lt;"&amp;$E$872)</f>
        <v>0</v>
      </c>
      <c r="L999" s="4">
        <f>SUMIFS(Table20[Invested],Table20[Asset],Table41[[#This Row],[Asset Name]],Table20[date_purchased],"&gt;"&amp;$C$872,Table20[date_purchased],"&lt;"&amp;$E$872)</f>
        <v>0</v>
      </c>
      <c r="M999" s="14">
        <f>IFERROR(Table41[[#This Row],[Within timeline]]/Table41[[#This Row],[Invested]],0)</f>
        <v>0</v>
      </c>
      <c r="N999" s="187">
        <v>120</v>
      </c>
      <c r="O999" s="179" cm="1">
        <f t="array" aca="1" ref="O999" ca="1">_FV(Table41[[#This Row],[Asset Name]],"Price")</f>
        <v>141.63999999999999</v>
      </c>
      <c r="P999" s="188">
        <v>140</v>
      </c>
      <c r="Q999" t="b">
        <f ca="1">IF(Table41[[#This Row],[Current Price]]&lt;Table41[[#This Row],[Put wall]]*1.02,TRUE,FALSE)</f>
        <v>0</v>
      </c>
      <c r="R999" t="b">
        <f ca="1">IF(Table41[[#This Row],[Current Price]]&gt;Table41[[#This Row],[Call wall]]*0.98,TRUE,FALSE)</f>
        <v>1</v>
      </c>
      <c r="S999" s="4">
        <f ca="1">SUMIF(Table20[Asset],Table41[[#This Row],[Asset Name]],Table20[delta_exposure])</f>
        <v>0</v>
      </c>
      <c r="T999" s="36" t="str" cm="1">
        <f t="array" aca="1" ref="T999" ca="1">_FV(Table41[[#This Row],[Asset Name]],"Instrument type",TRUE)</f>
        <v>Stock</v>
      </c>
      <c r="U999" s="183">
        <v>45603</v>
      </c>
      <c r="V999" t="str">
        <f>VLOOKUP(Table41[[#This Row],[Asset Name]],Table19[#All],3,FALSE)</f>
        <v>Energy</v>
      </c>
      <c r="X999" t="str">
        <f>VLOOKUP(Table41[[#This Row],[Asset Name]],Table19[#All],4,FALSE)</f>
        <v>Energy</v>
      </c>
      <c r="Y999" s="147" t="str">
        <f ca="1">IF(Table41[[#This Row],[Current Price]]&lt;Table41[[#This Row],[Put wall]]*1.02,"✅",IF(Table41[[#This Row],[Current Price]]&gt;Table41[[#This Row],[Call wall]]*0.98,"🔻",""))</f>
        <v>🔻</v>
      </c>
      <c r="Z999" s="203">
        <f ca="1">Table41[[#This Row],[Current Price]]/Table41[[#This Row],[Put wall]]-1</f>
        <v>0.18033333333333323</v>
      </c>
      <c r="AA999" s="206">
        <f ca="1">Table41[[#This Row],[Current Price]]/Table41[[#This Row],[Call wall]]-1</f>
        <v>1.1714285714285566E-2</v>
      </c>
    </row>
    <row r="1000" spans="1:27">
      <c r="A1000" s="194" t="e" vm="159">
        <v>#VALUE!</v>
      </c>
      <c r="B1000" s="13" t="str" cm="1">
        <f t="array" aca="1" ref="B1000" ca="1">_FV(Table41[[#This Row],[Asset Name]],"Ticker symbol",TRUE)</f>
        <v>BABA</v>
      </c>
      <c r="C1000" s="4">
        <f>SUMIF(Table20[Asset],Table41[[#This Row],[Asset Name]],Table20[realized_profit])</f>
        <v>5855</v>
      </c>
      <c r="D1000" s="4">
        <f>SUMIFS(Table20[realized_profit],Table20[Asset],Table41[[#This Row],[Asset Name]],Table20[date_purchased],"&gt;"&amp;$C$872,Table20[date_purchased],"&lt;"&amp;$E$872)</f>
        <v>1373</v>
      </c>
      <c r="E1000" s="4">
        <f>SUMIFS(Table20[realized_profit],Table20[Asset],Table41[[#This Row],[Asset Name]],Table20[Bullish or Bearish],"Bullish",Table20[date_purchased],"&gt;"&amp;$C$872,Table20[date_purchased],"&lt;"&amp;$E$872)</f>
        <v>1373</v>
      </c>
      <c r="F1000" s="4">
        <f>SUMIFS(Table20[realized_profit],Table20[Asset],Table41[[#This Row],[Asset Name]],Table20[Bullish or Bearish],"Bearish",Table20[date_purchased],"&gt;"&amp;$C$872,Table20[date_purchased],"&lt;"&amp;$E$872)</f>
        <v>0</v>
      </c>
      <c r="G1000" s="4">
        <f>SUMIFS(Table20[realized_profit],Table20[Asset],Table41[[#This Row],[Asset Name]],Table20[Strategy],"call",Table20[date_purchased],"&gt;"&amp;$C$872,Table20[date_purchased],"&lt;"&amp;$E$872)</f>
        <v>1324</v>
      </c>
      <c r="H1000" s="4">
        <f>SUMIFS(Table20[realized_profit],Table20[Asset],Table41[[#This Row],[Asset Name]],Table20[Strategy],"put",Table20[date_purchased],"&gt;"&amp;$C$872,Table20[date_purchased],"&lt;"&amp;$E$872)</f>
        <v>0</v>
      </c>
      <c r="I1000" s="4">
        <f>SUMIFS(Table20[realized_profit],Table20[Asset],Table41[[#This Row],[Asset Name]],Table20[Strategy],"calendar spread",Table20[date_purchased],"&gt;"&amp;$C$872,Table20[date_purchased],"&lt;"&amp;$E$872)</f>
        <v>49.000000000000036</v>
      </c>
      <c r="J1000" s="4">
        <f>SUMIFS(Table20[realized_profit],Table20[Asset],Table41[[#This Row],[Asset Name]],Table20[Strategy],"put calendar spread",Table20[date_purchased],"&gt;"&amp;$C$872,Table20[date_purchased],"&lt;"&amp;$E$872)</f>
        <v>0</v>
      </c>
      <c r="K1000" s="4">
        <f>SUMIFS(Table20[realized_profit],Table20[Asset],Table41[[#This Row],[Asset Name]],Table20[Strategy],"put spread",Table20[date_purchased],"&gt;"&amp;$C$872,Table20[date_purchased],"&lt;"&amp;$E$872)</f>
        <v>0</v>
      </c>
      <c r="L1000" s="4">
        <f>SUMIFS(Table20[Invested],Table20[Asset],Table41[[#This Row],[Asset Name]],Table20[date_purchased],"&gt;"&amp;$C$872,Table20[date_purchased],"&lt;"&amp;$E$872)</f>
        <v>1355</v>
      </c>
      <c r="M1000" s="14">
        <f>IFERROR(Table41[[#This Row],[Within timeline]]/Table41[[#This Row],[Invested]],0)</f>
        <v>1.0132841328413285</v>
      </c>
      <c r="N1000" s="187">
        <v>103</v>
      </c>
      <c r="O1000" s="179" cm="1">
        <f t="array" aca="1" ref="O1000" ca="1">_FV(Table41[[#This Row],[Asset Name]],"Price")</f>
        <v>129.63999999999999</v>
      </c>
      <c r="P1000" s="188">
        <v>120</v>
      </c>
      <c r="Q1000" t="b">
        <f ca="1">IF(Table41[[#This Row],[Current Price]]&lt;Table41[[#This Row],[Put wall]]*1.02,TRUE,FALSE)</f>
        <v>0</v>
      </c>
      <c r="R1000" t="b">
        <f ca="1">IF(Table41[[#This Row],[Current Price]]&gt;Table41[[#This Row],[Call wall]]*0.98,TRUE,FALSE)</f>
        <v>1</v>
      </c>
      <c r="S1000" s="4">
        <f ca="1">SUMIF(Table20[Asset],Table41[[#This Row],[Asset Name]],Table20[delta_exposure])</f>
        <v>0</v>
      </c>
      <c r="T1000" s="36" t="str" cm="1">
        <f t="array" aca="1" ref="T1000" ca="1">_FV(Table41[[#This Row],[Asset Name]],"Instrument type",TRUE)</f>
        <v>Stock</v>
      </c>
      <c r="U1000" s="183">
        <v>45610</v>
      </c>
      <c r="V1000" t="str">
        <f>VLOOKUP(Table41[[#This Row],[Asset Name]],Table19[#All],3,FALSE)</f>
        <v>China</v>
      </c>
      <c r="X1000" t="str">
        <f>VLOOKUP(Table41[[#This Row],[Asset Name]],Table19[#All],4,FALSE)</f>
        <v>China</v>
      </c>
      <c r="Y1000" s="147" t="str">
        <f ca="1">IF(Table41[[#This Row],[Current Price]]&lt;Table41[[#This Row],[Put wall]]*1.02,"✅",IF(Table41[[#This Row],[Current Price]]&gt;Table41[[#This Row],[Call wall]]*0.98,"🔻",""))</f>
        <v>🔻</v>
      </c>
      <c r="Z1000" s="203">
        <f ca="1">Table41[[#This Row],[Current Price]]/Table41[[#This Row],[Put wall]]-1</f>
        <v>0.25864077669902907</v>
      </c>
      <c r="AA1000" s="206">
        <f ca="1">Table41[[#This Row],[Current Price]]/Table41[[#This Row],[Call wall]]-1</f>
        <v>8.0333333333333146E-2</v>
      </c>
    </row>
    <row r="1001" spans="1:27" hidden="1">
      <c r="A1001" s="194" t="e" vm="160">
        <v>#VALUE!</v>
      </c>
      <c r="B1001" s="13" t="str" cm="1">
        <f t="array" aca="1" ref="B1001" ca="1">_FV(Table41[[#This Row],[Asset Name]],"Ticker symbol",TRUE)</f>
        <v>VST</v>
      </c>
      <c r="C1001" s="4">
        <f>SUMIF(Table20[Asset],Table41[[#This Row],[Asset Name]],Table20[realized_profit])</f>
        <v>52.000000000000043</v>
      </c>
      <c r="D1001" s="4">
        <f>SUMIFS(Table20[realized_profit],Table20[Asset],Table41[[#This Row],[Asset Name]],Table20[date_purchased],"&gt;"&amp;$C$872,Table20[date_purchased],"&lt;"&amp;$E$872)</f>
        <v>0</v>
      </c>
      <c r="E1001" s="4">
        <f>SUMIFS(Table20[realized_profit],Table20[Asset],Table41[[#This Row],[Asset Name]],Table20[Bullish or Bearish],"Bullish",Table20[date_purchased],"&gt;"&amp;$C$872,Table20[date_purchased],"&lt;"&amp;$E$872)</f>
        <v>0</v>
      </c>
      <c r="F1001" s="4">
        <f>SUMIFS(Table20[realized_profit],Table20[Asset],Table41[[#This Row],[Asset Name]],Table20[Bullish or Bearish],"Bearish",Table20[date_purchased],"&gt;"&amp;$C$872,Table20[date_purchased],"&lt;"&amp;$E$872)</f>
        <v>0</v>
      </c>
      <c r="G1001" s="4">
        <f>SUMIFS(Table20[realized_profit],Table20[Asset],Table41[[#This Row],[Asset Name]],Table20[Strategy],"call",Table20[date_purchased],"&gt;"&amp;$C$872,Table20[date_purchased],"&lt;"&amp;$E$872)</f>
        <v>0</v>
      </c>
      <c r="H1001" s="4">
        <f>SUMIFS(Table20[realized_profit],Table20[Asset],Table41[[#This Row],[Asset Name]],Table20[Strategy],"put",Table20[date_purchased],"&gt;"&amp;$C$872,Table20[date_purchased],"&lt;"&amp;$E$872)</f>
        <v>0</v>
      </c>
      <c r="I1001" s="4">
        <f>SUMIFS(Table20[realized_profit],Table20[Asset],Table41[[#This Row],[Asset Name]],Table20[Strategy],"calendar spread",Table20[date_purchased],"&gt;"&amp;$C$872,Table20[date_purchased],"&lt;"&amp;$E$872)</f>
        <v>0</v>
      </c>
      <c r="J1001" s="4">
        <f>SUMIFS(Table20[realized_profit],Table20[Asset],Table41[[#This Row],[Asset Name]],Table20[Strategy],"put calendar spread",Table20[date_purchased],"&gt;"&amp;$C$872,Table20[date_purchased],"&lt;"&amp;$E$872)</f>
        <v>0</v>
      </c>
      <c r="K1001" s="4">
        <f>SUMIFS(Table20[realized_profit],Table20[Asset],Table41[[#This Row],[Asset Name]],Table20[Strategy],"put spread",Table20[date_purchased],"&gt;"&amp;$C$872,Table20[date_purchased],"&lt;"&amp;$E$872)</f>
        <v>0</v>
      </c>
      <c r="L1001" s="4">
        <f>SUMIFS(Table20[Invested],Table20[Asset],Table41[[#This Row],[Asset Name]],Table20[date_purchased],"&gt;"&amp;$C$872,Table20[date_purchased],"&lt;"&amp;$E$872)</f>
        <v>0</v>
      </c>
      <c r="M1001" s="14">
        <f>IFERROR(Table41[[#This Row],[Within timeline]]/Table41[[#This Row],[Invested]],0)</f>
        <v>0</v>
      </c>
      <c r="N1001" s="187">
        <v>115</v>
      </c>
      <c r="O1001" s="179" cm="1">
        <f t="array" aca="1" ref="O1001" ca="1">_FV(Table41[[#This Row],[Asset Name]],"Price")</f>
        <v>154.57</v>
      </c>
      <c r="P1001" s="188">
        <v>145</v>
      </c>
      <c r="Q1001" t="b">
        <f ca="1">IF(Table41[[#This Row],[Current Price]]&lt;Table41[[#This Row],[Put wall]]*1.02,TRUE,FALSE)</f>
        <v>0</v>
      </c>
      <c r="R1001" t="b">
        <f ca="1">IF(Table41[[#This Row],[Current Price]]&gt;Table41[[#This Row],[Call wall]]*0.98,TRUE,FALSE)</f>
        <v>1</v>
      </c>
      <c r="S1001" s="4">
        <f ca="1">SUMIF(Table20[Asset],Table41[[#This Row],[Asset Name]],Table20[delta_exposure])</f>
        <v>0</v>
      </c>
      <c r="T1001" s="36" t="str" cm="1">
        <f t="array" aca="1" ref="T1001" ca="1">_FV(Table41[[#This Row],[Asset Name]],"Instrument type",TRUE)</f>
        <v>Stock</v>
      </c>
      <c r="U1001" s="183">
        <v>45601</v>
      </c>
      <c r="V1001" t="str">
        <f>VLOOKUP(Table41[[#This Row],[Asset Name]],Table19[#All],3,FALSE)</f>
        <v>Utilities</v>
      </c>
      <c r="X1001" t="str">
        <f>VLOOKUP(Table41[[#This Row],[Asset Name]],Table19[#All],4,FALSE)</f>
        <v>Utilities</v>
      </c>
      <c r="Y1001" s="147" t="str">
        <f ca="1">IF(Table41[[#This Row],[Current Price]]&lt;Table41[[#This Row],[Put wall]]*1.02,"✅",IF(Table41[[#This Row],[Current Price]]&gt;Table41[[#This Row],[Call wall]]*0.98,"🔻",""))</f>
        <v>🔻</v>
      </c>
      <c r="Z1001" s="203">
        <f ca="1">Table41[[#This Row],[Current Price]]/Table41[[#This Row],[Put wall]]-1</f>
        <v>0.34408695652173904</v>
      </c>
      <c r="AA1001" s="206">
        <f ca="1">Table41[[#This Row],[Current Price]]/Table41[[#This Row],[Call wall]]-1</f>
        <v>6.6000000000000059E-2</v>
      </c>
    </row>
    <row r="1002" spans="1:27" hidden="1">
      <c r="A1002" s="194" t="e" vm="161">
        <v>#VALUE!</v>
      </c>
      <c r="B1002" s="13" t="str" cm="1">
        <f t="array" aca="1" ref="B1002" ca="1">_FV(Table41[[#This Row],[Asset Name]],"Ticker symbol",TRUE)</f>
        <v>FXI</v>
      </c>
      <c r="C1002" s="4">
        <f>SUMIF(Table20[Asset],Table41[[#This Row],[Asset Name]],Table20[realized_profit])</f>
        <v>0</v>
      </c>
      <c r="D1002" s="4">
        <f>SUMIFS(Table20[realized_profit],Table20[Asset],Table41[[#This Row],[Asset Name]],Table20[date_purchased],"&gt;"&amp;$C$872,Table20[date_purchased],"&lt;"&amp;$E$872)</f>
        <v>0</v>
      </c>
      <c r="E1002" s="4">
        <f>SUMIFS(Table20[realized_profit],Table20[Asset],Table41[[#This Row],[Asset Name]],Table20[Bullish or Bearish],"Bullish",Table20[date_purchased],"&gt;"&amp;$C$872,Table20[date_purchased],"&lt;"&amp;$E$872)</f>
        <v>0</v>
      </c>
      <c r="F1002" s="4">
        <f>SUMIFS(Table20[realized_profit],Table20[Asset],Table41[[#This Row],[Asset Name]],Table20[Bullish or Bearish],"Bearish",Table20[date_purchased],"&gt;"&amp;$C$872,Table20[date_purchased],"&lt;"&amp;$E$872)</f>
        <v>0</v>
      </c>
      <c r="G1002" s="4">
        <f>SUMIFS(Table20[realized_profit],Table20[Asset],Table41[[#This Row],[Asset Name]],Table20[Strategy],"call",Table20[date_purchased],"&gt;"&amp;$C$872,Table20[date_purchased],"&lt;"&amp;$E$872)</f>
        <v>0</v>
      </c>
      <c r="H1002" s="4">
        <f>SUMIFS(Table20[realized_profit],Table20[Asset],Table41[[#This Row],[Asset Name]],Table20[Strategy],"put",Table20[date_purchased],"&gt;"&amp;$C$872,Table20[date_purchased],"&lt;"&amp;$E$872)</f>
        <v>0</v>
      </c>
      <c r="I1002" s="4">
        <f>SUMIFS(Table20[realized_profit],Table20[Asset],Table41[[#This Row],[Asset Name]],Table20[Strategy],"calendar spread",Table20[date_purchased],"&gt;"&amp;$C$872,Table20[date_purchased],"&lt;"&amp;$E$872)</f>
        <v>0</v>
      </c>
      <c r="J1002" s="4">
        <f>SUMIFS(Table20[realized_profit],Table20[Asset],Table41[[#This Row],[Asset Name]],Table20[Strategy],"put calendar spread",Table20[date_purchased],"&gt;"&amp;$C$872,Table20[date_purchased],"&lt;"&amp;$E$872)</f>
        <v>0</v>
      </c>
      <c r="K1002" s="4">
        <f>SUMIFS(Table20[realized_profit],Table20[Asset],Table41[[#This Row],[Asset Name]],Table20[Strategy],"put spread",Table20[date_purchased],"&gt;"&amp;$C$872,Table20[date_purchased],"&lt;"&amp;$E$872)</f>
        <v>0</v>
      </c>
      <c r="L1002" s="4">
        <f>SUMIFS(Table20[Invested],Table20[Asset],Table41[[#This Row],[Asset Name]],Table20[date_purchased],"&gt;"&amp;$C$872,Table20[date_purchased],"&lt;"&amp;$E$872)</f>
        <v>0</v>
      </c>
      <c r="M1002" s="14">
        <f>IFERROR(Table41[[#This Row],[Within timeline]]/Table41[[#This Row],[Invested]],0)</f>
        <v>0</v>
      </c>
      <c r="N1002" s="187">
        <v>30</v>
      </c>
      <c r="O1002" s="179" cm="1">
        <f t="array" aca="1" ref="O1002" ca="1">_FV(Table41[[#This Row],[Asset Name]],"Price")</f>
        <v>36.049900000000001</v>
      </c>
      <c r="P1002" s="188">
        <v>37</v>
      </c>
      <c r="Q1002" t="b">
        <f ca="1">IF(Table41[[#This Row],[Current Price]]&lt;Table41[[#This Row],[Put wall]]*1.02,TRUE,FALSE)</f>
        <v>0</v>
      </c>
      <c r="R1002" t="b">
        <f ca="1">IF(Table41[[#This Row],[Current Price]]&gt;Table41[[#This Row],[Call wall]]*0.98,TRUE,FALSE)</f>
        <v>0</v>
      </c>
      <c r="S1002" s="4">
        <f>SUMIF(Table20[Asset],Table41[[#This Row],[Asset Name]],Table20[delta_exposure])</f>
        <v>0</v>
      </c>
      <c r="T1002" s="36" t="str" cm="1">
        <f t="array" aca="1" ref="T1002" ca="1">_FV(Table41[[#This Row],[Asset Name]],"Instrument type",TRUE)</f>
        <v>ETF</v>
      </c>
      <c r="U1002" s="183"/>
      <c r="V1002" t="str">
        <f>VLOOKUP(Table41[[#This Row],[Asset Name]],Table19[#All],3,FALSE)</f>
        <v>China</v>
      </c>
      <c r="X1002" t="str">
        <f>VLOOKUP(Table41[[#This Row],[Asset Name]],Table19[#All],4,FALSE)</f>
        <v>China</v>
      </c>
      <c r="Y1002" s="147" t="str">
        <f ca="1">IF(Table41[[#This Row],[Current Price]]&lt;Table41[[#This Row],[Put wall]]*1.02,"✅",IF(Table41[[#This Row],[Current Price]]&gt;Table41[[#This Row],[Call wall]]*0.98,"🔻",""))</f>
        <v/>
      </c>
      <c r="Z1002" s="203">
        <f ca="1">Table41[[#This Row],[Current Price]]/Table41[[#This Row],[Put wall]]-1</f>
        <v>0.20166333333333331</v>
      </c>
      <c r="AA1002" s="206">
        <f ca="1">Table41[[#This Row],[Current Price]]/Table41[[#This Row],[Call wall]]-1</f>
        <v>-2.5678378378378386E-2</v>
      </c>
    </row>
    <row r="1003" spans="1:27" hidden="1">
      <c r="A1003" s="194" t="e" vm="92">
        <v>#VALUE!</v>
      </c>
      <c r="B1003" s="13" t="str" cm="1">
        <f t="array" aca="1" ref="B1003" ca="1">_FV(Table41[[#This Row],[Asset Name]],"Ticker symbol",TRUE)</f>
        <v>NEM</v>
      </c>
      <c r="C1003" s="4">
        <f>SUMIF(Table20[Asset],Table41[[#This Row],[Asset Name]],Table20[realized_profit])</f>
        <v>4053</v>
      </c>
      <c r="D1003" s="4">
        <f>SUMIFS(Table20[realized_profit],Table20[Asset],Table41[[#This Row],[Asset Name]],Table20[date_purchased],"&gt;"&amp;$C$872,Table20[date_purchased],"&lt;"&amp;$E$872)</f>
        <v>0</v>
      </c>
      <c r="E1003" s="4">
        <f>SUMIFS(Table20[realized_profit],Table20[Asset],Table41[[#This Row],[Asset Name]],Table20[Bullish or Bearish],"Bullish",Table20[date_purchased],"&gt;"&amp;$C$872,Table20[date_purchased],"&lt;"&amp;$E$872)</f>
        <v>0</v>
      </c>
      <c r="F1003" s="4">
        <f>SUMIFS(Table20[realized_profit],Table20[Asset],Table41[[#This Row],[Asset Name]],Table20[Bullish or Bearish],"Bearish",Table20[date_purchased],"&gt;"&amp;$C$872,Table20[date_purchased],"&lt;"&amp;$E$872)</f>
        <v>0</v>
      </c>
      <c r="G1003" s="4">
        <f>SUMIFS(Table20[realized_profit],Table20[Asset],Table41[[#This Row],[Asset Name]],Table20[Strategy],"call",Table20[date_purchased],"&gt;"&amp;$C$872,Table20[date_purchased],"&lt;"&amp;$E$872)</f>
        <v>0</v>
      </c>
      <c r="H1003" s="4">
        <f>SUMIFS(Table20[realized_profit],Table20[Asset],Table41[[#This Row],[Asset Name]],Table20[Strategy],"put",Table20[date_purchased],"&gt;"&amp;$C$872,Table20[date_purchased],"&lt;"&amp;$E$872)</f>
        <v>0</v>
      </c>
      <c r="I1003" s="4">
        <f>SUMIFS(Table20[realized_profit],Table20[Asset],Table41[[#This Row],[Asset Name]],Table20[Strategy],"calendar spread",Table20[date_purchased],"&gt;"&amp;$C$872,Table20[date_purchased],"&lt;"&amp;$E$872)</f>
        <v>0</v>
      </c>
      <c r="J1003" s="4">
        <f>SUMIFS(Table20[realized_profit],Table20[Asset],Table41[[#This Row],[Asset Name]],Table20[Strategy],"put calendar spread",Table20[date_purchased],"&gt;"&amp;$C$872,Table20[date_purchased],"&lt;"&amp;$E$872)</f>
        <v>0</v>
      </c>
      <c r="K1003" s="4">
        <f>SUMIFS(Table20[realized_profit],Table20[Asset],Table41[[#This Row],[Asset Name]],Table20[Strategy],"put spread",Table20[date_purchased],"&gt;"&amp;$C$872,Table20[date_purchased],"&lt;"&amp;$E$872)</f>
        <v>0</v>
      </c>
      <c r="L1003" s="4">
        <f>SUMIFS(Table20[Invested],Table20[Asset],Table41[[#This Row],[Asset Name]],Table20[date_purchased],"&gt;"&amp;$C$872,Table20[date_purchased],"&lt;"&amp;$E$872)</f>
        <v>0</v>
      </c>
      <c r="M1003" s="14">
        <f>IFERROR(Table41[[#This Row],[Within timeline]]/Table41[[#This Row],[Invested]],0)</f>
        <v>0</v>
      </c>
      <c r="N1003" s="187">
        <v>45</v>
      </c>
      <c r="O1003" s="179" cm="1">
        <f t="array" aca="1" ref="O1003" ca="1">_FV(Table41[[#This Row],[Asset Name]],"Price")</f>
        <v>102.705</v>
      </c>
      <c r="P1003" s="188">
        <v>55</v>
      </c>
      <c r="Q1003" t="b">
        <f ca="1">IF(Table41[[#This Row],[Current Price]]&lt;Table41[[#This Row],[Put wall]]*1.02,TRUE,FALSE)</f>
        <v>0</v>
      </c>
      <c r="R1003" t="b">
        <f ca="1">IF(Table41[[#This Row],[Current Price]]&gt;Table41[[#This Row],[Call wall]]*0.98,TRUE,FALSE)</f>
        <v>1</v>
      </c>
      <c r="S1003" s="4">
        <f ca="1">SUMIF(Table20[Asset],Table41[[#This Row],[Asset Name]],Table20[delta_exposure])</f>
        <v>0</v>
      </c>
      <c r="T1003" s="36" t="str" cm="1">
        <f t="array" aca="1" ref="T1003" ca="1">_FV(Table41[[#This Row],[Asset Name]],"Instrument type",TRUE)</f>
        <v>Stock</v>
      </c>
      <c r="U1003" s="183">
        <v>45595</v>
      </c>
      <c r="V1003" t="str">
        <f>VLOOKUP(Table41[[#This Row],[Asset Name]],Table19[#All],3,FALSE)</f>
        <v>Gold and Silver</v>
      </c>
      <c r="X1003" t="str">
        <f>VLOOKUP(Table41[[#This Row],[Asset Name]],Table19[#All],4,FALSE)</f>
        <v>Commodity</v>
      </c>
      <c r="Y1003" s="147" t="str">
        <f ca="1">IF(Table41[[#This Row],[Current Price]]&lt;Table41[[#This Row],[Put wall]]*1.02,"✅",IF(Table41[[#This Row],[Current Price]]&gt;Table41[[#This Row],[Call wall]]*0.98,"🔻",""))</f>
        <v>🔻</v>
      </c>
      <c r="Z1003" s="203">
        <f ca="1">Table41[[#This Row],[Current Price]]/Table41[[#This Row],[Put wall]]-1</f>
        <v>1.2823333333333333</v>
      </c>
      <c r="AA1003" s="206">
        <f ca="1">Table41[[#This Row],[Current Price]]/Table41[[#This Row],[Call wall]]-1</f>
        <v>0.86736363636363634</v>
      </c>
    </row>
    <row r="1004" spans="1:27" hidden="1">
      <c r="A1004" s="194" t="e" vm="162">
        <v>#VALUE!</v>
      </c>
      <c r="B1004" s="189" t="str" cm="1">
        <f t="array" aca="1" ref="B1004" ca="1">_FV(Table41[[#This Row],[Asset Name]],"Ticker symbol",TRUE)</f>
        <v>APA</v>
      </c>
      <c r="C1004" s="4">
        <f>SUMIF(Table20[Asset],Table41[[#This Row],[Asset Name]],Table20[realized_profit])</f>
        <v>0</v>
      </c>
      <c r="D1004" s="4">
        <f>SUMIFS(Table20[realized_profit],Table20[Asset],Table41[[#This Row],[Asset Name]],Table20[date_purchased],"&gt;"&amp;$C$872,Table20[date_purchased],"&lt;"&amp;$E$872)</f>
        <v>0</v>
      </c>
      <c r="E1004" s="4">
        <f>SUMIFS(Table20[realized_profit],Table20[Asset],Table41[[#This Row],[Asset Name]],Table20[Bullish or Bearish],"Bullish",Table20[date_purchased],"&gt;"&amp;$C$872,Table20[date_purchased],"&lt;"&amp;$E$872)</f>
        <v>0</v>
      </c>
      <c r="F1004" s="4">
        <f>SUMIFS(Table20[realized_profit],Table20[Asset],Table41[[#This Row],[Asset Name]],Table20[Bullish or Bearish],"Bearish",Table20[date_purchased],"&gt;"&amp;$C$872,Table20[date_purchased],"&lt;"&amp;$E$872)</f>
        <v>0</v>
      </c>
      <c r="G1004" s="4">
        <f>SUMIFS(Table20[realized_profit],Table20[Asset],Table41[[#This Row],[Asset Name]],Table20[Strategy],"call",Table20[date_purchased],"&gt;"&amp;$C$872,Table20[date_purchased],"&lt;"&amp;$E$872)</f>
        <v>0</v>
      </c>
      <c r="H1004" s="4">
        <f>SUMIFS(Table20[realized_profit],Table20[Asset],Table41[[#This Row],[Asset Name]],Table20[Strategy],"put",Table20[date_purchased],"&gt;"&amp;$C$872,Table20[date_purchased],"&lt;"&amp;$E$872)</f>
        <v>0</v>
      </c>
      <c r="I1004" s="4">
        <f>SUMIFS(Table20[realized_profit],Table20[Asset],Table41[[#This Row],[Asset Name]],Table20[Strategy],"calendar spread",Table20[date_purchased],"&gt;"&amp;$C$872,Table20[date_purchased],"&lt;"&amp;$E$872)</f>
        <v>0</v>
      </c>
      <c r="J1004" s="4">
        <f>SUMIFS(Table20[realized_profit],Table20[Asset],Table41[[#This Row],[Asset Name]],Table20[Strategy],"put calendar spread",Table20[date_purchased],"&gt;"&amp;$C$872,Table20[date_purchased],"&lt;"&amp;$E$872)</f>
        <v>0</v>
      </c>
      <c r="K1004" s="4">
        <f>SUMIFS(Table20[realized_profit],Table20[Asset],Table41[[#This Row],[Asset Name]],Table20[Strategy],"put spread",Table20[date_purchased],"&gt;"&amp;$C$872,Table20[date_purchased],"&lt;"&amp;$E$872)</f>
        <v>0</v>
      </c>
      <c r="L1004" s="4">
        <f>SUMIFS(Table20[Invested],Table20[Asset],Table41[[#This Row],[Asset Name]],Table20[date_purchased],"&gt;"&amp;$C$872,Table20[date_purchased],"&lt;"&amp;$E$872)</f>
        <v>0</v>
      </c>
      <c r="M1004" s="14">
        <f>IFERROR(Table41[[#This Row],[Within timeline]]/Table41[[#This Row],[Invested]],0)</f>
        <v>0</v>
      </c>
      <c r="N1004" s="187">
        <v>22.5</v>
      </c>
      <c r="O1004" s="179" cm="1">
        <f t="array" aca="1" ref="O1004" ca="1">_FV(Table41[[#This Row],[Asset Name]],"Price")</f>
        <v>40.94</v>
      </c>
      <c r="P1004" s="188">
        <v>27.5</v>
      </c>
      <c r="Q1004" t="b">
        <f ca="1">IF(Table41[[#This Row],[Current Price]]&lt;Table41[[#This Row],[Put wall]]*1.02,TRUE,FALSE)</f>
        <v>0</v>
      </c>
      <c r="R1004" t="b">
        <f ca="1">IF(Table41[[#This Row],[Current Price]]&gt;Table41[[#This Row],[Call wall]]*0.98,TRUE,FALSE)</f>
        <v>1</v>
      </c>
      <c r="S1004" s="4">
        <f>SUMIF(Table20[Asset],Table41[[#This Row],[Asset Name]],Table20[delta_exposure])</f>
        <v>0</v>
      </c>
      <c r="T1004" s="36" t="str" cm="1">
        <f t="array" aca="1" ref="T1004" ca="1">_FV(Table41[[#This Row],[Asset Name]],"Instrument type",TRUE)</f>
        <v>Stock</v>
      </c>
      <c r="U1004" s="183">
        <v>45595</v>
      </c>
      <c r="V1004" t="str">
        <f>VLOOKUP(Table41[[#This Row],[Asset Name]],Table19[#All],3,FALSE)</f>
        <v>Energy</v>
      </c>
      <c r="X1004" t="str">
        <f>VLOOKUP(Table41[[#This Row],[Asset Name]],Table19[#All],4,FALSE)</f>
        <v>Energy</v>
      </c>
      <c r="Y1004" s="147" t="str">
        <f ca="1">IF(Table41[[#This Row],[Current Price]]&lt;Table41[[#This Row],[Put wall]]*1.02,"✅",IF(Table41[[#This Row],[Current Price]]&gt;Table41[[#This Row],[Call wall]]*0.98,"🔻",""))</f>
        <v>🔻</v>
      </c>
      <c r="Z1004" s="203">
        <f ca="1">Table41[[#This Row],[Current Price]]/Table41[[#This Row],[Put wall]]-1</f>
        <v>0.81955555555555537</v>
      </c>
      <c r="AA1004" s="206">
        <f ca="1">Table41[[#This Row],[Current Price]]/Table41[[#This Row],[Call wall]]-1</f>
        <v>0.48872727272727268</v>
      </c>
    </row>
    <row r="1005" spans="1:27" hidden="1">
      <c r="A1005" s="194" t="e" vm="163">
        <v>#VALUE!</v>
      </c>
      <c r="B1005" s="13" t="str" cm="1">
        <f t="array" aca="1" ref="B1005" ca="1">_FV(Table41[[#This Row],[Asset Name]],"Ticker symbol",TRUE)</f>
        <v>LLY</v>
      </c>
      <c r="C1005" s="4">
        <f>SUMIF(Table20[Asset],Table41[[#This Row],[Asset Name]],Table20[realized_profit])</f>
        <v>8506.9999999999982</v>
      </c>
      <c r="D1005" s="4">
        <f>SUMIFS(Table20[realized_profit],Table20[Asset],Table41[[#This Row],[Asset Name]],Table20[date_purchased],"&gt;"&amp;$C$872,Table20[date_purchased],"&lt;"&amp;$E$872)</f>
        <v>682</v>
      </c>
      <c r="E1005" s="4">
        <f>SUMIFS(Table20[realized_profit],Table20[Asset],Table41[[#This Row],[Asset Name]],Table20[Bullish or Bearish],"Bullish",Table20[date_purchased],"&gt;"&amp;$C$872,Table20[date_purchased],"&lt;"&amp;$E$872)</f>
        <v>682</v>
      </c>
      <c r="F1005" s="4">
        <f>SUMIFS(Table20[realized_profit],Table20[Asset],Table41[[#This Row],[Asset Name]],Table20[Bullish or Bearish],"Bearish",Table20[date_purchased],"&gt;"&amp;$C$872,Table20[date_purchased],"&lt;"&amp;$E$872)</f>
        <v>0</v>
      </c>
      <c r="G1005" s="4">
        <f>SUMIFS(Table20[realized_profit],Table20[Asset],Table41[[#This Row],[Asset Name]],Table20[Strategy],"call",Table20[date_purchased],"&gt;"&amp;$C$872,Table20[date_purchased],"&lt;"&amp;$E$872)</f>
        <v>0</v>
      </c>
      <c r="H1005" s="4">
        <f>SUMIFS(Table20[realized_profit],Table20[Asset],Table41[[#This Row],[Asset Name]],Table20[Strategy],"put",Table20[date_purchased],"&gt;"&amp;$C$872,Table20[date_purchased],"&lt;"&amp;$E$872)</f>
        <v>0</v>
      </c>
      <c r="I1005" s="4">
        <f>SUMIFS(Table20[realized_profit],Table20[Asset],Table41[[#This Row],[Asset Name]],Table20[Strategy],"calendar spread",Table20[date_purchased],"&gt;"&amp;$C$872,Table20[date_purchased],"&lt;"&amp;$E$872)</f>
        <v>682</v>
      </c>
      <c r="J1005" s="4">
        <f>SUMIFS(Table20[realized_profit],Table20[Asset],Table41[[#This Row],[Asset Name]],Table20[Strategy],"put calendar spread",Table20[date_purchased],"&gt;"&amp;$C$872,Table20[date_purchased],"&lt;"&amp;$E$872)</f>
        <v>0</v>
      </c>
      <c r="K1005" s="4">
        <f>SUMIFS(Table20[realized_profit],Table20[Asset],Table41[[#This Row],[Asset Name]],Table20[Strategy],"put spread",Table20[date_purchased],"&gt;"&amp;$C$872,Table20[date_purchased],"&lt;"&amp;$E$872)</f>
        <v>0</v>
      </c>
      <c r="L1005" s="4">
        <f>SUMIFS(Table20[Invested],Table20[Asset],Table41[[#This Row],[Asset Name]],Table20[date_purchased],"&gt;"&amp;$C$872,Table20[date_purchased],"&lt;"&amp;$E$872)</f>
        <v>658</v>
      </c>
      <c r="M1005" s="14">
        <f>IFERROR(Table41[[#This Row],[Within timeline]]/Table41[[#This Row],[Invested]],0)</f>
        <v>1.0364741641337385</v>
      </c>
      <c r="N1005" s="187">
        <v>800</v>
      </c>
      <c r="O1005" s="9" cm="1">
        <f t="array" aca="1" ref="O1005" ca="1">_FV(Table41[[#This Row],[Asset Name]],"Price")</f>
        <v>910.82500000000005</v>
      </c>
      <c r="P1005" s="188">
        <v>900</v>
      </c>
      <c r="Q1005" t="b">
        <f ca="1">IF(Table41[[#This Row],[Current Price]]&lt;Table41[[#This Row],[Put wall]]*1.02,TRUE,FALSE)</f>
        <v>0</v>
      </c>
      <c r="R1005" t="b">
        <f ca="1">IF(Table41[[#This Row],[Current Price]]&gt;Table41[[#This Row],[Call wall]]*0.98,TRUE,FALSE)</f>
        <v>1</v>
      </c>
      <c r="S1005" s="4">
        <f ca="1">SUMIF(Table20[Asset],Table41[[#This Row],[Asset Name]],Table20[delta_exposure])</f>
        <v>0</v>
      </c>
      <c r="T1005" s="36" t="str" cm="1">
        <f t="array" aca="1" ref="T1005" ca="1">_FV(Table41[[#This Row],[Asset Name]],"Instrument type",TRUE)</f>
        <v>Stock</v>
      </c>
      <c r="U1005" s="183">
        <v>45595</v>
      </c>
      <c r="V1005" t="str">
        <f>VLOOKUP(Table41[[#This Row],[Asset Name]],Table19[#All],3,FALSE)</f>
        <v>Health Care</v>
      </c>
      <c r="X1005" t="str">
        <f>VLOOKUP(Table41[[#This Row],[Asset Name]],Table19[#All],4,FALSE)</f>
        <v>Weight Loss</v>
      </c>
      <c r="Y1005" s="147" t="str">
        <f ca="1">IF(Table41[[#This Row],[Current Price]]&lt;Table41[[#This Row],[Put wall]]*1.02,"✅",IF(Table41[[#This Row],[Current Price]]&gt;Table41[[#This Row],[Call wall]]*0.98,"🔻",""))</f>
        <v>🔻</v>
      </c>
      <c r="Z1005" s="203">
        <f ca="1">Table41[[#This Row],[Current Price]]/Table41[[#This Row],[Put wall]]-1</f>
        <v>0.13853124999999999</v>
      </c>
      <c r="AA1005" s="206">
        <f ca="1">Table41[[#This Row],[Current Price]]/Table41[[#This Row],[Call wall]]-1</f>
        <v>1.2027777777777748E-2</v>
      </c>
    </row>
    <row r="1006" spans="1:27" hidden="1">
      <c r="A1006" s="194" t="e" vm="164">
        <v>#VALUE!</v>
      </c>
      <c r="B1006" s="220" t="str" cm="1">
        <f t="array" aca="1" ref="B1006" ca="1">_FV(Table41[[#This Row],[Asset Name]],"Ticker symbol",TRUE)</f>
        <v>KLAC</v>
      </c>
      <c r="C1006" s="221">
        <f>SUMIF(Table20[Asset],Table41[[#This Row],[Asset Name]],Table20[realized_profit])</f>
        <v>0</v>
      </c>
      <c r="D1006" s="221">
        <f>SUMIFS(Table20[realized_profit],Table20[Asset],Table41[[#This Row],[Asset Name]],Table20[date_purchased],"&gt;"&amp;$C$872,Table20[date_purchased],"&lt;"&amp;$E$872)</f>
        <v>0</v>
      </c>
      <c r="E1006" s="221">
        <f>SUMIFS(Table20[realized_profit],Table20[Asset],Table41[[#This Row],[Asset Name]],Table20[Bullish or Bearish],"Bullish",Table20[date_purchased],"&gt;"&amp;$C$872,Table20[date_purchased],"&lt;"&amp;$E$872)</f>
        <v>0</v>
      </c>
      <c r="F1006" s="221">
        <f>SUMIFS(Table20[realized_profit],Table20[Asset],Table41[[#This Row],[Asset Name]],Table20[Bullish or Bearish],"Bearish",Table20[date_purchased],"&gt;"&amp;$C$872,Table20[date_purchased],"&lt;"&amp;$E$872)</f>
        <v>0</v>
      </c>
      <c r="G1006" s="221">
        <f>SUMIFS(Table20[realized_profit],Table20[Asset],Table41[[#This Row],[Asset Name]],Table20[Strategy],"call",Table20[date_purchased],"&gt;"&amp;$C$872,Table20[date_purchased],"&lt;"&amp;$E$872)</f>
        <v>0</v>
      </c>
      <c r="H1006" s="221">
        <f>SUMIFS(Table20[realized_profit],Table20[Asset],Table41[[#This Row],[Asset Name]],Table20[Strategy],"put",Table20[date_purchased],"&gt;"&amp;$C$872,Table20[date_purchased],"&lt;"&amp;$E$872)</f>
        <v>0</v>
      </c>
      <c r="I1006" s="221">
        <f>SUMIFS(Table20[realized_profit],Table20[Asset],Table41[[#This Row],[Asset Name]],Table20[Strategy],"calendar spread",Table20[date_purchased],"&gt;"&amp;$C$872,Table20[date_purchased],"&lt;"&amp;$E$872)</f>
        <v>0</v>
      </c>
      <c r="J1006" s="4">
        <f>SUMIFS(Table20[realized_profit],Table20[Asset],Table41[[#This Row],[Asset Name]],Table20[Strategy],"put calendar spread",Table20[date_purchased],"&gt;"&amp;$C$872,Table20[date_purchased],"&lt;"&amp;$E$872)</f>
        <v>0</v>
      </c>
      <c r="K1006" s="4">
        <f>SUMIFS(Table20[realized_profit],Table20[Asset],Table41[[#This Row],[Asset Name]],Table20[Strategy],"put spread",Table20[date_purchased],"&gt;"&amp;$C$872,Table20[date_purchased],"&lt;"&amp;$E$872)</f>
        <v>0</v>
      </c>
      <c r="L1006" s="221">
        <f>SUMIFS(Table20[Invested],Table20[Asset],Table41[[#This Row],[Asset Name]],Table20[date_purchased],"&gt;"&amp;$C$872,Table20[date_purchased],"&lt;"&amp;$E$872)</f>
        <v>0</v>
      </c>
      <c r="M1006" s="222">
        <f>IFERROR(Table41[[#This Row],[Within timeline]]/Table41[[#This Row],[Invested]],0)</f>
        <v>0</v>
      </c>
      <c r="N1006" s="223">
        <v>650</v>
      </c>
      <c r="O1006" s="179" cm="1">
        <f t="array" aca="1" ref="O1006" ca="1">_FV(Table41[[#This Row],[Asset Name]],"Price")</f>
        <v>1561.62</v>
      </c>
      <c r="P1006" s="225">
        <v>820</v>
      </c>
      <c r="Q1006" s="219" t="b">
        <f ca="1">IF(Table41[[#This Row],[Current Price]]&lt;Table41[[#This Row],[Put wall]]*1.02,TRUE,FALSE)</f>
        <v>0</v>
      </c>
      <c r="R1006" s="219" t="b">
        <f ca="1">IF(Table41[[#This Row],[Current Price]]&gt;Table41[[#This Row],[Call wall]]*0.98,TRUE,FALSE)</f>
        <v>1</v>
      </c>
      <c r="S1006" s="221">
        <f>SUMIF(Table20[Asset],Table41[[#This Row],[Asset Name]],Table20[delta_exposure])</f>
        <v>0</v>
      </c>
      <c r="T1006" s="36" t="str" cm="1">
        <f t="array" aca="1" ref="T1006" ca="1">_FV(Table41[[#This Row],[Asset Name]],"Instrument type",TRUE)</f>
        <v>Stock</v>
      </c>
      <c r="U1006" s="227"/>
      <c r="V1006" s="219" t="str">
        <f>VLOOKUP(Table41[[#This Row],[Asset Name]],Table19[#All],3,FALSE)</f>
        <v>Semiconductor</v>
      </c>
      <c r="X1006" s="219" t="str">
        <f>VLOOKUP(Table41[[#This Row],[Asset Name]],Table19[#All],4,FALSE)</f>
        <v>Semiconductor</v>
      </c>
      <c r="Y1006" s="189" t="str">
        <f ca="1">IF(Table41[[#This Row],[Current Price]]&lt;Table41[[#This Row],[Put wall]]*1.02,"✅",IF(Table41[[#This Row],[Current Price]]&gt;Table41[[#This Row],[Call wall]]*0.98,"🔻",""))</f>
        <v>🔻</v>
      </c>
      <c r="Z1006" s="204"/>
      <c r="AA1006" s="207">
        <f ca="1">Table41[[#This Row],[Current Price]]/Table41[[#This Row],[Call wall]]-1</f>
        <v>0.90441463414634127</v>
      </c>
    </row>
    <row r="1007" spans="1:27">
      <c r="A1007" s="194" t="e" vm="165">
        <v>#VALUE!</v>
      </c>
      <c r="B1007" s="189" t="str" cm="1">
        <f t="array" aca="1" ref="B1007" ca="1">_FV(Table41[[#This Row],[Asset Name]],"Ticker symbol",TRUE)</f>
        <v>NET</v>
      </c>
      <c r="C1007" s="4">
        <f>SUMIF(Table20[Asset],Table41[[#This Row],[Asset Name]],Table20[realized_profit])</f>
        <v>78.000000000000057</v>
      </c>
      <c r="D1007" s="4">
        <f>SUMIFS(Table20[realized_profit],Table20[Asset],Table41[[#This Row],[Asset Name]],Table20[date_purchased],"&gt;"&amp;$C$872,Table20[date_purchased],"&lt;"&amp;$E$872)</f>
        <v>78.000000000000057</v>
      </c>
      <c r="E1007" s="4">
        <f>SUMIFS(Table20[realized_profit],Table20[Asset],Table41[[#This Row],[Asset Name]],Table20[Bullish or Bearish],"Bullish",Table20[date_purchased],"&gt;"&amp;$C$872,Table20[date_purchased],"&lt;"&amp;$E$872)</f>
        <v>0</v>
      </c>
      <c r="F1007" s="4">
        <f>SUMIFS(Table20[realized_profit],Table20[Asset],Table41[[#This Row],[Asset Name]],Table20[Bullish or Bearish],"Bearish",Table20[date_purchased],"&gt;"&amp;$C$872,Table20[date_purchased],"&lt;"&amp;$E$872)</f>
        <v>78.000000000000057</v>
      </c>
      <c r="G1007" s="4">
        <f>SUMIFS(Table20[realized_profit],Table20[Asset],Table41[[#This Row],[Asset Name]],Table20[Strategy],"call",Table20[date_purchased],"&gt;"&amp;$C$872,Table20[date_purchased],"&lt;"&amp;$E$872)</f>
        <v>0</v>
      </c>
      <c r="H1007" s="4">
        <f>SUMIFS(Table20[realized_profit],Table20[Asset],Table41[[#This Row],[Asset Name]],Table20[Strategy],"put",Table20[date_purchased],"&gt;"&amp;$C$872,Table20[date_purchased],"&lt;"&amp;$E$872)</f>
        <v>-198</v>
      </c>
      <c r="I1007" s="4">
        <f>SUMIFS(Table20[realized_profit],Table20[Asset],Table41[[#This Row],[Asset Name]],Table20[Strategy],"calendar spread",Table20[date_purchased],"&gt;"&amp;$C$872,Table20[date_purchased],"&lt;"&amp;$E$872)</f>
        <v>0</v>
      </c>
      <c r="J1007" s="4">
        <f>SUMIFS(Table20[realized_profit],Table20[Asset],Table41[[#This Row],[Asset Name]],Table20[Strategy],"put calendar spread",Table20[date_purchased],"&gt;"&amp;$C$872,Table20[date_purchased],"&lt;"&amp;$E$872)</f>
        <v>0</v>
      </c>
      <c r="K1007" s="4">
        <f>SUMIFS(Table20[realized_profit],Table20[Asset],Table41[[#This Row],[Asset Name]],Table20[Strategy],"put spread",Table20[date_purchased],"&gt;"&amp;$C$872,Table20[date_purchased],"&lt;"&amp;$E$872)</f>
        <v>70.000000000000043</v>
      </c>
      <c r="L1007" s="4">
        <f>SUMIFS(Table20[Invested],Table20[Asset],Table41[[#This Row],[Asset Name]],Table20[date_purchased],"&gt;"&amp;$C$872,Table20[date_purchased],"&lt;"&amp;$E$872)</f>
        <v>329.99999999999989</v>
      </c>
      <c r="M1007" s="14">
        <f>IFERROR(Table41[[#This Row],[Within timeline]]/Table41[[#This Row],[Invested]],0)</f>
        <v>0.23636363636363661</v>
      </c>
      <c r="N1007" s="187">
        <v>60</v>
      </c>
      <c r="O1007" s="179" cm="1">
        <f t="array" aca="1" ref="O1007" ca="1">_FV(Table41[[#This Row],[Asset Name]],"Price")</f>
        <v>223.83</v>
      </c>
      <c r="P1007" s="188">
        <v>95</v>
      </c>
      <c r="Q1007" t="b">
        <f ca="1">IF(Table41[[#This Row],[Current Price]]&lt;Table41[[#This Row],[Put wall]]*1.02,TRUE,FALSE)</f>
        <v>0</v>
      </c>
      <c r="R1007" t="b">
        <f ca="1">IF(Table41[[#This Row],[Current Price]]&gt;Table41[[#This Row],[Call wall]]*0.98,TRUE,FALSE)</f>
        <v>1</v>
      </c>
      <c r="S1007" s="4">
        <f ca="1">SUMIF(Table20[Asset],Table41[[#This Row],[Asset Name]],Table20[delta_exposure])</f>
        <v>0</v>
      </c>
      <c r="T1007" s="36" t="str" cm="1">
        <f t="array" aca="1" ref="T1007" ca="1">_FV(Table41[[#This Row],[Asset Name]],"Instrument type",TRUE)</f>
        <v>Stock</v>
      </c>
      <c r="U1007" s="183">
        <v>45603</v>
      </c>
      <c r="V1007" t="str">
        <f>VLOOKUP(Table41[[#This Row],[Asset Name]],Table19[#All],3,FALSE)</f>
        <v>Technology</v>
      </c>
      <c r="X1007" s="194" t="str">
        <f>VLOOKUP(Table41[[#This Row],[Asset Name]],Table19[#All],4,FALSE)</f>
        <v>Software</v>
      </c>
      <c r="Y1007" s="189" t="str">
        <f ca="1">IF(Table41[[#This Row],[Current Price]]&lt;Table41[[#This Row],[Put wall]]*1.02,"✅",IF(Table41[[#This Row],[Current Price]]&gt;Table41[[#This Row],[Call wall]]*0.98,"🔻",""))</f>
        <v>🔻</v>
      </c>
      <c r="Z1007" s="203">
        <f ca="1">Table41[[#This Row],[Current Price]]/Table41[[#This Row],[Put wall]]-1</f>
        <v>2.7305000000000001</v>
      </c>
      <c r="AA1007" s="207">
        <f ca="1">Table41[[#This Row],[Current Price]]/Table41[[#This Row],[Call wall]]-1</f>
        <v>1.3561052631578949</v>
      </c>
    </row>
    <row r="1008" spans="1:27" hidden="1">
      <c r="A1008" s="194" t="e" vm="166">
        <v>#VALUE!</v>
      </c>
      <c r="B1008" s="13" t="str" cm="1">
        <f t="array" aca="1" ref="B1008" ca="1">_FV(Table41[[#This Row],[Asset Name]],"Ticker symbol",TRUE)</f>
        <v>RIVN</v>
      </c>
      <c r="C1008" s="4">
        <f>SUMIF(Table20[Asset],Table41[[#This Row],[Asset Name]],Table20[realized_profit])</f>
        <v>0</v>
      </c>
      <c r="D1008" s="4">
        <f>SUMIFS(Table20[realized_profit],Table20[Asset],Table41[[#This Row],[Asset Name]],Table20[date_purchased],"&gt;"&amp;$C$872,Table20[date_purchased],"&lt;"&amp;$E$872)</f>
        <v>0</v>
      </c>
      <c r="E1008" s="4">
        <f>SUMIFS(Table20[realized_profit],Table20[Asset],Table41[[#This Row],[Asset Name]],Table20[Bullish or Bearish],"Bullish",Table20[date_purchased],"&gt;"&amp;$C$872,Table20[date_purchased],"&lt;"&amp;$E$872)</f>
        <v>0</v>
      </c>
      <c r="F1008" s="4">
        <f>SUMIFS(Table20[realized_profit],Table20[Asset],Table41[[#This Row],[Asset Name]],Table20[Bullish or Bearish],"Bearish",Table20[date_purchased],"&gt;"&amp;$C$872,Table20[date_purchased],"&lt;"&amp;$E$872)</f>
        <v>0</v>
      </c>
      <c r="G1008" s="4">
        <f>SUMIFS(Table20[realized_profit],Table20[Asset],Table41[[#This Row],[Asset Name]],Table20[Strategy],"call",Table20[date_purchased],"&gt;"&amp;$C$872,Table20[date_purchased],"&lt;"&amp;$E$872)</f>
        <v>0</v>
      </c>
      <c r="H1008" s="4">
        <f>SUMIFS(Table20[realized_profit],Table20[Asset],Table41[[#This Row],[Asset Name]],Table20[Strategy],"put",Table20[date_purchased],"&gt;"&amp;$C$872,Table20[date_purchased],"&lt;"&amp;$E$872)</f>
        <v>0</v>
      </c>
      <c r="I1008" s="4">
        <f>SUMIFS(Table20[realized_profit],Table20[Asset],Table41[[#This Row],[Asset Name]],Table20[Strategy],"calendar spread",Table20[date_purchased],"&gt;"&amp;$C$872,Table20[date_purchased],"&lt;"&amp;$E$872)</f>
        <v>0</v>
      </c>
      <c r="J1008" s="4">
        <f>SUMIFS(Table20[realized_profit],Table20[Asset],Table41[[#This Row],[Asset Name]],Table20[Strategy],"put calendar spread",Table20[date_purchased],"&gt;"&amp;$C$872,Table20[date_purchased],"&lt;"&amp;$E$872)</f>
        <v>0</v>
      </c>
      <c r="K1008" s="4">
        <f>SUMIFS(Table20[realized_profit],Table20[Asset],Table41[[#This Row],[Asset Name]],Table20[Strategy],"put spread",Table20[date_purchased],"&gt;"&amp;$C$872,Table20[date_purchased],"&lt;"&amp;$E$872)</f>
        <v>0</v>
      </c>
      <c r="L1008" s="4">
        <f>SUMIFS(Table20[Invested],Table20[Asset],Table41[[#This Row],[Asset Name]],Table20[date_purchased],"&gt;"&amp;$C$872,Table20[date_purchased],"&lt;"&amp;$E$872)</f>
        <v>0</v>
      </c>
      <c r="M1008" s="14">
        <f>IFERROR(Table41[[#This Row],[Within timeline]]/Table41[[#This Row],[Invested]],0)</f>
        <v>0</v>
      </c>
      <c r="N1008" s="187">
        <v>7.5</v>
      </c>
      <c r="O1008" s="179" cm="1">
        <f t="array" aca="1" ref="O1008" ca="1">_FV(Table41[[#This Row],[Asset Name]],"Price")</f>
        <v>16.085000000000001</v>
      </c>
      <c r="P1008" s="188">
        <v>12.5</v>
      </c>
      <c r="Q1008" t="b">
        <f ca="1">IF(Table41[[#This Row],[Current Price]]&lt;Table41[[#This Row],[Put wall]]*1.02,TRUE,FALSE)</f>
        <v>0</v>
      </c>
      <c r="R1008" t="b">
        <f ca="1">IF(Table41[[#This Row],[Current Price]]&gt;Table41[[#This Row],[Call wall]]*0.98,TRUE,FALSE)</f>
        <v>1</v>
      </c>
      <c r="S1008" s="4">
        <f>SUMIF(Table20[Asset],Table41[[#This Row],[Asset Name]],Table20[delta_exposure])</f>
        <v>0</v>
      </c>
      <c r="T1008" s="36" t="str" cm="1">
        <f t="array" aca="1" ref="T1008" ca="1">_FV(Table41[[#This Row],[Asset Name]],"Instrument type",TRUE)</f>
        <v>Stock</v>
      </c>
      <c r="U1008" s="183">
        <v>45603</v>
      </c>
      <c r="V1008" t="str">
        <f>VLOOKUP(Table41[[#This Row],[Asset Name]],Table19[#All],3,FALSE)</f>
        <v>Auto</v>
      </c>
      <c r="X1008" t="str">
        <f>VLOOKUP(Table41[[#This Row],[Asset Name]],Table19[#All],4,FALSE)</f>
        <v>Auto</v>
      </c>
      <c r="Y1008" s="189" t="str">
        <f ca="1">IF(Table41[[#This Row],[Current Price]]&lt;Table41[[#This Row],[Put wall]]*1.02,"✅",IF(Table41[[#This Row],[Current Price]]&gt;Table41[[#This Row],[Call wall]]*0.98,"🔻",""))</f>
        <v>🔻</v>
      </c>
      <c r="Z1008" s="204"/>
      <c r="AA1008" s="207">
        <f ca="1">Table41[[#This Row],[Current Price]]/Table41[[#This Row],[Call wall]]-1</f>
        <v>0.28680000000000017</v>
      </c>
    </row>
    <row r="1009" spans="1:28" hidden="1">
      <c r="A1009" s="194" t="e" vm="56">
        <v>#VALUE!</v>
      </c>
      <c r="B1009" s="13" t="str" cm="1">
        <f t="array" aca="1" ref="B1009" ca="1">_FV(Table41[[#This Row],[Asset Name]],"Ticker symbol",TRUE)</f>
        <v>PBF</v>
      </c>
      <c r="C1009" s="4">
        <f>SUMIF(Table20[Asset],Table41[[#This Row],[Asset Name]],Table20[realized_profit])</f>
        <v>-790</v>
      </c>
      <c r="D1009" s="4">
        <f>SUMIFS(Table20[realized_profit],Table20[Asset],Table41[[#This Row],[Asset Name]],Table20[date_purchased],"&gt;"&amp;$C$872,Table20[date_purchased],"&lt;"&amp;$E$872)</f>
        <v>0</v>
      </c>
      <c r="E1009" s="4">
        <f>SUMIFS(Table20[realized_profit],Table20[Asset],Table41[[#This Row],[Asset Name]],Table20[Bullish or Bearish],"Bullish",Table20[date_purchased],"&gt;"&amp;$C$872,Table20[date_purchased],"&lt;"&amp;$E$872)</f>
        <v>0</v>
      </c>
      <c r="F1009" s="4">
        <f>SUMIFS(Table20[realized_profit],Table20[Asset],Table41[[#This Row],[Asset Name]],Table20[Bullish or Bearish],"Bearish",Table20[date_purchased],"&gt;"&amp;$C$872,Table20[date_purchased],"&lt;"&amp;$E$872)</f>
        <v>0</v>
      </c>
      <c r="G1009" s="4">
        <f>SUMIFS(Table20[realized_profit],Table20[Asset],Table41[[#This Row],[Asset Name]],Table20[Strategy],"call",Table20[date_purchased],"&gt;"&amp;$C$872,Table20[date_purchased],"&lt;"&amp;$E$872)</f>
        <v>0</v>
      </c>
      <c r="H1009" s="4">
        <f>SUMIFS(Table20[realized_profit],Table20[Asset],Table41[[#This Row],[Asset Name]],Table20[Strategy],"put",Table20[date_purchased],"&gt;"&amp;$C$872,Table20[date_purchased],"&lt;"&amp;$E$872)</f>
        <v>0</v>
      </c>
      <c r="I1009" s="4">
        <f>SUMIFS(Table20[realized_profit],Table20[Asset],Table41[[#This Row],[Asset Name]],Table20[Strategy],"calendar spread",Table20[date_purchased],"&gt;"&amp;$C$872,Table20[date_purchased],"&lt;"&amp;$E$872)</f>
        <v>0</v>
      </c>
      <c r="J1009" s="4">
        <f>SUMIFS(Table20[realized_profit],Table20[Asset],Table41[[#This Row],[Asset Name]],Table20[Strategy],"put calendar spread",Table20[date_purchased],"&gt;"&amp;$C$872,Table20[date_purchased],"&lt;"&amp;$E$872)</f>
        <v>0</v>
      </c>
      <c r="K1009" s="4">
        <f>SUMIFS(Table20[realized_profit],Table20[Asset],Table41[[#This Row],[Asset Name]],Table20[Strategy],"put spread",Table20[date_purchased],"&gt;"&amp;$C$872,Table20[date_purchased],"&lt;"&amp;$E$872)</f>
        <v>0</v>
      </c>
      <c r="L1009" s="4">
        <f>SUMIFS(Table20[Invested],Table20[Asset],Table41[[#This Row],[Asset Name]],Table20[date_purchased],"&gt;"&amp;$C$872,Table20[date_purchased],"&lt;"&amp;$E$872)</f>
        <v>0</v>
      </c>
      <c r="M1009" s="14">
        <f>IFERROR(Table41[[#This Row],[Within timeline]]/Table41[[#This Row],[Invested]],0)</f>
        <v>0</v>
      </c>
      <c r="N1009" s="187">
        <v>30</v>
      </c>
      <c r="O1009" s="179" cm="1">
        <f t="array" aca="1" ref="O1009" ca="1">_FV(Table41[[#This Row],[Asset Name]],"Price")</f>
        <v>49.325000000000003</v>
      </c>
      <c r="P1009" s="188">
        <v>35</v>
      </c>
      <c r="Q1009" t="b">
        <f ca="1">IF(Table41[[#This Row],[Current Price]]&lt;Table41[[#This Row],[Put wall]]*1.02,TRUE,FALSE)</f>
        <v>0</v>
      </c>
      <c r="R1009" t="b">
        <f ca="1">IF(Table41[[#This Row],[Current Price]]&gt;Table41[[#This Row],[Call wall]]*0.98,TRUE,FALSE)</f>
        <v>1</v>
      </c>
      <c r="S1009" s="4">
        <f ca="1">SUMIF(Table20[Asset],Table41[[#This Row],[Asset Name]],Table20[delta_exposure])</f>
        <v>0</v>
      </c>
      <c r="T1009" s="36" t="str" cm="1">
        <f t="array" aca="1" ref="T1009" ca="1">_FV(Table41[[#This Row],[Asset Name]],"Instrument type",TRUE)</f>
        <v>Stock</v>
      </c>
      <c r="U1009" s="183">
        <v>45596</v>
      </c>
      <c r="V1009" t="str">
        <f>VLOOKUP(Table41[[#This Row],[Asset Name]],Table19[#All],3,FALSE)</f>
        <v>Energy</v>
      </c>
      <c r="X1009" t="str">
        <f>VLOOKUP(Table41[[#This Row],[Asset Name]],Table19[#All],4,FALSE)</f>
        <v>Refinery</v>
      </c>
      <c r="Y1009" s="147" t="str">
        <f ca="1">IF(Table41[[#This Row],[Current Price]]&lt;Table41[[#This Row],[Put wall]]*1.02,"✅",IF(Table41[[#This Row],[Current Price]]&gt;Table41[[#This Row],[Call wall]]*0.98,"🔻",""))</f>
        <v>🔻</v>
      </c>
      <c r="Z1009" s="203">
        <f ca="1">Table41[[#This Row],[Current Price]]/Table41[[#This Row],[Put wall]]-1</f>
        <v>0.64416666666666678</v>
      </c>
      <c r="AA1009" s="206">
        <f ca="1">Table41[[#This Row],[Current Price]]/Table41[[#This Row],[Call wall]]-1</f>
        <v>0.40928571428571447</v>
      </c>
    </row>
    <row r="1010" spans="1:28">
      <c r="A1010" s="194" t="e" vm="167">
        <v>#VALUE!</v>
      </c>
      <c r="B1010" s="189" t="str" cm="1">
        <f t="array" aca="1" ref="B1010" ca="1">_FV(Table41[[#This Row],[Asset Name]],"Ticker symbol",TRUE)</f>
        <v>INFY</v>
      </c>
      <c r="C1010" s="4">
        <f>SUMIF(Table20[Asset],Table41[[#This Row],[Asset Name]],Table20[realized_profit])</f>
        <v>300</v>
      </c>
      <c r="D1010" s="4">
        <f>SUMIFS(Table20[realized_profit],Table20[Asset],Table41[[#This Row],[Asset Name]],Table20[date_purchased],"&gt;"&amp;$C$872,Table20[date_purchased],"&lt;"&amp;$E$872)</f>
        <v>300</v>
      </c>
      <c r="E1010" s="4">
        <f>SUMIFS(Table20[realized_profit],Table20[Asset],Table41[[#This Row],[Asset Name]],Table20[Bullish or Bearish],"Bullish",Table20[date_purchased],"&gt;"&amp;$C$872,Table20[date_purchased],"&lt;"&amp;$E$872)</f>
        <v>0</v>
      </c>
      <c r="F1010" s="4">
        <f>SUMIFS(Table20[realized_profit],Table20[Asset],Table41[[#This Row],[Asset Name]],Table20[Bullish or Bearish],"Bearish",Table20[date_purchased],"&gt;"&amp;$C$872,Table20[date_purchased],"&lt;"&amp;$E$872)</f>
        <v>300</v>
      </c>
      <c r="G1010" s="4">
        <f>SUMIFS(Table20[realized_profit],Table20[Asset],Table41[[#This Row],[Asset Name]],Table20[Strategy],"call",Table20[date_purchased],"&gt;"&amp;$C$872,Table20[date_purchased],"&lt;"&amp;$E$872)</f>
        <v>0</v>
      </c>
      <c r="H1010" s="4">
        <f>SUMIFS(Table20[realized_profit],Table20[Asset],Table41[[#This Row],[Asset Name]],Table20[Strategy],"put",Table20[date_purchased],"&gt;"&amp;$C$872,Table20[date_purchased],"&lt;"&amp;$E$872)</f>
        <v>300</v>
      </c>
      <c r="I1010" s="4">
        <f>SUMIFS(Table20[realized_profit],Table20[Asset],Table41[[#This Row],[Asset Name]],Table20[Strategy],"calendar spread",Table20[date_purchased],"&gt;"&amp;$C$872,Table20[date_purchased],"&lt;"&amp;$E$872)</f>
        <v>0</v>
      </c>
      <c r="J1010" s="4">
        <f>SUMIFS(Table20[realized_profit],Table20[Asset],Table41[[#This Row],[Asset Name]],Table20[Strategy],"put calendar spread",Table20[date_purchased],"&gt;"&amp;$C$872,Table20[date_purchased],"&lt;"&amp;$E$872)</f>
        <v>0</v>
      </c>
      <c r="K1010" s="4">
        <f>SUMIFS(Table20[realized_profit],Table20[Asset],Table41[[#This Row],[Asset Name]],Table20[Strategy],"put spread",Table20[date_purchased],"&gt;"&amp;$C$872,Table20[date_purchased],"&lt;"&amp;$E$872)</f>
        <v>0</v>
      </c>
      <c r="L1010" s="4">
        <f>SUMIFS(Table20[Invested],Table20[Asset],Table41[[#This Row],[Asset Name]],Table20[date_purchased],"&gt;"&amp;$C$872,Table20[date_purchased],"&lt;"&amp;$E$872)</f>
        <v>200</v>
      </c>
      <c r="M1010" s="14">
        <f>IFERROR(Table41[[#This Row],[Within timeline]]/Table41[[#This Row],[Invested]],0)</f>
        <v>1.5</v>
      </c>
      <c r="N1010" s="187">
        <v>19</v>
      </c>
      <c r="O1010" s="179" cm="1">
        <f t="array" aca="1" ref="O1010" ca="1">_FV(Table41[[#This Row],[Asset Name]],"Price")</f>
        <v>13.2</v>
      </c>
      <c r="P1010" s="188">
        <v>22</v>
      </c>
      <c r="Q1010" t="b">
        <f ca="1">IF(Table41[[#This Row],[Current Price]]&lt;Table41[[#This Row],[Put wall]]*1.02,TRUE,FALSE)</f>
        <v>1</v>
      </c>
      <c r="R1010" t="b">
        <f ca="1">IF(Table41[[#This Row],[Current Price]]&gt;Table41[[#This Row],[Call wall]]*0.98,TRUE,FALSE)</f>
        <v>0</v>
      </c>
      <c r="S1010" s="4">
        <f ca="1">SUMIF(Table20[Asset],Table41[[#This Row],[Asset Name]],Table20[delta_exposure])</f>
        <v>0</v>
      </c>
      <c r="T1010" s="36" t="str" cm="1">
        <f t="array" aca="1" ref="T1010" ca="1">_FV(Table41[[#This Row],[Asset Name]],"Instrument type",TRUE)</f>
        <v>Stock</v>
      </c>
      <c r="U1010" s="183">
        <v>45582</v>
      </c>
      <c r="V1010" t="str">
        <f>VLOOKUP(Table41[[#This Row],[Asset Name]],Table19[#All],3,FALSE)</f>
        <v>Technology</v>
      </c>
      <c r="X1010" s="194" t="str">
        <f>VLOOKUP(Table41[[#This Row],[Asset Name]],Table19[#All],4,FALSE)</f>
        <v>Software</v>
      </c>
      <c r="Y1010" s="189" t="str">
        <f ca="1">IF(Table41[[#This Row],[Current Price]]&lt;Table41[[#This Row],[Put wall]]*1.02,"✅",IF(Table41[[#This Row],[Current Price]]&gt;Table41[[#This Row],[Call wall]]*0.98,"🔻",""))</f>
        <v>✅</v>
      </c>
      <c r="Z1010" s="203">
        <f ca="1">Table41[[#This Row],[Current Price]]/Table41[[#This Row],[Put wall]]-1</f>
        <v>-0.3052631578947369</v>
      </c>
      <c r="AA1010" s="207">
        <f ca="1">Table41[[#This Row],[Current Price]]/Table41[[#This Row],[Call wall]]-1</f>
        <v>-0.4</v>
      </c>
    </row>
    <row r="1011" spans="1:28" hidden="1">
      <c r="A1011" s="194" t="e" vm="168">
        <v>#VALUE!</v>
      </c>
      <c r="B1011" s="13" t="str" cm="1">
        <f t="array" aca="1" ref="B1011" ca="1">_FV(Table41[[#This Row],[Asset Name]],"Ticker symbol",TRUE)</f>
        <v>PDD</v>
      </c>
      <c r="C1011" s="4">
        <f>SUMIF(Table20[Asset],Table41[[#This Row],[Asset Name]],Table20[realized_profit])</f>
        <v>1390</v>
      </c>
      <c r="D1011" s="4">
        <f>SUMIFS(Table20[realized_profit],Table20[Asset],Table41[[#This Row],[Asset Name]],Table20[date_purchased],"&gt;"&amp;$C$872,Table20[date_purchased],"&lt;"&amp;$E$872)</f>
        <v>0</v>
      </c>
      <c r="E1011" s="4">
        <f>SUMIFS(Table20[realized_profit],Table20[Asset],Table41[[#This Row],[Asset Name]],Table20[Bullish or Bearish],"Bullish",Table20[date_purchased],"&gt;"&amp;$C$872,Table20[date_purchased],"&lt;"&amp;$E$872)</f>
        <v>0</v>
      </c>
      <c r="F1011" s="4">
        <f>SUMIFS(Table20[realized_profit],Table20[Asset],Table41[[#This Row],[Asset Name]],Table20[Bullish or Bearish],"Bearish",Table20[date_purchased],"&gt;"&amp;$C$872,Table20[date_purchased],"&lt;"&amp;$E$872)</f>
        <v>0</v>
      </c>
      <c r="G1011" s="4">
        <f>SUMIFS(Table20[realized_profit],Table20[Asset],Table41[[#This Row],[Asset Name]],Table20[Strategy],"call",Table20[date_purchased],"&gt;"&amp;$C$872,Table20[date_purchased],"&lt;"&amp;$E$872)</f>
        <v>0</v>
      </c>
      <c r="H1011" s="4">
        <f>SUMIFS(Table20[realized_profit],Table20[Asset],Table41[[#This Row],[Asset Name]],Table20[Strategy],"put",Table20[date_purchased],"&gt;"&amp;$C$872,Table20[date_purchased],"&lt;"&amp;$E$872)</f>
        <v>0</v>
      </c>
      <c r="I1011" s="4">
        <f>SUMIFS(Table20[realized_profit],Table20[Asset],Table41[[#This Row],[Asset Name]],Table20[Strategy],"calendar spread",Table20[date_purchased],"&gt;"&amp;$C$872,Table20[date_purchased],"&lt;"&amp;$E$872)</f>
        <v>0</v>
      </c>
      <c r="J1011" s="4">
        <f>SUMIFS(Table20[realized_profit],Table20[Asset],Table41[[#This Row],[Asset Name]],Table20[Strategy],"put calendar spread",Table20[date_purchased],"&gt;"&amp;$C$872,Table20[date_purchased],"&lt;"&amp;$E$872)</f>
        <v>0</v>
      </c>
      <c r="K1011" s="4">
        <f>SUMIFS(Table20[realized_profit],Table20[Asset],Table41[[#This Row],[Asset Name]],Table20[Strategy],"put spread",Table20[date_purchased],"&gt;"&amp;$C$872,Table20[date_purchased],"&lt;"&amp;$E$872)</f>
        <v>0</v>
      </c>
      <c r="L1011" s="4">
        <f>SUMIFS(Table20[Invested],Table20[Asset],Table41[[#This Row],[Asset Name]],Table20[date_purchased],"&gt;"&amp;$C$872,Table20[date_purchased],"&lt;"&amp;$E$872)</f>
        <v>0</v>
      </c>
      <c r="M1011" s="14">
        <f>IFERROR(Table41[[#This Row],[Within timeline]]/Table41[[#This Row],[Invested]],0)</f>
        <v>0</v>
      </c>
      <c r="N1011" s="187">
        <v>145</v>
      </c>
      <c r="O1011" s="179" cm="1">
        <f t="array" aca="1" ref="O1011" ca="1">_FV(Table41[[#This Row],[Asset Name]],"Price")</f>
        <v>106.22</v>
      </c>
      <c r="P1011" s="188">
        <v>150</v>
      </c>
      <c r="Q1011" t="b">
        <f ca="1">IF(Table41[[#This Row],[Current Price]]&lt;Table41[[#This Row],[Put wall]]*1.02,TRUE,FALSE)</f>
        <v>1</v>
      </c>
      <c r="R1011" t="b">
        <f ca="1">IF(Table41[[#This Row],[Current Price]]&gt;Table41[[#This Row],[Call wall]]*0.98,TRUE,FALSE)</f>
        <v>0</v>
      </c>
      <c r="S1011" s="4">
        <f ca="1">SUMIF(Table20[Asset],Table41[[#This Row],[Asset Name]],Table20[delta_exposure])</f>
        <v>0</v>
      </c>
      <c r="T1011" s="36" t="str" cm="1">
        <f t="array" aca="1" ref="T1011" ca="1">_FV(Table41[[#This Row],[Asset Name]],"Instrument type",TRUE)</f>
        <v>Stock</v>
      </c>
      <c r="U1011" s="183">
        <v>45617</v>
      </c>
      <c r="V1011" t="str">
        <f>VLOOKUP(Table41[[#This Row],[Asset Name]],Table19[#All],3,FALSE)</f>
        <v>China</v>
      </c>
      <c r="X1011" t="str">
        <f>VLOOKUP(Table41[[#This Row],[Asset Name]],Table19[#All],4,FALSE)</f>
        <v>China</v>
      </c>
      <c r="Y1011" s="147" t="str">
        <f ca="1">IF(Table41[[#This Row],[Current Price]]&lt;Table41[[#This Row],[Put wall]]*1.02,"✅",IF(Table41[[#This Row],[Current Price]]&gt;Table41[[#This Row],[Call wall]]*0.98,"🔻",""))</f>
        <v>✅</v>
      </c>
      <c r="Z1011" s="203">
        <f ca="1">Table41[[#This Row],[Current Price]]/Table41[[#This Row],[Put wall]]-1</f>
        <v>-0.26744827586206898</v>
      </c>
      <c r="AA1011" s="206">
        <f ca="1">Table41[[#This Row],[Current Price]]/Table41[[#This Row],[Call wall]]-1</f>
        <v>-0.29186666666666672</v>
      </c>
    </row>
    <row r="1012" spans="1:28" hidden="1">
      <c r="A1012" s="194" t="e" vm="169">
        <v>#VALUE!</v>
      </c>
      <c r="B1012" s="189" t="str" cm="1">
        <f t="array" aca="1" ref="B1012" ca="1">_FV(Table41[[#This Row],[Asset Name]],"Ticker symbol",TRUE)</f>
        <v>CVS</v>
      </c>
      <c r="C1012" s="4">
        <f>SUMIF(Table20[Asset],Table41[[#This Row],[Asset Name]],Table20[realized_profit])</f>
        <v>-446.00000000000006</v>
      </c>
      <c r="D1012" s="4">
        <f>SUMIFS(Table20[realized_profit],Table20[Asset],Table41[[#This Row],[Asset Name]],Table20[date_purchased],"&gt;"&amp;$C$872,Table20[date_purchased],"&lt;"&amp;$E$872)</f>
        <v>-261.00000000000006</v>
      </c>
      <c r="E1012" s="4">
        <f>SUMIFS(Table20[realized_profit],Table20[Asset],Table41[[#This Row],[Asset Name]],Table20[Bullish or Bearish],"Bullish",Table20[date_purchased],"&gt;"&amp;$C$872,Table20[date_purchased],"&lt;"&amp;$E$872)</f>
        <v>-261.00000000000006</v>
      </c>
      <c r="F1012" s="4">
        <f>SUMIFS(Table20[realized_profit],Table20[Asset],Table41[[#This Row],[Asset Name]],Table20[Bullish or Bearish],"Bearish",Table20[date_purchased],"&gt;"&amp;$C$872,Table20[date_purchased],"&lt;"&amp;$E$872)</f>
        <v>0</v>
      </c>
      <c r="G1012" s="4">
        <f>SUMIFS(Table20[realized_profit],Table20[Asset],Table41[[#This Row],[Asset Name]],Table20[Strategy],"call",Table20[date_purchased],"&gt;"&amp;$C$872,Table20[date_purchased],"&lt;"&amp;$E$872)</f>
        <v>-261.00000000000006</v>
      </c>
      <c r="H1012" s="4">
        <f>SUMIFS(Table20[realized_profit],Table20[Asset],Table41[[#This Row],[Asset Name]],Table20[Strategy],"put",Table20[date_purchased],"&gt;"&amp;$C$872,Table20[date_purchased],"&lt;"&amp;$E$872)</f>
        <v>0</v>
      </c>
      <c r="I1012" s="4">
        <f>SUMIFS(Table20[realized_profit],Table20[Asset],Table41[[#This Row],[Asset Name]],Table20[Strategy],"calendar spread",Table20[date_purchased],"&gt;"&amp;$C$872,Table20[date_purchased],"&lt;"&amp;$E$872)</f>
        <v>0</v>
      </c>
      <c r="J1012" s="4">
        <f>SUMIFS(Table20[realized_profit],Table20[Asset],Table41[[#This Row],[Asset Name]],Table20[Strategy],"put calendar spread",Table20[date_purchased],"&gt;"&amp;$C$872,Table20[date_purchased],"&lt;"&amp;$E$872)</f>
        <v>0</v>
      </c>
      <c r="K1012" s="4">
        <f>SUMIFS(Table20[realized_profit],Table20[Asset],Table41[[#This Row],[Asset Name]],Table20[Strategy],"put spread",Table20[date_purchased],"&gt;"&amp;$C$872,Table20[date_purchased],"&lt;"&amp;$E$872)</f>
        <v>0</v>
      </c>
      <c r="L1012" s="4">
        <f>SUMIFS(Table20[Invested],Table20[Asset],Table41[[#This Row],[Asset Name]],Table20[date_purchased],"&gt;"&amp;$C$872,Table20[date_purchased],"&lt;"&amp;$E$872)</f>
        <v>330</v>
      </c>
      <c r="M1012" s="14">
        <f>IFERROR(Table41[[#This Row],[Within timeline]]/Table41[[#This Row],[Invested]],0)</f>
        <v>-0.79090909090909112</v>
      </c>
      <c r="N1012" s="187">
        <v>50</v>
      </c>
      <c r="O1012" s="179" cm="1">
        <f t="array" aca="1" ref="O1012" ca="1">_FV(Table41[[#This Row],[Asset Name]],"Price")</f>
        <v>72.055000000000007</v>
      </c>
      <c r="P1012" s="188">
        <v>60</v>
      </c>
      <c r="Q1012" t="b">
        <f ca="1">IF(Table41[[#This Row],[Current Price]]&lt;Table41[[#This Row],[Put wall]]*1.02,TRUE,FALSE)</f>
        <v>0</v>
      </c>
      <c r="R1012" t="b">
        <f ca="1">IF(Table41[[#This Row],[Current Price]]&gt;Table41[[#This Row],[Call wall]]*0.98,TRUE,FALSE)</f>
        <v>1</v>
      </c>
      <c r="S1012" s="4">
        <f ca="1">SUMIF(Table20[Asset],Table41[[#This Row],[Asset Name]],Table20[delta_exposure])</f>
        <v>0</v>
      </c>
      <c r="T1012" s="36" t="str" cm="1">
        <f t="array" aca="1" ref="T1012" ca="1">_FV(Table41[[#This Row],[Asset Name]],"Instrument type",TRUE)</f>
        <v>Stock</v>
      </c>
      <c r="U1012" s="183">
        <v>45602</v>
      </c>
      <c r="V1012" t="str">
        <f>VLOOKUP(Table41[[#This Row],[Asset Name]],Table19[#All],3,FALSE)</f>
        <v>Health Care</v>
      </c>
      <c r="X1012" s="194" t="str">
        <f>VLOOKUP(Table41[[#This Row],[Asset Name]],Table19[#All],4,FALSE)</f>
        <v>Health Care</v>
      </c>
      <c r="Y1012" s="189" t="str">
        <f ca="1">IF(Table41[[#This Row],[Current Price]]&lt;Table41[[#This Row],[Put wall]]*1.02,"✅",IF(Table41[[#This Row],[Current Price]]&gt;Table41[[#This Row],[Call wall]]*0.98,"🔻",""))</f>
        <v>🔻</v>
      </c>
      <c r="Z1012" s="203">
        <f ca="1">Table41[[#This Row],[Current Price]]/Table41[[#This Row],[Put wall]]-1</f>
        <v>0.44110000000000005</v>
      </c>
      <c r="AA1012" s="207">
        <f ca="1">Table41[[#This Row],[Current Price]]/Table41[[#This Row],[Call wall]]-1</f>
        <v>0.20091666666666685</v>
      </c>
    </row>
    <row r="1013" spans="1:28">
      <c r="A1013" s="194" t="e" vm="24">
        <v>#VALUE!</v>
      </c>
      <c r="B1013" s="13" t="str" cm="1">
        <f t="array" aca="1" ref="B1013" ca="1">_FV(Table41[[#This Row],[Asset Name]],"Ticker symbol",TRUE)</f>
        <v>QCOM</v>
      </c>
      <c r="C1013" s="4">
        <f>SUMIF(Table20[Asset],Table41[[#This Row],[Asset Name]],Table20[realized_profit])</f>
        <v>-2175.9999999999995</v>
      </c>
      <c r="D1013" s="4">
        <f>SUMIFS(Table20[realized_profit],Table20[Asset],Table41[[#This Row],[Asset Name]],Table20[date_purchased],"&gt;"&amp;$C$872,Table20[date_purchased],"&lt;"&amp;$E$872)</f>
        <v>-1476.9999999999998</v>
      </c>
      <c r="E1013" s="4">
        <f>SUMIFS(Table20[realized_profit],Table20[Asset],Table41[[#This Row],[Asset Name]],Table20[Bullish or Bearish],"Bullish",Table20[date_purchased],"&gt;"&amp;$C$872,Table20[date_purchased],"&lt;"&amp;$E$872)</f>
        <v>-1476.9999999999998</v>
      </c>
      <c r="F1013" s="4">
        <f>SUMIFS(Table20[realized_profit],Table20[Asset],Table41[[#This Row],[Asset Name]],Table20[Bullish or Bearish],"Bearish",Table20[date_purchased],"&gt;"&amp;$C$872,Table20[date_purchased],"&lt;"&amp;$E$872)</f>
        <v>0</v>
      </c>
      <c r="G1013" s="4">
        <f>SUMIFS(Table20[realized_profit],Table20[Asset],Table41[[#This Row],[Asset Name]],Table20[Strategy],"call",Table20[date_purchased],"&gt;"&amp;$C$872,Table20[date_purchased],"&lt;"&amp;$E$872)</f>
        <v>-426</v>
      </c>
      <c r="H1013" s="4">
        <f>SUMIFS(Table20[realized_profit],Table20[Asset],Table41[[#This Row],[Asset Name]],Table20[Strategy],"put",Table20[date_purchased],"&gt;"&amp;$C$872,Table20[date_purchased],"&lt;"&amp;$E$872)</f>
        <v>0</v>
      </c>
      <c r="I1013" s="4">
        <f>SUMIFS(Table20[realized_profit],Table20[Asset],Table41[[#This Row],[Asset Name]],Table20[Strategy],"calendar spread",Table20[date_purchased],"&gt;"&amp;$C$872,Table20[date_purchased],"&lt;"&amp;$E$872)</f>
        <v>-453.99999999999989</v>
      </c>
      <c r="J1013" s="4">
        <f>SUMIFS(Table20[realized_profit],Table20[Asset],Table41[[#This Row],[Asset Name]],Table20[Strategy],"put calendar spread",Table20[date_purchased],"&gt;"&amp;$C$872,Table20[date_purchased],"&lt;"&amp;$E$872)</f>
        <v>0</v>
      </c>
      <c r="K1013" s="4">
        <f>SUMIFS(Table20[realized_profit],Table20[Asset],Table41[[#This Row],[Asset Name]],Table20[Strategy],"put spread",Table20[date_purchased],"&gt;"&amp;$C$872,Table20[date_purchased],"&lt;"&amp;$E$872)</f>
        <v>0</v>
      </c>
      <c r="L1013" s="4">
        <f>SUMIFS(Table20[Invested],Table20[Asset],Table41[[#This Row],[Asset Name]],Table20[date_purchased],"&gt;"&amp;$C$872,Table20[date_purchased],"&lt;"&amp;$E$872)</f>
        <v>2944</v>
      </c>
      <c r="M1013" s="14">
        <f>IFERROR(Table41[[#This Row],[Within timeline]]/Table41[[#This Row],[Invested]],0)</f>
        <v>-0.50169836956521729</v>
      </c>
      <c r="N1013" s="187">
        <v>160</v>
      </c>
      <c r="O1013" s="9" cm="1">
        <f t="array" aca="1" ref="O1013" ca="1">_FV(Table41[[#This Row],[Asset Name]],"Price")</f>
        <v>131.63499999999999</v>
      </c>
      <c r="P1013" s="188">
        <v>180</v>
      </c>
      <c r="Q1013" t="b">
        <f ca="1">IF(Table41[[#This Row],[Current Price]]&lt;Table41[[#This Row],[Put wall]]*1.02,TRUE,FALSE)</f>
        <v>1</v>
      </c>
      <c r="R1013" t="b">
        <f ca="1">IF(Table41[[#This Row],[Current Price]]&gt;Table41[[#This Row],[Call wall]]*0.98,TRUE,FALSE)</f>
        <v>0</v>
      </c>
      <c r="S1013" s="4">
        <f ca="1">SUMIF(Table20[Asset],Table41[[#This Row],[Asset Name]],Table20[delta_exposure])</f>
        <v>0</v>
      </c>
      <c r="T1013" s="36" t="str" cm="1">
        <f t="array" aca="1" ref="T1013" ca="1">_FV(Table41[[#This Row],[Asset Name]],"Instrument type",TRUE)</f>
        <v>Stock</v>
      </c>
      <c r="U1013" s="183">
        <v>45602</v>
      </c>
      <c r="V1013" t="str">
        <f>VLOOKUP(Table41[[#This Row],[Asset Name]],Table19[#All],3,FALSE)</f>
        <v>AI</v>
      </c>
      <c r="X1013" t="str">
        <f>VLOOKUP(Table41[[#This Row],[Asset Name]],Table19[#All],4,FALSE)</f>
        <v>Semiconductor</v>
      </c>
      <c r="Y1013" s="147" t="str">
        <f ca="1">IF(Table41[[#This Row],[Current Price]]&lt;Table41[[#This Row],[Put wall]]*1.02,"✅",IF(Table41[[#This Row],[Current Price]]&gt;Table41[[#This Row],[Call wall]]*0.98,"🔻",""))</f>
        <v>✅</v>
      </c>
      <c r="Z1013" s="203">
        <f ca="1">Table41[[#This Row],[Current Price]]/Table41[[#This Row],[Put wall]]-1</f>
        <v>-0.17728125000000006</v>
      </c>
      <c r="AA1013" s="206">
        <f ca="1">Table41[[#This Row],[Current Price]]/Table41[[#This Row],[Call wall]]-1</f>
        <v>-0.26869444444444446</v>
      </c>
    </row>
    <row r="1014" spans="1:28" hidden="1">
      <c r="A1014" s="194" t="e" vm="170">
        <v>#VALUE!</v>
      </c>
      <c r="B1014" s="189" t="str" cm="1">
        <f t="array" aca="1" ref="B1014" ca="1">_FV(Table41[[#This Row],[Asset Name]],"Ticker symbol",TRUE)</f>
        <v>UEC</v>
      </c>
      <c r="C1014" s="4">
        <f>SUMIF(Table20[Asset],Table41[[#This Row],[Asset Name]],Table20[realized_profit])</f>
        <v>0</v>
      </c>
      <c r="D1014" s="4">
        <f>SUMIFS(Table20[realized_profit],Table20[Asset],Table41[[#This Row],[Asset Name]],Table20[date_purchased],"&gt;"&amp;$C$872,Table20[date_purchased],"&lt;"&amp;$E$872)</f>
        <v>0</v>
      </c>
      <c r="E1014" s="4">
        <f>SUMIFS(Table20[realized_profit],Table20[Asset],Table41[[#This Row],[Asset Name]],Table20[Bullish or Bearish],"Bullish",Table20[date_purchased],"&gt;"&amp;$C$872,Table20[date_purchased],"&lt;"&amp;$E$872)</f>
        <v>0</v>
      </c>
      <c r="F1014" s="4">
        <f>SUMIFS(Table20[realized_profit],Table20[Asset],Table41[[#This Row],[Asset Name]],Table20[Bullish or Bearish],"Bearish",Table20[date_purchased],"&gt;"&amp;$C$872,Table20[date_purchased],"&lt;"&amp;$E$872)</f>
        <v>0</v>
      </c>
      <c r="G1014" s="4">
        <f>SUMIFS(Table20[realized_profit],Table20[Asset],Table41[[#This Row],[Asset Name]],Table20[Strategy],"call",Table20[date_purchased],"&gt;"&amp;$C$872,Table20[date_purchased],"&lt;"&amp;$E$872)</f>
        <v>0</v>
      </c>
      <c r="H1014" s="4">
        <f>SUMIFS(Table20[realized_profit],Table20[Asset],Table41[[#This Row],[Asset Name]],Table20[Strategy],"put",Table20[date_purchased],"&gt;"&amp;$C$872,Table20[date_purchased],"&lt;"&amp;$E$872)</f>
        <v>0</v>
      </c>
      <c r="I1014" s="4">
        <f>SUMIFS(Table20[realized_profit],Table20[Asset],Table41[[#This Row],[Asset Name]],Table20[Strategy],"calendar spread",Table20[date_purchased],"&gt;"&amp;$C$872,Table20[date_purchased],"&lt;"&amp;$E$872)</f>
        <v>0</v>
      </c>
      <c r="J1014" s="4">
        <f>SUMIFS(Table20[realized_profit],Table20[Asset],Table41[[#This Row],[Asset Name]],Table20[Strategy],"put calendar spread",Table20[date_purchased],"&gt;"&amp;$C$872,Table20[date_purchased],"&lt;"&amp;$E$872)</f>
        <v>0</v>
      </c>
      <c r="K1014" s="4">
        <f>SUMIFS(Table20[realized_profit],Table20[Asset],Table41[[#This Row],[Asset Name]],Table20[Strategy],"put spread",Table20[date_purchased],"&gt;"&amp;$C$872,Table20[date_purchased],"&lt;"&amp;$E$872)</f>
        <v>0</v>
      </c>
      <c r="L1014" s="4">
        <f>SUMIFS(Table20[Invested],Table20[Asset],Table41[[#This Row],[Asset Name]],Table20[date_purchased],"&gt;"&amp;$C$872,Table20[date_purchased],"&lt;"&amp;$E$872)</f>
        <v>0</v>
      </c>
      <c r="M1014" s="14">
        <f>IFERROR(Table41[[#This Row],[Within timeline]]/Table41[[#This Row],[Invested]],0)</f>
        <v>0</v>
      </c>
      <c r="N1014" s="187">
        <v>5</v>
      </c>
      <c r="O1014" s="179" cm="1">
        <f t="array" aca="1" ref="O1014" ca="1">_FV(Table41[[#This Row],[Asset Name]],"Price")</f>
        <v>13.71</v>
      </c>
      <c r="P1014" s="188">
        <v>10</v>
      </c>
      <c r="Q1014" t="b">
        <f ca="1">IF(Table41[[#This Row],[Current Price]]&lt;Table41[[#This Row],[Put wall]]*1.02,TRUE,FALSE)</f>
        <v>0</v>
      </c>
      <c r="R1014" t="b">
        <f ca="1">IF(Table41[[#This Row],[Current Price]]&gt;Table41[[#This Row],[Call wall]]*0.98,TRUE,FALSE)</f>
        <v>1</v>
      </c>
      <c r="S1014" s="4">
        <f>SUMIF(Table20[Asset],Table41[[#This Row],[Asset Name]],Table20[delta_exposure])</f>
        <v>0</v>
      </c>
      <c r="T1014" s="36" t="str" cm="1">
        <f t="array" aca="1" ref="T1014" ca="1">_FV(Table41[[#This Row],[Asset Name]],"Instrument type",TRUE)</f>
        <v>Stock</v>
      </c>
      <c r="U1014" s="183"/>
      <c r="V1014" t="str">
        <f>VLOOKUP(Table41[[#This Row],[Asset Name]],Table19[#All],3,FALSE)</f>
        <v>Nuclear</v>
      </c>
      <c r="X1014" s="194" t="str">
        <f>VLOOKUP(Table41[[#This Row],[Asset Name]],Table19[#All],4,FALSE)</f>
        <v>Nuclear</v>
      </c>
      <c r="Y1014" s="189" t="str">
        <f ca="1">IF(Table41[[#This Row],[Current Price]]&lt;Table41[[#This Row],[Put wall]]*1.02,"✅",IF(Table41[[#This Row],[Current Price]]&gt;Table41[[#This Row],[Call wall]]*0.98,"🔻",""))</f>
        <v>🔻</v>
      </c>
      <c r="Z1014" s="204"/>
      <c r="AA1014" s="207">
        <f ca="1">Table41[[#This Row],[Current Price]]/Table41[[#This Row],[Call wall]]-1</f>
        <v>0.371</v>
      </c>
    </row>
    <row r="1015" spans="1:28" hidden="1">
      <c r="A1015" s="194" t="e" vm="171">
        <v>#VALUE!</v>
      </c>
      <c r="B1015" s="13" t="str" cm="1">
        <f t="array" aca="1" ref="B1015" ca="1">_FV(Table41[[#This Row],[Asset Name]],"Ticker symbol",TRUE)</f>
        <v>BIDU</v>
      </c>
      <c r="C1015" s="4">
        <f>SUMIF(Table20[Asset],Table41[[#This Row],[Asset Name]],Table20[realized_profit])</f>
        <v>-514</v>
      </c>
      <c r="D1015" s="4">
        <f>SUMIFS(Table20[realized_profit],Table20[Asset],Table41[[#This Row],[Asset Name]],Table20[date_purchased],"&gt;"&amp;$C$872,Table20[date_purchased],"&lt;"&amp;$E$872)</f>
        <v>0</v>
      </c>
      <c r="E1015" s="4">
        <f>SUMIFS(Table20[realized_profit],Table20[Asset],Table41[[#This Row],[Asset Name]],Table20[Bullish or Bearish],"Bullish",Table20[date_purchased],"&gt;"&amp;$C$872,Table20[date_purchased],"&lt;"&amp;$E$872)</f>
        <v>0</v>
      </c>
      <c r="F1015" s="4">
        <f>SUMIFS(Table20[realized_profit],Table20[Asset],Table41[[#This Row],[Asset Name]],Table20[Bullish or Bearish],"Bearish",Table20[date_purchased],"&gt;"&amp;$C$872,Table20[date_purchased],"&lt;"&amp;$E$872)</f>
        <v>0</v>
      </c>
      <c r="G1015" s="4">
        <f>SUMIFS(Table20[realized_profit],Table20[Asset],Table41[[#This Row],[Asset Name]],Table20[Strategy],"call",Table20[date_purchased],"&gt;"&amp;$C$872,Table20[date_purchased],"&lt;"&amp;$E$872)</f>
        <v>0</v>
      </c>
      <c r="H1015" s="4">
        <f>SUMIFS(Table20[realized_profit],Table20[Asset],Table41[[#This Row],[Asset Name]],Table20[Strategy],"put",Table20[date_purchased],"&gt;"&amp;$C$872,Table20[date_purchased],"&lt;"&amp;$E$872)</f>
        <v>0</v>
      </c>
      <c r="I1015" s="4">
        <f>SUMIFS(Table20[realized_profit],Table20[Asset],Table41[[#This Row],[Asset Name]],Table20[Strategy],"calendar spread",Table20[date_purchased],"&gt;"&amp;$C$872,Table20[date_purchased],"&lt;"&amp;$E$872)</f>
        <v>0</v>
      </c>
      <c r="J1015" s="4">
        <f>SUMIFS(Table20[realized_profit],Table20[Asset],Table41[[#This Row],[Asset Name]],Table20[Strategy],"put calendar spread",Table20[date_purchased],"&gt;"&amp;$C$872,Table20[date_purchased],"&lt;"&amp;$E$872)</f>
        <v>0</v>
      </c>
      <c r="K1015" s="4">
        <f>SUMIFS(Table20[realized_profit],Table20[Asset],Table41[[#This Row],[Asset Name]],Table20[Strategy],"put spread",Table20[date_purchased],"&gt;"&amp;$C$872,Table20[date_purchased],"&lt;"&amp;$E$872)</f>
        <v>0</v>
      </c>
      <c r="L1015" s="4">
        <f>SUMIFS(Table20[Invested],Table20[Asset],Table41[[#This Row],[Asset Name]],Table20[date_purchased],"&gt;"&amp;$C$872,Table20[date_purchased],"&lt;"&amp;$E$872)</f>
        <v>0</v>
      </c>
      <c r="M1015" s="14">
        <f>IFERROR(Table41[[#This Row],[Within timeline]]/Table41[[#This Row],[Invested]],0)</f>
        <v>0</v>
      </c>
      <c r="N1015" s="187">
        <v>85</v>
      </c>
      <c r="O1015" s="179" cm="1">
        <f t="array" aca="1" ref="O1015" ca="1">_FV(Table41[[#This Row],[Asset Name]],"Price")</f>
        <v>115.66</v>
      </c>
      <c r="P1015" s="188">
        <v>120</v>
      </c>
      <c r="Q1015" t="b">
        <f ca="1">IF(Table41[[#This Row],[Current Price]]&lt;Table41[[#This Row],[Put wall]]*1.02,TRUE,FALSE)</f>
        <v>0</v>
      </c>
      <c r="R1015" t="b">
        <f ca="1">IF(Table41[[#This Row],[Current Price]]&gt;Table41[[#This Row],[Call wall]]*0.98,TRUE,FALSE)</f>
        <v>0</v>
      </c>
      <c r="S1015" s="4">
        <f ca="1">SUMIF(Table20[Asset],Table41[[#This Row],[Asset Name]],Table20[delta_exposure])</f>
        <v>0</v>
      </c>
      <c r="T1015" s="36" t="str" cm="1">
        <f t="array" aca="1" ref="T1015" ca="1">_FV(Table41[[#This Row],[Asset Name]],"Instrument type",TRUE)</f>
        <v>Stock</v>
      </c>
      <c r="U1015" s="183">
        <v>45615</v>
      </c>
      <c r="V1015" t="str">
        <f>VLOOKUP(Table41[[#This Row],[Asset Name]],Table19[#All],3,FALSE)</f>
        <v>China</v>
      </c>
      <c r="X1015" t="str">
        <f>VLOOKUP(Table41[[#This Row],[Asset Name]],Table19[#All],4,FALSE)</f>
        <v>China</v>
      </c>
      <c r="Y1015" s="147" t="str">
        <f ca="1">IF(Table41[[#This Row],[Current Price]]&lt;Table41[[#This Row],[Put wall]]*1.02,"✅",IF(Table41[[#This Row],[Current Price]]&gt;Table41[[#This Row],[Call wall]]*0.98,"🔻",""))</f>
        <v/>
      </c>
      <c r="Z1015" s="203">
        <f ca="1">Table41[[#This Row],[Current Price]]/Table41[[#This Row],[Put wall]]-1</f>
        <v>0.36070588235294121</v>
      </c>
      <c r="AA1015" s="206">
        <f ca="1">Table41[[#This Row],[Current Price]]/Table41[[#This Row],[Call wall]]-1</f>
        <v>-3.616666666666668E-2</v>
      </c>
    </row>
    <row r="1016" spans="1:28" hidden="1">
      <c r="A1016" s="219" t="e" vm="43">
        <v>#VALUE!</v>
      </c>
      <c r="B1016" s="220" t="str" cm="1">
        <f t="array" aca="1" ref="B1016" ca="1">_FV(Table41[[#This Row],[Asset Name]],"Ticker symbol",TRUE)</f>
        <v>J</v>
      </c>
      <c r="C1016" s="221">
        <f>SUMIF(Table20[Asset],Table41[[#This Row],[Asset Name]],Table20[realized_profit])</f>
        <v>0</v>
      </c>
      <c r="D1016" s="221">
        <f>SUMIFS(Table20[realized_profit],Table20[Asset],Table41[[#This Row],[Asset Name]],Table20[date_purchased],"&gt;"&amp;$C$872,Table20[date_purchased],"&lt;"&amp;$E$872)</f>
        <v>0</v>
      </c>
      <c r="E1016" s="221">
        <f>SUMIFS(Table20[realized_profit],Table20[Asset],Table41[[#This Row],[Asset Name]],Table20[Bullish or Bearish],"Bullish",Table20[date_purchased],"&gt;"&amp;$C$872,Table20[date_purchased],"&lt;"&amp;$E$872)</f>
        <v>0</v>
      </c>
      <c r="F1016" s="221">
        <f>SUMIFS(Table20[realized_profit],Table20[Asset],Table41[[#This Row],[Asset Name]],Table20[Bullish or Bearish],"Bearish",Table20[date_purchased],"&gt;"&amp;$C$872,Table20[date_purchased],"&lt;"&amp;$E$872)</f>
        <v>0</v>
      </c>
      <c r="G1016" s="221">
        <f>SUMIFS(Table20[realized_profit],Table20[Asset],Table41[[#This Row],[Asset Name]],Table20[Strategy],"call",Table20[date_purchased],"&gt;"&amp;$C$872,Table20[date_purchased],"&lt;"&amp;$E$872)</f>
        <v>0</v>
      </c>
      <c r="H1016" s="221">
        <f>SUMIFS(Table20[realized_profit],Table20[Asset],Table41[[#This Row],[Asset Name]],Table20[Strategy],"put",Table20[date_purchased],"&gt;"&amp;$C$872,Table20[date_purchased],"&lt;"&amp;$E$872)</f>
        <v>0</v>
      </c>
      <c r="I1016" s="221">
        <f>SUMIFS(Table20[realized_profit],Table20[Asset],Table41[[#This Row],[Asset Name]],Table20[Strategy],"calendar spread",Table20[date_purchased],"&gt;"&amp;$C$872,Table20[date_purchased],"&lt;"&amp;$E$872)</f>
        <v>0</v>
      </c>
      <c r="J1016" s="221">
        <f>SUMIFS(Table20[realized_profit],Table20[Asset],Table41[[#This Row],[Asset Name]],Table20[Strategy],"put calendar spread",Table20[date_purchased],"&gt;"&amp;$C$872,Table20[date_purchased],"&lt;"&amp;$E$872)</f>
        <v>0</v>
      </c>
      <c r="K1016" s="221">
        <f>SUMIFS(Table20[realized_profit],Table20[Asset],Table41[[#This Row],[Asset Name]],Table20[Strategy],"put spread",Table20[date_purchased],"&gt;"&amp;$C$872,Table20[date_purchased],"&lt;"&amp;$E$872)</f>
        <v>0</v>
      </c>
      <c r="L1016" s="221">
        <f>SUMIFS(Table20[Invested],Table20[Asset],Table41[[#This Row],[Asset Name]],Table20[date_purchased],"&gt;"&amp;$C$872,Table20[date_purchased],"&lt;"&amp;$E$872)</f>
        <v>0</v>
      </c>
      <c r="M1016" s="222">
        <f>IFERROR(Table41[[#This Row],[Within timeline]]/Table41[[#This Row],[Invested]],0)</f>
        <v>0</v>
      </c>
      <c r="N1016" s="223">
        <v>135</v>
      </c>
      <c r="O1016" s="224" cm="1">
        <f t="array" aca="1" ref="O1016" ca="1">_FV(Table41[[#This Row],[Asset Name]],"Price")</f>
        <v>129.5</v>
      </c>
      <c r="P1016" s="225">
        <v>185</v>
      </c>
      <c r="Q1016" s="219" t="b">
        <f ca="1">IF(Table41[[#This Row],[Current Price]]&lt;Table41[[#This Row],[Put wall]]*1.02,TRUE,FALSE)</f>
        <v>1</v>
      </c>
      <c r="R1016" s="219" t="b">
        <f ca="1">IF(Table41[[#This Row],[Current Price]]&gt;Table41[[#This Row],[Call wall]]*0.98,TRUE,FALSE)</f>
        <v>0</v>
      </c>
      <c r="S1016" s="221">
        <f>SUMIF(Table20[Asset],Table41[[#This Row],[Asset Name]],Table20[delta_exposure])</f>
        <v>0</v>
      </c>
      <c r="T1016" s="226" t="str" cm="1">
        <f t="array" aca="1" ref="T1016" ca="1">_FV(Table41[[#This Row],[Asset Name]],"Instrument type",TRUE)</f>
        <v>Stock</v>
      </c>
      <c r="U1016" s="227"/>
      <c r="V1016" s="219" t="str">
        <f>VLOOKUP(Table41[[#This Row],[Asset Name]],Table19[#All],3,FALSE)</f>
        <v>Industrials</v>
      </c>
      <c r="X1016" s="219" t="str">
        <f>VLOOKUP(Table41[[#This Row],[Asset Name]],Table19[#All],4,FALSE)</f>
        <v>Industrials</v>
      </c>
      <c r="Y1016" s="228" t="str">
        <f ca="1">IF(Table41[[#This Row],[Current Price]]&lt;Table41[[#This Row],[Put wall]]*1.02,"✅",IF(Table41[[#This Row],[Current Price]]&gt;Table41[[#This Row],[Call wall]]*0.98,"🔻",""))</f>
        <v>✅</v>
      </c>
      <c r="Z1016" s="229"/>
      <c r="AA1016" s="229">
        <f ca="1">Table41[[#This Row],[Current Price]]/Table41[[#This Row],[Call wall]]-1</f>
        <v>-0.30000000000000004</v>
      </c>
    </row>
    <row r="1017" spans="1:28" s="219" customFormat="1" hidden="1">
      <c r="A1017" s="194" t="e" vm="27">
        <v>#VALUE!</v>
      </c>
      <c r="B1017" s="189" t="str" cm="1">
        <f t="array" aca="1" ref="B1017" ca="1">_FV(Table41[[#This Row],[Asset Name]],"Ticker symbol",TRUE)</f>
        <v>ASML</v>
      </c>
      <c r="C1017" s="4">
        <f>SUMIF(Table20[Asset],Table41[[#This Row],[Asset Name]],Table20[realized_profit])</f>
        <v>1541</v>
      </c>
      <c r="D1017" s="4">
        <f>SUMIFS(Table20[realized_profit],Table20[Asset],Table41[[#This Row],[Asset Name]],Table20[date_purchased],"&gt;"&amp;$C$872,Table20[date_purchased],"&lt;"&amp;$E$872)</f>
        <v>0</v>
      </c>
      <c r="E1017" s="4">
        <f>SUMIFS(Table20[realized_profit],Table20[Asset],Table41[[#This Row],[Asset Name]],Table20[Bullish or Bearish],"Bullish",Table20[date_purchased],"&gt;"&amp;$C$872,Table20[date_purchased],"&lt;"&amp;$E$872)</f>
        <v>0</v>
      </c>
      <c r="F1017" s="4">
        <f>SUMIFS(Table20[realized_profit],Table20[Asset],Table41[[#This Row],[Asset Name]],Table20[Bullish or Bearish],"Bearish",Table20[date_purchased],"&gt;"&amp;$C$872,Table20[date_purchased],"&lt;"&amp;$E$872)</f>
        <v>0</v>
      </c>
      <c r="G1017" s="4">
        <f>SUMIFS(Table20[realized_profit],Table20[Asset],Table41[[#This Row],[Asset Name]],Table20[Strategy],"call",Table20[date_purchased],"&gt;"&amp;$C$872,Table20[date_purchased],"&lt;"&amp;$E$872)</f>
        <v>0</v>
      </c>
      <c r="H1017" s="4">
        <f>SUMIFS(Table20[realized_profit],Table20[Asset],Table41[[#This Row],[Asset Name]],Table20[Strategy],"put",Table20[date_purchased],"&gt;"&amp;$C$872,Table20[date_purchased],"&lt;"&amp;$E$872)</f>
        <v>0</v>
      </c>
      <c r="I1017" s="4">
        <f>SUMIFS(Table20[realized_profit],Table20[Asset],Table41[[#This Row],[Asset Name]],Table20[Strategy],"calendar spread",Table20[date_purchased],"&gt;"&amp;$C$872,Table20[date_purchased],"&lt;"&amp;$E$872)</f>
        <v>0</v>
      </c>
      <c r="J1017" s="4">
        <f>SUMIFS(Table20[realized_profit],Table20[Asset],Table41[[#This Row],[Asset Name]],Table20[Strategy],"put calendar spread",Table20[date_purchased],"&gt;"&amp;$C$872,Table20[date_purchased],"&lt;"&amp;$E$872)</f>
        <v>0</v>
      </c>
      <c r="K1017" s="4">
        <f>SUMIFS(Table20[realized_profit],Table20[Asset],Table41[[#This Row],[Asset Name]],Table20[Strategy],"put spread",Table20[date_purchased],"&gt;"&amp;$C$872,Table20[date_purchased],"&lt;"&amp;$E$872)</f>
        <v>0</v>
      </c>
      <c r="L1017" s="4">
        <f>SUMIFS(Table20[Invested],Table20[Asset],Table41[[#This Row],[Asset Name]],Table20[date_purchased],"&gt;"&amp;$C$872,Table20[date_purchased],"&lt;"&amp;$E$872)</f>
        <v>0</v>
      </c>
      <c r="M1017" s="14">
        <f>IFERROR(Table41[[#This Row],[Within timeline]]/Table41[[#This Row],[Invested]],0)</f>
        <v>0</v>
      </c>
      <c r="N1017" s="187">
        <v>800</v>
      </c>
      <c r="O1017" s="179" cm="1">
        <f t="array" aca="1" ref="O1017" ca="1">_FV(Table41[[#This Row],[Asset Name]],"Price")</f>
        <v>1398.7900999999999</v>
      </c>
      <c r="P1017" s="188">
        <v>900</v>
      </c>
      <c r="Q1017" t="b">
        <f ca="1">IF(Table41[[#This Row],[Current Price]]&lt;Table41[[#This Row],[Put wall]]*1.02,TRUE,FALSE)</f>
        <v>0</v>
      </c>
      <c r="R1017" t="b">
        <f ca="1">IF(Table41[[#This Row],[Current Price]]&gt;Table41[[#This Row],[Call wall]]*0.98,TRUE,FALSE)</f>
        <v>1</v>
      </c>
      <c r="S1017" s="4">
        <f ca="1">SUMIF(Table20[Asset],Table41[[#This Row],[Asset Name]],Table20[delta_exposure])</f>
        <v>0</v>
      </c>
      <c r="T1017" s="36" t="str" cm="1">
        <f t="array" aca="1" ref="T1017" ca="1">_FV(Table41[[#This Row],[Asset Name]],"Instrument type",TRUE)</f>
        <v>Stock</v>
      </c>
      <c r="U1017" s="183"/>
      <c r="V1017" t="str">
        <f>VLOOKUP(Table41[[#This Row],[Asset Name]],Table19[#All],3,FALSE)</f>
        <v>Semiconductor</v>
      </c>
      <c r="W1017"/>
      <c r="X1017" s="194" t="str">
        <f>VLOOKUP(Table41[[#This Row],[Asset Name]],Table19[#All],4,FALSE)</f>
        <v>Semiconductor</v>
      </c>
      <c r="Y1017" s="189" t="str">
        <f ca="1">IF(Table41[[#This Row],[Current Price]]&lt;Table41[[#This Row],[Put wall]]*1.02,"✅",IF(Table41[[#This Row],[Current Price]]&gt;Table41[[#This Row],[Call wall]]*0.98,"🔻",""))</f>
        <v>🔻</v>
      </c>
      <c r="Z1017" s="204"/>
      <c r="AA1017" s="207">
        <f ca="1">Table41[[#This Row],[Current Price]]/Table41[[#This Row],[Call wall]]-1</f>
        <v>0.55421122222222219</v>
      </c>
      <c r="AB1017"/>
    </row>
    <row r="1018" spans="1:28" s="219" customFormat="1" hidden="1">
      <c r="A1018" s="194" t="e" vm="172">
        <v>#VALUE!</v>
      </c>
      <c r="B1018" s="13" t="str" cm="1">
        <f t="array" aca="1" ref="B1018" ca="1">_FV(Table41[[#This Row],[Asset Name]],"Ticker symbol",TRUE)</f>
        <v>WOLF</v>
      </c>
      <c r="C1018" s="4">
        <f>SUMIF(Table20[Asset],Table41[[#This Row],[Asset Name]],Table20[realized_profit])</f>
        <v>0</v>
      </c>
      <c r="D1018" s="4">
        <f>SUMIFS(Table20[realized_profit],Table20[Asset],Table41[[#This Row],[Asset Name]],Table20[date_purchased],"&gt;"&amp;$C$872,Table20[date_purchased],"&lt;"&amp;$E$872)</f>
        <v>0</v>
      </c>
      <c r="E1018" s="4">
        <f>SUMIFS(Table20[realized_profit],Table20[Asset],Table41[[#This Row],[Asset Name]],Table20[Bullish or Bearish],"Bullish",Table20[date_purchased],"&gt;"&amp;$C$872,Table20[date_purchased],"&lt;"&amp;$E$872)</f>
        <v>0</v>
      </c>
      <c r="F1018" s="4">
        <f>SUMIFS(Table20[realized_profit],Table20[Asset],Table41[[#This Row],[Asset Name]],Table20[Bullish or Bearish],"Bearish",Table20[date_purchased],"&gt;"&amp;$C$872,Table20[date_purchased],"&lt;"&amp;$E$872)</f>
        <v>0</v>
      </c>
      <c r="G1018" s="4">
        <f>SUMIFS(Table20[realized_profit],Table20[Asset],Table41[[#This Row],[Asset Name]],Table20[Strategy],"call",Table20[date_purchased],"&gt;"&amp;$C$872,Table20[date_purchased],"&lt;"&amp;$E$872)</f>
        <v>0</v>
      </c>
      <c r="H1018" s="4">
        <f>SUMIFS(Table20[realized_profit],Table20[Asset],Table41[[#This Row],[Asset Name]],Table20[Strategy],"put",Table20[date_purchased],"&gt;"&amp;$C$872,Table20[date_purchased],"&lt;"&amp;$E$872)</f>
        <v>0</v>
      </c>
      <c r="I1018" s="4">
        <f>SUMIFS(Table20[realized_profit],Table20[Asset],Table41[[#This Row],[Asset Name]],Table20[Strategy],"calendar spread",Table20[date_purchased],"&gt;"&amp;$C$872,Table20[date_purchased],"&lt;"&amp;$E$872)</f>
        <v>0</v>
      </c>
      <c r="J1018" s="4">
        <f>SUMIFS(Table20[realized_profit],Table20[Asset],Table41[[#This Row],[Asset Name]],Table20[Strategy],"put calendar spread",Table20[date_purchased],"&gt;"&amp;$C$872,Table20[date_purchased],"&lt;"&amp;$E$872)</f>
        <v>0</v>
      </c>
      <c r="K1018" s="4">
        <f>SUMIFS(Table20[realized_profit],Table20[Asset],Table41[[#This Row],[Asset Name]],Table20[Strategy],"put spread",Table20[date_purchased],"&gt;"&amp;$C$872,Table20[date_purchased],"&lt;"&amp;$E$872)</f>
        <v>0</v>
      </c>
      <c r="L1018" s="4">
        <f>SUMIFS(Table20[Invested],Table20[Asset],Table41[[#This Row],[Asset Name]],Table20[date_purchased],"&gt;"&amp;$C$872,Table20[date_purchased],"&lt;"&amp;$E$872)</f>
        <v>0</v>
      </c>
      <c r="M1018" s="14">
        <f>IFERROR(Table41[[#This Row],[Within timeline]]/Table41[[#This Row],[Invested]],0)</f>
        <v>0</v>
      </c>
      <c r="N1018" s="187">
        <v>8</v>
      </c>
      <c r="O1018" s="179" cm="1">
        <f t="array" aca="1" ref="O1018" ca="1">_FV(Table41[[#This Row],[Asset Name]],"Price")</f>
        <v>31.1</v>
      </c>
      <c r="P1018" s="188">
        <v>20</v>
      </c>
      <c r="Q1018" t="b">
        <f ca="1">IF(Table41[[#This Row],[Current Price]]&lt;Table41[[#This Row],[Put wall]]*1.02,TRUE,FALSE)</f>
        <v>0</v>
      </c>
      <c r="R1018" t="b">
        <f ca="1">IF(Table41[[#This Row],[Current Price]]&gt;Table41[[#This Row],[Call wall]]*0.98,TRUE,FALSE)</f>
        <v>1</v>
      </c>
      <c r="S1018" s="4">
        <f>SUMIF(Table20[Asset],Table41[[#This Row],[Asset Name]],Table20[delta_exposure])</f>
        <v>0</v>
      </c>
      <c r="T1018" s="36" t="str" cm="1">
        <f t="array" aca="1" ref="T1018" ca="1">_FV(Table41[[#This Row],[Asset Name]],"Instrument type",TRUE)</f>
        <v>Stock</v>
      </c>
      <c r="U1018" s="183">
        <v>45595</v>
      </c>
      <c r="V1018" t="str">
        <f>VLOOKUP(Table41[[#This Row],[Asset Name]],Table19[#All],3,FALSE)</f>
        <v>Semiconductor</v>
      </c>
      <c r="W1018"/>
      <c r="X1018" t="str">
        <f>VLOOKUP(Table41[[#This Row],[Asset Name]],Table19[#All],4,FALSE)</f>
        <v>Auto</v>
      </c>
      <c r="Y1018" s="147" t="str">
        <f ca="1">IF(Table41[[#This Row],[Current Price]]&lt;Table41[[#This Row],[Put wall]]*1.02,"✅",IF(Table41[[#This Row],[Current Price]]&gt;Table41[[#This Row],[Call wall]]*0.98,"🔻",""))</f>
        <v>🔻</v>
      </c>
      <c r="Z1018" s="203">
        <f ca="1">Table41[[#This Row],[Current Price]]/Table41[[#This Row],[Put wall]]-1</f>
        <v>2.8875000000000002</v>
      </c>
      <c r="AA1018" s="206">
        <f ca="1">Table41[[#This Row],[Current Price]]/Table41[[#This Row],[Call wall]]-1</f>
        <v>0.55500000000000016</v>
      </c>
      <c r="AB1018"/>
    </row>
    <row r="1019" spans="1:28" s="219" customFormat="1" hidden="1">
      <c r="A1019" s="194" t="e" vm="173">
        <v>#VALUE!</v>
      </c>
      <c r="B1019" s="189" t="str" cm="1">
        <f t="array" aca="1" ref="B1019" ca="1">_FV(Table41[[#This Row],[Asset Name]],"Ticker symbol",TRUE)</f>
        <v>SNOW</v>
      </c>
      <c r="C1019" s="4">
        <f>SUMIF(Table20[Asset],Table41[[#This Row],[Asset Name]],Table20[realized_profit])</f>
        <v>314</v>
      </c>
      <c r="D1019" s="4">
        <f>SUMIFS(Table20[realized_profit],Table20[Asset],Table41[[#This Row],[Asset Name]],Table20[date_purchased],"&gt;"&amp;$C$872,Table20[date_purchased],"&lt;"&amp;$E$872)</f>
        <v>0</v>
      </c>
      <c r="E1019" s="4">
        <f>SUMIFS(Table20[realized_profit],Table20[Asset],Table41[[#This Row],[Asset Name]],Table20[Bullish or Bearish],"Bullish",Table20[date_purchased],"&gt;"&amp;$C$872,Table20[date_purchased],"&lt;"&amp;$E$872)</f>
        <v>0</v>
      </c>
      <c r="F1019" s="4">
        <f>SUMIFS(Table20[realized_profit],Table20[Asset],Table41[[#This Row],[Asset Name]],Table20[Bullish or Bearish],"Bearish",Table20[date_purchased],"&gt;"&amp;$C$872,Table20[date_purchased],"&lt;"&amp;$E$872)</f>
        <v>0</v>
      </c>
      <c r="G1019" s="4">
        <f>SUMIFS(Table20[realized_profit],Table20[Asset],Table41[[#This Row],[Asset Name]],Table20[Strategy],"call",Table20[date_purchased],"&gt;"&amp;$C$872,Table20[date_purchased],"&lt;"&amp;$E$872)</f>
        <v>0</v>
      </c>
      <c r="H1019" s="4">
        <f>SUMIFS(Table20[realized_profit],Table20[Asset],Table41[[#This Row],[Asset Name]],Table20[Strategy],"put",Table20[date_purchased],"&gt;"&amp;$C$872,Table20[date_purchased],"&lt;"&amp;$E$872)</f>
        <v>0</v>
      </c>
      <c r="I1019" s="4">
        <f>SUMIFS(Table20[realized_profit],Table20[Asset],Table41[[#This Row],[Asset Name]],Table20[Strategy],"calendar spread",Table20[date_purchased],"&gt;"&amp;$C$872,Table20[date_purchased],"&lt;"&amp;$E$872)</f>
        <v>0</v>
      </c>
      <c r="J1019" s="4">
        <f>SUMIFS(Table20[realized_profit],Table20[Asset],Table41[[#This Row],[Asset Name]],Table20[Strategy],"put calendar spread",Table20[date_purchased],"&gt;"&amp;$C$872,Table20[date_purchased],"&lt;"&amp;$E$872)</f>
        <v>0</v>
      </c>
      <c r="K1019" s="4">
        <f>SUMIFS(Table20[realized_profit],Table20[Asset],Table41[[#This Row],[Asset Name]],Table20[Strategy],"put spread",Table20[date_purchased],"&gt;"&amp;$C$872,Table20[date_purchased],"&lt;"&amp;$E$872)</f>
        <v>0</v>
      </c>
      <c r="L1019" s="4">
        <f>SUMIFS(Table20[Invested],Table20[Asset],Table41[[#This Row],[Asset Name]],Table20[date_purchased],"&gt;"&amp;$C$872,Table20[date_purchased],"&lt;"&amp;$E$872)</f>
        <v>0</v>
      </c>
      <c r="M1019" s="14">
        <f>IFERROR(Table41[[#This Row],[Within timeline]]/Table41[[#This Row],[Invested]],0)</f>
        <v>0</v>
      </c>
      <c r="N1019" s="187">
        <v>110</v>
      </c>
      <c r="O1019" s="179" cm="1">
        <f t="array" aca="1" ref="O1019" ca="1">_FV(Table41[[#This Row],[Asset Name]],"Price")</f>
        <v>160.82</v>
      </c>
      <c r="P1019" s="188">
        <v>170</v>
      </c>
      <c r="Q1019" t="b">
        <f ca="1">IF(Table41[[#This Row],[Current Price]]&lt;Table41[[#This Row],[Put wall]]*1.02,TRUE,FALSE)</f>
        <v>0</v>
      </c>
      <c r="R1019" t="b">
        <f ca="1">IF(Table41[[#This Row],[Current Price]]&gt;Table41[[#This Row],[Call wall]]*0.98,TRUE,FALSE)</f>
        <v>0</v>
      </c>
      <c r="S1019" s="4">
        <f ca="1">SUMIF(Table20[Asset],Table41[[#This Row],[Asset Name]],Table20[delta_exposure])</f>
        <v>0</v>
      </c>
      <c r="T1019" s="36" t="str" cm="1">
        <f t="array" aca="1" ref="T1019" ca="1">_FV(Table41[[#This Row],[Asset Name]],"Instrument type",TRUE)</f>
        <v>Stock</v>
      </c>
      <c r="U1019" s="183">
        <v>45623</v>
      </c>
      <c r="V1019" t="str">
        <f>VLOOKUP(Table41[[#This Row],[Asset Name]],Table19[#All],3,FALSE)</f>
        <v>Technology</v>
      </c>
      <c r="W1019"/>
      <c r="X1019" s="194" t="str">
        <f>VLOOKUP(Table41[[#This Row],[Asset Name]],Table19[#All],4,FALSE)</f>
        <v>Software</v>
      </c>
      <c r="Y1019" s="189" t="str">
        <f ca="1">IF(Table41[[#This Row],[Current Price]]&lt;Table41[[#This Row],[Put wall]]*1.02,"✅",IF(Table41[[#This Row],[Current Price]]&gt;Table41[[#This Row],[Call wall]]*0.98,"🔻",""))</f>
        <v/>
      </c>
      <c r="Z1019" s="203">
        <f ca="1">Table41[[#This Row],[Current Price]]/Table41[[#This Row],[Put wall]]-1</f>
        <v>0.46199999999999997</v>
      </c>
      <c r="AA1019" s="207">
        <f ca="1">Table41[[#This Row],[Current Price]]/Table41[[#This Row],[Call wall]]-1</f>
        <v>-5.4000000000000048E-2</v>
      </c>
      <c r="AB1019"/>
    </row>
    <row r="1020" spans="1:28" s="219" customFormat="1" hidden="1">
      <c r="A1020" s="194" t="e" vm="174">
        <v>#VALUE!</v>
      </c>
      <c r="B1020" s="189" t="str" cm="1">
        <f t="array" aca="1" ref="B1020" ca="1">_FV(Table41[[#This Row],[Asset Name]],"Ticker symbol",TRUE)</f>
        <v>VAL</v>
      </c>
      <c r="C1020" s="4">
        <f>SUMIF(Table20[Asset],Table41[[#This Row],[Asset Name]],Table20[realized_profit])</f>
        <v>0</v>
      </c>
      <c r="D1020" s="4">
        <f>SUMIFS(Table20[realized_profit],Table20[Asset],Table41[[#This Row],[Asset Name]],Table20[date_purchased],"&gt;"&amp;$C$872,Table20[date_purchased],"&lt;"&amp;$E$872)</f>
        <v>0</v>
      </c>
      <c r="E1020" s="4">
        <f>SUMIFS(Table20[realized_profit],Table20[Asset],Table41[[#This Row],[Asset Name]],Table20[Bullish or Bearish],"Bullish",Table20[date_purchased],"&gt;"&amp;$C$872,Table20[date_purchased],"&lt;"&amp;$E$872)</f>
        <v>0</v>
      </c>
      <c r="F1020" s="4">
        <f>SUMIFS(Table20[realized_profit],Table20[Asset],Table41[[#This Row],[Asset Name]],Table20[Bullish or Bearish],"Bearish",Table20[date_purchased],"&gt;"&amp;$C$872,Table20[date_purchased],"&lt;"&amp;$E$872)</f>
        <v>0</v>
      </c>
      <c r="G1020" s="4">
        <f>SUMIFS(Table20[realized_profit],Table20[Asset],Table41[[#This Row],[Asset Name]],Table20[Strategy],"call",Table20[date_purchased],"&gt;"&amp;$C$872,Table20[date_purchased],"&lt;"&amp;$E$872)</f>
        <v>0</v>
      </c>
      <c r="H1020" s="4">
        <f>SUMIFS(Table20[realized_profit],Table20[Asset],Table41[[#This Row],[Asset Name]],Table20[Strategy],"put",Table20[date_purchased],"&gt;"&amp;$C$872,Table20[date_purchased],"&lt;"&amp;$E$872)</f>
        <v>0</v>
      </c>
      <c r="I1020" s="4">
        <f>SUMIFS(Table20[realized_profit],Table20[Asset],Table41[[#This Row],[Asset Name]],Table20[Strategy],"calendar spread",Table20[date_purchased],"&gt;"&amp;$C$872,Table20[date_purchased],"&lt;"&amp;$E$872)</f>
        <v>0</v>
      </c>
      <c r="J1020" s="4">
        <f>SUMIFS(Table20[realized_profit],Table20[Asset],Table41[[#This Row],[Asset Name]],Table20[Strategy],"put calendar spread",Table20[date_purchased],"&gt;"&amp;$C$872,Table20[date_purchased],"&lt;"&amp;$E$872)</f>
        <v>0</v>
      </c>
      <c r="K1020" s="4">
        <f>SUMIFS(Table20[realized_profit],Table20[Asset],Table41[[#This Row],[Asset Name]],Table20[Strategy],"put spread",Table20[date_purchased],"&gt;"&amp;$C$872,Table20[date_purchased],"&lt;"&amp;$E$872)</f>
        <v>0</v>
      </c>
      <c r="L1020" s="4">
        <f>SUMIFS(Table20[Invested],Table20[Asset],Table41[[#This Row],[Asset Name]],Table20[date_purchased],"&gt;"&amp;$C$872,Table20[date_purchased],"&lt;"&amp;$E$872)</f>
        <v>0</v>
      </c>
      <c r="M1020" s="14">
        <f>IFERROR(Table41[[#This Row],[Within timeline]]/Table41[[#This Row],[Invested]],0)</f>
        <v>0</v>
      </c>
      <c r="N1020" s="187">
        <v>55</v>
      </c>
      <c r="O1020" s="179" cm="1">
        <f t="array" aca="1" ref="O1020" ca="1">_FV(Table41[[#This Row],[Asset Name]],"Price")</f>
        <v>100.01</v>
      </c>
      <c r="P1020" s="188">
        <v>70</v>
      </c>
      <c r="Q1020" t="b">
        <f ca="1">IF(Table41[[#This Row],[Current Price]]&lt;Table41[[#This Row],[Put wall]]*1.02,TRUE,FALSE)</f>
        <v>0</v>
      </c>
      <c r="R1020" t="b">
        <f ca="1">IF(Table41[[#This Row],[Current Price]]&gt;Table41[[#This Row],[Call wall]]*0.98,TRUE,FALSE)</f>
        <v>1</v>
      </c>
      <c r="S1020" s="4">
        <f>SUMIF(Table20[Asset],Table41[[#This Row],[Asset Name]],Table20[delta_exposure])</f>
        <v>0</v>
      </c>
      <c r="T1020" s="36" t="str" cm="1">
        <f t="array" aca="1" ref="T1020" ca="1">_FV(Table41[[#This Row],[Asset Name]],"Instrument type",TRUE)</f>
        <v>Stock</v>
      </c>
      <c r="U1020" s="183">
        <v>45600</v>
      </c>
      <c r="V1020" t="str">
        <f>VLOOKUP(Table41[[#This Row],[Asset Name]],Table19[#All],3,FALSE)</f>
        <v>Energy</v>
      </c>
      <c r="W1020"/>
      <c r="X1020" t="str">
        <f>VLOOKUP(Table41[[#This Row],[Asset Name]],Table19[#All],4,FALSE)</f>
        <v>Energy</v>
      </c>
      <c r="Y1020" s="147" t="str">
        <f ca="1">IF(Table41[[#This Row],[Current Price]]&lt;Table41[[#This Row],[Put wall]]*1.02,"✅",IF(Table41[[#This Row],[Current Price]]&gt;Table41[[#This Row],[Call wall]]*0.98,"🔻",""))</f>
        <v>🔻</v>
      </c>
      <c r="Z1020" s="203">
        <f ca="1">Table41[[#This Row],[Current Price]]/Table41[[#This Row],[Put wall]]-1</f>
        <v>0.8183636363636364</v>
      </c>
      <c r="AA1020" s="206">
        <f ca="1">Table41[[#This Row],[Current Price]]/Table41[[#This Row],[Call wall]]-1</f>
        <v>0.42871428571428583</v>
      </c>
      <c r="AB1020"/>
    </row>
    <row r="1021" spans="1:28" s="219" customFormat="1" hidden="1">
      <c r="A1021" s="217" t="e" vm="175">
        <v>#VALUE!</v>
      </c>
      <c r="B1021" s="189" t="str" cm="1">
        <f t="array" aca="1" ref="B1021" ca="1">_FV(Table41[[#This Row],[Asset Name]],"Ticker symbol",TRUE)</f>
        <v>GFS</v>
      </c>
      <c r="C1021" s="4">
        <f>SUMIF(Table20[Asset],Table41[[#This Row],[Asset Name]],Table20[realized_profit])</f>
        <v>0</v>
      </c>
      <c r="D1021" s="4">
        <f>SUMIFS(Table20[realized_profit],Table20[Asset],Table41[[#This Row],[Asset Name]],Table20[date_purchased],"&gt;"&amp;$C$872,Table20[date_purchased],"&lt;"&amp;$E$872)</f>
        <v>0</v>
      </c>
      <c r="E1021" s="4">
        <f>SUMIFS(Table20[realized_profit],Table20[Asset],Table41[[#This Row],[Asset Name]],Table20[Bullish or Bearish],"Bullish",Table20[date_purchased],"&gt;"&amp;$C$872,Table20[date_purchased],"&lt;"&amp;$E$872)</f>
        <v>0</v>
      </c>
      <c r="F1021" s="4">
        <f>SUMIFS(Table20[realized_profit],Table20[Asset],Table41[[#This Row],[Asset Name]],Table20[Bullish or Bearish],"Bearish",Table20[date_purchased],"&gt;"&amp;$C$872,Table20[date_purchased],"&lt;"&amp;$E$872)</f>
        <v>0</v>
      </c>
      <c r="G1021" s="4">
        <f>SUMIFS(Table20[realized_profit],Table20[Asset],Table41[[#This Row],[Asset Name]],Table20[Strategy],"call",Table20[date_purchased],"&gt;"&amp;$C$872,Table20[date_purchased],"&lt;"&amp;$E$872)</f>
        <v>0</v>
      </c>
      <c r="H1021" s="4">
        <f>SUMIFS(Table20[realized_profit],Table20[Asset],Table41[[#This Row],[Asset Name]],Table20[Strategy],"put",Table20[date_purchased],"&gt;"&amp;$C$872,Table20[date_purchased],"&lt;"&amp;$E$872)</f>
        <v>0</v>
      </c>
      <c r="I1021" s="4">
        <f>SUMIFS(Table20[realized_profit],Table20[Asset],Table41[[#This Row],[Asset Name]],Table20[Strategy],"calendar spread",Table20[date_purchased],"&gt;"&amp;$C$872,Table20[date_purchased],"&lt;"&amp;$E$872)</f>
        <v>0</v>
      </c>
      <c r="J1021" s="4">
        <f>SUMIFS(Table20[realized_profit],Table20[Asset],Table41[[#This Row],[Asset Name]],Table20[Strategy],"put calendar spread",Table20[date_purchased],"&gt;"&amp;$C$872,Table20[date_purchased],"&lt;"&amp;$E$872)</f>
        <v>0</v>
      </c>
      <c r="K1021" s="4">
        <f>SUMIFS(Table20[realized_profit],Table20[Asset],Table41[[#This Row],[Asset Name]],Table20[Strategy],"put spread",Table20[date_purchased],"&gt;"&amp;$C$872,Table20[date_purchased],"&lt;"&amp;$E$872)</f>
        <v>0</v>
      </c>
      <c r="L1021" s="4">
        <f>SUMIFS(Table20[Invested],Table20[Asset],Table41[[#This Row],[Asset Name]],Table20[date_purchased],"&gt;"&amp;$C$872,Table20[date_purchased],"&lt;"&amp;$E$872)</f>
        <v>0</v>
      </c>
      <c r="M1021" s="14">
        <f>IFERROR(Table41[[#This Row],[Within timeline]]/Table41[[#This Row],[Invested]],0)</f>
        <v>0</v>
      </c>
      <c r="N1021" s="187">
        <v>40</v>
      </c>
      <c r="O1021" s="179" cm="1">
        <f t="array" aca="1" ref="O1021" ca="1">_FV(Table41[[#This Row],[Asset Name]],"Price")</f>
        <v>47.16</v>
      </c>
      <c r="P1021" s="188">
        <v>55</v>
      </c>
      <c r="Q1021" t="b">
        <f ca="1">IF(Table41[[#This Row],[Current Price]]&lt;Table41[[#This Row],[Put wall]]*1.02,TRUE,FALSE)</f>
        <v>0</v>
      </c>
      <c r="R1021" t="b">
        <f ca="1">IF(Table41[[#This Row],[Current Price]]&gt;Table41[[#This Row],[Call wall]]*0.98,TRUE,FALSE)</f>
        <v>0</v>
      </c>
      <c r="S1021" s="4">
        <f>SUMIF(Table20[Asset],Table41[[#This Row],[Asset Name]],Table20[delta_exposure])</f>
        <v>0</v>
      </c>
      <c r="T1021" s="36" t="str" cm="1">
        <f t="array" aca="1" ref="T1021" ca="1">_FV(Table41[[#This Row],[Asset Name]],"Instrument type",TRUE)</f>
        <v>Stock</v>
      </c>
      <c r="U1021" s="183"/>
      <c r="V1021" t="str">
        <f>VLOOKUP(Table41[[#This Row],[Asset Name]],Table19[#All],3,FALSE)</f>
        <v>Semiconductor</v>
      </c>
      <c r="W1021"/>
      <c r="X1021" s="194" t="str">
        <f>VLOOKUP(Table41[[#This Row],[Asset Name]],Table19[#All],4,FALSE)</f>
        <v>Semiconductor</v>
      </c>
      <c r="Y1021" s="189" t="str">
        <f ca="1">IF(Table41[[#This Row],[Current Price]]&lt;Table41[[#This Row],[Put wall]]*1.02,"✅",IF(Table41[[#This Row],[Current Price]]&gt;Table41[[#This Row],[Call wall]]*0.98,"🔻",""))</f>
        <v/>
      </c>
      <c r="Z1021" s="204"/>
      <c r="AA1021" s="207">
        <f ca="1">Table41[[#This Row],[Current Price]]/Table41[[#This Row],[Call wall]]-1</f>
        <v>-0.14254545454545464</v>
      </c>
      <c r="AB1021"/>
    </row>
    <row r="1022" spans="1:28" s="219" customFormat="1">
      <c r="A1022" s="194" t="e" vm="63">
        <v>#VALUE!</v>
      </c>
      <c r="B1022" s="13" t="str" cm="1">
        <f t="array" aca="1" ref="B1022" ca="1">_FV(Table41[[#This Row],[Asset Name]],"Ticker symbol",TRUE)</f>
        <v>TSLA</v>
      </c>
      <c r="C1022" s="4">
        <f>SUMIF(Table20[Asset],Table41[[#This Row],[Asset Name]],Table20[realized_profit])</f>
        <v>4153</v>
      </c>
      <c r="D1022" s="4">
        <f>SUMIFS(Table20[realized_profit],Table20[Asset],Table41[[#This Row],[Asset Name]],Table20[date_purchased],"&gt;"&amp;$C$872,Table20[date_purchased],"&lt;"&amp;$E$872)</f>
        <v>680.00000000000045</v>
      </c>
      <c r="E1022" s="4">
        <f>SUMIFS(Table20[realized_profit],Table20[Asset],Table41[[#This Row],[Asset Name]],Table20[Bullish or Bearish],"Bullish",Table20[date_purchased],"&gt;"&amp;$C$872,Table20[date_purchased],"&lt;"&amp;$E$872)</f>
        <v>534.00000000000045</v>
      </c>
      <c r="F1022" s="4">
        <f>SUMIFS(Table20[realized_profit],Table20[Asset],Table41[[#This Row],[Asset Name]],Table20[Bullish or Bearish],"Bearish",Table20[date_purchased],"&gt;"&amp;$C$872,Table20[date_purchased],"&lt;"&amp;$E$872)</f>
        <v>145.99999999999997</v>
      </c>
      <c r="G1022" s="4">
        <f>SUMIFS(Table20[realized_profit],Table20[Asset],Table41[[#This Row],[Asset Name]],Table20[Strategy],"call",Table20[date_purchased],"&gt;"&amp;$C$872,Table20[date_purchased],"&lt;"&amp;$E$872)</f>
        <v>0</v>
      </c>
      <c r="H1022" s="4">
        <f>SUMIFS(Table20[realized_profit],Table20[Asset],Table41[[#This Row],[Asset Name]],Table20[Strategy],"put",Table20[date_purchased],"&gt;"&amp;$C$872,Table20[date_purchased],"&lt;"&amp;$E$872)</f>
        <v>145.99999999999997</v>
      </c>
      <c r="I1022" s="4">
        <f>SUMIFS(Table20[realized_profit],Table20[Asset],Table41[[#This Row],[Asset Name]],Table20[Strategy],"calendar spread",Table20[date_purchased],"&gt;"&amp;$C$872,Table20[date_purchased],"&lt;"&amp;$E$872)</f>
        <v>0</v>
      </c>
      <c r="J1022" s="4">
        <f>SUMIFS(Table20[realized_profit],Table20[Asset],Table41[[#This Row],[Asset Name]],Table20[Strategy],"put calendar spread",Table20[date_purchased],"&gt;"&amp;$C$872,Table20[date_purchased],"&lt;"&amp;$E$872)</f>
        <v>0</v>
      </c>
      <c r="K1022" s="4">
        <f>SUMIFS(Table20[realized_profit],Table20[Asset],Table41[[#This Row],[Asset Name]],Table20[Strategy],"put spread",Table20[date_purchased],"&gt;"&amp;$C$872,Table20[date_purchased],"&lt;"&amp;$E$872)</f>
        <v>0</v>
      </c>
      <c r="L1022" s="4">
        <f>SUMIFS(Table20[Invested],Table20[Asset],Table41[[#This Row],[Asset Name]],Table20[date_purchased],"&gt;"&amp;$C$872,Table20[date_purchased],"&lt;"&amp;$E$872)</f>
        <v>-658</v>
      </c>
      <c r="M1022" s="14">
        <f>IFERROR(Table41[[#This Row],[Within timeline]]/Table41[[#This Row],[Invested]],0)</f>
        <v>-1.0334346504559278</v>
      </c>
      <c r="N1022" s="187">
        <v>200</v>
      </c>
      <c r="O1022" s="9" cm="1">
        <f t="array" aca="1" ref="O1022" ca="1">_FV(Table41[[#This Row],[Asset Name]],"Price")</f>
        <v>394.5401</v>
      </c>
      <c r="P1022" s="188">
        <v>225</v>
      </c>
      <c r="Q1022" t="b">
        <f ca="1">IF(Table41[[#This Row],[Current Price]]&lt;Table41[[#This Row],[Put wall]]*1.02,TRUE,FALSE)</f>
        <v>0</v>
      </c>
      <c r="R1022" t="b">
        <f ca="1">IF(Table41[[#This Row],[Current Price]]&gt;Table41[[#This Row],[Call wall]]*0.98,TRUE,FALSE)</f>
        <v>1</v>
      </c>
      <c r="S1022" s="4">
        <f ca="1">SUMIF(Table20[Asset],Table41[[#This Row],[Asset Name]],Table20[delta_exposure])</f>
        <v>0</v>
      </c>
      <c r="T1022" s="36" t="str" cm="1">
        <f t="array" aca="1" ref="T1022" ca="1">_FV(Table41[[#This Row],[Asset Name]],"Instrument type",TRUE)</f>
        <v>Stock</v>
      </c>
      <c r="U1022" s="183">
        <v>45581</v>
      </c>
      <c r="V1022" t="str">
        <f>VLOOKUP(Table41[[#This Row],[Asset Name]],Table19[#All],3,FALSE)</f>
        <v>Auto</v>
      </c>
      <c r="W1022"/>
      <c r="X1022" t="str">
        <f>VLOOKUP(Table41[[#This Row],[Asset Name]],Table19[#All],4,FALSE)</f>
        <v>EV</v>
      </c>
      <c r="Y1022" s="147" t="str">
        <f ca="1">IF(Table41[[#This Row],[Current Price]]&lt;Table41[[#This Row],[Put wall]]*1.02,"✅",IF(Table41[[#This Row],[Current Price]]&gt;Table41[[#This Row],[Call wall]]*0.98,"🔻",""))</f>
        <v>🔻</v>
      </c>
      <c r="Z1022" s="203">
        <f ca="1">Table41[[#This Row],[Current Price]]/Table41[[#This Row],[Put wall]]-1</f>
        <v>0.97270049999999997</v>
      </c>
      <c r="AA1022" s="206">
        <f ca="1">Table41[[#This Row],[Current Price]]/Table41[[#This Row],[Call wall]]-1</f>
        <v>0.7535115555555556</v>
      </c>
      <c r="AB1022"/>
    </row>
    <row r="1023" spans="1:28" s="219" customFormat="1" hidden="1">
      <c r="A1023" s="194" t="e" vm="176">
        <v>#VALUE!</v>
      </c>
      <c r="B1023" s="13" t="str" cm="1">
        <f t="array" aca="1" ref="B1023" ca="1">_FV(Table41[[#This Row],[Asset Name]],"Ticker symbol",TRUE)</f>
        <v>HUT</v>
      </c>
      <c r="C1023" s="4">
        <f>SUMIF(Table20[Asset],Table41[[#This Row],[Asset Name]],Table20[realized_profit])</f>
        <v>-390</v>
      </c>
      <c r="D1023" s="4">
        <f>SUMIFS(Table20[realized_profit],Table20[Asset],Table41[[#This Row],[Asset Name]],Table20[date_purchased],"&gt;"&amp;$C$872,Table20[date_purchased],"&lt;"&amp;$E$872)</f>
        <v>-390</v>
      </c>
      <c r="E1023" s="4">
        <f>SUMIFS(Table20[realized_profit],Table20[Asset],Table41[[#This Row],[Asset Name]],Table20[Bullish or Bearish],"Bullish",Table20[date_purchased],"&gt;"&amp;$C$872,Table20[date_purchased],"&lt;"&amp;$E$872)</f>
        <v>-390</v>
      </c>
      <c r="F1023" s="4">
        <f>SUMIFS(Table20[realized_profit],Table20[Asset],Table41[[#This Row],[Asset Name]],Table20[Bullish or Bearish],"Bearish",Table20[date_purchased],"&gt;"&amp;$C$872,Table20[date_purchased],"&lt;"&amp;$E$872)</f>
        <v>0</v>
      </c>
      <c r="G1023" s="4">
        <f>SUMIFS(Table20[realized_profit],Table20[Asset],Table41[[#This Row],[Asset Name]],Table20[Strategy],"call",Table20[date_purchased],"&gt;"&amp;$C$872,Table20[date_purchased],"&lt;"&amp;$E$872)</f>
        <v>-244</v>
      </c>
      <c r="H1023" s="4">
        <f>SUMIFS(Table20[realized_profit],Table20[Asset],Table41[[#This Row],[Asset Name]],Table20[Strategy],"put",Table20[date_purchased],"&gt;"&amp;$C$872,Table20[date_purchased],"&lt;"&amp;$E$872)</f>
        <v>0</v>
      </c>
      <c r="I1023" s="4">
        <f>SUMIFS(Table20[realized_profit],Table20[Asset],Table41[[#This Row],[Asset Name]],Table20[Strategy],"calendar spread",Table20[date_purchased],"&gt;"&amp;$C$872,Table20[date_purchased],"&lt;"&amp;$E$872)</f>
        <v>0</v>
      </c>
      <c r="J1023" s="4">
        <f>SUMIFS(Table20[realized_profit],Table20[Asset],Table41[[#This Row],[Asset Name]],Table20[Strategy],"put calendar spread",Table20[date_purchased],"&gt;"&amp;$C$872,Table20[date_purchased],"&lt;"&amp;$E$872)</f>
        <v>0</v>
      </c>
      <c r="K1023" s="4">
        <f>SUMIFS(Table20[realized_profit],Table20[Asset],Table41[[#This Row],[Asset Name]],Table20[Strategy],"put spread",Table20[date_purchased],"&gt;"&amp;$C$872,Table20[date_purchased],"&lt;"&amp;$E$872)</f>
        <v>0</v>
      </c>
      <c r="L1023" s="4">
        <f>SUMIFS(Table20[Invested],Table20[Asset],Table41[[#This Row],[Asset Name]],Table20[date_purchased],"&gt;"&amp;$C$872,Table20[date_purchased],"&lt;"&amp;$E$872)</f>
        <v>486</v>
      </c>
      <c r="M1023" s="14">
        <f>IFERROR(Table41[[#This Row],[Within timeline]]/Table41[[#This Row],[Invested]],0)</f>
        <v>-0.80246913580246915</v>
      </c>
      <c r="N1023" s="187"/>
      <c r="O1023" s="179" cm="1">
        <f t="array" aca="1" ref="O1023" ca="1">_FV(Table41[[#This Row],[Asset Name]],"Price")</f>
        <v>55.875</v>
      </c>
      <c r="P1023" s="188"/>
      <c r="Q1023" t="b">
        <f ca="1">IF(Table41[[#This Row],[Current Price]]&lt;Table41[[#This Row],[Put wall]]*1.02,TRUE,FALSE)</f>
        <v>0</v>
      </c>
      <c r="R1023" t="b">
        <f ca="1">IF(Table41[[#This Row],[Current Price]]&gt;Table41[[#This Row],[Call wall]]*0.98,TRUE,FALSE)</f>
        <v>1</v>
      </c>
      <c r="S1023" s="4">
        <f ca="1">SUMIF(Table20[Asset],Table41[[#This Row],[Asset Name]],Table20[delta_exposure])</f>
        <v>0</v>
      </c>
      <c r="T1023" s="36" t="str" cm="1">
        <f t="array" aca="1" ref="T1023" ca="1">_FV(Table41[[#This Row],[Asset Name]],"Instrument type",TRUE)</f>
        <v>Stock</v>
      </c>
      <c r="U1023" s="183"/>
      <c r="V1023" t="str">
        <f>VLOOKUP(Table41[[#This Row],[Asset Name]],Table19[#All],3,FALSE)</f>
        <v>Bitcoin mining</v>
      </c>
      <c r="W1023"/>
      <c r="X1023" t="str">
        <f>VLOOKUP(Table41[[#This Row],[Asset Name]],Table19[#All],4,FALSE)</f>
        <v>AI</v>
      </c>
      <c r="Y1023" s="189" t="str">
        <f ca="1">IF(Table41[[#This Row],[Current Price]]&lt;Table41[[#This Row],[Put wall]]*1.02,"✅",IF(Table41[[#This Row],[Current Price]]&gt;Table41[[#This Row],[Call wall]]*0.98,"🔻",""))</f>
        <v>🔻</v>
      </c>
      <c r="Z1023" s="204"/>
      <c r="AA1023" s="207" t="e">
        <f ca="1">Table41[[#This Row],[Current Price]]/Table41[[#This Row],[Call wall]]-1</f>
        <v>#DIV/0!</v>
      </c>
      <c r="AB1023"/>
    </row>
    <row r="1024" spans="1:28" s="219" customFormat="1">
      <c r="A1024" s="194" t="e" vm="177">
        <v>#VALUE!</v>
      </c>
      <c r="B1024" s="13" t="str" cm="1">
        <f t="array" aca="1" ref="B1024" ca="1">_FV(Table41[[#This Row],[Asset Name]],"Ticker symbol",TRUE)</f>
        <v>ACHC</v>
      </c>
      <c r="C1024" s="4">
        <f>SUMIF(Table20[Asset],Table41[[#This Row],[Asset Name]],Table20[realized_profit])</f>
        <v>620</v>
      </c>
      <c r="D1024" s="4">
        <f>SUMIFS(Table20[realized_profit],Table20[Asset],Table41[[#This Row],[Asset Name]],Table20[date_purchased],"&gt;"&amp;$C$872,Table20[date_purchased],"&lt;"&amp;$E$872)</f>
        <v>620</v>
      </c>
      <c r="E1024" s="4">
        <f>SUMIFS(Table20[realized_profit],Table20[Asset],Table41[[#This Row],[Asset Name]],Table20[Bullish or Bearish],"Bullish",Table20[date_purchased],"&gt;"&amp;$C$872,Table20[date_purchased],"&lt;"&amp;$E$872)</f>
        <v>0</v>
      </c>
      <c r="F1024" s="4">
        <f>SUMIFS(Table20[realized_profit],Table20[Asset],Table41[[#This Row],[Asset Name]],Table20[Bullish or Bearish],"Bearish",Table20[date_purchased],"&gt;"&amp;$C$872,Table20[date_purchased],"&lt;"&amp;$E$872)</f>
        <v>620</v>
      </c>
      <c r="G1024" s="4">
        <f>SUMIFS(Table20[realized_profit],Table20[Asset],Table41[[#This Row],[Asset Name]],Table20[Strategy],"call",Table20[date_purchased],"&gt;"&amp;$C$872,Table20[date_purchased],"&lt;"&amp;$E$872)</f>
        <v>0</v>
      </c>
      <c r="H1024" s="4">
        <f>SUMIFS(Table20[realized_profit],Table20[Asset],Table41[[#This Row],[Asset Name]],Table20[Strategy],"put",Table20[date_purchased],"&gt;"&amp;$C$872,Table20[date_purchased],"&lt;"&amp;$E$872)</f>
        <v>620</v>
      </c>
      <c r="I1024" s="4">
        <f>SUMIFS(Table20[realized_profit],Table20[Asset],Table41[[#This Row],[Asset Name]],Table20[Strategy],"calendar spread",Table20[date_purchased],"&gt;"&amp;$C$872,Table20[date_purchased],"&lt;"&amp;$E$872)</f>
        <v>0</v>
      </c>
      <c r="J1024" s="4">
        <f>SUMIFS(Table20[realized_profit],Table20[Asset],Table41[[#This Row],[Asset Name]],Table20[Strategy],"put calendar spread",Table20[date_purchased],"&gt;"&amp;$C$872,Table20[date_purchased],"&lt;"&amp;$E$872)</f>
        <v>0</v>
      </c>
      <c r="K1024" s="4">
        <f>SUMIFS(Table20[realized_profit],Table20[Asset],Table41[[#This Row],[Asset Name]],Table20[Strategy],"put spread",Table20[date_purchased],"&gt;"&amp;$C$872,Table20[date_purchased],"&lt;"&amp;$E$872)</f>
        <v>0</v>
      </c>
      <c r="L1024" s="4">
        <f>SUMIFS(Table20[Invested],Table20[Asset],Table41[[#This Row],[Asset Name]],Table20[date_purchased],"&gt;"&amp;$C$872,Table20[date_purchased],"&lt;"&amp;$E$872)</f>
        <v>380</v>
      </c>
      <c r="M1024" s="14">
        <f>IFERROR(Table41[[#This Row],[Within timeline]]/Table41[[#This Row],[Invested]],0)</f>
        <v>1.631578947368421</v>
      </c>
      <c r="N1024" s="187"/>
      <c r="O1024" s="179" cm="1">
        <f t="array" aca="1" ref="O1024" ca="1">_FV(Table41[[#This Row],[Asset Name]],"Price")</f>
        <v>23.78</v>
      </c>
      <c r="P1024" s="188"/>
      <c r="Q1024" t="b">
        <f ca="1">IF(Table41[[#This Row],[Current Price]]&lt;Table41[[#This Row],[Put wall]]*1.02,TRUE,FALSE)</f>
        <v>0</v>
      </c>
      <c r="R1024" t="b">
        <f ca="1">IF(Table41[[#This Row],[Current Price]]&gt;Table41[[#This Row],[Call wall]]*0.98,TRUE,FALSE)</f>
        <v>1</v>
      </c>
      <c r="S1024" s="4">
        <f ca="1">SUMIF(Table20[Asset],Table41[[#This Row],[Asset Name]],Table20[delta_exposure])</f>
        <v>0</v>
      </c>
      <c r="T1024" s="36" t="str" cm="1">
        <f t="array" aca="1" ref="T1024" ca="1">_FV(Table41[[#This Row],[Asset Name]],"Instrument type",TRUE)</f>
        <v>Stock</v>
      </c>
      <c r="U1024" s="183"/>
      <c r="V1024" t="str">
        <f>VLOOKUP(Table41[[#This Row],[Asset Name]],Table19[#All],3,FALSE)</f>
        <v>Health Care</v>
      </c>
      <c r="W1024"/>
      <c r="X1024" t="str">
        <f>VLOOKUP(Table41[[#This Row],[Asset Name]],Table19[#All],4,FALSE)</f>
        <v>Health Care</v>
      </c>
      <c r="Y1024" s="189" t="str">
        <f ca="1">IF(Table41[[#This Row],[Current Price]]&lt;Table41[[#This Row],[Put wall]]*1.02,"✅",IF(Table41[[#This Row],[Current Price]]&gt;Table41[[#This Row],[Call wall]]*0.98,"🔻",""))</f>
        <v>🔻</v>
      </c>
      <c r="Z1024" s="204"/>
      <c r="AA1024" s="207" t="e">
        <f ca="1">Table41[[#This Row],[Current Price]]/Table41[[#This Row],[Call wall]]-1</f>
        <v>#DIV/0!</v>
      </c>
      <c r="AB1024"/>
    </row>
    <row r="1025" spans="1:28" s="219" customFormat="1">
      <c r="A1025" s="194"/>
      <c r="B1025" s="13"/>
      <c r="C1025" s="4"/>
      <c r="D1025" s="4"/>
      <c r="E1025" s="4"/>
      <c r="F1025" s="4"/>
      <c r="G1025" s="4"/>
      <c r="H1025" s="4"/>
      <c r="I1025" s="4"/>
      <c r="J1025" s="4"/>
      <c r="K1025" s="4"/>
      <c r="L1025" s="4"/>
      <c r="M1025" s="14"/>
      <c r="N1025" s="187"/>
      <c r="O1025" s="9"/>
      <c r="P1025" s="188"/>
      <c r="Q1025"/>
      <c r="R1025"/>
      <c r="S1025" s="4"/>
      <c r="T1025" s="36"/>
      <c r="U1025" s="183"/>
      <c r="V1025"/>
      <c r="W1025"/>
      <c r="X1025"/>
      <c r="Y1025" s="147"/>
      <c r="Z1025" s="203"/>
      <c r="AA1025" s="206"/>
      <c r="AB1025"/>
    </row>
    <row r="1026" spans="1:28" s="219" customFormat="1">
      <c r="A1026" s="194"/>
      <c r="B1026" s="13"/>
      <c r="C1026" s="4"/>
      <c r="D1026" s="4"/>
      <c r="E1026" s="4"/>
      <c r="F1026" s="4"/>
      <c r="G1026" s="4"/>
      <c r="H1026" s="4"/>
      <c r="I1026" s="4"/>
      <c r="J1026" s="4"/>
      <c r="K1026" s="4"/>
      <c r="L1026" s="4"/>
      <c r="M1026" s="14"/>
      <c r="N1026" s="187"/>
      <c r="O1026" s="9"/>
      <c r="P1026" s="188"/>
      <c r="Q1026"/>
      <c r="R1026"/>
      <c r="S1026" s="4"/>
      <c r="T1026" s="36"/>
      <c r="U1026" s="183"/>
      <c r="V1026"/>
      <c r="W1026"/>
      <c r="X1026"/>
      <c r="Y1026" s="147"/>
      <c r="Z1026" s="203"/>
      <c r="AA1026" s="206"/>
      <c r="AB1026"/>
    </row>
    <row r="1027" spans="1:28" s="219" customFormat="1">
      <c r="A1027" s="194"/>
      <c r="B1027" s="13"/>
      <c r="C1027" s="4"/>
      <c r="D1027" s="4"/>
      <c r="E1027" s="4"/>
      <c r="F1027" s="4"/>
      <c r="G1027" s="4"/>
      <c r="H1027" s="4"/>
      <c r="I1027" s="4"/>
      <c r="J1027" s="4"/>
      <c r="K1027" s="4"/>
      <c r="L1027" s="4"/>
      <c r="M1027" s="14"/>
      <c r="N1027" s="187"/>
      <c r="O1027" s="9"/>
      <c r="P1027" s="188"/>
      <c r="Q1027"/>
      <c r="R1027"/>
      <c r="S1027" s="4"/>
      <c r="T1027" s="36"/>
      <c r="U1027" s="183"/>
      <c r="V1027"/>
      <c r="W1027"/>
      <c r="X1027"/>
      <c r="Y1027" s="147"/>
      <c r="Z1027" s="203"/>
      <c r="AA1027" s="206"/>
      <c r="AB1027"/>
    </row>
    <row r="1028" spans="1:28" ht="19">
      <c r="B1028" s="220"/>
      <c r="H1028" s="11"/>
      <c r="I1028" s="11"/>
      <c r="J1028" s="11"/>
      <c r="K1028" s="11"/>
      <c r="L1028" s="11"/>
      <c r="M1028" s="11"/>
      <c r="N1028" s="11"/>
      <c r="O1028" s="11"/>
      <c r="P1028" s="11"/>
      <c r="Q1028" s="11"/>
      <c r="R1028" s="11"/>
    </row>
    <row r="1029" spans="1:28">
      <c r="A1029" s="211" t="s">
        <v>356</v>
      </c>
      <c r="B1029" s="212"/>
      <c r="C1029" s="212">
        <f>SUM(Table41[Realized])</f>
        <v>18783.43</v>
      </c>
      <c r="D1029" s="212">
        <f>SUM(Table41[Within timeline])</f>
        <v>-8573.0000000000018</v>
      </c>
      <c r="E1029" s="212">
        <f>SUM(Table41[Bullish])</f>
        <v>-5103</v>
      </c>
      <c r="F1029" s="212">
        <f>SUM(Table41[Bearish])</f>
        <v>-3470</v>
      </c>
      <c r="G1029" s="212">
        <f>SUM(Table41[call])</f>
        <v>-2835</v>
      </c>
      <c r="H1029" s="212">
        <f>SUM(Table41[put])</f>
        <v>-718.00000000000023</v>
      </c>
      <c r="I1029" s="212">
        <f>SUM(Table41[calendar spread])</f>
        <v>16.999999999999204</v>
      </c>
      <c r="J1029" s="212">
        <f>SUM(Table41[put calendar spread])</f>
        <v>-1616</v>
      </c>
      <c r="K1029" s="212">
        <f>SUM(Table41[put spread])</f>
        <v>-973</v>
      </c>
      <c r="L1029" s="212">
        <f>SUM(Table41[Invested])</f>
        <v>25934</v>
      </c>
      <c r="M1029" s="174"/>
      <c r="N1029" s="174"/>
      <c r="O1029" s="174"/>
      <c r="P1029" s="174"/>
      <c r="Q1029" s="174">
        <f ca="1">COUNTIF(Table41[Withing 2% of put wall],TRUE)</f>
        <v>26</v>
      </c>
      <c r="R1029" s="174">
        <f ca="1">COUNTIF(Table41[2% withing Call Wall],TRUE)</f>
        <v>87</v>
      </c>
      <c r="S1029" s="174"/>
      <c r="T1029" s="174"/>
      <c r="U1029" s="174"/>
      <c r="V1029" s="174"/>
      <c r="W1029" s="174"/>
      <c r="X1029" s="174"/>
      <c r="Y1029" s="174"/>
      <c r="Z1029" s="174"/>
      <c r="AA1029" s="174"/>
    </row>
    <row r="1032" spans="1:28" ht="17" thickBot="1">
      <c r="A1032" s="163" t="s">
        <v>313</v>
      </c>
      <c r="B1032" s="164" t="s">
        <v>301</v>
      </c>
      <c r="C1032" s="165" t="s">
        <v>318</v>
      </c>
      <c r="D1032" s="163" t="s">
        <v>317</v>
      </c>
      <c r="E1032" s="165" t="s">
        <v>319</v>
      </c>
      <c r="F1032" s="163" t="s">
        <v>206</v>
      </c>
      <c r="G1032" s="163" t="s">
        <v>373</v>
      </c>
    </row>
    <row r="1033" spans="1:28">
      <c r="A1033" s="166" t="s">
        <v>126</v>
      </c>
      <c r="B1033" s="167">
        <f>SUMIF(Table20[[#All],[Primary Theme]],Table36[[#This Row],[Primary Theme]],Table20[[#All],[delta_exposure]])</f>
        <v>0</v>
      </c>
      <c r="C1033" s="168" t="e">
        <f ca="1">IF(Table36[[#This Row],[Delta Exposure]]&gt;0,Table36[[#This Row],[Delta Exposure]]/$B$860,Table36[[#This Row],[Delta Exposure]]/$B$861)</f>
        <v>#DIV/0!</v>
      </c>
      <c r="D1033" s="169">
        <v>0.4</v>
      </c>
      <c r="E1033" s="168" t="e">
        <f ca="1">IF(Table36[[#This Row],[Percentage of long and short exposure]]&gt;Table36[[#This Row],[Upperbound]],Table36[[#This Row],[Percentage of long and short exposure]]/Table36[[#This Row],[Upperbound]],"")</f>
        <v>#DIV/0!</v>
      </c>
      <c r="F1033" s="53">
        <f>SUMIF(Table20[Primary Theme],Table36[[#This Row],[Primary Theme]],Table20[realized_profit])</f>
        <v>0</v>
      </c>
    </row>
    <row r="1034" spans="1:28">
      <c r="A1034" s="166" t="s">
        <v>83</v>
      </c>
      <c r="B1034" s="170">
        <f ca="1">SUMIF(Table20[[#All],[Primary Theme]],Table36[[#This Row],[Primary Theme]],Table20[[#All],[delta_exposure]])</f>
        <v>7135.6591797425681</v>
      </c>
      <c r="C1034" s="168">
        <f ca="1">IF(Table36[[#This Row],[Delta Exposure]]&gt;0,Table36[[#This Row],[Delta Exposure]]/$B$860,Table36[[#This Row],[Delta Exposure]]/$B$861)</f>
        <v>0.25778405491755052</v>
      </c>
      <c r="D1034" s="169">
        <v>0.25</v>
      </c>
      <c r="E1034" s="169">
        <f ca="1">IF(Table36[[#This Row],[Percentage of long and short exposure]]&gt;Table36[[#This Row],[Upperbound]],Table36[[#This Row],[Percentage of long and short exposure]]/Table36[[#This Row],[Upperbound]],"")</f>
        <v>1.0311362196702021</v>
      </c>
      <c r="F1034" s="15">
        <f>SUMIF(Table20[Primary Theme],Table36[[#This Row],[Primary Theme]],Table20[realized_profit])</f>
        <v>6408.0299999999988</v>
      </c>
    </row>
    <row r="1035" spans="1:28">
      <c r="A1035" s="166" t="s">
        <v>120</v>
      </c>
      <c r="B1035" s="170">
        <f ca="1">SUMIF(Table20[[#All],[Primary Theme]],Table36[[#This Row],[Primary Theme]],Table20[[#All],[delta_exposure]])</f>
        <v>0</v>
      </c>
      <c r="C1035" s="168" t="e">
        <f ca="1">IF(Table36[[#This Row],[Delta Exposure]]&gt;0,Table36[[#This Row],[Delta Exposure]]/$B$860,Table36[[#This Row],[Delta Exposure]]/$B$861)</f>
        <v>#DIV/0!</v>
      </c>
      <c r="D1035" s="169">
        <v>0.1</v>
      </c>
      <c r="E1035" s="169" t="e">
        <f ca="1">IF(Table36[[#This Row],[Percentage of long and short exposure]]&gt;Table36[[#This Row],[Upperbound]],Table36[[#This Row],[Percentage of long and short exposure]]/Table36[[#This Row],[Upperbound]],"")</f>
        <v>#DIV/0!</v>
      </c>
      <c r="F1035" s="15">
        <f>SUMIF(Table20[Primary Theme],Table36[[#This Row],[Primary Theme]],Table20[realized_profit])</f>
        <v>4608</v>
      </c>
    </row>
    <row r="1036" spans="1:28">
      <c r="A1036" s="166" t="s">
        <v>30</v>
      </c>
      <c r="B1036" s="170">
        <f ca="1">SUMIF(Table20[[#All],[Primary Theme]],Table36[[#This Row],[Primary Theme]],Table20[[#All],[delta_exposure]])</f>
        <v>0</v>
      </c>
      <c r="C1036" s="168" t="e">
        <f ca="1">IF(Table36[[#This Row],[Delta Exposure]]&gt;0,Table36[[#This Row],[Delta Exposure]]/$B$860,Table36[[#This Row],[Delta Exposure]]/$B$861)</f>
        <v>#DIV/0!</v>
      </c>
      <c r="D1036" s="169">
        <v>0.1</v>
      </c>
      <c r="E1036" s="169" t="e">
        <f ca="1">IF(Table36[[#This Row],[Percentage of long and short exposure]]&gt;Table36[[#This Row],[Upperbound]],Table36[[#This Row],[Percentage of long and short exposure]]/Table36[[#This Row],[Upperbound]],"")</f>
        <v>#DIV/0!</v>
      </c>
      <c r="F1036" s="15">
        <f>SUMIF(Table20[Primary Theme],Table36[[#This Row],[Primary Theme]],Table20[realized_profit])</f>
        <v>6731</v>
      </c>
    </row>
    <row r="1037" spans="1:28">
      <c r="A1037" s="166" t="s">
        <v>228</v>
      </c>
      <c r="B1037" s="170">
        <f>SUMIF(Table20[[#All],[Primary Theme]],Table36[[#This Row],[Primary Theme]],Table20[[#All],[delta_exposure]])</f>
        <v>0</v>
      </c>
      <c r="C1037" s="168" t="e">
        <f ca="1">IF(Table36[[#This Row],[Delta Exposure]]&gt;0,Table36[[#This Row],[Delta Exposure]]/$B$860,Table36[[#This Row],[Delta Exposure]]/$B$861)</f>
        <v>#DIV/0!</v>
      </c>
      <c r="D1037" s="169">
        <v>0.1</v>
      </c>
      <c r="E1037" s="169" t="e">
        <f ca="1">IF(Table36[[#This Row],[Percentage of long and short exposure]]&gt;Table36[[#This Row],[Upperbound]],Table36[[#This Row],[Percentage of long and short exposure]]/Table36[[#This Row],[Upperbound]],"")</f>
        <v>#DIV/0!</v>
      </c>
      <c r="F1037" s="15">
        <f>SUMIF(Table20[Primary Theme],Table36[[#This Row],[Primary Theme]],Table20[realized_profit])</f>
        <v>0</v>
      </c>
    </row>
    <row r="1038" spans="1:28">
      <c r="A1038" s="166" t="s">
        <v>23</v>
      </c>
      <c r="B1038" s="170">
        <f ca="1">SUMIF(Table20[[#All],[Primary Theme]],Table36[[#This Row],[Primary Theme]],Table20[[#All],[delta_exposure]])</f>
        <v>0</v>
      </c>
      <c r="C1038" s="168" t="e">
        <f ca="1">IF(Table36[[#This Row],[Delta Exposure]]&gt;0,Table36[[#This Row],[Delta Exposure]]/$B$860,Table36[[#This Row],[Delta Exposure]]/$B$861)</f>
        <v>#DIV/0!</v>
      </c>
      <c r="D1038" s="169">
        <v>0.1</v>
      </c>
      <c r="E1038" s="169" t="e">
        <f ca="1">IF(Table36[[#This Row],[Percentage of long and short exposure]]&gt;Table36[[#This Row],[Upperbound]],Table36[[#This Row],[Percentage of long and short exposure]]/Table36[[#This Row],[Upperbound]],"")</f>
        <v>#DIV/0!</v>
      </c>
      <c r="F1038" s="15">
        <f>SUMIF(Table20[Primary Theme],Table36[[#This Row],[Primary Theme]],Table20[realized_profit])</f>
        <v>-137.99999999999997</v>
      </c>
    </row>
    <row r="1039" spans="1:28">
      <c r="A1039" s="166" t="s">
        <v>121</v>
      </c>
      <c r="B1039" s="170">
        <f>SUMIF(Table20[[#All],[Primary Theme]],Table36[[#This Row],[Primary Theme]],Table20[[#All],[delta_exposure]])</f>
        <v>0</v>
      </c>
      <c r="C1039" s="168" t="e">
        <f ca="1">IF(Table36[[#This Row],[Delta Exposure]]&gt;0,Table36[[#This Row],[Delta Exposure]]/$B$860,Table36[[#This Row],[Delta Exposure]]/$B$861)</f>
        <v>#DIV/0!</v>
      </c>
      <c r="D1039" s="169">
        <v>0.1</v>
      </c>
      <c r="E1039" s="169" t="e">
        <f ca="1">IF(Table36[[#This Row],[Percentage of long and short exposure]]&gt;Table36[[#This Row],[Upperbound]],Table36[[#This Row],[Percentage of long and short exposure]]/Table36[[#This Row],[Upperbound]],"")</f>
        <v>#DIV/0!</v>
      </c>
      <c r="F1039" s="15">
        <f>SUMIF(Table20[Primary Theme],Table36[[#This Row],[Primary Theme]],Table20[realized_profit])</f>
        <v>0</v>
      </c>
    </row>
    <row r="1040" spans="1:28">
      <c r="A1040" s="166" t="s">
        <v>31</v>
      </c>
      <c r="B1040" s="170">
        <f ca="1">SUMIF(Table20[[#All],[Primary Theme]],Table36[[#This Row],[Primary Theme]],Table20[[#All],[delta_exposure]])</f>
        <v>4766.1975544411871</v>
      </c>
      <c r="C1040" s="168">
        <f ca="1">IF(Table36[[#This Row],[Delta Exposure]]&gt;0,Table36[[#This Row],[Delta Exposure]]/$B$860,Table36[[#This Row],[Delta Exposure]]/$B$861)</f>
        <v>0.1721844753474181</v>
      </c>
      <c r="D1040" s="169">
        <v>0.1</v>
      </c>
      <c r="E1040" s="169">
        <f ca="1">IF(Table36[[#This Row],[Percentage of long and short exposure]]&gt;Table36[[#This Row],[Upperbound]],Table36[[#This Row],[Percentage of long and short exposure]]/Table36[[#This Row],[Upperbound]],"")</f>
        <v>1.721844753474181</v>
      </c>
      <c r="F1040" s="15">
        <f>SUMIF(Table20[Primary Theme],Table36[[#This Row],[Primary Theme]],Table20[realized_profit])</f>
        <v>-1203</v>
      </c>
    </row>
    <row r="1041" spans="1:7">
      <c r="A1041" s="166" t="s">
        <v>158</v>
      </c>
      <c r="B1041" s="170">
        <f ca="1">SUMIF(Table20[[#All],[Primary Theme]],Table36[[#This Row],[Primary Theme]],Table20[[#All],[delta_exposure]])</f>
        <v>0</v>
      </c>
      <c r="C1041" s="168" t="e">
        <f ca="1">IF(Table36[[#This Row],[Delta Exposure]]&gt;0,Table36[[#This Row],[Delta Exposure]]/$B$860,Table36[[#This Row],[Delta Exposure]]/$B$861)</f>
        <v>#DIV/0!</v>
      </c>
      <c r="D1041" s="169">
        <v>0.1</v>
      </c>
      <c r="E1041" s="169" t="e">
        <f ca="1">IF(Table36[[#This Row],[Percentage of long and short exposure]]&gt;Table36[[#This Row],[Upperbound]],Table36[[#This Row],[Percentage of long and short exposure]]/Table36[[#This Row],[Upperbound]],"")</f>
        <v>#DIV/0!</v>
      </c>
      <c r="F1041" s="15">
        <f>SUMIF(Table20[Primary Theme],Table36[[#This Row],[Primary Theme]],Table20[realized_profit])</f>
        <v>-143.00000000000003</v>
      </c>
    </row>
    <row r="1042" spans="1:7">
      <c r="A1042" s="166" t="s">
        <v>133</v>
      </c>
      <c r="B1042" s="170">
        <f ca="1">SUMIF(Table20[[#All],[Primary Theme]],Table36[[#This Row],[Primary Theme]],Table20[[#All],[delta_exposure]])</f>
        <v>0</v>
      </c>
      <c r="C1042" s="168" t="e">
        <f ca="1">IF(Table36[[#This Row],[Delta Exposure]]&gt;0,Table36[[#This Row],[Delta Exposure]]/$B$860,Table36[[#This Row],[Delta Exposure]]/$B$861)</f>
        <v>#DIV/0!</v>
      </c>
      <c r="D1042" s="169">
        <v>0.1</v>
      </c>
      <c r="E1042" s="169" t="e">
        <f ca="1">IF(Table36[[#This Row],[Percentage of long and short exposure]]&gt;Table36[[#This Row],[Upperbound]],Table36[[#This Row],[Percentage of long and short exposure]]/Table36[[#This Row],[Upperbound]],"")</f>
        <v>#DIV/0!</v>
      </c>
      <c r="F1042" s="15">
        <f>SUMIF(Table20[Primary Theme],Table36[[#This Row],[Primary Theme]],Table20[realized_profit])</f>
        <v>4281</v>
      </c>
    </row>
    <row r="1043" spans="1:7">
      <c r="A1043" s="166" t="s">
        <v>26</v>
      </c>
      <c r="B1043" s="170">
        <f ca="1">SUMIF(Table20[[#All],[Primary Theme]],Table36[[#This Row],[Primary Theme]],Table20[[#All],[delta_exposure]])</f>
        <v>0</v>
      </c>
      <c r="C1043" s="168" t="e">
        <f ca="1">IF(Table36[[#This Row],[Delta Exposure]]&gt;0,Table36[[#This Row],[Delta Exposure]]/$B$860,Table36[[#This Row],[Delta Exposure]]/$B$861)</f>
        <v>#DIV/0!</v>
      </c>
      <c r="D1043" s="169">
        <v>0.1</v>
      </c>
      <c r="E1043" s="169" t="e">
        <f ca="1">IF(Table36[[#This Row],[Percentage of long and short exposure]]&gt;Table36[[#This Row],[Upperbound]],Table36[[#This Row],[Percentage of long and short exposure]]/Table36[[#This Row],[Upperbound]],"")</f>
        <v>#DIV/0!</v>
      </c>
      <c r="F1043" s="15">
        <f>SUMIF(Table20[Primary Theme],Table36[[#This Row],[Primary Theme]],Table20[realized_profit])</f>
        <v>-616</v>
      </c>
    </row>
    <row r="1044" spans="1:7">
      <c r="A1044" s="166" t="s">
        <v>56</v>
      </c>
      <c r="B1044" s="170">
        <f ca="1">SUMIF(Table20[[#All],[Primary Theme]],Table36[[#This Row],[Primary Theme]],Table20[[#All],[delta_exposure]])</f>
        <v>0</v>
      </c>
      <c r="C1044" s="168" t="e">
        <f ca="1">IF(Table36[[#This Row],[Delta Exposure]]&gt;0,Table36[[#This Row],[Delta Exposure]]/$B$860,Table36[[#This Row],[Delta Exposure]]/$B$861)</f>
        <v>#DIV/0!</v>
      </c>
      <c r="D1044" s="169">
        <v>0.1</v>
      </c>
      <c r="E1044" s="169" t="e">
        <f ca="1">IF(Table36[[#This Row],[Percentage of long and short exposure]]&gt;Table36[[#This Row],[Upperbound]],Table36[[#This Row],[Percentage of long and short exposure]]/Table36[[#This Row],[Upperbound]],"")</f>
        <v>#DIV/0!</v>
      </c>
      <c r="F1044" s="15">
        <f>SUMIF(Table20[Primary Theme],Table36[[#This Row],[Primary Theme]],Table20[realized_profit])</f>
        <v>-1175</v>
      </c>
    </row>
    <row r="1045" spans="1:7">
      <c r="A1045" s="166" t="s">
        <v>88</v>
      </c>
      <c r="B1045" s="170">
        <f ca="1">SUMIF(Table20[[#All],[Primary Theme]],Table36[[#This Row],[Primary Theme]],Table20[[#All],[delta_exposure]])</f>
        <v>0</v>
      </c>
      <c r="C1045" s="168" t="e">
        <f ca="1">IF(Table36[[#This Row],[Delta Exposure]]&gt;0,Table36[[#This Row],[Delta Exposure]]/$B$860,Table36[[#This Row],[Delta Exposure]]/$B$861)</f>
        <v>#DIV/0!</v>
      </c>
      <c r="D1045" s="169">
        <v>0.1</v>
      </c>
      <c r="E1045" s="169" t="e">
        <f ca="1">IF(Table36[[#This Row],[Percentage of long and short exposure]]&gt;Table36[[#This Row],[Upperbound]],Table36[[#This Row],[Percentage of long and short exposure]]/Table36[[#This Row],[Upperbound]],"")</f>
        <v>#DIV/0!</v>
      </c>
      <c r="F1045" s="15">
        <f>SUMIF(Table20[Primary Theme],Table36[[#This Row],[Primary Theme]],Table20[realized_profit])</f>
        <v>-365</v>
      </c>
    </row>
    <row r="1046" spans="1:7">
      <c r="A1046" s="166" t="s">
        <v>87</v>
      </c>
      <c r="B1046" s="170">
        <f ca="1">SUMIF(Table20[[#All],[Primary Theme]],Table36[[#This Row],[Primary Theme]],Table20[[#All],[delta_exposure]])</f>
        <v>0</v>
      </c>
      <c r="C1046" s="168" t="e">
        <f ca="1">IF(Table36[[#This Row],[Delta Exposure]]&gt;0,Table36[[#This Row],[Delta Exposure]]/$B$860,Table36[[#This Row],[Delta Exposure]]/$B$861)</f>
        <v>#DIV/0!</v>
      </c>
      <c r="D1046" s="169">
        <v>0.1</v>
      </c>
      <c r="E1046" s="169" t="e">
        <f ca="1">IF(Table36[[#This Row],[Percentage of long and short exposure]]&gt;Table36[[#This Row],[Upperbound]],Table36[[#This Row],[Percentage of long and short exposure]]/Table36[[#This Row],[Upperbound]],"")</f>
        <v>#DIV/0!</v>
      </c>
      <c r="F1046" s="15">
        <f>SUMIF(Table20[Primary Theme],Table36[[#This Row],[Primary Theme]],Table20[realized_profit])</f>
        <v>-46</v>
      </c>
    </row>
    <row r="1047" spans="1:7">
      <c r="A1047" s="166" t="s">
        <v>127</v>
      </c>
      <c r="B1047" s="170">
        <f>SUMIF(Table20[[#All],[Primary Theme]],Table36[[#This Row],[Primary Theme]],Table20[[#All],[delta_exposure]])</f>
        <v>0</v>
      </c>
      <c r="C1047" s="168" t="e">
        <f ca="1">IF(Table36[[#This Row],[Delta Exposure]]&gt;0,Table36[[#This Row],[Delta Exposure]]/$B$860,Table36[[#This Row],[Delta Exposure]]/$B$861)</f>
        <v>#DIV/0!</v>
      </c>
      <c r="D1047" s="169">
        <v>0.1</v>
      </c>
      <c r="E1047" s="169" t="e">
        <f ca="1">IF(Table36[[#This Row],[Percentage of long and short exposure]]&gt;Table36[[#This Row],[Upperbound]],Table36[[#This Row],[Percentage of long and short exposure]]/Table36[[#This Row],[Upperbound]],"")</f>
        <v>#DIV/0!</v>
      </c>
      <c r="F1047" s="15">
        <f>SUMIF(Table20[Primary Theme],Table36[[#This Row],[Primary Theme]],Table20[realized_profit])</f>
        <v>0</v>
      </c>
    </row>
    <row r="1048" spans="1:7">
      <c r="A1048" s="166" t="s">
        <v>128</v>
      </c>
      <c r="B1048" s="170">
        <f ca="1">SUMIF(Table20[[#All],[Primary Theme]],Table36[[#This Row],[Primary Theme]],Table20[[#All],[delta_exposure]])</f>
        <v>0</v>
      </c>
      <c r="C1048" s="168" t="e">
        <f ca="1">IF(Table36[[#This Row],[Delta Exposure]]&gt;0,Table36[[#This Row],[Delta Exposure]]/$B$860,Table36[[#This Row],[Delta Exposure]]/$B$861)</f>
        <v>#DIV/0!</v>
      </c>
      <c r="D1048" s="169">
        <v>0.1</v>
      </c>
      <c r="E1048" s="169" t="e">
        <f ca="1">IF(Table36[[#This Row],[Percentage of long and short exposure]]&gt;Table36[[#This Row],[Upperbound]],Table36[[#This Row],[Percentage of long and short exposure]]/Table36[[#This Row],[Upperbound]],"")</f>
        <v>#DIV/0!</v>
      </c>
      <c r="F1048" s="15">
        <f>SUMIF(Table20[Primary Theme],Table36[[#This Row],[Primary Theme]],Table20[realized_profit])</f>
        <v>-120</v>
      </c>
    </row>
    <row r="1049" spans="1:7">
      <c r="A1049" s="166" t="s">
        <v>132</v>
      </c>
      <c r="B1049" s="170">
        <f ca="1">SUMIF(Table20[[#All],[Primary Theme]],Table36[[#This Row],[Primary Theme]],Table20[[#All],[delta_exposure]])</f>
        <v>0</v>
      </c>
      <c r="C1049" s="168" t="e">
        <f ca="1">IF(Table36[[#This Row],[Delta Exposure]]&gt;0,Table36[[#This Row],[Delta Exposure]]/$B$860,Table36[[#This Row],[Delta Exposure]]/$B$861)</f>
        <v>#DIV/0!</v>
      </c>
      <c r="D1049" s="169">
        <v>0.1</v>
      </c>
      <c r="E1049" s="169" t="e">
        <f ca="1">IF(Table36[[#This Row],[Percentage of long and short exposure]]&gt;Table36[[#This Row],[Upperbound]],Table36[[#This Row],[Percentage of long and short exposure]]/Table36[[#This Row],[Upperbound]],"")</f>
        <v>#DIV/0!</v>
      </c>
      <c r="F1049" s="15">
        <f>SUMIF(Table20[Primary Theme],Table36[[#This Row],[Primary Theme]],Table20[realized_profit])</f>
        <v>743</v>
      </c>
    </row>
    <row r="1050" spans="1:7">
      <c r="A1050" s="166" t="s">
        <v>58</v>
      </c>
      <c r="B1050" s="170">
        <f ca="1">SUMIF(Table20[[#All],[Primary Theme]],Table36[[#This Row],[Primary Theme]],Table20[[#All],[delta_exposure]])</f>
        <v>0</v>
      </c>
      <c r="C1050" s="168" t="e">
        <f ca="1">IF(Table36[[#This Row],[Delta Exposure]]&gt;0,Table36[[#This Row],[Delta Exposure]]/$B$860,Table36[[#This Row],[Delta Exposure]]/$B$861)</f>
        <v>#DIV/0!</v>
      </c>
      <c r="D1050" s="169">
        <v>0.1</v>
      </c>
      <c r="E1050" s="169" t="e">
        <f ca="1">IF(Table36[[#This Row],[Percentage of long and short exposure]]&gt;Table36[[#This Row],[Upperbound]],Table36[[#This Row],[Percentage of long and short exposure]]/Table36[[#This Row],[Upperbound]],"")</f>
        <v>#DIV/0!</v>
      </c>
      <c r="F1050" s="15">
        <f>SUMIF(Table20[Primary Theme],Table36[[#This Row],[Primary Theme]],Table20[realized_profit])</f>
        <v>-150</v>
      </c>
    </row>
    <row r="1051" spans="1:7">
      <c r="A1051" s="171" t="s">
        <v>125</v>
      </c>
      <c r="B1051" s="172">
        <f>SUMIF(Table20[[#All],[Primary Theme]],Table36[[#This Row],[Primary Theme]],Table20[[#All],[delta_exposure]])</f>
        <v>0</v>
      </c>
      <c r="C1051" s="168" t="e">
        <f ca="1">IF(Table36[[#This Row],[Delta Exposure]]&gt;0,Table36[[#This Row],[Delta Exposure]]/$B$860,Table36[[#This Row],[Delta Exposure]]/$B$861)</f>
        <v>#DIV/0!</v>
      </c>
      <c r="D1051" s="169">
        <v>0.1</v>
      </c>
      <c r="E1051" s="169" t="e">
        <f ca="1">IF(Table36[[#This Row],[Percentage of long and short exposure]]&gt;Table36[[#This Row],[Upperbound]],Table36[[#This Row],[Percentage of long and short exposure]]/Table36[[#This Row],[Upperbound]],"")</f>
        <v>#DIV/0!</v>
      </c>
      <c r="F1051" s="15">
        <f>SUMIF(Table20[Primary Theme],Table36[[#This Row],[Primary Theme]],Table20[realized_profit])</f>
        <v>0</v>
      </c>
    </row>
    <row r="1052" spans="1:7">
      <c r="A1052" s="171" t="s">
        <v>55</v>
      </c>
      <c r="B1052" s="172">
        <f ca="1">SUMIF(Table20[[#All],[Primary Theme]],Table36[[#This Row],[Primary Theme]],Table20[[#All],[delta_exposure]])</f>
        <v>0</v>
      </c>
      <c r="C1052" s="168" t="e">
        <f ca="1">IF(Table36[[#This Row],[Delta Exposure]]&gt;0,Table36[[#This Row],[Delta Exposure]]/$B$860,Table36[[#This Row],[Delta Exposure]]/$B$861)</f>
        <v>#DIV/0!</v>
      </c>
      <c r="D1052" s="169">
        <v>0.1</v>
      </c>
      <c r="E1052" s="169" t="e">
        <f ca="1">IF(Table36[[#This Row],[Percentage of long and short exposure]]&gt;Table36[[#This Row],[Upperbound]],Table36[[#This Row],[Percentage of long and short exposure]]/Table36[[#This Row],[Upperbound]],"")</f>
        <v>#DIV/0!</v>
      </c>
      <c r="F1052" s="15">
        <f>SUMIF(Table20[Primary Theme],Table36[[#This Row],[Primary Theme]],Table20[realized_profit])</f>
        <v>-1341.0000000000002</v>
      </c>
    </row>
    <row r="1053" spans="1:7">
      <c r="A1053" s="171" t="s">
        <v>1</v>
      </c>
      <c r="B1053" s="172">
        <f ca="1">SUMIF(Table20[[#All],[Primary Theme]],Table36[[#This Row],[Primary Theme]],Table20[[#All],[delta_exposure]])</f>
        <v>15778.905685450125</v>
      </c>
      <c r="C1053" s="168">
        <f ca="1">IF(Table36[[#This Row],[Delta Exposure]]&gt;0,Table36[[#This Row],[Delta Exposure]]/$B$860,Table36[[#This Row],[Delta Exposure]]/$B$861)</f>
        <v>0.57003146973503138</v>
      </c>
      <c r="D1053" s="169">
        <v>1</v>
      </c>
      <c r="E1053" s="169" t="str">
        <f ca="1">IF(Table36[[#This Row],[Percentage of long and short exposure]]&gt;Table36[[#This Row],[Upperbound]],Table36[[#This Row],[Percentage of long and short exposure]]/Table36[[#This Row],[Upperbound]],"")</f>
        <v/>
      </c>
      <c r="F1053" s="15">
        <f>SUMIF(Table20[Primary Theme],Table36[[#This Row],[Primary Theme]],Table20[realized_profit])</f>
        <v>-9917.36</v>
      </c>
    </row>
    <row r="1056" spans="1:7" ht="24">
      <c r="A1056" s="153" t="s">
        <v>390</v>
      </c>
      <c r="B1056" s="149"/>
      <c r="C1056" s="149"/>
      <c r="D1056" s="149"/>
      <c r="E1056" s="149"/>
      <c r="F1056" s="149"/>
      <c r="G1056" s="149"/>
    </row>
    <row r="1057" spans="1:1" ht="21">
      <c r="A1057" s="154" t="s">
        <v>404</v>
      </c>
    </row>
    <row r="1058" spans="1:1" ht="21">
      <c r="A1058" s="154" t="s">
        <v>460</v>
      </c>
    </row>
    <row r="1059" spans="1:1" ht="21">
      <c r="A1059" s="154" t="s">
        <v>362</v>
      </c>
    </row>
    <row r="1060" spans="1:1" ht="21">
      <c r="A1060" s="154" t="s">
        <v>363</v>
      </c>
    </row>
    <row r="1061" spans="1:1" ht="21">
      <c r="A1061" s="154" t="s">
        <v>364</v>
      </c>
    </row>
    <row r="1062" spans="1:1" ht="21">
      <c r="A1062" s="154" t="s">
        <v>365</v>
      </c>
    </row>
    <row r="1063" spans="1:1" ht="21">
      <c r="A1063" s="154" t="s">
        <v>366</v>
      </c>
    </row>
    <row r="1064" spans="1:1" ht="21">
      <c r="A1064" s="154" t="s">
        <v>367</v>
      </c>
    </row>
    <row r="1065" spans="1:1" ht="21">
      <c r="A1065" s="154" t="s">
        <v>368</v>
      </c>
    </row>
    <row r="1066" spans="1:1" ht="21">
      <c r="A1066" s="154" t="s">
        <v>369</v>
      </c>
    </row>
    <row r="1067" spans="1:1" ht="21">
      <c r="A1067" s="154" t="s">
        <v>382</v>
      </c>
    </row>
    <row r="1068" spans="1:1" ht="21">
      <c r="A1068" s="154" t="s">
        <v>374</v>
      </c>
    </row>
    <row r="1069" spans="1:1" ht="21">
      <c r="A1069" s="154" t="s">
        <v>384</v>
      </c>
    </row>
    <row r="1070" spans="1:1" ht="21">
      <c r="A1070" s="154" t="s">
        <v>385</v>
      </c>
    </row>
    <row r="1071" spans="1:1" ht="21">
      <c r="A1071" s="154" t="s">
        <v>467</v>
      </c>
    </row>
    <row r="1072" spans="1:1" ht="21">
      <c r="A1072" s="154" t="s">
        <v>402</v>
      </c>
    </row>
    <row r="1073" spans="1:7" ht="21">
      <c r="A1073" s="154" t="s">
        <v>403</v>
      </c>
    </row>
    <row r="1074" spans="1:7" ht="21">
      <c r="A1074" s="154" t="s">
        <v>443</v>
      </c>
    </row>
    <row r="1076" spans="1:7" ht="24">
      <c r="A1076" s="153" t="s">
        <v>375</v>
      </c>
      <c r="B1076" s="149"/>
      <c r="C1076" s="149"/>
      <c r="D1076" s="149"/>
      <c r="E1076" s="149"/>
      <c r="F1076" s="149"/>
      <c r="G1076" s="149"/>
    </row>
    <row r="1077" spans="1:7" ht="21">
      <c r="A1077" s="154" t="s">
        <v>392</v>
      </c>
    </row>
    <row r="1078" spans="1:7" ht="21">
      <c r="A1078" s="154" t="s">
        <v>376</v>
      </c>
    </row>
    <row r="1079" spans="1:7" ht="21">
      <c r="A1079" s="154" t="s">
        <v>377</v>
      </c>
    </row>
    <row r="1080" spans="1:7" ht="21">
      <c r="A1080" s="154" t="s">
        <v>378</v>
      </c>
    </row>
    <row r="1081" spans="1:7" ht="21">
      <c r="A1081" s="173" t="s">
        <v>379</v>
      </c>
    </row>
    <row r="1082" spans="1:7" ht="21">
      <c r="A1082" s="154" t="s">
        <v>380</v>
      </c>
    </row>
    <row r="1083" spans="1:7" ht="21">
      <c r="A1083" s="154" t="s">
        <v>383</v>
      </c>
    </row>
    <row r="1084" spans="1:7" ht="21">
      <c r="A1084" s="154" t="s">
        <v>381</v>
      </c>
    </row>
    <row r="1085" spans="1:7" ht="21">
      <c r="A1085" s="154" t="s">
        <v>386</v>
      </c>
    </row>
    <row r="1086" spans="1:7" ht="21">
      <c r="A1086" s="154" t="s">
        <v>393</v>
      </c>
    </row>
    <row r="1088" spans="1:7" ht="24">
      <c r="A1088" s="153" t="s">
        <v>409</v>
      </c>
      <c r="B1088" s="149"/>
      <c r="C1088" s="149"/>
      <c r="D1088" s="149"/>
      <c r="E1088" s="149"/>
      <c r="F1088" s="149"/>
      <c r="G1088" s="149"/>
    </row>
    <row r="1089" spans="1:7" ht="21">
      <c r="A1089" s="154" t="s">
        <v>410</v>
      </c>
    </row>
    <row r="1090" spans="1:7" ht="21">
      <c r="A1090" s="154" t="s">
        <v>425</v>
      </c>
    </row>
    <row r="1091" spans="1:7" ht="21">
      <c r="A1091" s="154" t="s">
        <v>411</v>
      </c>
    </row>
    <row r="1092" spans="1:7" ht="21">
      <c r="A1092" s="154" t="s">
        <v>412</v>
      </c>
    </row>
    <row r="1093" spans="1:7" ht="21">
      <c r="A1093" s="173"/>
    </row>
    <row r="1094" spans="1:7" ht="21">
      <c r="A1094" s="154" t="s">
        <v>413</v>
      </c>
    </row>
    <row r="1095" spans="1:7" ht="21">
      <c r="A1095" s="154"/>
    </row>
    <row r="1096" spans="1:7" ht="21">
      <c r="A1096" s="154" t="s">
        <v>424</v>
      </c>
    </row>
    <row r="1097" spans="1:7" ht="21">
      <c r="A1097" s="154"/>
    </row>
    <row r="1099" spans="1:7" ht="24">
      <c r="A1099" s="153" t="s">
        <v>23</v>
      </c>
      <c r="B1099" s="149"/>
      <c r="C1099" s="149"/>
      <c r="D1099" s="149"/>
      <c r="E1099" s="149"/>
      <c r="F1099" s="149"/>
      <c r="G1099" s="149"/>
    </row>
    <row r="1100" spans="1:7" ht="21">
      <c r="A1100" s="154" t="s">
        <v>414</v>
      </c>
    </row>
    <row r="1101" spans="1:7" ht="21">
      <c r="A1101" s="154" t="s">
        <v>415</v>
      </c>
    </row>
    <row r="1102" spans="1:7" ht="21">
      <c r="A1102" s="154" t="s">
        <v>416</v>
      </c>
    </row>
    <row r="1103" spans="1:7" ht="21">
      <c r="A1103" s="154" t="s">
        <v>485</v>
      </c>
    </row>
    <row r="1105" spans="1:7" ht="24">
      <c r="A1105" s="153" t="s">
        <v>417</v>
      </c>
      <c r="B1105" s="149"/>
      <c r="C1105" s="149"/>
      <c r="D1105" s="149"/>
      <c r="E1105" s="149"/>
      <c r="F1105" s="149"/>
      <c r="G1105" s="149"/>
    </row>
    <row r="1106" spans="1:7" ht="21">
      <c r="A1106" s="154" t="s">
        <v>418</v>
      </c>
    </row>
    <row r="1107" spans="1:7" ht="21">
      <c r="A1107" s="154" t="s">
        <v>419</v>
      </c>
    </row>
    <row r="1108" spans="1:7" ht="21">
      <c r="A1108" s="154" t="s">
        <v>420</v>
      </c>
    </row>
    <row r="1109" spans="1:7" ht="21">
      <c r="A1109" s="154" t="s">
        <v>421</v>
      </c>
    </row>
    <row r="1110" spans="1:7" ht="21">
      <c r="A1110" s="154" t="s">
        <v>422</v>
      </c>
    </row>
    <row r="1111" spans="1:7" ht="21">
      <c r="A1111" s="154" t="s">
        <v>423</v>
      </c>
    </row>
    <row r="1113" spans="1:7" ht="24">
      <c r="A1113" s="153" t="s">
        <v>472</v>
      </c>
      <c r="B1113" s="149"/>
      <c r="C1113" s="149"/>
      <c r="D1113" s="149"/>
      <c r="E1113" s="149"/>
      <c r="F1113" s="149"/>
      <c r="G1113" s="149"/>
    </row>
    <row r="1114" spans="1:7" ht="21">
      <c r="A1114" s="154" t="s">
        <v>473</v>
      </c>
    </row>
  </sheetData>
  <phoneticPr fontId="10" type="noConversion"/>
  <conditionalFormatting sqref="B844:B854">
    <cfRule type="dataBar" priority="1049">
      <dataBar>
        <cfvo type="min"/>
        <cfvo type="max"/>
        <color rgb="FF63C384"/>
      </dataBar>
      <extLst>
        <ext xmlns:x14="http://schemas.microsoft.com/office/spreadsheetml/2009/9/main" uri="{B025F937-C7B1-47D3-B67F-A62EFF666E3E}">
          <x14:id>{F3F722CD-ECAA-894B-92D2-5165B6BC8865}</x14:id>
        </ext>
      </extLst>
    </cfRule>
  </conditionalFormatting>
  <conditionalFormatting sqref="B858:B859">
    <cfRule type="cellIs" dxfId="18" priority="15" operator="lessThan">
      <formula>0</formula>
    </cfRule>
    <cfRule type="cellIs" dxfId="17" priority="16" operator="greaterThan">
      <formula>0</formula>
    </cfRule>
  </conditionalFormatting>
  <conditionalFormatting sqref="B862">
    <cfRule type="cellIs" dxfId="16" priority="18" operator="greaterThan">
      <formula>8000</formula>
    </cfRule>
  </conditionalFormatting>
  <conditionalFormatting sqref="B865">
    <cfRule type="cellIs" dxfId="15" priority="28" operator="greaterThan">
      <formula>0</formula>
    </cfRule>
    <cfRule type="cellIs" dxfId="14" priority="29" operator="lessThan">
      <formula>0</formula>
    </cfRule>
  </conditionalFormatting>
  <conditionalFormatting sqref="B874:B882">
    <cfRule type="dataBar" priority="41">
      <dataBar>
        <cfvo type="min"/>
        <cfvo type="max"/>
        <color rgb="FF63C384"/>
      </dataBar>
      <extLst>
        <ext xmlns:x14="http://schemas.microsoft.com/office/spreadsheetml/2009/9/main" uri="{B025F937-C7B1-47D3-B67F-A62EFF666E3E}">
          <x14:id>{7CADC02D-40FB-CA4F-A144-C64EF53BCD06}</x14:id>
        </ext>
      </extLst>
    </cfRule>
  </conditionalFormatting>
  <conditionalFormatting sqref="B888:B896">
    <cfRule type="dataBar" priority="37">
      <dataBar>
        <cfvo type="min"/>
        <cfvo type="max"/>
        <color rgb="FF63C384"/>
      </dataBar>
      <extLst>
        <ext xmlns:x14="http://schemas.microsoft.com/office/spreadsheetml/2009/9/main" uri="{B025F937-C7B1-47D3-B67F-A62EFF666E3E}">
          <x14:id>{51C52134-136C-1B41-BF59-1AA0458A29F8}</x14:id>
        </ext>
      </extLst>
    </cfRule>
  </conditionalFormatting>
  <conditionalFormatting sqref="C846:C853">
    <cfRule type="dataBar" priority="49">
      <dataBar>
        <cfvo type="min"/>
        <cfvo type="max"/>
        <color rgb="FF63C384"/>
      </dataBar>
      <extLst>
        <ext xmlns:x14="http://schemas.microsoft.com/office/spreadsheetml/2009/9/main" uri="{B025F937-C7B1-47D3-B67F-A62EFF666E3E}">
          <x14:id>{E9FBC6BF-6547-1D49-A80D-F30A124DF79B}</x14:id>
        </ext>
      </extLst>
    </cfRule>
  </conditionalFormatting>
  <conditionalFormatting sqref="C875:C882">
    <cfRule type="dataBar" priority="40">
      <dataBar>
        <cfvo type="min"/>
        <cfvo type="max"/>
        <color rgb="FF63C384"/>
      </dataBar>
      <extLst>
        <ext xmlns:x14="http://schemas.microsoft.com/office/spreadsheetml/2009/9/main" uri="{B025F937-C7B1-47D3-B67F-A62EFF666E3E}">
          <x14:id>{53F89915-A46A-8A4A-AFD8-7BCDD9B2E049}</x14:id>
        </ext>
      </extLst>
    </cfRule>
  </conditionalFormatting>
  <conditionalFormatting sqref="C889:C896">
    <cfRule type="dataBar" priority="36">
      <dataBar>
        <cfvo type="min"/>
        <cfvo type="max"/>
        <color rgb="FF63C384"/>
      </dataBar>
      <extLst>
        <ext xmlns:x14="http://schemas.microsoft.com/office/spreadsheetml/2009/9/main" uri="{B025F937-C7B1-47D3-B67F-A62EFF666E3E}">
          <x14:id>{C0775534-1AD6-6D41-BEAD-8439CA53BE74}</x14:id>
        </ext>
      </extLst>
    </cfRule>
  </conditionalFormatting>
  <conditionalFormatting sqref="D904:D1027">
    <cfRule type="dataBar" priority="3832">
      <dataBar>
        <cfvo type="min"/>
        <cfvo type="max"/>
        <color rgb="FF63C384"/>
      </dataBar>
      <extLst>
        <ext xmlns:x14="http://schemas.microsoft.com/office/spreadsheetml/2009/9/main" uri="{B025F937-C7B1-47D3-B67F-A62EFF666E3E}">
          <x14:id>{728342F7-3585-F148-9767-C5AABA3DC8BC}</x14:id>
        </ext>
      </extLst>
    </cfRule>
  </conditionalFormatting>
  <conditionalFormatting sqref="E846:E853">
    <cfRule type="dataBar" priority="48">
      <dataBar>
        <cfvo type="min"/>
        <cfvo type="max"/>
        <color rgb="FF63C384"/>
      </dataBar>
      <extLst>
        <ext xmlns:x14="http://schemas.microsoft.com/office/spreadsheetml/2009/9/main" uri="{B025F937-C7B1-47D3-B67F-A62EFF666E3E}">
          <x14:id>{557D4136-5A09-2247-B471-E98C17AB1AF3}</x14:id>
        </ext>
      </extLst>
    </cfRule>
  </conditionalFormatting>
  <conditionalFormatting sqref="E875:E882">
    <cfRule type="dataBar" priority="39">
      <dataBar>
        <cfvo type="min"/>
        <cfvo type="max"/>
        <color rgb="FF63C384"/>
      </dataBar>
      <extLst>
        <ext xmlns:x14="http://schemas.microsoft.com/office/spreadsheetml/2009/9/main" uri="{B025F937-C7B1-47D3-B67F-A62EFF666E3E}">
          <x14:id>{1438C61E-BFE4-1642-898B-7FED37E226F6}</x14:id>
        </ext>
      </extLst>
    </cfRule>
  </conditionalFormatting>
  <conditionalFormatting sqref="E889:E896">
    <cfRule type="dataBar" priority="35">
      <dataBar>
        <cfvo type="min"/>
        <cfvo type="max"/>
        <color rgb="FF63C384"/>
      </dataBar>
      <extLst>
        <ext xmlns:x14="http://schemas.microsoft.com/office/spreadsheetml/2009/9/main" uri="{B025F937-C7B1-47D3-B67F-A62EFF666E3E}">
          <x14:id>{7434A64D-276E-2C40-A510-54AF915FE7CD}</x14:id>
        </ext>
      </extLst>
    </cfRule>
  </conditionalFormatting>
  <conditionalFormatting sqref="F875:F882">
    <cfRule type="iconSet" priority="33">
      <iconSet iconSet="3Flags">
        <cfvo type="percent" val="0"/>
        <cfvo type="percent" val="33"/>
        <cfvo type="percent" val="67"/>
      </iconSet>
    </cfRule>
  </conditionalFormatting>
  <conditionalFormatting sqref="F889:F896">
    <cfRule type="iconSet" priority="32">
      <iconSet iconSet="3Flags">
        <cfvo type="percent" val="0"/>
        <cfvo type="percent" val="33"/>
        <cfvo type="percent" val="67"/>
      </iconSet>
    </cfRule>
  </conditionalFormatting>
  <conditionalFormatting sqref="F1033:F1053">
    <cfRule type="cellIs" dxfId="13" priority="30" operator="greaterThan">
      <formula>0</formula>
    </cfRule>
    <cfRule type="cellIs" dxfId="12" priority="31" operator="lessThan">
      <formula>0</formula>
    </cfRule>
  </conditionalFormatting>
  <conditionalFormatting sqref="G6:G840 G842">
    <cfRule type="cellIs" dxfId="11" priority="1" operator="lessThan">
      <formula>-1</formula>
    </cfRule>
    <cfRule type="cellIs" dxfId="10" priority="2" operator="greaterThan">
      <formula>1</formula>
    </cfRule>
  </conditionalFormatting>
  <conditionalFormatting sqref="H846:H853">
    <cfRule type="dataBar" priority="47">
      <dataBar>
        <cfvo type="min"/>
        <cfvo type="max"/>
        <color rgb="FF63C384"/>
      </dataBar>
      <extLst>
        <ext xmlns:x14="http://schemas.microsoft.com/office/spreadsheetml/2009/9/main" uri="{B025F937-C7B1-47D3-B67F-A62EFF666E3E}">
          <x14:id>{791A9AA1-A586-614C-A11F-7350488E550E}</x14:id>
        </ext>
      </extLst>
    </cfRule>
  </conditionalFormatting>
  <conditionalFormatting sqref="L967:M1000 L959:L966 M904:M966">
    <cfRule type="dataBar" priority="3834">
      <dataBar>
        <cfvo type="min"/>
        <cfvo type="max"/>
        <color rgb="FF63C384"/>
      </dataBar>
      <extLst>
        <ext xmlns:x14="http://schemas.microsoft.com/office/spreadsheetml/2009/9/main" uri="{B025F937-C7B1-47D3-B67F-A62EFF666E3E}">
          <x14:id>{CCC79E28-B497-C847-A528-82660A5BC13B}</x14:id>
        </ext>
      </extLst>
    </cfRule>
  </conditionalFormatting>
  <conditionalFormatting sqref="L1001:M1016 AI966:AJ972">
    <cfRule type="dataBar" priority="3661">
      <dataBar>
        <cfvo type="min"/>
        <cfvo type="max"/>
        <color rgb="FF63C384"/>
      </dataBar>
      <extLst>
        <ext xmlns:x14="http://schemas.microsoft.com/office/spreadsheetml/2009/9/main" uri="{B025F937-C7B1-47D3-B67F-A62EFF666E3E}">
          <x14:id>{DAC25870-ECB3-414C-B56A-4CA9F6C77BB8}</x14:id>
        </ext>
      </extLst>
    </cfRule>
  </conditionalFormatting>
  <conditionalFormatting sqref="N904:N1027">
    <cfRule type="cellIs" dxfId="9" priority="3" operator="equal">
      <formula>" "</formula>
    </cfRule>
    <cfRule type="cellIs" dxfId="8" priority="5" operator="equal">
      <formula>""""""</formula>
    </cfRule>
  </conditionalFormatting>
  <conditionalFormatting sqref="Q904:Q1027 AN966:AN972">
    <cfRule type="cellIs" dxfId="7" priority="25" operator="equal">
      <formula>TRUE</formula>
    </cfRule>
  </conditionalFormatting>
  <conditionalFormatting sqref="R904:R1027 AO966:AO972">
    <cfRule type="cellIs" dxfId="6" priority="26" operator="equal">
      <formula>TRUE</formula>
    </cfRule>
  </conditionalFormatting>
  <conditionalFormatting sqref="S904:S1027">
    <cfRule type="dataBar" priority="3838">
      <dataBar>
        <cfvo type="min"/>
        <cfvo type="max"/>
        <color rgb="FF63C384"/>
      </dataBar>
      <extLst>
        <ext xmlns:x14="http://schemas.microsoft.com/office/spreadsheetml/2009/9/main" uri="{B025F937-C7B1-47D3-B67F-A62EFF666E3E}">
          <x14:id>{91D24425-3BAA-A04A-A669-57745B07946C}</x14:id>
        </ext>
      </extLst>
    </cfRule>
  </conditionalFormatting>
  <conditionalFormatting sqref="T6:T840">
    <cfRule type="dataBar" priority="4475">
      <dataBar>
        <cfvo type="min"/>
        <cfvo type="max"/>
        <color rgb="FF63C384"/>
      </dataBar>
      <extLst>
        <ext xmlns:x14="http://schemas.microsoft.com/office/spreadsheetml/2009/9/main" uri="{B025F937-C7B1-47D3-B67F-A62EFF666E3E}">
          <x14:id>{CD110F34-0E98-924F-A9D0-A802CA6D6869}</x14:id>
        </ext>
      </extLst>
    </cfRule>
  </conditionalFormatting>
  <conditionalFormatting sqref="T904:T1027 AQ966:AQ972">
    <cfRule type="cellIs" dxfId="5" priority="24" operator="equal">
      <formula>"Stock"</formula>
    </cfRule>
  </conditionalFormatting>
  <conditionalFormatting sqref="U6:U840">
    <cfRule type="dataBar" priority="4478">
      <dataBar>
        <cfvo type="min"/>
        <cfvo type="max"/>
        <color rgb="FF63C384"/>
      </dataBar>
      <extLst>
        <ext xmlns:x14="http://schemas.microsoft.com/office/spreadsheetml/2009/9/main" uri="{B025F937-C7B1-47D3-B67F-A62EFF666E3E}">
          <x14:id>{18737778-62F9-3A49-8CEF-17944386CA37}</x14:id>
        </ext>
      </extLst>
    </cfRule>
  </conditionalFormatting>
  <conditionalFormatting sqref="U904:U963 U965:U1016 AR966:AR972">
    <cfRule type="timePeriod" dxfId="4" priority="22" timePeriod="thisMonth">
      <formula>AND(MONTH(U904)=MONTH(TODAY()),YEAR(U904)=YEAR(TODAY()))</formula>
    </cfRule>
  </conditionalFormatting>
  <conditionalFormatting sqref="V6:V840">
    <cfRule type="cellIs" dxfId="3" priority="52" operator="greaterThan">
      <formula>0</formula>
    </cfRule>
  </conditionalFormatting>
  <conditionalFormatting sqref="W6:W840">
    <cfRule type="cellIs" dxfId="2" priority="53" operator="lessThan">
      <formula>0.05</formula>
    </cfRule>
  </conditionalFormatting>
  <conditionalFormatting sqref="Y6:Y840">
    <cfRule type="iconSet" priority="4487">
      <iconSet iconSet="3Flags">
        <cfvo type="percent" val="0"/>
        <cfvo type="percent" val="33"/>
        <cfvo type="percent" val="67"/>
      </iconSet>
    </cfRule>
  </conditionalFormatting>
  <conditionalFormatting sqref="Z904:Z1027">
    <cfRule type="colorScale" priority="3840">
      <colorScale>
        <cfvo type="min"/>
        <cfvo type="percentile" val="50"/>
        <cfvo type="max"/>
        <color rgb="FF63BE7B"/>
        <color rgb="FFFFEB84"/>
        <color rgb="FFF8696B"/>
      </colorScale>
    </cfRule>
  </conditionalFormatting>
  <conditionalFormatting sqref="AA904:AA1027">
    <cfRule type="colorScale" priority="3842">
      <colorScale>
        <cfvo type="min"/>
        <cfvo type="percentile" val="50"/>
        <cfvo type="max"/>
        <color rgb="FF63BE7B"/>
        <color rgb="FFFFEB84"/>
        <color rgb="FFF8696B"/>
      </colorScale>
    </cfRule>
  </conditionalFormatting>
  <conditionalFormatting sqref="AA972:AA974">
    <cfRule type="dataBar" priority="3614">
      <dataBar>
        <cfvo type="min"/>
        <cfvo type="max"/>
        <color rgb="FF63C384"/>
      </dataBar>
      <extLst>
        <ext xmlns:x14="http://schemas.microsoft.com/office/spreadsheetml/2009/9/main" uri="{B025F937-C7B1-47D3-B67F-A62EFF666E3E}">
          <x14:id>{803563C7-DB7E-784B-BEEB-83E2BC27B56F}</x14:id>
        </ext>
      </extLst>
    </cfRule>
  </conditionalFormatting>
  <conditionalFormatting sqref="AE6:AE840">
    <cfRule type="dataBar" priority="4490">
      <dataBar>
        <cfvo type="min"/>
        <cfvo type="max"/>
        <color rgb="FF63C384"/>
      </dataBar>
      <extLst>
        <ext xmlns:x14="http://schemas.microsoft.com/office/spreadsheetml/2009/9/main" uri="{B025F937-C7B1-47D3-B67F-A62EFF666E3E}">
          <x14:id>{5D2622D2-B2A3-284B-8991-2FAFF189FFEE}</x14:id>
        </ext>
      </extLst>
    </cfRule>
  </conditionalFormatting>
  <conditionalFormatting sqref="AP966:AP972">
    <cfRule type="dataBar" priority="3818">
      <dataBar>
        <cfvo type="min"/>
        <cfvo type="max"/>
        <color rgb="FF63C384"/>
      </dataBar>
      <extLst>
        <ext xmlns:x14="http://schemas.microsoft.com/office/spreadsheetml/2009/9/main" uri="{B025F937-C7B1-47D3-B67F-A62EFF666E3E}">
          <x14:id>{0E3EE30E-B795-EC45-B10E-16C57665195E}</x14:id>
        </ext>
      </extLst>
    </cfRule>
  </conditionalFormatting>
  <dataValidations count="4">
    <dataValidation type="list" allowBlank="1" showInputMessage="1" showErrorMessage="1" sqref="H131:H132 H6:H128" xr:uid="{B1C8ED22-5B95-FF43-9F40-9954465EA5B1}">
      <formula1>$A$846:$A$853</formula1>
    </dataValidation>
    <dataValidation type="list" allowBlank="1" showInputMessage="1" showErrorMessage="1" sqref="H131:H132 L6:L128 H6:H128 G6:G424" xr:uid="{FFD091D8-360C-AC4D-868C-A79A3BB4BD86}">
      <formula1>"1, -1"</formula1>
    </dataValidation>
    <dataValidation type="whole" operator="greaterThan" allowBlank="1" showInputMessage="1" showErrorMessage="1" sqref="F6:F840" xr:uid="{1A2A34C9-836C-D746-B0BC-A0F6CAD9563D}">
      <formula1>0</formula1>
    </dataValidation>
    <dataValidation type="date" allowBlank="1" showInputMessage="1" showErrorMessage="1" sqref="A842 A6:A840" xr:uid="{CE83F0CD-0DF6-1F48-B90C-FF03C777E8E1}">
      <formula1>44927</formula1>
      <formula2>47848</formula2>
    </dataValidation>
  </dataValidations>
  <pageMargins left="0.7" right="0.7" top="0.75" bottom="0.75" header="0.3" footer="0.3"/>
  <tableParts count="7">
    <tablePart r:id="rId1"/>
    <tablePart r:id="rId2"/>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F3F722CD-ECAA-894B-92D2-5165B6BC8865}">
            <x14:dataBar minLength="0" maxLength="100" border="1" negativeBarBorderColorSameAsPositive="0">
              <x14:cfvo type="autoMin"/>
              <x14:cfvo type="autoMax"/>
              <x14:borderColor rgb="FF63C384"/>
              <x14:negativeFillColor rgb="FFFF0000"/>
              <x14:negativeBorderColor rgb="FFFF0000"/>
              <x14:axisColor rgb="FF000000"/>
            </x14:dataBar>
          </x14:cfRule>
          <xm:sqref>B844:B854</xm:sqref>
        </x14:conditionalFormatting>
        <x14:conditionalFormatting xmlns:xm="http://schemas.microsoft.com/office/excel/2006/main">
          <x14:cfRule type="dataBar" id="{7CADC02D-40FB-CA4F-A144-C64EF53BCD06}">
            <x14:dataBar minLength="0" maxLength="100" border="1" negativeBarBorderColorSameAsPositive="0">
              <x14:cfvo type="autoMin"/>
              <x14:cfvo type="autoMax"/>
              <x14:borderColor rgb="FF63C384"/>
              <x14:negativeFillColor rgb="FFFF0000"/>
              <x14:negativeBorderColor rgb="FFFF0000"/>
              <x14:axisColor rgb="FF000000"/>
            </x14:dataBar>
          </x14:cfRule>
          <xm:sqref>B874:B882</xm:sqref>
        </x14:conditionalFormatting>
        <x14:conditionalFormatting xmlns:xm="http://schemas.microsoft.com/office/excel/2006/main">
          <x14:cfRule type="dataBar" id="{51C52134-136C-1B41-BF59-1AA0458A29F8}">
            <x14:dataBar minLength="0" maxLength="100" border="1" negativeBarBorderColorSameAsPositive="0">
              <x14:cfvo type="autoMin"/>
              <x14:cfvo type="autoMax"/>
              <x14:borderColor rgb="FF63C384"/>
              <x14:negativeFillColor rgb="FFFF0000"/>
              <x14:negativeBorderColor rgb="FFFF0000"/>
              <x14:axisColor rgb="FF000000"/>
            </x14:dataBar>
          </x14:cfRule>
          <xm:sqref>B888:B896</xm:sqref>
        </x14:conditionalFormatting>
        <x14:conditionalFormatting xmlns:xm="http://schemas.microsoft.com/office/excel/2006/main">
          <x14:cfRule type="dataBar" id="{E9FBC6BF-6547-1D49-A80D-F30A124DF79B}">
            <x14:dataBar minLength="0" maxLength="100" border="1" negativeBarBorderColorSameAsPositive="0">
              <x14:cfvo type="autoMin"/>
              <x14:cfvo type="autoMax"/>
              <x14:borderColor rgb="FF63C384"/>
              <x14:negativeFillColor rgb="FFFF0000"/>
              <x14:negativeBorderColor rgb="FFFF0000"/>
              <x14:axisColor rgb="FF000000"/>
            </x14:dataBar>
          </x14:cfRule>
          <xm:sqref>C846:C853</xm:sqref>
        </x14:conditionalFormatting>
        <x14:conditionalFormatting xmlns:xm="http://schemas.microsoft.com/office/excel/2006/main">
          <x14:cfRule type="dataBar" id="{53F89915-A46A-8A4A-AFD8-7BCDD9B2E049}">
            <x14:dataBar minLength="0" maxLength="100" border="1" negativeBarBorderColorSameAsPositive="0">
              <x14:cfvo type="autoMin"/>
              <x14:cfvo type="autoMax"/>
              <x14:borderColor rgb="FF63C384"/>
              <x14:negativeFillColor rgb="FFFF0000"/>
              <x14:negativeBorderColor rgb="FFFF0000"/>
              <x14:axisColor rgb="FF000000"/>
            </x14:dataBar>
          </x14:cfRule>
          <xm:sqref>C875:C882</xm:sqref>
        </x14:conditionalFormatting>
        <x14:conditionalFormatting xmlns:xm="http://schemas.microsoft.com/office/excel/2006/main">
          <x14:cfRule type="dataBar" id="{C0775534-1AD6-6D41-BEAD-8439CA53BE74}">
            <x14:dataBar minLength="0" maxLength="100" border="1" negativeBarBorderColorSameAsPositive="0">
              <x14:cfvo type="autoMin"/>
              <x14:cfvo type="autoMax"/>
              <x14:borderColor rgb="FF63C384"/>
              <x14:negativeFillColor rgb="FFFF0000"/>
              <x14:negativeBorderColor rgb="FFFF0000"/>
              <x14:axisColor rgb="FF000000"/>
            </x14:dataBar>
          </x14:cfRule>
          <xm:sqref>C889:C896</xm:sqref>
        </x14:conditionalFormatting>
        <x14:conditionalFormatting xmlns:xm="http://schemas.microsoft.com/office/excel/2006/main">
          <x14:cfRule type="dataBar" id="{728342F7-3585-F148-9767-C5AABA3DC8BC}">
            <x14:dataBar minLength="0" maxLength="100" border="1" negativeBarBorderColorSameAsPositive="0">
              <x14:cfvo type="autoMin"/>
              <x14:cfvo type="autoMax"/>
              <x14:borderColor rgb="FF63C384"/>
              <x14:negativeFillColor rgb="FFFF0000"/>
              <x14:negativeBorderColor rgb="FFFF0000"/>
              <x14:axisColor rgb="FF000000"/>
            </x14:dataBar>
          </x14:cfRule>
          <xm:sqref>D904:D1027</xm:sqref>
        </x14:conditionalFormatting>
        <x14:conditionalFormatting xmlns:xm="http://schemas.microsoft.com/office/excel/2006/main">
          <x14:cfRule type="dataBar" id="{557D4136-5A09-2247-B471-E98C17AB1AF3}">
            <x14:dataBar minLength="0" maxLength="100" border="1" negativeBarBorderColorSameAsPositive="0">
              <x14:cfvo type="autoMin"/>
              <x14:cfvo type="autoMax"/>
              <x14:borderColor rgb="FF63C384"/>
              <x14:negativeFillColor rgb="FFFF0000"/>
              <x14:negativeBorderColor rgb="FFFF0000"/>
              <x14:axisColor rgb="FF000000"/>
            </x14:dataBar>
          </x14:cfRule>
          <xm:sqref>E846:E853</xm:sqref>
        </x14:conditionalFormatting>
        <x14:conditionalFormatting xmlns:xm="http://schemas.microsoft.com/office/excel/2006/main">
          <x14:cfRule type="dataBar" id="{1438C61E-BFE4-1642-898B-7FED37E226F6}">
            <x14:dataBar minLength="0" maxLength="100" border="1" negativeBarBorderColorSameAsPositive="0">
              <x14:cfvo type="autoMin"/>
              <x14:cfvo type="autoMax"/>
              <x14:borderColor rgb="FF63C384"/>
              <x14:negativeFillColor rgb="FFFF0000"/>
              <x14:negativeBorderColor rgb="FFFF0000"/>
              <x14:axisColor rgb="FF000000"/>
            </x14:dataBar>
          </x14:cfRule>
          <xm:sqref>E875:E882</xm:sqref>
        </x14:conditionalFormatting>
        <x14:conditionalFormatting xmlns:xm="http://schemas.microsoft.com/office/excel/2006/main">
          <x14:cfRule type="dataBar" id="{7434A64D-276E-2C40-A510-54AF915FE7CD}">
            <x14:dataBar minLength="0" maxLength="100" border="1" negativeBarBorderColorSameAsPositive="0">
              <x14:cfvo type="autoMin"/>
              <x14:cfvo type="autoMax"/>
              <x14:borderColor rgb="FF63C384"/>
              <x14:negativeFillColor rgb="FFFF0000"/>
              <x14:negativeBorderColor rgb="FFFF0000"/>
              <x14:axisColor rgb="FF000000"/>
            </x14:dataBar>
          </x14:cfRule>
          <xm:sqref>E889:E896</xm:sqref>
        </x14:conditionalFormatting>
        <x14:conditionalFormatting xmlns:xm="http://schemas.microsoft.com/office/excel/2006/main">
          <x14:cfRule type="dataBar" id="{791A9AA1-A586-614C-A11F-7350488E550E}">
            <x14:dataBar minLength="0" maxLength="100" border="1" negativeBarBorderColorSameAsPositive="0">
              <x14:cfvo type="autoMin"/>
              <x14:cfvo type="autoMax"/>
              <x14:borderColor rgb="FF63C384"/>
              <x14:negativeFillColor rgb="FFFF0000"/>
              <x14:negativeBorderColor rgb="FFFF0000"/>
              <x14:axisColor rgb="FF000000"/>
            </x14:dataBar>
          </x14:cfRule>
          <xm:sqref>H846:H853</xm:sqref>
        </x14:conditionalFormatting>
        <x14:conditionalFormatting xmlns:xm="http://schemas.microsoft.com/office/excel/2006/main">
          <x14:cfRule type="dataBar" id="{CCC79E28-B497-C847-A528-82660A5BC13B}">
            <x14:dataBar minLength="0" maxLength="100" border="1" negativeBarBorderColorSameAsPositive="0">
              <x14:cfvo type="autoMin"/>
              <x14:cfvo type="autoMax"/>
              <x14:borderColor rgb="FF63C384"/>
              <x14:negativeFillColor rgb="FFFF0000"/>
              <x14:negativeBorderColor rgb="FFFF0000"/>
              <x14:axisColor rgb="FF000000"/>
            </x14:dataBar>
          </x14:cfRule>
          <xm:sqref>L967:M1000 L959:L966 M904:M966</xm:sqref>
        </x14:conditionalFormatting>
        <x14:conditionalFormatting xmlns:xm="http://schemas.microsoft.com/office/excel/2006/main">
          <x14:cfRule type="dataBar" id="{DAC25870-ECB3-414C-B56A-4CA9F6C77BB8}">
            <x14:dataBar minLength="0" maxLength="100" border="1" negativeBarBorderColorSameAsPositive="0">
              <x14:cfvo type="autoMin"/>
              <x14:cfvo type="autoMax"/>
              <x14:borderColor rgb="FF63C384"/>
              <x14:negativeFillColor rgb="FFFF0000"/>
              <x14:negativeBorderColor rgb="FFFF0000"/>
              <x14:axisColor rgb="FF000000"/>
            </x14:dataBar>
          </x14:cfRule>
          <xm:sqref>L1001:M1016 AI966:AJ972</xm:sqref>
        </x14:conditionalFormatting>
        <x14:conditionalFormatting xmlns:xm="http://schemas.microsoft.com/office/excel/2006/main">
          <x14:cfRule type="dataBar" id="{91D24425-3BAA-A04A-A669-57745B07946C}">
            <x14:dataBar minLength="0" maxLength="100" border="1" negativeBarBorderColorSameAsPositive="0">
              <x14:cfvo type="autoMin"/>
              <x14:cfvo type="autoMax"/>
              <x14:borderColor rgb="FF63C384"/>
              <x14:negativeFillColor rgb="FFFF0000"/>
              <x14:negativeBorderColor rgb="FFFF0000"/>
              <x14:axisColor rgb="FF000000"/>
            </x14:dataBar>
          </x14:cfRule>
          <xm:sqref>S904:S1027</xm:sqref>
        </x14:conditionalFormatting>
        <x14:conditionalFormatting xmlns:xm="http://schemas.microsoft.com/office/excel/2006/main">
          <x14:cfRule type="dataBar" id="{CD110F34-0E98-924F-A9D0-A802CA6D6869}">
            <x14:dataBar minLength="0" maxLength="100" border="1" negativeBarBorderColorSameAsPositive="0">
              <x14:cfvo type="autoMin"/>
              <x14:cfvo type="autoMax"/>
              <x14:borderColor rgb="FF63C384"/>
              <x14:negativeFillColor rgb="FFFF0000"/>
              <x14:negativeBorderColor rgb="FFFF0000"/>
              <x14:axisColor rgb="FF000000"/>
            </x14:dataBar>
          </x14:cfRule>
          <xm:sqref>T6:T840</xm:sqref>
        </x14:conditionalFormatting>
        <x14:conditionalFormatting xmlns:xm="http://schemas.microsoft.com/office/excel/2006/main">
          <x14:cfRule type="dataBar" id="{18737778-62F9-3A49-8CEF-17944386CA37}">
            <x14:dataBar minLength="0" maxLength="100" border="1" negativeBarBorderColorSameAsPositive="0">
              <x14:cfvo type="autoMin"/>
              <x14:cfvo type="autoMax"/>
              <x14:borderColor rgb="FF63C384"/>
              <x14:negativeFillColor rgb="FFFF0000"/>
              <x14:negativeBorderColor rgb="FFFF0000"/>
              <x14:axisColor rgb="FF000000"/>
            </x14:dataBar>
          </x14:cfRule>
          <xm:sqref>U6:U840</xm:sqref>
        </x14:conditionalFormatting>
        <x14:conditionalFormatting xmlns:xm="http://schemas.microsoft.com/office/excel/2006/main">
          <x14:cfRule type="dataBar" id="{803563C7-DB7E-784B-BEEB-83E2BC27B56F}">
            <x14:dataBar minLength="0" maxLength="100" border="1" negativeBarBorderColorSameAsPositive="0">
              <x14:cfvo type="autoMin"/>
              <x14:cfvo type="autoMax"/>
              <x14:borderColor rgb="FF63C384"/>
              <x14:negativeFillColor rgb="FFFF0000"/>
              <x14:negativeBorderColor rgb="FFFF0000"/>
              <x14:axisColor rgb="FF000000"/>
            </x14:dataBar>
          </x14:cfRule>
          <xm:sqref>AA972:AA974</xm:sqref>
        </x14:conditionalFormatting>
        <x14:conditionalFormatting xmlns:xm="http://schemas.microsoft.com/office/excel/2006/main">
          <x14:cfRule type="dataBar" id="{5D2622D2-B2A3-284B-8991-2FAFF189FFEE}">
            <x14:dataBar minLength="0" maxLength="100" border="1" negativeBarBorderColorSameAsPositive="0">
              <x14:cfvo type="autoMin"/>
              <x14:cfvo type="autoMax"/>
              <x14:borderColor rgb="FF63C384"/>
              <x14:negativeFillColor rgb="FFFF0000"/>
              <x14:negativeBorderColor rgb="FFFF0000"/>
              <x14:axisColor rgb="FF000000"/>
            </x14:dataBar>
          </x14:cfRule>
          <xm:sqref>AE6:AE840</xm:sqref>
        </x14:conditionalFormatting>
        <x14:conditionalFormatting xmlns:xm="http://schemas.microsoft.com/office/excel/2006/main">
          <x14:cfRule type="dataBar" id="{0E3EE30E-B795-EC45-B10E-16C57665195E}">
            <x14:dataBar minLength="0" maxLength="100" border="1" negativeBarBorderColorSameAsPositive="0">
              <x14:cfvo type="autoMin"/>
              <x14:cfvo type="autoMax"/>
              <x14:borderColor rgb="FF63C384"/>
              <x14:negativeFillColor rgb="FFFF0000"/>
              <x14:negativeBorderColor rgb="FFFF0000"/>
              <x14:axisColor rgb="FF000000"/>
            </x14:dataBar>
          </x14:cfRule>
          <xm:sqref>AP966:AP972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BE80032-5B34-E54E-9E05-256A9B0661FC}">
          <x14:formula1>
            <xm:f>EquityPortfolio!$A:$A</xm:f>
          </x14:formula1>
          <xm:sqref>B6:B840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Mom's Portfolio</vt:lpstr>
      <vt:lpstr>Baskets</vt:lpstr>
      <vt:lpstr>Secondary Theme</vt:lpstr>
      <vt:lpstr>Option Report</vt:lpstr>
      <vt:lpstr>Primary Theme</vt:lpstr>
      <vt:lpstr>CryptoPortfolio</vt:lpstr>
      <vt:lpstr>Crypto_Trades</vt:lpstr>
      <vt:lpstr>EquityPortfolio</vt:lpstr>
      <vt:lpstr>Stock_trades</vt:lpstr>
      <vt:lpstr>Option_Trades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Enkh-Uliral Munkhbat</dc:creator>
  <cp:keywords/>
  <dc:description/>
  <cp:lastModifiedBy>Enkh-Uliral Munkhbat</cp:lastModifiedBy>
  <cp:revision/>
  <dcterms:created xsi:type="dcterms:W3CDTF">2022-06-05T05:24:12Z</dcterms:created>
  <dcterms:modified xsi:type="dcterms:W3CDTF">2026-03-27T03:03:25Z</dcterms:modified>
  <cp:category/>
  <cp:contentStatus/>
</cp:coreProperties>
</file>